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Оперативный ввод" sheetId="1" state="visible" r:id="rId1"/>
    <sheet xmlns:r="http://schemas.openxmlformats.org/officeDocument/2006/relationships" name="История отказов" sheetId="2" state="visible" r:id="rId2"/>
    <sheet xmlns:r="http://schemas.openxmlformats.org/officeDocument/2006/relationships" name="Справочники" sheetId="3" state="visible" r:id="rId3"/>
    <sheet xmlns:r="http://schemas.openxmlformats.org/officeDocument/2006/relationships" name="Показатели" sheetId="4" state="visible" r:id="rId4"/>
  </sheets>
  <definedNames>
    <definedName name="pump">'Справочники'!$AN$2:$AN$6</definedName>
    <definedName name="event">'Справочники'!$AO$2:$AO$8</definedName>
    <definedName name="sign_esp">'Справочники'!$AP$2:$AP$21</definedName>
    <definedName name="sign_shgn">'Справочники'!$AQ$2:$AQ$14</definedName>
    <definedName name="sign_vin">'Справочники'!$AR$2:$AR$12</definedName>
    <definedName name="sign_npu">'Справочники'!$AS$2:$AS$10</definedName>
    <definedName name="node_esp">'Справочники'!$AT$2:$AT$22</definedName>
    <definedName name="node_shgn">'Справочники'!$AU$2:$AU$15</definedName>
    <definedName name="node_vin">'Справочники'!$AV$2:$AV$12</definedName>
    <definedName name="node_npu">'Справочники'!$AW$2:$AW$10</definedName>
    <definedName name="cause_esp">'Справочники'!$AX$2:$AX$89</definedName>
    <definedName name="cause_shgn">'Справочники'!$AY$2:$AY$57</definedName>
    <definedName name="comp">'Справочники'!$AZ$2:$AZ$23</definedName>
    <definedName name="repair">'Справочники'!$BA$2:$BA$146</definedName>
    <definedName name="damage_esp">'Справочники'!$BB$2:$BB$21</definedName>
    <definedName name="damage_shgn">'Справочники'!$BC$2:$BC$16</definedName>
    <definedName name="damage_vin">'Справочники'!$BD$2:$BD$15</definedName>
    <definedName name="damage_npu">'Справочники'!$BE$2:$BE$13</definedName>
    <definedName name="proof">'Справочники'!$BF$2:$BF$15</definedName>
    <definedName name="status">'Справочники'!$BG$2:$BG$7</definedName>
    <definedName name="confidence">'Справочники'!$BH$2:$BH$5</definedName>
    <definedName name="method">'Справочники'!$BI$2:$BI$33</definedName>
    <definedName name="size_shgn">'Справочники'!$BJ$2:$BJ$7</definedName>
    <definedName name="size_esp">'Справочники'!$BK$2:$BK$4</definedName>
    <definedName name="size_evn">'Справочники'!$BL$2:$BL$2</definedName>
    <definedName name="brand_shgn">'Справочники'!$BM$2:$BM$7</definedName>
    <definedName name="brand_esp">'Справочники'!$BN$2:$BN$3</definedName>
    <definedName name="brand_evn">'Справочники'!$BO$2:$BO$11</definedName>
    <definedName name="brand_npu">'Справочники'!$BP$2:$BP$2</definedName>
    <definedName name="condition">'Справочники'!$BQ$2:$BQ$5</definedName>
    <definedName name="tubing">'Справочники'!$BR$2:$BR$5</definedName>
    <definedName name="workover">'Справочники'!$BS$2:$BS$5</definedName>
    <definedName name="nominal">'Справочники'!$BT$2:$BT$7</definedName>
    <definedName name="empty">'Справочники'!$BU$2:$BU$2</definedName>
    <definedName name="size_shvn">'Справочники'!$BV$2:$BV$2</definedName>
    <definedName name="size_npu">'Справочники'!$BW$2:$BW$2</definedName>
    <definedName name="brand_shvn">'Справочники'!$BX$2:$BX$2</definedName>
    <definedName name="cause_npu">'Справочники'!$BY$2:$BY$2</definedName>
    <definedName name="sign_shvn">'Справочники'!$BZ$2:$BZ$10</definedName>
    <definedName name="sign_evn">'Справочники'!$CA$2:$CA$20</definedName>
    <definedName name="node_shvn">'Справочники'!$CB$2:$CB$13</definedName>
    <definedName name="node_evn">'Справочники'!$CC$2:$CC$19</definedName>
    <definedName name="damage_shvn">'Справочники'!$CD$2:$CD$15</definedName>
    <definedName name="damage_evn">'Справочники'!$CE$2:$CE$19</definedName>
    <definedName name="size_all">'Справочники'!$CF$2:$CF$13</definedName>
    <definedName name="brand_all">'Справочники'!$CG$2:$CG$21</definedName>
    <definedName name="sign_all">'Справочники'!$CH$2:$CH$28</definedName>
    <definedName name="node_all">'Справочники'!$CI$2:$CI$32</definedName>
    <definedName name="cause_all">'Справочники'!$CJ$2:$CJ$146</definedName>
    <definedName name="damage_all">'Справочники'!$CK$2:$CK$24</definedName>
    <definedName name="equip_motor_maker">OFFSET('Справочники'!$CL$2,0,0,2+MIN(COUNT('Справочники'!$DI$2:$DI$1201),200),1)</definedName>
    <definedName name="equip_motor_size">'Справочники'!$CM$2:$CM$7</definedName>
    <definedName name="equip_cable">'Справочники'!$CN$2:$CN$6</definedName>
    <definedName name="equip_extension">'Справочники'!$CO$2:$CO$4</definedName>
    <definedName name="equip_hydro_maker">OFFSET('Справочники'!$CP$2,0,0,2+MIN(COUNT('Справочники'!$DJ$2:$DJ$1201),200),1)</definedName>
    <definedName name="equip_hydro_size">'Справочники'!$CQ$2:$CQ$9</definedName>
    <definedName name="equip_tms_maker">OFFSET('Справочники'!$CR$2,0,0,1+MIN(COUNT('Справочники'!$DK$2:$DK$1201),200),1)</definedName>
    <definedName name="equip_tms_size">'Справочники'!$CS$2:$CS$6</definedName>
    <definedName name="equip_pump_shgn">OFFSET('Справочники'!$CT$2,0,0,1+MIN(COUNT('Справочники'!$DC$2:$DC$1201),200),1)</definedName>
    <definedName name="equip_pump_esp">OFFSET('Справочники'!$CU$2,0,0,2+MIN(COUNT('Справочники'!$DD$2:$DD$1201),200),1)</definedName>
    <definedName name="equip_pump_evn">OFFSET('Справочники'!$CV$2,0,0,2+MIN(COUNT('Справочники'!$DE$2:$DE$1201),200),1)</definedName>
    <definedName name="equip_pump_npu">OFFSET('Справочники'!$CW$2,0,0,1+MIN(COUNT('Справочники'!$DG$2:$DG$1201),200),1)</definedName>
    <definedName name="equip_pump_shvn">OFFSET('Справочники'!$CX$2,0,0,1+MIN(COUNT('Справочники'!$DF$2:$DF$1201),200),1)</definedName>
    <definedName name="equip_pump_all">OFFSET('Справочники'!$CY$2,0,0,5+MIN(COUNT('Справочники'!$DH$2:$DH$1201),200),1)</definedName>
    <definedName name="equip_nkt">'Справочники'!$CZ$2:$CZ$7</definedName>
    <definedName name="equip_years">OFFSET('Справочники'!$DA$2,0,0,46+MIN(COUNT('Справочники'!$DL$2:$DL$4801),100),1)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rlito"/>
      <sz val="11"/>
    </font>
    <font>
      <name val="Times New Roman"/>
      <b val="1"/>
      <color rgb="FF000000"/>
      <sz val="14"/>
    </font>
    <font>
      <name val="Times New Roman"/>
      <i val="1"/>
      <color rgb="FF000000"/>
      <sz val="10"/>
    </font>
    <font>
      <name val="Times New Roman"/>
      <b val="1"/>
      <color rgb="FF000000"/>
      <sz val="10"/>
    </font>
    <font>
      <name val="Times New Roman"/>
      <color rgb="FF000000"/>
      <sz val="10"/>
    </font>
    <font>
      <b val="1"/>
      <color rgb="00183B56"/>
    </font>
  </fonts>
  <fills count="16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EEEEEE"/>
      </patternFill>
    </fill>
    <fill>
      <patternFill patternType="solid">
        <fgColor rgb="FFFFF7DF"/>
      </patternFill>
    </fill>
    <fill>
      <patternFill patternType="solid">
        <fgColor rgb="FFFFFFFF"/>
      </patternFill>
    </fill>
    <fill>
      <patternFill patternType="solid">
        <fgColor rgb="FFF6F6F6"/>
      </patternFill>
    </fill>
    <fill>
      <patternFill patternType="solid">
        <fgColor rgb="FFE8EEF5"/>
      </patternFill>
    </fill>
    <fill>
      <patternFill patternType="solid">
        <fgColor rgb="FFFFF7DF"/>
      </patternFill>
    </fill>
    <fill>
      <patternFill patternType="solid">
        <fgColor rgb="FFEEEEEE"/>
      </patternFill>
    </fill>
    <fill>
      <patternFill patternType="solid">
        <fgColor rgb="FFF6F6F6"/>
      </patternFill>
    </fill>
    <fill>
      <patternFill patternType="solid">
        <fgColor rgb="FFECECEC"/>
      </patternFill>
    </fill>
    <fill>
      <patternFill patternType="solid">
        <fgColor rgb="FFE9EFF5"/>
      </patternFill>
    </fill>
    <fill>
      <patternFill patternType="solid">
        <fgColor rgb="FFFFF4D2"/>
      </patternFill>
    </fill>
    <fill>
      <patternFill patternType="solid">
        <fgColor rgb="00DCEAF5"/>
      </patternFill>
    </fill>
    <fill>
      <patternFill patternType="solid">
        <fgColor rgb="00E9F1F6"/>
      </patternFill>
    </fill>
  </fills>
  <borders count="43">
    <border/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2" fillId="0" borderId="1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1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2" pivotButton="0" quotePrefix="0" xfId="0"/>
    <xf numFmtId="0" fontId="3" fillId="2" borderId="3" pivotButton="0" quotePrefix="0" xfId="0"/>
    <xf numFmtId="0" fontId="3" fillId="2" borderId="4" pivotButton="0" quotePrefix="0" xfId="0"/>
    <xf numFmtId="0" fontId="3" fillId="2" borderId="1" pivotButton="0" quotePrefix="0" xfId="0"/>
    <xf numFmtId="0" fontId="3" fillId="2" borderId="5" pivotButton="0" quotePrefix="0" xfId="0"/>
    <xf numFmtId="0" fontId="3" fillId="2" borderId="6" pivotButton="0" quotePrefix="0" xfId="0"/>
    <xf numFmtId="0" fontId="3" fillId="2" borderId="7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3" borderId="4" pivotButton="0" quotePrefix="0" xfId="0"/>
    <xf numFmtId="0" fontId="3" fillId="3" borderId="2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3" fillId="3" borderId="2" applyAlignment="1" pivotButton="0" quotePrefix="0" xfId="0">
      <alignment horizontal="center" wrapText="1"/>
    </xf>
    <xf numFmtId="0" fontId="3" fillId="3" borderId="3" applyAlignment="1" pivotButton="0" quotePrefix="0" xfId="0">
      <alignment horizontal="center" wrapText="1"/>
    </xf>
    <xf numFmtId="0" fontId="3" fillId="3" borderId="4" applyAlignment="1" pivotButton="0" quotePrefix="0" xfId="0">
      <alignment horizont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3" fillId="3" borderId="5" applyAlignment="1" pivotButton="0" quotePrefix="0" xfId="0">
      <alignment wrapText="1"/>
    </xf>
    <xf numFmtId="0" fontId="3" fillId="3" borderId="6" applyAlignment="1" pivotButton="0" quotePrefix="0" xfId="0">
      <alignment wrapText="1"/>
    </xf>
    <xf numFmtId="0" fontId="3" fillId="3" borderId="7" applyAlignment="1" pivotButton="0" quotePrefix="0" xfId="0">
      <alignment wrapText="1"/>
    </xf>
    <xf numFmtId="0" fontId="3" fillId="3" borderId="5" applyAlignment="1" pivotButton="0" quotePrefix="0" xfId="0">
      <alignment horizontal="center" wrapText="1"/>
    </xf>
    <xf numFmtId="0" fontId="3" fillId="3" borderId="6" applyAlignment="1" pivotButton="0" quotePrefix="0" xfId="0">
      <alignment horizontal="center" wrapText="1"/>
    </xf>
    <xf numFmtId="0" fontId="3" fillId="3" borderId="7" applyAlignment="1" pivotButton="0" quotePrefix="0" xfId="0">
      <alignment horizontal="center" wrapText="1"/>
    </xf>
    <xf numFmtId="0" fontId="4" fillId="0" borderId="0" pivotButton="0" quotePrefix="0" xfId="0"/>
    <xf numFmtId="0" fontId="4" fillId="0" borderId="14" pivotButton="0" quotePrefix="0" xfId="0"/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4" fillId="0" borderId="18" pivotButton="0" quotePrefix="0" xfId="0"/>
    <xf numFmtId="0" fontId="4" fillId="0" borderId="19" pivotButton="0" quotePrefix="0" xfId="0"/>
    <xf numFmtId="0" fontId="4" fillId="0" borderId="20" pivotButton="0" quotePrefix="0" xfId="0"/>
    <xf numFmtId="0" fontId="4" fillId="0" borderId="21" pivotButton="0" quotePrefix="0" xfId="0"/>
    <xf numFmtId="0" fontId="4" fillId="0" borderId="14" applyAlignment="1" pivotButton="0" quotePrefix="0" xfId="0">
      <alignment wrapText="1"/>
    </xf>
    <xf numFmtId="0" fontId="4" fillId="0" borderId="15" applyAlignment="1" pivotButton="0" quotePrefix="0" xfId="0">
      <alignment wrapText="1"/>
    </xf>
    <xf numFmtId="0" fontId="4" fillId="0" borderId="16" applyAlignment="1" pivotButton="0" quotePrefix="0" xfId="0">
      <alignment wrapText="1"/>
    </xf>
    <xf numFmtId="0" fontId="4" fillId="0" borderId="17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4" fillId="0" borderId="19" applyAlignment="1" pivotButton="0" quotePrefix="0" xfId="0">
      <alignment wrapText="1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wrapText="1"/>
    </xf>
    <xf numFmtId="0" fontId="4" fillId="0" borderId="1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0" borderId="26" pivotButton="0" quotePrefix="0" xfId="0"/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0" fontId="4" fillId="0" borderId="22" applyAlignment="1" pivotButton="0" quotePrefix="0" xfId="0">
      <alignment wrapText="1"/>
    </xf>
    <xf numFmtId="0" fontId="4" fillId="0" borderId="23" applyAlignment="1" pivotButton="0" quotePrefix="0" xfId="0">
      <alignment wrapText="1"/>
    </xf>
    <xf numFmtId="0" fontId="4" fillId="0" borderId="24" applyAlignment="1" pivotButton="0" quotePrefix="0" xfId="0">
      <alignment wrapText="1"/>
    </xf>
    <xf numFmtId="0" fontId="4" fillId="0" borderId="25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26" applyAlignment="1" pivotButton="0" quotePrefix="0" xfId="0">
      <alignment wrapText="1"/>
    </xf>
    <xf numFmtId="0" fontId="4" fillId="0" borderId="27" applyAlignment="1" pivotButton="0" quotePrefix="0" xfId="0">
      <alignment wrapText="1"/>
    </xf>
    <xf numFmtId="0" fontId="4" fillId="0" borderId="28" applyAlignment="1" pivotButton="0" quotePrefix="0" xfId="0">
      <alignment wrapText="1"/>
    </xf>
    <xf numFmtId="0" fontId="4" fillId="0" borderId="29" applyAlignment="1" pivotButton="0" quotePrefix="0" xfId="0">
      <alignment wrapText="1"/>
    </xf>
    <xf numFmtId="0" fontId="3" fillId="2" borderId="30" pivotButton="0" quotePrefix="0" xfId="0"/>
    <xf numFmtId="0" fontId="3" fillId="2" borderId="31" pivotButton="0" quotePrefix="0" xfId="0"/>
    <xf numFmtId="0" fontId="3" fillId="3" borderId="30" pivotButton="0" quotePrefix="0" xfId="0"/>
    <xf numFmtId="0" fontId="3" fillId="3" borderId="30" applyAlignment="1" pivotButton="0" quotePrefix="0" xfId="0">
      <alignment wrapText="1"/>
    </xf>
    <xf numFmtId="0" fontId="3" fillId="3" borderId="30" applyAlignment="1" pivotButton="0" quotePrefix="0" xfId="0">
      <alignment horizontal="center" wrapText="1"/>
    </xf>
    <xf numFmtId="0" fontId="3" fillId="3" borderId="31" pivotButton="0" quotePrefix="0" xfId="0"/>
    <xf numFmtId="0" fontId="3" fillId="3" borderId="31" applyAlignment="1" pivotButton="0" quotePrefix="0" xfId="0">
      <alignment wrapText="1"/>
    </xf>
    <xf numFmtId="0" fontId="3" fillId="3" borderId="31" applyAlignment="1" pivotButton="0" quotePrefix="0" xfId="0">
      <alignment horizontal="center" wrapText="1"/>
    </xf>
    <xf numFmtId="0" fontId="4" fillId="0" borderId="32" pivotButton="0" quotePrefix="0" xfId="0"/>
    <xf numFmtId="0" fontId="4" fillId="0" borderId="33" pivotButton="0" quotePrefix="0" xfId="0"/>
    <xf numFmtId="0" fontId="4" fillId="0" borderId="34" pivotButton="0" quotePrefix="0" xfId="0"/>
    <xf numFmtId="0" fontId="4" fillId="0" borderId="32" applyAlignment="1" pivotButton="0" quotePrefix="0" xfId="0">
      <alignment wrapText="1"/>
    </xf>
    <xf numFmtId="0" fontId="4" fillId="0" borderId="33" applyAlignment="1" pivotButton="0" quotePrefix="0" xfId="0">
      <alignment wrapText="1"/>
    </xf>
    <xf numFmtId="0" fontId="4" fillId="0" borderId="34" applyAlignment="1" pivotButton="0" quotePrefix="0" xfId="0">
      <alignment wrapText="1"/>
    </xf>
    <xf numFmtId="0" fontId="4" fillId="0" borderId="35" pivotButton="0" quotePrefix="0" xfId="0"/>
    <xf numFmtId="0" fontId="4" fillId="0" borderId="36" pivotButton="0" quotePrefix="0" xfId="0"/>
    <xf numFmtId="0" fontId="4" fillId="0" borderId="37" pivotButton="0" quotePrefix="0" xfId="0"/>
    <xf numFmtId="0" fontId="4" fillId="0" borderId="35" applyAlignment="1" pivotButton="0" quotePrefix="0" xfId="0">
      <alignment wrapText="1"/>
    </xf>
    <xf numFmtId="0" fontId="4" fillId="0" borderId="36" applyAlignment="1" pivotButton="0" quotePrefix="0" xfId="0">
      <alignment wrapText="1"/>
    </xf>
    <xf numFmtId="0" fontId="4" fillId="0" borderId="37" applyAlignment="1" pivotButton="0" quotePrefix="0" xfId="0">
      <alignment wrapText="1"/>
    </xf>
    <xf numFmtId="0" fontId="1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30" applyAlignment="1" pivotButton="0" quotePrefix="0" xfId="0">
      <alignment horizontal="center"/>
    </xf>
    <xf numFmtId="0" fontId="3" fillId="2" borderId="31" applyAlignment="1" pivotButton="0" quotePrefix="0" xfId="0">
      <alignment horizontal="center"/>
    </xf>
    <xf numFmtId="0" fontId="3" fillId="0" borderId="0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0" fontId="3" fillId="0" borderId="1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5" applyAlignment="1" pivotButton="0" quotePrefix="0" xfId="0">
      <alignment horizontal="center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2" borderId="3" applyAlignment="1" pivotButton="0" quotePrefix="0" xfId="0">
      <alignment horizontal="center" wrapText="1"/>
    </xf>
    <xf numFmtId="0" fontId="3" fillId="2" borderId="6" applyAlignment="1" pivotButton="0" quotePrefix="0" xfId="0">
      <alignment horizontal="center" wrapText="1"/>
    </xf>
    <xf numFmtId="0" fontId="3" fillId="5" borderId="4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4" fillId="0" borderId="14" applyAlignment="1" pivotButton="0" quotePrefix="0" xfId="0">
      <alignment vertical="top" wrapText="1"/>
    </xf>
    <xf numFmtId="0" fontId="4" fillId="0" borderId="15" applyAlignment="1" pivotButton="0" quotePrefix="0" xfId="0">
      <alignment vertical="top" wrapText="1"/>
    </xf>
    <xf numFmtId="0" fontId="4" fillId="0" borderId="16" applyAlignment="1" pivotButton="0" quotePrefix="0" xfId="0">
      <alignment vertical="top" wrapText="1"/>
    </xf>
    <xf numFmtId="0" fontId="4" fillId="0" borderId="17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4" fillId="0" borderId="19" applyAlignment="1" pivotButton="0" quotePrefix="0" xfId="0">
      <alignment vertical="top" wrapText="1"/>
    </xf>
    <xf numFmtId="0" fontId="4" fillId="0" borderId="20" applyAlignment="1" pivotButton="0" quotePrefix="0" xfId="0">
      <alignment vertical="top" wrapText="1"/>
    </xf>
    <xf numFmtId="0" fontId="4" fillId="0" borderId="21" applyAlignment="1" pivotButton="0" quotePrefix="0" xfId="0">
      <alignment vertical="top" wrapText="1"/>
    </xf>
    <xf numFmtId="0" fontId="4" fillId="0" borderId="22" applyAlignment="1" pivotButton="0" quotePrefix="0" xfId="0">
      <alignment vertical="top" wrapText="1"/>
    </xf>
    <xf numFmtId="0" fontId="4" fillId="0" borderId="23" applyAlignment="1" pivotButton="0" quotePrefix="0" xfId="0">
      <alignment vertical="top" wrapText="1"/>
    </xf>
    <xf numFmtId="0" fontId="4" fillId="0" borderId="24" applyAlignment="1" pivotButton="0" quotePrefix="0" xfId="0">
      <alignment vertical="top" wrapText="1"/>
    </xf>
    <xf numFmtId="0" fontId="4" fillId="0" borderId="25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26" applyAlignment="1" pivotButton="0" quotePrefix="0" xfId="0">
      <alignment vertical="top" wrapText="1"/>
    </xf>
    <xf numFmtId="0" fontId="4" fillId="0" borderId="27" applyAlignment="1" pivotButton="0" quotePrefix="0" xfId="0">
      <alignment vertical="top" wrapText="1"/>
    </xf>
    <xf numFmtId="0" fontId="4" fillId="0" borderId="28" applyAlignment="1" pivotButton="0" quotePrefix="0" xfId="0">
      <alignment vertical="top" wrapText="1"/>
    </xf>
    <xf numFmtId="0" fontId="4" fillId="0" borderId="29" applyAlignment="1" pivotButton="0" quotePrefix="0" xfId="0">
      <alignment vertical="top" wrapText="1"/>
    </xf>
    <xf numFmtId="164" fontId="4" fillId="0" borderId="15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4" fillId="0" borderId="20" applyAlignment="1" pivotButton="0" quotePrefix="0" xfId="0">
      <alignment vertical="top" wrapText="1"/>
    </xf>
    <xf numFmtId="164" fontId="4" fillId="0" borderId="23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4" fillId="0" borderId="28" applyAlignment="1" pivotButton="0" quotePrefix="0" xfId="0">
      <alignment vertical="top" wrapText="1"/>
    </xf>
    <xf numFmtId="1" fontId="4" fillId="0" borderId="15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" fontId="4" fillId="0" borderId="20" applyAlignment="1" pivotButton="0" quotePrefix="0" xfId="0">
      <alignment vertical="top" wrapText="1"/>
    </xf>
    <xf numFmtId="1" fontId="4" fillId="0" borderId="23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1" fontId="4" fillId="0" borderId="28" applyAlignment="1" pivotButton="0" quotePrefix="0" xfId="0">
      <alignment vertical="top" wrapText="1"/>
    </xf>
    <xf numFmtId="1" fontId="4" fillId="6" borderId="15" applyAlignment="1" pivotButton="0" quotePrefix="0" xfId="0">
      <alignment vertical="top" wrapText="1"/>
    </xf>
    <xf numFmtId="1" fontId="4" fillId="6" borderId="0" applyAlignment="1" pivotButton="0" quotePrefix="0" xfId="0">
      <alignment vertical="top" wrapText="1"/>
    </xf>
    <xf numFmtId="1" fontId="4" fillId="6" borderId="20" applyAlignment="1" pivotButton="0" quotePrefix="0" xfId="0">
      <alignment vertical="top" wrapText="1"/>
    </xf>
    <xf numFmtId="1" fontId="4" fillId="6" borderId="23" applyAlignment="1" pivotButton="0" quotePrefix="0" xfId="0">
      <alignment vertical="top" wrapText="1"/>
    </xf>
    <xf numFmtId="1" fontId="4" fillId="6" borderId="1" applyAlignment="1" pivotButton="0" quotePrefix="0" xfId="0">
      <alignment vertical="top" wrapText="1"/>
    </xf>
    <xf numFmtId="1" fontId="4" fillId="6" borderId="28" applyAlignment="1" pivotButton="0" quotePrefix="0" xfId="0">
      <alignment vertical="top" wrapText="1"/>
    </xf>
    <xf numFmtId="0" fontId="4" fillId="6" borderId="15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6" borderId="20" applyAlignment="1" pivotButton="0" quotePrefix="0" xfId="0">
      <alignment vertical="top" wrapText="1"/>
    </xf>
    <xf numFmtId="0" fontId="4" fillId="6" borderId="23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28" applyAlignment="1" pivotButton="0" quotePrefix="0" xfId="0">
      <alignment vertical="top" wrapText="1"/>
    </xf>
    <xf numFmtId="0" fontId="0" fillId="0" borderId="0" pivotButton="0" quotePrefix="0" xfId="0"/>
    <xf numFmtId="0" fontId="0" fillId="7" borderId="0" pivotButton="0" quotePrefix="0" xfId="0"/>
    <xf numFmtId="0" fontId="3" fillId="7" borderId="0" pivotButton="0" quotePrefix="0" xfId="0"/>
    <xf numFmtId="0" fontId="3" fillId="7" borderId="2" pivotButton="0" quotePrefix="0" xfId="0"/>
    <xf numFmtId="0" fontId="3" fillId="7" borderId="4" pivotButton="0" quotePrefix="0" xfId="0"/>
    <xf numFmtId="0" fontId="3" fillId="7" borderId="2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0" fontId="3" fillId="7" borderId="3" pivotButton="0" quotePrefix="0" xfId="0"/>
    <xf numFmtId="0" fontId="3" fillId="7" borderId="3" applyAlignment="1" pivotButton="0" quotePrefix="0" xfId="0">
      <alignment horizontal="center"/>
    </xf>
    <xf numFmtId="0" fontId="3" fillId="7" borderId="30" pivotButton="0" quotePrefix="0" xfId="0"/>
    <xf numFmtId="0" fontId="3" fillId="7" borderId="30" applyAlignment="1" pivotButton="0" quotePrefix="0" xfId="0">
      <alignment horizontal="center"/>
    </xf>
    <xf numFmtId="0" fontId="3" fillId="8" borderId="2" applyAlignment="1" pivotButton="0" quotePrefix="0" xfId="0">
      <alignment horizontal="center" wrapText="1"/>
    </xf>
    <xf numFmtId="0" fontId="3" fillId="8" borderId="3" applyAlignment="1" pivotButton="0" quotePrefix="0" xfId="0">
      <alignment horizontal="center" wrapText="1"/>
    </xf>
    <xf numFmtId="0" fontId="3" fillId="7" borderId="3" applyAlignment="1" pivotButton="0" quotePrefix="0" xfId="0">
      <alignment horizontal="center" wrapText="1"/>
    </xf>
    <xf numFmtId="0" fontId="3" fillId="9" borderId="3" applyAlignment="1" pivotButton="0" quotePrefix="0" xfId="0">
      <alignment horizontal="center" wrapText="1"/>
    </xf>
    <xf numFmtId="0" fontId="3" fillId="9" borderId="4" applyAlignment="1" pivotButton="0" quotePrefix="0" xfId="0">
      <alignment horizontal="center" wrapText="1"/>
    </xf>
    <xf numFmtId="0" fontId="4" fillId="10" borderId="0" applyAlignment="1" pivotButton="0" quotePrefix="0" xfId="0">
      <alignment wrapText="1"/>
    </xf>
    <xf numFmtId="164" fontId="4" fillId="0" borderId="0" applyAlignment="1" pivotButton="0" quotePrefix="0" xfId="0">
      <alignment wrapText="1"/>
    </xf>
    <xf numFmtId="1" fontId="4" fillId="10" borderId="0" applyAlignment="1" pivotButton="0" quotePrefix="0" xfId="0">
      <alignment wrapText="1"/>
    </xf>
    <xf numFmtId="0" fontId="4" fillId="6" borderId="0" applyAlignment="1" pivotButton="0" quotePrefix="0" xfId="0">
      <alignment wrapText="1"/>
    </xf>
    <xf numFmtId="1" fontId="4" fillId="6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30" pivotButton="0" quotePrefix="0" xfId="0"/>
    <xf numFmtId="0" fontId="3" fillId="11" borderId="3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2" pivotButton="0" quotePrefix="0" xfId="0"/>
    <xf numFmtId="0" fontId="3" fillId="12" borderId="4" pivotButton="0" quotePrefix="0" xfId="0"/>
    <xf numFmtId="0" fontId="3" fillId="12" borderId="2" applyAlignment="1" pivotButton="0" quotePrefix="0" xfId="0">
      <alignment horizontal="center"/>
    </xf>
    <xf numFmtId="0" fontId="3" fillId="12" borderId="4" applyAlignment="1" pivotButton="0" quotePrefix="0" xfId="0">
      <alignment horizontal="center"/>
    </xf>
    <xf numFmtId="0" fontId="3" fillId="12" borderId="3" pivotButton="0" quotePrefix="0" xfId="0"/>
    <xf numFmtId="0" fontId="3" fillId="12" borderId="3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2" pivotButton="0" quotePrefix="0" xfId="0"/>
    <xf numFmtId="0" fontId="3" fillId="13" borderId="3" pivotButton="0" quotePrefix="0" xfId="0"/>
    <xf numFmtId="0" fontId="3" fillId="13" borderId="4" pivotButton="0" quotePrefix="0" xfId="0"/>
    <xf numFmtId="0" fontId="3" fillId="13" borderId="2" applyAlignment="1" pivotButton="0" quotePrefix="0" xfId="0">
      <alignment wrapText="1"/>
    </xf>
    <xf numFmtId="0" fontId="3" fillId="13" borderId="3" applyAlignment="1" pivotButton="0" quotePrefix="0" xfId="0">
      <alignment wrapText="1"/>
    </xf>
    <xf numFmtId="0" fontId="3" fillId="13" borderId="4" applyAlignment="1" pivotButton="0" quotePrefix="0" xfId="0">
      <alignment wrapText="1"/>
    </xf>
    <xf numFmtId="0" fontId="3" fillId="13" borderId="2" applyAlignment="1" pivotButton="0" quotePrefix="0" xfId="0">
      <alignment horizontal="center" wrapText="1"/>
    </xf>
    <xf numFmtId="0" fontId="3" fillId="13" borderId="3" applyAlignment="1" pivotButton="0" quotePrefix="0" xfId="0">
      <alignment horizontal="center" wrapText="1"/>
    </xf>
    <xf numFmtId="0" fontId="3" fillId="13" borderId="4" applyAlignment="1" pivotButton="0" quotePrefix="0" xfId="0">
      <alignment horizontal="center" wrapText="1"/>
    </xf>
    <xf numFmtId="0" fontId="1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2" fillId="0" borderId="40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3" fillId="7" borderId="31" applyAlignment="1" pivotButton="0" quotePrefix="0" xfId="0">
      <alignment horizontal="center"/>
    </xf>
    <xf numFmtId="164" fontId="4" fillId="0" borderId="0" applyAlignment="1" pivotButton="0" quotePrefix="0" xfId="0">
      <alignment wrapText="1"/>
    </xf>
    <xf numFmtId="1" fontId="4" fillId="10" borderId="0" applyAlignment="1" pivotButton="0" quotePrefix="0" xfId="0">
      <alignment wrapText="1"/>
    </xf>
    <xf numFmtId="0" fontId="5" fillId="14" borderId="1" applyAlignment="1" pivotButton="0" quotePrefix="0" xfId="0">
      <alignment horizontal="center"/>
    </xf>
    <xf numFmtId="0" fontId="5" fillId="14" borderId="31" applyAlignment="1" pivotButton="0" quotePrefix="0" xfId="0">
      <alignment horizontal="center"/>
    </xf>
    <xf numFmtId="0" fontId="5" fillId="14" borderId="41" applyAlignment="1" pivotButton="0" quotePrefix="0" xfId="0">
      <alignment horizontal="center"/>
    </xf>
    <xf numFmtId="0" fontId="0" fillId="0" borderId="41" pivotButton="0" quotePrefix="0" xfId="0"/>
    <xf numFmtId="0" fontId="5" fillId="14" borderId="0" applyAlignment="1" pivotButton="0" quotePrefix="0" xfId="0">
      <alignment horizontal="center"/>
    </xf>
    <xf numFmtId="164" fontId="4" fillId="0" borderId="15" applyAlignment="1" pivotButton="0" quotePrefix="0" xfId="0">
      <alignment vertical="top" wrapText="1"/>
    </xf>
    <xf numFmtId="1" fontId="4" fillId="6" borderId="15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" fontId="4" fillId="6" borderId="0" applyAlignment="1" pivotButton="0" quotePrefix="0" xfId="0">
      <alignment vertical="top" wrapText="1"/>
    </xf>
    <xf numFmtId="0" fontId="1" fillId="2" borderId="31" applyAlignment="1" pivotButton="0" quotePrefix="0" xfId="0">
      <alignment horizontal="center"/>
    </xf>
    <xf numFmtId="0" fontId="2" fillId="0" borderId="40" pivotButton="0" quotePrefix="0" xfId="0"/>
    <xf numFmtId="0" fontId="5" fillId="14" borderId="0" pivotButton="0" quotePrefix="0" xfId="0"/>
    <xf numFmtId="0" fontId="0" fillId="0" borderId="1" applyAlignment="1" pivotButton="0" quotePrefix="0" xfId="0">
      <alignment vertical="center" wrapText="1"/>
    </xf>
    <xf numFmtId="0" fontId="5" fillId="15" borderId="0" pivotButton="0" quotePrefix="0" xfId="0"/>
  </cellXfs>
  <cellStyles count="1">
    <cellStyle name="Normal" xfId="0"/>
  </cellStyles>
  <dxfs count="8">
    <dxf>
      <fill>
        <patternFill>
          <bgColor rgb="FFFFF7DF"/>
        </patternFill>
      </fill>
    </dxf>
    <dxf>
      <fill>
        <patternFill>
          <bgColor rgb="FFE8EEF5"/>
        </patternFill>
      </fill>
    </dxf>
    <dxf>
      <font>
        <b val="1"/>
      </font>
      <fill>
        <patternFill>
          <bgColor rgb="FFEDF4E8"/>
        </patternFill>
      </fill>
    </dxf>
    <dxf>
      <fill>
        <patternFill>
          <bgColor rgb="FFF8EAEA"/>
        </patternFill>
      </fill>
    </dxf>
    <dxf>
      <font>
        <b val="1"/>
      </font>
      <fill>
        <patternFill>
          <bgColor rgb="FFEDF4E8"/>
        </patternFill>
      </fill>
    </dxf>
    <dxf>
      <fill>
        <patternFill>
          <bgColor rgb="FFF8EAEA"/>
        </patternFill>
      </fill>
    </dxf>
    <dxf>
      <font>
        <b val="1"/>
      </font>
      <fill>
        <patternFill>
          <bgColor rgb="FFEDF4E8"/>
        </patternFill>
      </fill>
    </dxf>
    <dxf>
      <fill>
        <patternFill>
          <bgColor rgb="FFF8EA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4"/>
  <sheetViews>
    <sheetView workbookViewId="0">
      <selection activeCell="A1" sqref="A1"/>
    </sheetView>
  </sheetViews>
  <sheetFormatPr baseColWidth="8" defaultRowHeight="15"/>
  <cols>
    <col width="21" customWidth="1" style="210" min="1" max="1"/>
    <col width="13" customWidth="1" style="210" min="2" max="2"/>
    <col width="14" customWidth="1" style="210" min="3" max="3"/>
    <col width="17" customWidth="1" style="210" min="4" max="4"/>
    <col width="11" customWidth="1" style="210" min="5" max="5"/>
    <col width="20" customWidth="1" style="210" min="6" max="6"/>
    <col width="16" customWidth="1" style="210" min="7" max="7"/>
    <col width="45" customWidth="1" style="210" min="8" max="8"/>
    <col width="21" customWidth="1" style="210" min="9" max="9"/>
    <col width="42" customWidth="1" style="210" min="10" max="10"/>
    <col width="29" customWidth="1" style="210" min="11" max="11"/>
    <col width="56" customWidth="1" style="210" min="12" max="12"/>
    <col width="28" customWidth="1" style="210" min="13" max="13"/>
    <col width="28" customWidth="1" style="210" min="14" max="14"/>
    <col width="28" customWidth="1" style="210" min="15" max="15"/>
    <col width="50" customWidth="1" style="210" min="16" max="16"/>
    <col width="50" customWidth="1" style="210" min="17" max="17"/>
    <col width="27" customWidth="1" style="210" min="18" max="18"/>
    <col width="56" customWidth="1" style="210" min="19" max="19"/>
    <col width="28" customWidth="1" style="210" min="20" max="20"/>
    <col width="25" customWidth="1" style="210" min="21" max="21"/>
    <col width="25" customWidth="1" style="210" min="22" max="22"/>
    <col width="16" customWidth="1" style="210" min="23" max="23"/>
    <col width="48" customWidth="1" style="210" min="24" max="24"/>
    <col width="18" customWidth="1" style="210" min="25" max="25"/>
    <col width="72" customWidth="1" style="210" min="26" max="26"/>
  </cols>
  <sheetData>
    <row r="1">
      <c r="A1" s="254" t="inlineStr">
        <is>
          <t>РОСА — ОПЕРАТИВНОЕ ВНЕСЕНИЕ ДАННЫХ ПО ОТКАЗАМ</t>
        </is>
      </c>
      <c r="B1" s="255" t="n"/>
      <c r="C1" s="255" t="n"/>
      <c r="D1" s="255" t="n"/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6" t="n"/>
    </row>
    <row r="2">
      <c r="A2" s="257" t="inlineStr">
        <is>
          <t>Быстрый ввод события. Общие данные автоматически дублируются в подробный лист «История отказов». Подробную комплектацию и расширенное расследование дополняйте там.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8" t="n"/>
      <c r="N2" s="258" t="n"/>
      <c r="O2" s="258" t="n"/>
      <c r="P2" s="258" t="n"/>
      <c r="Q2" s="258" t="n"/>
      <c r="R2" s="258" t="n"/>
      <c r="S2" s="258" t="n"/>
      <c r="T2" s="258" t="n"/>
      <c r="U2" s="258" t="n"/>
      <c r="V2" s="258" t="n"/>
      <c r="W2" s="258" t="n"/>
      <c r="X2" s="258" t="n"/>
      <c r="Y2" s="258" t="n"/>
      <c r="Z2" s="259" t="n"/>
    </row>
    <row r="3">
      <c r="A3" s="260" t="inlineStr">
        <is>
          <t>ОБЪЕКТ</t>
        </is>
      </c>
      <c r="B3" s="256" t="n"/>
      <c r="C3" s="260" t="inlineStr">
        <is>
          <t>ЦИКЛ И ГНО</t>
        </is>
      </c>
      <c r="D3" s="255" t="n"/>
      <c r="E3" s="255" t="n"/>
      <c r="F3" s="255" t="n"/>
      <c r="G3" s="255" t="n"/>
      <c r="H3" s="255" t="n"/>
      <c r="I3" s="256" t="n"/>
      <c r="J3" s="260" t="inlineStr">
        <is>
          <t>ПРЕДВАРИТЕЛЬНАЯ ОЦЕНКА</t>
        </is>
      </c>
      <c r="K3" s="255" t="n"/>
      <c r="L3" s="255" t="n"/>
      <c r="M3" s="255" t="n"/>
      <c r="N3" s="255" t="n"/>
      <c r="O3" s="256" t="n"/>
      <c r="P3" s="260" t="inlineStr">
        <is>
          <t>БЫСТРОЕ УТОЧНЕНИЕ</t>
        </is>
      </c>
      <c r="Q3" s="255" t="n"/>
      <c r="R3" s="255" t="n"/>
      <c r="S3" s="255" t="n"/>
      <c r="T3" s="255" t="n"/>
      <c r="U3" s="255" t="n"/>
      <c r="V3" s="255" t="n"/>
      <c r="W3" s="256" t="n"/>
      <c r="X3" s="220" t="inlineStr">
        <is>
          <t>КОММЕНТАРИЙ</t>
        </is>
      </c>
      <c r="Y3" s="260" t="inlineStr">
        <is>
          <t>АВТОМАТИЧЕСКИ</t>
        </is>
      </c>
      <c r="Z3" s="256" t="n"/>
    </row>
    <row r="4">
      <c r="A4" s="221" t="inlineStr">
        <is>
          <t>Месторождение*</t>
        </is>
      </c>
      <c r="B4" s="222" t="inlineStr">
        <is>
          <t>№ скважины*</t>
        </is>
      </c>
      <c r="C4" s="222" t="inlineStr">
        <is>
          <t>Дата пуска*</t>
        </is>
      </c>
      <c r="D4" s="222" t="inlineStr">
        <is>
          <t>Дата отказа / окончания*</t>
        </is>
      </c>
      <c r="E4" s="224" t="inlineStr">
        <is>
          <t>МРП, сут. (авто)</t>
        </is>
      </c>
      <c r="F4" s="222" t="inlineStr">
        <is>
          <t>Способ эксплуатации*</t>
        </is>
      </c>
      <c r="G4" s="222" t="inlineStr">
        <is>
          <t>Типоразмер ГНО*</t>
        </is>
      </c>
      <c r="H4" s="222" t="inlineStr">
        <is>
          <t>Марка ГНО*</t>
        </is>
      </c>
      <c r="I4" s="222" t="inlineStr">
        <is>
          <t>Тип события*</t>
        </is>
      </c>
      <c r="J4" s="222" t="inlineStr">
        <is>
          <t>Признак / предпосылка*</t>
        </is>
      </c>
      <c r="K4" s="222" t="inlineStr">
        <is>
          <t>Отказавший узел*</t>
        </is>
      </c>
      <c r="L4" s="222" t="inlineStr">
        <is>
          <t>Предварительная причина*</t>
        </is>
      </c>
      <c r="M4" s="222" t="inlineStr">
        <is>
          <t>Основная категория осложнения*</t>
        </is>
      </c>
      <c r="N4" s="222" t="inlineStr">
        <is>
          <t>Сопутствующее осложнение 1</t>
        </is>
      </c>
      <c r="O4" s="222" t="inlineStr">
        <is>
          <t>Сопутствующее осложнение 2</t>
        </is>
      </c>
      <c r="P4" s="223" t="inlineStr">
        <is>
          <t>ТКРС 1</t>
        </is>
      </c>
      <c r="Q4" s="223" t="inlineStr">
        <is>
          <t>ТКРС 2</t>
        </is>
      </c>
      <c r="R4" s="223" t="inlineStr">
        <is>
          <t>Вид повреждения</t>
        </is>
      </c>
      <c r="S4" s="223" t="inlineStr">
        <is>
          <t>Итоговая причина</t>
        </is>
      </c>
      <c r="T4" s="223" t="inlineStr">
        <is>
          <t>Уточнённая категория осложнения</t>
        </is>
      </c>
      <c r="U4" s="223" t="inlineStr">
        <is>
          <t>Подтверждение</t>
        </is>
      </c>
      <c r="V4" s="223" t="inlineStr">
        <is>
          <t>Статус расследования</t>
        </is>
      </c>
      <c r="W4" s="223" t="inlineStr">
        <is>
          <t>Достоверность</t>
        </is>
      </c>
      <c r="X4" s="148" t="inlineStr">
        <is>
          <t>Комментарий</t>
        </is>
      </c>
      <c r="Y4" s="224" t="inlineStr">
        <is>
          <t>Статус предварительного (авто)</t>
        </is>
      </c>
      <c r="Z4" s="225" t="inlineStr">
        <is>
          <t>Предварительное заключение (авто)</t>
        </is>
      </c>
    </row>
    <row r="5">
      <c r="A5" s="75" t="n"/>
      <c r="B5" s="75" t="n"/>
      <c r="C5" s="261" t="n"/>
      <c r="D5" s="261" t="n"/>
      <c r="E5" s="262">
        <f>IF(OR(C5="",D5=""),"",D5-C5)</f>
        <v/>
      </c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226">
        <f>IF(AND(A5="",B5=""),"",IF(AND(A5&lt;&gt;"",B5&lt;&gt;"",C5&lt;&gt;"",D5&lt;&gt;"",F5&lt;&gt;"",G5&lt;&gt;"",H5&lt;&gt;"",ISERROR(SEARCH("по паспорту",G5)),ISERROR(SEARCH("по паспорту",H5)),I5&lt;&gt;"",J5&lt;&gt;"",K5&lt;&gt;"",L5&lt;&gt;"",M5&lt;&gt;""),"ГОТОВО","НЕ ГОТОВО"))</f>
        <v/>
      </c>
      <c r="Z5" s="226">
        <f>IF(Y5&lt;&gt;"ГОТОВО","", "Предварительное заключение: "&amp;A5&amp;", скв. "&amp;B5&amp;". МРП: "&amp;E5&amp;" сут. ГНО: "&amp;F5&amp;", типоразмер "&amp;G5&amp;", марка "&amp;H5&amp;". Событие: "&amp;I5&amp;". Признак: "&amp;J5&amp;". Узел: "&amp;K5&amp;". Предварительная причина: "&amp;L5&amp;". Основное осложнение: "&amp;M5&amp;IF(N5&lt;&gt;"","; сопутствующее: "&amp;N5,"")&amp;IF(O5&lt;&gt;"","; дополнительно: "&amp;O5,"")&amp;".")</f>
        <v/>
      </c>
    </row>
    <row r="6">
      <c r="A6" s="75" t="n"/>
      <c r="B6" s="75" t="n"/>
      <c r="C6" s="261" t="n"/>
      <c r="D6" s="261" t="n"/>
      <c r="E6" s="262">
        <f>IF(OR(C6="",D6=""),"",D6-C6)</f>
        <v/>
      </c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226">
        <f>IF(AND(A6="",B6=""),"",IF(AND(A6&lt;&gt;"",B6&lt;&gt;"",C6&lt;&gt;"",D6&lt;&gt;"",F6&lt;&gt;"",G6&lt;&gt;"",H6&lt;&gt;"",ISERROR(SEARCH("по паспорту",G6)),ISERROR(SEARCH("по паспорту",H6)),I6&lt;&gt;"",J6&lt;&gt;"",K6&lt;&gt;"",L6&lt;&gt;"",M6&lt;&gt;""),"ГОТОВО","НЕ ГОТОВО"))</f>
        <v/>
      </c>
      <c r="Z6" s="226">
        <f>IF(Y6&lt;&gt;"ГОТОВО","", "Предварительное заключение: "&amp;A6&amp;", скв. "&amp;B6&amp;". МРП: "&amp;E6&amp;" сут. ГНО: "&amp;F6&amp;", типоразмер "&amp;G6&amp;", марка "&amp;H6&amp;". Событие: "&amp;I6&amp;". Признак: "&amp;J6&amp;". Узел: "&amp;K6&amp;". Предварительная причина: "&amp;L6&amp;". Основное осложнение: "&amp;M6&amp;IF(N6&lt;&gt;"","; сопутствующее: "&amp;N6,"")&amp;IF(O6&lt;&gt;"","; дополнительно: "&amp;O6,"")&amp;".")</f>
        <v/>
      </c>
    </row>
    <row r="7">
      <c r="A7" s="75" t="n"/>
      <c r="B7" s="75" t="n"/>
      <c r="C7" s="261" t="n"/>
      <c r="D7" s="261" t="n"/>
      <c r="E7" s="262">
        <f>IF(OR(C7="",D7=""),"",D7-C7)</f>
        <v/>
      </c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226">
        <f>IF(AND(A7="",B7=""),"",IF(AND(A7&lt;&gt;"",B7&lt;&gt;"",C7&lt;&gt;"",D7&lt;&gt;"",F7&lt;&gt;"",G7&lt;&gt;"",H7&lt;&gt;"",ISERROR(SEARCH("по паспорту",G7)),ISERROR(SEARCH("по паспорту",H7)),I7&lt;&gt;"",J7&lt;&gt;"",K7&lt;&gt;"",L7&lt;&gt;"",M7&lt;&gt;""),"ГОТОВО","НЕ ГОТОВО"))</f>
        <v/>
      </c>
      <c r="Z7" s="226">
        <f>IF(Y7&lt;&gt;"ГОТОВО","", "Предварительное заключение: "&amp;A7&amp;", скв. "&amp;B7&amp;". МРП: "&amp;E7&amp;" сут. ГНО: "&amp;F7&amp;", типоразмер "&amp;G7&amp;", марка "&amp;H7&amp;". Событие: "&amp;I7&amp;". Признак: "&amp;J7&amp;". Узел: "&amp;K7&amp;". Предварительная причина: "&amp;L7&amp;". Основное осложнение: "&amp;M7&amp;IF(N7&lt;&gt;"","; сопутствующее: "&amp;N7,"")&amp;IF(O7&lt;&gt;"","; дополнительно: "&amp;O7,"")&amp;".")</f>
        <v/>
      </c>
    </row>
    <row r="8">
      <c r="A8" s="75" t="n"/>
      <c r="B8" s="75" t="n"/>
      <c r="C8" s="261" t="n"/>
      <c r="D8" s="261" t="n"/>
      <c r="E8" s="262">
        <f>IF(OR(C8="",D8=""),"",D8-C8)</f>
        <v/>
      </c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226">
        <f>IF(AND(A8="",B8=""),"",IF(AND(A8&lt;&gt;"",B8&lt;&gt;"",C8&lt;&gt;"",D8&lt;&gt;"",F8&lt;&gt;"",G8&lt;&gt;"",H8&lt;&gt;"",ISERROR(SEARCH("по паспорту",G8)),ISERROR(SEARCH("по паспорту",H8)),I8&lt;&gt;"",J8&lt;&gt;"",K8&lt;&gt;"",L8&lt;&gt;"",M8&lt;&gt;""),"ГОТОВО","НЕ ГОТОВО"))</f>
        <v/>
      </c>
      <c r="Z8" s="226">
        <f>IF(Y8&lt;&gt;"ГОТОВО","", "Предварительное заключение: "&amp;A8&amp;", скв. "&amp;B8&amp;". МРП: "&amp;E8&amp;" сут. ГНО: "&amp;F8&amp;", типоразмер "&amp;G8&amp;", марка "&amp;H8&amp;". Событие: "&amp;I8&amp;". Признак: "&amp;J8&amp;". Узел: "&amp;K8&amp;". Предварительная причина: "&amp;L8&amp;". Основное осложнение: "&amp;M8&amp;IF(N8&lt;&gt;"","; сопутствующее: "&amp;N8,"")&amp;IF(O8&lt;&gt;"","; дополнительно: "&amp;O8,"")&amp;".")</f>
        <v/>
      </c>
    </row>
    <row r="9">
      <c r="A9" s="75" t="n"/>
      <c r="B9" s="75" t="n"/>
      <c r="C9" s="261" t="n"/>
      <c r="D9" s="261" t="n"/>
      <c r="E9" s="262">
        <f>IF(OR(C9="",D9=""),"",D9-C9)</f>
        <v/>
      </c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226">
        <f>IF(AND(A9="",B9=""),"",IF(AND(A9&lt;&gt;"",B9&lt;&gt;"",C9&lt;&gt;"",D9&lt;&gt;"",F9&lt;&gt;"",G9&lt;&gt;"",H9&lt;&gt;"",ISERROR(SEARCH("по паспорту",G9)),ISERROR(SEARCH("по паспорту",H9)),I9&lt;&gt;"",J9&lt;&gt;"",K9&lt;&gt;"",L9&lt;&gt;"",M9&lt;&gt;""),"ГОТОВО","НЕ ГОТОВО"))</f>
        <v/>
      </c>
      <c r="Z9" s="226">
        <f>IF(Y9&lt;&gt;"ГОТОВО","", "Предварительное заключение: "&amp;A9&amp;", скв. "&amp;B9&amp;". МРП: "&amp;E9&amp;" сут. ГНО: "&amp;F9&amp;", типоразмер "&amp;G9&amp;", марка "&amp;H9&amp;". Событие: "&amp;I9&amp;". Признак: "&amp;J9&amp;". Узел: "&amp;K9&amp;". Предварительная причина: "&amp;L9&amp;". Основное осложнение: "&amp;M9&amp;IF(N9&lt;&gt;"","; сопутствующее: "&amp;N9,"")&amp;IF(O9&lt;&gt;"","; дополнительно: "&amp;O9,"")&amp;".")</f>
        <v/>
      </c>
    </row>
    <row r="10">
      <c r="A10" s="75" t="n"/>
      <c r="B10" s="75" t="n"/>
      <c r="C10" s="261" t="n"/>
      <c r="D10" s="261" t="n"/>
      <c r="E10" s="262">
        <f>IF(OR(C10="",D10=""),"",D10-C10)</f>
        <v/>
      </c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226">
        <f>IF(AND(A10="",B10=""),"",IF(AND(A10&lt;&gt;"",B10&lt;&gt;"",C10&lt;&gt;"",D10&lt;&gt;"",F10&lt;&gt;"",G10&lt;&gt;"",H10&lt;&gt;"",ISERROR(SEARCH("по паспорту",G10)),ISERROR(SEARCH("по паспорту",H10)),I10&lt;&gt;"",J10&lt;&gt;"",K10&lt;&gt;"",L10&lt;&gt;"",M10&lt;&gt;""),"ГОТОВО","НЕ ГОТОВО"))</f>
        <v/>
      </c>
      <c r="Z10" s="226">
        <f>IF(Y10&lt;&gt;"ГОТОВО","", "Предварительное заключение: "&amp;A10&amp;", скв. "&amp;B10&amp;". МРП: "&amp;E10&amp;" сут. ГНО: "&amp;F10&amp;", типоразмер "&amp;G10&amp;", марка "&amp;H10&amp;". Событие: "&amp;I10&amp;". Признак: "&amp;J10&amp;". Узел: "&amp;K10&amp;". Предварительная причина: "&amp;L10&amp;". Основное осложнение: "&amp;M10&amp;IF(N10&lt;&gt;"","; сопутствующее: "&amp;N10,"")&amp;IF(O10&lt;&gt;"","; дополнительно: "&amp;O10,"")&amp;".")</f>
        <v/>
      </c>
    </row>
    <row r="11">
      <c r="A11" s="75" t="n"/>
      <c r="B11" s="75" t="n"/>
      <c r="C11" s="261" t="n"/>
      <c r="D11" s="261" t="n"/>
      <c r="E11" s="262">
        <f>IF(OR(C11="",D11=""),"",D11-C11)</f>
        <v/>
      </c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226">
        <f>IF(AND(A11="",B11=""),"",IF(AND(A11&lt;&gt;"",B11&lt;&gt;"",C11&lt;&gt;"",D11&lt;&gt;"",F11&lt;&gt;"",G11&lt;&gt;"",H11&lt;&gt;"",ISERROR(SEARCH("по паспорту",G11)),ISERROR(SEARCH("по паспорту",H11)),I11&lt;&gt;"",J11&lt;&gt;"",K11&lt;&gt;"",L11&lt;&gt;"",M11&lt;&gt;""),"ГОТОВО","НЕ ГОТОВО"))</f>
        <v/>
      </c>
      <c r="Z11" s="226">
        <f>IF(Y11&lt;&gt;"ГОТОВО","", "Предварительное заключение: "&amp;A11&amp;", скв. "&amp;B11&amp;". МРП: "&amp;E11&amp;" сут. ГНО: "&amp;F11&amp;", типоразмер "&amp;G11&amp;", марка "&amp;H11&amp;". Событие: "&amp;I11&amp;". Признак: "&amp;J11&amp;". Узел: "&amp;K11&amp;". Предварительная причина: "&amp;L11&amp;". Основное осложнение: "&amp;M11&amp;IF(N11&lt;&gt;"","; сопутствующее: "&amp;N11,"")&amp;IF(O11&lt;&gt;"","; дополнительно: "&amp;O11,"")&amp;".")</f>
        <v/>
      </c>
    </row>
    <row r="12">
      <c r="A12" s="75" t="n"/>
      <c r="B12" s="75" t="n"/>
      <c r="C12" s="261" t="n"/>
      <c r="D12" s="261" t="n"/>
      <c r="E12" s="262">
        <f>IF(OR(C12="",D12=""),"",D12-C12)</f>
        <v/>
      </c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226">
        <f>IF(AND(A12="",B12=""),"",IF(AND(A12&lt;&gt;"",B12&lt;&gt;"",C12&lt;&gt;"",D12&lt;&gt;"",F12&lt;&gt;"",G12&lt;&gt;"",H12&lt;&gt;"",ISERROR(SEARCH("по паспорту",G12)),ISERROR(SEARCH("по паспорту",H12)),I12&lt;&gt;"",J12&lt;&gt;"",K12&lt;&gt;"",L12&lt;&gt;"",M12&lt;&gt;""),"ГОТОВО","НЕ ГОТОВО"))</f>
        <v/>
      </c>
      <c r="Z12" s="226">
        <f>IF(Y12&lt;&gt;"ГОТОВО","", "Предварительное заключение: "&amp;A12&amp;", скв. "&amp;B12&amp;". МРП: "&amp;E12&amp;" сут. ГНО: "&amp;F12&amp;", типоразмер "&amp;G12&amp;", марка "&amp;H12&amp;". Событие: "&amp;I12&amp;". Признак: "&amp;J12&amp;". Узел: "&amp;K12&amp;". Предварительная причина: "&amp;L12&amp;". Основное осложнение: "&amp;M12&amp;IF(N12&lt;&gt;"","; сопутствующее: "&amp;N12,"")&amp;IF(O12&lt;&gt;"","; дополнительно: "&amp;O12,"")&amp;".")</f>
        <v/>
      </c>
    </row>
    <row r="13">
      <c r="A13" s="75" t="n"/>
      <c r="B13" s="75" t="n"/>
      <c r="C13" s="261" t="n"/>
      <c r="D13" s="261" t="n"/>
      <c r="E13" s="262">
        <f>IF(OR(C13="",D13=""),"",D13-C13)</f>
        <v/>
      </c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226">
        <f>IF(AND(A13="",B13=""),"",IF(AND(A13&lt;&gt;"",B13&lt;&gt;"",C13&lt;&gt;"",D13&lt;&gt;"",F13&lt;&gt;"",G13&lt;&gt;"",H13&lt;&gt;"",ISERROR(SEARCH("по паспорту",G13)),ISERROR(SEARCH("по паспорту",H13)),I13&lt;&gt;"",J13&lt;&gt;"",K13&lt;&gt;"",L13&lt;&gt;"",M13&lt;&gt;""),"ГОТОВО","НЕ ГОТОВО"))</f>
        <v/>
      </c>
      <c r="Z13" s="226">
        <f>IF(Y13&lt;&gt;"ГОТОВО","", "Предварительное заключение: "&amp;A13&amp;", скв. "&amp;B13&amp;". МРП: "&amp;E13&amp;" сут. ГНО: "&amp;F13&amp;", типоразмер "&amp;G13&amp;", марка "&amp;H13&amp;". Событие: "&amp;I13&amp;". Признак: "&amp;J13&amp;". Узел: "&amp;K13&amp;". Предварительная причина: "&amp;L13&amp;". Основное осложнение: "&amp;M13&amp;IF(N13&lt;&gt;"","; сопутствующее: "&amp;N13,"")&amp;IF(O13&lt;&gt;"","; дополнительно: "&amp;O13,"")&amp;".")</f>
        <v/>
      </c>
    </row>
    <row r="14">
      <c r="A14" s="75" t="n"/>
      <c r="B14" s="75" t="n"/>
      <c r="C14" s="261" t="n"/>
      <c r="D14" s="261" t="n"/>
      <c r="E14" s="262">
        <f>IF(OR(C14="",D14=""),"",D14-C14)</f>
        <v/>
      </c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226">
        <f>IF(AND(A14="",B14=""),"",IF(AND(A14&lt;&gt;"",B14&lt;&gt;"",C14&lt;&gt;"",D14&lt;&gt;"",F14&lt;&gt;"",G14&lt;&gt;"",H14&lt;&gt;"",ISERROR(SEARCH("по паспорту",G14)),ISERROR(SEARCH("по паспорту",H14)),I14&lt;&gt;"",J14&lt;&gt;"",K14&lt;&gt;"",L14&lt;&gt;"",M14&lt;&gt;""),"ГОТОВО","НЕ ГОТОВО"))</f>
        <v/>
      </c>
      <c r="Z14" s="226">
        <f>IF(Y14&lt;&gt;"ГОТОВО","", "Предварительное заключение: "&amp;A14&amp;", скв. "&amp;B14&amp;". МРП: "&amp;E14&amp;" сут. ГНО: "&amp;F14&amp;", типоразмер "&amp;G14&amp;", марка "&amp;H14&amp;". Событие: "&amp;I14&amp;". Признак: "&amp;J14&amp;". Узел: "&amp;K14&amp;". Предварительная причина: "&amp;L14&amp;". Основное осложнение: "&amp;M14&amp;IF(N14&lt;&gt;"","; сопутствующее: "&amp;N14,"")&amp;IF(O14&lt;&gt;"","; дополнительно: "&amp;O14,"")&amp;".")</f>
        <v/>
      </c>
    </row>
    <row r="15">
      <c r="A15" s="75" t="n"/>
      <c r="B15" s="75" t="n"/>
      <c r="C15" s="261" t="n"/>
      <c r="D15" s="261" t="n"/>
      <c r="E15" s="262">
        <f>IF(OR(C15="",D15=""),"",D15-C15)</f>
        <v/>
      </c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226">
        <f>IF(AND(A15="",B15=""),"",IF(AND(A15&lt;&gt;"",B15&lt;&gt;"",C15&lt;&gt;"",D15&lt;&gt;"",F15&lt;&gt;"",G15&lt;&gt;"",H15&lt;&gt;"",ISERROR(SEARCH("по паспорту",G15)),ISERROR(SEARCH("по паспорту",H15)),I15&lt;&gt;"",J15&lt;&gt;"",K15&lt;&gt;"",L15&lt;&gt;"",M15&lt;&gt;""),"ГОТОВО","НЕ ГОТОВО"))</f>
        <v/>
      </c>
      <c r="Z15" s="226">
        <f>IF(Y15&lt;&gt;"ГОТОВО","", "Предварительное заключение: "&amp;A15&amp;", скв. "&amp;B15&amp;". МРП: "&amp;E15&amp;" сут. ГНО: "&amp;F15&amp;", типоразмер "&amp;G15&amp;", марка "&amp;H15&amp;". Событие: "&amp;I15&amp;". Признак: "&amp;J15&amp;". Узел: "&amp;K15&amp;". Предварительная причина: "&amp;L15&amp;". Основное осложнение: "&amp;M15&amp;IF(N15&lt;&gt;"","; сопутствующее: "&amp;N15,"")&amp;IF(O15&lt;&gt;"","; дополнительно: "&amp;O15,"")&amp;".")</f>
        <v/>
      </c>
    </row>
    <row r="16">
      <c r="A16" s="75" t="n"/>
      <c r="B16" s="75" t="n"/>
      <c r="C16" s="261" t="n"/>
      <c r="D16" s="261" t="n"/>
      <c r="E16" s="262">
        <f>IF(OR(C16="",D16=""),"",D16-C16)</f>
        <v/>
      </c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226">
        <f>IF(AND(A16="",B16=""),"",IF(AND(A16&lt;&gt;"",B16&lt;&gt;"",C16&lt;&gt;"",D16&lt;&gt;"",F16&lt;&gt;"",G16&lt;&gt;"",H16&lt;&gt;"",ISERROR(SEARCH("по паспорту",G16)),ISERROR(SEARCH("по паспорту",H16)),I16&lt;&gt;"",J16&lt;&gt;"",K16&lt;&gt;"",L16&lt;&gt;"",M16&lt;&gt;""),"ГОТОВО","НЕ ГОТОВО"))</f>
        <v/>
      </c>
      <c r="Z16" s="226">
        <f>IF(Y16&lt;&gt;"ГОТОВО","", "Предварительное заключение: "&amp;A16&amp;", скв. "&amp;B16&amp;". МРП: "&amp;E16&amp;" сут. ГНО: "&amp;F16&amp;", типоразмер "&amp;G16&amp;", марка "&amp;H16&amp;". Событие: "&amp;I16&amp;". Признак: "&amp;J16&amp;". Узел: "&amp;K16&amp;". Предварительная причина: "&amp;L16&amp;". Основное осложнение: "&amp;M16&amp;IF(N16&lt;&gt;"","; сопутствующее: "&amp;N16,"")&amp;IF(O16&lt;&gt;"","; дополнительно: "&amp;O16,"")&amp;".")</f>
        <v/>
      </c>
    </row>
    <row r="17">
      <c r="A17" s="75" t="n"/>
      <c r="B17" s="75" t="n"/>
      <c r="C17" s="261" t="n"/>
      <c r="D17" s="261" t="n"/>
      <c r="E17" s="262">
        <f>IF(OR(C17="",D17=""),"",D17-C17)</f>
        <v/>
      </c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226">
        <f>IF(AND(A17="",B17=""),"",IF(AND(A17&lt;&gt;"",B17&lt;&gt;"",C17&lt;&gt;"",D17&lt;&gt;"",F17&lt;&gt;"",G17&lt;&gt;"",H17&lt;&gt;"",ISERROR(SEARCH("по паспорту",G17)),ISERROR(SEARCH("по паспорту",H17)),I17&lt;&gt;"",J17&lt;&gt;"",K17&lt;&gt;"",L17&lt;&gt;"",M17&lt;&gt;""),"ГОТОВО","НЕ ГОТОВО"))</f>
        <v/>
      </c>
      <c r="Z17" s="226">
        <f>IF(Y17&lt;&gt;"ГОТОВО","", "Предварительное заключение: "&amp;A17&amp;", скв. "&amp;B17&amp;". МРП: "&amp;E17&amp;" сут. ГНО: "&amp;F17&amp;", типоразмер "&amp;G17&amp;", марка "&amp;H17&amp;". Событие: "&amp;I17&amp;". Признак: "&amp;J17&amp;". Узел: "&amp;K17&amp;". Предварительная причина: "&amp;L17&amp;". Основное осложнение: "&amp;M17&amp;IF(N17&lt;&gt;"","; сопутствующее: "&amp;N17,"")&amp;IF(O17&lt;&gt;"","; дополнительно: "&amp;O17,"")&amp;".")</f>
        <v/>
      </c>
    </row>
    <row r="18">
      <c r="A18" s="75" t="n"/>
      <c r="B18" s="75" t="n"/>
      <c r="C18" s="261" t="n"/>
      <c r="D18" s="261" t="n"/>
      <c r="E18" s="262">
        <f>IF(OR(C18="",D18=""),"",D18-C18)</f>
        <v/>
      </c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226">
        <f>IF(AND(A18="",B18=""),"",IF(AND(A18&lt;&gt;"",B18&lt;&gt;"",C18&lt;&gt;"",D18&lt;&gt;"",F18&lt;&gt;"",G18&lt;&gt;"",H18&lt;&gt;"",ISERROR(SEARCH("по паспорту",G18)),ISERROR(SEARCH("по паспорту",H18)),I18&lt;&gt;"",J18&lt;&gt;"",K18&lt;&gt;"",L18&lt;&gt;"",M18&lt;&gt;""),"ГОТОВО","НЕ ГОТОВО"))</f>
        <v/>
      </c>
      <c r="Z18" s="226">
        <f>IF(Y18&lt;&gt;"ГОТОВО","", "Предварительное заключение: "&amp;A18&amp;", скв. "&amp;B18&amp;". МРП: "&amp;E18&amp;" сут. ГНО: "&amp;F18&amp;", типоразмер "&amp;G18&amp;", марка "&amp;H18&amp;". Событие: "&amp;I18&amp;". Признак: "&amp;J18&amp;". Узел: "&amp;K18&amp;". Предварительная причина: "&amp;L18&amp;". Основное осложнение: "&amp;M18&amp;IF(N18&lt;&gt;"","; сопутствующее: "&amp;N18,"")&amp;IF(O18&lt;&gt;"","; дополнительно: "&amp;O18,"")&amp;".")</f>
        <v/>
      </c>
    </row>
    <row r="19">
      <c r="A19" s="75" t="n"/>
      <c r="B19" s="75" t="n"/>
      <c r="C19" s="261" t="n"/>
      <c r="D19" s="261" t="n"/>
      <c r="E19" s="262">
        <f>IF(OR(C19="",D19=""),"",D19-C19)</f>
        <v/>
      </c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226">
        <f>IF(AND(A19="",B19=""),"",IF(AND(A19&lt;&gt;"",B19&lt;&gt;"",C19&lt;&gt;"",D19&lt;&gt;"",F19&lt;&gt;"",G19&lt;&gt;"",H19&lt;&gt;"",ISERROR(SEARCH("по паспорту",G19)),ISERROR(SEARCH("по паспорту",H19)),I19&lt;&gt;"",J19&lt;&gt;"",K19&lt;&gt;"",L19&lt;&gt;"",M19&lt;&gt;""),"ГОТОВО","НЕ ГОТОВО"))</f>
        <v/>
      </c>
      <c r="Z19" s="226">
        <f>IF(Y19&lt;&gt;"ГОТОВО","", "Предварительное заключение: "&amp;A19&amp;", скв. "&amp;B19&amp;". МРП: "&amp;E19&amp;" сут. ГНО: "&amp;F19&amp;", типоразмер "&amp;G19&amp;", марка "&amp;H19&amp;". Событие: "&amp;I19&amp;". Признак: "&amp;J19&amp;". Узел: "&amp;K19&amp;". Предварительная причина: "&amp;L19&amp;". Основное осложнение: "&amp;M19&amp;IF(N19&lt;&gt;"","; сопутствующее: "&amp;N19,"")&amp;IF(O19&lt;&gt;"","; дополнительно: "&amp;O19,"")&amp;".")</f>
        <v/>
      </c>
    </row>
    <row r="20">
      <c r="A20" s="75" t="n"/>
      <c r="B20" s="75" t="n"/>
      <c r="C20" s="261" t="n"/>
      <c r="D20" s="261" t="n"/>
      <c r="E20" s="262">
        <f>IF(OR(C20="",D20=""),"",D20-C20)</f>
        <v/>
      </c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226">
        <f>IF(AND(A20="",B20=""),"",IF(AND(A20&lt;&gt;"",B20&lt;&gt;"",C20&lt;&gt;"",D20&lt;&gt;"",F20&lt;&gt;"",G20&lt;&gt;"",H20&lt;&gt;"",ISERROR(SEARCH("по паспорту",G20)),ISERROR(SEARCH("по паспорту",H20)),I20&lt;&gt;"",J20&lt;&gt;"",K20&lt;&gt;"",L20&lt;&gt;"",M20&lt;&gt;""),"ГОТОВО","НЕ ГОТОВО"))</f>
        <v/>
      </c>
      <c r="Z20" s="226">
        <f>IF(Y20&lt;&gt;"ГОТОВО","", "Предварительное заключение: "&amp;A20&amp;", скв. "&amp;B20&amp;". МРП: "&amp;E20&amp;" сут. ГНО: "&amp;F20&amp;", типоразмер "&amp;G20&amp;", марка "&amp;H20&amp;". Событие: "&amp;I20&amp;". Признак: "&amp;J20&amp;". Узел: "&amp;K20&amp;". Предварительная причина: "&amp;L20&amp;". Основное осложнение: "&amp;M20&amp;IF(N20&lt;&gt;"","; сопутствующее: "&amp;N20,"")&amp;IF(O20&lt;&gt;"","; дополнительно: "&amp;O20,"")&amp;".")</f>
        <v/>
      </c>
    </row>
    <row r="21">
      <c r="A21" s="75" t="n"/>
      <c r="B21" s="75" t="n"/>
      <c r="C21" s="261" t="n"/>
      <c r="D21" s="261" t="n"/>
      <c r="E21" s="262">
        <f>IF(OR(C21="",D21=""),"",D21-C21)</f>
        <v/>
      </c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226">
        <f>IF(AND(A21="",B21=""),"",IF(AND(A21&lt;&gt;"",B21&lt;&gt;"",C21&lt;&gt;"",D21&lt;&gt;"",F21&lt;&gt;"",G21&lt;&gt;"",H21&lt;&gt;"",ISERROR(SEARCH("по паспорту",G21)),ISERROR(SEARCH("по паспорту",H21)),I21&lt;&gt;"",J21&lt;&gt;"",K21&lt;&gt;"",L21&lt;&gt;"",M21&lt;&gt;""),"ГОТОВО","НЕ ГОТОВО"))</f>
        <v/>
      </c>
      <c r="Z21" s="226">
        <f>IF(Y21&lt;&gt;"ГОТОВО","", "Предварительное заключение: "&amp;A21&amp;", скв. "&amp;B21&amp;". МРП: "&amp;E21&amp;" сут. ГНО: "&amp;F21&amp;", типоразмер "&amp;G21&amp;", марка "&amp;H21&amp;". Событие: "&amp;I21&amp;". Признак: "&amp;J21&amp;". Узел: "&amp;K21&amp;". Предварительная причина: "&amp;L21&amp;". Основное осложнение: "&amp;M21&amp;IF(N21&lt;&gt;"","; сопутствующее: "&amp;N21,"")&amp;IF(O21&lt;&gt;"","; дополнительно: "&amp;O21,"")&amp;".")</f>
        <v/>
      </c>
    </row>
    <row r="22">
      <c r="A22" s="75" t="n"/>
      <c r="B22" s="75" t="n"/>
      <c r="C22" s="261" t="n"/>
      <c r="D22" s="261" t="n"/>
      <c r="E22" s="262">
        <f>IF(OR(C22="",D22=""),"",D22-C22)</f>
        <v/>
      </c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226">
        <f>IF(AND(A22="",B22=""),"",IF(AND(A22&lt;&gt;"",B22&lt;&gt;"",C22&lt;&gt;"",D22&lt;&gt;"",F22&lt;&gt;"",G22&lt;&gt;"",H22&lt;&gt;"",ISERROR(SEARCH("по паспорту",G22)),ISERROR(SEARCH("по паспорту",H22)),I22&lt;&gt;"",J22&lt;&gt;"",K22&lt;&gt;"",L22&lt;&gt;"",M22&lt;&gt;""),"ГОТОВО","НЕ ГОТОВО"))</f>
        <v/>
      </c>
      <c r="Z22" s="226">
        <f>IF(Y22&lt;&gt;"ГОТОВО","", "Предварительное заключение: "&amp;A22&amp;", скв. "&amp;B22&amp;". МРП: "&amp;E22&amp;" сут. ГНО: "&amp;F22&amp;", типоразмер "&amp;G22&amp;", марка "&amp;H22&amp;". Событие: "&amp;I22&amp;". Признак: "&amp;J22&amp;". Узел: "&amp;K22&amp;". Предварительная причина: "&amp;L22&amp;". Основное осложнение: "&amp;M22&amp;IF(N22&lt;&gt;"","; сопутствующее: "&amp;N22,"")&amp;IF(O22&lt;&gt;"","; дополнительно: "&amp;O22,"")&amp;".")</f>
        <v/>
      </c>
    </row>
    <row r="23">
      <c r="A23" s="75" t="n"/>
      <c r="B23" s="75" t="n"/>
      <c r="C23" s="261" t="n"/>
      <c r="D23" s="261" t="n"/>
      <c r="E23" s="262">
        <f>IF(OR(C23="",D23=""),"",D23-C23)</f>
        <v/>
      </c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226">
        <f>IF(AND(A23="",B23=""),"",IF(AND(A23&lt;&gt;"",B23&lt;&gt;"",C23&lt;&gt;"",D23&lt;&gt;"",F23&lt;&gt;"",G23&lt;&gt;"",H23&lt;&gt;"",ISERROR(SEARCH("по паспорту",G23)),ISERROR(SEARCH("по паспорту",H23)),I23&lt;&gt;"",J23&lt;&gt;"",K23&lt;&gt;"",L23&lt;&gt;"",M23&lt;&gt;""),"ГОТОВО","НЕ ГОТОВО"))</f>
        <v/>
      </c>
      <c r="Z23" s="226">
        <f>IF(Y23&lt;&gt;"ГОТОВО","", "Предварительное заключение: "&amp;A23&amp;", скв. "&amp;B23&amp;". МРП: "&amp;E23&amp;" сут. ГНО: "&amp;F23&amp;", типоразмер "&amp;G23&amp;", марка "&amp;H23&amp;". Событие: "&amp;I23&amp;". Признак: "&amp;J23&amp;". Узел: "&amp;K23&amp;". Предварительная причина: "&amp;L23&amp;". Основное осложнение: "&amp;M23&amp;IF(N23&lt;&gt;"","; сопутствующее: "&amp;N23,"")&amp;IF(O23&lt;&gt;"","; дополнительно: "&amp;O23,"")&amp;".")</f>
        <v/>
      </c>
    </row>
    <row r="24">
      <c r="A24" s="75" t="n"/>
      <c r="B24" s="75" t="n"/>
      <c r="C24" s="261" t="n"/>
      <c r="D24" s="261" t="n"/>
      <c r="E24" s="262">
        <f>IF(OR(C24="",D24=""),"",D24-C24)</f>
        <v/>
      </c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226">
        <f>IF(AND(A24="",B24=""),"",IF(AND(A24&lt;&gt;"",B24&lt;&gt;"",C24&lt;&gt;"",D24&lt;&gt;"",F24&lt;&gt;"",G24&lt;&gt;"",H24&lt;&gt;"",ISERROR(SEARCH("по паспорту",G24)),ISERROR(SEARCH("по паспорту",H24)),I24&lt;&gt;"",J24&lt;&gt;"",K24&lt;&gt;"",L24&lt;&gt;"",M24&lt;&gt;""),"ГОТОВО","НЕ ГОТОВО"))</f>
        <v/>
      </c>
      <c r="Z24" s="226">
        <f>IF(Y24&lt;&gt;"ГОТОВО","", "Предварительное заключение: "&amp;A24&amp;", скв. "&amp;B24&amp;". МРП: "&amp;E24&amp;" сут. ГНО: "&amp;F24&amp;", типоразмер "&amp;G24&amp;", марка "&amp;H24&amp;". Событие: "&amp;I24&amp;". Признак: "&amp;J24&amp;". Узел: "&amp;K24&amp;". Предварительная причина: "&amp;L24&amp;". Основное осложнение: "&amp;M24&amp;IF(N24&lt;&gt;"","; сопутствующее: "&amp;N24,"")&amp;IF(O24&lt;&gt;"","; дополнительно: "&amp;O24,"")&amp;".")</f>
        <v/>
      </c>
    </row>
    <row r="25">
      <c r="A25" s="75" t="n"/>
      <c r="B25" s="75" t="n"/>
      <c r="C25" s="261" t="n"/>
      <c r="D25" s="261" t="n"/>
      <c r="E25" s="262">
        <f>IF(OR(C25="",D25=""),"",D25-C25)</f>
        <v/>
      </c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226">
        <f>IF(AND(A25="",B25=""),"",IF(AND(A25&lt;&gt;"",B25&lt;&gt;"",C25&lt;&gt;"",D25&lt;&gt;"",F25&lt;&gt;"",G25&lt;&gt;"",H25&lt;&gt;"",ISERROR(SEARCH("по паспорту",G25)),ISERROR(SEARCH("по паспорту",H25)),I25&lt;&gt;"",J25&lt;&gt;"",K25&lt;&gt;"",L25&lt;&gt;"",M25&lt;&gt;""),"ГОТОВО","НЕ ГОТОВО"))</f>
        <v/>
      </c>
      <c r="Z25" s="226">
        <f>IF(Y25&lt;&gt;"ГОТОВО","", "Предварительное заключение: "&amp;A25&amp;", скв. "&amp;B25&amp;". МРП: "&amp;E25&amp;" сут. ГНО: "&amp;F25&amp;", типоразмер "&amp;G25&amp;", марка "&amp;H25&amp;". Событие: "&amp;I25&amp;". Признак: "&amp;J25&amp;". Узел: "&amp;K25&amp;". Предварительная причина: "&amp;L25&amp;". Основное осложнение: "&amp;M25&amp;IF(N25&lt;&gt;"","; сопутствующее: "&amp;N25,"")&amp;IF(O25&lt;&gt;"","; дополнительно: "&amp;O25,"")&amp;".")</f>
        <v/>
      </c>
    </row>
    <row r="26">
      <c r="A26" s="75" t="n"/>
      <c r="B26" s="75" t="n"/>
      <c r="C26" s="261" t="n"/>
      <c r="D26" s="261" t="n"/>
      <c r="E26" s="262">
        <f>IF(OR(C26="",D26=""),"",D26-C26)</f>
        <v/>
      </c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226">
        <f>IF(AND(A26="",B26=""),"",IF(AND(A26&lt;&gt;"",B26&lt;&gt;"",C26&lt;&gt;"",D26&lt;&gt;"",F26&lt;&gt;"",G26&lt;&gt;"",H26&lt;&gt;"",ISERROR(SEARCH("по паспорту",G26)),ISERROR(SEARCH("по паспорту",H26)),I26&lt;&gt;"",J26&lt;&gt;"",K26&lt;&gt;"",L26&lt;&gt;"",M26&lt;&gt;""),"ГОТОВО","НЕ ГОТОВО"))</f>
        <v/>
      </c>
      <c r="Z26" s="226">
        <f>IF(Y26&lt;&gt;"ГОТОВО","", "Предварительное заключение: "&amp;A26&amp;", скв. "&amp;B26&amp;". МРП: "&amp;E26&amp;" сут. ГНО: "&amp;F26&amp;", типоразмер "&amp;G26&amp;", марка "&amp;H26&amp;". Событие: "&amp;I26&amp;". Признак: "&amp;J26&amp;". Узел: "&amp;K26&amp;". Предварительная причина: "&amp;L26&amp;". Основное осложнение: "&amp;M26&amp;IF(N26&lt;&gt;"","; сопутствующее: "&amp;N26,"")&amp;IF(O26&lt;&gt;"","; дополнительно: "&amp;O26,"")&amp;".")</f>
        <v/>
      </c>
    </row>
    <row r="27">
      <c r="A27" s="75" t="n"/>
      <c r="B27" s="75" t="n"/>
      <c r="C27" s="261" t="n"/>
      <c r="D27" s="261" t="n"/>
      <c r="E27" s="262">
        <f>IF(OR(C27="",D27=""),"",D27-C27)</f>
        <v/>
      </c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226">
        <f>IF(AND(A27="",B27=""),"",IF(AND(A27&lt;&gt;"",B27&lt;&gt;"",C27&lt;&gt;"",D27&lt;&gt;"",F27&lt;&gt;"",G27&lt;&gt;"",H27&lt;&gt;"",ISERROR(SEARCH("по паспорту",G27)),ISERROR(SEARCH("по паспорту",H27)),I27&lt;&gt;"",J27&lt;&gt;"",K27&lt;&gt;"",L27&lt;&gt;"",M27&lt;&gt;""),"ГОТОВО","НЕ ГОТОВО"))</f>
        <v/>
      </c>
      <c r="Z27" s="226">
        <f>IF(Y27&lt;&gt;"ГОТОВО","", "Предварительное заключение: "&amp;A27&amp;", скв. "&amp;B27&amp;". МРП: "&amp;E27&amp;" сут. ГНО: "&amp;F27&amp;", типоразмер "&amp;G27&amp;", марка "&amp;H27&amp;". Событие: "&amp;I27&amp;". Признак: "&amp;J27&amp;". Узел: "&amp;K27&amp;". Предварительная причина: "&amp;L27&amp;". Основное осложнение: "&amp;M27&amp;IF(N27&lt;&gt;"","; сопутствующее: "&amp;N27,"")&amp;IF(O27&lt;&gt;"","; дополнительно: "&amp;O27,"")&amp;".")</f>
        <v/>
      </c>
    </row>
    <row r="28">
      <c r="A28" s="75" t="n"/>
      <c r="B28" s="75" t="n"/>
      <c r="C28" s="261" t="n"/>
      <c r="D28" s="261" t="n"/>
      <c r="E28" s="262">
        <f>IF(OR(C28="",D28=""),"",D28-C28)</f>
        <v/>
      </c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226">
        <f>IF(AND(A28="",B28=""),"",IF(AND(A28&lt;&gt;"",B28&lt;&gt;"",C28&lt;&gt;"",D28&lt;&gt;"",F28&lt;&gt;"",G28&lt;&gt;"",H28&lt;&gt;"",ISERROR(SEARCH("по паспорту",G28)),ISERROR(SEARCH("по паспорту",H28)),I28&lt;&gt;"",J28&lt;&gt;"",K28&lt;&gt;"",L28&lt;&gt;"",M28&lt;&gt;""),"ГОТОВО","НЕ ГОТОВО"))</f>
        <v/>
      </c>
      <c r="Z28" s="226">
        <f>IF(Y28&lt;&gt;"ГОТОВО","", "Предварительное заключение: "&amp;A28&amp;", скв. "&amp;B28&amp;". МРП: "&amp;E28&amp;" сут. ГНО: "&amp;F28&amp;", типоразмер "&amp;G28&amp;", марка "&amp;H28&amp;". Событие: "&amp;I28&amp;". Признак: "&amp;J28&amp;". Узел: "&amp;K28&amp;". Предварительная причина: "&amp;L28&amp;". Основное осложнение: "&amp;M28&amp;IF(N28&lt;&gt;"","; сопутствующее: "&amp;N28,"")&amp;IF(O28&lt;&gt;"","; дополнительно: "&amp;O28,"")&amp;".")</f>
        <v/>
      </c>
    </row>
    <row r="29">
      <c r="A29" s="75" t="n"/>
      <c r="B29" s="75" t="n"/>
      <c r="C29" s="261" t="n"/>
      <c r="D29" s="261" t="n"/>
      <c r="E29" s="262">
        <f>IF(OR(C29="",D29=""),"",D29-C29)</f>
        <v/>
      </c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226">
        <f>IF(AND(A29="",B29=""),"",IF(AND(A29&lt;&gt;"",B29&lt;&gt;"",C29&lt;&gt;"",D29&lt;&gt;"",F29&lt;&gt;"",G29&lt;&gt;"",H29&lt;&gt;"",ISERROR(SEARCH("по паспорту",G29)),ISERROR(SEARCH("по паспорту",H29)),I29&lt;&gt;"",J29&lt;&gt;"",K29&lt;&gt;"",L29&lt;&gt;"",M29&lt;&gt;""),"ГОТОВО","НЕ ГОТОВО"))</f>
        <v/>
      </c>
      <c r="Z29" s="226">
        <f>IF(Y29&lt;&gt;"ГОТОВО","", "Предварительное заключение: "&amp;A29&amp;", скв. "&amp;B29&amp;". МРП: "&amp;E29&amp;" сут. ГНО: "&amp;F29&amp;", типоразмер "&amp;G29&amp;", марка "&amp;H29&amp;". Событие: "&amp;I29&amp;". Признак: "&amp;J29&amp;". Узел: "&amp;K29&amp;". Предварительная причина: "&amp;L29&amp;". Основное осложнение: "&amp;M29&amp;IF(N29&lt;&gt;"","; сопутствующее: "&amp;N29,"")&amp;IF(O29&lt;&gt;"","; дополнительно: "&amp;O29,"")&amp;".")</f>
        <v/>
      </c>
    </row>
    <row r="30">
      <c r="A30" s="75" t="n"/>
      <c r="B30" s="75" t="n"/>
      <c r="C30" s="261" t="n"/>
      <c r="D30" s="261" t="n"/>
      <c r="E30" s="262">
        <f>IF(OR(C30="",D30=""),"",D30-C30)</f>
        <v/>
      </c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226">
        <f>IF(AND(A30="",B30=""),"",IF(AND(A30&lt;&gt;"",B30&lt;&gt;"",C30&lt;&gt;"",D30&lt;&gt;"",F30&lt;&gt;"",G30&lt;&gt;"",H30&lt;&gt;"",ISERROR(SEARCH("по паспорту",G30)),ISERROR(SEARCH("по паспорту",H30)),I30&lt;&gt;"",J30&lt;&gt;"",K30&lt;&gt;"",L30&lt;&gt;"",M30&lt;&gt;""),"ГОТОВО","НЕ ГОТОВО"))</f>
        <v/>
      </c>
      <c r="Z30" s="226">
        <f>IF(Y30&lt;&gt;"ГОТОВО","", "Предварительное заключение: "&amp;A30&amp;", скв. "&amp;B30&amp;". МРП: "&amp;E30&amp;" сут. ГНО: "&amp;F30&amp;", типоразмер "&amp;G30&amp;", марка "&amp;H30&amp;". Событие: "&amp;I30&amp;". Признак: "&amp;J30&amp;". Узел: "&amp;K30&amp;". Предварительная причина: "&amp;L30&amp;". Основное осложнение: "&amp;M30&amp;IF(N30&lt;&gt;"","; сопутствующее: "&amp;N30,"")&amp;IF(O30&lt;&gt;"","; дополнительно: "&amp;O30,"")&amp;".")</f>
        <v/>
      </c>
    </row>
    <row r="31">
      <c r="A31" s="75" t="n"/>
      <c r="B31" s="75" t="n"/>
      <c r="C31" s="261" t="n"/>
      <c r="D31" s="261" t="n"/>
      <c r="E31" s="262">
        <f>IF(OR(C31="",D31=""),"",D31-C31)</f>
        <v/>
      </c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226">
        <f>IF(AND(A31="",B31=""),"",IF(AND(A31&lt;&gt;"",B31&lt;&gt;"",C31&lt;&gt;"",D31&lt;&gt;"",F31&lt;&gt;"",G31&lt;&gt;"",H31&lt;&gt;"",ISERROR(SEARCH("по паспорту",G31)),ISERROR(SEARCH("по паспорту",H31)),I31&lt;&gt;"",J31&lt;&gt;"",K31&lt;&gt;"",L31&lt;&gt;"",M31&lt;&gt;""),"ГОТОВО","НЕ ГОТОВО"))</f>
        <v/>
      </c>
      <c r="Z31" s="226">
        <f>IF(Y31&lt;&gt;"ГОТОВО","", "Предварительное заключение: "&amp;A31&amp;", скв. "&amp;B31&amp;". МРП: "&amp;E31&amp;" сут. ГНО: "&amp;F31&amp;", типоразмер "&amp;G31&amp;", марка "&amp;H31&amp;". Событие: "&amp;I31&amp;". Признак: "&amp;J31&amp;". Узел: "&amp;K31&amp;". Предварительная причина: "&amp;L31&amp;". Основное осложнение: "&amp;M31&amp;IF(N31&lt;&gt;"","; сопутствующее: "&amp;N31,"")&amp;IF(O31&lt;&gt;"","; дополнительно: "&amp;O31,"")&amp;".")</f>
        <v/>
      </c>
    </row>
    <row r="32">
      <c r="A32" s="75" t="n"/>
      <c r="B32" s="75" t="n"/>
      <c r="C32" s="261" t="n"/>
      <c r="D32" s="261" t="n"/>
      <c r="E32" s="262">
        <f>IF(OR(C32="",D32=""),"",D32-C32)</f>
        <v/>
      </c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226">
        <f>IF(AND(A32="",B32=""),"",IF(AND(A32&lt;&gt;"",B32&lt;&gt;"",C32&lt;&gt;"",D32&lt;&gt;"",F32&lt;&gt;"",G32&lt;&gt;"",H32&lt;&gt;"",ISERROR(SEARCH("по паспорту",G32)),ISERROR(SEARCH("по паспорту",H32)),I32&lt;&gt;"",J32&lt;&gt;"",K32&lt;&gt;"",L32&lt;&gt;"",M32&lt;&gt;""),"ГОТОВО","НЕ ГОТОВО"))</f>
        <v/>
      </c>
      <c r="Z32" s="226">
        <f>IF(Y32&lt;&gt;"ГОТОВО","", "Предварительное заключение: "&amp;A32&amp;", скв. "&amp;B32&amp;". МРП: "&amp;E32&amp;" сут. ГНО: "&amp;F32&amp;", типоразмер "&amp;G32&amp;", марка "&amp;H32&amp;". Событие: "&amp;I32&amp;". Признак: "&amp;J32&amp;". Узел: "&amp;K32&amp;". Предварительная причина: "&amp;L32&amp;". Основное осложнение: "&amp;M32&amp;IF(N32&lt;&gt;"","; сопутствующее: "&amp;N32,"")&amp;IF(O32&lt;&gt;"","; дополнительно: "&amp;O32,"")&amp;".")</f>
        <v/>
      </c>
    </row>
    <row r="33">
      <c r="A33" s="75" t="n"/>
      <c r="B33" s="75" t="n"/>
      <c r="C33" s="261" t="n"/>
      <c r="D33" s="261" t="n"/>
      <c r="E33" s="262">
        <f>IF(OR(C33="",D33=""),"",D33-C33)</f>
        <v/>
      </c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226">
        <f>IF(AND(A33="",B33=""),"",IF(AND(A33&lt;&gt;"",B33&lt;&gt;"",C33&lt;&gt;"",D33&lt;&gt;"",F33&lt;&gt;"",G33&lt;&gt;"",H33&lt;&gt;"",ISERROR(SEARCH("по паспорту",G33)),ISERROR(SEARCH("по паспорту",H33)),I33&lt;&gt;"",J33&lt;&gt;"",K33&lt;&gt;"",L33&lt;&gt;"",M33&lt;&gt;""),"ГОТОВО","НЕ ГОТОВО"))</f>
        <v/>
      </c>
      <c r="Z33" s="226">
        <f>IF(Y33&lt;&gt;"ГОТОВО","", "Предварительное заключение: "&amp;A33&amp;", скв. "&amp;B33&amp;". МРП: "&amp;E33&amp;" сут. ГНО: "&amp;F33&amp;", типоразмер "&amp;G33&amp;", марка "&amp;H33&amp;". Событие: "&amp;I33&amp;". Признак: "&amp;J33&amp;". Узел: "&amp;K33&amp;". Предварительная причина: "&amp;L33&amp;". Основное осложнение: "&amp;M33&amp;IF(N33&lt;&gt;"","; сопутствующее: "&amp;N33,"")&amp;IF(O33&lt;&gt;"","; дополнительно: "&amp;O33,"")&amp;".")</f>
        <v/>
      </c>
    </row>
    <row r="34">
      <c r="A34" s="75" t="n"/>
      <c r="B34" s="75" t="n"/>
      <c r="C34" s="261" t="n"/>
      <c r="D34" s="261" t="n"/>
      <c r="E34" s="262">
        <f>IF(OR(C34="",D34=""),"",D34-C34)</f>
        <v/>
      </c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226">
        <f>IF(AND(A34="",B34=""),"",IF(AND(A34&lt;&gt;"",B34&lt;&gt;"",C34&lt;&gt;"",D34&lt;&gt;"",F34&lt;&gt;"",G34&lt;&gt;"",H34&lt;&gt;"",ISERROR(SEARCH("по паспорту",G34)),ISERROR(SEARCH("по паспорту",H34)),I34&lt;&gt;"",J34&lt;&gt;"",K34&lt;&gt;"",L34&lt;&gt;"",M34&lt;&gt;""),"ГОТОВО","НЕ ГОТОВО"))</f>
        <v/>
      </c>
      <c r="Z34" s="226">
        <f>IF(Y34&lt;&gt;"ГОТОВО","", "Предварительное заключение: "&amp;A34&amp;", скв. "&amp;B34&amp;". МРП: "&amp;E34&amp;" сут. ГНО: "&amp;F34&amp;", типоразмер "&amp;G34&amp;", марка "&amp;H34&amp;". Событие: "&amp;I34&amp;". Признак: "&amp;J34&amp;". Узел: "&amp;K34&amp;". Предварительная причина: "&amp;L34&amp;". Основное осложнение: "&amp;M34&amp;IF(N34&lt;&gt;"","; сопутствующее: "&amp;N34,"")&amp;IF(O34&lt;&gt;"","; дополнительно: "&amp;O34,"")&amp;".")</f>
        <v/>
      </c>
    </row>
    <row r="35">
      <c r="A35" s="75" t="n"/>
      <c r="B35" s="75" t="n"/>
      <c r="C35" s="261" t="n"/>
      <c r="D35" s="261" t="n"/>
      <c r="E35" s="262">
        <f>IF(OR(C35="",D35=""),"",D35-C35)</f>
        <v/>
      </c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226">
        <f>IF(AND(A35="",B35=""),"",IF(AND(A35&lt;&gt;"",B35&lt;&gt;"",C35&lt;&gt;"",D35&lt;&gt;"",F35&lt;&gt;"",G35&lt;&gt;"",H35&lt;&gt;"",ISERROR(SEARCH("по паспорту",G35)),ISERROR(SEARCH("по паспорту",H35)),I35&lt;&gt;"",J35&lt;&gt;"",K35&lt;&gt;"",L35&lt;&gt;"",M35&lt;&gt;""),"ГОТОВО","НЕ ГОТОВО"))</f>
        <v/>
      </c>
      <c r="Z35" s="226">
        <f>IF(Y35&lt;&gt;"ГОТОВО","", "Предварительное заключение: "&amp;A35&amp;", скв. "&amp;B35&amp;". МРП: "&amp;E35&amp;" сут. ГНО: "&amp;F35&amp;", типоразмер "&amp;G35&amp;", марка "&amp;H35&amp;". Событие: "&amp;I35&amp;". Признак: "&amp;J35&amp;". Узел: "&amp;K35&amp;". Предварительная причина: "&amp;L35&amp;". Основное осложнение: "&amp;M35&amp;IF(N35&lt;&gt;"","; сопутствующее: "&amp;N35,"")&amp;IF(O35&lt;&gt;"","; дополнительно: "&amp;O35,"")&amp;".")</f>
        <v/>
      </c>
    </row>
    <row r="36">
      <c r="A36" s="75" t="n"/>
      <c r="B36" s="75" t="n"/>
      <c r="C36" s="261" t="n"/>
      <c r="D36" s="261" t="n"/>
      <c r="E36" s="262">
        <f>IF(OR(C36="",D36=""),"",D36-C36)</f>
        <v/>
      </c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226">
        <f>IF(AND(A36="",B36=""),"",IF(AND(A36&lt;&gt;"",B36&lt;&gt;"",C36&lt;&gt;"",D36&lt;&gt;"",F36&lt;&gt;"",G36&lt;&gt;"",H36&lt;&gt;"",ISERROR(SEARCH("по паспорту",G36)),ISERROR(SEARCH("по паспорту",H36)),I36&lt;&gt;"",J36&lt;&gt;"",K36&lt;&gt;"",L36&lt;&gt;"",M36&lt;&gt;""),"ГОТОВО","НЕ ГОТОВО"))</f>
        <v/>
      </c>
      <c r="Z36" s="226">
        <f>IF(Y36&lt;&gt;"ГОТОВО","", "Предварительное заключение: "&amp;A36&amp;", скв. "&amp;B36&amp;". МРП: "&amp;E36&amp;" сут. ГНО: "&amp;F36&amp;", типоразмер "&amp;G36&amp;", марка "&amp;H36&amp;". Событие: "&amp;I36&amp;". Признак: "&amp;J36&amp;". Узел: "&amp;K36&amp;". Предварительная причина: "&amp;L36&amp;". Основное осложнение: "&amp;M36&amp;IF(N36&lt;&gt;"","; сопутствующее: "&amp;N36,"")&amp;IF(O36&lt;&gt;"","; дополнительно: "&amp;O36,"")&amp;".")</f>
        <v/>
      </c>
    </row>
    <row r="37">
      <c r="A37" s="75" t="n"/>
      <c r="B37" s="75" t="n"/>
      <c r="C37" s="261" t="n"/>
      <c r="D37" s="261" t="n"/>
      <c r="E37" s="262">
        <f>IF(OR(C37="",D37=""),"",D37-C37)</f>
        <v/>
      </c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226">
        <f>IF(AND(A37="",B37=""),"",IF(AND(A37&lt;&gt;"",B37&lt;&gt;"",C37&lt;&gt;"",D37&lt;&gt;"",F37&lt;&gt;"",G37&lt;&gt;"",H37&lt;&gt;"",ISERROR(SEARCH("по паспорту",G37)),ISERROR(SEARCH("по паспорту",H37)),I37&lt;&gt;"",J37&lt;&gt;"",K37&lt;&gt;"",L37&lt;&gt;"",M37&lt;&gt;""),"ГОТОВО","НЕ ГОТОВО"))</f>
        <v/>
      </c>
      <c r="Z37" s="226">
        <f>IF(Y37&lt;&gt;"ГОТОВО","", "Предварительное заключение: "&amp;A37&amp;", скв. "&amp;B37&amp;". МРП: "&amp;E37&amp;" сут. ГНО: "&amp;F37&amp;", типоразмер "&amp;G37&amp;", марка "&amp;H37&amp;". Событие: "&amp;I37&amp;". Признак: "&amp;J37&amp;". Узел: "&amp;K37&amp;". Предварительная причина: "&amp;L37&amp;". Основное осложнение: "&amp;M37&amp;IF(N37&lt;&gt;"","; сопутствующее: "&amp;N37,"")&amp;IF(O37&lt;&gt;"","; дополнительно: "&amp;O37,"")&amp;".")</f>
        <v/>
      </c>
    </row>
    <row r="38">
      <c r="A38" s="75" t="n"/>
      <c r="B38" s="75" t="n"/>
      <c r="C38" s="261" t="n"/>
      <c r="D38" s="261" t="n"/>
      <c r="E38" s="262">
        <f>IF(OR(C38="",D38=""),"",D38-C38)</f>
        <v/>
      </c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226">
        <f>IF(AND(A38="",B38=""),"",IF(AND(A38&lt;&gt;"",B38&lt;&gt;"",C38&lt;&gt;"",D38&lt;&gt;"",F38&lt;&gt;"",G38&lt;&gt;"",H38&lt;&gt;"",ISERROR(SEARCH("по паспорту",G38)),ISERROR(SEARCH("по паспорту",H38)),I38&lt;&gt;"",J38&lt;&gt;"",K38&lt;&gt;"",L38&lt;&gt;"",M38&lt;&gt;""),"ГОТОВО","НЕ ГОТОВО"))</f>
        <v/>
      </c>
      <c r="Z38" s="226">
        <f>IF(Y38&lt;&gt;"ГОТОВО","", "Предварительное заключение: "&amp;A38&amp;", скв. "&amp;B38&amp;". МРП: "&amp;E38&amp;" сут. ГНО: "&amp;F38&amp;", типоразмер "&amp;G38&amp;", марка "&amp;H38&amp;". Событие: "&amp;I38&amp;". Признак: "&amp;J38&amp;". Узел: "&amp;K38&amp;". Предварительная причина: "&amp;L38&amp;". Основное осложнение: "&amp;M38&amp;IF(N38&lt;&gt;"","; сопутствующее: "&amp;N38,"")&amp;IF(O38&lt;&gt;"","; дополнительно: "&amp;O38,"")&amp;".")</f>
        <v/>
      </c>
    </row>
    <row r="39">
      <c r="A39" s="75" t="n"/>
      <c r="B39" s="75" t="n"/>
      <c r="C39" s="261" t="n"/>
      <c r="D39" s="261" t="n"/>
      <c r="E39" s="262">
        <f>IF(OR(C39="",D39=""),"",D39-C39)</f>
        <v/>
      </c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226">
        <f>IF(AND(A39="",B39=""),"",IF(AND(A39&lt;&gt;"",B39&lt;&gt;"",C39&lt;&gt;"",D39&lt;&gt;"",F39&lt;&gt;"",G39&lt;&gt;"",H39&lt;&gt;"",ISERROR(SEARCH("по паспорту",G39)),ISERROR(SEARCH("по паспорту",H39)),I39&lt;&gt;"",J39&lt;&gt;"",K39&lt;&gt;"",L39&lt;&gt;"",M39&lt;&gt;""),"ГОТОВО","НЕ ГОТОВО"))</f>
        <v/>
      </c>
      <c r="Z39" s="226">
        <f>IF(Y39&lt;&gt;"ГОТОВО","", "Предварительное заключение: "&amp;A39&amp;", скв. "&amp;B39&amp;". МРП: "&amp;E39&amp;" сут. ГНО: "&amp;F39&amp;", типоразмер "&amp;G39&amp;", марка "&amp;H39&amp;". Событие: "&amp;I39&amp;". Признак: "&amp;J39&amp;". Узел: "&amp;K39&amp;". Предварительная причина: "&amp;L39&amp;". Основное осложнение: "&amp;M39&amp;IF(N39&lt;&gt;"","; сопутствующее: "&amp;N39,"")&amp;IF(O39&lt;&gt;"","; дополнительно: "&amp;O39,"")&amp;".")</f>
        <v/>
      </c>
    </row>
    <row r="40">
      <c r="A40" s="75" t="n"/>
      <c r="B40" s="75" t="n"/>
      <c r="C40" s="261" t="n"/>
      <c r="D40" s="261" t="n"/>
      <c r="E40" s="262">
        <f>IF(OR(C40="",D40=""),"",D40-C40)</f>
        <v/>
      </c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226">
        <f>IF(AND(A40="",B40=""),"",IF(AND(A40&lt;&gt;"",B40&lt;&gt;"",C40&lt;&gt;"",D40&lt;&gt;"",F40&lt;&gt;"",G40&lt;&gt;"",H40&lt;&gt;"",ISERROR(SEARCH("по паспорту",G40)),ISERROR(SEARCH("по паспорту",H40)),I40&lt;&gt;"",J40&lt;&gt;"",K40&lt;&gt;"",L40&lt;&gt;"",M40&lt;&gt;""),"ГОТОВО","НЕ ГОТОВО"))</f>
        <v/>
      </c>
      <c r="Z40" s="226">
        <f>IF(Y40&lt;&gt;"ГОТОВО","", "Предварительное заключение: "&amp;A40&amp;", скв. "&amp;B40&amp;". МРП: "&amp;E40&amp;" сут. ГНО: "&amp;F40&amp;", типоразмер "&amp;G40&amp;", марка "&amp;H40&amp;". Событие: "&amp;I40&amp;". Признак: "&amp;J40&amp;". Узел: "&amp;K40&amp;". Предварительная причина: "&amp;L40&amp;". Основное осложнение: "&amp;M40&amp;IF(N40&lt;&gt;"","; сопутствующее: "&amp;N40,"")&amp;IF(O40&lt;&gt;"","; дополнительно: "&amp;O40,"")&amp;".")</f>
        <v/>
      </c>
    </row>
    <row r="41">
      <c r="A41" s="75" t="n"/>
      <c r="B41" s="75" t="n"/>
      <c r="C41" s="261" t="n"/>
      <c r="D41" s="261" t="n"/>
      <c r="E41" s="262">
        <f>IF(OR(C41="",D41=""),"",D41-C41)</f>
        <v/>
      </c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226">
        <f>IF(AND(A41="",B41=""),"",IF(AND(A41&lt;&gt;"",B41&lt;&gt;"",C41&lt;&gt;"",D41&lt;&gt;"",F41&lt;&gt;"",G41&lt;&gt;"",H41&lt;&gt;"",ISERROR(SEARCH("по паспорту",G41)),ISERROR(SEARCH("по паспорту",H41)),I41&lt;&gt;"",J41&lt;&gt;"",K41&lt;&gt;"",L41&lt;&gt;"",M41&lt;&gt;""),"ГОТОВО","НЕ ГОТОВО"))</f>
        <v/>
      </c>
      <c r="Z41" s="226">
        <f>IF(Y41&lt;&gt;"ГОТОВО","", "Предварительное заключение: "&amp;A41&amp;", скв. "&amp;B41&amp;". МРП: "&amp;E41&amp;" сут. ГНО: "&amp;F41&amp;", типоразмер "&amp;G41&amp;", марка "&amp;H41&amp;". Событие: "&amp;I41&amp;". Признак: "&amp;J41&amp;". Узел: "&amp;K41&amp;". Предварительная причина: "&amp;L41&amp;". Основное осложнение: "&amp;M41&amp;IF(N41&lt;&gt;"","; сопутствующее: "&amp;N41,"")&amp;IF(O41&lt;&gt;"","; дополнительно: "&amp;O41,"")&amp;".")</f>
        <v/>
      </c>
    </row>
    <row r="42">
      <c r="A42" s="75" t="n"/>
      <c r="B42" s="75" t="n"/>
      <c r="C42" s="261" t="n"/>
      <c r="D42" s="261" t="n"/>
      <c r="E42" s="262">
        <f>IF(OR(C42="",D42=""),"",D42-C42)</f>
        <v/>
      </c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226">
        <f>IF(AND(A42="",B42=""),"",IF(AND(A42&lt;&gt;"",B42&lt;&gt;"",C42&lt;&gt;"",D42&lt;&gt;"",F42&lt;&gt;"",G42&lt;&gt;"",H42&lt;&gt;"",ISERROR(SEARCH("по паспорту",G42)),ISERROR(SEARCH("по паспорту",H42)),I42&lt;&gt;"",J42&lt;&gt;"",K42&lt;&gt;"",L42&lt;&gt;"",M42&lt;&gt;""),"ГОТОВО","НЕ ГОТОВО"))</f>
        <v/>
      </c>
      <c r="Z42" s="226">
        <f>IF(Y42&lt;&gt;"ГОТОВО","", "Предварительное заключение: "&amp;A42&amp;", скв. "&amp;B42&amp;". МРП: "&amp;E42&amp;" сут. ГНО: "&amp;F42&amp;", типоразмер "&amp;G42&amp;", марка "&amp;H42&amp;". Событие: "&amp;I42&amp;". Признак: "&amp;J42&amp;". Узел: "&amp;K42&amp;". Предварительная причина: "&amp;L42&amp;". Основное осложнение: "&amp;M42&amp;IF(N42&lt;&gt;"","; сопутствующее: "&amp;N42,"")&amp;IF(O42&lt;&gt;"","; дополнительно: "&amp;O42,"")&amp;".")</f>
        <v/>
      </c>
    </row>
    <row r="43">
      <c r="A43" s="75" t="n"/>
      <c r="B43" s="75" t="n"/>
      <c r="C43" s="261" t="n"/>
      <c r="D43" s="261" t="n"/>
      <c r="E43" s="262">
        <f>IF(OR(C43="",D43=""),"",D43-C43)</f>
        <v/>
      </c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226">
        <f>IF(AND(A43="",B43=""),"",IF(AND(A43&lt;&gt;"",B43&lt;&gt;"",C43&lt;&gt;"",D43&lt;&gt;"",F43&lt;&gt;"",G43&lt;&gt;"",H43&lt;&gt;"",ISERROR(SEARCH("по паспорту",G43)),ISERROR(SEARCH("по паспорту",H43)),I43&lt;&gt;"",J43&lt;&gt;"",K43&lt;&gt;"",L43&lt;&gt;"",M43&lt;&gt;""),"ГОТОВО","НЕ ГОТОВО"))</f>
        <v/>
      </c>
      <c r="Z43" s="226">
        <f>IF(Y43&lt;&gt;"ГОТОВО","", "Предварительное заключение: "&amp;A43&amp;", скв. "&amp;B43&amp;". МРП: "&amp;E43&amp;" сут. ГНО: "&amp;F43&amp;", типоразмер "&amp;G43&amp;", марка "&amp;H43&amp;". Событие: "&amp;I43&amp;". Признак: "&amp;J43&amp;". Узел: "&amp;K43&amp;". Предварительная причина: "&amp;L43&amp;". Основное осложнение: "&amp;M43&amp;IF(N43&lt;&gt;"","; сопутствующее: "&amp;N43,"")&amp;IF(O43&lt;&gt;"","; дополнительно: "&amp;O43,"")&amp;".")</f>
        <v/>
      </c>
    </row>
    <row r="44">
      <c r="A44" s="75" t="n"/>
      <c r="B44" s="75" t="n"/>
      <c r="C44" s="261" t="n"/>
      <c r="D44" s="261" t="n"/>
      <c r="E44" s="262">
        <f>IF(OR(C44="",D44=""),"",D44-C44)</f>
        <v/>
      </c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226">
        <f>IF(AND(A44="",B44=""),"",IF(AND(A44&lt;&gt;"",B44&lt;&gt;"",C44&lt;&gt;"",D44&lt;&gt;"",F44&lt;&gt;"",G44&lt;&gt;"",H44&lt;&gt;"",ISERROR(SEARCH("по паспорту",G44)),ISERROR(SEARCH("по паспорту",H44)),I44&lt;&gt;"",J44&lt;&gt;"",K44&lt;&gt;"",L44&lt;&gt;"",M44&lt;&gt;""),"ГОТОВО","НЕ ГОТОВО"))</f>
        <v/>
      </c>
      <c r="Z44" s="226">
        <f>IF(Y44&lt;&gt;"ГОТОВО","", "Предварительное заключение: "&amp;A44&amp;", скв. "&amp;B44&amp;". МРП: "&amp;E44&amp;" сут. ГНО: "&amp;F44&amp;", типоразмер "&amp;G44&amp;", марка "&amp;H44&amp;". Событие: "&amp;I44&amp;". Признак: "&amp;J44&amp;". Узел: "&amp;K44&amp;". Предварительная причина: "&amp;L44&amp;". Основное осложнение: "&amp;M44&amp;IF(N44&lt;&gt;"","; сопутствующее: "&amp;N44,"")&amp;IF(O44&lt;&gt;"","; дополнительно: "&amp;O44,"")&amp;".")</f>
        <v/>
      </c>
    </row>
    <row r="45">
      <c r="A45" s="75" t="n"/>
      <c r="B45" s="75" t="n"/>
      <c r="C45" s="261" t="n"/>
      <c r="D45" s="261" t="n"/>
      <c r="E45" s="262">
        <f>IF(OR(C45="",D45=""),"",D45-C45)</f>
        <v/>
      </c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226">
        <f>IF(AND(A45="",B45=""),"",IF(AND(A45&lt;&gt;"",B45&lt;&gt;"",C45&lt;&gt;"",D45&lt;&gt;"",F45&lt;&gt;"",G45&lt;&gt;"",H45&lt;&gt;"",ISERROR(SEARCH("по паспорту",G45)),ISERROR(SEARCH("по паспорту",H45)),I45&lt;&gt;"",J45&lt;&gt;"",K45&lt;&gt;"",L45&lt;&gt;"",M45&lt;&gt;""),"ГОТОВО","НЕ ГОТОВО"))</f>
        <v/>
      </c>
      <c r="Z45" s="226">
        <f>IF(Y45&lt;&gt;"ГОТОВО","", "Предварительное заключение: "&amp;A45&amp;", скв. "&amp;B45&amp;". МРП: "&amp;E45&amp;" сут. ГНО: "&amp;F45&amp;", типоразмер "&amp;G45&amp;", марка "&amp;H45&amp;". Событие: "&amp;I45&amp;". Признак: "&amp;J45&amp;". Узел: "&amp;K45&amp;". Предварительная причина: "&amp;L45&amp;". Основное осложнение: "&amp;M45&amp;IF(N45&lt;&gt;"","; сопутствующее: "&amp;N45,"")&amp;IF(O45&lt;&gt;"","; дополнительно: "&amp;O45,"")&amp;".")</f>
        <v/>
      </c>
    </row>
    <row r="46">
      <c r="A46" s="75" t="n"/>
      <c r="B46" s="75" t="n"/>
      <c r="C46" s="261" t="n"/>
      <c r="D46" s="261" t="n"/>
      <c r="E46" s="262">
        <f>IF(OR(C46="",D46=""),"",D46-C46)</f>
        <v/>
      </c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226">
        <f>IF(AND(A46="",B46=""),"",IF(AND(A46&lt;&gt;"",B46&lt;&gt;"",C46&lt;&gt;"",D46&lt;&gt;"",F46&lt;&gt;"",G46&lt;&gt;"",H46&lt;&gt;"",ISERROR(SEARCH("по паспорту",G46)),ISERROR(SEARCH("по паспорту",H46)),I46&lt;&gt;"",J46&lt;&gt;"",K46&lt;&gt;"",L46&lt;&gt;"",M46&lt;&gt;""),"ГОТОВО","НЕ ГОТОВО"))</f>
        <v/>
      </c>
      <c r="Z46" s="226">
        <f>IF(Y46&lt;&gt;"ГОТОВО","", "Предварительное заключение: "&amp;A46&amp;", скв. "&amp;B46&amp;". МРП: "&amp;E46&amp;" сут. ГНО: "&amp;F46&amp;", типоразмер "&amp;G46&amp;", марка "&amp;H46&amp;". Событие: "&amp;I46&amp;". Признак: "&amp;J46&amp;". Узел: "&amp;K46&amp;". Предварительная причина: "&amp;L46&amp;". Основное осложнение: "&amp;M46&amp;IF(N46&lt;&gt;"","; сопутствующее: "&amp;N46,"")&amp;IF(O46&lt;&gt;"","; дополнительно: "&amp;O46,"")&amp;".")</f>
        <v/>
      </c>
    </row>
    <row r="47">
      <c r="A47" s="75" t="n"/>
      <c r="B47" s="75" t="n"/>
      <c r="C47" s="261" t="n"/>
      <c r="D47" s="261" t="n"/>
      <c r="E47" s="262">
        <f>IF(OR(C47="",D47=""),"",D47-C47)</f>
        <v/>
      </c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226">
        <f>IF(AND(A47="",B47=""),"",IF(AND(A47&lt;&gt;"",B47&lt;&gt;"",C47&lt;&gt;"",D47&lt;&gt;"",F47&lt;&gt;"",G47&lt;&gt;"",H47&lt;&gt;"",ISERROR(SEARCH("по паспорту",G47)),ISERROR(SEARCH("по паспорту",H47)),I47&lt;&gt;"",J47&lt;&gt;"",K47&lt;&gt;"",L47&lt;&gt;"",M47&lt;&gt;""),"ГОТОВО","НЕ ГОТОВО"))</f>
        <v/>
      </c>
      <c r="Z47" s="226">
        <f>IF(Y47&lt;&gt;"ГОТОВО","", "Предварительное заключение: "&amp;A47&amp;", скв. "&amp;B47&amp;". МРП: "&amp;E47&amp;" сут. ГНО: "&amp;F47&amp;", типоразмер "&amp;G47&amp;", марка "&amp;H47&amp;". Событие: "&amp;I47&amp;". Признак: "&amp;J47&amp;". Узел: "&amp;K47&amp;". Предварительная причина: "&amp;L47&amp;". Основное осложнение: "&amp;M47&amp;IF(N47&lt;&gt;"","; сопутствующее: "&amp;N47,"")&amp;IF(O47&lt;&gt;"","; дополнительно: "&amp;O47,"")&amp;".")</f>
        <v/>
      </c>
    </row>
    <row r="48">
      <c r="A48" s="75" t="n"/>
      <c r="B48" s="75" t="n"/>
      <c r="C48" s="261" t="n"/>
      <c r="D48" s="261" t="n"/>
      <c r="E48" s="262">
        <f>IF(OR(C48="",D48=""),"",D48-C48)</f>
        <v/>
      </c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226">
        <f>IF(AND(A48="",B48=""),"",IF(AND(A48&lt;&gt;"",B48&lt;&gt;"",C48&lt;&gt;"",D48&lt;&gt;"",F48&lt;&gt;"",G48&lt;&gt;"",H48&lt;&gt;"",ISERROR(SEARCH("по паспорту",G48)),ISERROR(SEARCH("по паспорту",H48)),I48&lt;&gt;"",J48&lt;&gt;"",K48&lt;&gt;"",L48&lt;&gt;"",M48&lt;&gt;""),"ГОТОВО","НЕ ГОТОВО"))</f>
        <v/>
      </c>
      <c r="Z48" s="226">
        <f>IF(Y48&lt;&gt;"ГОТОВО","", "Предварительное заключение: "&amp;A48&amp;", скв. "&amp;B48&amp;". МРП: "&amp;E48&amp;" сут. ГНО: "&amp;F48&amp;", типоразмер "&amp;G48&amp;", марка "&amp;H48&amp;". Событие: "&amp;I48&amp;". Признак: "&amp;J48&amp;". Узел: "&amp;K48&amp;". Предварительная причина: "&amp;L48&amp;". Основное осложнение: "&amp;M48&amp;IF(N48&lt;&gt;"","; сопутствующее: "&amp;N48,"")&amp;IF(O48&lt;&gt;"","; дополнительно: "&amp;O48,"")&amp;".")</f>
        <v/>
      </c>
    </row>
    <row r="49">
      <c r="A49" s="75" t="n"/>
      <c r="B49" s="75" t="n"/>
      <c r="C49" s="261" t="n"/>
      <c r="D49" s="261" t="n"/>
      <c r="E49" s="262">
        <f>IF(OR(C49="",D49=""),"",D49-C49)</f>
        <v/>
      </c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226">
        <f>IF(AND(A49="",B49=""),"",IF(AND(A49&lt;&gt;"",B49&lt;&gt;"",C49&lt;&gt;"",D49&lt;&gt;"",F49&lt;&gt;"",G49&lt;&gt;"",H49&lt;&gt;"",ISERROR(SEARCH("по паспорту",G49)),ISERROR(SEARCH("по паспорту",H49)),I49&lt;&gt;"",J49&lt;&gt;"",K49&lt;&gt;"",L49&lt;&gt;"",M49&lt;&gt;""),"ГОТОВО","НЕ ГОТОВО"))</f>
        <v/>
      </c>
      <c r="Z49" s="226">
        <f>IF(Y49&lt;&gt;"ГОТОВО","", "Предварительное заключение: "&amp;A49&amp;", скв. "&amp;B49&amp;". МРП: "&amp;E49&amp;" сут. ГНО: "&amp;F49&amp;", типоразмер "&amp;G49&amp;", марка "&amp;H49&amp;". Событие: "&amp;I49&amp;". Признак: "&amp;J49&amp;". Узел: "&amp;K49&amp;". Предварительная причина: "&amp;L49&amp;". Основное осложнение: "&amp;M49&amp;IF(N49&lt;&gt;"","; сопутствующее: "&amp;N49,"")&amp;IF(O49&lt;&gt;"","; дополнительно: "&amp;O49,"")&amp;".")</f>
        <v/>
      </c>
    </row>
    <row r="50">
      <c r="A50" s="75" t="n"/>
      <c r="B50" s="75" t="n"/>
      <c r="C50" s="261" t="n"/>
      <c r="D50" s="261" t="n"/>
      <c r="E50" s="262">
        <f>IF(OR(C50="",D50=""),"",D50-C50)</f>
        <v/>
      </c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226">
        <f>IF(AND(A50="",B50=""),"",IF(AND(A50&lt;&gt;"",B50&lt;&gt;"",C50&lt;&gt;"",D50&lt;&gt;"",F50&lt;&gt;"",G50&lt;&gt;"",H50&lt;&gt;"",ISERROR(SEARCH("по паспорту",G50)),ISERROR(SEARCH("по паспорту",H50)),I50&lt;&gt;"",J50&lt;&gt;"",K50&lt;&gt;"",L50&lt;&gt;"",M50&lt;&gt;""),"ГОТОВО","НЕ ГОТОВО"))</f>
        <v/>
      </c>
      <c r="Z50" s="226">
        <f>IF(Y50&lt;&gt;"ГОТОВО","", "Предварительное заключение: "&amp;A50&amp;", скв. "&amp;B50&amp;". МРП: "&amp;E50&amp;" сут. ГНО: "&amp;F50&amp;", типоразмер "&amp;G50&amp;", марка "&amp;H50&amp;". Событие: "&amp;I50&amp;". Признак: "&amp;J50&amp;". Узел: "&amp;K50&amp;". Предварительная причина: "&amp;L50&amp;". Основное осложнение: "&amp;M50&amp;IF(N50&lt;&gt;"","; сопутствующее: "&amp;N50,"")&amp;IF(O50&lt;&gt;"","; дополнительно: "&amp;O50,"")&amp;".")</f>
        <v/>
      </c>
    </row>
    <row r="51">
      <c r="A51" s="75" t="n"/>
      <c r="B51" s="75" t="n"/>
      <c r="C51" s="261" t="n"/>
      <c r="D51" s="261" t="n"/>
      <c r="E51" s="262">
        <f>IF(OR(C51="",D51=""),"",D51-C51)</f>
        <v/>
      </c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226">
        <f>IF(AND(A51="",B51=""),"",IF(AND(A51&lt;&gt;"",B51&lt;&gt;"",C51&lt;&gt;"",D51&lt;&gt;"",F51&lt;&gt;"",G51&lt;&gt;"",H51&lt;&gt;"",ISERROR(SEARCH("по паспорту",G51)),ISERROR(SEARCH("по паспорту",H51)),I51&lt;&gt;"",J51&lt;&gt;"",K51&lt;&gt;"",L51&lt;&gt;"",M51&lt;&gt;""),"ГОТОВО","НЕ ГОТОВО"))</f>
        <v/>
      </c>
      <c r="Z51" s="226">
        <f>IF(Y51&lt;&gt;"ГОТОВО","", "Предварительное заключение: "&amp;A51&amp;", скв. "&amp;B51&amp;". МРП: "&amp;E51&amp;" сут. ГНО: "&amp;F51&amp;", типоразмер "&amp;G51&amp;", марка "&amp;H51&amp;". Событие: "&amp;I51&amp;". Признак: "&amp;J51&amp;". Узел: "&amp;K51&amp;". Предварительная причина: "&amp;L51&amp;". Основное осложнение: "&amp;M51&amp;IF(N51&lt;&gt;"","; сопутствующее: "&amp;N51,"")&amp;IF(O51&lt;&gt;"","; дополнительно: "&amp;O51,"")&amp;".")</f>
        <v/>
      </c>
    </row>
    <row r="52">
      <c r="A52" s="75" t="n"/>
      <c r="B52" s="75" t="n"/>
      <c r="C52" s="261" t="n"/>
      <c r="D52" s="261" t="n"/>
      <c r="E52" s="262">
        <f>IF(OR(C52="",D52=""),"",D52-C52)</f>
        <v/>
      </c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226">
        <f>IF(AND(A52="",B52=""),"",IF(AND(A52&lt;&gt;"",B52&lt;&gt;"",C52&lt;&gt;"",D52&lt;&gt;"",F52&lt;&gt;"",G52&lt;&gt;"",H52&lt;&gt;"",ISERROR(SEARCH("по паспорту",G52)),ISERROR(SEARCH("по паспорту",H52)),I52&lt;&gt;"",J52&lt;&gt;"",K52&lt;&gt;"",L52&lt;&gt;"",M52&lt;&gt;""),"ГОТОВО","НЕ ГОТОВО"))</f>
        <v/>
      </c>
      <c r="Z52" s="226">
        <f>IF(Y52&lt;&gt;"ГОТОВО","", "Предварительное заключение: "&amp;A52&amp;", скв. "&amp;B52&amp;". МРП: "&amp;E52&amp;" сут. ГНО: "&amp;F52&amp;", типоразмер "&amp;G52&amp;", марка "&amp;H52&amp;". Событие: "&amp;I52&amp;". Признак: "&amp;J52&amp;". Узел: "&amp;K52&amp;". Предварительная причина: "&amp;L52&amp;". Основное осложнение: "&amp;M52&amp;IF(N52&lt;&gt;"","; сопутствующее: "&amp;N52,"")&amp;IF(O52&lt;&gt;"","; дополнительно: "&amp;O52,"")&amp;".")</f>
        <v/>
      </c>
    </row>
    <row r="53">
      <c r="A53" s="75" t="n"/>
      <c r="B53" s="75" t="n"/>
      <c r="C53" s="261" t="n"/>
      <c r="D53" s="261" t="n"/>
      <c r="E53" s="262">
        <f>IF(OR(C53="",D53=""),"",D53-C53)</f>
        <v/>
      </c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226">
        <f>IF(AND(A53="",B53=""),"",IF(AND(A53&lt;&gt;"",B53&lt;&gt;"",C53&lt;&gt;"",D53&lt;&gt;"",F53&lt;&gt;"",G53&lt;&gt;"",H53&lt;&gt;"",ISERROR(SEARCH("по паспорту",G53)),ISERROR(SEARCH("по паспорту",H53)),I53&lt;&gt;"",J53&lt;&gt;"",K53&lt;&gt;"",L53&lt;&gt;"",M53&lt;&gt;""),"ГОТОВО","НЕ ГОТОВО"))</f>
        <v/>
      </c>
      <c r="Z53" s="226">
        <f>IF(Y53&lt;&gt;"ГОТОВО","", "Предварительное заключение: "&amp;A53&amp;", скв. "&amp;B53&amp;". МРП: "&amp;E53&amp;" сут. ГНО: "&amp;F53&amp;", типоразмер "&amp;G53&amp;", марка "&amp;H53&amp;". Событие: "&amp;I53&amp;". Признак: "&amp;J53&amp;". Узел: "&amp;K53&amp;". Предварительная причина: "&amp;L53&amp;". Основное осложнение: "&amp;M53&amp;IF(N53&lt;&gt;"","; сопутствующее: "&amp;N53,"")&amp;IF(O53&lt;&gt;"","; дополнительно: "&amp;O53,"")&amp;".")</f>
        <v/>
      </c>
    </row>
    <row r="54">
      <c r="A54" s="75" t="n"/>
      <c r="B54" s="75" t="n"/>
      <c r="C54" s="261" t="n"/>
      <c r="D54" s="261" t="n"/>
      <c r="E54" s="262">
        <f>IF(OR(C54="",D54=""),"",D54-C54)</f>
        <v/>
      </c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226">
        <f>IF(AND(A54="",B54=""),"",IF(AND(A54&lt;&gt;"",B54&lt;&gt;"",C54&lt;&gt;"",D54&lt;&gt;"",F54&lt;&gt;"",G54&lt;&gt;"",H54&lt;&gt;"",ISERROR(SEARCH("по паспорту",G54)),ISERROR(SEARCH("по паспорту",H54)),I54&lt;&gt;"",J54&lt;&gt;"",K54&lt;&gt;"",L54&lt;&gt;"",M54&lt;&gt;""),"ГОТОВО","НЕ ГОТОВО"))</f>
        <v/>
      </c>
      <c r="Z54" s="226">
        <f>IF(Y54&lt;&gt;"ГОТОВО","", "Предварительное заключение: "&amp;A54&amp;", скв. "&amp;B54&amp;". МРП: "&amp;E54&amp;" сут. ГНО: "&amp;F54&amp;", типоразмер "&amp;G54&amp;", марка "&amp;H54&amp;". Событие: "&amp;I54&amp;". Признак: "&amp;J54&amp;". Узел: "&amp;K54&amp;". Предварительная причина: "&amp;L54&amp;". Основное осложнение: "&amp;M54&amp;IF(N54&lt;&gt;"","; сопутствующее: "&amp;N54,"")&amp;IF(O54&lt;&gt;"","; дополнительно: "&amp;O54,"")&amp;".")</f>
        <v/>
      </c>
    </row>
    <row r="55">
      <c r="A55" s="75" t="n"/>
      <c r="B55" s="75" t="n"/>
      <c r="C55" s="261" t="n"/>
      <c r="D55" s="261" t="n"/>
      <c r="E55" s="262">
        <f>IF(OR(C55="",D55=""),"",D55-C55)</f>
        <v/>
      </c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226">
        <f>IF(AND(A55="",B55=""),"",IF(AND(A55&lt;&gt;"",B55&lt;&gt;"",C55&lt;&gt;"",D55&lt;&gt;"",F55&lt;&gt;"",G55&lt;&gt;"",H55&lt;&gt;"",ISERROR(SEARCH("по паспорту",G55)),ISERROR(SEARCH("по паспорту",H55)),I55&lt;&gt;"",J55&lt;&gt;"",K55&lt;&gt;"",L55&lt;&gt;"",M55&lt;&gt;""),"ГОТОВО","НЕ ГОТОВО"))</f>
        <v/>
      </c>
      <c r="Z55" s="226">
        <f>IF(Y55&lt;&gt;"ГОТОВО","", "Предварительное заключение: "&amp;A55&amp;", скв. "&amp;B55&amp;". МРП: "&amp;E55&amp;" сут. ГНО: "&amp;F55&amp;", типоразмер "&amp;G55&amp;", марка "&amp;H55&amp;". Событие: "&amp;I55&amp;". Признак: "&amp;J55&amp;". Узел: "&amp;K55&amp;". Предварительная причина: "&amp;L55&amp;". Основное осложнение: "&amp;M55&amp;IF(N55&lt;&gt;"","; сопутствующее: "&amp;N55,"")&amp;IF(O55&lt;&gt;"","; дополнительно: "&amp;O55,"")&amp;".")</f>
        <v/>
      </c>
    </row>
    <row r="56">
      <c r="A56" s="75" t="n"/>
      <c r="B56" s="75" t="n"/>
      <c r="C56" s="261" t="n"/>
      <c r="D56" s="261" t="n"/>
      <c r="E56" s="262">
        <f>IF(OR(C56="",D56=""),"",D56-C56)</f>
        <v/>
      </c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226">
        <f>IF(AND(A56="",B56=""),"",IF(AND(A56&lt;&gt;"",B56&lt;&gt;"",C56&lt;&gt;"",D56&lt;&gt;"",F56&lt;&gt;"",G56&lt;&gt;"",H56&lt;&gt;"",ISERROR(SEARCH("по паспорту",G56)),ISERROR(SEARCH("по паспорту",H56)),I56&lt;&gt;"",J56&lt;&gt;"",K56&lt;&gt;"",L56&lt;&gt;"",M56&lt;&gt;""),"ГОТОВО","НЕ ГОТОВО"))</f>
        <v/>
      </c>
      <c r="Z56" s="226">
        <f>IF(Y56&lt;&gt;"ГОТОВО","", "Предварительное заключение: "&amp;A56&amp;", скв. "&amp;B56&amp;". МРП: "&amp;E56&amp;" сут. ГНО: "&amp;F56&amp;", типоразмер "&amp;G56&amp;", марка "&amp;H56&amp;". Событие: "&amp;I56&amp;". Признак: "&amp;J56&amp;". Узел: "&amp;K56&amp;". Предварительная причина: "&amp;L56&amp;". Основное осложнение: "&amp;M56&amp;IF(N56&lt;&gt;"","; сопутствующее: "&amp;N56,"")&amp;IF(O56&lt;&gt;"","; дополнительно: "&amp;O56,"")&amp;".")</f>
        <v/>
      </c>
    </row>
    <row r="57">
      <c r="A57" s="75" t="n"/>
      <c r="B57" s="75" t="n"/>
      <c r="C57" s="261" t="n"/>
      <c r="D57" s="261" t="n"/>
      <c r="E57" s="262">
        <f>IF(OR(C57="",D57=""),"",D57-C57)</f>
        <v/>
      </c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226">
        <f>IF(AND(A57="",B57=""),"",IF(AND(A57&lt;&gt;"",B57&lt;&gt;"",C57&lt;&gt;"",D57&lt;&gt;"",F57&lt;&gt;"",G57&lt;&gt;"",H57&lt;&gt;"",ISERROR(SEARCH("по паспорту",G57)),ISERROR(SEARCH("по паспорту",H57)),I57&lt;&gt;"",J57&lt;&gt;"",K57&lt;&gt;"",L57&lt;&gt;"",M57&lt;&gt;""),"ГОТОВО","НЕ ГОТОВО"))</f>
        <v/>
      </c>
      <c r="Z57" s="226">
        <f>IF(Y57&lt;&gt;"ГОТОВО","", "Предварительное заключение: "&amp;A57&amp;", скв. "&amp;B57&amp;". МРП: "&amp;E57&amp;" сут. ГНО: "&amp;F57&amp;", типоразмер "&amp;G57&amp;", марка "&amp;H57&amp;". Событие: "&amp;I57&amp;". Признак: "&amp;J57&amp;". Узел: "&amp;K57&amp;". Предварительная причина: "&amp;L57&amp;". Основное осложнение: "&amp;M57&amp;IF(N57&lt;&gt;"","; сопутствующее: "&amp;N57,"")&amp;IF(O57&lt;&gt;"","; дополнительно: "&amp;O57,"")&amp;".")</f>
        <v/>
      </c>
    </row>
    <row r="58">
      <c r="A58" s="75" t="n"/>
      <c r="B58" s="75" t="n"/>
      <c r="C58" s="261" t="n"/>
      <c r="D58" s="261" t="n"/>
      <c r="E58" s="262">
        <f>IF(OR(C58="",D58=""),"",D58-C58)</f>
        <v/>
      </c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226">
        <f>IF(AND(A58="",B58=""),"",IF(AND(A58&lt;&gt;"",B58&lt;&gt;"",C58&lt;&gt;"",D58&lt;&gt;"",F58&lt;&gt;"",G58&lt;&gt;"",H58&lt;&gt;"",ISERROR(SEARCH("по паспорту",G58)),ISERROR(SEARCH("по паспорту",H58)),I58&lt;&gt;"",J58&lt;&gt;"",K58&lt;&gt;"",L58&lt;&gt;"",M58&lt;&gt;""),"ГОТОВО","НЕ ГОТОВО"))</f>
        <v/>
      </c>
      <c r="Z58" s="226">
        <f>IF(Y58&lt;&gt;"ГОТОВО","", "Предварительное заключение: "&amp;A58&amp;", скв. "&amp;B58&amp;". МРП: "&amp;E58&amp;" сут. ГНО: "&amp;F58&amp;", типоразмер "&amp;G58&amp;", марка "&amp;H58&amp;". Событие: "&amp;I58&amp;". Признак: "&amp;J58&amp;". Узел: "&amp;K58&amp;". Предварительная причина: "&amp;L58&amp;". Основное осложнение: "&amp;M58&amp;IF(N58&lt;&gt;"","; сопутствующее: "&amp;N58,"")&amp;IF(O58&lt;&gt;"","; дополнительно: "&amp;O58,"")&amp;".")</f>
        <v/>
      </c>
    </row>
    <row r="59">
      <c r="A59" s="75" t="n"/>
      <c r="B59" s="75" t="n"/>
      <c r="C59" s="261" t="n"/>
      <c r="D59" s="261" t="n"/>
      <c r="E59" s="262">
        <f>IF(OR(C59="",D59=""),"",D59-C59)</f>
        <v/>
      </c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226">
        <f>IF(AND(A59="",B59=""),"",IF(AND(A59&lt;&gt;"",B59&lt;&gt;"",C59&lt;&gt;"",D59&lt;&gt;"",F59&lt;&gt;"",G59&lt;&gt;"",H59&lt;&gt;"",ISERROR(SEARCH("по паспорту",G59)),ISERROR(SEARCH("по паспорту",H59)),I59&lt;&gt;"",J59&lt;&gt;"",K59&lt;&gt;"",L59&lt;&gt;"",M59&lt;&gt;""),"ГОТОВО","НЕ ГОТОВО"))</f>
        <v/>
      </c>
      <c r="Z59" s="226">
        <f>IF(Y59&lt;&gt;"ГОТОВО","", "Предварительное заключение: "&amp;A59&amp;", скв. "&amp;B59&amp;". МРП: "&amp;E59&amp;" сут. ГНО: "&amp;F59&amp;", типоразмер "&amp;G59&amp;", марка "&amp;H59&amp;". Событие: "&amp;I59&amp;". Признак: "&amp;J59&amp;". Узел: "&amp;K59&amp;". Предварительная причина: "&amp;L59&amp;". Основное осложнение: "&amp;M59&amp;IF(N59&lt;&gt;"","; сопутствующее: "&amp;N59,"")&amp;IF(O59&lt;&gt;"","; дополнительно: "&amp;O59,"")&amp;".")</f>
        <v/>
      </c>
    </row>
    <row r="60">
      <c r="A60" s="75" t="n"/>
      <c r="B60" s="75" t="n"/>
      <c r="C60" s="261" t="n"/>
      <c r="D60" s="261" t="n"/>
      <c r="E60" s="262">
        <f>IF(OR(C60="",D60=""),"",D60-C60)</f>
        <v/>
      </c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226">
        <f>IF(AND(A60="",B60=""),"",IF(AND(A60&lt;&gt;"",B60&lt;&gt;"",C60&lt;&gt;"",D60&lt;&gt;"",F60&lt;&gt;"",G60&lt;&gt;"",H60&lt;&gt;"",ISERROR(SEARCH("по паспорту",G60)),ISERROR(SEARCH("по паспорту",H60)),I60&lt;&gt;"",J60&lt;&gt;"",K60&lt;&gt;"",L60&lt;&gt;"",M60&lt;&gt;""),"ГОТОВО","НЕ ГОТОВО"))</f>
        <v/>
      </c>
      <c r="Z60" s="226">
        <f>IF(Y60&lt;&gt;"ГОТОВО","", "Предварительное заключение: "&amp;A60&amp;", скв. "&amp;B60&amp;". МРП: "&amp;E60&amp;" сут. ГНО: "&amp;F60&amp;", типоразмер "&amp;G60&amp;", марка "&amp;H60&amp;". Событие: "&amp;I60&amp;". Признак: "&amp;J60&amp;". Узел: "&amp;K60&amp;". Предварительная причина: "&amp;L60&amp;". Основное осложнение: "&amp;M60&amp;IF(N60&lt;&gt;"","; сопутствующее: "&amp;N60,"")&amp;IF(O60&lt;&gt;"","; дополнительно: "&amp;O60,"")&amp;".")</f>
        <v/>
      </c>
    </row>
    <row r="61">
      <c r="A61" s="75" t="n"/>
      <c r="B61" s="75" t="n"/>
      <c r="C61" s="261" t="n"/>
      <c r="D61" s="261" t="n"/>
      <c r="E61" s="262">
        <f>IF(OR(C61="",D61=""),"",D61-C61)</f>
        <v/>
      </c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226">
        <f>IF(AND(A61="",B61=""),"",IF(AND(A61&lt;&gt;"",B61&lt;&gt;"",C61&lt;&gt;"",D61&lt;&gt;"",F61&lt;&gt;"",G61&lt;&gt;"",H61&lt;&gt;"",ISERROR(SEARCH("по паспорту",G61)),ISERROR(SEARCH("по паспорту",H61)),I61&lt;&gt;"",J61&lt;&gt;"",K61&lt;&gt;"",L61&lt;&gt;"",M61&lt;&gt;""),"ГОТОВО","НЕ ГОТОВО"))</f>
        <v/>
      </c>
      <c r="Z61" s="226">
        <f>IF(Y61&lt;&gt;"ГОТОВО","", "Предварительное заключение: "&amp;A61&amp;", скв. "&amp;B61&amp;". МРП: "&amp;E61&amp;" сут. ГНО: "&amp;F61&amp;", типоразмер "&amp;G61&amp;", марка "&amp;H61&amp;". Событие: "&amp;I61&amp;". Признак: "&amp;J61&amp;". Узел: "&amp;K61&amp;". Предварительная причина: "&amp;L61&amp;". Основное осложнение: "&amp;M61&amp;IF(N61&lt;&gt;"","; сопутствующее: "&amp;N61,"")&amp;IF(O61&lt;&gt;"","; дополнительно: "&amp;O61,"")&amp;".")</f>
        <v/>
      </c>
    </row>
    <row r="62">
      <c r="A62" s="75" t="n"/>
      <c r="B62" s="75" t="n"/>
      <c r="C62" s="261" t="n"/>
      <c r="D62" s="261" t="n"/>
      <c r="E62" s="262">
        <f>IF(OR(C62="",D62=""),"",D62-C62)</f>
        <v/>
      </c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226">
        <f>IF(AND(A62="",B62=""),"",IF(AND(A62&lt;&gt;"",B62&lt;&gt;"",C62&lt;&gt;"",D62&lt;&gt;"",F62&lt;&gt;"",G62&lt;&gt;"",H62&lt;&gt;"",ISERROR(SEARCH("по паспорту",G62)),ISERROR(SEARCH("по паспорту",H62)),I62&lt;&gt;"",J62&lt;&gt;"",K62&lt;&gt;"",L62&lt;&gt;"",M62&lt;&gt;""),"ГОТОВО","НЕ ГОТОВО"))</f>
        <v/>
      </c>
      <c r="Z62" s="226">
        <f>IF(Y62&lt;&gt;"ГОТОВО","", "Предварительное заключение: "&amp;A62&amp;", скв. "&amp;B62&amp;". МРП: "&amp;E62&amp;" сут. ГНО: "&amp;F62&amp;", типоразмер "&amp;G62&amp;", марка "&amp;H62&amp;". Событие: "&amp;I62&amp;". Признак: "&amp;J62&amp;". Узел: "&amp;K62&amp;". Предварительная причина: "&amp;L62&amp;". Основное осложнение: "&amp;M62&amp;IF(N62&lt;&gt;"","; сопутствующее: "&amp;N62,"")&amp;IF(O62&lt;&gt;"","; дополнительно: "&amp;O62,"")&amp;".")</f>
        <v/>
      </c>
    </row>
    <row r="63">
      <c r="A63" s="75" t="n"/>
      <c r="B63" s="75" t="n"/>
      <c r="C63" s="261" t="n"/>
      <c r="D63" s="261" t="n"/>
      <c r="E63" s="262">
        <f>IF(OR(C63="",D63=""),"",D63-C63)</f>
        <v/>
      </c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226">
        <f>IF(AND(A63="",B63=""),"",IF(AND(A63&lt;&gt;"",B63&lt;&gt;"",C63&lt;&gt;"",D63&lt;&gt;"",F63&lt;&gt;"",G63&lt;&gt;"",H63&lt;&gt;"",ISERROR(SEARCH("по паспорту",G63)),ISERROR(SEARCH("по паспорту",H63)),I63&lt;&gt;"",J63&lt;&gt;"",K63&lt;&gt;"",L63&lt;&gt;"",M63&lt;&gt;""),"ГОТОВО","НЕ ГОТОВО"))</f>
        <v/>
      </c>
      <c r="Z63" s="226">
        <f>IF(Y63&lt;&gt;"ГОТОВО","", "Предварительное заключение: "&amp;A63&amp;", скв. "&amp;B63&amp;". МРП: "&amp;E63&amp;" сут. ГНО: "&amp;F63&amp;", типоразмер "&amp;G63&amp;", марка "&amp;H63&amp;". Событие: "&amp;I63&amp;". Признак: "&amp;J63&amp;". Узел: "&amp;K63&amp;". Предварительная причина: "&amp;L63&amp;". Основное осложнение: "&amp;M63&amp;IF(N63&lt;&gt;"","; сопутствующее: "&amp;N63,"")&amp;IF(O63&lt;&gt;"","; дополнительно: "&amp;O63,"")&amp;".")</f>
        <v/>
      </c>
    </row>
    <row r="64">
      <c r="A64" s="75" t="n"/>
      <c r="B64" s="75" t="n"/>
      <c r="C64" s="261" t="n"/>
      <c r="D64" s="261" t="n"/>
      <c r="E64" s="262">
        <f>IF(OR(C64="",D64=""),"",D64-C64)</f>
        <v/>
      </c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226">
        <f>IF(AND(A64="",B64=""),"",IF(AND(A64&lt;&gt;"",B64&lt;&gt;"",C64&lt;&gt;"",D64&lt;&gt;"",F64&lt;&gt;"",G64&lt;&gt;"",H64&lt;&gt;"",ISERROR(SEARCH("по паспорту",G64)),ISERROR(SEARCH("по паспорту",H64)),I64&lt;&gt;"",J64&lt;&gt;"",K64&lt;&gt;"",L64&lt;&gt;"",M64&lt;&gt;""),"ГОТОВО","НЕ ГОТОВО"))</f>
        <v/>
      </c>
      <c r="Z64" s="226">
        <f>IF(Y64&lt;&gt;"ГОТОВО","", "Предварительное заключение: "&amp;A64&amp;", скв. "&amp;B64&amp;". МРП: "&amp;E64&amp;" сут. ГНО: "&amp;F64&amp;", типоразмер "&amp;G64&amp;", марка "&amp;H64&amp;". Событие: "&amp;I64&amp;". Признак: "&amp;J64&amp;". Узел: "&amp;K64&amp;". Предварительная причина: "&amp;L64&amp;". Основное осложнение: "&amp;M64&amp;IF(N64&lt;&gt;"","; сопутствующее: "&amp;N64,"")&amp;IF(O64&lt;&gt;"","; дополнительно: "&amp;O64,"")&amp;".")</f>
        <v/>
      </c>
    </row>
    <row r="65">
      <c r="A65" s="75" t="n"/>
      <c r="B65" s="75" t="n"/>
      <c r="C65" s="261" t="n"/>
      <c r="D65" s="261" t="n"/>
      <c r="E65" s="262">
        <f>IF(OR(C65="",D65=""),"",D65-C65)</f>
        <v/>
      </c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226">
        <f>IF(AND(A65="",B65=""),"",IF(AND(A65&lt;&gt;"",B65&lt;&gt;"",C65&lt;&gt;"",D65&lt;&gt;"",F65&lt;&gt;"",G65&lt;&gt;"",H65&lt;&gt;"",ISERROR(SEARCH("по паспорту",G65)),ISERROR(SEARCH("по паспорту",H65)),I65&lt;&gt;"",J65&lt;&gt;"",K65&lt;&gt;"",L65&lt;&gt;"",M65&lt;&gt;""),"ГОТОВО","НЕ ГОТОВО"))</f>
        <v/>
      </c>
      <c r="Z65" s="226">
        <f>IF(Y65&lt;&gt;"ГОТОВО","", "Предварительное заключение: "&amp;A65&amp;", скв. "&amp;B65&amp;". МРП: "&amp;E65&amp;" сут. ГНО: "&amp;F65&amp;", типоразмер "&amp;G65&amp;", марка "&amp;H65&amp;". Событие: "&amp;I65&amp;". Признак: "&amp;J65&amp;". Узел: "&amp;K65&amp;". Предварительная причина: "&amp;L65&amp;". Основное осложнение: "&amp;M65&amp;IF(N65&lt;&gt;"","; сопутствующее: "&amp;N65,"")&amp;IF(O65&lt;&gt;"","; дополнительно: "&amp;O65,"")&amp;".")</f>
        <v/>
      </c>
    </row>
    <row r="66">
      <c r="A66" s="75" t="n"/>
      <c r="B66" s="75" t="n"/>
      <c r="C66" s="261" t="n"/>
      <c r="D66" s="261" t="n"/>
      <c r="E66" s="262">
        <f>IF(OR(C66="",D66=""),"",D66-C66)</f>
        <v/>
      </c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226">
        <f>IF(AND(A66="",B66=""),"",IF(AND(A66&lt;&gt;"",B66&lt;&gt;"",C66&lt;&gt;"",D66&lt;&gt;"",F66&lt;&gt;"",G66&lt;&gt;"",H66&lt;&gt;"",ISERROR(SEARCH("по паспорту",G66)),ISERROR(SEARCH("по паспорту",H66)),I66&lt;&gt;"",J66&lt;&gt;"",K66&lt;&gt;"",L66&lt;&gt;"",M66&lt;&gt;""),"ГОТОВО","НЕ ГОТОВО"))</f>
        <v/>
      </c>
      <c r="Z66" s="226">
        <f>IF(Y66&lt;&gt;"ГОТОВО","", "Предварительное заключение: "&amp;A66&amp;", скв. "&amp;B66&amp;". МРП: "&amp;E66&amp;" сут. ГНО: "&amp;F66&amp;", типоразмер "&amp;G66&amp;", марка "&amp;H66&amp;". Событие: "&amp;I66&amp;". Признак: "&amp;J66&amp;". Узел: "&amp;K66&amp;". Предварительная причина: "&amp;L66&amp;". Основное осложнение: "&amp;M66&amp;IF(N66&lt;&gt;"","; сопутствующее: "&amp;N66,"")&amp;IF(O66&lt;&gt;"","; дополнительно: "&amp;O66,"")&amp;".")</f>
        <v/>
      </c>
    </row>
    <row r="67">
      <c r="A67" s="75" t="n"/>
      <c r="B67" s="75" t="n"/>
      <c r="C67" s="261" t="n"/>
      <c r="D67" s="261" t="n"/>
      <c r="E67" s="262">
        <f>IF(OR(C67="",D67=""),"",D67-C67)</f>
        <v/>
      </c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226">
        <f>IF(AND(A67="",B67=""),"",IF(AND(A67&lt;&gt;"",B67&lt;&gt;"",C67&lt;&gt;"",D67&lt;&gt;"",F67&lt;&gt;"",G67&lt;&gt;"",H67&lt;&gt;"",ISERROR(SEARCH("по паспорту",G67)),ISERROR(SEARCH("по паспорту",H67)),I67&lt;&gt;"",J67&lt;&gt;"",K67&lt;&gt;"",L67&lt;&gt;"",M67&lt;&gt;""),"ГОТОВО","НЕ ГОТОВО"))</f>
        <v/>
      </c>
      <c r="Z67" s="226">
        <f>IF(Y67&lt;&gt;"ГОТОВО","", "Предварительное заключение: "&amp;A67&amp;", скв. "&amp;B67&amp;". МРП: "&amp;E67&amp;" сут. ГНО: "&amp;F67&amp;", типоразмер "&amp;G67&amp;", марка "&amp;H67&amp;". Событие: "&amp;I67&amp;". Признак: "&amp;J67&amp;". Узел: "&amp;K67&amp;". Предварительная причина: "&amp;L67&amp;". Основное осложнение: "&amp;M67&amp;IF(N67&lt;&gt;"","; сопутствующее: "&amp;N67,"")&amp;IF(O67&lt;&gt;"","; дополнительно: "&amp;O67,"")&amp;".")</f>
        <v/>
      </c>
    </row>
    <row r="68">
      <c r="A68" s="75" t="n"/>
      <c r="B68" s="75" t="n"/>
      <c r="C68" s="261" t="n"/>
      <c r="D68" s="261" t="n"/>
      <c r="E68" s="262">
        <f>IF(OR(C68="",D68=""),"",D68-C68)</f>
        <v/>
      </c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226">
        <f>IF(AND(A68="",B68=""),"",IF(AND(A68&lt;&gt;"",B68&lt;&gt;"",C68&lt;&gt;"",D68&lt;&gt;"",F68&lt;&gt;"",G68&lt;&gt;"",H68&lt;&gt;"",ISERROR(SEARCH("по паспорту",G68)),ISERROR(SEARCH("по паспорту",H68)),I68&lt;&gt;"",J68&lt;&gt;"",K68&lt;&gt;"",L68&lt;&gt;"",M68&lt;&gt;""),"ГОТОВО","НЕ ГОТОВО"))</f>
        <v/>
      </c>
      <c r="Z68" s="226">
        <f>IF(Y68&lt;&gt;"ГОТОВО","", "Предварительное заключение: "&amp;A68&amp;", скв. "&amp;B68&amp;". МРП: "&amp;E68&amp;" сут. ГНО: "&amp;F68&amp;", типоразмер "&amp;G68&amp;", марка "&amp;H68&amp;". Событие: "&amp;I68&amp;". Признак: "&amp;J68&amp;". Узел: "&amp;K68&amp;". Предварительная причина: "&amp;L68&amp;". Основное осложнение: "&amp;M68&amp;IF(N68&lt;&gt;"","; сопутствующее: "&amp;N68,"")&amp;IF(O68&lt;&gt;"","; дополнительно: "&amp;O68,"")&amp;".")</f>
        <v/>
      </c>
    </row>
    <row r="69">
      <c r="A69" s="75" t="n"/>
      <c r="B69" s="75" t="n"/>
      <c r="C69" s="261" t="n"/>
      <c r="D69" s="261" t="n"/>
      <c r="E69" s="262">
        <f>IF(OR(C69="",D69=""),"",D69-C69)</f>
        <v/>
      </c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226">
        <f>IF(AND(A69="",B69=""),"",IF(AND(A69&lt;&gt;"",B69&lt;&gt;"",C69&lt;&gt;"",D69&lt;&gt;"",F69&lt;&gt;"",G69&lt;&gt;"",H69&lt;&gt;"",ISERROR(SEARCH("по паспорту",G69)),ISERROR(SEARCH("по паспорту",H69)),I69&lt;&gt;"",J69&lt;&gt;"",K69&lt;&gt;"",L69&lt;&gt;"",M69&lt;&gt;""),"ГОТОВО","НЕ ГОТОВО"))</f>
        <v/>
      </c>
      <c r="Z69" s="226">
        <f>IF(Y69&lt;&gt;"ГОТОВО","", "Предварительное заключение: "&amp;A69&amp;", скв. "&amp;B69&amp;". МРП: "&amp;E69&amp;" сут. ГНО: "&amp;F69&amp;", типоразмер "&amp;G69&amp;", марка "&amp;H69&amp;". Событие: "&amp;I69&amp;". Признак: "&amp;J69&amp;". Узел: "&amp;K69&amp;". Предварительная причина: "&amp;L69&amp;". Основное осложнение: "&amp;M69&amp;IF(N69&lt;&gt;"","; сопутствующее: "&amp;N69,"")&amp;IF(O69&lt;&gt;"","; дополнительно: "&amp;O69,"")&amp;".")</f>
        <v/>
      </c>
    </row>
    <row r="70">
      <c r="A70" s="75" t="n"/>
      <c r="B70" s="75" t="n"/>
      <c r="C70" s="261" t="n"/>
      <c r="D70" s="261" t="n"/>
      <c r="E70" s="262">
        <f>IF(OR(C70="",D70=""),"",D70-C70)</f>
        <v/>
      </c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226">
        <f>IF(AND(A70="",B70=""),"",IF(AND(A70&lt;&gt;"",B70&lt;&gt;"",C70&lt;&gt;"",D70&lt;&gt;"",F70&lt;&gt;"",G70&lt;&gt;"",H70&lt;&gt;"",ISERROR(SEARCH("по паспорту",G70)),ISERROR(SEARCH("по паспорту",H70)),I70&lt;&gt;"",J70&lt;&gt;"",K70&lt;&gt;"",L70&lt;&gt;"",M70&lt;&gt;""),"ГОТОВО","НЕ ГОТОВО"))</f>
        <v/>
      </c>
      <c r="Z70" s="226">
        <f>IF(Y70&lt;&gt;"ГОТОВО","", "Предварительное заключение: "&amp;A70&amp;", скв. "&amp;B70&amp;". МРП: "&amp;E70&amp;" сут. ГНО: "&amp;F70&amp;", типоразмер "&amp;G70&amp;", марка "&amp;H70&amp;". Событие: "&amp;I70&amp;". Признак: "&amp;J70&amp;". Узел: "&amp;K70&amp;". Предварительная причина: "&amp;L70&amp;". Основное осложнение: "&amp;M70&amp;IF(N70&lt;&gt;"","; сопутствующее: "&amp;N70,"")&amp;IF(O70&lt;&gt;"","; дополнительно: "&amp;O70,"")&amp;".")</f>
        <v/>
      </c>
    </row>
    <row r="71">
      <c r="A71" s="75" t="n"/>
      <c r="B71" s="75" t="n"/>
      <c r="C71" s="261" t="n"/>
      <c r="D71" s="261" t="n"/>
      <c r="E71" s="262">
        <f>IF(OR(C71="",D71=""),"",D71-C71)</f>
        <v/>
      </c>
      <c r="F71" s="75" t="n"/>
      <c r="G71" s="75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226">
        <f>IF(AND(A71="",B71=""),"",IF(AND(A71&lt;&gt;"",B71&lt;&gt;"",C71&lt;&gt;"",D71&lt;&gt;"",F71&lt;&gt;"",G71&lt;&gt;"",H71&lt;&gt;"",ISERROR(SEARCH("по паспорту",G71)),ISERROR(SEARCH("по паспорту",H71)),I71&lt;&gt;"",J71&lt;&gt;"",K71&lt;&gt;"",L71&lt;&gt;"",M71&lt;&gt;""),"ГОТОВО","НЕ ГОТОВО"))</f>
        <v/>
      </c>
      <c r="Z71" s="226">
        <f>IF(Y71&lt;&gt;"ГОТОВО","", "Предварительное заключение: "&amp;A71&amp;", скв. "&amp;B71&amp;". МРП: "&amp;E71&amp;" сут. ГНО: "&amp;F71&amp;", типоразмер "&amp;G71&amp;", марка "&amp;H71&amp;". Событие: "&amp;I71&amp;". Признак: "&amp;J71&amp;". Узел: "&amp;K71&amp;". Предварительная причина: "&amp;L71&amp;". Основное осложнение: "&amp;M71&amp;IF(N71&lt;&gt;"","; сопутствующее: "&amp;N71,"")&amp;IF(O71&lt;&gt;"","; дополнительно: "&amp;O71,"")&amp;".")</f>
        <v/>
      </c>
    </row>
    <row r="72">
      <c r="A72" s="75" t="n"/>
      <c r="B72" s="75" t="n"/>
      <c r="C72" s="261" t="n"/>
      <c r="D72" s="261" t="n"/>
      <c r="E72" s="262">
        <f>IF(OR(C72="",D72=""),"",D72-C72)</f>
        <v/>
      </c>
      <c r="F72" s="75" t="n"/>
      <c r="G72" s="75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226">
        <f>IF(AND(A72="",B72=""),"",IF(AND(A72&lt;&gt;"",B72&lt;&gt;"",C72&lt;&gt;"",D72&lt;&gt;"",F72&lt;&gt;"",G72&lt;&gt;"",H72&lt;&gt;"",ISERROR(SEARCH("по паспорту",G72)),ISERROR(SEARCH("по паспорту",H72)),I72&lt;&gt;"",J72&lt;&gt;"",K72&lt;&gt;"",L72&lt;&gt;"",M72&lt;&gt;""),"ГОТОВО","НЕ ГОТОВО"))</f>
        <v/>
      </c>
      <c r="Z72" s="226">
        <f>IF(Y72&lt;&gt;"ГОТОВО","", "Предварительное заключение: "&amp;A72&amp;", скв. "&amp;B72&amp;". МРП: "&amp;E72&amp;" сут. ГНО: "&amp;F72&amp;", типоразмер "&amp;G72&amp;", марка "&amp;H72&amp;". Событие: "&amp;I72&amp;". Признак: "&amp;J72&amp;". Узел: "&amp;K72&amp;". Предварительная причина: "&amp;L72&amp;". Основное осложнение: "&amp;M72&amp;IF(N72&lt;&gt;"","; сопутствующее: "&amp;N72,"")&amp;IF(O72&lt;&gt;"","; дополнительно: "&amp;O72,"")&amp;".")</f>
        <v/>
      </c>
    </row>
    <row r="73">
      <c r="A73" s="75" t="n"/>
      <c r="B73" s="75" t="n"/>
      <c r="C73" s="261" t="n"/>
      <c r="D73" s="261" t="n"/>
      <c r="E73" s="262">
        <f>IF(OR(C73="",D73=""),"",D73-C73)</f>
        <v/>
      </c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226">
        <f>IF(AND(A73="",B73=""),"",IF(AND(A73&lt;&gt;"",B73&lt;&gt;"",C73&lt;&gt;"",D73&lt;&gt;"",F73&lt;&gt;"",G73&lt;&gt;"",H73&lt;&gt;"",ISERROR(SEARCH("по паспорту",G73)),ISERROR(SEARCH("по паспорту",H73)),I73&lt;&gt;"",J73&lt;&gt;"",K73&lt;&gt;"",L73&lt;&gt;"",M73&lt;&gt;""),"ГОТОВО","НЕ ГОТОВО"))</f>
        <v/>
      </c>
      <c r="Z73" s="226">
        <f>IF(Y73&lt;&gt;"ГОТОВО","", "Предварительное заключение: "&amp;A73&amp;", скв. "&amp;B73&amp;". МРП: "&amp;E73&amp;" сут. ГНО: "&amp;F73&amp;", типоразмер "&amp;G73&amp;", марка "&amp;H73&amp;". Событие: "&amp;I73&amp;". Признак: "&amp;J73&amp;". Узел: "&amp;K73&amp;". Предварительная причина: "&amp;L73&amp;". Основное осложнение: "&amp;M73&amp;IF(N73&lt;&gt;"","; сопутствующее: "&amp;N73,"")&amp;IF(O73&lt;&gt;"","; дополнительно: "&amp;O73,"")&amp;".")</f>
        <v/>
      </c>
    </row>
    <row r="74">
      <c r="A74" s="75" t="n"/>
      <c r="B74" s="75" t="n"/>
      <c r="C74" s="261" t="n"/>
      <c r="D74" s="261" t="n"/>
      <c r="E74" s="262">
        <f>IF(OR(C74="",D74=""),"",D74-C74)</f>
        <v/>
      </c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226">
        <f>IF(AND(A74="",B74=""),"",IF(AND(A74&lt;&gt;"",B74&lt;&gt;"",C74&lt;&gt;"",D74&lt;&gt;"",F74&lt;&gt;"",G74&lt;&gt;"",H74&lt;&gt;"",ISERROR(SEARCH("по паспорту",G74)),ISERROR(SEARCH("по паспорту",H74)),I74&lt;&gt;"",J74&lt;&gt;"",K74&lt;&gt;"",L74&lt;&gt;"",M74&lt;&gt;""),"ГОТОВО","НЕ ГОТОВО"))</f>
        <v/>
      </c>
      <c r="Z74" s="226">
        <f>IF(Y74&lt;&gt;"ГОТОВО","", "Предварительное заключение: "&amp;A74&amp;", скв. "&amp;B74&amp;". МРП: "&amp;E74&amp;" сут. ГНО: "&amp;F74&amp;", типоразмер "&amp;G74&amp;", марка "&amp;H74&amp;". Событие: "&amp;I74&amp;". Признак: "&amp;J74&amp;". Узел: "&amp;K74&amp;". Предварительная причина: "&amp;L74&amp;". Основное осложнение: "&amp;M74&amp;IF(N74&lt;&gt;"","; сопутствующее: "&amp;N74,"")&amp;IF(O74&lt;&gt;"","; дополнительно: "&amp;O74,"")&amp;".")</f>
        <v/>
      </c>
    </row>
    <row r="75">
      <c r="A75" s="75" t="n"/>
      <c r="B75" s="75" t="n"/>
      <c r="C75" s="261" t="n"/>
      <c r="D75" s="261" t="n"/>
      <c r="E75" s="262">
        <f>IF(OR(C75="",D75=""),"",D75-C75)</f>
        <v/>
      </c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226">
        <f>IF(AND(A75="",B75=""),"",IF(AND(A75&lt;&gt;"",B75&lt;&gt;"",C75&lt;&gt;"",D75&lt;&gt;"",F75&lt;&gt;"",G75&lt;&gt;"",H75&lt;&gt;"",ISERROR(SEARCH("по паспорту",G75)),ISERROR(SEARCH("по паспорту",H75)),I75&lt;&gt;"",J75&lt;&gt;"",K75&lt;&gt;"",L75&lt;&gt;"",M75&lt;&gt;""),"ГОТОВО","НЕ ГОТОВО"))</f>
        <v/>
      </c>
      <c r="Z75" s="226">
        <f>IF(Y75&lt;&gt;"ГОТОВО","", "Предварительное заключение: "&amp;A75&amp;", скв. "&amp;B75&amp;". МРП: "&amp;E75&amp;" сут. ГНО: "&amp;F75&amp;", типоразмер "&amp;G75&amp;", марка "&amp;H75&amp;". Событие: "&amp;I75&amp;". Признак: "&amp;J75&amp;". Узел: "&amp;K75&amp;". Предварительная причина: "&amp;L75&amp;". Основное осложнение: "&amp;M75&amp;IF(N75&lt;&gt;"","; сопутствующее: "&amp;N75,"")&amp;IF(O75&lt;&gt;"","; дополнительно: "&amp;O75,"")&amp;".")</f>
        <v/>
      </c>
    </row>
    <row r="76">
      <c r="A76" s="75" t="n"/>
      <c r="B76" s="75" t="n"/>
      <c r="C76" s="261" t="n"/>
      <c r="D76" s="261" t="n"/>
      <c r="E76" s="262">
        <f>IF(OR(C76="",D76=""),"",D76-C76)</f>
        <v/>
      </c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226">
        <f>IF(AND(A76="",B76=""),"",IF(AND(A76&lt;&gt;"",B76&lt;&gt;"",C76&lt;&gt;"",D76&lt;&gt;"",F76&lt;&gt;"",G76&lt;&gt;"",H76&lt;&gt;"",ISERROR(SEARCH("по паспорту",G76)),ISERROR(SEARCH("по паспорту",H76)),I76&lt;&gt;"",J76&lt;&gt;"",K76&lt;&gt;"",L76&lt;&gt;"",M76&lt;&gt;""),"ГОТОВО","НЕ ГОТОВО"))</f>
        <v/>
      </c>
      <c r="Z76" s="226">
        <f>IF(Y76&lt;&gt;"ГОТОВО","", "Предварительное заключение: "&amp;A76&amp;", скв. "&amp;B76&amp;". МРП: "&amp;E76&amp;" сут. ГНО: "&amp;F76&amp;", типоразмер "&amp;G76&amp;", марка "&amp;H76&amp;". Событие: "&amp;I76&amp;". Признак: "&amp;J76&amp;". Узел: "&amp;K76&amp;". Предварительная причина: "&amp;L76&amp;". Основное осложнение: "&amp;M76&amp;IF(N76&lt;&gt;"","; сопутствующее: "&amp;N76,"")&amp;IF(O76&lt;&gt;"","; дополнительно: "&amp;O76,"")&amp;".")</f>
        <v/>
      </c>
    </row>
    <row r="77">
      <c r="A77" s="75" t="n"/>
      <c r="B77" s="75" t="n"/>
      <c r="C77" s="261" t="n"/>
      <c r="D77" s="261" t="n"/>
      <c r="E77" s="262">
        <f>IF(OR(C77="",D77=""),"",D77-C77)</f>
        <v/>
      </c>
      <c r="F77" s="75" t="n"/>
      <c r="G77" s="75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226">
        <f>IF(AND(A77="",B77=""),"",IF(AND(A77&lt;&gt;"",B77&lt;&gt;"",C77&lt;&gt;"",D77&lt;&gt;"",F77&lt;&gt;"",G77&lt;&gt;"",H77&lt;&gt;"",ISERROR(SEARCH("по паспорту",G77)),ISERROR(SEARCH("по паспорту",H77)),I77&lt;&gt;"",J77&lt;&gt;"",K77&lt;&gt;"",L77&lt;&gt;"",M77&lt;&gt;""),"ГОТОВО","НЕ ГОТОВО"))</f>
        <v/>
      </c>
      <c r="Z77" s="226">
        <f>IF(Y77&lt;&gt;"ГОТОВО","", "Предварительное заключение: "&amp;A77&amp;", скв. "&amp;B77&amp;". МРП: "&amp;E77&amp;" сут. ГНО: "&amp;F77&amp;", типоразмер "&amp;G77&amp;", марка "&amp;H77&amp;". Событие: "&amp;I77&amp;". Признак: "&amp;J77&amp;". Узел: "&amp;K77&amp;". Предварительная причина: "&amp;L77&amp;". Основное осложнение: "&amp;M77&amp;IF(N77&lt;&gt;"","; сопутствующее: "&amp;N77,"")&amp;IF(O77&lt;&gt;"","; дополнительно: "&amp;O77,"")&amp;".")</f>
        <v/>
      </c>
    </row>
    <row r="78">
      <c r="A78" s="75" t="n"/>
      <c r="B78" s="75" t="n"/>
      <c r="C78" s="261" t="n"/>
      <c r="D78" s="261" t="n"/>
      <c r="E78" s="262">
        <f>IF(OR(C78="",D78=""),"",D78-C78)</f>
        <v/>
      </c>
      <c r="F78" s="75" t="n"/>
      <c r="G78" s="75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226">
        <f>IF(AND(A78="",B78=""),"",IF(AND(A78&lt;&gt;"",B78&lt;&gt;"",C78&lt;&gt;"",D78&lt;&gt;"",F78&lt;&gt;"",G78&lt;&gt;"",H78&lt;&gt;"",ISERROR(SEARCH("по паспорту",G78)),ISERROR(SEARCH("по паспорту",H78)),I78&lt;&gt;"",J78&lt;&gt;"",K78&lt;&gt;"",L78&lt;&gt;"",M78&lt;&gt;""),"ГОТОВО","НЕ ГОТОВО"))</f>
        <v/>
      </c>
      <c r="Z78" s="226">
        <f>IF(Y78&lt;&gt;"ГОТОВО","", "Предварительное заключение: "&amp;A78&amp;", скв. "&amp;B78&amp;". МРП: "&amp;E78&amp;" сут. ГНО: "&amp;F78&amp;", типоразмер "&amp;G78&amp;", марка "&amp;H78&amp;". Событие: "&amp;I78&amp;". Признак: "&amp;J78&amp;". Узел: "&amp;K78&amp;". Предварительная причина: "&amp;L78&amp;". Основное осложнение: "&amp;M78&amp;IF(N78&lt;&gt;"","; сопутствующее: "&amp;N78,"")&amp;IF(O78&lt;&gt;"","; дополнительно: "&amp;O78,"")&amp;".")</f>
        <v/>
      </c>
    </row>
    <row r="79">
      <c r="A79" s="75" t="n"/>
      <c r="B79" s="75" t="n"/>
      <c r="C79" s="261" t="n"/>
      <c r="D79" s="261" t="n"/>
      <c r="E79" s="262">
        <f>IF(OR(C79="",D79=""),"",D79-C79)</f>
        <v/>
      </c>
      <c r="F79" s="75" t="n"/>
      <c r="G79" s="75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226">
        <f>IF(AND(A79="",B79=""),"",IF(AND(A79&lt;&gt;"",B79&lt;&gt;"",C79&lt;&gt;"",D79&lt;&gt;"",F79&lt;&gt;"",G79&lt;&gt;"",H79&lt;&gt;"",ISERROR(SEARCH("по паспорту",G79)),ISERROR(SEARCH("по паспорту",H79)),I79&lt;&gt;"",J79&lt;&gt;"",K79&lt;&gt;"",L79&lt;&gt;"",M79&lt;&gt;""),"ГОТОВО","НЕ ГОТОВО"))</f>
        <v/>
      </c>
      <c r="Z79" s="226">
        <f>IF(Y79&lt;&gt;"ГОТОВО","", "Предварительное заключение: "&amp;A79&amp;", скв. "&amp;B79&amp;". МРП: "&amp;E79&amp;" сут. ГНО: "&amp;F79&amp;", типоразмер "&amp;G79&amp;", марка "&amp;H79&amp;". Событие: "&amp;I79&amp;". Признак: "&amp;J79&amp;". Узел: "&amp;K79&amp;". Предварительная причина: "&amp;L79&amp;". Основное осложнение: "&amp;M79&amp;IF(N79&lt;&gt;"","; сопутствующее: "&amp;N79,"")&amp;IF(O79&lt;&gt;"","; дополнительно: "&amp;O79,"")&amp;".")</f>
        <v/>
      </c>
    </row>
    <row r="80">
      <c r="A80" s="75" t="n"/>
      <c r="B80" s="75" t="n"/>
      <c r="C80" s="261" t="n"/>
      <c r="D80" s="261" t="n"/>
      <c r="E80" s="262">
        <f>IF(OR(C80="",D80=""),"",D80-C80)</f>
        <v/>
      </c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226">
        <f>IF(AND(A80="",B80=""),"",IF(AND(A80&lt;&gt;"",B80&lt;&gt;"",C80&lt;&gt;"",D80&lt;&gt;"",F80&lt;&gt;"",G80&lt;&gt;"",H80&lt;&gt;"",ISERROR(SEARCH("по паспорту",G80)),ISERROR(SEARCH("по паспорту",H80)),I80&lt;&gt;"",J80&lt;&gt;"",K80&lt;&gt;"",L80&lt;&gt;"",M80&lt;&gt;""),"ГОТОВО","НЕ ГОТОВО"))</f>
        <v/>
      </c>
      <c r="Z80" s="226">
        <f>IF(Y80&lt;&gt;"ГОТОВО","", "Предварительное заключение: "&amp;A80&amp;", скв. "&amp;B80&amp;". МРП: "&amp;E80&amp;" сут. ГНО: "&amp;F80&amp;", типоразмер "&amp;G80&amp;", марка "&amp;H80&amp;". Событие: "&amp;I80&amp;". Признак: "&amp;J80&amp;". Узел: "&amp;K80&amp;". Предварительная причина: "&amp;L80&amp;". Основное осложнение: "&amp;M80&amp;IF(N80&lt;&gt;"","; сопутствующее: "&amp;N80,"")&amp;IF(O80&lt;&gt;"","; дополнительно: "&amp;O80,"")&amp;".")</f>
        <v/>
      </c>
    </row>
    <row r="81">
      <c r="A81" s="75" t="n"/>
      <c r="B81" s="75" t="n"/>
      <c r="C81" s="261" t="n"/>
      <c r="D81" s="261" t="n"/>
      <c r="E81" s="262">
        <f>IF(OR(C81="",D81=""),"",D81-C81)</f>
        <v/>
      </c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226">
        <f>IF(AND(A81="",B81=""),"",IF(AND(A81&lt;&gt;"",B81&lt;&gt;"",C81&lt;&gt;"",D81&lt;&gt;"",F81&lt;&gt;"",G81&lt;&gt;"",H81&lt;&gt;"",ISERROR(SEARCH("по паспорту",G81)),ISERROR(SEARCH("по паспорту",H81)),I81&lt;&gt;"",J81&lt;&gt;"",K81&lt;&gt;"",L81&lt;&gt;"",M81&lt;&gt;""),"ГОТОВО","НЕ ГОТОВО"))</f>
        <v/>
      </c>
      <c r="Z81" s="226">
        <f>IF(Y81&lt;&gt;"ГОТОВО","", "Предварительное заключение: "&amp;A81&amp;", скв. "&amp;B81&amp;". МРП: "&amp;E81&amp;" сут. ГНО: "&amp;F81&amp;", типоразмер "&amp;G81&amp;", марка "&amp;H81&amp;". Событие: "&amp;I81&amp;". Признак: "&amp;J81&amp;". Узел: "&amp;K81&amp;". Предварительная причина: "&amp;L81&amp;". Основное осложнение: "&amp;M81&amp;IF(N81&lt;&gt;"","; сопутствующее: "&amp;N81,"")&amp;IF(O81&lt;&gt;"","; дополнительно: "&amp;O81,"")&amp;".")</f>
        <v/>
      </c>
    </row>
    <row r="82">
      <c r="A82" s="75" t="n"/>
      <c r="B82" s="75" t="n"/>
      <c r="C82" s="261" t="n"/>
      <c r="D82" s="261" t="n"/>
      <c r="E82" s="262">
        <f>IF(OR(C82="",D82=""),"",D82-C82)</f>
        <v/>
      </c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226">
        <f>IF(AND(A82="",B82=""),"",IF(AND(A82&lt;&gt;"",B82&lt;&gt;"",C82&lt;&gt;"",D82&lt;&gt;"",F82&lt;&gt;"",G82&lt;&gt;"",H82&lt;&gt;"",ISERROR(SEARCH("по паспорту",G82)),ISERROR(SEARCH("по паспорту",H82)),I82&lt;&gt;"",J82&lt;&gt;"",K82&lt;&gt;"",L82&lt;&gt;"",M82&lt;&gt;""),"ГОТОВО","НЕ ГОТОВО"))</f>
        <v/>
      </c>
      <c r="Z82" s="226">
        <f>IF(Y82&lt;&gt;"ГОТОВО","", "Предварительное заключение: "&amp;A82&amp;", скв. "&amp;B82&amp;". МРП: "&amp;E82&amp;" сут. ГНО: "&amp;F82&amp;", типоразмер "&amp;G82&amp;", марка "&amp;H82&amp;". Событие: "&amp;I82&amp;". Признак: "&amp;J82&amp;". Узел: "&amp;K82&amp;". Предварительная причина: "&amp;L82&amp;". Основное осложнение: "&amp;M82&amp;IF(N82&lt;&gt;"","; сопутствующее: "&amp;N82,"")&amp;IF(O82&lt;&gt;"","; дополнительно: "&amp;O82,"")&amp;".")</f>
        <v/>
      </c>
    </row>
    <row r="83">
      <c r="A83" s="75" t="n"/>
      <c r="B83" s="75" t="n"/>
      <c r="C83" s="261" t="n"/>
      <c r="D83" s="261" t="n"/>
      <c r="E83" s="262">
        <f>IF(OR(C83="",D83=""),"",D83-C83)</f>
        <v/>
      </c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226">
        <f>IF(AND(A83="",B83=""),"",IF(AND(A83&lt;&gt;"",B83&lt;&gt;"",C83&lt;&gt;"",D83&lt;&gt;"",F83&lt;&gt;"",G83&lt;&gt;"",H83&lt;&gt;"",ISERROR(SEARCH("по паспорту",G83)),ISERROR(SEARCH("по паспорту",H83)),I83&lt;&gt;"",J83&lt;&gt;"",K83&lt;&gt;"",L83&lt;&gt;"",M83&lt;&gt;""),"ГОТОВО","НЕ ГОТОВО"))</f>
        <v/>
      </c>
      <c r="Z83" s="226">
        <f>IF(Y83&lt;&gt;"ГОТОВО","", "Предварительное заключение: "&amp;A83&amp;", скв. "&amp;B83&amp;". МРП: "&amp;E83&amp;" сут. ГНО: "&amp;F83&amp;", типоразмер "&amp;G83&amp;", марка "&amp;H83&amp;". Событие: "&amp;I83&amp;". Признак: "&amp;J83&amp;". Узел: "&amp;K83&amp;". Предварительная причина: "&amp;L83&amp;". Основное осложнение: "&amp;M83&amp;IF(N83&lt;&gt;"","; сопутствующее: "&amp;N83,"")&amp;IF(O83&lt;&gt;"","; дополнительно: "&amp;O83,"")&amp;".")</f>
        <v/>
      </c>
    </row>
    <row r="84">
      <c r="A84" s="75" t="n"/>
      <c r="B84" s="75" t="n"/>
      <c r="C84" s="261" t="n"/>
      <c r="D84" s="261" t="n"/>
      <c r="E84" s="262">
        <f>IF(OR(C84="",D84=""),"",D84-C84)</f>
        <v/>
      </c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226">
        <f>IF(AND(A84="",B84=""),"",IF(AND(A84&lt;&gt;"",B84&lt;&gt;"",C84&lt;&gt;"",D84&lt;&gt;"",F84&lt;&gt;"",G84&lt;&gt;"",H84&lt;&gt;"",ISERROR(SEARCH("по паспорту",G84)),ISERROR(SEARCH("по паспорту",H84)),I84&lt;&gt;"",J84&lt;&gt;"",K84&lt;&gt;"",L84&lt;&gt;"",M84&lt;&gt;""),"ГОТОВО","НЕ ГОТОВО"))</f>
        <v/>
      </c>
      <c r="Z84" s="226">
        <f>IF(Y84&lt;&gt;"ГОТОВО","", "Предварительное заключение: "&amp;A84&amp;", скв. "&amp;B84&amp;". МРП: "&amp;E84&amp;" сут. ГНО: "&amp;F84&amp;", типоразмер "&amp;G84&amp;", марка "&amp;H84&amp;". Событие: "&amp;I84&amp;". Признак: "&amp;J84&amp;". Узел: "&amp;K84&amp;". Предварительная причина: "&amp;L84&amp;". Основное осложнение: "&amp;M84&amp;IF(N84&lt;&gt;"","; сопутствующее: "&amp;N84,"")&amp;IF(O84&lt;&gt;"","; дополнительно: "&amp;O84,"")&amp;".")</f>
        <v/>
      </c>
    </row>
    <row r="85">
      <c r="A85" s="75" t="n"/>
      <c r="B85" s="75" t="n"/>
      <c r="C85" s="261" t="n"/>
      <c r="D85" s="261" t="n"/>
      <c r="E85" s="262">
        <f>IF(OR(C85="",D85=""),"",D85-C85)</f>
        <v/>
      </c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226">
        <f>IF(AND(A85="",B85=""),"",IF(AND(A85&lt;&gt;"",B85&lt;&gt;"",C85&lt;&gt;"",D85&lt;&gt;"",F85&lt;&gt;"",G85&lt;&gt;"",H85&lt;&gt;"",ISERROR(SEARCH("по паспорту",G85)),ISERROR(SEARCH("по паспорту",H85)),I85&lt;&gt;"",J85&lt;&gt;"",K85&lt;&gt;"",L85&lt;&gt;"",M85&lt;&gt;""),"ГОТОВО","НЕ ГОТОВО"))</f>
        <v/>
      </c>
      <c r="Z85" s="226">
        <f>IF(Y85&lt;&gt;"ГОТОВО","", "Предварительное заключение: "&amp;A85&amp;", скв. "&amp;B85&amp;". МРП: "&amp;E85&amp;" сут. ГНО: "&amp;F85&amp;", типоразмер "&amp;G85&amp;", марка "&amp;H85&amp;". Событие: "&amp;I85&amp;". Признак: "&amp;J85&amp;". Узел: "&amp;K85&amp;". Предварительная причина: "&amp;L85&amp;". Основное осложнение: "&amp;M85&amp;IF(N85&lt;&gt;"","; сопутствующее: "&amp;N85,"")&amp;IF(O85&lt;&gt;"","; дополнительно: "&amp;O85,"")&amp;".")</f>
        <v/>
      </c>
    </row>
    <row r="86">
      <c r="A86" s="75" t="n"/>
      <c r="B86" s="75" t="n"/>
      <c r="C86" s="261" t="n"/>
      <c r="D86" s="261" t="n"/>
      <c r="E86" s="262">
        <f>IF(OR(C86="",D86=""),"",D86-C86)</f>
        <v/>
      </c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226">
        <f>IF(AND(A86="",B86=""),"",IF(AND(A86&lt;&gt;"",B86&lt;&gt;"",C86&lt;&gt;"",D86&lt;&gt;"",F86&lt;&gt;"",G86&lt;&gt;"",H86&lt;&gt;"",ISERROR(SEARCH("по паспорту",G86)),ISERROR(SEARCH("по паспорту",H86)),I86&lt;&gt;"",J86&lt;&gt;"",K86&lt;&gt;"",L86&lt;&gt;"",M86&lt;&gt;""),"ГОТОВО","НЕ ГОТОВО"))</f>
        <v/>
      </c>
      <c r="Z86" s="226">
        <f>IF(Y86&lt;&gt;"ГОТОВО","", "Предварительное заключение: "&amp;A86&amp;", скв. "&amp;B86&amp;". МРП: "&amp;E86&amp;" сут. ГНО: "&amp;F86&amp;", типоразмер "&amp;G86&amp;", марка "&amp;H86&amp;". Событие: "&amp;I86&amp;". Признак: "&amp;J86&amp;". Узел: "&amp;K86&amp;". Предварительная причина: "&amp;L86&amp;". Основное осложнение: "&amp;M86&amp;IF(N86&lt;&gt;"","; сопутствующее: "&amp;N86,"")&amp;IF(O86&lt;&gt;"","; дополнительно: "&amp;O86,"")&amp;".")</f>
        <v/>
      </c>
    </row>
    <row r="87">
      <c r="A87" s="75" t="n"/>
      <c r="B87" s="75" t="n"/>
      <c r="C87" s="261" t="n"/>
      <c r="D87" s="261" t="n"/>
      <c r="E87" s="262">
        <f>IF(OR(C87="",D87=""),"",D87-C87)</f>
        <v/>
      </c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226">
        <f>IF(AND(A87="",B87=""),"",IF(AND(A87&lt;&gt;"",B87&lt;&gt;"",C87&lt;&gt;"",D87&lt;&gt;"",F87&lt;&gt;"",G87&lt;&gt;"",H87&lt;&gt;"",ISERROR(SEARCH("по паспорту",G87)),ISERROR(SEARCH("по паспорту",H87)),I87&lt;&gt;"",J87&lt;&gt;"",K87&lt;&gt;"",L87&lt;&gt;"",M87&lt;&gt;""),"ГОТОВО","НЕ ГОТОВО"))</f>
        <v/>
      </c>
      <c r="Z87" s="226">
        <f>IF(Y87&lt;&gt;"ГОТОВО","", "Предварительное заключение: "&amp;A87&amp;", скв. "&amp;B87&amp;". МРП: "&amp;E87&amp;" сут. ГНО: "&amp;F87&amp;", типоразмер "&amp;G87&amp;", марка "&amp;H87&amp;". Событие: "&amp;I87&amp;". Признак: "&amp;J87&amp;". Узел: "&amp;K87&amp;". Предварительная причина: "&amp;L87&amp;". Основное осложнение: "&amp;M87&amp;IF(N87&lt;&gt;"","; сопутствующее: "&amp;N87,"")&amp;IF(O87&lt;&gt;"","; дополнительно: "&amp;O87,"")&amp;".")</f>
        <v/>
      </c>
    </row>
    <row r="88">
      <c r="A88" s="75" t="n"/>
      <c r="B88" s="75" t="n"/>
      <c r="C88" s="261" t="n"/>
      <c r="D88" s="261" t="n"/>
      <c r="E88" s="262">
        <f>IF(OR(C88="",D88=""),"",D88-C88)</f>
        <v/>
      </c>
      <c r="F88" s="75" t="n"/>
      <c r="G88" s="75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226">
        <f>IF(AND(A88="",B88=""),"",IF(AND(A88&lt;&gt;"",B88&lt;&gt;"",C88&lt;&gt;"",D88&lt;&gt;"",F88&lt;&gt;"",G88&lt;&gt;"",H88&lt;&gt;"",ISERROR(SEARCH("по паспорту",G88)),ISERROR(SEARCH("по паспорту",H88)),I88&lt;&gt;"",J88&lt;&gt;"",K88&lt;&gt;"",L88&lt;&gt;"",M88&lt;&gt;""),"ГОТОВО","НЕ ГОТОВО"))</f>
        <v/>
      </c>
      <c r="Z88" s="226">
        <f>IF(Y88&lt;&gt;"ГОТОВО","", "Предварительное заключение: "&amp;A88&amp;", скв. "&amp;B88&amp;". МРП: "&amp;E88&amp;" сут. ГНО: "&amp;F88&amp;", типоразмер "&amp;G88&amp;", марка "&amp;H88&amp;". Событие: "&amp;I88&amp;". Признак: "&amp;J88&amp;". Узел: "&amp;K88&amp;". Предварительная причина: "&amp;L88&amp;". Основное осложнение: "&amp;M88&amp;IF(N88&lt;&gt;"","; сопутствующее: "&amp;N88,"")&amp;IF(O88&lt;&gt;"","; дополнительно: "&amp;O88,"")&amp;".")</f>
        <v/>
      </c>
    </row>
    <row r="89">
      <c r="A89" s="75" t="n"/>
      <c r="B89" s="75" t="n"/>
      <c r="C89" s="261" t="n"/>
      <c r="D89" s="261" t="n"/>
      <c r="E89" s="262">
        <f>IF(OR(C89="",D89=""),"",D89-C89)</f>
        <v/>
      </c>
      <c r="F89" s="75" t="n"/>
      <c r="G89" s="75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226">
        <f>IF(AND(A89="",B89=""),"",IF(AND(A89&lt;&gt;"",B89&lt;&gt;"",C89&lt;&gt;"",D89&lt;&gt;"",F89&lt;&gt;"",G89&lt;&gt;"",H89&lt;&gt;"",ISERROR(SEARCH("по паспорту",G89)),ISERROR(SEARCH("по паспорту",H89)),I89&lt;&gt;"",J89&lt;&gt;"",K89&lt;&gt;"",L89&lt;&gt;"",M89&lt;&gt;""),"ГОТОВО","НЕ ГОТОВО"))</f>
        <v/>
      </c>
      <c r="Z89" s="226">
        <f>IF(Y89&lt;&gt;"ГОТОВО","", "Предварительное заключение: "&amp;A89&amp;", скв. "&amp;B89&amp;". МРП: "&amp;E89&amp;" сут. ГНО: "&amp;F89&amp;", типоразмер "&amp;G89&amp;", марка "&amp;H89&amp;". Событие: "&amp;I89&amp;". Признак: "&amp;J89&amp;". Узел: "&amp;K89&amp;". Предварительная причина: "&amp;L89&amp;". Основное осложнение: "&amp;M89&amp;IF(N89&lt;&gt;"","; сопутствующее: "&amp;N89,"")&amp;IF(O89&lt;&gt;"","; дополнительно: "&amp;O89,"")&amp;".")</f>
        <v/>
      </c>
    </row>
    <row r="90">
      <c r="A90" s="75" t="n"/>
      <c r="B90" s="75" t="n"/>
      <c r="C90" s="261" t="n"/>
      <c r="D90" s="261" t="n"/>
      <c r="E90" s="262">
        <f>IF(OR(C90="",D90=""),"",D90-C90)</f>
        <v/>
      </c>
      <c r="F90" s="75" t="n"/>
      <c r="G90" s="75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226">
        <f>IF(AND(A90="",B90=""),"",IF(AND(A90&lt;&gt;"",B90&lt;&gt;"",C90&lt;&gt;"",D90&lt;&gt;"",F90&lt;&gt;"",G90&lt;&gt;"",H90&lt;&gt;"",ISERROR(SEARCH("по паспорту",G90)),ISERROR(SEARCH("по паспорту",H90)),I90&lt;&gt;"",J90&lt;&gt;"",K90&lt;&gt;"",L90&lt;&gt;"",M90&lt;&gt;""),"ГОТОВО","НЕ ГОТОВО"))</f>
        <v/>
      </c>
      <c r="Z90" s="226">
        <f>IF(Y90&lt;&gt;"ГОТОВО","", "Предварительное заключение: "&amp;A90&amp;", скв. "&amp;B90&amp;". МРП: "&amp;E90&amp;" сут. ГНО: "&amp;F90&amp;", типоразмер "&amp;G90&amp;", марка "&amp;H90&amp;". Событие: "&amp;I90&amp;". Признак: "&amp;J90&amp;". Узел: "&amp;K90&amp;". Предварительная причина: "&amp;L90&amp;". Основное осложнение: "&amp;M90&amp;IF(N90&lt;&gt;"","; сопутствующее: "&amp;N90,"")&amp;IF(O90&lt;&gt;"","; дополнительно: "&amp;O90,"")&amp;".")</f>
        <v/>
      </c>
    </row>
    <row r="91">
      <c r="A91" s="75" t="n"/>
      <c r="B91" s="75" t="n"/>
      <c r="C91" s="261" t="n"/>
      <c r="D91" s="261" t="n"/>
      <c r="E91" s="262">
        <f>IF(OR(C91="",D91=""),"",D91-C91)</f>
        <v/>
      </c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226">
        <f>IF(AND(A91="",B91=""),"",IF(AND(A91&lt;&gt;"",B91&lt;&gt;"",C91&lt;&gt;"",D91&lt;&gt;"",F91&lt;&gt;"",G91&lt;&gt;"",H91&lt;&gt;"",ISERROR(SEARCH("по паспорту",G91)),ISERROR(SEARCH("по паспорту",H91)),I91&lt;&gt;"",J91&lt;&gt;"",K91&lt;&gt;"",L91&lt;&gt;"",M91&lt;&gt;""),"ГОТОВО","НЕ ГОТОВО"))</f>
        <v/>
      </c>
      <c r="Z91" s="226">
        <f>IF(Y91&lt;&gt;"ГОТОВО","", "Предварительное заключение: "&amp;A91&amp;", скв. "&amp;B91&amp;". МРП: "&amp;E91&amp;" сут. ГНО: "&amp;F91&amp;", типоразмер "&amp;G91&amp;", марка "&amp;H91&amp;". Событие: "&amp;I91&amp;". Признак: "&amp;J91&amp;". Узел: "&amp;K91&amp;". Предварительная причина: "&amp;L91&amp;". Основное осложнение: "&amp;M91&amp;IF(N91&lt;&gt;"","; сопутствующее: "&amp;N91,"")&amp;IF(O91&lt;&gt;"","; дополнительно: "&amp;O91,"")&amp;".")</f>
        <v/>
      </c>
    </row>
    <row r="92">
      <c r="A92" s="75" t="n"/>
      <c r="B92" s="75" t="n"/>
      <c r="C92" s="261" t="n"/>
      <c r="D92" s="261" t="n"/>
      <c r="E92" s="262">
        <f>IF(OR(C92="",D92=""),"",D92-C92)</f>
        <v/>
      </c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226">
        <f>IF(AND(A92="",B92=""),"",IF(AND(A92&lt;&gt;"",B92&lt;&gt;"",C92&lt;&gt;"",D92&lt;&gt;"",F92&lt;&gt;"",G92&lt;&gt;"",H92&lt;&gt;"",ISERROR(SEARCH("по паспорту",G92)),ISERROR(SEARCH("по паспорту",H92)),I92&lt;&gt;"",J92&lt;&gt;"",K92&lt;&gt;"",L92&lt;&gt;"",M92&lt;&gt;""),"ГОТОВО","НЕ ГОТОВО"))</f>
        <v/>
      </c>
      <c r="Z92" s="226">
        <f>IF(Y92&lt;&gt;"ГОТОВО","", "Предварительное заключение: "&amp;A92&amp;", скв. "&amp;B92&amp;". МРП: "&amp;E92&amp;" сут. ГНО: "&amp;F92&amp;", типоразмер "&amp;G92&amp;", марка "&amp;H92&amp;". Событие: "&amp;I92&amp;". Признак: "&amp;J92&amp;". Узел: "&amp;K92&amp;". Предварительная причина: "&amp;L92&amp;". Основное осложнение: "&amp;M92&amp;IF(N92&lt;&gt;"","; сопутствующее: "&amp;N92,"")&amp;IF(O92&lt;&gt;"","; дополнительно: "&amp;O92,"")&amp;".")</f>
        <v/>
      </c>
    </row>
    <row r="93">
      <c r="A93" s="75" t="n"/>
      <c r="B93" s="75" t="n"/>
      <c r="C93" s="261" t="n"/>
      <c r="D93" s="261" t="n"/>
      <c r="E93" s="262">
        <f>IF(OR(C93="",D93=""),"",D93-C93)</f>
        <v/>
      </c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226">
        <f>IF(AND(A93="",B93=""),"",IF(AND(A93&lt;&gt;"",B93&lt;&gt;"",C93&lt;&gt;"",D93&lt;&gt;"",F93&lt;&gt;"",G93&lt;&gt;"",H93&lt;&gt;"",ISERROR(SEARCH("по паспорту",G93)),ISERROR(SEARCH("по паспорту",H93)),I93&lt;&gt;"",J93&lt;&gt;"",K93&lt;&gt;"",L93&lt;&gt;"",M93&lt;&gt;""),"ГОТОВО","НЕ ГОТОВО"))</f>
        <v/>
      </c>
      <c r="Z93" s="226">
        <f>IF(Y93&lt;&gt;"ГОТОВО","", "Предварительное заключение: "&amp;A93&amp;", скв. "&amp;B93&amp;". МРП: "&amp;E93&amp;" сут. ГНО: "&amp;F93&amp;", типоразмер "&amp;G93&amp;", марка "&amp;H93&amp;". Событие: "&amp;I93&amp;". Признак: "&amp;J93&amp;". Узел: "&amp;K93&amp;". Предварительная причина: "&amp;L93&amp;". Основное осложнение: "&amp;M93&amp;IF(N93&lt;&gt;"","; сопутствующее: "&amp;N93,"")&amp;IF(O93&lt;&gt;"","; дополнительно: "&amp;O93,"")&amp;".")</f>
        <v/>
      </c>
    </row>
    <row r="94">
      <c r="A94" s="75" t="n"/>
      <c r="B94" s="75" t="n"/>
      <c r="C94" s="261" t="n"/>
      <c r="D94" s="261" t="n"/>
      <c r="E94" s="262">
        <f>IF(OR(C94="",D94=""),"",D94-C94)</f>
        <v/>
      </c>
      <c r="F94" s="75" t="n"/>
      <c r="G94" s="75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226">
        <f>IF(AND(A94="",B94=""),"",IF(AND(A94&lt;&gt;"",B94&lt;&gt;"",C94&lt;&gt;"",D94&lt;&gt;"",F94&lt;&gt;"",G94&lt;&gt;"",H94&lt;&gt;"",ISERROR(SEARCH("по паспорту",G94)),ISERROR(SEARCH("по паспорту",H94)),I94&lt;&gt;"",J94&lt;&gt;"",K94&lt;&gt;"",L94&lt;&gt;"",M94&lt;&gt;""),"ГОТОВО","НЕ ГОТОВО"))</f>
        <v/>
      </c>
      <c r="Z94" s="226">
        <f>IF(Y94&lt;&gt;"ГОТОВО","", "Предварительное заключение: "&amp;A94&amp;", скв. "&amp;B94&amp;". МРП: "&amp;E94&amp;" сут. ГНО: "&amp;F94&amp;", типоразмер "&amp;G94&amp;", марка "&amp;H94&amp;". Событие: "&amp;I94&amp;". Признак: "&amp;J94&amp;". Узел: "&amp;K94&amp;". Предварительная причина: "&amp;L94&amp;". Основное осложнение: "&amp;M94&amp;IF(N94&lt;&gt;"","; сопутствующее: "&amp;N94,"")&amp;IF(O94&lt;&gt;"","; дополнительно: "&amp;O94,"")&amp;".")</f>
        <v/>
      </c>
    </row>
    <row r="95">
      <c r="A95" s="75" t="n"/>
      <c r="B95" s="75" t="n"/>
      <c r="C95" s="261" t="n"/>
      <c r="D95" s="261" t="n"/>
      <c r="E95" s="262">
        <f>IF(OR(C95="",D95=""),"",D95-C95)</f>
        <v/>
      </c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226">
        <f>IF(AND(A95="",B95=""),"",IF(AND(A95&lt;&gt;"",B95&lt;&gt;"",C95&lt;&gt;"",D95&lt;&gt;"",F95&lt;&gt;"",G95&lt;&gt;"",H95&lt;&gt;"",ISERROR(SEARCH("по паспорту",G95)),ISERROR(SEARCH("по паспорту",H95)),I95&lt;&gt;"",J95&lt;&gt;"",K95&lt;&gt;"",L95&lt;&gt;"",M95&lt;&gt;""),"ГОТОВО","НЕ ГОТОВО"))</f>
        <v/>
      </c>
      <c r="Z95" s="226">
        <f>IF(Y95&lt;&gt;"ГОТОВО","", "Предварительное заключение: "&amp;A95&amp;", скв. "&amp;B95&amp;". МРП: "&amp;E95&amp;" сут. ГНО: "&amp;F95&amp;", типоразмер "&amp;G95&amp;", марка "&amp;H95&amp;". Событие: "&amp;I95&amp;". Признак: "&amp;J95&amp;". Узел: "&amp;K95&amp;". Предварительная причина: "&amp;L95&amp;". Основное осложнение: "&amp;M95&amp;IF(N95&lt;&gt;"","; сопутствующее: "&amp;N95,"")&amp;IF(O95&lt;&gt;"","; дополнительно: "&amp;O95,"")&amp;".")</f>
        <v/>
      </c>
    </row>
    <row r="96">
      <c r="A96" s="75" t="n"/>
      <c r="B96" s="75" t="n"/>
      <c r="C96" s="261" t="n"/>
      <c r="D96" s="261" t="n"/>
      <c r="E96" s="262">
        <f>IF(OR(C96="",D96=""),"",D96-C96)</f>
        <v/>
      </c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226">
        <f>IF(AND(A96="",B96=""),"",IF(AND(A96&lt;&gt;"",B96&lt;&gt;"",C96&lt;&gt;"",D96&lt;&gt;"",F96&lt;&gt;"",G96&lt;&gt;"",H96&lt;&gt;"",ISERROR(SEARCH("по паспорту",G96)),ISERROR(SEARCH("по паспорту",H96)),I96&lt;&gt;"",J96&lt;&gt;"",K96&lt;&gt;"",L96&lt;&gt;"",M96&lt;&gt;""),"ГОТОВО","НЕ ГОТОВО"))</f>
        <v/>
      </c>
      <c r="Z96" s="226">
        <f>IF(Y96&lt;&gt;"ГОТОВО","", "Предварительное заключение: "&amp;A96&amp;", скв. "&amp;B96&amp;". МРП: "&amp;E96&amp;" сут. ГНО: "&amp;F96&amp;", типоразмер "&amp;G96&amp;", марка "&amp;H96&amp;". Событие: "&amp;I96&amp;". Признак: "&amp;J96&amp;". Узел: "&amp;K96&amp;". Предварительная причина: "&amp;L96&amp;". Основное осложнение: "&amp;M96&amp;IF(N96&lt;&gt;"","; сопутствующее: "&amp;N96,"")&amp;IF(O96&lt;&gt;"","; дополнительно: "&amp;O96,"")&amp;".")</f>
        <v/>
      </c>
    </row>
    <row r="97">
      <c r="A97" s="75" t="n"/>
      <c r="B97" s="75" t="n"/>
      <c r="C97" s="261" t="n"/>
      <c r="D97" s="261" t="n"/>
      <c r="E97" s="262">
        <f>IF(OR(C97="",D97=""),"",D97-C97)</f>
        <v/>
      </c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226">
        <f>IF(AND(A97="",B97=""),"",IF(AND(A97&lt;&gt;"",B97&lt;&gt;"",C97&lt;&gt;"",D97&lt;&gt;"",F97&lt;&gt;"",G97&lt;&gt;"",H97&lt;&gt;"",ISERROR(SEARCH("по паспорту",G97)),ISERROR(SEARCH("по паспорту",H97)),I97&lt;&gt;"",J97&lt;&gt;"",K97&lt;&gt;"",L97&lt;&gt;"",M97&lt;&gt;""),"ГОТОВО","НЕ ГОТОВО"))</f>
        <v/>
      </c>
      <c r="Z97" s="226">
        <f>IF(Y97&lt;&gt;"ГОТОВО","", "Предварительное заключение: "&amp;A97&amp;", скв. "&amp;B97&amp;". МРП: "&amp;E97&amp;" сут. ГНО: "&amp;F97&amp;", типоразмер "&amp;G97&amp;", марка "&amp;H97&amp;". Событие: "&amp;I97&amp;". Признак: "&amp;J97&amp;". Узел: "&amp;K97&amp;". Предварительная причина: "&amp;L97&amp;". Основное осложнение: "&amp;M97&amp;IF(N97&lt;&gt;"","; сопутствующее: "&amp;N97,"")&amp;IF(O97&lt;&gt;"","; дополнительно: "&amp;O97,"")&amp;".")</f>
        <v/>
      </c>
    </row>
    <row r="98">
      <c r="A98" s="75" t="n"/>
      <c r="B98" s="75" t="n"/>
      <c r="C98" s="261" t="n"/>
      <c r="D98" s="261" t="n"/>
      <c r="E98" s="262">
        <f>IF(OR(C98="",D98=""),"",D98-C98)</f>
        <v/>
      </c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226">
        <f>IF(AND(A98="",B98=""),"",IF(AND(A98&lt;&gt;"",B98&lt;&gt;"",C98&lt;&gt;"",D98&lt;&gt;"",F98&lt;&gt;"",G98&lt;&gt;"",H98&lt;&gt;"",ISERROR(SEARCH("по паспорту",G98)),ISERROR(SEARCH("по паспорту",H98)),I98&lt;&gt;"",J98&lt;&gt;"",K98&lt;&gt;"",L98&lt;&gt;"",M98&lt;&gt;""),"ГОТОВО","НЕ ГОТОВО"))</f>
        <v/>
      </c>
      <c r="Z98" s="226">
        <f>IF(Y98&lt;&gt;"ГОТОВО","", "Предварительное заключение: "&amp;A98&amp;", скв. "&amp;B98&amp;". МРП: "&amp;E98&amp;" сут. ГНО: "&amp;F98&amp;", типоразмер "&amp;G98&amp;", марка "&amp;H98&amp;". Событие: "&amp;I98&amp;". Признак: "&amp;J98&amp;". Узел: "&amp;K98&amp;". Предварительная причина: "&amp;L98&amp;". Основное осложнение: "&amp;M98&amp;IF(N98&lt;&gt;"","; сопутствующее: "&amp;N98,"")&amp;IF(O98&lt;&gt;"","; дополнительно: "&amp;O98,"")&amp;".")</f>
        <v/>
      </c>
    </row>
    <row r="99">
      <c r="A99" s="75" t="n"/>
      <c r="B99" s="75" t="n"/>
      <c r="C99" s="261" t="n"/>
      <c r="D99" s="261" t="n"/>
      <c r="E99" s="262">
        <f>IF(OR(C99="",D99=""),"",D99-C99)</f>
        <v/>
      </c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226">
        <f>IF(AND(A99="",B99=""),"",IF(AND(A99&lt;&gt;"",B99&lt;&gt;"",C99&lt;&gt;"",D99&lt;&gt;"",F99&lt;&gt;"",G99&lt;&gt;"",H99&lt;&gt;"",ISERROR(SEARCH("по паспорту",G99)),ISERROR(SEARCH("по паспорту",H99)),I99&lt;&gt;"",J99&lt;&gt;"",K99&lt;&gt;"",L99&lt;&gt;"",M99&lt;&gt;""),"ГОТОВО","НЕ ГОТОВО"))</f>
        <v/>
      </c>
      <c r="Z99" s="226">
        <f>IF(Y99&lt;&gt;"ГОТОВО","", "Предварительное заключение: "&amp;A99&amp;", скв. "&amp;B99&amp;". МРП: "&amp;E99&amp;" сут. ГНО: "&amp;F99&amp;", типоразмер "&amp;G99&amp;", марка "&amp;H99&amp;". Событие: "&amp;I99&amp;". Признак: "&amp;J99&amp;". Узел: "&amp;K99&amp;". Предварительная причина: "&amp;L99&amp;". Основное осложнение: "&amp;M99&amp;IF(N99&lt;&gt;"","; сопутствующее: "&amp;N99,"")&amp;IF(O99&lt;&gt;"","; дополнительно: "&amp;O99,"")&amp;".")</f>
        <v/>
      </c>
    </row>
    <row r="100">
      <c r="A100" s="75" t="n"/>
      <c r="B100" s="75" t="n"/>
      <c r="C100" s="261" t="n"/>
      <c r="D100" s="261" t="n"/>
      <c r="E100" s="262">
        <f>IF(OR(C100="",D100=""),"",D100-C100)</f>
        <v/>
      </c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226">
        <f>IF(AND(A100="",B100=""),"",IF(AND(A100&lt;&gt;"",B100&lt;&gt;"",C100&lt;&gt;"",D100&lt;&gt;"",F100&lt;&gt;"",G100&lt;&gt;"",H100&lt;&gt;"",ISERROR(SEARCH("по паспорту",G100)),ISERROR(SEARCH("по паспорту",H100)),I100&lt;&gt;"",J100&lt;&gt;"",K100&lt;&gt;"",L100&lt;&gt;"",M100&lt;&gt;""),"ГОТОВО","НЕ ГОТОВО"))</f>
        <v/>
      </c>
      <c r="Z100" s="226">
        <f>IF(Y100&lt;&gt;"ГОТОВО","", "Предварительное заключение: "&amp;A100&amp;", скв. "&amp;B100&amp;". МРП: "&amp;E100&amp;" сут. ГНО: "&amp;F100&amp;", типоразмер "&amp;G100&amp;", марка "&amp;H100&amp;". Событие: "&amp;I100&amp;". Признак: "&amp;J100&amp;". Узел: "&amp;K100&amp;". Предварительная причина: "&amp;L100&amp;". Основное осложнение: "&amp;M100&amp;IF(N100&lt;&gt;"","; сопутствующее: "&amp;N100,"")&amp;IF(O100&lt;&gt;"","; дополнительно: "&amp;O100,"")&amp;".")</f>
        <v/>
      </c>
    </row>
    <row r="101">
      <c r="A101" s="75" t="n"/>
      <c r="B101" s="75" t="n"/>
      <c r="C101" s="261" t="n"/>
      <c r="D101" s="261" t="n"/>
      <c r="E101" s="262">
        <f>IF(OR(C101="",D101=""),"",D101-C101)</f>
        <v/>
      </c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226">
        <f>IF(AND(A101="",B101=""),"",IF(AND(A101&lt;&gt;"",B101&lt;&gt;"",C101&lt;&gt;"",D101&lt;&gt;"",F101&lt;&gt;"",G101&lt;&gt;"",H101&lt;&gt;"",ISERROR(SEARCH("по паспорту",G101)),ISERROR(SEARCH("по паспорту",H101)),I101&lt;&gt;"",J101&lt;&gt;"",K101&lt;&gt;"",L101&lt;&gt;"",M101&lt;&gt;""),"ГОТОВО","НЕ ГОТОВО"))</f>
        <v/>
      </c>
      <c r="Z101" s="226">
        <f>IF(Y101&lt;&gt;"ГОТОВО","", "Предварительное заключение: "&amp;A101&amp;", скв. "&amp;B101&amp;". МРП: "&amp;E101&amp;" сут. ГНО: "&amp;F101&amp;", типоразмер "&amp;G101&amp;", марка "&amp;H101&amp;". Событие: "&amp;I101&amp;". Признак: "&amp;J101&amp;". Узел: "&amp;K101&amp;". Предварительная причина: "&amp;L101&amp;". Основное осложнение: "&amp;M101&amp;IF(N101&lt;&gt;"","; сопутствующее: "&amp;N101,"")&amp;IF(O101&lt;&gt;"","; дополнительно: "&amp;O101,"")&amp;".")</f>
        <v/>
      </c>
    </row>
    <row r="102">
      <c r="A102" s="75" t="n"/>
      <c r="B102" s="75" t="n"/>
      <c r="C102" s="261" t="n"/>
      <c r="D102" s="261" t="n"/>
      <c r="E102" s="262">
        <f>IF(OR(C102="",D102=""),"",D102-C102)</f>
        <v/>
      </c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226">
        <f>IF(AND(A102="",B102=""),"",IF(AND(A102&lt;&gt;"",B102&lt;&gt;"",C102&lt;&gt;"",D102&lt;&gt;"",F102&lt;&gt;"",G102&lt;&gt;"",H102&lt;&gt;"",ISERROR(SEARCH("по паспорту",G102)),ISERROR(SEARCH("по паспорту",H102)),I102&lt;&gt;"",J102&lt;&gt;"",K102&lt;&gt;"",L102&lt;&gt;"",M102&lt;&gt;""),"ГОТОВО","НЕ ГОТОВО"))</f>
        <v/>
      </c>
      <c r="Z102" s="226">
        <f>IF(Y102&lt;&gt;"ГОТОВО","", "Предварительное заключение: "&amp;A102&amp;", скв. "&amp;B102&amp;". МРП: "&amp;E102&amp;" сут. ГНО: "&amp;F102&amp;", типоразмер "&amp;G102&amp;", марка "&amp;H102&amp;". Событие: "&amp;I102&amp;". Признак: "&amp;J102&amp;". Узел: "&amp;K102&amp;". Предварительная причина: "&amp;L102&amp;". Основное осложнение: "&amp;M102&amp;IF(N102&lt;&gt;"","; сопутствующее: "&amp;N102,"")&amp;IF(O102&lt;&gt;"","; дополнительно: "&amp;O102,"")&amp;".")</f>
        <v/>
      </c>
    </row>
    <row r="103">
      <c r="A103" s="75" t="n"/>
      <c r="B103" s="75" t="n"/>
      <c r="C103" s="261" t="n"/>
      <c r="D103" s="261" t="n"/>
      <c r="E103" s="262">
        <f>IF(OR(C103="",D103=""),"",D103-C103)</f>
        <v/>
      </c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226">
        <f>IF(AND(A103="",B103=""),"",IF(AND(A103&lt;&gt;"",B103&lt;&gt;"",C103&lt;&gt;"",D103&lt;&gt;"",F103&lt;&gt;"",G103&lt;&gt;"",H103&lt;&gt;"",ISERROR(SEARCH("по паспорту",G103)),ISERROR(SEARCH("по паспорту",H103)),I103&lt;&gt;"",J103&lt;&gt;"",K103&lt;&gt;"",L103&lt;&gt;"",M103&lt;&gt;""),"ГОТОВО","НЕ ГОТОВО"))</f>
        <v/>
      </c>
      <c r="Z103" s="226">
        <f>IF(Y103&lt;&gt;"ГОТОВО","", "Предварительное заключение: "&amp;A103&amp;", скв. "&amp;B103&amp;". МРП: "&amp;E103&amp;" сут. ГНО: "&amp;F103&amp;", типоразмер "&amp;G103&amp;", марка "&amp;H103&amp;". Событие: "&amp;I103&amp;". Признак: "&amp;J103&amp;". Узел: "&amp;K103&amp;". Предварительная причина: "&amp;L103&amp;". Основное осложнение: "&amp;M103&amp;IF(N103&lt;&gt;"","; сопутствующее: "&amp;N103,"")&amp;IF(O103&lt;&gt;"","; дополнительно: "&amp;O103,"")&amp;".")</f>
        <v/>
      </c>
    </row>
    <row r="104">
      <c r="A104" s="75" t="n"/>
      <c r="B104" s="75" t="n"/>
      <c r="C104" s="261" t="n"/>
      <c r="D104" s="261" t="n"/>
      <c r="E104" s="262">
        <f>IF(OR(C104="",D104=""),"",D104-C104)</f>
        <v/>
      </c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226">
        <f>IF(AND(A104="",B104=""),"",IF(AND(A104&lt;&gt;"",B104&lt;&gt;"",C104&lt;&gt;"",D104&lt;&gt;"",F104&lt;&gt;"",G104&lt;&gt;"",H104&lt;&gt;"",ISERROR(SEARCH("по паспорту",G104)),ISERROR(SEARCH("по паспорту",H104)),I104&lt;&gt;"",J104&lt;&gt;"",K104&lt;&gt;"",L104&lt;&gt;"",M104&lt;&gt;""),"ГОТОВО","НЕ ГОТОВО"))</f>
        <v/>
      </c>
      <c r="Z104" s="226">
        <f>IF(Y104&lt;&gt;"ГОТОВО","", "Предварительное заключение: "&amp;A104&amp;", скв. "&amp;B104&amp;". МРП: "&amp;E104&amp;" сут. ГНО: "&amp;F104&amp;", типоразмер "&amp;G104&amp;", марка "&amp;H104&amp;". Событие: "&amp;I104&amp;". Признак: "&amp;J104&amp;". Узел: "&amp;K104&amp;". Предварительная причина: "&amp;L104&amp;". Основное осложнение: "&amp;M104&amp;IF(N104&lt;&gt;"","; сопутствующее: "&amp;N104,"")&amp;IF(O104&lt;&gt;"","; дополнительно: "&amp;O104,"")&amp;".")</f>
        <v/>
      </c>
    </row>
    <row r="105">
      <c r="A105" s="75" t="n"/>
      <c r="B105" s="75" t="n"/>
      <c r="C105" s="261" t="n"/>
      <c r="D105" s="261" t="n"/>
      <c r="E105" s="262">
        <f>IF(OR(C105="",D105=""),"",D105-C105)</f>
        <v/>
      </c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226">
        <f>IF(AND(A105="",B105=""),"",IF(AND(A105&lt;&gt;"",B105&lt;&gt;"",C105&lt;&gt;"",D105&lt;&gt;"",F105&lt;&gt;"",G105&lt;&gt;"",H105&lt;&gt;"",ISERROR(SEARCH("по паспорту",G105)),ISERROR(SEARCH("по паспорту",H105)),I105&lt;&gt;"",J105&lt;&gt;"",K105&lt;&gt;"",L105&lt;&gt;"",M105&lt;&gt;""),"ГОТОВО","НЕ ГОТОВО"))</f>
        <v/>
      </c>
      <c r="Z105" s="226">
        <f>IF(Y105&lt;&gt;"ГОТОВО","", "Предварительное заключение: "&amp;A105&amp;", скв. "&amp;B105&amp;". МРП: "&amp;E105&amp;" сут. ГНО: "&amp;F105&amp;", типоразмер "&amp;G105&amp;", марка "&amp;H105&amp;". Событие: "&amp;I105&amp;". Признак: "&amp;J105&amp;". Узел: "&amp;K105&amp;". Предварительная причина: "&amp;L105&amp;". Основное осложнение: "&amp;M105&amp;IF(N105&lt;&gt;"","; сопутствующее: "&amp;N105,"")&amp;IF(O105&lt;&gt;"","; дополнительно: "&amp;O105,"")&amp;".")</f>
        <v/>
      </c>
    </row>
    <row r="106">
      <c r="A106" s="75" t="n"/>
      <c r="B106" s="75" t="n"/>
      <c r="C106" s="261" t="n"/>
      <c r="D106" s="261" t="n"/>
      <c r="E106" s="262">
        <f>IF(OR(C106="",D106=""),"",D106-C106)</f>
        <v/>
      </c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226">
        <f>IF(AND(A106="",B106=""),"",IF(AND(A106&lt;&gt;"",B106&lt;&gt;"",C106&lt;&gt;"",D106&lt;&gt;"",F106&lt;&gt;"",G106&lt;&gt;"",H106&lt;&gt;"",ISERROR(SEARCH("по паспорту",G106)),ISERROR(SEARCH("по паспорту",H106)),I106&lt;&gt;"",J106&lt;&gt;"",K106&lt;&gt;"",L106&lt;&gt;"",M106&lt;&gt;""),"ГОТОВО","НЕ ГОТОВО"))</f>
        <v/>
      </c>
      <c r="Z106" s="226">
        <f>IF(Y106&lt;&gt;"ГОТОВО","", "Предварительное заключение: "&amp;A106&amp;", скв. "&amp;B106&amp;". МРП: "&amp;E106&amp;" сут. ГНО: "&amp;F106&amp;", типоразмер "&amp;G106&amp;", марка "&amp;H106&amp;". Событие: "&amp;I106&amp;". Признак: "&amp;J106&amp;". Узел: "&amp;K106&amp;". Предварительная причина: "&amp;L106&amp;". Основное осложнение: "&amp;M106&amp;IF(N106&lt;&gt;"","; сопутствующее: "&amp;N106,"")&amp;IF(O106&lt;&gt;"","; дополнительно: "&amp;O106,"")&amp;".")</f>
        <v/>
      </c>
    </row>
    <row r="107">
      <c r="A107" s="75" t="n"/>
      <c r="B107" s="75" t="n"/>
      <c r="C107" s="261" t="n"/>
      <c r="D107" s="261" t="n"/>
      <c r="E107" s="262">
        <f>IF(OR(C107="",D107=""),"",D107-C107)</f>
        <v/>
      </c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226">
        <f>IF(AND(A107="",B107=""),"",IF(AND(A107&lt;&gt;"",B107&lt;&gt;"",C107&lt;&gt;"",D107&lt;&gt;"",F107&lt;&gt;"",G107&lt;&gt;"",H107&lt;&gt;"",ISERROR(SEARCH("по паспорту",G107)),ISERROR(SEARCH("по паспорту",H107)),I107&lt;&gt;"",J107&lt;&gt;"",K107&lt;&gt;"",L107&lt;&gt;"",M107&lt;&gt;""),"ГОТОВО","НЕ ГОТОВО"))</f>
        <v/>
      </c>
      <c r="Z107" s="226">
        <f>IF(Y107&lt;&gt;"ГОТОВО","", "Предварительное заключение: "&amp;A107&amp;", скв. "&amp;B107&amp;". МРП: "&amp;E107&amp;" сут. ГНО: "&amp;F107&amp;", типоразмер "&amp;G107&amp;", марка "&amp;H107&amp;". Событие: "&amp;I107&amp;". Признак: "&amp;J107&amp;". Узел: "&amp;K107&amp;". Предварительная причина: "&amp;L107&amp;". Основное осложнение: "&amp;M107&amp;IF(N107&lt;&gt;"","; сопутствующее: "&amp;N107,"")&amp;IF(O107&lt;&gt;"","; дополнительно: "&amp;O107,"")&amp;".")</f>
        <v/>
      </c>
    </row>
    <row r="108">
      <c r="A108" s="75" t="n"/>
      <c r="B108" s="75" t="n"/>
      <c r="C108" s="261" t="n"/>
      <c r="D108" s="261" t="n"/>
      <c r="E108" s="262">
        <f>IF(OR(C108="",D108=""),"",D108-C108)</f>
        <v/>
      </c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226">
        <f>IF(AND(A108="",B108=""),"",IF(AND(A108&lt;&gt;"",B108&lt;&gt;"",C108&lt;&gt;"",D108&lt;&gt;"",F108&lt;&gt;"",G108&lt;&gt;"",H108&lt;&gt;"",ISERROR(SEARCH("по паспорту",G108)),ISERROR(SEARCH("по паспорту",H108)),I108&lt;&gt;"",J108&lt;&gt;"",K108&lt;&gt;"",L108&lt;&gt;"",M108&lt;&gt;""),"ГОТОВО","НЕ ГОТОВО"))</f>
        <v/>
      </c>
      <c r="Z108" s="226">
        <f>IF(Y108&lt;&gt;"ГОТОВО","", "Предварительное заключение: "&amp;A108&amp;", скв. "&amp;B108&amp;". МРП: "&amp;E108&amp;" сут. ГНО: "&amp;F108&amp;", типоразмер "&amp;G108&amp;", марка "&amp;H108&amp;". Событие: "&amp;I108&amp;". Признак: "&amp;J108&amp;". Узел: "&amp;K108&amp;". Предварительная причина: "&amp;L108&amp;". Основное осложнение: "&amp;M108&amp;IF(N108&lt;&gt;"","; сопутствующее: "&amp;N108,"")&amp;IF(O108&lt;&gt;"","; дополнительно: "&amp;O108,"")&amp;".")</f>
        <v/>
      </c>
    </row>
    <row r="109">
      <c r="A109" s="75" t="n"/>
      <c r="B109" s="75" t="n"/>
      <c r="C109" s="261" t="n"/>
      <c r="D109" s="261" t="n"/>
      <c r="E109" s="262">
        <f>IF(OR(C109="",D109=""),"",D109-C109)</f>
        <v/>
      </c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226">
        <f>IF(AND(A109="",B109=""),"",IF(AND(A109&lt;&gt;"",B109&lt;&gt;"",C109&lt;&gt;"",D109&lt;&gt;"",F109&lt;&gt;"",G109&lt;&gt;"",H109&lt;&gt;"",ISERROR(SEARCH("по паспорту",G109)),ISERROR(SEARCH("по паспорту",H109)),I109&lt;&gt;"",J109&lt;&gt;"",K109&lt;&gt;"",L109&lt;&gt;"",M109&lt;&gt;""),"ГОТОВО","НЕ ГОТОВО"))</f>
        <v/>
      </c>
      <c r="Z109" s="226">
        <f>IF(Y109&lt;&gt;"ГОТОВО","", "Предварительное заключение: "&amp;A109&amp;", скв. "&amp;B109&amp;". МРП: "&amp;E109&amp;" сут. ГНО: "&amp;F109&amp;", типоразмер "&amp;G109&amp;", марка "&amp;H109&amp;". Событие: "&amp;I109&amp;". Признак: "&amp;J109&amp;". Узел: "&amp;K109&amp;". Предварительная причина: "&amp;L109&amp;". Основное осложнение: "&amp;M109&amp;IF(N109&lt;&gt;"","; сопутствующее: "&amp;N109,"")&amp;IF(O109&lt;&gt;"","; дополнительно: "&amp;O109,"")&amp;".")</f>
        <v/>
      </c>
    </row>
    <row r="110">
      <c r="A110" s="75" t="n"/>
      <c r="B110" s="75" t="n"/>
      <c r="C110" s="261" t="n"/>
      <c r="D110" s="261" t="n"/>
      <c r="E110" s="262">
        <f>IF(OR(C110="",D110=""),"",D110-C110)</f>
        <v/>
      </c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226">
        <f>IF(AND(A110="",B110=""),"",IF(AND(A110&lt;&gt;"",B110&lt;&gt;"",C110&lt;&gt;"",D110&lt;&gt;"",F110&lt;&gt;"",G110&lt;&gt;"",H110&lt;&gt;"",ISERROR(SEARCH("по паспорту",G110)),ISERROR(SEARCH("по паспорту",H110)),I110&lt;&gt;"",J110&lt;&gt;"",K110&lt;&gt;"",L110&lt;&gt;"",M110&lt;&gt;""),"ГОТОВО","НЕ ГОТОВО"))</f>
        <v/>
      </c>
      <c r="Z110" s="226">
        <f>IF(Y110&lt;&gt;"ГОТОВО","", "Предварительное заключение: "&amp;A110&amp;", скв. "&amp;B110&amp;". МРП: "&amp;E110&amp;" сут. ГНО: "&amp;F110&amp;", типоразмер "&amp;G110&amp;", марка "&amp;H110&amp;". Событие: "&amp;I110&amp;". Признак: "&amp;J110&amp;". Узел: "&amp;K110&amp;". Предварительная причина: "&amp;L110&amp;". Основное осложнение: "&amp;M110&amp;IF(N110&lt;&gt;"","; сопутствующее: "&amp;N110,"")&amp;IF(O110&lt;&gt;"","; дополнительно: "&amp;O110,"")&amp;".")</f>
        <v/>
      </c>
    </row>
    <row r="111">
      <c r="A111" s="75" t="n"/>
      <c r="B111" s="75" t="n"/>
      <c r="C111" s="261" t="n"/>
      <c r="D111" s="261" t="n"/>
      <c r="E111" s="262">
        <f>IF(OR(C111="",D111=""),"",D111-C111)</f>
        <v/>
      </c>
      <c r="F111" s="75" t="n"/>
      <c r="G111" s="75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75" t="n"/>
      <c r="W111" s="75" t="n"/>
      <c r="X111" s="75" t="n"/>
      <c r="Y111" s="226">
        <f>IF(AND(A111="",B111=""),"",IF(AND(A111&lt;&gt;"",B111&lt;&gt;"",C111&lt;&gt;"",D111&lt;&gt;"",F111&lt;&gt;"",G111&lt;&gt;"",H111&lt;&gt;"",ISERROR(SEARCH("по паспорту",G111)),ISERROR(SEARCH("по паспорту",H111)),I111&lt;&gt;"",J111&lt;&gt;"",K111&lt;&gt;"",L111&lt;&gt;"",M111&lt;&gt;""),"ГОТОВО","НЕ ГОТОВО"))</f>
        <v/>
      </c>
      <c r="Z111" s="226">
        <f>IF(Y111&lt;&gt;"ГОТОВО","", "Предварительное заключение: "&amp;A111&amp;", скв. "&amp;B111&amp;". МРП: "&amp;E111&amp;" сут. ГНО: "&amp;F111&amp;", типоразмер "&amp;G111&amp;", марка "&amp;H111&amp;". Событие: "&amp;I111&amp;". Признак: "&amp;J111&amp;". Узел: "&amp;K111&amp;". Предварительная причина: "&amp;L111&amp;". Основное осложнение: "&amp;M111&amp;IF(N111&lt;&gt;"","; сопутствующее: "&amp;N111,"")&amp;IF(O111&lt;&gt;"","; дополнительно: "&amp;O111,"")&amp;".")</f>
        <v/>
      </c>
    </row>
    <row r="112">
      <c r="A112" s="75" t="n"/>
      <c r="B112" s="75" t="n"/>
      <c r="C112" s="261" t="n"/>
      <c r="D112" s="261" t="n"/>
      <c r="E112" s="262">
        <f>IF(OR(C112="",D112=""),"",D112-C112)</f>
        <v/>
      </c>
      <c r="F112" s="7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226">
        <f>IF(AND(A112="",B112=""),"",IF(AND(A112&lt;&gt;"",B112&lt;&gt;"",C112&lt;&gt;"",D112&lt;&gt;"",F112&lt;&gt;"",G112&lt;&gt;"",H112&lt;&gt;"",ISERROR(SEARCH("по паспорту",G112)),ISERROR(SEARCH("по паспорту",H112)),I112&lt;&gt;"",J112&lt;&gt;"",K112&lt;&gt;"",L112&lt;&gt;"",M112&lt;&gt;""),"ГОТОВО","НЕ ГОТОВО"))</f>
        <v/>
      </c>
      <c r="Z112" s="226">
        <f>IF(Y112&lt;&gt;"ГОТОВО","", "Предварительное заключение: "&amp;A112&amp;", скв. "&amp;B112&amp;". МРП: "&amp;E112&amp;" сут. ГНО: "&amp;F112&amp;", типоразмер "&amp;G112&amp;", марка "&amp;H112&amp;". Событие: "&amp;I112&amp;". Признак: "&amp;J112&amp;". Узел: "&amp;K112&amp;". Предварительная причина: "&amp;L112&amp;". Основное осложнение: "&amp;M112&amp;IF(N112&lt;&gt;"","; сопутствующее: "&amp;N112,"")&amp;IF(O112&lt;&gt;"","; дополнительно: "&amp;O112,"")&amp;".")</f>
        <v/>
      </c>
    </row>
    <row r="113">
      <c r="A113" s="75" t="n"/>
      <c r="B113" s="75" t="n"/>
      <c r="C113" s="261" t="n"/>
      <c r="D113" s="261" t="n"/>
      <c r="E113" s="262">
        <f>IF(OR(C113="",D113=""),"",D113-C113)</f>
        <v/>
      </c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226">
        <f>IF(AND(A113="",B113=""),"",IF(AND(A113&lt;&gt;"",B113&lt;&gt;"",C113&lt;&gt;"",D113&lt;&gt;"",F113&lt;&gt;"",G113&lt;&gt;"",H113&lt;&gt;"",ISERROR(SEARCH("по паспорту",G113)),ISERROR(SEARCH("по паспорту",H113)),I113&lt;&gt;"",J113&lt;&gt;"",K113&lt;&gt;"",L113&lt;&gt;"",M113&lt;&gt;""),"ГОТОВО","НЕ ГОТОВО"))</f>
        <v/>
      </c>
      <c r="Z113" s="226">
        <f>IF(Y113&lt;&gt;"ГОТОВО","", "Предварительное заключение: "&amp;A113&amp;", скв. "&amp;B113&amp;". МРП: "&amp;E113&amp;" сут. ГНО: "&amp;F113&amp;", типоразмер "&amp;G113&amp;", марка "&amp;H113&amp;". Событие: "&amp;I113&amp;". Признак: "&amp;J113&amp;". Узел: "&amp;K113&amp;". Предварительная причина: "&amp;L113&amp;". Основное осложнение: "&amp;M113&amp;IF(N113&lt;&gt;"","; сопутствующее: "&amp;N113,"")&amp;IF(O113&lt;&gt;"","; дополнительно: "&amp;O113,"")&amp;".")</f>
        <v/>
      </c>
    </row>
    <row r="114">
      <c r="A114" s="75" t="n"/>
      <c r="B114" s="75" t="n"/>
      <c r="C114" s="261" t="n"/>
      <c r="D114" s="261" t="n"/>
      <c r="E114" s="262">
        <f>IF(OR(C114="",D114=""),"",D114-C114)</f>
        <v/>
      </c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226">
        <f>IF(AND(A114="",B114=""),"",IF(AND(A114&lt;&gt;"",B114&lt;&gt;"",C114&lt;&gt;"",D114&lt;&gt;"",F114&lt;&gt;"",G114&lt;&gt;"",H114&lt;&gt;"",ISERROR(SEARCH("по паспорту",G114)),ISERROR(SEARCH("по паспорту",H114)),I114&lt;&gt;"",J114&lt;&gt;"",K114&lt;&gt;"",L114&lt;&gt;"",M114&lt;&gt;""),"ГОТОВО","НЕ ГОТОВО"))</f>
        <v/>
      </c>
      <c r="Z114" s="226">
        <f>IF(Y114&lt;&gt;"ГОТОВО","", "Предварительное заключение: "&amp;A114&amp;", скв. "&amp;B114&amp;". МРП: "&amp;E114&amp;" сут. ГНО: "&amp;F114&amp;", типоразмер "&amp;G114&amp;", марка "&amp;H114&amp;". Событие: "&amp;I114&amp;". Признак: "&amp;J114&amp;". Узел: "&amp;K114&amp;". Предварительная причина: "&amp;L114&amp;". Основное осложнение: "&amp;M114&amp;IF(N114&lt;&gt;"","; сопутствующее: "&amp;N114,"")&amp;IF(O114&lt;&gt;"","; дополнительно: "&amp;O114,"")&amp;".")</f>
        <v/>
      </c>
    </row>
    <row r="115">
      <c r="A115" s="75" t="n"/>
      <c r="B115" s="75" t="n"/>
      <c r="C115" s="261" t="n"/>
      <c r="D115" s="261" t="n"/>
      <c r="E115" s="262">
        <f>IF(OR(C115="",D115=""),"",D115-C115)</f>
        <v/>
      </c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226">
        <f>IF(AND(A115="",B115=""),"",IF(AND(A115&lt;&gt;"",B115&lt;&gt;"",C115&lt;&gt;"",D115&lt;&gt;"",F115&lt;&gt;"",G115&lt;&gt;"",H115&lt;&gt;"",ISERROR(SEARCH("по паспорту",G115)),ISERROR(SEARCH("по паспорту",H115)),I115&lt;&gt;"",J115&lt;&gt;"",K115&lt;&gt;"",L115&lt;&gt;"",M115&lt;&gt;""),"ГОТОВО","НЕ ГОТОВО"))</f>
        <v/>
      </c>
      <c r="Z115" s="226">
        <f>IF(Y115&lt;&gt;"ГОТОВО","", "Предварительное заключение: "&amp;A115&amp;", скв. "&amp;B115&amp;". МРП: "&amp;E115&amp;" сут. ГНО: "&amp;F115&amp;", типоразмер "&amp;G115&amp;", марка "&amp;H115&amp;". Событие: "&amp;I115&amp;". Признак: "&amp;J115&amp;". Узел: "&amp;K115&amp;". Предварительная причина: "&amp;L115&amp;". Основное осложнение: "&amp;M115&amp;IF(N115&lt;&gt;"","; сопутствующее: "&amp;N115,"")&amp;IF(O115&lt;&gt;"","; дополнительно: "&amp;O115,"")&amp;".")</f>
        <v/>
      </c>
    </row>
    <row r="116">
      <c r="A116" s="75" t="n"/>
      <c r="B116" s="75" t="n"/>
      <c r="C116" s="261" t="n"/>
      <c r="D116" s="261" t="n"/>
      <c r="E116" s="262">
        <f>IF(OR(C116="",D116=""),"",D116-C116)</f>
        <v/>
      </c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226">
        <f>IF(AND(A116="",B116=""),"",IF(AND(A116&lt;&gt;"",B116&lt;&gt;"",C116&lt;&gt;"",D116&lt;&gt;"",F116&lt;&gt;"",G116&lt;&gt;"",H116&lt;&gt;"",ISERROR(SEARCH("по паспорту",G116)),ISERROR(SEARCH("по паспорту",H116)),I116&lt;&gt;"",J116&lt;&gt;"",K116&lt;&gt;"",L116&lt;&gt;"",M116&lt;&gt;""),"ГОТОВО","НЕ ГОТОВО"))</f>
        <v/>
      </c>
      <c r="Z116" s="226">
        <f>IF(Y116&lt;&gt;"ГОТОВО","", "Предварительное заключение: "&amp;A116&amp;", скв. "&amp;B116&amp;". МРП: "&amp;E116&amp;" сут. ГНО: "&amp;F116&amp;", типоразмер "&amp;G116&amp;", марка "&amp;H116&amp;". Событие: "&amp;I116&amp;". Признак: "&amp;J116&amp;". Узел: "&amp;K116&amp;". Предварительная причина: "&amp;L116&amp;". Основное осложнение: "&amp;M116&amp;IF(N116&lt;&gt;"","; сопутствующее: "&amp;N116,"")&amp;IF(O116&lt;&gt;"","; дополнительно: "&amp;O116,"")&amp;".")</f>
        <v/>
      </c>
    </row>
    <row r="117">
      <c r="A117" s="75" t="n"/>
      <c r="B117" s="75" t="n"/>
      <c r="C117" s="261" t="n"/>
      <c r="D117" s="261" t="n"/>
      <c r="E117" s="262">
        <f>IF(OR(C117="",D117=""),"",D117-C117)</f>
        <v/>
      </c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226">
        <f>IF(AND(A117="",B117=""),"",IF(AND(A117&lt;&gt;"",B117&lt;&gt;"",C117&lt;&gt;"",D117&lt;&gt;"",F117&lt;&gt;"",G117&lt;&gt;"",H117&lt;&gt;"",ISERROR(SEARCH("по паспорту",G117)),ISERROR(SEARCH("по паспорту",H117)),I117&lt;&gt;"",J117&lt;&gt;"",K117&lt;&gt;"",L117&lt;&gt;"",M117&lt;&gt;""),"ГОТОВО","НЕ ГОТОВО"))</f>
        <v/>
      </c>
      <c r="Z117" s="226">
        <f>IF(Y117&lt;&gt;"ГОТОВО","", "Предварительное заключение: "&amp;A117&amp;", скв. "&amp;B117&amp;". МРП: "&amp;E117&amp;" сут. ГНО: "&amp;F117&amp;", типоразмер "&amp;G117&amp;", марка "&amp;H117&amp;". Событие: "&amp;I117&amp;". Признак: "&amp;J117&amp;". Узел: "&amp;K117&amp;". Предварительная причина: "&amp;L117&amp;". Основное осложнение: "&amp;M117&amp;IF(N117&lt;&gt;"","; сопутствующее: "&amp;N117,"")&amp;IF(O117&lt;&gt;"","; дополнительно: "&amp;O117,"")&amp;".")</f>
        <v/>
      </c>
    </row>
    <row r="118">
      <c r="A118" s="75" t="n"/>
      <c r="B118" s="75" t="n"/>
      <c r="C118" s="261" t="n"/>
      <c r="D118" s="261" t="n"/>
      <c r="E118" s="262">
        <f>IF(OR(C118="",D118=""),"",D118-C118)</f>
        <v/>
      </c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226">
        <f>IF(AND(A118="",B118=""),"",IF(AND(A118&lt;&gt;"",B118&lt;&gt;"",C118&lt;&gt;"",D118&lt;&gt;"",F118&lt;&gt;"",G118&lt;&gt;"",H118&lt;&gt;"",ISERROR(SEARCH("по паспорту",G118)),ISERROR(SEARCH("по паспорту",H118)),I118&lt;&gt;"",J118&lt;&gt;"",K118&lt;&gt;"",L118&lt;&gt;"",M118&lt;&gt;""),"ГОТОВО","НЕ ГОТОВО"))</f>
        <v/>
      </c>
      <c r="Z118" s="226">
        <f>IF(Y118&lt;&gt;"ГОТОВО","", "Предварительное заключение: "&amp;A118&amp;", скв. "&amp;B118&amp;". МРП: "&amp;E118&amp;" сут. ГНО: "&amp;F118&amp;", типоразмер "&amp;G118&amp;", марка "&amp;H118&amp;". Событие: "&amp;I118&amp;". Признак: "&amp;J118&amp;". Узел: "&amp;K118&amp;". Предварительная причина: "&amp;L118&amp;". Основное осложнение: "&amp;M118&amp;IF(N118&lt;&gt;"","; сопутствующее: "&amp;N118,"")&amp;IF(O118&lt;&gt;"","; дополнительно: "&amp;O118,"")&amp;".")</f>
        <v/>
      </c>
    </row>
    <row r="119">
      <c r="A119" s="75" t="n"/>
      <c r="B119" s="75" t="n"/>
      <c r="C119" s="261" t="n"/>
      <c r="D119" s="261" t="n"/>
      <c r="E119" s="262">
        <f>IF(OR(C119="",D119=""),"",D119-C119)</f>
        <v/>
      </c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226">
        <f>IF(AND(A119="",B119=""),"",IF(AND(A119&lt;&gt;"",B119&lt;&gt;"",C119&lt;&gt;"",D119&lt;&gt;"",F119&lt;&gt;"",G119&lt;&gt;"",H119&lt;&gt;"",ISERROR(SEARCH("по паспорту",G119)),ISERROR(SEARCH("по паспорту",H119)),I119&lt;&gt;"",J119&lt;&gt;"",K119&lt;&gt;"",L119&lt;&gt;"",M119&lt;&gt;""),"ГОТОВО","НЕ ГОТОВО"))</f>
        <v/>
      </c>
      <c r="Z119" s="226">
        <f>IF(Y119&lt;&gt;"ГОТОВО","", "Предварительное заключение: "&amp;A119&amp;", скв. "&amp;B119&amp;". МРП: "&amp;E119&amp;" сут. ГНО: "&amp;F119&amp;", типоразмер "&amp;G119&amp;", марка "&amp;H119&amp;". Событие: "&amp;I119&amp;". Признак: "&amp;J119&amp;". Узел: "&amp;K119&amp;". Предварительная причина: "&amp;L119&amp;". Основное осложнение: "&amp;M119&amp;IF(N119&lt;&gt;"","; сопутствующее: "&amp;N119,"")&amp;IF(O119&lt;&gt;"","; дополнительно: "&amp;O119,"")&amp;".")</f>
        <v/>
      </c>
    </row>
    <row r="120">
      <c r="A120" s="75" t="n"/>
      <c r="B120" s="75" t="n"/>
      <c r="C120" s="261" t="n"/>
      <c r="D120" s="261" t="n"/>
      <c r="E120" s="262">
        <f>IF(OR(C120="",D120=""),"",D120-C120)</f>
        <v/>
      </c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226">
        <f>IF(AND(A120="",B120=""),"",IF(AND(A120&lt;&gt;"",B120&lt;&gt;"",C120&lt;&gt;"",D120&lt;&gt;"",F120&lt;&gt;"",G120&lt;&gt;"",H120&lt;&gt;"",ISERROR(SEARCH("по паспорту",G120)),ISERROR(SEARCH("по паспорту",H120)),I120&lt;&gt;"",J120&lt;&gt;"",K120&lt;&gt;"",L120&lt;&gt;"",M120&lt;&gt;""),"ГОТОВО","НЕ ГОТОВО"))</f>
        <v/>
      </c>
      <c r="Z120" s="226">
        <f>IF(Y120&lt;&gt;"ГОТОВО","", "Предварительное заключение: "&amp;A120&amp;", скв. "&amp;B120&amp;". МРП: "&amp;E120&amp;" сут. ГНО: "&amp;F120&amp;", типоразмер "&amp;G120&amp;", марка "&amp;H120&amp;". Событие: "&amp;I120&amp;". Признак: "&amp;J120&amp;". Узел: "&amp;K120&amp;". Предварительная причина: "&amp;L120&amp;". Основное осложнение: "&amp;M120&amp;IF(N120&lt;&gt;"","; сопутствующее: "&amp;N120,"")&amp;IF(O120&lt;&gt;"","; дополнительно: "&amp;O120,"")&amp;".")</f>
        <v/>
      </c>
    </row>
    <row r="121">
      <c r="A121" s="75" t="n"/>
      <c r="B121" s="75" t="n"/>
      <c r="C121" s="261" t="n"/>
      <c r="D121" s="261" t="n"/>
      <c r="E121" s="262">
        <f>IF(OR(C121="",D121=""),"",D121-C121)</f>
        <v/>
      </c>
      <c r="F121" s="75" t="n"/>
      <c r="G121" s="75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226">
        <f>IF(AND(A121="",B121=""),"",IF(AND(A121&lt;&gt;"",B121&lt;&gt;"",C121&lt;&gt;"",D121&lt;&gt;"",F121&lt;&gt;"",G121&lt;&gt;"",H121&lt;&gt;"",ISERROR(SEARCH("по паспорту",G121)),ISERROR(SEARCH("по паспорту",H121)),I121&lt;&gt;"",J121&lt;&gt;"",K121&lt;&gt;"",L121&lt;&gt;"",M121&lt;&gt;""),"ГОТОВО","НЕ ГОТОВО"))</f>
        <v/>
      </c>
      <c r="Z121" s="226">
        <f>IF(Y121&lt;&gt;"ГОТОВО","", "Предварительное заключение: "&amp;A121&amp;", скв. "&amp;B121&amp;". МРП: "&amp;E121&amp;" сут. ГНО: "&amp;F121&amp;", типоразмер "&amp;G121&amp;", марка "&amp;H121&amp;". Событие: "&amp;I121&amp;". Признак: "&amp;J121&amp;". Узел: "&amp;K121&amp;". Предварительная причина: "&amp;L121&amp;". Основное осложнение: "&amp;M121&amp;IF(N121&lt;&gt;"","; сопутствующее: "&amp;N121,"")&amp;IF(O121&lt;&gt;"","; дополнительно: "&amp;O121,"")&amp;".")</f>
        <v/>
      </c>
    </row>
    <row r="122">
      <c r="A122" s="75" t="n"/>
      <c r="B122" s="75" t="n"/>
      <c r="C122" s="261" t="n"/>
      <c r="D122" s="261" t="n"/>
      <c r="E122" s="262">
        <f>IF(OR(C122="",D122=""),"",D122-C122)</f>
        <v/>
      </c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226">
        <f>IF(AND(A122="",B122=""),"",IF(AND(A122&lt;&gt;"",B122&lt;&gt;"",C122&lt;&gt;"",D122&lt;&gt;"",F122&lt;&gt;"",G122&lt;&gt;"",H122&lt;&gt;"",ISERROR(SEARCH("по паспорту",G122)),ISERROR(SEARCH("по паспорту",H122)),I122&lt;&gt;"",J122&lt;&gt;"",K122&lt;&gt;"",L122&lt;&gt;"",M122&lt;&gt;""),"ГОТОВО","НЕ ГОТОВО"))</f>
        <v/>
      </c>
      <c r="Z122" s="226">
        <f>IF(Y122&lt;&gt;"ГОТОВО","", "Предварительное заключение: "&amp;A122&amp;", скв. "&amp;B122&amp;". МРП: "&amp;E122&amp;" сут. ГНО: "&amp;F122&amp;", типоразмер "&amp;G122&amp;", марка "&amp;H122&amp;". Событие: "&amp;I122&amp;". Признак: "&amp;J122&amp;". Узел: "&amp;K122&amp;". Предварительная причина: "&amp;L122&amp;". Основное осложнение: "&amp;M122&amp;IF(N122&lt;&gt;"","; сопутствующее: "&amp;N122,"")&amp;IF(O122&lt;&gt;"","; дополнительно: "&amp;O122,"")&amp;".")</f>
        <v/>
      </c>
    </row>
    <row r="123">
      <c r="A123" s="75" t="n"/>
      <c r="B123" s="75" t="n"/>
      <c r="C123" s="261" t="n"/>
      <c r="D123" s="261" t="n"/>
      <c r="E123" s="262">
        <f>IF(OR(C123="",D123=""),"",D123-C123)</f>
        <v/>
      </c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226">
        <f>IF(AND(A123="",B123=""),"",IF(AND(A123&lt;&gt;"",B123&lt;&gt;"",C123&lt;&gt;"",D123&lt;&gt;"",F123&lt;&gt;"",G123&lt;&gt;"",H123&lt;&gt;"",ISERROR(SEARCH("по паспорту",G123)),ISERROR(SEARCH("по паспорту",H123)),I123&lt;&gt;"",J123&lt;&gt;"",K123&lt;&gt;"",L123&lt;&gt;"",M123&lt;&gt;""),"ГОТОВО","НЕ ГОТОВО"))</f>
        <v/>
      </c>
      <c r="Z123" s="226">
        <f>IF(Y123&lt;&gt;"ГОТОВО","", "Предварительное заключение: "&amp;A123&amp;", скв. "&amp;B123&amp;". МРП: "&amp;E123&amp;" сут. ГНО: "&amp;F123&amp;", типоразмер "&amp;G123&amp;", марка "&amp;H123&amp;". Событие: "&amp;I123&amp;". Признак: "&amp;J123&amp;". Узел: "&amp;K123&amp;". Предварительная причина: "&amp;L123&amp;". Основное осложнение: "&amp;M123&amp;IF(N123&lt;&gt;"","; сопутствующее: "&amp;N123,"")&amp;IF(O123&lt;&gt;"","; дополнительно: "&amp;O123,"")&amp;".")</f>
        <v/>
      </c>
    </row>
    <row r="124">
      <c r="A124" s="75" t="n"/>
      <c r="B124" s="75" t="n"/>
      <c r="C124" s="261" t="n"/>
      <c r="D124" s="261" t="n"/>
      <c r="E124" s="262">
        <f>IF(OR(C124="",D124=""),"",D124-C124)</f>
        <v/>
      </c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226">
        <f>IF(AND(A124="",B124=""),"",IF(AND(A124&lt;&gt;"",B124&lt;&gt;"",C124&lt;&gt;"",D124&lt;&gt;"",F124&lt;&gt;"",G124&lt;&gt;"",H124&lt;&gt;"",ISERROR(SEARCH("по паспорту",G124)),ISERROR(SEARCH("по паспорту",H124)),I124&lt;&gt;"",J124&lt;&gt;"",K124&lt;&gt;"",L124&lt;&gt;"",M124&lt;&gt;""),"ГОТОВО","НЕ ГОТОВО"))</f>
        <v/>
      </c>
      <c r="Z124" s="226">
        <f>IF(Y124&lt;&gt;"ГОТОВО","", "Предварительное заключение: "&amp;A124&amp;", скв. "&amp;B124&amp;". МРП: "&amp;E124&amp;" сут. ГНО: "&amp;F124&amp;", типоразмер "&amp;G124&amp;", марка "&amp;H124&amp;". Событие: "&amp;I124&amp;". Признак: "&amp;J124&amp;". Узел: "&amp;K124&amp;". Предварительная причина: "&amp;L124&amp;". Основное осложнение: "&amp;M124&amp;IF(N124&lt;&gt;"","; сопутствующее: "&amp;N124,"")&amp;IF(O124&lt;&gt;"","; дополнительно: "&amp;O124,"")&amp;".")</f>
        <v/>
      </c>
    </row>
    <row r="125">
      <c r="A125" s="75" t="n"/>
      <c r="B125" s="75" t="n"/>
      <c r="C125" s="261" t="n"/>
      <c r="D125" s="261" t="n"/>
      <c r="E125" s="262">
        <f>IF(OR(C125="",D125=""),"",D125-C125)</f>
        <v/>
      </c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226">
        <f>IF(AND(A125="",B125=""),"",IF(AND(A125&lt;&gt;"",B125&lt;&gt;"",C125&lt;&gt;"",D125&lt;&gt;"",F125&lt;&gt;"",G125&lt;&gt;"",H125&lt;&gt;"",ISERROR(SEARCH("по паспорту",G125)),ISERROR(SEARCH("по паспорту",H125)),I125&lt;&gt;"",J125&lt;&gt;"",K125&lt;&gt;"",L125&lt;&gt;"",M125&lt;&gt;""),"ГОТОВО","НЕ ГОТОВО"))</f>
        <v/>
      </c>
      <c r="Z125" s="226">
        <f>IF(Y125&lt;&gt;"ГОТОВО","", "Предварительное заключение: "&amp;A125&amp;", скв. "&amp;B125&amp;". МРП: "&amp;E125&amp;" сут. ГНО: "&amp;F125&amp;", типоразмер "&amp;G125&amp;", марка "&amp;H125&amp;". Событие: "&amp;I125&amp;". Признак: "&amp;J125&amp;". Узел: "&amp;K125&amp;". Предварительная причина: "&amp;L125&amp;". Основное осложнение: "&amp;M125&amp;IF(N125&lt;&gt;"","; сопутствующее: "&amp;N125,"")&amp;IF(O125&lt;&gt;"","; дополнительно: "&amp;O125,"")&amp;".")</f>
        <v/>
      </c>
    </row>
    <row r="126">
      <c r="A126" s="75" t="n"/>
      <c r="B126" s="75" t="n"/>
      <c r="C126" s="261" t="n"/>
      <c r="D126" s="261" t="n"/>
      <c r="E126" s="262">
        <f>IF(OR(C126="",D126=""),"",D126-C126)</f>
        <v/>
      </c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226">
        <f>IF(AND(A126="",B126=""),"",IF(AND(A126&lt;&gt;"",B126&lt;&gt;"",C126&lt;&gt;"",D126&lt;&gt;"",F126&lt;&gt;"",G126&lt;&gt;"",H126&lt;&gt;"",ISERROR(SEARCH("по паспорту",G126)),ISERROR(SEARCH("по паспорту",H126)),I126&lt;&gt;"",J126&lt;&gt;"",K126&lt;&gt;"",L126&lt;&gt;"",M126&lt;&gt;""),"ГОТОВО","НЕ ГОТОВО"))</f>
        <v/>
      </c>
      <c r="Z126" s="226">
        <f>IF(Y126&lt;&gt;"ГОТОВО","", "Предварительное заключение: "&amp;A126&amp;", скв. "&amp;B126&amp;". МРП: "&amp;E126&amp;" сут. ГНО: "&amp;F126&amp;", типоразмер "&amp;G126&amp;", марка "&amp;H126&amp;". Событие: "&amp;I126&amp;". Признак: "&amp;J126&amp;". Узел: "&amp;K126&amp;". Предварительная причина: "&amp;L126&amp;". Основное осложнение: "&amp;M126&amp;IF(N126&lt;&gt;"","; сопутствующее: "&amp;N126,"")&amp;IF(O126&lt;&gt;"","; дополнительно: "&amp;O126,"")&amp;".")</f>
        <v/>
      </c>
    </row>
    <row r="127">
      <c r="A127" s="75" t="n"/>
      <c r="B127" s="75" t="n"/>
      <c r="C127" s="261" t="n"/>
      <c r="D127" s="261" t="n"/>
      <c r="E127" s="262">
        <f>IF(OR(C127="",D127=""),"",D127-C127)</f>
        <v/>
      </c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226">
        <f>IF(AND(A127="",B127=""),"",IF(AND(A127&lt;&gt;"",B127&lt;&gt;"",C127&lt;&gt;"",D127&lt;&gt;"",F127&lt;&gt;"",G127&lt;&gt;"",H127&lt;&gt;"",ISERROR(SEARCH("по паспорту",G127)),ISERROR(SEARCH("по паспорту",H127)),I127&lt;&gt;"",J127&lt;&gt;"",K127&lt;&gt;"",L127&lt;&gt;"",M127&lt;&gt;""),"ГОТОВО","НЕ ГОТОВО"))</f>
        <v/>
      </c>
      <c r="Z127" s="226">
        <f>IF(Y127&lt;&gt;"ГОТОВО","", "Предварительное заключение: "&amp;A127&amp;", скв. "&amp;B127&amp;". МРП: "&amp;E127&amp;" сут. ГНО: "&amp;F127&amp;", типоразмер "&amp;G127&amp;", марка "&amp;H127&amp;". Событие: "&amp;I127&amp;". Признак: "&amp;J127&amp;". Узел: "&amp;K127&amp;". Предварительная причина: "&amp;L127&amp;". Основное осложнение: "&amp;M127&amp;IF(N127&lt;&gt;"","; сопутствующее: "&amp;N127,"")&amp;IF(O127&lt;&gt;"","; дополнительно: "&amp;O127,"")&amp;".")</f>
        <v/>
      </c>
    </row>
    <row r="128">
      <c r="A128" s="75" t="n"/>
      <c r="B128" s="75" t="n"/>
      <c r="C128" s="261" t="n"/>
      <c r="D128" s="261" t="n"/>
      <c r="E128" s="262">
        <f>IF(OR(C128="",D128=""),"",D128-C128)</f>
        <v/>
      </c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226">
        <f>IF(AND(A128="",B128=""),"",IF(AND(A128&lt;&gt;"",B128&lt;&gt;"",C128&lt;&gt;"",D128&lt;&gt;"",F128&lt;&gt;"",G128&lt;&gt;"",H128&lt;&gt;"",ISERROR(SEARCH("по паспорту",G128)),ISERROR(SEARCH("по паспорту",H128)),I128&lt;&gt;"",J128&lt;&gt;"",K128&lt;&gt;"",L128&lt;&gt;"",M128&lt;&gt;""),"ГОТОВО","НЕ ГОТОВО"))</f>
        <v/>
      </c>
      <c r="Z128" s="226">
        <f>IF(Y128&lt;&gt;"ГОТОВО","", "Предварительное заключение: "&amp;A128&amp;", скв. "&amp;B128&amp;". МРП: "&amp;E128&amp;" сут. ГНО: "&amp;F128&amp;", типоразмер "&amp;G128&amp;", марка "&amp;H128&amp;". Событие: "&amp;I128&amp;". Признак: "&amp;J128&amp;". Узел: "&amp;K128&amp;". Предварительная причина: "&amp;L128&amp;". Основное осложнение: "&amp;M128&amp;IF(N128&lt;&gt;"","; сопутствующее: "&amp;N128,"")&amp;IF(O128&lt;&gt;"","; дополнительно: "&amp;O128,"")&amp;".")</f>
        <v/>
      </c>
    </row>
    <row r="129">
      <c r="A129" s="75" t="n"/>
      <c r="B129" s="75" t="n"/>
      <c r="C129" s="261" t="n"/>
      <c r="D129" s="261" t="n"/>
      <c r="E129" s="262">
        <f>IF(OR(C129="",D129=""),"",D129-C129)</f>
        <v/>
      </c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226">
        <f>IF(AND(A129="",B129=""),"",IF(AND(A129&lt;&gt;"",B129&lt;&gt;"",C129&lt;&gt;"",D129&lt;&gt;"",F129&lt;&gt;"",G129&lt;&gt;"",H129&lt;&gt;"",ISERROR(SEARCH("по паспорту",G129)),ISERROR(SEARCH("по паспорту",H129)),I129&lt;&gt;"",J129&lt;&gt;"",K129&lt;&gt;"",L129&lt;&gt;"",M129&lt;&gt;""),"ГОТОВО","НЕ ГОТОВО"))</f>
        <v/>
      </c>
      <c r="Z129" s="226">
        <f>IF(Y129&lt;&gt;"ГОТОВО","", "Предварительное заключение: "&amp;A129&amp;", скв. "&amp;B129&amp;". МРП: "&amp;E129&amp;" сут. ГНО: "&amp;F129&amp;", типоразмер "&amp;G129&amp;", марка "&amp;H129&amp;". Событие: "&amp;I129&amp;". Признак: "&amp;J129&amp;". Узел: "&amp;K129&amp;". Предварительная причина: "&amp;L129&amp;". Основное осложнение: "&amp;M129&amp;IF(N129&lt;&gt;"","; сопутствующее: "&amp;N129,"")&amp;IF(O129&lt;&gt;"","; дополнительно: "&amp;O129,"")&amp;".")</f>
        <v/>
      </c>
    </row>
    <row r="130">
      <c r="A130" s="75" t="n"/>
      <c r="B130" s="75" t="n"/>
      <c r="C130" s="261" t="n"/>
      <c r="D130" s="261" t="n"/>
      <c r="E130" s="262">
        <f>IF(OR(C130="",D130=""),"",D130-C130)</f>
        <v/>
      </c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226">
        <f>IF(AND(A130="",B130=""),"",IF(AND(A130&lt;&gt;"",B130&lt;&gt;"",C130&lt;&gt;"",D130&lt;&gt;"",F130&lt;&gt;"",G130&lt;&gt;"",H130&lt;&gt;"",ISERROR(SEARCH("по паспорту",G130)),ISERROR(SEARCH("по паспорту",H130)),I130&lt;&gt;"",J130&lt;&gt;"",K130&lt;&gt;"",L130&lt;&gt;"",M130&lt;&gt;""),"ГОТОВО","НЕ ГОТОВО"))</f>
        <v/>
      </c>
      <c r="Z130" s="226">
        <f>IF(Y130&lt;&gt;"ГОТОВО","", "Предварительное заключение: "&amp;A130&amp;", скв. "&amp;B130&amp;". МРП: "&amp;E130&amp;" сут. ГНО: "&amp;F130&amp;", типоразмер "&amp;G130&amp;", марка "&amp;H130&amp;". Событие: "&amp;I130&amp;". Признак: "&amp;J130&amp;". Узел: "&amp;K130&amp;". Предварительная причина: "&amp;L130&amp;". Основное осложнение: "&amp;M130&amp;IF(N130&lt;&gt;"","; сопутствующее: "&amp;N130,"")&amp;IF(O130&lt;&gt;"","; дополнительно: "&amp;O130,"")&amp;".")</f>
        <v/>
      </c>
    </row>
    <row r="131">
      <c r="A131" s="75" t="n"/>
      <c r="B131" s="75" t="n"/>
      <c r="C131" s="261" t="n"/>
      <c r="D131" s="261" t="n"/>
      <c r="E131" s="262">
        <f>IF(OR(C131="",D131=""),"",D131-C131)</f>
        <v/>
      </c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226">
        <f>IF(AND(A131="",B131=""),"",IF(AND(A131&lt;&gt;"",B131&lt;&gt;"",C131&lt;&gt;"",D131&lt;&gt;"",F131&lt;&gt;"",G131&lt;&gt;"",H131&lt;&gt;"",ISERROR(SEARCH("по паспорту",G131)),ISERROR(SEARCH("по паспорту",H131)),I131&lt;&gt;"",J131&lt;&gt;"",K131&lt;&gt;"",L131&lt;&gt;"",M131&lt;&gt;""),"ГОТОВО","НЕ ГОТОВО"))</f>
        <v/>
      </c>
      <c r="Z131" s="226">
        <f>IF(Y131&lt;&gt;"ГОТОВО","", "Предварительное заключение: "&amp;A131&amp;", скв. "&amp;B131&amp;". МРП: "&amp;E131&amp;" сут. ГНО: "&amp;F131&amp;", типоразмер "&amp;G131&amp;", марка "&amp;H131&amp;". Событие: "&amp;I131&amp;". Признак: "&amp;J131&amp;". Узел: "&amp;K131&amp;". Предварительная причина: "&amp;L131&amp;". Основное осложнение: "&amp;M131&amp;IF(N131&lt;&gt;"","; сопутствующее: "&amp;N131,"")&amp;IF(O131&lt;&gt;"","; дополнительно: "&amp;O131,"")&amp;".")</f>
        <v/>
      </c>
    </row>
    <row r="132">
      <c r="A132" s="75" t="n"/>
      <c r="B132" s="75" t="n"/>
      <c r="C132" s="261" t="n"/>
      <c r="D132" s="261" t="n"/>
      <c r="E132" s="262">
        <f>IF(OR(C132="",D132=""),"",D132-C132)</f>
        <v/>
      </c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226">
        <f>IF(AND(A132="",B132=""),"",IF(AND(A132&lt;&gt;"",B132&lt;&gt;"",C132&lt;&gt;"",D132&lt;&gt;"",F132&lt;&gt;"",G132&lt;&gt;"",H132&lt;&gt;"",ISERROR(SEARCH("по паспорту",G132)),ISERROR(SEARCH("по паспорту",H132)),I132&lt;&gt;"",J132&lt;&gt;"",K132&lt;&gt;"",L132&lt;&gt;"",M132&lt;&gt;""),"ГОТОВО","НЕ ГОТОВО"))</f>
        <v/>
      </c>
      <c r="Z132" s="226">
        <f>IF(Y132&lt;&gt;"ГОТОВО","", "Предварительное заключение: "&amp;A132&amp;", скв. "&amp;B132&amp;". МРП: "&amp;E132&amp;" сут. ГНО: "&amp;F132&amp;", типоразмер "&amp;G132&amp;", марка "&amp;H132&amp;". Событие: "&amp;I132&amp;". Признак: "&amp;J132&amp;". Узел: "&amp;K132&amp;". Предварительная причина: "&amp;L132&amp;". Основное осложнение: "&amp;M132&amp;IF(N132&lt;&gt;"","; сопутствующее: "&amp;N132,"")&amp;IF(O132&lt;&gt;"","; дополнительно: "&amp;O132,"")&amp;".")</f>
        <v/>
      </c>
    </row>
    <row r="133">
      <c r="A133" s="75" t="n"/>
      <c r="B133" s="75" t="n"/>
      <c r="C133" s="261" t="n"/>
      <c r="D133" s="261" t="n"/>
      <c r="E133" s="262">
        <f>IF(OR(C133="",D133=""),"",D133-C133)</f>
        <v/>
      </c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226">
        <f>IF(AND(A133="",B133=""),"",IF(AND(A133&lt;&gt;"",B133&lt;&gt;"",C133&lt;&gt;"",D133&lt;&gt;"",F133&lt;&gt;"",G133&lt;&gt;"",H133&lt;&gt;"",ISERROR(SEARCH("по паспорту",G133)),ISERROR(SEARCH("по паспорту",H133)),I133&lt;&gt;"",J133&lt;&gt;"",K133&lt;&gt;"",L133&lt;&gt;"",M133&lt;&gt;""),"ГОТОВО","НЕ ГОТОВО"))</f>
        <v/>
      </c>
      <c r="Z133" s="226">
        <f>IF(Y133&lt;&gt;"ГОТОВО","", "Предварительное заключение: "&amp;A133&amp;", скв. "&amp;B133&amp;". МРП: "&amp;E133&amp;" сут. ГНО: "&amp;F133&amp;", типоразмер "&amp;G133&amp;", марка "&amp;H133&amp;". Событие: "&amp;I133&amp;". Признак: "&amp;J133&amp;". Узел: "&amp;K133&amp;". Предварительная причина: "&amp;L133&amp;". Основное осложнение: "&amp;M133&amp;IF(N133&lt;&gt;"","; сопутствующее: "&amp;N133,"")&amp;IF(O133&lt;&gt;"","; дополнительно: "&amp;O133,"")&amp;".")</f>
        <v/>
      </c>
    </row>
    <row r="134">
      <c r="A134" s="75" t="n"/>
      <c r="B134" s="75" t="n"/>
      <c r="C134" s="261" t="n"/>
      <c r="D134" s="261" t="n"/>
      <c r="E134" s="262">
        <f>IF(OR(C134="",D134=""),"",D134-C134)</f>
        <v/>
      </c>
      <c r="F134" s="7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226">
        <f>IF(AND(A134="",B134=""),"",IF(AND(A134&lt;&gt;"",B134&lt;&gt;"",C134&lt;&gt;"",D134&lt;&gt;"",F134&lt;&gt;"",G134&lt;&gt;"",H134&lt;&gt;"",ISERROR(SEARCH("по паспорту",G134)),ISERROR(SEARCH("по паспорту",H134)),I134&lt;&gt;"",J134&lt;&gt;"",K134&lt;&gt;"",L134&lt;&gt;"",M134&lt;&gt;""),"ГОТОВО","НЕ ГОТОВО"))</f>
        <v/>
      </c>
      <c r="Z134" s="226">
        <f>IF(Y134&lt;&gt;"ГОТОВО","", "Предварительное заключение: "&amp;A134&amp;", скв. "&amp;B134&amp;". МРП: "&amp;E134&amp;" сут. ГНО: "&amp;F134&amp;", типоразмер "&amp;G134&amp;", марка "&amp;H134&amp;". Событие: "&amp;I134&amp;". Признак: "&amp;J134&amp;". Узел: "&amp;K134&amp;". Предварительная причина: "&amp;L134&amp;". Основное осложнение: "&amp;M134&amp;IF(N134&lt;&gt;"","; сопутствующее: "&amp;N134,"")&amp;IF(O134&lt;&gt;"","; дополнительно: "&amp;O134,"")&amp;".")</f>
        <v/>
      </c>
    </row>
    <row r="135">
      <c r="A135" s="75" t="n"/>
      <c r="B135" s="75" t="n"/>
      <c r="C135" s="261" t="n"/>
      <c r="D135" s="261" t="n"/>
      <c r="E135" s="262">
        <f>IF(OR(C135="",D135=""),"",D135-C135)</f>
        <v/>
      </c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226">
        <f>IF(AND(A135="",B135=""),"",IF(AND(A135&lt;&gt;"",B135&lt;&gt;"",C135&lt;&gt;"",D135&lt;&gt;"",F135&lt;&gt;"",G135&lt;&gt;"",H135&lt;&gt;"",ISERROR(SEARCH("по паспорту",G135)),ISERROR(SEARCH("по паспорту",H135)),I135&lt;&gt;"",J135&lt;&gt;"",K135&lt;&gt;"",L135&lt;&gt;"",M135&lt;&gt;""),"ГОТОВО","НЕ ГОТОВО"))</f>
        <v/>
      </c>
      <c r="Z135" s="226">
        <f>IF(Y135&lt;&gt;"ГОТОВО","", "Предварительное заключение: "&amp;A135&amp;", скв. "&amp;B135&amp;". МРП: "&amp;E135&amp;" сут. ГНО: "&amp;F135&amp;", типоразмер "&amp;G135&amp;", марка "&amp;H135&amp;". Событие: "&amp;I135&amp;". Признак: "&amp;J135&amp;". Узел: "&amp;K135&amp;". Предварительная причина: "&amp;L135&amp;". Основное осложнение: "&amp;M135&amp;IF(N135&lt;&gt;"","; сопутствующее: "&amp;N135,"")&amp;IF(O135&lt;&gt;"","; дополнительно: "&amp;O135,"")&amp;".")</f>
        <v/>
      </c>
    </row>
    <row r="136">
      <c r="A136" s="75" t="n"/>
      <c r="B136" s="75" t="n"/>
      <c r="C136" s="261" t="n"/>
      <c r="D136" s="261" t="n"/>
      <c r="E136" s="262">
        <f>IF(OR(C136="",D136=""),"",D136-C136)</f>
        <v/>
      </c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226">
        <f>IF(AND(A136="",B136=""),"",IF(AND(A136&lt;&gt;"",B136&lt;&gt;"",C136&lt;&gt;"",D136&lt;&gt;"",F136&lt;&gt;"",G136&lt;&gt;"",H136&lt;&gt;"",ISERROR(SEARCH("по паспорту",G136)),ISERROR(SEARCH("по паспорту",H136)),I136&lt;&gt;"",J136&lt;&gt;"",K136&lt;&gt;"",L136&lt;&gt;"",M136&lt;&gt;""),"ГОТОВО","НЕ ГОТОВО"))</f>
        <v/>
      </c>
      <c r="Z136" s="226">
        <f>IF(Y136&lt;&gt;"ГОТОВО","", "Предварительное заключение: "&amp;A136&amp;", скв. "&amp;B136&amp;". МРП: "&amp;E136&amp;" сут. ГНО: "&amp;F136&amp;", типоразмер "&amp;G136&amp;", марка "&amp;H136&amp;". Событие: "&amp;I136&amp;". Признак: "&amp;J136&amp;". Узел: "&amp;K136&amp;". Предварительная причина: "&amp;L136&amp;". Основное осложнение: "&amp;M136&amp;IF(N136&lt;&gt;"","; сопутствующее: "&amp;N136,"")&amp;IF(O136&lt;&gt;"","; дополнительно: "&amp;O136,"")&amp;".")</f>
        <v/>
      </c>
    </row>
    <row r="137">
      <c r="A137" s="75" t="n"/>
      <c r="B137" s="75" t="n"/>
      <c r="C137" s="261" t="n"/>
      <c r="D137" s="261" t="n"/>
      <c r="E137" s="262">
        <f>IF(OR(C137="",D137=""),"",D137-C137)</f>
        <v/>
      </c>
      <c r="F137" s="75" t="n"/>
      <c r="G137" s="75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226">
        <f>IF(AND(A137="",B137=""),"",IF(AND(A137&lt;&gt;"",B137&lt;&gt;"",C137&lt;&gt;"",D137&lt;&gt;"",F137&lt;&gt;"",G137&lt;&gt;"",H137&lt;&gt;"",ISERROR(SEARCH("по паспорту",G137)),ISERROR(SEARCH("по паспорту",H137)),I137&lt;&gt;"",J137&lt;&gt;"",K137&lt;&gt;"",L137&lt;&gt;"",M137&lt;&gt;""),"ГОТОВО","НЕ ГОТОВО"))</f>
        <v/>
      </c>
      <c r="Z137" s="226">
        <f>IF(Y137&lt;&gt;"ГОТОВО","", "Предварительное заключение: "&amp;A137&amp;", скв. "&amp;B137&amp;". МРП: "&amp;E137&amp;" сут. ГНО: "&amp;F137&amp;", типоразмер "&amp;G137&amp;", марка "&amp;H137&amp;". Событие: "&amp;I137&amp;". Признак: "&amp;J137&amp;". Узел: "&amp;K137&amp;". Предварительная причина: "&amp;L137&amp;". Основное осложнение: "&amp;M137&amp;IF(N137&lt;&gt;"","; сопутствующее: "&amp;N137,"")&amp;IF(O137&lt;&gt;"","; дополнительно: "&amp;O137,"")&amp;".")</f>
        <v/>
      </c>
    </row>
    <row r="138">
      <c r="A138" s="75" t="n"/>
      <c r="B138" s="75" t="n"/>
      <c r="C138" s="261" t="n"/>
      <c r="D138" s="261" t="n"/>
      <c r="E138" s="262">
        <f>IF(OR(C138="",D138=""),"",D138-C138)</f>
        <v/>
      </c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226">
        <f>IF(AND(A138="",B138=""),"",IF(AND(A138&lt;&gt;"",B138&lt;&gt;"",C138&lt;&gt;"",D138&lt;&gt;"",F138&lt;&gt;"",G138&lt;&gt;"",H138&lt;&gt;"",ISERROR(SEARCH("по паспорту",G138)),ISERROR(SEARCH("по паспорту",H138)),I138&lt;&gt;"",J138&lt;&gt;"",K138&lt;&gt;"",L138&lt;&gt;"",M138&lt;&gt;""),"ГОТОВО","НЕ ГОТОВО"))</f>
        <v/>
      </c>
      <c r="Z138" s="226">
        <f>IF(Y138&lt;&gt;"ГОТОВО","", "Предварительное заключение: "&amp;A138&amp;", скв. "&amp;B138&amp;". МРП: "&amp;E138&amp;" сут. ГНО: "&amp;F138&amp;", типоразмер "&amp;G138&amp;", марка "&amp;H138&amp;". Событие: "&amp;I138&amp;". Признак: "&amp;J138&amp;". Узел: "&amp;K138&amp;". Предварительная причина: "&amp;L138&amp;". Основное осложнение: "&amp;M138&amp;IF(N138&lt;&gt;"","; сопутствующее: "&amp;N138,"")&amp;IF(O138&lt;&gt;"","; дополнительно: "&amp;O138,"")&amp;".")</f>
        <v/>
      </c>
    </row>
    <row r="139">
      <c r="A139" s="75" t="n"/>
      <c r="B139" s="75" t="n"/>
      <c r="C139" s="261" t="n"/>
      <c r="D139" s="261" t="n"/>
      <c r="E139" s="262">
        <f>IF(OR(C139="",D139=""),"",D139-C139)</f>
        <v/>
      </c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226">
        <f>IF(AND(A139="",B139=""),"",IF(AND(A139&lt;&gt;"",B139&lt;&gt;"",C139&lt;&gt;"",D139&lt;&gt;"",F139&lt;&gt;"",G139&lt;&gt;"",H139&lt;&gt;"",ISERROR(SEARCH("по паспорту",G139)),ISERROR(SEARCH("по паспорту",H139)),I139&lt;&gt;"",J139&lt;&gt;"",K139&lt;&gt;"",L139&lt;&gt;"",M139&lt;&gt;""),"ГОТОВО","НЕ ГОТОВО"))</f>
        <v/>
      </c>
      <c r="Z139" s="226">
        <f>IF(Y139&lt;&gt;"ГОТОВО","", "Предварительное заключение: "&amp;A139&amp;", скв. "&amp;B139&amp;". МРП: "&amp;E139&amp;" сут. ГНО: "&amp;F139&amp;", типоразмер "&amp;G139&amp;", марка "&amp;H139&amp;". Событие: "&amp;I139&amp;". Признак: "&amp;J139&amp;". Узел: "&amp;K139&amp;". Предварительная причина: "&amp;L139&amp;". Основное осложнение: "&amp;M139&amp;IF(N139&lt;&gt;"","; сопутствующее: "&amp;N139,"")&amp;IF(O139&lt;&gt;"","; дополнительно: "&amp;O139,"")&amp;".")</f>
        <v/>
      </c>
    </row>
    <row r="140">
      <c r="A140" s="75" t="n"/>
      <c r="B140" s="75" t="n"/>
      <c r="C140" s="261" t="n"/>
      <c r="D140" s="261" t="n"/>
      <c r="E140" s="262">
        <f>IF(OR(C140="",D140=""),"",D140-C140)</f>
        <v/>
      </c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226">
        <f>IF(AND(A140="",B140=""),"",IF(AND(A140&lt;&gt;"",B140&lt;&gt;"",C140&lt;&gt;"",D140&lt;&gt;"",F140&lt;&gt;"",G140&lt;&gt;"",H140&lt;&gt;"",ISERROR(SEARCH("по паспорту",G140)),ISERROR(SEARCH("по паспорту",H140)),I140&lt;&gt;"",J140&lt;&gt;"",K140&lt;&gt;"",L140&lt;&gt;"",M140&lt;&gt;""),"ГОТОВО","НЕ ГОТОВО"))</f>
        <v/>
      </c>
      <c r="Z140" s="226">
        <f>IF(Y140&lt;&gt;"ГОТОВО","", "Предварительное заключение: "&amp;A140&amp;", скв. "&amp;B140&amp;". МРП: "&amp;E140&amp;" сут. ГНО: "&amp;F140&amp;", типоразмер "&amp;G140&amp;", марка "&amp;H140&amp;". Событие: "&amp;I140&amp;". Признак: "&amp;J140&amp;". Узел: "&amp;K140&amp;". Предварительная причина: "&amp;L140&amp;". Основное осложнение: "&amp;M140&amp;IF(N140&lt;&gt;"","; сопутствующее: "&amp;N140,"")&amp;IF(O140&lt;&gt;"","; дополнительно: "&amp;O140,"")&amp;".")</f>
        <v/>
      </c>
    </row>
    <row r="141">
      <c r="A141" s="75" t="n"/>
      <c r="B141" s="75" t="n"/>
      <c r="C141" s="261" t="n"/>
      <c r="D141" s="261" t="n"/>
      <c r="E141" s="262">
        <f>IF(OR(C141="",D141=""),"",D141-C141)</f>
        <v/>
      </c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226">
        <f>IF(AND(A141="",B141=""),"",IF(AND(A141&lt;&gt;"",B141&lt;&gt;"",C141&lt;&gt;"",D141&lt;&gt;"",F141&lt;&gt;"",G141&lt;&gt;"",H141&lt;&gt;"",ISERROR(SEARCH("по паспорту",G141)),ISERROR(SEARCH("по паспорту",H141)),I141&lt;&gt;"",J141&lt;&gt;"",K141&lt;&gt;"",L141&lt;&gt;"",M141&lt;&gt;""),"ГОТОВО","НЕ ГОТОВО"))</f>
        <v/>
      </c>
      <c r="Z141" s="226">
        <f>IF(Y141&lt;&gt;"ГОТОВО","", "Предварительное заключение: "&amp;A141&amp;", скв. "&amp;B141&amp;". МРП: "&amp;E141&amp;" сут. ГНО: "&amp;F141&amp;", типоразмер "&amp;G141&amp;", марка "&amp;H141&amp;". Событие: "&amp;I141&amp;". Признак: "&amp;J141&amp;". Узел: "&amp;K141&amp;". Предварительная причина: "&amp;L141&amp;". Основное осложнение: "&amp;M141&amp;IF(N141&lt;&gt;"","; сопутствующее: "&amp;N141,"")&amp;IF(O141&lt;&gt;"","; дополнительно: "&amp;O141,"")&amp;".")</f>
        <v/>
      </c>
    </row>
    <row r="142">
      <c r="A142" s="75" t="n"/>
      <c r="B142" s="75" t="n"/>
      <c r="C142" s="261" t="n"/>
      <c r="D142" s="261" t="n"/>
      <c r="E142" s="262">
        <f>IF(OR(C142="",D142=""),"",D142-C142)</f>
        <v/>
      </c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226">
        <f>IF(AND(A142="",B142=""),"",IF(AND(A142&lt;&gt;"",B142&lt;&gt;"",C142&lt;&gt;"",D142&lt;&gt;"",F142&lt;&gt;"",G142&lt;&gt;"",H142&lt;&gt;"",ISERROR(SEARCH("по паспорту",G142)),ISERROR(SEARCH("по паспорту",H142)),I142&lt;&gt;"",J142&lt;&gt;"",K142&lt;&gt;"",L142&lt;&gt;"",M142&lt;&gt;""),"ГОТОВО","НЕ ГОТОВО"))</f>
        <v/>
      </c>
      <c r="Z142" s="226">
        <f>IF(Y142&lt;&gt;"ГОТОВО","", "Предварительное заключение: "&amp;A142&amp;", скв. "&amp;B142&amp;". МРП: "&amp;E142&amp;" сут. ГНО: "&amp;F142&amp;", типоразмер "&amp;G142&amp;", марка "&amp;H142&amp;". Событие: "&amp;I142&amp;". Признак: "&amp;J142&amp;". Узел: "&amp;K142&amp;". Предварительная причина: "&amp;L142&amp;". Основное осложнение: "&amp;M142&amp;IF(N142&lt;&gt;"","; сопутствующее: "&amp;N142,"")&amp;IF(O142&lt;&gt;"","; дополнительно: "&amp;O142,"")&amp;".")</f>
        <v/>
      </c>
    </row>
    <row r="143">
      <c r="A143" s="75" t="n"/>
      <c r="B143" s="75" t="n"/>
      <c r="C143" s="261" t="n"/>
      <c r="D143" s="261" t="n"/>
      <c r="E143" s="262">
        <f>IF(OR(C143="",D143=""),"",D143-C143)</f>
        <v/>
      </c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226">
        <f>IF(AND(A143="",B143=""),"",IF(AND(A143&lt;&gt;"",B143&lt;&gt;"",C143&lt;&gt;"",D143&lt;&gt;"",F143&lt;&gt;"",G143&lt;&gt;"",H143&lt;&gt;"",ISERROR(SEARCH("по паспорту",G143)),ISERROR(SEARCH("по паспорту",H143)),I143&lt;&gt;"",J143&lt;&gt;"",K143&lt;&gt;"",L143&lt;&gt;"",M143&lt;&gt;""),"ГОТОВО","НЕ ГОТОВО"))</f>
        <v/>
      </c>
      <c r="Z143" s="226">
        <f>IF(Y143&lt;&gt;"ГОТОВО","", "Предварительное заключение: "&amp;A143&amp;", скв. "&amp;B143&amp;". МРП: "&amp;E143&amp;" сут. ГНО: "&amp;F143&amp;", типоразмер "&amp;G143&amp;", марка "&amp;H143&amp;". Событие: "&amp;I143&amp;". Признак: "&amp;J143&amp;". Узел: "&amp;K143&amp;". Предварительная причина: "&amp;L143&amp;". Основное осложнение: "&amp;M143&amp;IF(N143&lt;&gt;"","; сопутствующее: "&amp;N143,"")&amp;IF(O143&lt;&gt;"","; дополнительно: "&amp;O143,"")&amp;".")</f>
        <v/>
      </c>
    </row>
    <row r="144">
      <c r="A144" s="75" t="n"/>
      <c r="B144" s="75" t="n"/>
      <c r="C144" s="261" t="n"/>
      <c r="D144" s="261" t="n"/>
      <c r="E144" s="262">
        <f>IF(OR(C144="",D144=""),"",D144-C144)</f>
        <v/>
      </c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226">
        <f>IF(AND(A144="",B144=""),"",IF(AND(A144&lt;&gt;"",B144&lt;&gt;"",C144&lt;&gt;"",D144&lt;&gt;"",F144&lt;&gt;"",G144&lt;&gt;"",H144&lt;&gt;"",ISERROR(SEARCH("по паспорту",G144)),ISERROR(SEARCH("по паспорту",H144)),I144&lt;&gt;"",J144&lt;&gt;"",K144&lt;&gt;"",L144&lt;&gt;"",M144&lt;&gt;""),"ГОТОВО","НЕ ГОТОВО"))</f>
        <v/>
      </c>
      <c r="Z144" s="226">
        <f>IF(Y144&lt;&gt;"ГОТОВО","", "Предварительное заключение: "&amp;A144&amp;", скв. "&amp;B144&amp;". МРП: "&amp;E144&amp;" сут. ГНО: "&amp;F144&amp;", типоразмер "&amp;G144&amp;", марка "&amp;H144&amp;". Событие: "&amp;I144&amp;". Признак: "&amp;J144&amp;". Узел: "&amp;K144&amp;". Предварительная причина: "&amp;L144&amp;". Основное осложнение: "&amp;M144&amp;IF(N144&lt;&gt;"","; сопутствующее: "&amp;N144,"")&amp;IF(O144&lt;&gt;"","; дополнительно: "&amp;O144,"")&amp;".")</f>
        <v/>
      </c>
    </row>
    <row r="145">
      <c r="A145" s="75" t="n"/>
      <c r="B145" s="75" t="n"/>
      <c r="C145" s="261" t="n"/>
      <c r="D145" s="261" t="n"/>
      <c r="E145" s="262">
        <f>IF(OR(C145="",D145=""),"",D145-C145)</f>
        <v/>
      </c>
      <c r="F145" s="75" t="n"/>
      <c r="G145" s="75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226">
        <f>IF(AND(A145="",B145=""),"",IF(AND(A145&lt;&gt;"",B145&lt;&gt;"",C145&lt;&gt;"",D145&lt;&gt;"",F145&lt;&gt;"",G145&lt;&gt;"",H145&lt;&gt;"",ISERROR(SEARCH("по паспорту",G145)),ISERROR(SEARCH("по паспорту",H145)),I145&lt;&gt;"",J145&lt;&gt;"",K145&lt;&gt;"",L145&lt;&gt;"",M145&lt;&gt;""),"ГОТОВО","НЕ ГОТОВО"))</f>
        <v/>
      </c>
      <c r="Z145" s="226">
        <f>IF(Y145&lt;&gt;"ГОТОВО","", "Предварительное заключение: "&amp;A145&amp;", скв. "&amp;B145&amp;". МРП: "&amp;E145&amp;" сут. ГНО: "&amp;F145&amp;", типоразмер "&amp;G145&amp;", марка "&amp;H145&amp;". Событие: "&amp;I145&amp;". Признак: "&amp;J145&amp;". Узел: "&amp;K145&amp;". Предварительная причина: "&amp;L145&amp;". Основное осложнение: "&amp;M145&amp;IF(N145&lt;&gt;"","; сопутствующее: "&amp;N145,"")&amp;IF(O145&lt;&gt;"","; дополнительно: "&amp;O145,"")&amp;".")</f>
        <v/>
      </c>
    </row>
    <row r="146">
      <c r="A146" s="75" t="n"/>
      <c r="B146" s="75" t="n"/>
      <c r="C146" s="261" t="n"/>
      <c r="D146" s="261" t="n"/>
      <c r="E146" s="262">
        <f>IF(OR(C146="",D146=""),"",D146-C146)</f>
        <v/>
      </c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226">
        <f>IF(AND(A146="",B146=""),"",IF(AND(A146&lt;&gt;"",B146&lt;&gt;"",C146&lt;&gt;"",D146&lt;&gt;"",F146&lt;&gt;"",G146&lt;&gt;"",H146&lt;&gt;"",ISERROR(SEARCH("по паспорту",G146)),ISERROR(SEARCH("по паспорту",H146)),I146&lt;&gt;"",J146&lt;&gt;"",K146&lt;&gt;"",L146&lt;&gt;"",M146&lt;&gt;""),"ГОТОВО","НЕ ГОТОВО"))</f>
        <v/>
      </c>
      <c r="Z146" s="226">
        <f>IF(Y146&lt;&gt;"ГОТОВО","", "Предварительное заключение: "&amp;A146&amp;", скв. "&amp;B146&amp;". МРП: "&amp;E146&amp;" сут. ГНО: "&amp;F146&amp;", типоразмер "&amp;G146&amp;", марка "&amp;H146&amp;". Событие: "&amp;I146&amp;". Признак: "&amp;J146&amp;". Узел: "&amp;K146&amp;". Предварительная причина: "&amp;L146&amp;". Основное осложнение: "&amp;M146&amp;IF(N146&lt;&gt;"","; сопутствующее: "&amp;N146,"")&amp;IF(O146&lt;&gt;"","; дополнительно: "&amp;O146,"")&amp;".")</f>
        <v/>
      </c>
    </row>
    <row r="147">
      <c r="A147" s="75" t="n"/>
      <c r="B147" s="75" t="n"/>
      <c r="C147" s="261" t="n"/>
      <c r="D147" s="261" t="n"/>
      <c r="E147" s="262">
        <f>IF(OR(C147="",D147=""),"",D147-C147)</f>
        <v/>
      </c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226">
        <f>IF(AND(A147="",B147=""),"",IF(AND(A147&lt;&gt;"",B147&lt;&gt;"",C147&lt;&gt;"",D147&lt;&gt;"",F147&lt;&gt;"",G147&lt;&gt;"",H147&lt;&gt;"",ISERROR(SEARCH("по паспорту",G147)),ISERROR(SEARCH("по паспорту",H147)),I147&lt;&gt;"",J147&lt;&gt;"",K147&lt;&gt;"",L147&lt;&gt;"",M147&lt;&gt;""),"ГОТОВО","НЕ ГОТОВО"))</f>
        <v/>
      </c>
      <c r="Z147" s="226">
        <f>IF(Y147&lt;&gt;"ГОТОВО","", "Предварительное заключение: "&amp;A147&amp;", скв. "&amp;B147&amp;". МРП: "&amp;E147&amp;" сут. ГНО: "&amp;F147&amp;", типоразмер "&amp;G147&amp;", марка "&amp;H147&amp;". Событие: "&amp;I147&amp;". Признак: "&amp;J147&amp;". Узел: "&amp;K147&amp;". Предварительная причина: "&amp;L147&amp;". Основное осложнение: "&amp;M147&amp;IF(N147&lt;&gt;"","; сопутствующее: "&amp;N147,"")&amp;IF(O147&lt;&gt;"","; дополнительно: "&amp;O147,"")&amp;".")</f>
        <v/>
      </c>
    </row>
    <row r="148">
      <c r="A148" s="75" t="n"/>
      <c r="B148" s="75" t="n"/>
      <c r="C148" s="261" t="n"/>
      <c r="D148" s="261" t="n"/>
      <c r="E148" s="262">
        <f>IF(OR(C148="",D148=""),"",D148-C148)</f>
        <v/>
      </c>
      <c r="F148" s="75" t="n"/>
      <c r="G148" s="75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226">
        <f>IF(AND(A148="",B148=""),"",IF(AND(A148&lt;&gt;"",B148&lt;&gt;"",C148&lt;&gt;"",D148&lt;&gt;"",F148&lt;&gt;"",G148&lt;&gt;"",H148&lt;&gt;"",ISERROR(SEARCH("по паспорту",G148)),ISERROR(SEARCH("по паспорту",H148)),I148&lt;&gt;"",J148&lt;&gt;"",K148&lt;&gt;"",L148&lt;&gt;"",M148&lt;&gt;""),"ГОТОВО","НЕ ГОТОВО"))</f>
        <v/>
      </c>
      <c r="Z148" s="226">
        <f>IF(Y148&lt;&gt;"ГОТОВО","", "Предварительное заключение: "&amp;A148&amp;", скв. "&amp;B148&amp;". МРП: "&amp;E148&amp;" сут. ГНО: "&amp;F148&amp;", типоразмер "&amp;G148&amp;", марка "&amp;H148&amp;". Событие: "&amp;I148&amp;". Признак: "&amp;J148&amp;". Узел: "&amp;K148&amp;". Предварительная причина: "&amp;L148&amp;". Основное осложнение: "&amp;M148&amp;IF(N148&lt;&gt;"","; сопутствующее: "&amp;N148,"")&amp;IF(O148&lt;&gt;"","; дополнительно: "&amp;O148,"")&amp;".")</f>
        <v/>
      </c>
    </row>
    <row r="149">
      <c r="A149" s="75" t="n"/>
      <c r="B149" s="75" t="n"/>
      <c r="C149" s="261" t="n"/>
      <c r="D149" s="261" t="n"/>
      <c r="E149" s="262">
        <f>IF(OR(C149="",D149=""),"",D149-C149)</f>
        <v/>
      </c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226">
        <f>IF(AND(A149="",B149=""),"",IF(AND(A149&lt;&gt;"",B149&lt;&gt;"",C149&lt;&gt;"",D149&lt;&gt;"",F149&lt;&gt;"",G149&lt;&gt;"",H149&lt;&gt;"",ISERROR(SEARCH("по паспорту",G149)),ISERROR(SEARCH("по паспорту",H149)),I149&lt;&gt;"",J149&lt;&gt;"",K149&lt;&gt;"",L149&lt;&gt;"",M149&lt;&gt;""),"ГОТОВО","НЕ ГОТОВО"))</f>
        <v/>
      </c>
      <c r="Z149" s="226">
        <f>IF(Y149&lt;&gt;"ГОТОВО","", "Предварительное заключение: "&amp;A149&amp;", скв. "&amp;B149&amp;". МРП: "&amp;E149&amp;" сут. ГНО: "&amp;F149&amp;", типоразмер "&amp;G149&amp;", марка "&amp;H149&amp;". Событие: "&amp;I149&amp;". Признак: "&amp;J149&amp;". Узел: "&amp;K149&amp;". Предварительная причина: "&amp;L149&amp;". Основное осложнение: "&amp;M149&amp;IF(N149&lt;&gt;"","; сопутствующее: "&amp;N149,"")&amp;IF(O149&lt;&gt;"","; дополнительно: "&amp;O149,"")&amp;".")</f>
        <v/>
      </c>
    </row>
    <row r="150">
      <c r="A150" s="75" t="n"/>
      <c r="B150" s="75" t="n"/>
      <c r="C150" s="261" t="n"/>
      <c r="D150" s="261" t="n"/>
      <c r="E150" s="262">
        <f>IF(OR(C150="",D150=""),"",D150-C150)</f>
        <v/>
      </c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226">
        <f>IF(AND(A150="",B150=""),"",IF(AND(A150&lt;&gt;"",B150&lt;&gt;"",C150&lt;&gt;"",D150&lt;&gt;"",F150&lt;&gt;"",G150&lt;&gt;"",H150&lt;&gt;"",ISERROR(SEARCH("по паспорту",G150)),ISERROR(SEARCH("по паспорту",H150)),I150&lt;&gt;"",J150&lt;&gt;"",K150&lt;&gt;"",L150&lt;&gt;"",M150&lt;&gt;""),"ГОТОВО","НЕ ГОТОВО"))</f>
        <v/>
      </c>
      <c r="Z150" s="226">
        <f>IF(Y150&lt;&gt;"ГОТОВО","", "Предварительное заключение: "&amp;A150&amp;", скв. "&amp;B150&amp;". МРП: "&amp;E150&amp;" сут. ГНО: "&amp;F150&amp;", типоразмер "&amp;G150&amp;", марка "&amp;H150&amp;". Событие: "&amp;I150&amp;". Признак: "&amp;J150&amp;". Узел: "&amp;K150&amp;". Предварительная причина: "&amp;L150&amp;". Основное осложнение: "&amp;M150&amp;IF(N150&lt;&gt;"","; сопутствующее: "&amp;N150,"")&amp;IF(O150&lt;&gt;"","; дополнительно: "&amp;O150,"")&amp;".")</f>
        <v/>
      </c>
    </row>
    <row r="151">
      <c r="A151" s="75" t="n"/>
      <c r="B151" s="75" t="n"/>
      <c r="C151" s="261" t="n"/>
      <c r="D151" s="261" t="n"/>
      <c r="E151" s="262">
        <f>IF(OR(C151="",D151=""),"",D151-C151)</f>
        <v/>
      </c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226">
        <f>IF(AND(A151="",B151=""),"",IF(AND(A151&lt;&gt;"",B151&lt;&gt;"",C151&lt;&gt;"",D151&lt;&gt;"",F151&lt;&gt;"",G151&lt;&gt;"",H151&lt;&gt;"",ISERROR(SEARCH("по паспорту",G151)),ISERROR(SEARCH("по паспорту",H151)),I151&lt;&gt;"",J151&lt;&gt;"",K151&lt;&gt;"",L151&lt;&gt;"",M151&lt;&gt;""),"ГОТОВО","НЕ ГОТОВО"))</f>
        <v/>
      </c>
      <c r="Z151" s="226">
        <f>IF(Y151&lt;&gt;"ГОТОВО","", "Предварительное заключение: "&amp;A151&amp;", скв. "&amp;B151&amp;". МРП: "&amp;E151&amp;" сут. ГНО: "&amp;F151&amp;", типоразмер "&amp;G151&amp;", марка "&amp;H151&amp;". Событие: "&amp;I151&amp;". Признак: "&amp;J151&amp;". Узел: "&amp;K151&amp;". Предварительная причина: "&amp;L151&amp;". Основное осложнение: "&amp;M151&amp;IF(N151&lt;&gt;"","; сопутствующее: "&amp;N151,"")&amp;IF(O151&lt;&gt;"","; дополнительно: "&amp;O151,"")&amp;".")</f>
        <v/>
      </c>
    </row>
    <row r="152">
      <c r="A152" s="75" t="n"/>
      <c r="B152" s="75" t="n"/>
      <c r="C152" s="261" t="n"/>
      <c r="D152" s="261" t="n"/>
      <c r="E152" s="262">
        <f>IF(OR(C152="",D152=""),"",D152-C152)</f>
        <v/>
      </c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226">
        <f>IF(AND(A152="",B152=""),"",IF(AND(A152&lt;&gt;"",B152&lt;&gt;"",C152&lt;&gt;"",D152&lt;&gt;"",F152&lt;&gt;"",G152&lt;&gt;"",H152&lt;&gt;"",ISERROR(SEARCH("по паспорту",G152)),ISERROR(SEARCH("по паспорту",H152)),I152&lt;&gt;"",J152&lt;&gt;"",K152&lt;&gt;"",L152&lt;&gt;"",M152&lt;&gt;""),"ГОТОВО","НЕ ГОТОВО"))</f>
        <v/>
      </c>
      <c r="Z152" s="226">
        <f>IF(Y152&lt;&gt;"ГОТОВО","", "Предварительное заключение: "&amp;A152&amp;", скв. "&amp;B152&amp;". МРП: "&amp;E152&amp;" сут. ГНО: "&amp;F152&amp;", типоразмер "&amp;G152&amp;", марка "&amp;H152&amp;". Событие: "&amp;I152&amp;". Признак: "&amp;J152&amp;". Узел: "&amp;K152&amp;". Предварительная причина: "&amp;L152&amp;". Основное осложнение: "&amp;M152&amp;IF(N152&lt;&gt;"","; сопутствующее: "&amp;N152,"")&amp;IF(O152&lt;&gt;"","; дополнительно: "&amp;O152,"")&amp;".")</f>
        <v/>
      </c>
    </row>
    <row r="153">
      <c r="A153" s="75" t="n"/>
      <c r="B153" s="75" t="n"/>
      <c r="C153" s="261" t="n"/>
      <c r="D153" s="261" t="n"/>
      <c r="E153" s="262">
        <f>IF(OR(C153="",D153=""),"",D153-C153)</f>
        <v/>
      </c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226">
        <f>IF(AND(A153="",B153=""),"",IF(AND(A153&lt;&gt;"",B153&lt;&gt;"",C153&lt;&gt;"",D153&lt;&gt;"",F153&lt;&gt;"",G153&lt;&gt;"",H153&lt;&gt;"",ISERROR(SEARCH("по паспорту",G153)),ISERROR(SEARCH("по паспорту",H153)),I153&lt;&gt;"",J153&lt;&gt;"",K153&lt;&gt;"",L153&lt;&gt;"",M153&lt;&gt;""),"ГОТОВО","НЕ ГОТОВО"))</f>
        <v/>
      </c>
      <c r="Z153" s="226">
        <f>IF(Y153&lt;&gt;"ГОТОВО","", "Предварительное заключение: "&amp;A153&amp;", скв. "&amp;B153&amp;". МРП: "&amp;E153&amp;" сут. ГНО: "&amp;F153&amp;", типоразмер "&amp;G153&amp;", марка "&amp;H153&amp;". Событие: "&amp;I153&amp;". Признак: "&amp;J153&amp;". Узел: "&amp;K153&amp;". Предварительная причина: "&amp;L153&amp;". Основное осложнение: "&amp;M153&amp;IF(N153&lt;&gt;"","; сопутствующее: "&amp;N153,"")&amp;IF(O153&lt;&gt;"","; дополнительно: "&amp;O153,"")&amp;".")</f>
        <v/>
      </c>
    </row>
    <row r="154">
      <c r="A154" s="75" t="n"/>
      <c r="B154" s="75" t="n"/>
      <c r="C154" s="261" t="n"/>
      <c r="D154" s="261" t="n"/>
      <c r="E154" s="262">
        <f>IF(OR(C154="",D154=""),"",D154-C154)</f>
        <v/>
      </c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226">
        <f>IF(AND(A154="",B154=""),"",IF(AND(A154&lt;&gt;"",B154&lt;&gt;"",C154&lt;&gt;"",D154&lt;&gt;"",F154&lt;&gt;"",G154&lt;&gt;"",H154&lt;&gt;"",ISERROR(SEARCH("по паспорту",G154)),ISERROR(SEARCH("по паспорту",H154)),I154&lt;&gt;"",J154&lt;&gt;"",K154&lt;&gt;"",L154&lt;&gt;"",M154&lt;&gt;""),"ГОТОВО","НЕ ГОТОВО"))</f>
        <v/>
      </c>
      <c r="Z154" s="226">
        <f>IF(Y154&lt;&gt;"ГОТОВО","", "Предварительное заключение: "&amp;A154&amp;", скв. "&amp;B154&amp;". МРП: "&amp;E154&amp;" сут. ГНО: "&amp;F154&amp;", типоразмер "&amp;G154&amp;", марка "&amp;H154&amp;". Событие: "&amp;I154&amp;". Признак: "&amp;J154&amp;". Узел: "&amp;K154&amp;". Предварительная причина: "&amp;L154&amp;". Основное осложнение: "&amp;M154&amp;IF(N154&lt;&gt;"","; сопутствующее: "&amp;N154,"")&amp;IF(O154&lt;&gt;"","; дополнительно: "&amp;O154,"")&amp;".")</f>
        <v/>
      </c>
    </row>
    <row r="155">
      <c r="A155" s="75" t="n"/>
      <c r="B155" s="75" t="n"/>
      <c r="C155" s="261" t="n"/>
      <c r="D155" s="261" t="n"/>
      <c r="E155" s="262">
        <f>IF(OR(C155="",D155=""),"",D155-C155)</f>
        <v/>
      </c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226">
        <f>IF(AND(A155="",B155=""),"",IF(AND(A155&lt;&gt;"",B155&lt;&gt;"",C155&lt;&gt;"",D155&lt;&gt;"",F155&lt;&gt;"",G155&lt;&gt;"",H155&lt;&gt;"",ISERROR(SEARCH("по паспорту",G155)),ISERROR(SEARCH("по паспорту",H155)),I155&lt;&gt;"",J155&lt;&gt;"",K155&lt;&gt;"",L155&lt;&gt;"",M155&lt;&gt;""),"ГОТОВО","НЕ ГОТОВО"))</f>
        <v/>
      </c>
      <c r="Z155" s="226">
        <f>IF(Y155&lt;&gt;"ГОТОВО","", "Предварительное заключение: "&amp;A155&amp;", скв. "&amp;B155&amp;". МРП: "&amp;E155&amp;" сут. ГНО: "&amp;F155&amp;", типоразмер "&amp;G155&amp;", марка "&amp;H155&amp;". Событие: "&amp;I155&amp;". Признак: "&amp;J155&amp;". Узел: "&amp;K155&amp;". Предварительная причина: "&amp;L155&amp;". Основное осложнение: "&amp;M155&amp;IF(N155&lt;&gt;"","; сопутствующее: "&amp;N155,"")&amp;IF(O155&lt;&gt;"","; дополнительно: "&amp;O155,"")&amp;".")</f>
        <v/>
      </c>
    </row>
    <row r="156">
      <c r="A156" s="75" t="n"/>
      <c r="B156" s="75" t="n"/>
      <c r="C156" s="261" t="n"/>
      <c r="D156" s="261" t="n"/>
      <c r="E156" s="262">
        <f>IF(OR(C156="",D156=""),"",D156-C156)</f>
        <v/>
      </c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226">
        <f>IF(AND(A156="",B156=""),"",IF(AND(A156&lt;&gt;"",B156&lt;&gt;"",C156&lt;&gt;"",D156&lt;&gt;"",F156&lt;&gt;"",G156&lt;&gt;"",H156&lt;&gt;"",ISERROR(SEARCH("по паспорту",G156)),ISERROR(SEARCH("по паспорту",H156)),I156&lt;&gt;"",J156&lt;&gt;"",K156&lt;&gt;"",L156&lt;&gt;"",M156&lt;&gt;""),"ГОТОВО","НЕ ГОТОВО"))</f>
        <v/>
      </c>
      <c r="Z156" s="226">
        <f>IF(Y156&lt;&gt;"ГОТОВО","", "Предварительное заключение: "&amp;A156&amp;", скв. "&amp;B156&amp;". МРП: "&amp;E156&amp;" сут. ГНО: "&amp;F156&amp;", типоразмер "&amp;G156&amp;", марка "&amp;H156&amp;". Событие: "&amp;I156&amp;". Признак: "&amp;J156&amp;". Узел: "&amp;K156&amp;". Предварительная причина: "&amp;L156&amp;". Основное осложнение: "&amp;M156&amp;IF(N156&lt;&gt;"","; сопутствующее: "&amp;N156,"")&amp;IF(O156&lt;&gt;"","; дополнительно: "&amp;O156,"")&amp;".")</f>
        <v/>
      </c>
    </row>
    <row r="157">
      <c r="A157" s="75" t="n"/>
      <c r="B157" s="75" t="n"/>
      <c r="C157" s="261" t="n"/>
      <c r="D157" s="261" t="n"/>
      <c r="E157" s="262">
        <f>IF(OR(C157="",D157=""),"",D157-C157)</f>
        <v/>
      </c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226">
        <f>IF(AND(A157="",B157=""),"",IF(AND(A157&lt;&gt;"",B157&lt;&gt;"",C157&lt;&gt;"",D157&lt;&gt;"",F157&lt;&gt;"",G157&lt;&gt;"",H157&lt;&gt;"",ISERROR(SEARCH("по паспорту",G157)),ISERROR(SEARCH("по паспорту",H157)),I157&lt;&gt;"",J157&lt;&gt;"",K157&lt;&gt;"",L157&lt;&gt;"",M157&lt;&gt;""),"ГОТОВО","НЕ ГОТОВО"))</f>
        <v/>
      </c>
      <c r="Z157" s="226">
        <f>IF(Y157&lt;&gt;"ГОТОВО","", "Предварительное заключение: "&amp;A157&amp;", скв. "&amp;B157&amp;". МРП: "&amp;E157&amp;" сут. ГНО: "&amp;F157&amp;", типоразмер "&amp;G157&amp;", марка "&amp;H157&amp;". Событие: "&amp;I157&amp;". Признак: "&amp;J157&amp;". Узел: "&amp;K157&amp;". Предварительная причина: "&amp;L157&amp;". Основное осложнение: "&amp;M157&amp;IF(N157&lt;&gt;"","; сопутствующее: "&amp;N157,"")&amp;IF(O157&lt;&gt;"","; дополнительно: "&amp;O157,"")&amp;".")</f>
        <v/>
      </c>
    </row>
    <row r="158">
      <c r="A158" s="75" t="n"/>
      <c r="B158" s="75" t="n"/>
      <c r="C158" s="261" t="n"/>
      <c r="D158" s="261" t="n"/>
      <c r="E158" s="262">
        <f>IF(OR(C158="",D158=""),"",D158-C158)</f>
        <v/>
      </c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226">
        <f>IF(AND(A158="",B158=""),"",IF(AND(A158&lt;&gt;"",B158&lt;&gt;"",C158&lt;&gt;"",D158&lt;&gt;"",F158&lt;&gt;"",G158&lt;&gt;"",H158&lt;&gt;"",ISERROR(SEARCH("по паспорту",G158)),ISERROR(SEARCH("по паспорту",H158)),I158&lt;&gt;"",J158&lt;&gt;"",K158&lt;&gt;"",L158&lt;&gt;"",M158&lt;&gt;""),"ГОТОВО","НЕ ГОТОВО"))</f>
        <v/>
      </c>
      <c r="Z158" s="226">
        <f>IF(Y158&lt;&gt;"ГОТОВО","", "Предварительное заключение: "&amp;A158&amp;", скв. "&amp;B158&amp;". МРП: "&amp;E158&amp;" сут. ГНО: "&amp;F158&amp;", типоразмер "&amp;G158&amp;", марка "&amp;H158&amp;". Событие: "&amp;I158&amp;". Признак: "&amp;J158&amp;". Узел: "&amp;K158&amp;". Предварительная причина: "&amp;L158&amp;". Основное осложнение: "&amp;M158&amp;IF(N158&lt;&gt;"","; сопутствующее: "&amp;N158,"")&amp;IF(O158&lt;&gt;"","; дополнительно: "&amp;O158,"")&amp;".")</f>
        <v/>
      </c>
    </row>
    <row r="159">
      <c r="A159" s="75" t="n"/>
      <c r="B159" s="75" t="n"/>
      <c r="C159" s="261" t="n"/>
      <c r="D159" s="261" t="n"/>
      <c r="E159" s="262">
        <f>IF(OR(C159="",D159=""),"",D159-C159)</f>
        <v/>
      </c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226">
        <f>IF(AND(A159="",B159=""),"",IF(AND(A159&lt;&gt;"",B159&lt;&gt;"",C159&lt;&gt;"",D159&lt;&gt;"",F159&lt;&gt;"",G159&lt;&gt;"",H159&lt;&gt;"",ISERROR(SEARCH("по паспорту",G159)),ISERROR(SEARCH("по паспорту",H159)),I159&lt;&gt;"",J159&lt;&gt;"",K159&lt;&gt;"",L159&lt;&gt;"",M159&lt;&gt;""),"ГОТОВО","НЕ ГОТОВО"))</f>
        <v/>
      </c>
      <c r="Z159" s="226">
        <f>IF(Y159&lt;&gt;"ГОТОВО","", "Предварительное заключение: "&amp;A159&amp;", скв. "&amp;B159&amp;". МРП: "&amp;E159&amp;" сут. ГНО: "&amp;F159&amp;", типоразмер "&amp;G159&amp;", марка "&amp;H159&amp;". Событие: "&amp;I159&amp;". Признак: "&amp;J159&amp;". Узел: "&amp;K159&amp;". Предварительная причина: "&amp;L159&amp;". Основное осложнение: "&amp;M159&amp;IF(N159&lt;&gt;"","; сопутствующее: "&amp;N159,"")&amp;IF(O159&lt;&gt;"","; дополнительно: "&amp;O159,"")&amp;".")</f>
        <v/>
      </c>
    </row>
    <row r="160">
      <c r="A160" s="75" t="n"/>
      <c r="B160" s="75" t="n"/>
      <c r="C160" s="261" t="n"/>
      <c r="D160" s="261" t="n"/>
      <c r="E160" s="262">
        <f>IF(OR(C160="",D160=""),"",D160-C160)</f>
        <v/>
      </c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226">
        <f>IF(AND(A160="",B160=""),"",IF(AND(A160&lt;&gt;"",B160&lt;&gt;"",C160&lt;&gt;"",D160&lt;&gt;"",F160&lt;&gt;"",G160&lt;&gt;"",H160&lt;&gt;"",ISERROR(SEARCH("по паспорту",G160)),ISERROR(SEARCH("по паспорту",H160)),I160&lt;&gt;"",J160&lt;&gt;"",K160&lt;&gt;"",L160&lt;&gt;"",M160&lt;&gt;""),"ГОТОВО","НЕ ГОТОВО"))</f>
        <v/>
      </c>
      <c r="Z160" s="226">
        <f>IF(Y160&lt;&gt;"ГОТОВО","", "Предварительное заключение: "&amp;A160&amp;", скв. "&amp;B160&amp;". МРП: "&amp;E160&amp;" сут. ГНО: "&amp;F160&amp;", типоразмер "&amp;G160&amp;", марка "&amp;H160&amp;". Событие: "&amp;I160&amp;". Признак: "&amp;J160&amp;". Узел: "&amp;K160&amp;". Предварительная причина: "&amp;L160&amp;". Основное осложнение: "&amp;M160&amp;IF(N160&lt;&gt;"","; сопутствующее: "&amp;N160,"")&amp;IF(O160&lt;&gt;"","; дополнительно: "&amp;O160,"")&amp;".")</f>
        <v/>
      </c>
    </row>
    <row r="161">
      <c r="A161" s="75" t="n"/>
      <c r="B161" s="75" t="n"/>
      <c r="C161" s="261" t="n"/>
      <c r="D161" s="261" t="n"/>
      <c r="E161" s="262">
        <f>IF(OR(C161="",D161=""),"",D161-C161)</f>
        <v/>
      </c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226">
        <f>IF(AND(A161="",B161=""),"",IF(AND(A161&lt;&gt;"",B161&lt;&gt;"",C161&lt;&gt;"",D161&lt;&gt;"",F161&lt;&gt;"",G161&lt;&gt;"",H161&lt;&gt;"",ISERROR(SEARCH("по паспорту",G161)),ISERROR(SEARCH("по паспорту",H161)),I161&lt;&gt;"",J161&lt;&gt;"",K161&lt;&gt;"",L161&lt;&gt;"",M161&lt;&gt;""),"ГОТОВО","НЕ ГОТОВО"))</f>
        <v/>
      </c>
      <c r="Z161" s="226">
        <f>IF(Y161&lt;&gt;"ГОТОВО","", "Предварительное заключение: "&amp;A161&amp;", скв. "&amp;B161&amp;". МРП: "&amp;E161&amp;" сут. ГНО: "&amp;F161&amp;", типоразмер "&amp;G161&amp;", марка "&amp;H161&amp;". Событие: "&amp;I161&amp;". Признак: "&amp;J161&amp;". Узел: "&amp;K161&amp;". Предварительная причина: "&amp;L161&amp;". Основное осложнение: "&amp;M161&amp;IF(N161&lt;&gt;"","; сопутствующее: "&amp;N161,"")&amp;IF(O161&lt;&gt;"","; дополнительно: "&amp;O161,"")&amp;".")</f>
        <v/>
      </c>
    </row>
    <row r="162">
      <c r="A162" s="75" t="n"/>
      <c r="B162" s="75" t="n"/>
      <c r="C162" s="261" t="n"/>
      <c r="D162" s="261" t="n"/>
      <c r="E162" s="262">
        <f>IF(OR(C162="",D162=""),"",D162-C162)</f>
        <v/>
      </c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226">
        <f>IF(AND(A162="",B162=""),"",IF(AND(A162&lt;&gt;"",B162&lt;&gt;"",C162&lt;&gt;"",D162&lt;&gt;"",F162&lt;&gt;"",G162&lt;&gt;"",H162&lt;&gt;"",ISERROR(SEARCH("по паспорту",G162)),ISERROR(SEARCH("по паспорту",H162)),I162&lt;&gt;"",J162&lt;&gt;"",K162&lt;&gt;"",L162&lt;&gt;"",M162&lt;&gt;""),"ГОТОВО","НЕ ГОТОВО"))</f>
        <v/>
      </c>
      <c r="Z162" s="226">
        <f>IF(Y162&lt;&gt;"ГОТОВО","", "Предварительное заключение: "&amp;A162&amp;", скв. "&amp;B162&amp;". МРП: "&amp;E162&amp;" сут. ГНО: "&amp;F162&amp;", типоразмер "&amp;G162&amp;", марка "&amp;H162&amp;". Событие: "&amp;I162&amp;". Признак: "&amp;J162&amp;". Узел: "&amp;K162&amp;". Предварительная причина: "&amp;L162&amp;". Основное осложнение: "&amp;M162&amp;IF(N162&lt;&gt;"","; сопутствующее: "&amp;N162,"")&amp;IF(O162&lt;&gt;"","; дополнительно: "&amp;O162,"")&amp;".")</f>
        <v/>
      </c>
    </row>
    <row r="163">
      <c r="A163" s="75" t="n"/>
      <c r="B163" s="75" t="n"/>
      <c r="C163" s="261" t="n"/>
      <c r="D163" s="261" t="n"/>
      <c r="E163" s="262">
        <f>IF(OR(C163="",D163=""),"",D163-C163)</f>
        <v/>
      </c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226">
        <f>IF(AND(A163="",B163=""),"",IF(AND(A163&lt;&gt;"",B163&lt;&gt;"",C163&lt;&gt;"",D163&lt;&gt;"",F163&lt;&gt;"",G163&lt;&gt;"",H163&lt;&gt;"",ISERROR(SEARCH("по паспорту",G163)),ISERROR(SEARCH("по паспорту",H163)),I163&lt;&gt;"",J163&lt;&gt;"",K163&lt;&gt;"",L163&lt;&gt;"",M163&lt;&gt;""),"ГОТОВО","НЕ ГОТОВО"))</f>
        <v/>
      </c>
      <c r="Z163" s="226">
        <f>IF(Y163&lt;&gt;"ГОТОВО","", "Предварительное заключение: "&amp;A163&amp;", скв. "&amp;B163&amp;". МРП: "&amp;E163&amp;" сут. ГНО: "&amp;F163&amp;", типоразмер "&amp;G163&amp;", марка "&amp;H163&amp;". Событие: "&amp;I163&amp;". Признак: "&amp;J163&amp;". Узел: "&amp;K163&amp;". Предварительная причина: "&amp;L163&amp;". Основное осложнение: "&amp;M163&amp;IF(N163&lt;&gt;"","; сопутствующее: "&amp;N163,"")&amp;IF(O163&lt;&gt;"","; дополнительно: "&amp;O163,"")&amp;".")</f>
        <v/>
      </c>
    </row>
    <row r="164">
      <c r="A164" s="75" t="n"/>
      <c r="B164" s="75" t="n"/>
      <c r="C164" s="261" t="n"/>
      <c r="D164" s="261" t="n"/>
      <c r="E164" s="262">
        <f>IF(OR(C164="",D164=""),"",D164-C164)</f>
        <v/>
      </c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226">
        <f>IF(AND(A164="",B164=""),"",IF(AND(A164&lt;&gt;"",B164&lt;&gt;"",C164&lt;&gt;"",D164&lt;&gt;"",F164&lt;&gt;"",G164&lt;&gt;"",H164&lt;&gt;"",ISERROR(SEARCH("по паспорту",G164)),ISERROR(SEARCH("по паспорту",H164)),I164&lt;&gt;"",J164&lt;&gt;"",K164&lt;&gt;"",L164&lt;&gt;"",M164&lt;&gt;""),"ГОТОВО","НЕ ГОТОВО"))</f>
        <v/>
      </c>
      <c r="Z164" s="226">
        <f>IF(Y164&lt;&gt;"ГОТОВО","", "Предварительное заключение: "&amp;A164&amp;", скв. "&amp;B164&amp;". МРП: "&amp;E164&amp;" сут. ГНО: "&amp;F164&amp;", типоразмер "&amp;G164&amp;", марка "&amp;H164&amp;". Событие: "&amp;I164&amp;". Признак: "&amp;J164&amp;". Узел: "&amp;K164&amp;". Предварительная причина: "&amp;L164&amp;". Основное осложнение: "&amp;M164&amp;IF(N164&lt;&gt;"","; сопутствующее: "&amp;N164,"")&amp;IF(O164&lt;&gt;"","; дополнительно: "&amp;O164,"")&amp;".")</f>
        <v/>
      </c>
    </row>
    <row r="165">
      <c r="A165" s="75" t="n"/>
      <c r="B165" s="75" t="n"/>
      <c r="C165" s="261" t="n"/>
      <c r="D165" s="261" t="n"/>
      <c r="E165" s="262">
        <f>IF(OR(C165="",D165=""),"",D165-C165)</f>
        <v/>
      </c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226">
        <f>IF(AND(A165="",B165=""),"",IF(AND(A165&lt;&gt;"",B165&lt;&gt;"",C165&lt;&gt;"",D165&lt;&gt;"",F165&lt;&gt;"",G165&lt;&gt;"",H165&lt;&gt;"",ISERROR(SEARCH("по паспорту",G165)),ISERROR(SEARCH("по паспорту",H165)),I165&lt;&gt;"",J165&lt;&gt;"",K165&lt;&gt;"",L165&lt;&gt;"",M165&lt;&gt;""),"ГОТОВО","НЕ ГОТОВО"))</f>
        <v/>
      </c>
      <c r="Z165" s="226">
        <f>IF(Y165&lt;&gt;"ГОТОВО","", "Предварительное заключение: "&amp;A165&amp;", скв. "&amp;B165&amp;". МРП: "&amp;E165&amp;" сут. ГНО: "&amp;F165&amp;", типоразмер "&amp;G165&amp;", марка "&amp;H165&amp;". Событие: "&amp;I165&amp;". Признак: "&amp;J165&amp;". Узел: "&amp;K165&amp;". Предварительная причина: "&amp;L165&amp;". Основное осложнение: "&amp;M165&amp;IF(N165&lt;&gt;"","; сопутствующее: "&amp;N165,"")&amp;IF(O165&lt;&gt;"","; дополнительно: "&amp;O165,"")&amp;".")</f>
        <v/>
      </c>
    </row>
    <row r="166">
      <c r="A166" s="75" t="n"/>
      <c r="B166" s="75" t="n"/>
      <c r="C166" s="261" t="n"/>
      <c r="D166" s="261" t="n"/>
      <c r="E166" s="262">
        <f>IF(OR(C166="",D166=""),"",D166-C166)</f>
        <v/>
      </c>
      <c r="F166" s="75" t="n"/>
      <c r="G166" s="75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226">
        <f>IF(AND(A166="",B166=""),"",IF(AND(A166&lt;&gt;"",B166&lt;&gt;"",C166&lt;&gt;"",D166&lt;&gt;"",F166&lt;&gt;"",G166&lt;&gt;"",H166&lt;&gt;"",ISERROR(SEARCH("по паспорту",G166)),ISERROR(SEARCH("по паспорту",H166)),I166&lt;&gt;"",J166&lt;&gt;"",K166&lt;&gt;"",L166&lt;&gt;"",M166&lt;&gt;""),"ГОТОВО","НЕ ГОТОВО"))</f>
        <v/>
      </c>
      <c r="Z166" s="226">
        <f>IF(Y166&lt;&gt;"ГОТОВО","", "Предварительное заключение: "&amp;A166&amp;", скв. "&amp;B166&amp;". МРП: "&amp;E166&amp;" сут. ГНО: "&amp;F166&amp;", типоразмер "&amp;G166&amp;", марка "&amp;H166&amp;". Событие: "&amp;I166&amp;". Признак: "&amp;J166&amp;". Узел: "&amp;K166&amp;". Предварительная причина: "&amp;L166&amp;". Основное осложнение: "&amp;M166&amp;IF(N166&lt;&gt;"","; сопутствующее: "&amp;N166,"")&amp;IF(O166&lt;&gt;"","; дополнительно: "&amp;O166,"")&amp;".")</f>
        <v/>
      </c>
    </row>
    <row r="167">
      <c r="A167" s="75" t="n"/>
      <c r="B167" s="75" t="n"/>
      <c r="C167" s="261" t="n"/>
      <c r="D167" s="261" t="n"/>
      <c r="E167" s="262">
        <f>IF(OR(C167="",D167=""),"",D167-C167)</f>
        <v/>
      </c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226">
        <f>IF(AND(A167="",B167=""),"",IF(AND(A167&lt;&gt;"",B167&lt;&gt;"",C167&lt;&gt;"",D167&lt;&gt;"",F167&lt;&gt;"",G167&lt;&gt;"",H167&lt;&gt;"",ISERROR(SEARCH("по паспорту",G167)),ISERROR(SEARCH("по паспорту",H167)),I167&lt;&gt;"",J167&lt;&gt;"",K167&lt;&gt;"",L167&lt;&gt;"",M167&lt;&gt;""),"ГОТОВО","НЕ ГОТОВО"))</f>
        <v/>
      </c>
      <c r="Z167" s="226">
        <f>IF(Y167&lt;&gt;"ГОТОВО","", "Предварительное заключение: "&amp;A167&amp;", скв. "&amp;B167&amp;". МРП: "&amp;E167&amp;" сут. ГНО: "&amp;F167&amp;", типоразмер "&amp;G167&amp;", марка "&amp;H167&amp;". Событие: "&amp;I167&amp;". Признак: "&amp;J167&amp;". Узел: "&amp;K167&amp;". Предварительная причина: "&amp;L167&amp;". Основное осложнение: "&amp;M167&amp;IF(N167&lt;&gt;"","; сопутствующее: "&amp;N167,"")&amp;IF(O167&lt;&gt;"","; дополнительно: "&amp;O167,"")&amp;".")</f>
        <v/>
      </c>
    </row>
    <row r="168">
      <c r="A168" s="75" t="n"/>
      <c r="B168" s="75" t="n"/>
      <c r="C168" s="261" t="n"/>
      <c r="D168" s="261" t="n"/>
      <c r="E168" s="262">
        <f>IF(OR(C168="",D168=""),"",D168-C168)</f>
        <v/>
      </c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226">
        <f>IF(AND(A168="",B168=""),"",IF(AND(A168&lt;&gt;"",B168&lt;&gt;"",C168&lt;&gt;"",D168&lt;&gt;"",F168&lt;&gt;"",G168&lt;&gt;"",H168&lt;&gt;"",ISERROR(SEARCH("по паспорту",G168)),ISERROR(SEARCH("по паспорту",H168)),I168&lt;&gt;"",J168&lt;&gt;"",K168&lt;&gt;"",L168&lt;&gt;"",M168&lt;&gt;""),"ГОТОВО","НЕ ГОТОВО"))</f>
        <v/>
      </c>
      <c r="Z168" s="226">
        <f>IF(Y168&lt;&gt;"ГОТОВО","", "Предварительное заключение: "&amp;A168&amp;", скв. "&amp;B168&amp;". МРП: "&amp;E168&amp;" сут. ГНО: "&amp;F168&amp;", типоразмер "&amp;G168&amp;", марка "&amp;H168&amp;". Событие: "&amp;I168&amp;". Признак: "&amp;J168&amp;". Узел: "&amp;K168&amp;". Предварительная причина: "&amp;L168&amp;". Основное осложнение: "&amp;M168&amp;IF(N168&lt;&gt;"","; сопутствующее: "&amp;N168,"")&amp;IF(O168&lt;&gt;"","; дополнительно: "&amp;O168,"")&amp;".")</f>
        <v/>
      </c>
    </row>
    <row r="169">
      <c r="A169" s="75" t="n"/>
      <c r="B169" s="75" t="n"/>
      <c r="C169" s="261" t="n"/>
      <c r="D169" s="261" t="n"/>
      <c r="E169" s="262">
        <f>IF(OR(C169="",D169=""),"",D169-C169)</f>
        <v/>
      </c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226">
        <f>IF(AND(A169="",B169=""),"",IF(AND(A169&lt;&gt;"",B169&lt;&gt;"",C169&lt;&gt;"",D169&lt;&gt;"",F169&lt;&gt;"",G169&lt;&gt;"",H169&lt;&gt;"",ISERROR(SEARCH("по паспорту",G169)),ISERROR(SEARCH("по паспорту",H169)),I169&lt;&gt;"",J169&lt;&gt;"",K169&lt;&gt;"",L169&lt;&gt;"",M169&lt;&gt;""),"ГОТОВО","НЕ ГОТОВО"))</f>
        <v/>
      </c>
      <c r="Z169" s="226">
        <f>IF(Y169&lt;&gt;"ГОТОВО","", "Предварительное заключение: "&amp;A169&amp;", скв. "&amp;B169&amp;". МРП: "&amp;E169&amp;" сут. ГНО: "&amp;F169&amp;", типоразмер "&amp;G169&amp;", марка "&amp;H169&amp;". Событие: "&amp;I169&amp;". Признак: "&amp;J169&amp;". Узел: "&amp;K169&amp;". Предварительная причина: "&amp;L169&amp;". Основное осложнение: "&amp;M169&amp;IF(N169&lt;&gt;"","; сопутствующее: "&amp;N169,"")&amp;IF(O169&lt;&gt;"","; дополнительно: "&amp;O169,"")&amp;".")</f>
        <v/>
      </c>
    </row>
    <row r="170">
      <c r="A170" s="75" t="n"/>
      <c r="B170" s="75" t="n"/>
      <c r="C170" s="261" t="n"/>
      <c r="D170" s="261" t="n"/>
      <c r="E170" s="262">
        <f>IF(OR(C170="",D170=""),"",D170-C170)</f>
        <v/>
      </c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226">
        <f>IF(AND(A170="",B170=""),"",IF(AND(A170&lt;&gt;"",B170&lt;&gt;"",C170&lt;&gt;"",D170&lt;&gt;"",F170&lt;&gt;"",G170&lt;&gt;"",H170&lt;&gt;"",ISERROR(SEARCH("по паспорту",G170)),ISERROR(SEARCH("по паспорту",H170)),I170&lt;&gt;"",J170&lt;&gt;"",K170&lt;&gt;"",L170&lt;&gt;"",M170&lt;&gt;""),"ГОТОВО","НЕ ГОТОВО"))</f>
        <v/>
      </c>
      <c r="Z170" s="226">
        <f>IF(Y170&lt;&gt;"ГОТОВО","", "Предварительное заключение: "&amp;A170&amp;", скв. "&amp;B170&amp;". МРП: "&amp;E170&amp;" сут. ГНО: "&amp;F170&amp;", типоразмер "&amp;G170&amp;", марка "&amp;H170&amp;". Событие: "&amp;I170&amp;". Признак: "&amp;J170&amp;". Узел: "&amp;K170&amp;". Предварительная причина: "&amp;L170&amp;". Основное осложнение: "&amp;M170&amp;IF(N170&lt;&gt;"","; сопутствующее: "&amp;N170,"")&amp;IF(O170&lt;&gt;"","; дополнительно: "&amp;O170,"")&amp;".")</f>
        <v/>
      </c>
    </row>
    <row r="171">
      <c r="A171" s="75" t="n"/>
      <c r="B171" s="75" t="n"/>
      <c r="C171" s="261" t="n"/>
      <c r="D171" s="261" t="n"/>
      <c r="E171" s="262">
        <f>IF(OR(C171="",D171=""),"",D171-C171)</f>
        <v/>
      </c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226">
        <f>IF(AND(A171="",B171=""),"",IF(AND(A171&lt;&gt;"",B171&lt;&gt;"",C171&lt;&gt;"",D171&lt;&gt;"",F171&lt;&gt;"",G171&lt;&gt;"",H171&lt;&gt;"",ISERROR(SEARCH("по паспорту",G171)),ISERROR(SEARCH("по паспорту",H171)),I171&lt;&gt;"",J171&lt;&gt;"",K171&lt;&gt;"",L171&lt;&gt;"",M171&lt;&gt;""),"ГОТОВО","НЕ ГОТОВО"))</f>
        <v/>
      </c>
      <c r="Z171" s="226">
        <f>IF(Y171&lt;&gt;"ГОТОВО","", "Предварительное заключение: "&amp;A171&amp;", скв. "&amp;B171&amp;". МРП: "&amp;E171&amp;" сут. ГНО: "&amp;F171&amp;", типоразмер "&amp;G171&amp;", марка "&amp;H171&amp;". Событие: "&amp;I171&amp;". Признак: "&amp;J171&amp;". Узел: "&amp;K171&amp;". Предварительная причина: "&amp;L171&amp;". Основное осложнение: "&amp;M171&amp;IF(N171&lt;&gt;"","; сопутствующее: "&amp;N171,"")&amp;IF(O171&lt;&gt;"","; дополнительно: "&amp;O171,"")&amp;".")</f>
        <v/>
      </c>
    </row>
    <row r="172">
      <c r="A172" s="75" t="n"/>
      <c r="B172" s="75" t="n"/>
      <c r="C172" s="261" t="n"/>
      <c r="D172" s="261" t="n"/>
      <c r="E172" s="262">
        <f>IF(OR(C172="",D172=""),"",D172-C172)</f>
        <v/>
      </c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226">
        <f>IF(AND(A172="",B172=""),"",IF(AND(A172&lt;&gt;"",B172&lt;&gt;"",C172&lt;&gt;"",D172&lt;&gt;"",F172&lt;&gt;"",G172&lt;&gt;"",H172&lt;&gt;"",ISERROR(SEARCH("по паспорту",G172)),ISERROR(SEARCH("по паспорту",H172)),I172&lt;&gt;"",J172&lt;&gt;"",K172&lt;&gt;"",L172&lt;&gt;"",M172&lt;&gt;""),"ГОТОВО","НЕ ГОТОВО"))</f>
        <v/>
      </c>
      <c r="Z172" s="226">
        <f>IF(Y172&lt;&gt;"ГОТОВО","", "Предварительное заключение: "&amp;A172&amp;", скв. "&amp;B172&amp;". МРП: "&amp;E172&amp;" сут. ГНО: "&amp;F172&amp;", типоразмер "&amp;G172&amp;", марка "&amp;H172&amp;". Событие: "&amp;I172&amp;". Признак: "&amp;J172&amp;". Узел: "&amp;K172&amp;". Предварительная причина: "&amp;L172&amp;". Основное осложнение: "&amp;M172&amp;IF(N172&lt;&gt;"","; сопутствующее: "&amp;N172,"")&amp;IF(O172&lt;&gt;"","; дополнительно: "&amp;O172,"")&amp;".")</f>
        <v/>
      </c>
    </row>
    <row r="173">
      <c r="A173" s="75" t="n"/>
      <c r="B173" s="75" t="n"/>
      <c r="C173" s="261" t="n"/>
      <c r="D173" s="261" t="n"/>
      <c r="E173" s="262">
        <f>IF(OR(C173="",D173=""),"",D173-C173)</f>
        <v/>
      </c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226">
        <f>IF(AND(A173="",B173=""),"",IF(AND(A173&lt;&gt;"",B173&lt;&gt;"",C173&lt;&gt;"",D173&lt;&gt;"",F173&lt;&gt;"",G173&lt;&gt;"",H173&lt;&gt;"",ISERROR(SEARCH("по паспорту",G173)),ISERROR(SEARCH("по паспорту",H173)),I173&lt;&gt;"",J173&lt;&gt;"",K173&lt;&gt;"",L173&lt;&gt;"",M173&lt;&gt;""),"ГОТОВО","НЕ ГОТОВО"))</f>
        <v/>
      </c>
      <c r="Z173" s="226">
        <f>IF(Y173&lt;&gt;"ГОТОВО","", "Предварительное заключение: "&amp;A173&amp;", скв. "&amp;B173&amp;". МРП: "&amp;E173&amp;" сут. ГНО: "&amp;F173&amp;", типоразмер "&amp;G173&amp;", марка "&amp;H173&amp;". Событие: "&amp;I173&amp;". Признак: "&amp;J173&amp;". Узел: "&amp;K173&amp;". Предварительная причина: "&amp;L173&amp;". Основное осложнение: "&amp;M173&amp;IF(N173&lt;&gt;"","; сопутствующее: "&amp;N173,"")&amp;IF(O173&lt;&gt;"","; дополнительно: "&amp;O173,"")&amp;".")</f>
        <v/>
      </c>
    </row>
    <row r="174">
      <c r="A174" s="75" t="n"/>
      <c r="B174" s="75" t="n"/>
      <c r="C174" s="261" t="n"/>
      <c r="D174" s="261" t="n"/>
      <c r="E174" s="262">
        <f>IF(OR(C174="",D174=""),"",D174-C174)</f>
        <v/>
      </c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226">
        <f>IF(AND(A174="",B174=""),"",IF(AND(A174&lt;&gt;"",B174&lt;&gt;"",C174&lt;&gt;"",D174&lt;&gt;"",F174&lt;&gt;"",G174&lt;&gt;"",H174&lt;&gt;"",ISERROR(SEARCH("по паспорту",G174)),ISERROR(SEARCH("по паспорту",H174)),I174&lt;&gt;"",J174&lt;&gt;"",K174&lt;&gt;"",L174&lt;&gt;"",M174&lt;&gt;""),"ГОТОВО","НЕ ГОТОВО"))</f>
        <v/>
      </c>
      <c r="Z174" s="226">
        <f>IF(Y174&lt;&gt;"ГОТОВО","", "Предварительное заключение: "&amp;A174&amp;", скв. "&amp;B174&amp;". МРП: "&amp;E174&amp;" сут. ГНО: "&amp;F174&amp;", типоразмер "&amp;G174&amp;", марка "&amp;H174&amp;". Событие: "&amp;I174&amp;". Признак: "&amp;J174&amp;". Узел: "&amp;K174&amp;". Предварительная причина: "&amp;L174&amp;". Основное осложнение: "&amp;M174&amp;IF(N174&lt;&gt;"","; сопутствующее: "&amp;N174,"")&amp;IF(O174&lt;&gt;"","; дополнительно: "&amp;O174,"")&amp;".")</f>
        <v/>
      </c>
    </row>
    <row r="175">
      <c r="A175" s="75" t="n"/>
      <c r="B175" s="75" t="n"/>
      <c r="C175" s="261" t="n"/>
      <c r="D175" s="261" t="n"/>
      <c r="E175" s="262">
        <f>IF(OR(C175="",D175=""),"",D175-C175)</f>
        <v/>
      </c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226">
        <f>IF(AND(A175="",B175=""),"",IF(AND(A175&lt;&gt;"",B175&lt;&gt;"",C175&lt;&gt;"",D175&lt;&gt;"",F175&lt;&gt;"",G175&lt;&gt;"",H175&lt;&gt;"",ISERROR(SEARCH("по паспорту",G175)),ISERROR(SEARCH("по паспорту",H175)),I175&lt;&gt;"",J175&lt;&gt;"",K175&lt;&gt;"",L175&lt;&gt;"",M175&lt;&gt;""),"ГОТОВО","НЕ ГОТОВО"))</f>
        <v/>
      </c>
      <c r="Z175" s="226">
        <f>IF(Y175&lt;&gt;"ГОТОВО","", "Предварительное заключение: "&amp;A175&amp;", скв. "&amp;B175&amp;". МРП: "&amp;E175&amp;" сут. ГНО: "&amp;F175&amp;", типоразмер "&amp;G175&amp;", марка "&amp;H175&amp;". Событие: "&amp;I175&amp;". Признак: "&amp;J175&amp;". Узел: "&amp;K175&amp;". Предварительная причина: "&amp;L175&amp;". Основное осложнение: "&amp;M175&amp;IF(N175&lt;&gt;"","; сопутствующее: "&amp;N175,"")&amp;IF(O175&lt;&gt;"","; дополнительно: "&amp;O175,"")&amp;".")</f>
        <v/>
      </c>
    </row>
    <row r="176">
      <c r="A176" s="75" t="n"/>
      <c r="B176" s="75" t="n"/>
      <c r="C176" s="261" t="n"/>
      <c r="D176" s="261" t="n"/>
      <c r="E176" s="262">
        <f>IF(OR(C176="",D176=""),"",D176-C176)</f>
        <v/>
      </c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226">
        <f>IF(AND(A176="",B176=""),"",IF(AND(A176&lt;&gt;"",B176&lt;&gt;"",C176&lt;&gt;"",D176&lt;&gt;"",F176&lt;&gt;"",G176&lt;&gt;"",H176&lt;&gt;"",ISERROR(SEARCH("по паспорту",G176)),ISERROR(SEARCH("по паспорту",H176)),I176&lt;&gt;"",J176&lt;&gt;"",K176&lt;&gt;"",L176&lt;&gt;"",M176&lt;&gt;""),"ГОТОВО","НЕ ГОТОВО"))</f>
        <v/>
      </c>
      <c r="Z176" s="226">
        <f>IF(Y176&lt;&gt;"ГОТОВО","", "Предварительное заключение: "&amp;A176&amp;", скв. "&amp;B176&amp;". МРП: "&amp;E176&amp;" сут. ГНО: "&amp;F176&amp;", типоразмер "&amp;G176&amp;", марка "&amp;H176&amp;". Событие: "&amp;I176&amp;". Признак: "&amp;J176&amp;". Узел: "&amp;K176&amp;". Предварительная причина: "&amp;L176&amp;". Основное осложнение: "&amp;M176&amp;IF(N176&lt;&gt;"","; сопутствующее: "&amp;N176,"")&amp;IF(O176&lt;&gt;"","; дополнительно: "&amp;O176,"")&amp;".")</f>
        <v/>
      </c>
    </row>
    <row r="177">
      <c r="A177" s="75" t="n"/>
      <c r="B177" s="75" t="n"/>
      <c r="C177" s="261" t="n"/>
      <c r="D177" s="261" t="n"/>
      <c r="E177" s="262">
        <f>IF(OR(C177="",D177=""),"",D177-C177)</f>
        <v/>
      </c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226">
        <f>IF(AND(A177="",B177=""),"",IF(AND(A177&lt;&gt;"",B177&lt;&gt;"",C177&lt;&gt;"",D177&lt;&gt;"",F177&lt;&gt;"",G177&lt;&gt;"",H177&lt;&gt;"",ISERROR(SEARCH("по паспорту",G177)),ISERROR(SEARCH("по паспорту",H177)),I177&lt;&gt;"",J177&lt;&gt;"",K177&lt;&gt;"",L177&lt;&gt;"",M177&lt;&gt;""),"ГОТОВО","НЕ ГОТОВО"))</f>
        <v/>
      </c>
      <c r="Z177" s="226">
        <f>IF(Y177&lt;&gt;"ГОТОВО","", "Предварительное заключение: "&amp;A177&amp;", скв. "&amp;B177&amp;". МРП: "&amp;E177&amp;" сут. ГНО: "&amp;F177&amp;", типоразмер "&amp;G177&amp;", марка "&amp;H177&amp;". Событие: "&amp;I177&amp;". Признак: "&amp;J177&amp;". Узел: "&amp;K177&amp;". Предварительная причина: "&amp;L177&amp;". Основное осложнение: "&amp;M177&amp;IF(N177&lt;&gt;"","; сопутствующее: "&amp;N177,"")&amp;IF(O177&lt;&gt;"","; дополнительно: "&amp;O177,"")&amp;".")</f>
        <v/>
      </c>
    </row>
    <row r="178">
      <c r="A178" s="75" t="n"/>
      <c r="B178" s="75" t="n"/>
      <c r="C178" s="261" t="n"/>
      <c r="D178" s="261" t="n"/>
      <c r="E178" s="262">
        <f>IF(OR(C178="",D178=""),"",D178-C178)</f>
        <v/>
      </c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226">
        <f>IF(AND(A178="",B178=""),"",IF(AND(A178&lt;&gt;"",B178&lt;&gt;"",C178&lt;&gt;"",D178&lt;&gt;"",F178&lt;&gt;"",G178&lt;&gt;"",H178&lt;&gt;"",ISERROR(SEARCH("по паспорту",G178)),ISERROR(SEARCH("по паспорту",H178)),I178&lt;&gt;"",J178&lt;&gt;"",K178&lt;&gt;"",L178&lt;&gt;"",M178&lt;&gt;""),"ГОТОВО","НЕ ГОТОВО"))</f>
        <v/>
      </c>
      <c r="Z178" s="226">
        <f>IF(Y178&lt;&gt;"ГОТОВО","", "Предварительное заключение: "&amp;A178&amp;", скв. "&amp;B178&amp;". МРП: "&amp;E178&amp;" сут. ГНО: "&amp;F178&amp;", типоразмер "&amp;G178&amp;", марка "&amp;H178&amp;". Событие: "&amp;I178&amp;". Признак: "&amp;J178&amp;". Узел: "&amp;K178&amp;". Предварительная причина: "&amp;L178&amp;". Основное осложнение: "&amp;M178&amp;IF(N178&lt;&gt;"","; сопутствующее: "&amp;N178,"")&amp;IF(O178&lt;&gt;"","; дополнительно: "&amp;O178,"")&amp;".")</f>
        <v/>
      </c>
    </row>
    <row r="179">
      <c r="A179" s="75" t="n"/>
      <c r="B179" s="75" t="n"/>
      <c r="C179" s="261" t="n"/>
      <c r="D179" s="261" t="n"/>
      <c r="E179" s="262">
        <f>IF(OR(C179="",D179=""),"",D179-C179)</f>
        <v/>
      </c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226">
        <f>IF(AND(A179="",B179=""),"",IF(AND(A179&lt;&gt;"",B179&lt;&gt;"",C179&lt;&gt;"",D179&lt;&gt;"",F179&lt;&gt;"",G179&lt;&gt;"",H179&lt;&gt;"",ISERROR(SEARCH("по паспорту",G179)),ISERROR(SEARCH("по паспорту",H179)),I179&lt;&gt;"",J179&lt;&gt;"",K179&lt;&gt;"",L179&lt;&gt;"",M179&lt;&gt;""),"ГОТОВО","НЕ ГОТОВО"))</f>
        <v/>
      </c>
      <c r="Z179" s="226">
        <f>IF(Y179&lt;&gt;"ГОТОВО","", "Предварительное заключение: "&amp;A179&amp;", скв. "&amp;B179&amp;". МРП: "&amp;E179&amp;" сут. ГНО: "&amp;F179&amp;", типоразмер "&amp;G179&amp;", марка "&amp;H179&amp;". Событие: "&amp;I179&amp;". Признак: "&amp;J179&amp;". Узел: "&amp;K179&amp;". Предварительная причина: "&amp;L179&amp;". Основное осложнение: "&amp;M179&amp;IF(N179&lt;&gt;"","; сопутствующее: "&amp;N179,"")&amp;IF(O179&lt;&gt;"","; дополнительно: "&amp;O179,"")&amp;".")</f>
        <v/>
      </c>
    </row>
    <row r="180">
      <c r="A180" s="75" t="n"/>
      <c r="B180" s="75" t="n"/>
      <c r="C180" s="261" t="n"/>
      <c r="D180" s="261" t="n"/>
      <c r="E180" s="262">
        <f>IF(OR(C180="",D180=""),"",D180-C180)</f>
        <v/>
      </c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226">
        <f>IF(AND(A180="",B180=""),"",IF(AND(A180&lt;&gt;"",B180&lt;&gt;"",C180&lt;&gt;"",D180&lt;&gt;"",F180&lt;&gt;"",G180&lt;&gt;"",H180&lt;&gt;"",ISERROR(SEARCH("по паспорту",G180)),ISERROR(SEARCH("по паспорту",H180)),I180&lt;&gt;"",J180&lt;&gt;"",K180&lt;&gt;"",L180&lt;&gt;"",M180&lt;&gt;""),"ГОТОВО","НЕ ГОТОВО"))</f>
        <v/>
      </c>
      <c r="Z180" s="226">
        <f>IF(Y180&lt;&gt;"ГОТОВО","", "Предварительное заключение: "&amp;A180&amp;", скв. "&amp;B180&amp;". МРП: "&amp;E180&amp;" сут. ГНО: "&amp;F180&amp;", типоразмер "&amp;G180&amp;", марка "&amp;H180&amp;". Событие: "&amp;I180&amp;". Признак: "&amp;J180&amp;". Узел: "&amp;K180&amp;". Предварительная причина: "&amp;L180&amp;". Основное осложнение: "&amp;M180&amp;IF(N180&lt;&gt;"","; сопутствующее: "&amp;N180,"")&amp;IF(O180&lt;&gt;"","; дополнительно: "&amp;O180,"")&amp;".")</f>
        <v/>
      </c>
    </row>
    <row r="181">
      <c r="A181" s="75" t="n"/>
      <c r="B181" s="75" t="n"/>
      <c r="C181" s="261" t="n"/>
      <c r="D181" s="261" t="n"/>
      <c r="E181" s="262">
        <f>IF(OR(C181="",D181=""),"",D181-C181)</f>
        <v/>
      </c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226">
        <f>IF(AND(A181="",B181=""),"",IF(AND(A181&lt;&gt;"",B181&lt;&gt;"",C181&lt;&gt;"",D181&lt;&gt;"",F181&lt;&gt;"",G181&lt;&gt;"",H181&lt;&gt;"",ISERROR(SEARCH("по паспорту",G181)),ISERROR(SEARCH("по паспорту",H181)),I181&lt;&gt;"",J181&lt;&gt;"",K181&lt;&gt;"",L181&lt;&gt;"",M181&lt;&gt;""),"ГОТОВО","НЕ ГОТОВО"))</f>
        <v/>
      </c>
      <c r="Z181" s="226">
        <f>IF(Y181&lt;&gt;"ГОТОВО","", "Предварительное заключение: "&amp;A181&amp;", скв. "&amp;B181&amp;". МРП: "&amp;E181&amp;" сут. ГНО: "&amp;F181&amp;", типоразмер "&amp;G181&amp;", марка "&amp;H181&amp;". Событие: "&amp;I181&amp;". Признак: "&amp;J181&amp;". Узел: "&amp;K181&amp;". Предварительная причина: "&amp;L181&amp;". Основное осложнение: "&amp;M181&amp;IF(N181&lt;&gt;"","; сопутствующее: "&amp;N181,"")&amp;IF(O181&lt;&gt;"","; дополнительно: "&amp;O181,"")&amp;".")</f>
        <v/>
      </c>
    </row>
    <row r="182">
      <c r="A182" s="75" t="n"/>
      <c r="B182" s="75" t="n"/>
      <c r="C182" s="261" t="n"/>
      <c r="D182" s="261" t="n"/>
      <c r="E182" s="262">
        <f>IF(OR(C182="",D182=""),"",D182-C182)</f>
        <v/>
      </c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226">
        <f>IF(AND(A182="",B182=""),"",IF(AND(A182&lt;&gt;"",B182&lt;&gt;"",C182&lt;&gt;"",D182&lt;&gt;"",F182&lt;&gt;"",G182&lt;&gt;"",H182&lt;&gt;"",ISERROR(SEARCH("по паспорту",G182)),ISERROR(SEARCH("по паспорту",H182)),I182&lt;&gt;"",J182&lt;&gt;"",K182&lt;&gt;"",L182&lt;&gt;"",M182&lt;&gt;""),"ГОТОВО","НЕ ГОТОВО"))</f>
        <v/>
      </c>
      <c r="Z182" s="226">
        <f>IF(Y182&lt;&gt;"ГОТОВО","", "Предварительное заключение: "&amp;A182&amp;", скв. "&amp;B182&amp;". МРП: "&amp;E182&amp;" сут. ГНО: "&amp;F182&amp;", типоразмер "&amp;G182&amp;", марка "&amp;H182&amp;". Событие: "&amp;I182&amp;". Признак: "&amp;J182&amp;". Узел: "&amp;K182&amp;". Предварительная причина: "&amp;L182&amp;". Основное осложнение: "&amp;M182&amp;IF(N182&lt;&gt;"","; сопутствующее: "&amp;N182,"")&amp;IF(O182&lt;&gt;"","; дополнительно: "&amp;O182,"")&amp;".")</f>
        <v/>
      </c>
    </row>
    <row r="183">
      <c r="A183" s="75" t="n"/>
      <c r="B183" s="75" t="n"/>
      <c r="C183" s="261" t="n"/>
      <c r="D183" s="261" t="n"/>
      <c r="E183" s="262">
        <f>IF(OR(C183="",D183=""),"",D183-C183)</f>
        <v/>
      </c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226">
        <f>IF(AND(A183="",B183=""),"",IF(AND(A183&lt;&gt;"",B183&lt;&gt;"",C183&lt;&gt;"",D183&lt;&gt;"",F183&lt;&gt;"",G183&lt;&gt;"",H183&lt;&gt;"",ISERROR(SEARCH("по паспорту",G183)),ISERROR(SEARCH("по паспорту",H183)),I183&lt;&gt;"",J183&lt;&gt;"",K183&lt;&gt;"",L183&lt;&gt;"",M183&lt;&gt;""),"ГОТОВО","НЕ ГОТОВО"))</f>
        <v/>
      </c>
      <c r="Z183" s="226">
        <f>IF(Y183&lt;&gt;"ГОТОВО","", "Предварительное заключение: "&amp;A183&amp;", скв. "&amp;B183&amp;". МРП: "&amp;E183&amp;" сут. ГНО: "&amp;F183&amp;", типоразмер "&amp;G183&amp;", марка "&amp;H183&amp;". Событие: "&amp;I183&amp;". Признак: "&amp;J183&amp;". Узел: "&amp;K183&amp;". Предварительная причина: "&amp;L183&amp;". Основное осложнение: "&amp;M183&amp;IF(N183&lt;&gt;"","; сопутствующее: "&amp;N183,"")&amp;IF(O183&lt;&gt;"","; дополнительно: "&amp;O183,"")&amp;".")</f>
        <v/>
      </c>
    </row>
    <row r="184">
      <c r="A184" s="75" t="n"/>
      <c r="B184" s="75" t="n"/>
      <c r="C184" s="261" t="n"/>
      <c r="D184" s="261" t="n"/>
      <c r="E184" s="262">
        <f>IF(OR(C184="",D184=""),"",D184-C184)</f>
        <v/>
      </c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226">
        <f>IF(AND(A184="",B184=""),"",IF(AND(A184&lt;&gt;"",B184&lt;&gt;"",C184&lt;&gt;"",D184&lt;&gt;"",F184&lt;&gt;"",G184&lt;&gt;"",H184&lt;&gt;"",ISERROR(SEARCH("по паспорту",G184)),ISERROR(SEARCH("по паспорту",H184)),I184&lt;&gt;"",J184&lt;&gt;"",K184&lt;&gt;"",L184&lt;&gt;"",M184&lt;&gt;""),"ГОТОВО","НЕ ГОТОВО"))</f>
        <v/>
      </c>
      <c r="Z184" s="226">
        <f>IF(Y184&lt;&gt;"ГОТОВО","", "Предварительное заключение: "&amp;A184&amp;", скв. "&amp;B184&amp;". МРП: "&amp;E184&amp;" сут. ГНО: "&amp;F184&amp;", типоразмер "&amp;G184&amp;", марка "&amp;H184&amp;". Событие: "&amp;I184&amp;". Признак: "&amp;J184&amp;". Узел: "&amp;K184&amp;". Предварительная причина: "&amp;L184&amp;". Основное осложнение: "&amp;M184&amp;IF(N184&lt;&gt;"","; сопутствующее: "&amp;N184,"")&amp;IF(O184&lt;&gt;"","; дополнительно: "&amp;O184,"")&amp;".")</f>
        <v/>
      </c>
    </row>
    <row r="185">
      <c r="A185" s="75" t="n"/>
      <c r="B185" s="75" t="n"/>
      <c r="C185" s="261" t="n"/>
      <c r="D185" s="261" t="n"/>
      <c r="E185" s="262">
        <f>IF(OR(C185="",D185=""),"",D185-C185)</f>
        <v/>
      </c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226">
        <f>IF(AND(A185="",B185=""),"",IF(AND(A185&lt;&gt;"",B185&lt;&gt;"",C185&lt;&gt;"",D185&lt;&gt;"",F185&lt;&gt;"",G185&lt;&gt;"",H185&lt;&gt;"",ISERROR(SEARCH("по паспорту",G185)),ISERROR(SEARCH("по паспорту",H185)),I185&lt;&gt;"",J185&lt;&gt;"",K185&lt;&gt;"",L185&lt;&gt;"",M185&lt;&gt;""),"ГОТОВО","НЕ ГОТОВО"))</f>
        <v/>
      </c>
      <c r="Z185" s="226">
        <f>IF(Y185&lt;&gt;"ГОТОВО","", "Предварительное заключение: "&amp;A185&amp;", скв. "&amp;B185&amp;". МРП: "&amp;E185&amp;" сут. ГНО: "&amp;F185&amp;", типоразмер "&amp;G185&amp;", марка "&amp;H185&amp;". Событие: "&amp;I185&amp;". Признак: "&amp;J185&amp;". Узел: "&amp;K185&amp;". Предварительная причина: "&amp;L185&amp;". Основное осложнение: "&amp;M185&amp;IF(N185&lt;&gt;"","; сопутствующее: "&amp;N185,"")&amp;IF(O185&lt;&gt;"","; дополнительно: "&amp;O185,"")&amp;".")</f>
        <v/>
      </c>
    </row>
    <row r="186">
      <c r="A186" s="75" t="n"/>
      <c r="B186" s="75" t="n"/>
      <c r="C186" s="261" t="n"/>
      <c r="D186" s="261" t="n"/>
      <c r="E186" s="262">
        <f>IF(OR(C186="",D186=""),"",D186-C186)</f>
        <v/>
      </c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226">
        <f>IF(AND(A186="",B186=""),"",IF(AND(A186&lt;&gt;"",B186&lt;&gt;"",C186&lt;&gt;"",D186&lt;&gt;"",F186&lt;&gt;"",G186&lt;&gt;"",H186&lt;&gt;"",ISERROR(SEARCH("по паспорту",G186)),ISERROR(SEARCH("по паспорту",H186)),I186&lt;&gt;"",J186&lt;&gt;"",K186&lt;&gt;"",L186&lt;&gt;"",M186&lt;&gt;""),"ГОТОВО","НЕ ГОТОВО"))</f>
        <v/>
      </c>
      <c r="Z186" s="226">
        <f>IF(Y186&lt;&gt;"ГОТОВО","", "Предварительное заключение: "&amp;A186&amp;", скв. "&amp;B186&amp;". МРП: "&amp;E186&amp;" сут. ГНО: "&amp;F186&amp;", типоразмер "&amp;G186&amp;", марка "&amp;H186&amp;". Событие: "&amp;I186&amp;". Признак: "&amp;J186&amp;". Узел: "&amp;K186&amp;". Предварительная причина: "&amp;L186&amp;". Основное осложнение: "&amp;M186&amp;IF(N186&lt;&gt;"","; сопутствующее: "&amp;N186,"")&amp;IF(O186&lt;&gt;"","; дополнительно: "&amp;O186,"")&amp;".")</f>
        <v/>
      </c>
    </row>
    <row r="187">
      <c r="A187" s="75" t="n"/>
      <c r="B187" s="75" t="n"/>
      <c r="C187" s="261" t="n"/>
      <c r="D187" s="261" t="n"/>
      <c r="E187" s="262">
        <f>IF(OR(C187="",D187=""),"",D187-C187)</f>
        <v/>
      </c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226">
        <f>IF(AND(A187="",B187=""),"",IF(AND(A187&lt;&gt;"",B187&lt;&gt;"",C187&lt;&gt;"",D187&lt;&gt;"",F187&lt;&gt;"",G187&lt;&gt;"",H187&lt;&gt;"",ISERROR(SEARCH("по паспорту",G187)),ISERROR(SEARCH("по паспорту",H187)),I187&lt;&gt;"",J187&lt;&gt;"",K187&lt;&gt;"",L187&lt;&gt;"",M187&lt;&gt;""),"ГОТОВО","НЕ ГОТОВО"))</f>
        <v/>
      </c>
      <c r="Z187" s="226">
        <f>IF(Y187&lt;&gt;"ГОТОВО","", "Предварительное заключение: "&amp;A187&amp;", скв. "&amp;B187&amp;". МРП: "&amp;E187&amp;" сут. ГНО: "&amp;F187&amp;", типоразмер "&amp;G187&amp;", марка "&amp;H187&amp;". Событие: "&amp;I187&amp;". Признак: "&amp;J187&amp;". Узел: "&amp;K187&amp;". Предварительная причина: "&amp;L187&amp;". Основное осложнение: "&amp;M187&amp;IF(N187&lt;&gt;"","; сопутствующее: "&amp;N187,"")&amp;IF(O187&lt;&gt;"","; дополнительно: "&amp;O187,"")&amp;".")</f>
        <v/>
      </c>
    </row>
    <row r="188">
      <c r="A188" s="75" t="n"/>
      <c r="B188" s="75" t="n"/>
      <c r="C188" s="261" t="n"/>
      <c r="D188" s="261" t="n"/>
      <c r="E188" s="262">
        <f>IF(OR(C188="",D188=""),"",D188-C188)</f>
        <v/>
      </c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226">
        <f>IF(AND(A188="",B188=""),"",IF(AND(A188&lt;&gt;"",B188&lt;&gt;"",C188&lt;&gt;"",D188&lt;&gt;"",F188&lt;&gt;"",G188&lt;&gt;"",H188&lt;&gt;"",ISERROR(SEARCH("по паспорту",G188)),ISERROR(SEARCH("по паспорту",H188)),I188&lt;&gt;"",J188&lt;&gt;"",K188&lt;&gt;"",L188&lt;&gt;"",M188&lt;&gt;""),"ГОТОВО","НЕ ГОТОВО"))</f>
        <v/>
      </c>
      <c r="Z188" s="226">
        <f>IF(Y188&lt;&gt;"ГОТОВО","", "Предварительное заключение: "&amp;A188&amp;", скв. "&amp;B188&amp;". МРП: "&amp;E188&amp;" сут. ГНО: "&amp;F188&amp;", типоразмер "&amp;G188&amp;", марка "&amp;H188&amp;". Событие: "&amp;I188&amp;". Признак: "&amp;J188&amp;". Узел: "&amp;K188&amp;". Предварительная причина: "&amp;L188&amp;". Основное осложнение: "&amp;M188&amp;IF(N188&lt;&gt;"","; сопутствующее: "&amp;N188,"")&amp;IF(O188&lt;&gt;"","; дополнительно: "&amp;O188,"")&amp;".")</f>
        <v/>
      </c>
    </row>
    <row r="189">
      <c r="A189" s="75" t="n"/>
      <c r="B189" s="75" t="n"/>
      <c r="C189" s="261" t="n"/>
      <c r="D189" s="261" t="n"/>
      <c r="E189" s="262">
        <f>IF(OR(C189="",D189=""),"",D189-C189)</f>
        <v/>
      </c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226">
        <f>IF(AND(A189="",B189=""),"",IF(AND(A189&lt;&gt;"",B189&lt;&gt;"",C189&lt;&gt;"",D189&lt;&gt;"",F189&lt;&gt;"",G189&lt;&gt;"",H189&lt;&gt;"",ISERROR(SEARCH("по паспорту",G189)),ISERROR(SEARCH("по паспорту",H189)),I189&lt;&gt;"",J189&lt;&gt;"",K189&lt;&gt;"",L189&lt;&gt;"",M189&lt;&gt;""),"ГОТОВО","НЕ ГОТОВО"))</f>
        <v/>
      </c>
      <c r="Z189" s="226">
        <f>IF(Y189&lt;&gt;"ГОТОВО","", "Предварительное заключение: "&amp;A189&amp;", скв. "&amp;B189&amp;". МРП: "&amp;E189&amp;" сут. ГНО: "&amp;F189&amp;", типоразмер "&amp;G189&amp;", марка "&amp;H189&amp;". Событие: "&amp;I189&amp;". Признак: "&amp;J189&amp;". Узел: "&amp;K189&amp;". Предварительная причина: "&amp;L189&amp;". Основное осложнение: "&amp;M189&amp;IF(N189&lt;&gt;"","; сопутствующее: "&amp;N189,"")&amp;IF(O189&lt;&gt;"","; дополнительно: "&amp;O189,"")&amp;".")</f>
        <v/>
      </c>
    </row>
    <row r="190">
      <c r="A190" s="75" t="n"/>
      <c r="B190" s="75" t="n"/>
      <c r="C190" s="261" t="n"/>
      <c r="D190" s="261" t="n"/>
      <c r="E190" s="262">
        <f>IF(OR(C190="",D190=""),"",D190-C190)</f>
        <v/>
      </c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226">
        <f>IF(AND(A190="",B190=""),"",IF(AND(A190&lt;&gt;"",B190&lt;&gt;"",C190&lt;&gt;"",D190&lt;&gt;"",F190&lt;&gt;"",G190&lt;&gt;"",H190&lt;&gt;"",ISERROR(SEARCH("по паспорту",G190)),ISERROR(SEARCH("по паспорту",H190)),I190&lt;&gt;"",J190&lt;&gt;"",K190&lt;&gt;"",L190&lt;&gt;"",M190&lt;&gt;""),"ГОТОВО","НЕ ГОТОВО"))</f>
        <v/>
      </c>
      <c r="Z190" s="226">
        <f>IF(Y190&lt;&gt;"ГОТОВО","", "Предварительное заключение: "&amp;A190&amp;", скв. "&amp;B190&amp;". МРП: "&amp;E190&amp;" сут. ГНО: "&amp;F190&amp;", типоразмер "&amp;G190&amp;", марка "&amp;H190&amp;". Событие: "&amp;I190&amp;". Признак: "&amp;J190&amp;". Узел: "&amp;K190&amp;". Предварительная причина: "&amp;L190&amp;". Основное осложнение: "&amp;M190&amp;IF(N190&lt;&gt;"","; сопутствующее: "&amp;N190,"")&amp;IF(O190&lt;&gt;"","; дополнительно: "&amp;O190,"")&amp;".")</f>
        <v/>
      </c>
    </row>
    <row r="191">
      <c r="A191" s="75" t="n"/>
      <c r="B191" s="75" t="n"/>
      <c r="C191" s="261" t="n"/>
      <c r="D191" s="261" t="n"/>
      <c r="E191" s="262">
        <f>IF(OR(C191="",D191=""),"",D191-C191)</f>
        <v/>
      </c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226">
        <f>IF(AND(A191="",B191=""),"",IF(AND(A191&lt;&gt;"",B191&lt;&gt;"",C191&lt;&gt;"",D191&lt;&gt;"",F191&lt;&gt;"",G191&lt;&gt;"",H191&lt;&gt;"",ISERROR(SEARCH("по паспорту",G191)),ISERROR(SEARCH("по паспорту",H191)),I191&lt;&gt;"",J191&lt;&gt;"",K191&lt;&gt;"",L191&lt;&gt;"",M191&lt;&gt;""),"ГОТОВО","НЕ ГОТОВО"))</f>
        <v/>
      </c>
      <c r="Z191" s="226">
        <f>IF(Y191&lt;&gt;"ГОТОВО","", "Предварительное заключение: "&amp;A191&amp;", скв. "&amp;B191&amp;". МРП: "&amp;E191&amp;" сут. ГНО: "&amp;F191&amp;", типоразмер "&amp;G191&amp;", марка "&amp;H191&amp;". Событие: "&amp;I191&amp;". Признак: "&amp;J191&amp;". Узел: "&amp;K191&amp;". Предварительная причина: "&amp;L191&amp;". Основное осложнение: "&amp;M191&amp;IF(N191&lt;&gt;"","; сопутствующее: "&amp;N191,"")&amp;IF(O191&lt;&gt;"","; дополнительно: "&amp;O191,"")&amp;".")</f>
        <v/>
      </c>
    </row>
    <row r="192">
      <c r="A192" s="75" t="n"/>
      <c r="B192" s="75" t="n"/>
      <c r="C192" s="261" t="n"/>
      <c r="D192" s="261" t="n"/>
      <c r="E192" s="262">
        <f>IF(OR(C192="",D192=""),"",D192-C192)</f>
        <v/>
      </c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226">
        <f>IF(AND(A192="",B192=""),"",IF(AND(A192&lt;&gt;"",B192&lt;&gt;"",C192&lt;&gt;"",D192&lt;&gt;"",F192&lt;&gt;"",G192&lt;&gt;"",H192&lt;&gt;"",ISERROR(SEARCH("по паспорту",G192)),ISERROR(SEARCH("по паспорту",H192)),I192&lt;&gt;"",J192&lt;&gt;"",K192&lt;&gt;"",L192&lt;&gt;"",M192&lt;&gt;""),"ГОТОВО","НЕ ГОТОВО"))</f>
        <v/>
      </c>
      <c r="Z192" s="226">
        <f>IF(Y192&lt;&gt;"ГОТОВО","", "Предварительное заключение: "&amp;A192&amp;", скв. "&amp;B192&amp;". МРП: "&amp;E192&amp;" сут. ГНО: "&amp;F192&amp;", типоразмер "&amp;G192&amp;", марка "&amp;H192&amp;". Событие: "&amp;I192&amp;". Признак: "&amp;J192&amp;". Узел: "&amp;K192&amp;". Предварительная причина: "&amp;L192&amp;". Основное осложнение: "&amp;M192&amp;IF(N192&lt;&gt;"","; сопутствующее: "&amp;N192,"")&amp;IF(O192&lt;&gt;"","; дополнительно: "&amp;O192,"")&amp;".")</f>
        <v/>
      </c>
    </row>
    <row r="193">
      <c r="A193" s="75" t="n"/>
      <c r="B193" s="75" t="n"/>
      <c r="C193" s="261" t="n"/>
      <c r="D193" s="261" t="n"/>
      <c r="E193" s="262">
        <f>IF(OR(C193="",D193=""),"",D193-C193)</f>
        <v/>
      </c>
      <c r="F193" s="75" t="n"/>
      <c r="G193" s="75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226">
        <f>IF(AND(A193="",B193=""),"",IF(AND(A193&lt;&gt;"",B193&lt;&gt;"",C193&lt;&gt;"",D193&lt;&gt;"",F193&lt;&gt;"",G193&lt;&gt;"",H193&lt;&gt;"",ISERROR(SEARCH("по паспорту",G193)),ISERROR(SEARCH("по паспорту",H193)),I193&lt;&gt;"",J193&lt;&gt;"",K193&lt;&gt;"",L193&lt;&gt;"",M193&lt;&gt;""),"ГОТОВО","НЕ ГОТОВО"))</f>
        <v/>
      </c>
      <c r="Z193" s="226">
        <f>IF(Y193&lt;&gt;"ГОТОВО","", "Предварительное заключение: "&amp;A193&amp;", скв. "&amp;B193&amp;". МРП: "&amp;E193&amp;" сут. ГНО: "&amp;F193&amp;", типоразмер "&amp;G193&amp;", марка "&amp;H193&amp;". Событие: "&amp;I193&amp;". Признак: "&amp;J193&amp;". Узел: "&amp;K193&amp;". Предварительная причина: "&amp;L193&amp;". Основное осложнение: "&amp;M193&amp;IF(N193&lt;&gt;"","; сопутствующее: "&amp;N193,"")&amp;IF(O193&lt;&gt;"","; дополнительно: "&amp;O193,"")&amp;".")</f>
        <v/>
      </c>
    </row>
    <row r="194">
      <c r="A194" s="75" t="n"/>
      <c r="B194" s="75" t="n"/>
      <c r="C194" s="261" t="n"/>
      <c r="D194" s="261" t="n"/>
      <c r="E194" s="262">
        <f>IF(OR(C194="",D194=""),"",D194-C194)</f>
        <v/>
      </c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226">
        <f>IF(AND(A194="",B194=""),"",IF(AND(A194&lt;&gt;"",B194&lt;&gt;"",C194&lt;&gt;"",D194&lt;&gt;"",F194&lt;&gt;"",G194&lt;&gt;"",H194&lt;&gt;"",ISERROR(SEARCH("по паспорту",G194)),ISERROR(SEARCH("по паспорту",H194)),I194&lt;&gt;"",J194&lt;&gt;"",K194&lt;&gt;"",L194&lt;&gt;"",M194&lt;&gt;""),"ГОТОВО","НЕ ГОТОВО"))</f>
        <v/>
      </c>
      <c r="Z194" s="226">
        <f>IF(Y194&lt;&gt;"ГОТОВО","", "Предварительное заключение: "&amp;A194&amp;", скв. "&amp;B194&amp;". МРП: "&amp;E194&amp;" сут. ГНО: "&amp;F194&amp;", типоразмер "&amp;G194&amp;", марка "&amp;H194&amp;". Событие: "&amp;I194&amp;". Признак: "&amp;J194&amp;". Узел: "&amp;K194&amp;". Предварительная причина: "&amp;L194&amp;". Основное осложнение: "&amp;M194&amp;IF(N194&lt;&gt;"","; сопутствующее: "&amp;N194,"")&amp;IF(O194&lt;&gt;"","; дополнительно: "&amp;O194,"")&amp;".")</f>
        <v/>
      </c>
    </row>
    <row r="195">
      <c r="A195" s="75" t="n"/>
      <c r="B195" s="75" t="n"/>
      <c r="C195" s="261" t="n"/>
      <c r="D195" s="261" t="n"/>
      <c r="E195" s="262">
        <f>IF(OR(C195="",D195=""),"",D195-C195)</f>
        <v/>
      </c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226">
        <f>IF(AND(A195="",B195=""),"",IF(AND(A195&lt;&gt;"",B195&lt;&gt;"",C195&lt;&gt;"",D195&lt;&gt;"",F195&lt;&gt;"",G195&lt;&gt;"",H195&lt;&gt;"",ISERROR(SEARCH("по паспорту",G195)),ISERROR(SEARCH("по паспорту",H195)),I195&lt;&gt;"",J195&lt;&gt;"",K195&lt;&gt;"",L195&lt;&gt;"",M195&lt;&gt;""),"ГОТОВО","НЕ ГОТОВО"))</f>
        <v/>
      </c>
      <c r="Z195" s="226">
        <f>IF(Y195&lt;&gt;"ГОТОВО","", "Предварительное заключение: "&amp;A195&amp;", скв. "&amp;B195&amp;". МРП: "&amp;E195&amp;" сут. ГНО: "&amp;F195&amp;", типоразмер "&amp;G195&amp;", марка "&amp;H195&amp;". Событие: "&amp;I195&amp;". Признак: "&amp;J195&amp;". Узел: "&amp;K195&amp;". Предварительная причина: "&amp;L195&amp;". Основное осложнение: "&amp;M195&amp;IF(N195&lt;&gt;"","; сопутствующее: "&amp;N195,"")&amp;IF(O195&lt;&gt;"","; дополнительно: "&amp;O195,"")&amp;".")</f>
        <v/>
      </c>
    </row>
    <row r="196">
      <c r="A196" s="75" t="n"/>
      <c r="B196" s="75" t="n"/>
      <c r="C196" s="261" t="n"/>
      <c r="D196" s="261" t="n"/>
      <c r="E196" s="262">
        <f>IF(OR(C196="",D196=""),"",D196-C196)</f>
        <v/>
      </c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226">
        <f>IF(AND(A196="",B196=""),"",IF(AND(A196&lt;&gt;"",B196&lt;&gt;"",C196&lt;&gt;"",D196&lt;&gt;"",F196&lt;&gt;"",G196&lt;&gt;"",H196&lt;&gt;"",ISERROR(SEARCH("по паспорту",G196)),ISERROR(SEARCH("по паспорту",H196)),I196&lt;&gt;"",J196&lt;&gt;"",K196&lt;&gt;"",L196&lt;&gt;"",M196&lt;&gt;""),"ГОТОВО","НЕ ГОТОВО"))</f>
        <v/>
      </c>
      <c r="Z196" s="226">
        <f>IF(Y196&lt;&gt;"ГОТОВО","", "Предварительное заключение: "&amp;A196&amp;", скв. "&amp;B196&amp;". МРП: "&amp;E196&amp;" сут. ГНО: "&amp;F196&amp;", типоразмер "&amp;G196&amp;", марка "&amp;H196&amp;". Событие: "&amp;I196&amp;". Признак: "&amp;J196&amp;". Узел: "&amp;K196&amp;". Предварительная причина: "&amp;L196&amp;". Основное осложнение: "&amp;M196&amp;IF(N196&lt;&gt;"","; сопутствующее: "&amp;N196,"")&amp;IF(O196&lt;&gt;"","; дополнительно: "&amp;O196,"")&amp;".")</f>
        <v/>
      </c>
    </row>
    <row r="197">
      <c r="A197" s="75" t="n"/>
      <c r="B197" s="75" t="n"/>
      <c r="C197" s="261" t="n"/>
      <c r="D197" s="261" t="n"/>
      <c r="E197" s="262">
        <f>IF(OR(C197="",D197=""),"",D197-C197)</f>
        <v/>
      </c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226">
        <f>IF(AND(A197="",B197=""),"",IF(AND(A197&lt;&gt;"",B197&lt;&gt;"",C197&lt;&gt;"",D197&lt;&gt;"",F197&lt;&gt;"",G197&lt;&gt;"",H197&lt;&gt;"",ISERROR(SEARCH("по паспорту",G197)),ISERROR(SEARCH("по паспорту",H197)),I197&lt;&gt;"",J197&lt;&gt;"",K197&lt;&gt;"",L197&lt;&gt;"",M197&lt;&gt;""),"ГОТОВО","НЕ ГОТОВО"))</f>
        <v/>
      </c>
      <c r="Z197" s="226">
        <f>IF(Y197&lt;&gt;"ГОТОВО","", "Предварительное заключение: "&amp;A197&amp;", скв. "&amp;B197&amp;". МРП: "&amp;E197&amp;" сут. ГНО: "&amp;F197&amp;", типоразмер "&amp;G197&amp;", марка "&amp;H197&amp;". Событие: "&amp;I197&amp;". Признак: "&amp;J197&amp;". Узел: "&amp;K197&amp;". Предварительная причина: "&amp;L197&amp;". Основное осложнение: "&amp;M197&amp;IF(N197&lt;&gt;"","; сопутствующее: "&amp;N197,"")&amp;IF(O197&lt;&gt;"","; дополнительно: "&amp;O197,"")&amp;".")</f>
        <v/>
      </c>
    </row>
    <row r="198">
      <c r="A198" s="75" t="n"/>
      <c r="B198" s="75" t="n"/>
      <c r="C198" s="261" t="n"/>
      <c r="D198" s="261" t="n"/>
      <c r="E198" s="262">
        <f>IF(OR(C198="",D198=""),"",D198-C198)</f>
        <v/>
      </c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226">
        <f>IF(AND(A198="",B198=""),"",IF(AND(A198&lt;&gt;"",B198&lt;&gt;"",C198&lt;&gt;"",D198&lt;&gt;"",F198&lt;&gt;"",G198&lt;&gt;"",H198&lt;&gt;"",ISERROR(SEARCH("по паспорту",G198)),ISERROR(SEARCH("по паспорту",H198)),I198&lt;&gt;"",J198&lt;&gt;"",K198&lt;&gt;"",L198&lt;&gt;"",M198&lt;&gt;""),"ГОТОВО","НЕ ГОТОВО"))</f>
        <v/>
      </c>
      <c r="Z198" s="226">
        <f>IF(Y198&lt;&gt;"ГОТОВО","", "Предварительное заключение: "&amp;A198&amp;", скв. "&amp;B198&amp;". МРП: "&amp;E198&amp;" сут. ГНО: "&amp;F198&amp;", типоразмер "&amp;G198&amp;", марка "&amp;H198&amp;". Событие: "&amp;I198&amp;". Признак: "&amp;J198&amp;". Узел: "&amp;K198&amp;". Предварительная причина: "&amp;L198&amp;". Основное осложнение: "&amp;M198&amp;IF(N198&lt;&gt;"","; сопутствующее: "&amp;N198,"")&amp;IF(O198&lt;&gt;"","; дополнительно: "&amp;O198,"")&amp;".")</f>
        <v/>
      </c>
    </row>
    <row r="199">
      <c r="A199" s="75" t="n"/>
      <c r="B199" s="75" t="n"/>
      <c r="C199" s="261" t="n"/>
      <c r="D199" s="261" t="n"/>
      <c r="E199" s="262">
        <f>IF(OR(C199="",D199=""),"",D199-C199)</f>
        <v/>
      </c>
      <c r="F199" s="75" t="n"/>
      <c r="G199" s="75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226">
        <f>IF(AND(A199="",B199=""),"",IF(AND(A199&lt;&gt;"",B199&lt;&gt;"",C199&lt;&gt;"",D199&lt;&gt;"",F199&lt;&gt;"",G199&lt;&gt;"",H199&lt;&gt;"",ISERROR(SEARCH("по паспорту",G199)),ISERROR(SEARCH("по паспорту",H199)),I199&lt;&gt;"",J199&lt;&gt;"",K199&lt;&gt;"",L199&lt;&gt;"",M199&lt;&gt;""),"ГОТОВО","НЕ ГОТОВО"))</f>
        <v/>
      </c>
      <c r="Z199" s="226">
        <f>IF(Y199&lt;&gt;"ГОТОВО","", "Предварительное заключение: "&amp;A199&amp;", скв. "&amp;B199&amp;". МРП: "&amp;E199&amp;" сут. ГНО: "&amp;F199&amp;", типоразмер "&amp;G199&amp;", марка "&amp;H199&amp;". Событие: "&amp;I199&amp;". Признак: "&amp;J199&amp;". Узел: "&amp;K199&amp;". Предварительная причина: "&amp;L199&amp;". Основное осложнение: "&amp;M199&amp;IF(N199&lt;&gt;"","; сопутствующее: "&amp;N199,"")&amp;IF(O199&lt;&gt;"","; дополнительно: "&amp;O199,"")&amp;".")</f>
        <v/>
      </c>
    </row>
    <row r="200">
      <c r="A200" s="75" t="n"/>
      <c r="B200" s="75" t="n"/>
      <c r="C200" s="261" t="n"/>
      <c r="D200" s="261" t="n"/>
      <c r="E200" s="262">
        <f>IF(OR(C200="",D200=""),"",D200-C200)</f>
        <v/>
      </c>
      <c r="F200" s="75" t="n"/>
      <c r="G200" s="75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226">
        <f>IF(AND(A200="",B200=""),"",IF(AND(A200&lt;&gt;"",B200&lt;&gt;"",C200&lt;&gt;"",D200&lt;&gt;"",F200&lt;&gt;"",G200&lt;&gt;"",H200&lt;&gt;"",ISERROR(SEARCH("по паспорту",G200)),ISERROR(SEARCH("по паспорту",H200)),I200&lt;&gt;"",J200&lt;&gt;"",K200&lt;&gt;"",L200&lt;&gt;"",M200&lt;&gt;""),"ГОТОВО","НЕ ГОТОВО"))</f>
        <v/>
      </c>
      <c r="Z200" s="226">
        <f>IF(Y200&lt;&gt;"ГОТОВО","", "Предварительное заключение: "&amp;A200&amp;", скв. "&amp;B200&amp;". МРП: "&amp;E200&amp;" сут. ГНО: "&amp;F200&amp;", типоразмер "&amp;G200&amp;", марка "&amp;H200&amp;". Событие: "&amp;I200&amp;". Признак: "&amp;J200&amp;". Узел: "&amp;K200&amp;". Предварительная причина: "&amp;L200&amp;". Основное осложнение: "&amp;M200&amp;IF(N200&lt;&gt;"","; сопутствующее: "&amp;N200,"")&amp;IF(O200&lt;&gt;"","; дополнительно: "&amp;O200,"")&amp;".")</f>
        <v/>
      </c>
    </row>
    <row r="201">
      <c r="A201" s="75" t="n"/>
      <c r="B201" s="75" t="n"/>
      <c r="C201" s="261" t="n"/>
      <c r="D201" s="261" t="n"/>
      <c r="E201" s="262">
        <f>IF(OR(C201="",D201=""),"",D201-C201)</f>
        <v/>
      </c>
      <c r="F201" s="75" t="n"/>
      <c r="G201" s="75" t="n"/>
      <c r="H201" s="75" t="n"/>
      <c r="I201" s="75" t="n"/>
      <c r="J201" s="75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226">
        <f>IF(AND(A201="",B201=""),"",IF(AND(A201&lt;&gt;"",B201&lt;&gt;"",C201&lt;&gt;"",D201&lt;&gt;"",F201&lt;&gt;"",G201&lt;&gt;"",H201&lt;&gt;"",ISERROR(SEARCH("по паспорту",G201)),ISERROR(SEARCH("по паспорту",H201)),I201&lt;&gt;"",J201&lt;&gt;"",K201&lt;&gt;"",L201&lt;&gt;"",M201&lt;&gt;""),"ГОТОВО","НЕ ГОТОВО"))</f>
        <v/>
      </c>
      <c r="Z201" s="226">
        <f>IF(Y201&lt;&gt;"ГОТОВО","", "Предварительное заключение: "&amp;A201&amp;", скв. "&amp;B201&amp;". МРП: "&amp;E201&amp;" сут. ГНО: "&amp;F201&amp;", типоразмер "&amp;G201&amp;", марка "&amp;H201&amp;". Событие: "&amp;I201&amp;". Признак: "&amp;J201&amp;". Узел: "&amp;K201&amp;". Предварительная причина: "&amp;L201&amp;". Основное осложнение: "&amp;M201&amp;IF(N201&lt;&gt;"","; сопутствующее: "&amp;N201,"")&amp;IF(O201&lt;&gt;"","; дополнительно: "&amp;O201,"")&amp;".")</f>
        <v/>
      </c>
    </row>
    <row r="202">
      <c r="A202" s="75" t="n"/>
      <c r="B202" s="75" t="n"/>
      <c r="C202" s="261" t="n"/>
      <c r="D202" s="261" t="n"/>
      <c r="E202" s="262">
        <f>IF(OR(C202="",D202=""),"",D202-C202)</f>
        <v/>
      </c>
      <c r="F202" s="75" t="n"/>
      <c r="G202" s="75" t="n"/>
      <c r="H202" s="75" t="n"/>
      <c r="I202" s="75" t="n"/>
      <c r="J202" s="75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226">
        <f>IF(AND(A202="",B202=""),"",IF(AND(A202&lt;&gt;"",B202&lt;&gt;"",C202&lt;&gt;"",D202&lt;&gt;"",F202&lt;&gt;"",G202&lt;&gt;"",H202&lt;&gt;"",ISERROR(SEARCH("по паспорту",G202)),ISERROR(SEARCH("по паспорту",H202)),I202&lt;&gt;"",J202&lt;&gt;"",K202&lt;&gt;"",L202&lt;&gt;"",M202&lt;&gt;""),"ГОТОВО","НЕ ГОТОВО"))</f>
        <v/>
      </c>
      <c r="Z202" s="226">
        <f>IF(Y202&lt;&gt;"ГОТОВО","", "Предварительное заключение: "&amp;A202&amp;", скв. "&amp;B202&amp;". МРП: "&amp;E202&amp;" сут. ГНО: "&amp;F202&amp;", типоразмер "&amp;G202&amp;", марка "&amp;H202&amp;". Событие: "&amp;I202&amp;". Признак: "&amp;J202&amp;". Узел: "&amp;K202&amp;". Предварительная причина: "&amp;L202&amp;". Основное осложнение: "&amp;M202&amp;IF(N202&lt;&gt;"","; сопутствующее: "&amp;N202,"")&amp;IF(O202&lt;&gt;"","; дополнительно: "&amp;O202,"")&amp;".")</f>
        <v/>
      </c>
    </row>
    <row r="203">
      <c r="A203" s="75" t="n"/>
      <c r="B203" s="75" t="n"/>
      <c r="C203" s="261" t="n"/>
      <c r="D203" s="261" t="n"/>
      <c r="E203" s="262">
        <f>IF(OR(C203="",D203=""),"",D203-C203)</f>
        <v/>
      </c>
      <c r="F203" s="75" t="n"/>
      <c r="G203" s="75" t="n"/>
      <c r="H203" s="75" t="n"/>
      <c r="I203" s="75" t="n"/>
      <c r="J203" s="75" t="n"/>
      <c r="K203" s="75" t="n"/>
      <c r="L203" s="75" t="n"/>
      <c r="M203" s="75" t="n"/>
      <c r="N203" s="75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226">
        <f>IF(AND(A203="",B203=""),"",IF(AND(A203&lt;&gt;"",B203&lt;&gt;"",C203&lt;&gt;"",D203&lt;&gt;"",F203&lt;&gt;"",G203&lt;&gt;"",H203&lt;&gt;"",ISERROR(SEARCH("по паспорту",G203)),ISERROR(SEARCH("по паспорту",H203)),I203&lt;&gt;"",J203&lt;&gt;"",K203&lt;&gt;"",L203&lt;&gt;"",M203&lt;&gt;""),"ГОТОВО","НЕ ГОТОВО"))</f>
        <v/>
      </c>
      <c r="Z203" s="226">
        <f>IF(Y203&lt;&gt;"ГОТОВО","", "Предварительное заключение: "&amp;A203&amp;", скв. "&amp;B203&amp;". МРП: "&amp;E203&amp;" сут. ГНО: "&amp;F203&amp;", типоразмер "&amp;G203&amp;", марка "&amp;H203&amp;". Событие: "&amp;I203&amp;". Признак: "&amp;J203&amp;". Узел: "&amp;K203&amp;". Предварительная причина: "&amp;L203&amp;". Основное осложнение: "&amp;M203&amp;IF(N203&lt;&gt;"","; сопутствующее: "&amp;N203,"")&amp;IF(O203&lt;&gt;"","; дополнительно: "&amp;O203,"")&amp;".")</f>
        <v/>
      </c>
    </row>
    <row r="204">
      <c r="A204" s="75" t="n"/>
      <c r="B204" s="75" t="n"/>
      <c r="C204" s="261" t="n"/>
      <c r="D204" s="261" t="n"/>
      <c r="E204" s="262">
        <f>IF(OR(C204="",D204=""),"",D204-C204)</f>
        <v/>
      </c>
      <c r="F204" s="75" t="n"/>
      <c r="G204" s="75" t="n"/>
      <c r="H204" s="75" t="n"/>
      <c r="I204" s="75" t="n"/>
      <c r="J204" s="75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226">
        <f>IF(AND(A204="",B204=""),"",IF(AND(A204&lt;&gt;"",B204&lt;&gt;"",C204&lt;&gt;"",D204&lt;&gt;"",F204&lt;&gt;"",G204&lt;&gt;"",H204&lt;&gt;"",ISERROR(SEARCH("по паспорту",G204)),ISERROR(SEARCH("по паспорту",H204)),I204&lt;&gt;"",J204&lt;&gt;"",K204&lt;&gt;"",L204&lt;&gt;"",M204&lt;&gt;""),"ГОТОВО","НЕ ГОТОВО"))</f>
        <v/>
      </c>
      <c r="Z204" s="226">
        <f>IF(Y204&lt;&gt;"ГОТОВО","", "Предварительное заключение: "&amp;A204&amp;", скв. "&amp;B204&amp;". МРП: "&amp;E204&amp;" сут. ГНО: "&amp;F204&amp;", типоразмер "&amp;G204&amp;", марка "&amp;H204&amp;". Событие: "&amp;I204&amp;". Признак: "&amp;J204&amp;". Узел: "&amp;K204&amp;". Предварительная причина: "&amp;L204&amp;". Основное осложнение: "&amp;M204&amp;IF(N204&lt;&gt;"","; сопутствующее: "&amp;N204,"")&amp;IF(O204&lt;&gt;"","; дополнительно: "&amp;O204,"")&amp;".")</f>
        <v/>
      </c>
    </row>
    <row r="205">
      <c r="A205" s="75" t="n"/>
      <c r="B205" s="75" t="n"/>
      <c r="C205" s="261" t="n"/>
      <c r="D205" s="261" t="n"/>
      <c r="E205" s="262">
        <f>IF(OR(C205="",D205=""),"",D205-C205)</f>
        <v/>
      </c>
      <c r="F205" s="75" t="n"/>
      <c r="G205" s="75" t="n"/>
      <c r="H205" s="75" t="n"/>
      <c r="I205" s="75" t="n"/>
      <c r="J205" s="75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226">
        <f>IF(AND(A205="",B205=""),"",IF(AND(A205&lt;&gt;"",B205&lt;&gt;"",C205&lt;&gt;"",D205&lt;&gt;"",F205&lt;&gt;"",G205&lt;&gt;"",H205&lt;&gt;"",ISERROR(SEARCH("по паспорту",G205)),ISERROR(SEARCH("по паспорту",H205)),I205&lt;&gt;"",J205&lt;&gt;"",K205&lt;&gt;"",L205&lt;&gt;"",M205&lt;&gt;""),"ГОТОВО","НЕ ГОТОВО"))</f>
        <v/>
      </c>
      <c r="Z205" s="226">
        <f>IF(Y205&lt;&gt;"ГОТОВО","", "Предварительное заключение: "&amp;A205&amp;", скв. "&amp;B205&amp;". МРП: "&amp;E205&amp;" сут. ГНО: "&amp;F205&amp;", типоразмер "&amp;G205&amp;", марка "&amp;H205&amp;". Событие: "&amp;I205&amp;". Признак: "&amp;J205&amp;". Узел: "&amp;K205&amp;". Предварительная причина: "&amp;L205&amp;". Основное осложнение: "&amp;M205&amp;IF(N205&lt;&gt;"","; сопутствующее: "&amp;N205,"")&amp;IF(O205&lt;&gt;"","; дополнительно: "&amp;O205,"")&amp;".")</f>
        <v/>
      </c>
    </row>
    <row r="206">
      <c r="A206" s="75" t="n"/>
      <c r="B206" s="75" t="n"/>
      <c r="C206" s="261" t="n"/>
      <c r="D206" s="261" t="n"/>
      <c r="E206" s="262">
        <f>IF(OR(C206="",D206=""),"",D206-C206)</f>
        <v/>
      </c>
      <c r="F206" s="75" t="n"/>
      <c r="G206" s="75" t="n"/>
      <c r="H206" s="75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226">
        <f>IF(AND(A206="",B206=""),"",IF(AND(A206&lt;&gt;"",B206&lt;&gt;"",C206&lt;&gt;"",D206&lt;&gt;"",F206&lt;&gt;"",G206&lt;&gt;"",H206&lt;&gt;"",ISERROR(SEARCH("по паспорту",G206)),ISERROR(SEARCH("по паспорту",H206)),I206&lt;&gt;"",J206&lt;&gt;"",K206&lt;&gt;"",L206&lt;&gt;"",M206&lt;&gt;""),"ГОТОВО","НЕ ГОТОВО"))</f>
        <v/>
      </c>
      <c r="Z206" s="226">
        <f>IF(Y206&lt;&gt;"ГОТОВО","", "Предварительное заключение: "&amp;A206&amp;", скв. "&amp;B206&amp;". МРП: "&amp;E206&amp;" сут. ГНО: "&amp;F206&amp;", типоразмер "&amp;G206&amp;", марка "&amp;H206&amp;". Событие: "&amp;I206&amp;". Признак: "&amp;J206&amp;". Узел: "&amp;K206&amp;". Предварительная причина: "&amp;L206&amp;". Основное осложнение: "&amp;M206&amp;IF(N206&lt;&gt;"","; сопутствующее: "&amp;N206,"")&amp;IF(O206&lt;&gt;"","; дополнительно: "&amp;O206,"")&amp;".")</f>
        <v/>
      </c>
    </row>
    <row r="207">
      <c r="A207" s="75" t="n"/>
      <c r="B207" s="75" t="n"/>
      <c r="C207" s="261" t="n"/>
      <c r="D207" s="261" t="n"/>
      <c r="E207" s="262">
        <f>IF(OR(C207="",D207=""),"",D207-C207)</f>
        <v/>
      </c>
      <c r="F207" s="75" t="n"/>
      <c r="G207" s="75" t="n"/>
      <c r="H207" s="75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226">
        <f>IF(AND(A207="",B207=""),"",IF(AND(A207&lt;&gt;"",B207&lt;&gt;"",C207&lt;&gt;"",D207&lt;&gt;"",F207&lt;&gt;"",G207&lt;&gt;"",H207&lt;&gt;"",ISERROR(SEARCH("по паспорту",G207)),ISERROR(SEARCH("по паспорту",H207)),I207&lt;&gt;"",J207&lt;&gt;"",K207&lt;&gt;"",L207&lt;&gt;"",M207&lt;&gt;""),"ГОТОВО","НЕ ГОТОВО"))</f>
        <v/>
      </c>
      <c r="Z207" s="226">
        <f>IF(Y207&lt;&gt;"ГОТОВО","", "Предварительное заключение: "&amp;A207&amp;", скв. "&amp;B207&amp;". МРП: "&amp;E207&amp;" сут. ГНО: "&amp;F207&amp;", типоразмер "&amp;G207&amp;", марка "&amp;H207&amp;". Событие: "&amp;I207&amp;". Признак: "&amp;J207&amp;". Узел: "&amp;K207&amp;". Предварительная причина: "&amp;L207&amp;". Основное осложнение: "&amp;M207&amp;IF(N207&lt;&gt;"","; сопутствующее: "&amp;N207,"")&amp;IF(O207&lt;&gt;"","; дополнительно: "&amp;O207,"")&amp;".")</f>
        <v/>
      </c>
    </row>
    <row r="208">
      <c r="A208" s="75" t="n"/>
      <c r="B208" s="75" t="n"/>
      <c r="C208" s="261" t="n"/>
      <c r="D208" s="261" t="n"/>
      <c r="E208" s="262">
        <f>IF(OR(C208="",D208=""),"",D208-C208)</f>
        <v/>
      </c>
      <c r="F208" s="75" t="n"/>
      <c r="G208" s="75" t="n"/>
      <c r="H208" s="75" t="n"/>
      <c r="I208" s="75" t="n"/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226">
        <f>IF(AND(A208="",B208=""),"",IF(AND(A208&lt;&gt;"",B208&lt;&gt;"",C208&lt;&gt;"",D208&lt;&gt;"",F208&lt;&gt;"",G208&lt;&gt;"",H208&lt;&gt;"",ISERROR(SEARCH("по паспорту",G208)),ISERROR(SEARCH("по паспорту",H208)),I208&lt;&gt;"",J208&lt;&gt;"",K208&lt;&gt;"",L208&lt;&gt;"",M208&lt;&gt;""),"ГОТОВО","НЕ ГОТОВО"))</f>
        <v/>
      </c>
      <c r="Z208" s="226">
        <f>IF(Y208&lt;&gt;"ГОТОВО","", "Предварительное заключение: "&amp;A208&amp;", скв. "&amp;B208&amp;". МРП: "&amp;E208&amp;" сут. ГНО: "&amp;F208&amp;", типоразмер "&amp;G208&amp;", марка "&amp;H208&amp;". Событие: "&amp;I208&amp;". Признак: "&amp;J208&amp;". Узел: "&amp;K208&amp;". Предварительная причина: "&amp;L208&amp;". Основное осложнение: "&amp;M208&amp;IF(N208&lt;&gt;"","; сопутствующее: "&amp;N208,"")&amp;IF(O208&lt;&gt;"","; дополнительно: "&amp;O208,"")&amp;".")</f>
        <v/>
      </c>
    </row>
    <row r="209">
      <c r="A209" s="75" t="n"/>
      <c r="B209" s="75" t="n"/>
      <c r="C209" s="261" t="n"/>
      <c r="D209" s="261" t="n"/>
      <c r="E209" s="262">
        <f>IF(OR(C209="",D209=""),"",D209-C209)</f>
        <v/>
      </c>
      <c r="F209" s="75" t="n"/>
      <c r="G209" s="75" t="n"/>
      <c r="H209" s="75" t="n"/>
      <c r="I209" s="75" t="n"/>
      <c r="J209" s="75" t="n"/>
      <c r="K209" s="75" t="n"/>
      <c r="L209" s="75" t="n"/>
      <c r="M209" s="75" t="n"/>
      <c r="N209" s="75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226">
        <f>IF(AND(A209="",B209=""),"",IF(AND(A209&lt;&gt;"",B209&lt;&gt;"",C209&lt;&gt;"",D209&lt;&gt;"",F209&lt;&gt;"",G209&lt;&gt;"",H209&lt;&gt;"",ISERROR(SEARCH("по паспорту",G209)),ISERROR(SEARCH("по паспорту",H209)),I209&lt;&gt;"",J209&lt;&gt;"",K209&lt;&gt;"",L209&lt;&gt;"",M209&lt;&gt;""),"ГОТОВО","НЕ ГОТОВО"))</f>
        <v/>
      </c>
      <c r="Z209" s="226">
        <f>IF(Y209&lt;&gt;"ГОТОВО","", "Предварительное заключение: "&amp;A209&amp;", скв. "&amp;B209&amp;". МРП: "&amp;E209&amp;" сут. ГНО: "&amp;F209&amp;", типоразмер "&amp;G209&amp;", марка "&amp;H209&amp;". Событие: "&amp;I209&amp;". Признак: "&amp;J209&amp;". Узел: "&amp;K209&amp;". Предварительная причина: "&amp;L209&amp;". Основное осложнение: "&amp;M209&amp;IF(N209&lt;&gt;"","; сопутствующее: "&amp;N209,"")&amp;IF(O209&lt;&gt;"","; дополнительно: "&amp;O209,"")&amp;".")</f>
        <v/>
      </c>
    </row>
    <row r="210">
      <c r="A210" s="75" t="n"/>
      <c r="B210" s="75" t="n"/>
      <c r="C210" s="261" t="n"/>
      <c r="D210" s="261" t="n"/>
      <c r="E210" s="262">
        <f>IF(OR(C210="",D210=""),"",D210-C210)</f>
        <v/>
      </c>
      <c r="F210" s="75" t="n"/>
      <c r="G210" s="75" t="n"/>
      <c r="H210" s="75" t="n"/>
      <c r="I210" s="75" t="n"/>
      <c r="J210" s="75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226">
        <f>IF(AND(A210="",B210=""),"",IF(AND(A210&lt;&gt;"",B210&lt;&gt;"",C210&lt;&gt;"",D210&lt;&gt;"",F210&lt;&gt;"",G210&lt;&gt;"",H210&lt;&gt;"",ISERROR(SEARCH("по паспорту",G210)),ISERROR(SEARCH("по паспорту",H210)),I210&lt;&gt;"",J210&lt;&gt;"",K210&lt;&gt;"",L210&lt;&gt;"",M210&lt;&gt;""),"ГОТОВО","НЕ ГОТОВО"))</f>
        <v/>
      </c>
      <c r="Z210" s="226">
        <f>IF(Y210&lt;&gt;"ГОТОВО","", "Предварительное заключение: "&amp;A210&amp;", скв. "&amp;B210&amp;". МРП: "&amp;E210&amp;" сут. ГНО: "&amp;F210&amp;", типоразмер "&amp;G210&amp;", марка "&amp;H210&amp;". Событие: "&amp;I210&amp;". Признак: "&amp;J210&amp;". Узел: "&amp;K210&amp;". Предварительная причина: "&amp;L210&amp;". Основное осложнение: "&amp;M210&amp;IF(N210&lt;&gt;"","; сопутствующее: "&amp;N210,"")&amp;IF(O210&lt;&gt;"","; дополнительно: "&amp;O210,"")&amp;".")</f>
        <v/>
      </c>
    </row>
    <row r="211">
      <c r="A211" s="75" t="n"/>
      <c r="B211" s="75" t="n"/>
      <c r="C211" s="261" t="n"/>
      <c r="D211" s="261" t="n"/>
      <c r="E211" s="262">
        <f>IF(OR(C211="",D211=""),"",D211-C211)</f>
        <v/>
      </c>
      <c r="F211" s="75" t="n"/>
      <c r="G211" s="75" t="n"/>
      <c r="H211" s="75" t="n"/>
      <c r="I211" s="75" t="n"/>
      <c r="J211" s="75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226">
        <f>IF(AND(A211="",B211=""),"",IF(AND(A211&lt;&gt;"",B211&lt;&gt;"",C211&lt;&gt;"",D211&lt;&gt;"",F211&lt;&gt;"",G211&lt;&gt;"",H211&lt;&gt;"",ISERROR(SEARCH("по паспорту",G211)),ISERROR(SEARCH("по паспорту",H211)),I211&lt;&gt;"",J211&lt;&gt;"",K211&lt;&gt;"",L211&lt;&gt;"",M211&lt;&gt;""),"ГОТОВО","НЕ ГОТОВО"))</f>
        <v/>
      </c>
      <c r="Z211" s="226">
        <f>IF(Y211&lt;&gt;"ГОТОВО","", "Предварительное заключение: "&amp;A211&amp;", скв. "&amp;B211&amp;". МРП: "&amp;E211&amp;" сут. ГНО: "&amp;F211&amp;", типоразмер "&amp;G211&amp;", марка "&amp;H211&amp;". Событие: "&amp;I211&amp;". Признак: "&amp;J211&amp;". Узел: "&amp;K211&amp;". Предварительная причина: "&amp;L211&amp;". Основное осложнение: "&amp;M211&amp;IF(N211&lt;&gt;"","; сопутствующее: "&amp;N211,"")&amp;IF(O211&lt;&gt;"","; дополнительно: "&amp;O211,"")&amp;".")</f>
        <v/>
      </c>
    </row>
    <row r="212">
      <c r="A212" s="75" t="n"/>
      <c r="B212" s="75" t="n"/>
      <c r="C212" s="261" t="n"/>
      <c r="D212" s="261" t="n"/>
      <c r="E212" s="262">
        <f>IF(OR(C212="",D212=""),"",D212-C212)</f>
        <v/>
      </c>
      <c r="F212" s="75" t="n"/>
      <c r="G212" s="75" t="n"/>
      <c r="H212" s="75" t="n"/>
      <c r="I212" s="75" t="n"/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226">
        <f>IF(AND(A212="",B212=""),"",IF(AND(A212&lt;&gt;"",B212&lt;&gt;"",C212&lt;&gt;"",D212&lt;&gt;"",F212&lt;&gt;"",G212&lt;&gt;"",H212&lt;&gt;"",ISERROR(SEARCH("по паспорту",G212)),ISERROR(SEARCH("по паспорту",H212)),I212&lt;&gt;"",J212&lt;&gt;"",K212&lt;&gt;"",L212&lt;&gt;"",M212&lt;&gt;""),"ГОТОВО","НЕ ГОТОВО"))</f>
        <v/>
      </c>
      <c r="Z212" s="226">
        <f>IF(Y212&lt;&gt;"ГОТОВО","", "Предварительное заключение: "&amp;A212&amp;", скв. "&amp;B212&amp;". МРП: "&amp;E212&amp;" сут. ГНО: "&amp;F212&amp;", типоразмер "&amp;G212&amp;", марка "&amp;H212&amp;". Событие: "&amp;I212&amp;". Признак: "&amp;J212&amp;". Узел: "&amp;K212&amp;". Предварительная причина: "&amp;L212&amp;". Основное осложнение: "&amp;M212&amp;IF(N212&lt;&gt;"","; сопутствующее: "&amp;N212,"")&amp;IF(O212&lt;&gt;"","; дополнительно: "&amp;O212,"")&amp;".")</f>
        <v/>
      </c>
    </row>
    <row r="213">
      <c r="A213" s="75" t="n"/>
      <c r="B213" s="75" t="n"/>
      <c r="C213" s="261" t="n"/>
      <c r="D213" s="261" t="n"/>
      <c r="E213" s="262">
        <f>IF(OR(C213="",D213=""),"",D213-C213)</f>
        <v/>
      </c>
      <c r="F213" s="75" t="n"/>
      <c r="G213" s="75" t="n"/>
      <c r="H213" s="75" t="n"/>
      <c r="I213" s="75" t="n"/>
      <c r="J213" s="75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226">
        <f>IF(AND(A213="",B213=""),"",IF(AND(A213&lt;&gt;"",B213&lt;&gt;"",C213&lt;&gt;"",D213&lt;&gt;"",F213&lt;&gt;"",G213&lt;&gt;"",H213&lt;&gt;"",ISERROR(SEARCH("по паспорту",G213)),ISERROR(SEARCH("по паспорту",H213)),I213&lt;&gt;"",J213&lt;&gt;"",K213&lt;&gt;"",L213&lt;&gt;"",M213&lt;&gt;""),"ГОТОВО","НЕ ГОТОВО"))</f>
        <v/>
      </c>
      <c r="Z213" s="226">
        <f>IF(Y213&lt;&gt;"ГОТОВО","", "Предварительное заключение: "&amp;A213&amp;", скв. "&amp;B213&amp;". МРП: "&amp;E213&amp;" сут. ГНО: "&amp;F213&amp;", типоразмер "&amp;G213&amp;", марка "&amp;H213&amp;". Событие: "&amp;I213&amp;". Признак: "&amp;J213&amp;". Узел: "&amp;K213&amp;". Предварительная причина: "&amp;L213&amp;". Основное осложнение: "&amp;M213&amp;IF(N213&lt;&gt;"","; сопутствующее: "&amp;N213,"")&amp;IF(O213&lt;&gt;"","; дополнительно: "&amp;O213,"")&amp;".")</f>
        <v/>
      </c>
    </row>
    <row r="214">
      <c r="A214" s="75" t="n"/>
      <c r="B214" s="75" t="n"/>
      <c r="C214" s="261" t="n"/>
      <c r="D214" s="261" t="n"/>
      <c r="E214" s="262">
        <f>IF(OR(C214="",D214=""),"",D214-C214)</f>
        <v/>
      </c>
      <c r="F214" s="75" t="n"/>
      <c r="G214" s="75" t="n"/>
      <c r="H214" s="75" t="n"/>
      <c r="I214" s="75" t="n"/>
      <c r="J214" s="75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226">
        <f>IF(AND(A214="",B214=""),"",IF(AND(A214&lt;&gt;"",B214&lt;&gt;"",C214&lt;&gt;"",D214&lt;&gt;"",F214&lt;&gt;"",G214&lt;&gt;"",H214&lt;&gt;"",ISERROR(SEARCH("по паспорту",G214)),ISERROR(SEARCH("по паспорту",H214)),I214&lt;&gt;"",J214&lt;&gt;"",K214&lt;&gt;"",L214&lt;&gt;"",M214&lt;&gt;""),"ГОТОВО","НЕ ГОТОВО"))</f>
        <v/>
      </c>
      <c r="Z214" s="226">
        <f>IF(Y214&lt;&gt;"ГОТОВО","", "Предварительное заключение: "&amp;A214&amp;", скв. "&amp;B214&amp;". МРП: "&amp;E214&amp;" сут. ГНО: "&amp;F214&amp;", типоразмер "&amp;G214&amp;", марка "&amp;H214&amp;". Событие: "&amp;I214&amp;". Признак: "&amp;J214&amp;". Узел: "&amp;K214&amp;". Предварительная причина: "&amp;L214&amp;". Основное осложнение: "&amp;M214&amp;IF(N214&lt;&gt;"","; сопутствующее: "&amp;N214,"")&amp;IF(O214&lt;&gt;"","; дополнительно: "&amp;O214,"")&amp;".")</f>
        <v/>
      </c>
    </row>
    <row r="215">
      <c r="A215" s="75" t="n"/>
      <c r="B215" s="75" t="n"/>
      <c r="C215" s="261" t="n"/>
      <c r="D215" s="261" t="n"/>
      <c r="E215" s="262">
        <f>IF(OR(C215="",D215=""),"",D215-C215)</f>
        <v/>
      </c>
      <c r="F215" s="75" t="n"/>
      <c r="G215" s="75" t="n"/>
      <c r="H215" s="75" t="n"/>
      <c r="I215" s="75" t="n"/>
      <c r="J215" s="75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226">
        <f>IF(AND(A215="",B215=""),"",IF(AND(A215&lt;&gt;"",B215&lt;&gt;"",C215&lt;&gt;"",D215&lt;&gt;"",F215&lt;&gt;"",G215&lt;&gt;"",H215&lt;&gt;"",ISERROR(SEARCH("по паспорту",G215)),ISERROR(SEARCH("по паспорту",H215)),I215&lt;&gt;"",J215&lt;&gt;"",K215&lt;&gt;"",L215&lt;&gt;"",M215&lt;&gt;""),"ГОТОВО","НЕ ГОТОВО"))</f>
        <v/>
      </c>
      <c r="Z215" s="226">
        <f>IF(Y215&lt;&gt;"ГОТОВО","", "Предварительное заключение: "&amp;A215&amp;", скв. "&amp;B215&amp;". МРП: "&amp;E215&amp;" сут. ГНО: "&amp;F215&amp;", типоразмер "&amp;G215&amp;", марка "&amp;H215&amp;". Событие: "&amp;I215&amp;". Признак: "&amp;J215&amp;". Узел: "&amp;K215&amp;". Предварительная причина: "&amp;L215&amp;". Основное осложнение: "&amp;M215&amp;IF(N215&lt;&gt;"","; сопутствующее: "&amp;N215,"")&amp;IF(O215&lt;&gt;"","; дополнительно: "&amp;O215,"")&amp;".")</f>
        <v/>
      </c>
    </row>
    <row r="216">
      <c r="A216" s="75" t="n"/>
      <c r="B216" s="75" t="n"/>
      <c r="C216" s="261" t="n"/>
      <c r="D216" s="261" t="n"/>
      <c r="E216" s="262">
        <f>IF(OR(C216="",D216=""),"",D216-C216)</f>
        <v/>
      </c>
      <c r="F216" s="75" t="n"/>
      <c r="G216" s="75" t="n"/>
      <c r="H216" s="75" t="n"/>
      <c r="I216" s="75" t="n"/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226">
        <f>IF(AND(A216="",B216=""),"",IF(AND(A216&lt;&gt;"",B216&lt;&gt;"",C216&lt;&gt;"",D216&lt;&gt;"",F216&lt;&gt;"",G216&lt;&gt;"",H216&lt;&gt;"",ISERROR(SEARCH("по паспорту",G216)),ISERROR(SEARCH("по паспорту",H216)),I216&lt;&gt;"",J216&lt;&gt;"",K216&lt;&gt;"",L216&lt;&gt;"",M216&lt;&gt;""),"ГОТОВО","НЕ ГОТОВО"))</f>
        <v/>
      </c>
      <c r="Z216" s="226">
        <f>IF(Y216&lt;&gt;"ГОТОВО","", "Предварительное заключение: "&amp;A216&amp;", скв. "&amp;B216&amp;". МРП: "&amp;E216&amp;" сут. ГНО: "&amp;F216&amp;", типоразмер "&amp;G216&amp;", марка "&amp;H216&amp;". Событие: "&amp;I216&amp;". Признак: "&amp;J216&amp;". Узел: "&amp;K216&amp;". Предварительная причина: "&amp;L216&amp;". Основное осложнение: "&amp;M216&amp;IF(N216&lt;&gt;"","; сопутствующее: "&amp;N216,"")&amp;IF(O216&lt;&gt;"","; дополнительно: "&amp;O216,"")&amp;".")</f>
        <v/>
      </c>
    </row>
    <row r="217">
      <c r="A217" s="75" t="n"/>
      <c r="B217" s="75" t="n"/>
      <c r="C217" s="261" t="n"/>
      <c r="D217" s="261" t="n"/>
      <c r="E217" s="262">
        <f>IF(OR(C217="",D217=""),"",D217-C217)</f>
        <v/>
      </c>
      <c r="F217" s="75" t="n"/>
      <c r="G217" s="75" t="n"/>
      <c r="H217" s="75" t="n"/>
      <c r="I217" s="75" t="n"/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226">
        <f>IF(AND(A217="",B217=""),"",IF(AND(A217&lt;&gt;"",B217&lt;&gt;"",C217&lt;&gt;"",D217&lt;&gt;"",F217&lt;&gt;"",G217&lt;&gt;"",H217&lt;&gt;"",ISERROR(SEARCH("по паспорту",G217)),ISERROR(SEARCH("по паспорту",H217)),I217&lt;&gt;"",J217&lt;&gt;"",K217&lt;&gt;"",L217&lt;&gt;"",M217&lt;&gt;""),"ГОТОВО","НЕ ГОТОВО"))</f>
        <v/>
      </c>
      <c r="Z217" s="226">
        <f>IF(Y217&lt;&gt;"ГОТОВО","", "Предварительное заключение: "&amp;A217&amp;", скв. "&amp;B217&amp;". МРП: "&amp;E217&amp;" сут. ГНО: "&amp;F217&amp;", типоразмер "&amp;G217&amp;", марка "&amp;H217&amp;". Событие: "&amp;I217&amp;". Признак: "&amp;J217&amp;". Узел: "&amp;K217&amp;". Предварительная причина: "&amp;L217&amp;". Основное осложнение: "&amp;M217&amp;IF(N217&lt;&gt;"","; сопутствующее: "&amp;N217,"")&amp;IF(O217&lt;&gt;"","; дополнительно: "&amp;O217,"")&amp;".")</f>
        <v/>
      </c>
    </row>
    <row r="218">
      <c r="A218" s="75" t="n"/>
      <c r="B218" s="75" t="n"/>
      <c r="C218" s="261" t="n"/>
      <c r="D218" s="261" t="n"/>
      <c r="E218" s="262">
        <f>IF(OR(C218="",D218=""),"",D218-C218)</f>
        <v/>
      </c>
      <c r="F218" s="75" t="n"/>
      <c r="G218" s="75" t="n"/>
      <c r="H218" s="75" t="n"/>
      <c r="I218" s="75" t="n"/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226">
        <f>IF(AND(A218="",B218=""),"",IF(AND(A218&lt;&gt;"",B218&lt;&gt;"",C218&lt;&gt;"",D218&lt;&gt;"",F218&lt;&gt;"",G218&lt;&gt;"",H218&lt;&gt;"",ISERROR(SEARCH("по паспорту",G218)),ISERROR(SEARCH("по паспорту",H218)),I218&lt;&gt;"",J218&lt;&gt;"",K218&lt;&gt;"",L218&lt;&gt;"",M218&lt;&gt;""),"ГОТОВО","НЕ ГОТОВО"))</f>
        <v/>
      </c>
      <c r="Z218" s="226">
        <f>IF(Y218&lt;&gt;"ГОТОВО","", "Предварительное заключение: "&amp;A218&amp;", скв. "&amp;B218&amp;". МРП: "&amp;E218&amp;" сут. ГНО: "&amp;F218&amp;", типоразмер "&amp;G218&amp;", марка "&amp;H218&amp;". Событие: "&amp;I218&amp;". Признак: "&amp;J218&amp;". Узел: "&amp;K218&amp;". Предварительная причина: "&amp;L218&amp;". Основное осложнение: "&amp;M218&amp;IF(N218&lt;&gt;"","; сопутствующее: "&amp;N218,"")&amp;IF(O218&lt;&gt;"","; дополнительно: "&amp;O218,"")&amp;".")</f>
        <v/>
      </c>
    </row>
    <row r="219">
      <c r="A219" s="75" t="n"/>
      <c r="B219" s="75" t="n"/>
      <c r="C219" s="261" t="n"/>
      <c r="D219" s="261" t="n"/>
      <c r="E219" s="262">
        <f>IF(OR(C219="",D219=""),"",D219-C219)</f>
        <v/>
      </c>
      <c r="F219" s="75" t="n"/>
      <c r="G219" s="75" t="n"/>
      <c r="H219" s="75" t="n"/>
      <c r="I219" s="75" t="n"/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226">
        <f>IF(AND(A219="",B219=""),"",IF(AND(A219&lt;&gt;"",B219&lt;&gt;"",C219&lt;&gt;"",D219&lt;&gt;"",F219&lt;&gt;"",G219&lt;&gt;"",H219&lt;&gt;"",ISERROR(SEARCH("по паспорту",G219)),ISERROR(SEARCH("по паспорту",H219)),I219&lt;&gt;"",J219&lt;&gt;"",K219&lt;&gt;"",L219&lt;&gt;"",M219&lt;&gt;""),"ГОТОВО","НЕ ГОТОВО"))</f>
        <v/>
      </c>
      <c r="Z219" s="226">
        <f>IF(Y219&lt;&gt;"ГОТОВО","", "Предварительное заключение: "&amp;A219&amp;", скв. "&amp;B219&amp;". МРП: "&amp;E219&amp;" сут. ГНО: "&amp;F219&amp;", типоразмер "&amp;G219&amp;", марка "&amp;H219&amp;". Событие: "&amp;I219&amp;". Признак: "&amp;J219&amp;". Узел: "&amp;K219&amp;". Предварительная причина: "&amp;L219&amp;". Основное осложнение: "&amp;M219&amp;IF(N219&lt;&gt;"","; сопутствующее: "&amp;N219,"")&amp;IF(O219&lt;&gt;"","; дополнительно: "&amp;O219,"")&amp;".")</f>
        <v/>
      </c>
    </row>
    <row r="220">
      <c r="A220" s="75" t="n"/>
      <c r="B220" s="75" t="n"/>
      <c r="C220" s="261" t="n"/>
      <c r="D220" s="261" t="n"/>
      <c r="E220" s="262">
        <f>IF(OR(C220="",D220=""),"",D220-C220)</f>
        <v/>
      </c>
      <c r="F220" s="75" t="n"/>
      <c r="G220" s="75" t="n"/>
      <c r="H220" s="75" t="n"/>
      <c r="I220" s="75" t="n"/>
      <c r="J220" s="75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226">
        <f>IF(AND(A220="",B220=""),"",IF(AND(A220&lt;&gt;"",B220&lt;&gt;"",C220&lt;&gt;"",D220&lt;&gt;"",F220&lt;&gt;"",G220&lt;&gt;"",H220&lt;&gt;"",ISERROR(SEARCH("по паспорту",G220)),ISERROR(SEARCH("по паспорту",H220)),I220&lt;&gt;"",J220&lt;&gt;"",K220&lt;&gt;"",L220&lt;&gt;"",M220&lt;&gt;""),"ГОТОВО","НЕ ГОТОВО"))</f>
        <v/>
      </c>
      <c r="Z220" s="226">
        <f>IF(Y220&lt;&gt;"ГОТОВО","", "Предварительное заключение: "&amp;A220&amp;", скв. "&amp;B220&amp;". МРП: "&amp;E220&amp;" сут. ГНО: "&amp;F220&amp;", типоразмер "&amp;G220&amp;", марка "&amp;H220&amp;". Событие: "&amp;I220&amp;". Признак: "&amp;J220&amp;". Узел: "&amp;K220&amp;". Предварительная причина: "&amp;L220&amp;". Основное осложнение: "&amp;M220&amp;IF(N220&lt;&gt;"","; сопутствующее: "&amp;N220,"")&amp;IF(O220&lt;&gt;"","; дополнительно: "&amp;O220,"")&amp;".")</f>
        <v/>
      </c>
    </row>
    <row r="221">
      <c r="A221" s="75" t="n"/>
      <c r="B221" s="75" t="n"/>
      <c r="C221" s="261" t="n"/>
      <c r="D221" s="261" t="n"/>
      <c r="E221" s="262">
        <f>IF(OR(C221="",D221=""),"",D221-C221)</f>
        <v/>
      </c>
      <c r="F221" s="75" t="n"/>
      <c r="G221" s="75" t="n"/>
      <c r="H221" s="75" t="n"/>
      <c r="I221" s="75" t="n"/>
      <c r="J221" s="75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226">
        <f>IF(AND(A221="",B221=""),"",IF(AND(A221&lt;&gt;"",B221&lt;&gt;"",C221&lt;&gt;"",D221&lt;&gt;"",F221&lt;&gt;"",G221&lt;&gt;"",H221&lt;&gt;"",ISERROR(SEARCH("по паспорту",G221)),ISERROR(SEARCH("по паспорту",H221)),I221&lt;&gt;"",J221&lt;&gt;"",K221&lt;&gt;"",L221&lt;&gt;"",M221&lt;&gt;""),"ГОТОВО","НЕ ГОТОВО"))</f>
        <v/>
      </c>
      <c r="Z221" s="226">
        <f>IF(Y221&lt;&gt;"ГОТОВО","", "Предварительное заключение: "&amp;A221&amp;", скв. "&amp;B221&amp;". МРП: "&amp;E221&amp;" сут. ГНО: "&amp;F221&amp;", типоразмер "&amp;G221&amp;", марка "&amp;H221&amp;". Событие: "&amp;I221&amp;". Признак: "&amp;J221&amp;". Узел: "&amp;K221&amp;". Предварительная причина: "&amp;L221&amp;". Основное осложнение: "&amp;M221&amp;IF(N221&lt;&gt;"","; сопутствующее: "&amp;N221,"")&amp;IF(O221&lt;&gt;"","; дополнительно: "&amp;O221,"")&amp;".")</f>
        <v/>
      </c>
    </row>
    <row r="222">
      <c r="A222" s="75" t="n"/>
      <c r="B222" s="75" t="n"/>
      <c r="C222" s="261" t="n"/>
      <c r="D222" s="261" t="n"/>
      <c r="E222" s="262">
        <f>IF(OR(C222="",D222=""),"",D222-C222)</f>
        <v/>
      </c>
      <c r="F222" s="75" t="n"/>
      <c r="G222" s="75" t="n"/>
      <c r="H222" s="75" t="n"/>
      <c r="I222" s="75" t="n"/>
      <c r="J222" s="75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226">
        <f>IF(AND(A222="",B222=""),"",IF(AND(A222&lt;&gt;"",B222&lt;&gt;"",C222&lt;&gt;"",D222&lt;&gt;"",F222&lt;&gt;"",G222&lt;&gt;"",H222&lt;&gt;"",ISERROR(SEARCH("по паспорту",G222)),ISERROR(SEARCH("по паспорту",H222)),I222&lt;&gt;"",J222&lt;&gt;"",K222&lt;&gt;"",L222&lt;&gt;"",M222&lt;&gt;""),"ГОТОВО","НЕ ГОТОВО"))</f>
        <v/>
      </c>
      <c r="Z222" s="226">
        <f>IF(Y222&lt;&gt;"ГОТОВО","", "Предварительное заключение: "&amp;A222&amp;", скв. "&amp;B222&amp;". МРП: "&amp;E222&amp;" сут. ГНО: "&amp;F222&amp;", типоразмер "&amp;G222&amp;", марка "&amp;H222&amp;". Событие: "&amp;I222&amp;". Признак: "&amp;J222&amp;". Узел: "&amp;K222&amp;". Предварительная причина: "&amp;L222&amp;". Основное осложнение: "&amp;M222&amp;IF(N222&lt;&gt;"","; сопутствующее: "&amp;N222,"")&amp;IF(O222&lt;&gt;"","; дополнительно: "&amp;O222,"")&amp;".")</f>
        <v/>
      </c>
    </row>
    <row r="223">
      <c r="A223" s="75" t="n"/>
      <c r="B223" s="75" t="n"/>
      <c r="C223" s="261" t="n"/>
      <c r="D223" s="261" t="n"/>
      <c r="E223" s="262">
        <f>IF(OR(C223="",D223=""),"",D223-C223)</f>
        <v/>
      </c>
      <c r="F223" s="75" t="n"/>
      <c r="G223" s="75" t="n"/>
      <c r="H223" s="75" t="n"/>
      <c r="I223" s="75" t="n"/>
      <c r="J223" s="75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226">
        <f>IF(AND(A223="",B223=""),"",IF(AND(A223&lt;&gt;"",B223&lt;&gt;"",C223&lt;&gt;"",D223&lt;&gt;"",F223&lt;&gt;"",G223&lt;&gt;"",H223&lt;&gt;"",ISERROR(SEARCH("по паспорту",G223)),ISERROR(SEARCH("по паспорту",H223)),I223&lt;&gt;"",J223&lt;&gt;"",K223&lt;&gt;"",L223&lt;&gt;"",M223&lt;&gt;""),"ГОТОВО","НЕ ГОТОВО"))</f>
        <v/>
      </c>
      <c r="Z223" s="226">
        <f>IF(Y223&lt;&gt;"ГОТОВО","", "Предварительное заключение: "&amp;A223&amp;", скв. "&amp;B223&amp;". МРП: "&amp;E223&amp;" сут. ГНО: "&amp;F223&amp;", типоразмер "&amp;G223&amp;", марка "&amp;H223&amp;". Событие: "&amp;I223&amp;". Признак: "&amp;J223&amp;". Узел: "&amp;K223&amp;". Предварительная причина: "&amp;L223&amp;". Основное осложнение: "&amp;M223&amp;IF(N223&lt;&gt;"","; сопутствующее: "&amp;N223,"")&amp;IF(O223&lt;&gt;"","; дополнительно: "&amp;O223,"")&amp;".")</f>
        <v/>
      </c>
    </row>
    <row r="224">
      <c r="A224" s="75" t="n"/>
      <c r="B224" s="75" t="n"/>
      <c r="C224" s="261" t="n"/>
      <c r="D224" s="261" t="n"/>
      <c r="E224" s="262">
        <f>IF(OR(C224="",D224=""),"",D224-C224)</f>
        <v/>
      </c>
      <c r="F224" s="75" t="n"/>
      <c r="G224" s="75" t="n"/>
      <c r="H224" s="75" t="n"/>
      <c r="I224" s="75" t="n"/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226">
        <f>IF(AND(A224="",B224=""),"",IF(AND(A224&lt;&gt;"",B224&lt;&gt;"",C224&lt;&gt;"",D224&lt;&gt;"",F224&lt;&gt;"",G224&lt;&gt;"",H224&lt;&gt;"",ISERROR(SEARCH("по паспорту",G224)),ISERROR(SEARCH("по паспорту",H224)),I224&lt;&gt;"",J224&lt;&gt;"",K224&lt;&gt;"",L224&lt;&gt;"",M224&lt;&gt;""),"ГОТОВО","НЕ ГОТОВО"))</f>
        <v/>
      </c>
      <c r="Z224" s="226">
        <f>IF(Y224&lt;&gt;"ГОТОВО","", "Предварительное заключение: "&amp;A224&amp;", скв. "&amp;B224&amp;". МРП: "&amp;E224&amp;" сут. ГНО: "&amp;F224&amp;", типоразмер "&amp;G224&amp;", марка "&amp;H224&amp;". Событие: "&amp;I224&amp;". Признак: "&amp;J224&amp;". Узел: "&amp;K224&amp;". Предварительная причина: "&amp;L224&amp;". Основное осложнение: "&amp;M224&amp;IF(N224&lt;&gt;"","; сопутствующее: "&amp;N224,"")&amp;IF(O224&lt;&gt;"","; дополнительно: "&amp;O224,"")&amp;".")</f>
        <v/>
      </c>
    </row>
    <row r="225">
      <c r="A225" s="75" t="n"/>
      <c r="B225" s="75" t="n"/>
      <c r="C225" s="261" t="n"/>
      <c r="D225" s="261" t="n"/>
      <c r="E225" s="262">
        <f>IF(OR(C225="",D225=""),"",D225-C225)</f>
        <v/>
      </c>
      <c r="F225" s="75" t="n"/>
      <c r="G225" s="75" t="n"/>
      <c r="H225" s="75" t="n"/>
      <c r="I225" s="75" t="n"/>
      <c r="J225" s="75" t="n"/>
      <c r="K225" s="75" t="n"/>
      <c r="L225" s="75" t="n"/>
      <c r="M225" s="75" t="n"/>
      <c r="N225" s="75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226">
        <f>IF(AND(A225="",B225=""),"",IF(AND(A225&lt;&gt;"",B225&lt;&gt;"",C225&lt;&gt;"",D225&lt;&gt;"",F225&lt;&gt;"",G225&lt;&gt;"",H225&lt;&gt;"",ISERROR(SEARCH("по паспорту",G225)),ISERROR(SEARCH("по паспорту",H225)),I225&lt;&gt;"",J225&lt;&gt;"",K225&lt;&gt;"",L225&lt;&gt;"",M225&lt;&gt;""),"ГОТОВО","НЕ ГОТОВО"))</f>
        <v/>
      </c>
      <c r="Z225" s="226">
        <f>IF(Y225&lt;&gt;"ГОТОВО","", "Предварительное заключение: "&amp;A225&amp;", скв. "&amp;B225&amp;". МРП: "&amp;E225&amp;" сут. ГНО: "&amp;F225&amp;", типоразмер "&amp;G225&amp;", марка "&amp;H225&amp;". Событие: "&amp;I225&amp;". Признак: "&amp;J225&amp;". Узел: "&amp;K225&amp;". Предварительная причина: "&amp;L225&amp;". Основное осложнение: "&amp;M225&amp;IF(N225&lt;&gt;"","; сопутствующее: "&amp;N225,"")&amp;IF(O225&lt;&gt;"","; дополнительно: "&amp;O225,"")&amp;".")</f>
        <v/>
      </c>
    </row>
    <row r="226">
      <c r="A226" s="75" t="n"/>
      <c r="B226" s="75" t="n"/>
      <c r="C226" s="261" t="n"/>
      <c r="D226" s="261" t="n"/>
      <c r="E226" s="262">
        <f>IF(OR(C226="",D226=""),"",D226-C226)</f>
        <v/>
      </c>
      <c r="F226" s="75" t="n"/>
      <c r="G226" s="75" t="n"/>
      <c r="H226" s="75" t="n"/>
      <c r="I226" s="75" t="n"/>
      <c r="J226" s="75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226">
        <f>IF(AND(A226="",B226=""),"",IF(AND(A226&lt;&gt;"",B226&lt;&gt;"",C226&lt;&gt;"",D226&lt;&gt;"",F226&lt;&gt;"",G226&lt;&gt;"",H226&lt;&gt;"",ISERROR(SEARCH("по паспорту",G226)),ISERROR(SEARCH("по паспорту",H226)),I226&lt;&gt;"",J226&lt;&gt;"",K226&lt;&gt;"",L226&lt;&gt;"",M226&lt;&gt;""),"ГОТОВО","НЕ ГОТОВО"))</f>
        <v/>
      </c>
      <c r="Z226" s="226">
        <f>IF(Y226&lt;&gt;"ГОТОВО","", "Предварительное заключение: "&amp;A226&amp;", скв. "&amp;B226&amp;". МРП: "&amp;E226&amp;" сут. ГНО: "&amp;F226&amp;", типоразмер "&amp;G226&amp;", марка "&amp;H226&amp;". Событие: "&amp;I226&amp;". Признак: "&amp;J226&amp;". Узел: "&amp;K226&amp;". Предварительная причина: "&amp;L226&amp;". Основное осложнение: "&amp;M226&amp;IF(N226&lt;&gt;"","; сопутствующее: "&amp;N226,"")&amp;IF(O226&lt;&gt;"","; дополнительно: "&amp;O226,"")&amp;".")</f>
        <v/>
      </c>
    </row>
    <row r="227">
      <c r="A227" s="75" t="n"/>
      <c r="B227" s="75" t="n"/>
      <c r="C227" s="261" t="n"/>
      <c r="D227" s="261" t="n"/>
      <c r="E227" s="262">
        <f>IF(OR(C227="",D227=""),"",D227-C227)</f>
        <v/>
      </c>
      <c r="F227" s="75" t="n"/>
      <c r="G227" s="75" t="n"/>
      <c r="H227" s="75" t="n"/>
      <c r="I227" s="75" t="n"/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226">
        <f>IF(AND(A227="",B227=""),"",IF(AND(A227&lt;&gt;"",B227&lt;&gt;"",C227&lt;&gt;"",D227&lt;&gt;"",F227&lt;&gt;"",G227&lt;&gt;"",H227&lt;&gt;"",ISERROR(SEARCH("по паспорту",G227)),ISERROR(SEARCH("по паспорту",H227)),I227&lt;&gt;"",J227&lt;&gt;"",K227&lt;&gt;"",L227&lt;&gt;"",M227&lt;&gt;""),"ГОТОВО","НЕ ГОТОВО"))</f>
        <v/>
      </c>
      <c r="Z227" s="226">
        <f>IF(Y227&lt;&gt;"ГОТОВО","", "Предварительное заключение: "&amp;A227&amp;", скв. "&amp;B227&amp;". МРП: "&amp;E227&amp;" сут. ГНО: "&amp;F227&amp;", типоразмер "&amp;G227&amp;", марка "&amp;H227&amp;". Событие: "&amp;I227&amp;". Признак: "&amp;J227&amp;". Узел: "&amp;K227&amp;". Предварительная причина: "&amp;L227&amp;". Основное осложнение: "&amp;M227&amp;IF(N227&lt;&gt;"","; сопутствующее: "&amp;N227,"")&amp;IF(O227&lt;&gt;"","; дополнительно: "&amp;O227,"")&amp;".")</f>
        <v/>
      </c>
    </row>
    <row r="228">
      <c r="A228" s="75" t="n"/>
      <c r="B228" s="75" t="n"/>
      <c r="C228" s="261" t="n"/>
      <c r="D228" s="261" t="n"/>
      <c r="E228" s="262">
        <f>IF(OR(C228="",D228=""),"",D228-C228)</f>
        <v/>
      </c>
      <c r="F228" s="75" t="n"/>
      <c r="G228" s="75" t="n"/>
      <c r="H228" s="75" t="n"/>
      <c r="I228" s="75" t="n"/>
      <c r="J228" s="75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226">
        <f>IF(AND(A228="",B228=""),"",IF(AND(A228&lt;&gt;"",B228&lt;&gt;"",C228&lt;&gt;"",D228&lt;&gt;"",F228&lt;&gt;"",G228&lt;&gt;"",H228&lt;&gt;"",ISERROR(SEARCH("по паспорту",G228)),ISERROR(SEARCH("по паспорту",H228)),I228&lt;&gt;"",J228&lt;&gt;"",K228&lt;&gt;"",L228&lt;&gt;"",M228&lt;&gt;""),"ГОТОВО","НЕ ГОТОВО"))</f>
        <v/>
      </c>
      <c r="Z228" s="226">
        <f>IF(Y228&lt;&gt;"ГОТОВО","", "Предварительное заключение: "&amp;A228&amp;", скв. "&amp;B228&amp;". МРП: "&amp;E228&amp;" сут. ГНО: "&amp;F228&amp;", типоразмер "&amp;G228&amp;", марка "&amp;H228&amp;". Событие: "&amp;I228&amp;". Признак: "&amp;J228&amp;". Узел: "&amp;K228&amp;". Предварительная причина: "&amp;L228&amp;". Основное осложнение: "&amp;M228&amp;IF(N228&lt;&gt;"","; сопутствующее: "&amp;N228,"")&amp;IF(O228&lt;&gt;"","; дополнительно: "&amp;O228,"")&amp;".")</f>
        <v/>
      </c>
    </row>
    <row r="229">
      <c r="A229" s="75" t="n"/>
      <c r="B229" s="75" t="n"/>
      <c r="C229" s="261" t="n"/>
      <c r="D229" s="261" t="n"/>
      <c r="E229" s="262">
        <f>IF(OR(C229="",D229=""),"",D229-C229)</f>
        <v/>
      </c>
      <c r="F229" s="75" t="n"/>
      <c r="G229" s="75" t="n"/>
      <c r="H229" s="75" t="n"/>
      <c r="I229" s="75" t="n"/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226">
        <f>IF(AND(A229="",B229=""),"",IF(AND(A229&lt;&gt;"",B229&lt;&gt;"",C229&lt;&gt;"",D229&lt;&gt;"",F229&lt;&gt;"",G229&lt;&gt;"",H229&lt;&gt;"",ISERROR(SEARCH("по паспорту",G229)),ISERROR(SEARCH("по паспорту",H229)),I229&lt;&gt;"",J229&lt;&gt;"",K229&lt;&gt;"",L229&lt;&gt;"",M229&lt;&gt;""),"ГОТОВО","НЕ ГОТОВО"))</f>
        <v/>
      </c>
      <c r="Z229" s="226">
        <f>IF(Y229&lt;&gt;"ГОТОВО","", "Предварительное заключение: "&amp;A229&amp;", скв. "&amp;B229&amp;". МРП: "&amp;E229&amp;" сут. ГНО: "&amp;F229&amp;", типоразмер "&amp;G229&amp;", марка "&amp;H229&amp;". Событие: "&amp;I229&amp;". Признак: "&amp;J229&amp;". Узел: "&amp;K229&amp;". Предварительная причина: "&amp;L229&amp;". Основное осложнение: "&amp;M229&amp;IF(N229&lt;&gt;"","; сопутствующее: "&amp;N229,"")&amp;IF(O229&lt;&gt;"","; дополнительно: "&amp;O229,"")&amp;".")</f>
        <v/>
      </c>
    </row>
    <row r="230">
      <c r="A230" s="75" t="n"/>
      <c r="B230" s="75" t="n"/>
      <c r="C230" s="261" t="n"/>
      <c r="D230" s="261" t="n"/>
      <c r="E230" s="262">
        <f>IF(OR(C230="",D230=""),"",D230-C230)</f>
        <v/>
      </c>
      <c r="F230" s="75" t="n"/>
      <c r="G230" s="75" t="n"/>
      <c r="H230" s="75" t="n"/>
      <c r="I230" s="75" t="n"/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226">
        <f>IF(AND(A230="",B230=""),"",IF(AND(A230&lt;&gt;"",B230&lt;&gt;"",C230&lt;&gt;"",D230&lt;&gt;"",F230&lt;&gt;"",G230&lt;&gt;"",H230&lt;&gt;"",ISERROR(SEARCH("по паспорту",G230)),ISERROR(SEARCH("по паспорту",H230)),I230&lt;&gt;"",J230&lt;&gt;"",K230&lt;&gt;"",L230&lt;&gt;"",M230&lt;&gt;""),"ГОТОВО","НЕ ГОТОВО"))</f>
        <v/>
      </c>
      <c r="Z230" s="226">
        <f>IF(Y230&lt;&gt;"ГОТОВО","", "Предварительное заключение: "&amp;A230&amp;", скв. "&amp;B230&amp;". МРП: "&amp;E230&amp;" сут. ГНО: "&amp;F230&amp;", типоразмер "&amp;G230&amp;", марка "&amp;H230&amp;". Событие: "&amp;I230&amp;". Признак: "&amp;J230&amp;". Узел: "&amp;K230&amp;". Предварительная причина: "&amp;L230&amp;". Основное осложнение: "&amp;M230&amp;IF(N230&lt;&gt;"","; сопутствующее: "&amp;N230,"")&amp;IF(O230&lt;&gt;"","; дополнительно: "&amp;O230,"")&amp;".")</f>
        <v/>
      </c>
    </row>
    <row r="231">
      <c r="A231" s="75" t="n"/>
      <c r="B231" s="75" t="n"/>
      <c r="C231" s="261" t="n"/>
      <c r="D231" s="261" t="n"/>
      <c r="E231" s="262">
        <f>IF(OR(C231="",D231=""),"",D231-C231)</f>
        <v/>
      </c>
      <c r="F231" s="75" t="n"/>
      <c r="G231" s="75" t="n"/>
      <c r="H231" s="75" t="n"/>
      <c r="I231" s="75" t="n"/>
      <c r="J231" s="75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n"/>
      <c r="W231" s="75" t="n"/>
      <c r="X231" s="75" t="n"/>
      <c r="Y231" s="226">
        <f>IF(AND(A231="",B231=""),"",IF(AND(A231&lt;&gt;"",B231&lt;&gt;"",C231&lt;&gt;"",D231&lt;&gt;"",F231&lt;&gt;"",G231&lt;&gt;"",H231&lt;&gt;"",ISERROR(SEARCH("по паспорту",G231)),ISERROR(SEARCH("по паспорту",H231)),I231&lt;&gt;"",J231&lt;&gt;"",K231&lt;&gt;"",L231&lt;&gt;"",M231&lt;&gt;""),"ГОТОВО","НЕ ГОТОВО"))</f>
        <v/>
      </c>
      <c r="Z231" s="226">
        <f>IF(Y231&lt;&gt;"ГОТОВО","", "Предварительное заключение: "&amp;A231&amp;", скв. "&amp;B231&amp;". МРП: "&amp;E231&amp;" сут. ГНО: "&amp;F231&amp;", типоразмер "&amp;G231&amp;", марка "&amp;H231&amp;". Событие: "&amp;I231&amp;". Признак: "&amp;J231&amp;". Узел: "&amp;K231&amp;". Предварительная причина: "&amp;L231&amp;". Основное осложнение: "&amp;M231&amp;IF(N231&lt;&gt;"","; сопутствующее: "&amp;N231,"")&amp;IF(O231&lt;&gt;"","; дополнительно: "&amp;O231,"")&amp;".")</f>
        <v/>
      </c>
    </row>
    <row r="232">
      <c r="A232" s="75" t="n"/>
      <c r="B232" s="75" t="n"/>
      <c r="C232" s="261" t="n"/>
      <c r="D232" s="261" t="n"/>
      <c r="E232" s="262">
        <f>IF(OR(C232="",D232=""),"",D232-C232)</f>
        <v/>
      </c>
      <c r="F232" s="75" t="n"/>
      <c r="G232" s="75" t="n"/>
      <c r="H232" s="75" t="n"/>
      <c r="I232" s="75" t="n"/>
      <c r="J232" s="75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226">
        <f>IF(AND(A232="",B232=""),"",IF(AND(A232&lt;&gt;"",B232&lt;&gt;"",C232&lt;&gt;"",D232&lt;&gt;"",F232&lt;&gt;"",G232&lt;&gt;"",H232&lt;&gt;"",ISERROR(SEARCH("по паспорту",G232)),ISERROR(SEARCH("по паспорту",H232)),I232&lt;&gt;"",J232&lt;&gt;"",K232&lt;&gt;"",L232&lt;&gt;"",M232&lt;&gt;""),"ГОТОВО","НЕ ГОТОВО"))</f>
        <v/>
      </c>
      <c r="Z232" s="226">
        <f>IF(Y232&lt;&gt;"ГОТОВО","", "Предварительное заключение: "&amp;A232&amp;", скв. "&amp;B232&amp;". МРП: "&amp;E232&amp;" сут. ГНО: "&amp;F232&amp;", типоразмер "&amp;G232&amp;", марка "&amp;H232&amp;". Событие: "&amp;I232&amp;". Признак: "&amp;J232&amp;". Узел: "&amp;K232&amp;". Предварительная причина: "&amp;L232&amp;". Основное осложнение: "&amp;M232&amp;IF(N232&lt;&gt;"","; сопутствующее: "&amp;N232,"")&amp;IF(O232&lt;&gt;"","; дополнительно: "&amp;O232,"")&amp;".")</f>
        <v/>
      </c>
    </row>
    <row r="233">
      <c r="A233" s="75" t="n"/>
      <c r="B233" s="75" t="n"/>
      <c r="C233" s="261" t="n"/>
      <c r="D233" s="261" t="n"/>
      <c r="E233" s="262">
        <f>IF(OR(C233="",D233=""),"",D233-C233)</f>
        <v/>
      </c>
      <c r="F233" s="75" t="n"/>
      <c r="G233" s="75" t="n"/>
      <c r="H233" s="75" t="n"/>
      <c r="I233" s="75" t="n"/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n"/>
      <c r="W233" s="75" t="n"/>
      <c r="X233" s="75" t="n"/>
      <c r="Y233" s="226">
        <f>IF(AND(A233="",B233=""),"",IF(AND(A233&lt;&gt;"",B233&lt;&gt;"",C233&lt;&gt;"",D233&lt;&gt;"",F233&lt;&gt;"",G233&lt;&gt;"",H233&lt;&gt;"",ISERROR(SEARCH("по паспорту",G233)),ISERROR(SEARCH("по паспорту",H233)),I233&lt;&gt;"",J233&lt;&gt;"",K233&lt;&gt;"",L233&lt;&gt;"",M233&lt;&gt;""),"ГОТОВО","НЕ ГОТОВО"))</f>
        <v/>
      </c>
      <c r="Z233" s="226">
        <f>IF(Y233&lt;&gt;"ГОТОВО","", "Предварительное заключение: "&amp;A233&amp;", скв. "&amp;B233&amp;". МРП: "&amp;E233&amp;" сут. ГНО: "&amp;F233&amp;", типоразмер "&amp;G233&amp;", марка "&amp;H233&amp;". Событие: "&amp;I233&amp;". Признак: "&amp;J233&amp;". Узел: "&amp;K233&amp;". Предварительная причина: "&amp;L233&amp;". Основное осложнение: "&amp;M233&amp;IF(N233&lt;&gt;"","; сопутствующее: "&amp;N233,"")&amp;IF(O233&lt;&gt;"","; дополнительно: "&amp;O233,"")&amp;".")</f>
        <v/>
      </c>
    </row>
    <row r="234">
      <c r="A234" s="75" t="n"/>
      <c r="B234" s="75" t="n"/>
      <c r="C234" s="261" t="n"/>
      <c r="D234" s="261" t="n"/>
      <c r="E234" s="262">
        <f>IF(OR(C234="",D234=""),"",D234-C234)</f>
        <v/>
      </c>
      <c r="F234" s="75" t="n"/>
      <c r="G234" s="75" t="n"/>
      <c r="H234" s="75" t="n"/>
      <c r="I234" s="75" t="n"/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226">
        <f>IF(AND(A234="",B234=""),"",IF(AND(A234&lt;&gt;"",B234&lt;&gt;"",C234&lt;&gt;"",D234&lt;&gt;"",F234&lt;&gt;"",G234&lt;&gt;"",H234&lt;&gt;"",ISERROR(SEARCH("по паспорту",G234)),ISERROR(SEARCH("по паспорту",H234)),I234&lt;&gt;"",J234&lt;&gt;"",K234&lt;&gt;"",L234&lt;&gt;"",M234&lt;&gt;""),"ГОТОВО","НЕ ГОТОВО"))</f>
        <v/>
      </c>
      <c r="Z234" s="226">
        <f>IF(Y234&lt;&gt;"ГОТОВО","", "Предварительное заключение: "&amp;A234&amp;", скв. "&amp;B234&amp;". МРП: "&amp;E234&amp;" сут. ГНО: "&amp;F234&amp;", типоразмер "&amp;G234&amp;", марка "&amp;H234&amp;". Событие: "&amp;I234&amp;". Признак: "&amp;J234&amp;". Узел: "&amp;K234&amp;". Предварительная причина: "&amp;L234&amp;". Основное осложнение: "&amp;M234&amp;IF(N234&lt;&gt;"","; сопутствующее: "&amp;N234,"")&amp;IF(O234&lt;&gt;"","; дополнительно: "&amp;O234,"")&amp;".")</f>
        <v/>
      </c>
    </row>
    <row r="235">
      <c r="A235" s="75" t="n"/>
      <c r="B235" s="75" t="n"/>
      <c r="C235" s="261" t="n"/>
      <c r="D235" s="261" t="n"/>
      <c r="E235" s="262">
        <f>IF(OR(C235="",D235=""),"",D235-C235)</f>
        <v/>
      </c>
      <c r="F235" s="75" t="n"/>
      <c r="G235" s="75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226">
        <f>IF(AND(A235="",B235=""),"",IF(AND(A235&lt;&gt;"",B235&lt;&gt;"",C235&lt;&gt;"",D235&lt;&gt;"",F235&lt;&gt;"",G235&lt;&gt;"",H235&lt;&gt;"",ISERROR(SEARCH("по паспорту",G235)),ISERROR(SEARCH("по паспорту",H235)),I235&lt;&gt;"",J235&lt;&gt;"",K235&lt;&gt;"",L235&lt;&gt;"",M235&lt;&gt;""),"ГОТОВО","НЕ ГОТОВО"))</f>
        <v/>
      </c>
      <c r="Z235" s="226">
        <f>IF(Y235&lt;&gt;"ГОТОВО","", "Предварительное заключение: "&amp;A235&amp;", скв. "&amp;B235&amp;". МРП: "&amp;E235&amp;" сут. ГНО: "&amp;F235&amp;", типоразмер "&amp;G235&amp;", марка "&amp;H235&amp;". Событие: "&amp;I235&amp;". Признак: "&amp;J235&amp;". Узел: "&amp;K235&amp;". Предварительная причина: "&amp;L235&amp;". Основное осложнение: "&amp;M235&amp;IF(N235&lt;&gt;"","; сопутствующее: "&amp;N235,"")&amp;IF(O235&lt;&gt;"","; дополнительно: "&amp;O235,"")&amp;".")</f>
        <v/>
      </c>
    </row>
    <row r="236">
      <c r="A236" s="75" t="n"/>
      <c r="B236" s="75" t="n"/>
      <c r="C236" s="261" t="n"/>
      <c r="D236" s="261" t="n"/>
      <c r="E236" s="262">
        <f>IF(OR(C236="",D236=""),"",D236-C236)</f>
        <v/>
      </c>
      <c r="F236" s="75" t="n"/>
      <c r="G236" s="75" t="n"/>
      <c r="H236" s="75" t="n"/>
      <c r="I236" s="75" t="n"/>
      <c r="J236" s="75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226">
        <f>IF(AND(A236="",B236=""),"",IF(AND(A236&lt;&gt;"",B236&lt;&gt;"",C236&lt;&gt;"",D236&lt;&gt;"",F236&lt;&gt;"",G236&lt;&gt;"",H236&lt;&gt;"",ISERROR(SEARCH("по паспорту",G236)),ISERROR(SEARCH("по паспорту",H236)),I236&lt;&gt;"",J236&lt;&gt;"",K236&lt;&gt;"",L236&lt;&gt;"",M236&lt;&gt;""),"ГОТОВО","НЕ ГОТОВО"))</f>
        <v/>
      </c>
      <c r="Z236" s="226">
        <f>IF(Y236&lt;&gt;"ГОТОВО","", "Предварительное заключение: "&amp;A236&amp;", скв. "&amp;B236&amp;". МРП: "&amp;E236&amp;" сут. ГНО: "&amp;F236&amp;", типоразмер "&amp;G236&amp;", марка "&amp;H236&amp;". Событие: "&amp;I236&amp;". Признак: "&amp;J236&amp;". Узел: "&amp;K236&amp;". Предварительная причина: "&amp;L236&amp;". Основное осложнение: "&amp;M236&amp;IF(N236&lt;&gt;"","; сопутствующее: "&amp;N236,"")&amp;IF(O236&lt;&gt;"","; дополнительно: "&amp;O236,"")&amp;".")</f>
        <v/>
      </c>
    </row>
    <row r="237">
      <c r="A237" s="75" t="n"/>
      <c r="B237" s="75" t="n"/>
      <c r="C237" s="261" t="n"/>
      <c r="D237" s="261" t="n"/>
      <c r="E237" s="262">
        <f>IF(OR(C237="",D237=""),"",D237-C237)</f>
        <v/>
      </c>
      <c r="F237" s="75" t="n"/>
      <c r="G237" s="75" t="n"/>
      <c r="H237" s="75" t="n"/>
      <c r="I237" s="75" t="n"/>
      <c r="J237" s="75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226">
        <f>IF(AND(A237="",B237=""),"",IF(AND(A237&lt;&gt;"",B237&lt;&gt;"",C237&lt;&gt;"",D237&lt;&gt;"",F237&lt;&gt;"",G237&lt;&gt;"",H237&lt;&gt;"",ISERROR(SEARCH("по паспорту",G237)),ISERROR(SEARCH("по паспорту",H237)),I237&lt;&gt;"",J237&lt;&gt;"",K237&lt;&gt;"",L237&lt;&gt;"",M237&lt;&gt;""),"ГОТОВО","НЕ ГОТОВО"))</f>
        <v/>
      </c>
      <c r="Z237" s="226">
        <f>IF(Y237&lt;&gt;"ГОТОВО","", "Предварительное заключение: "&amp;A237&amp;", скв. "&amp;B237&amp;". МРП: "&amp;E237&amp;" сут. ГНО: "&amp;F237&amp;", типоразмер "&amp;G237&amp;", марка "&amp;H237&amp;". Событие: "&amp;I237&amp;". Признак: "&amp;J237&amp;". Узел: "&amp;K237&amp;". Предварительная причина: "&amp;L237&amp;". Основное осложнение: "&amp;M237&amp;IF(N237&lt;&gt;"","; сопутствующее: "&amp;N237,"")&amp;IF(O237&lt;&gt;"","; дополнительно: "&amp;O237,"")&amp;".")</f>
        <v/>
      </c>
    </row>
    <row r="238">
      <c r="A238" s="75" t="n"/>
      <c r="B238" s="75" t="n"/>
      <c r="C238" s="261" t="n"/>
      <c r="D238" s="261" t="n"/>
      <c r="E238" s="262">
        <f>IF(OR(C238="",D238=""),"",D238-C238)</f>
        <v/>
      </c>
      <c r="F238" s="75" t="n"/>
      <c r="G238" s="75" t="n"/>
      <c r="H238" s="75" t="n"/>
      <c r="I238" s="75" t="n"/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226">
        <f>IF(AND(A238="",B238=""),"",IF(AND(A238&lt;&gt;"",B238&lt;&gt;"",C238&lt;&gt;"",D238&lt;&gt;"",F238&lt;&gt;"",G238&lt;&gt;"",H238&lt;&gt;"",ISERROR(SEARCH("по паспорту",G238)),ISERROR(SEARCH("по паспорту",H238)),I238&lt;&gt;"",J238&lt;&gt;"",K238&lt;&gt;"",L238&lt;&gt;"",M238&lt;&gt;""),"ГОТОВО","НЕ ГОТОВО"))</f>
        <v/>
      </c>
      <c r="Z238" s="226">
        <f>IF(Y238&lt;&gt;"ГОТОВО","", "Предварительное заключение: "&amp;A238&amp;", скв. "&amp;B238&amp;". МРП: "&amp;E238&amp;" сут. ГНО: "&amp;F238&amp;", типоразмер "&amp;G238&amp;", марка "&amp;H238&amp;". Событие: "&amp;I238&amp;". Признак: "&amp;J238&amp;". Узел: "&amp;K238&amp;". Предварительная причина: "&amp;L238&amp;". Основное осложнение: "&amp;M238&amp;IF(N238&lt;&gt;"","; сопутствующее: "&amp;N238,"")&amp;IF(O238&lt;&gt;"","; дополнительно: "&amp;O238,"")&amp;".")</f>
        <v/>
      </c>
    </row>
    <row r="239">
      <c r="A239" s="75" t="n"/>
      <c r="B239" s="75" t="n"/>
      <c r="C239" s="261" t="n"/>
      <c r="D239" s="261" t="n"/>
      <c r="E239" s="262">
        <f>IF(OR(C239="",D239=""),"",D239-C239)</f>
        <v/>
      </c>
      <c r="F239" s="75" t="n"/>
      <c r="G239" s="75" t="n"/>
      <c r="H239" s="75" t="n"/>
      <c r="I239" s="75" t="n"/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226">
        <f>IF(AND(A239="",B239=""),"",IF(AND(A239&lt;&gt;"",B239&lt;&gt;"",C239&lt;&gt;"",D239&lt;&gt;"",F239&lt;&gt;"",G239&lt;&gt;"",H239&lt;&gt;"",ISERROR(SEARCH("по паспорту",G239)),ISERROR(SEARCH("по паспорту",H239)),I239&lt;&gt;"",J239&lt;&gt;"",K239&lt;&gt;"",L239&lt;&gt;"",M239&lt;&gt;""),"ГОТОВО","НЕ ГОТОВО"))</f>
        <v/>
      </c>
      <c r="Z239" s="226">
        <f>IF(Y239&lt;&gt;"ГОТОВО","", "Предварительное заключение: "&amp;A239&amp;", скв. "&amp;B239&amp;". МРП: "&amp;E239&amp;" сут. ГНО: "&amp;F239&amp;", типоразмер "&amp;G239&amp;", марка "&amp;H239&amp;". Событие: "&amp;I239&amp;". Признак: "&amp;J239&amp;". Узел: "&amp;K239&amp;". Предварительная причина: "&amp;L239&amp;". Основное осложнение: "&amp;M239&amp;IF(N239&lt;&gt;"","; сопутствующее: "&amp;N239,"")&amp;IF(O239&lt;&gt;"","; дополнительно: "&amp;O239,"")&amp;".")</f>
        <v/>
      </c>
    </row>
    <row r="240">
      <c r="A240" s="75" t="n"/>
      <c r="B240" s="75" t="n"/>
      <c r="C240" s="261" t="n"/>
      <c r="D240" s="261" t="n"/>
      <c r="E240" s="262">
        <f>IF(OR(C240="",D240=""),"",D240-C240)</f>
        <v/>
      </c>
      <c r="F240" s="75" t="n"/>
      <c r="G240" s="75" t="n"/>
      <c r="H240" s="75" t="n"/>
      <c r="I240" s="75" t="n"/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226">
        <f>IF(AND(A240="",B240=""),"",IF(AND(A240&lt;&gt;"",B240&lt;&gt;"",C240&lt;&gt;"",D240&lt;&gt;"",F240&lt;&gt;"",G240&lt;&gt;"",H240&lt;&gt;"",ISERROR(SEARCH("по паспорту",G240)),ISERROR(SEARCH("по паспорту",H240)),I240&lt;&gt;"",J240&lt;&gt;"",K240&lt;&gt;"",L240&lt;&gt;"",M240&lt;&gt;""),"ГОТОВО","НЕ ГОТОВО"))</f>
        <v/>
      </c>
      <c r="Z240" s="226">
        <f>IF(Y240&lt;&gt;"ГОТОВО","", "Предварительное заключение: "&amp;A240&amp;", скв. "&amp;B240&amp;". МРП: "&amp;E240&amp;" сут. ГНО: "&amp;F240&amp;", типоразмер "&amp;G240&amp;", марка "&amp;H240&amp;". Событие: "&amp;I240&amp;". Признак: "&amp;J240&amp;". Узел: "&amp;K240&amp;". Предварительная причина: "&amp;L240&amp;". Основное осложнение: "&amp;M240&amp;IF(N240&lt;&gt;"","; сопутствующее: "&amp;N240,"")&amp;IF(O240&lt;&gt;"","; дополнительно: "&amp;O240,"")&amp;".")</f>
        <v/>
      </c>
    </row>
    <row r="241">
      <c r="A241" s="75" t="n"/>
      <c r="B241" s="75" t="n"/>
      <c r="C241" s="261" t="n"/>
      <c r="D241" s="261" t="n"/>
      <c r="E241" s="262">
        <f>IF(OR(C241="",D241=""),"",D241-C241)</f>
        <v/>
      </c>
      <c r="F241" s="75" t="n"/>
      <c r="G241" s="75" t="n"/>
      <c r="H241" s="75" t="n"/>
      <c r="I241" s="75" t="n"/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226">
        <f>IF(AND(A241="",B241=""),"",IF(AND(A241&lt;&gt;"",B241&lt;&gt;"",C241&lt;&gt;"",D241&lt;&gt;"",F241&lt;&gt;"",G241&lt;&gt;"",H241&lt;&gt;"",ISERROR(SEARCH("по паспорту",G241)),ISERROR(SEARCH("по паспорту",H241)),I241&lt;&gt;"",J241&lt;&gt;"",K241&lt;&gt;"",L241&lt;&gt;"",M241&lt;&gt;""),"ГОТОВО","НЕ ГОТОВО"))</f>
        <v/>
      </c>
      <c r="Z241" s="226">
        <f>IF(Y241&lt;&gt;"ГОТОВО","", "Предварительное заключение: "&amp;A241&amp;", скв. "&amp;B241&amp;". МРП: "&amp;E241&amp;" сут. ГНО: "&amp;F241&amp;", типоразмер "&amp;G241&amp;", марка "&amp;H241&amp;". Событие: "&amp;I241&amp;". Признак: "&amp;J241&amp;". Узел: "&amp;K241&amp;". Предварительная причина: "&amp;L241&amp;". Основное осложнение: "&amp;M241&amp;IF(N241&lt;&gt;"","; сопутствующее: "&amp;N241,"")&amp;IF(O241&lt;&gt;"","; дополнительно: "&amp;O241,"")&amp;".")</f>
        <v/>
      </c>
    </row>
    <row r="242">
      <c r="A242" s="75" t="n"/>
      <c r="B242" s="75" t="n"/>
      <c r="C242" s="261" t="n"/>
      <c r="D242" s="261" t="n"/>
      <c r="E242" s="262">
        <f>IF(OR(C242="",D242=""),"",D242-C242)</f>
        <v/>
      </c>
      <c r="F242" s="75" t="n"/>
      <c r="G242" s="75" t="n"/>
      <c r="H242" s="75" t="n"/>
      <c r="I242" s="75" t="n"/>
      <c r="J242" s="75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226">
        <f>IF(AND(A242="",B242=""),"",IF(AND(A242&lt;&gt;"",B242&lt;&gt;"",C242&lt;&gt;"",D242&lt;&gt;"",F242&lt;&gt;"",G242&lt;&gt;"",H242&lt;&gt;"",ISERROR(SEARCH("по паспорту",G242)),ISERROR(SEARCH("по паспорту",H242)),I242&lt;&gt;"",J242&lt;&gt;"",K242&lt;&gt;"",L242&lt;&gt;"",M242&lt;&gt;""),"ГОТОВО","НЕ ГОТОВО"))</f>
        <v/>
      </c>
      <c r="Z242" s="226">
        <f>IF(Y242&lt;&gt;"ГОТОВО","", "Предварительное заключение: "&amp;A242&amp;", скв. "&amp;B242&amp;". МРП: "&amp;E242&amp;" сут. ГНО: "&amp;F242&amp;", типоразмер "&amp;G242&amp;", марка "&amp;H242&amp;". Событие: "&amp;I242&amp;". Признак: "&amp;J242&amp;". Узел: "&amp;K242&amp;". Предварительная причина: "&amp;L242&amp;". Основное осложнение: "&amp;M242&amp;IF(N242&lt;&gt;"","; сопутствующее: "&amp;N242,"")&amp;IF(O242&lt;&gt;"","; дополнительно: "&amp;O242,"")&amp;".")</f>
        <v/>
      </c>
    </row>
    <row r="243">
      <c r="A243" s="75" t="n"/>
      <c r="B243" s="75" t="n"/>
      <c r="C243" s="261" t="n"/>
      <c r="D243" s="261" t="n"/>
      <c r="E243" s="262">
        <f>IF(OR(C243="",D243=""),"",D243-C243)</f>
        <v/>
      </c>
      <c r="F243" s="75" t="n"/>
      <c r="G243" s="75" t="n"/>
      <c r="H243" s="75" t="n"/>
      <c r="I243" s="75" t="n"/>
      <c r="J243" s="75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226">
        <f>IF(AND(A243="",B243=""),"",IF(AND(A243&lt;&gt;"",B243&lt;&gt;"",C243&lt;&gt;"",D243&lt;&gt;"",F243&lt;&gt;"",G243&lt;&gt;"",H243&lt;&gt;"",ISERROR(SEARCH("по паспорту",G243)),ISERROR(SEARCH("по паспорту",H243)),I243&lt;&gt;"",J243&lt;&gt;"",K243&lt;&gt;"",L243&lt;&gt;"",M243&lt;&gt;""),"ГОТОВО","НЕ ГОТОВО"))</f>
        <v/>
      </c>
      <c r="Z243" s="226">
        <f>IF(Y243&lt;&gt;"ГОТОВО","", "Предварительное заключение: "&amp;A243&amp;", скв. "&amp;B243&amp;". МРП: "&amp;E243&amp;" сут. ГНО: "&amp;F243&amp;", типоразмер "&amp;G243&amp;", марка "&amp;H243&amp;". Событие: "&amp;I243&amp;". Признак: "&amp;J243&amp;". Узел: "&amp;K243&amp;". Предварительная причина: "&amp;L243&amp;". Основное осложнение: "&amp;M243&amp;IF(N243&lt;&gt;"","; сопутствующее: "&amp;N243,"")&amp;IF(O243&lt;&gt;"","; дополнительно: "&amp;O243,"")&amp;".")</f>
        <v/>
      </c>
    </row>
    <row r="244">
      <c r="A244" s="75" t="n"/>
      <c r="B244" s="75" t="n"/>
      <c r="C244" s="261" t="n"/>
      <c r="D244" s="261" t="n"/>
      <c r="E244" s="262">
        <f>IF(OR(C244="",D244=""),"",D244-C244)</f>
        <v/>
      </c>
      <c r="F244" s="75" t="n"/>
      <c r="G244" s="75" t="n"/>
      <c r="H244" s="75" t="n"/>
      <c r="I244" s="75" t="n"/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226">
        <f>IF(AND(A244="",B244=""),"",IF(AND(A244&lt;&gt;"",B244&lt;&gt;"",C244&lt;&gt;"",D244&lt;&gt;"",F244&lt;&gt;"",G244&lt;&gt;"",H244&lt;&gt;"",ISERROR(SEARCH("по паспорту",G244)),ISERROR(SEARCH("по паспорту",H244)),I244&lt;&gt;"",J244&lt;&gt;"",K244&lt;&gt;"",L244&lt;&gt;"",M244&lt;&gt;""),"ГОТОВО","НЕ ГОТОВО"))</f>
        <v/>
      </c>
      <c r="Z244" s="226">
        <f>IF(Y244&lt;&gt;"ГОТОВО","", "Предварительное заключение: "&amp;A244&amp;", скв. "&amp;B244&amp;". МРП: "&amp;E244&amp;" сут. ГНО: "&amp;F244&amp;", типоразмер "&amp;G244&amp;", марка "&amp;H244&amp;". Событие: "&amp;I244&amp;". Признак: "&amp;J244&amp;". Узел: "&amp;K244&amp;". Предварительная причина: "&amp;L244&amp;". Основное осложнение: "&amp;M244&amp;IF(N244&lt;&gt;"","; сопутствующее: "&amp;N244,"")&amp;IF(O244&lt;&gt;"","; дополнительно: "&amp;O244,"")&amp;".")</f>
        <v/>
      </c>
    </row>
    <row r="245">
      <c r="A245" s="75" t="n"/>
      <c r="B245" s="75" t="n"/>
      <c r="C245" s="261" t="n"/>
      <c r="D245" s="261" t="n"/>
      <c r="E245" s="262">
        <f>IF(OR(C245="",D245=""),"",D245-C245)</f>
        <v/>
      </c>
      <c r="F245" s="75" t="n"/>
      <c r="G245" s="75" t="n"/>
      <c r="H245" s="75" t="n"/>
      <c r="I245" s="75" t="n"/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226">
        <f>IF(AND(A245="",B245=""),"",IF(AND(A245&lt;&gt;"",B245&lt;&gt;"",C245&lt;&gt;"",D245&lt;&gt;"",F245&lt;&gt;"",G245&lt;&gt;"",H245&lt;&gt;"",ISERROR(SEARCH("по паспорту",G245)),ISERROR(SEARCH("по паспорту",H245)),I245&lt;&gt;"",J245&lt;&gt;"",K245&lt;&gt;"",L245&lt;&gt;"",M245&lt;&gt;""),"ГОТОВО","НЕ ГОТОВО"))</f>
        <v/>
      </c>
      <c r="Z245" s="226">
        <f>IF(Y245&lt;&gt;"ГОТОВО","", "Предварительное заключение: "&amp;A245&amp;", скв. "&amp;B245&amp;". МРП: "&amp;E245&amp;" сут. ГНО: "&amp;F245&amp;", типоразмер "&amp;G245&amp;", марка "&amp;H245&amp;". Событие: "&amp;I245&amp;". Признак: "&amp;J245&amp;". Узел: "&amp;K245&amp;". Предварительная причина: "&amp;L245&amp;". Основное осложнение: "&amp;M245&amp;IF(N245&lt;&gt;"","; сопутствующее: "&amp;N245,"")&amp;IF(O245&lt;&gt;"","; дополнительно: "&amp;O245,"")&amp;".")</f>
        <v/>
      </c>
    </row>
    <row r="246">
      <c r="A246" s="75" t="n"/>
      <c r="B246" s="75" t="n"/>
      <c r="C246" s="261" t="n"/>
      <c r="D246" s="261" t="n"/>
      <c r="E246" s="262">
        <f>IF(OR(C246="",D246=""),"",D246-C246)</f>
        <v/>
      </c>
      <c r="F246" s="75" t="n"/>
      <c r="G246" s="75" t="n"/>
      <c r="H246" s="75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226">
        <f>IF(AND(A246="",B246=""),"",IF(AND(A246&lt;&gt;"",B246&lt;&gt;"",C246&lt;&gt;"",D246&lt;&gt;"",F246&lt;&gt;"",G246&lt;&gt;"",H246&lt;&gt;"",ISERROR(SEARCH("по паспорту",G246)),ISERROR(SEARCH("по паспорту",H246)),I246&lt;&gt;"",J246&lt;&gt;"",K246&lt;&gt;"",L246&lt;&gt;"",M246&lt;&gt;""),"ГОТОВО","НЕ ГОТОВО"))</f>
        <v/>
      </c>
      <c r="Z246" s="226">
        <f>IF(Y246&lt;&gt;"ГОТОВО","", "Предварительное заключение: "&amp;A246&amp;", скв. "&amp;B246&amp;". МРП: "&amp;E246&amp;" сут. ГНО: "&amp;F246&amp;", типоразмер "&amp;G246&amp;", марка "&amp;H246&amp;". Событие: "&amp;I246&amp;". Признак: "&amp;J246&amp;". Узел: "&amp;K246&amp;". Предварительная причина: "&amp;L246&amp;". Основное осложнение: "&amp;M246&amp;IF(N246&lt;&gt;"","; сопутствующее: "&amp;N246,"")&amp;IF(O246&lt;&gt;"","; дополнительно: "&amp;O246,"")&amp;".")</f>
        <v/>
      </c>
    </row>
    <row r="247">
      <c r="A247" s="75" t="n"/>
      <c r="B247" s="75" t="n"/>
      <c r="C247" s="261" t="n"/>
      <c r="D247" s="261" t="n"/>
      <c r="E247" s="262">
        <f>IF(OR(C247="",D247=""),"",D247-C247)</f>
        <v/>
      </c>
      <c r="F247" s="75" t="n"/>
      <c r="G247" s="75" t="n"/>
      <c r="H247" s="75" t="n"/>
      <c r="I247" s="75" t="n"/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226">
        <f>IF(AND(A247="",B247=""),"",IF(AND(A247&lt;&gt;"",B247&lt;&gt;"",C247&lt;&gt;"",D247&lt;&gt;"",F247&lt;&gt;"",G247&lt;&gt;"",H247&lt;&gt;"",ISERROR(SEARCH("по паспорту",G247)),ISERROR(SEARCH("по паспорту",H247)),I247&lt;&gt;"",J247&lt;&gt;"",K247&lt;&gt;"",L247&lt;&gt;"",M247&lt;&gt;""),"ГОТОВО","НЕ ГОТОВО"))</f>
        <v/>
      </c>
      <c r="Z247" s="226">
        <f>IF(Y247&lt;&gt;"ГОТОВО","", "Предварительное заключение: "&amp;A247&amp;", скв. "&amp;B247&amp;". МРП: "&amp;E247&amp;" сут. ГНО: "&amp;F247&amp;", типоразмер "&amp;G247&amp;", марка "&amp;H247&amp;". Событие: "&amp;I247&amp;". Признак: "&amp;J247&amp;". Узел: "&amp;K247&amp;". Предварительная причина: "&amp;L247&amp;". Основное осложнение: "&amp;M247&amp;IF(N247&lt;&gt;"","; сопутствующее: "&amp;N247,"")&amp;IF(O247&lt;&gt;"","; дополнительно: "&amp;O247,"")&amp;".")</f>
        <v/>
      </c>
    </row>
    <row r="248">
      <c r="A248" s="75" t="n"/>
      <c r="B248" s="75" t="n"/>
      <c r="C248" s="261" t="n"/>
      <c r="D248" s="261" t="n"/>
      <c r="E248" s="262">
        <f>IF(OR(C248="",D248=""),"",D248-C248)</f>
        <v/>
      </c>
      <c r="F248" s="75" t="n"/>
      <c r="G248" s="75" t="n"/>
      <c r="H248" s="75" t="n"/>
      <c r="I248" s="75" t="n"/>
      <c r="J248" s="75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226">
        <f>IF(AND(A248="",B248=""),"",IF(AND(A248&lt;&gt;"",B248&lt;&gt;"",C248&lt;&gt;"",D248&lt;&gt;"",F248&lt;&gt;"",G248&lt;&gt;"",H248&lt;&gt;"",ISERROR(SEARCH("по паспорту",G248)),ISERROR(SEARCH("по паспорту",H248)),I248&lt;&gt;"",J248&lt;&gt;"",K248&lt;&gt;"",L248&lt;&gt;"",M248&lt;&gt;""),"ГОТОВО","НЕ ГОТОВО"))</f>
        <v/>
      </c>
      <c r="Z248" s="226">
        <f>IF(Y248&lt;&gt;"ГОТОВО","", "Предварительное заключение: "&amp;A248&amp;", скв. "&amp;B248&amp;". МРП: "&amp;E248&amp;" сут. ГНО: "&amp;F248&amp;", типоразмер "&amp;G248&amp;", марка "&amp;H248&amp;". Событие: "&amp;I248&amp;". Признак: "&amp;J248&amp;". Узел: "&amp;K248&amp;". Предварительная причина: "&amp;L248&amp;". Основное осложнение: "&amp;M248&amp;IF(N248&lt;&gt;"","; сопутствующее: "&amp;N248,"")&amp;IF(O248&lt;&gt;"","; дополнительно: "&amp;O248,"")&amp;".")</f>
        <v/>
      </c>
    </row>
    <row r="249">
      <c r="A249" s="75" t="n"/>
      <c r="B249" s="75" t="n"/>
      <c r="C249" s="261" t="n"/>
      <c r="D249" s="261" t="n"/>
      <c r="E249" s="262">
        <f>IF(OR(C249="",D249=""),"",D249-C249)</f>
        <v/>
      </c>
      <c r="F249" s="75" t="n"/>
      <c r="G249" s="75" t="n"/>
      <c r="H249" s="75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226">
        <f>IF(AND(A249="",B249=""),"",IF(AND(A249&lt;&gt;"",B249&lt;&gt;"",C249&lt;&gt;"",D249&lt;&gt;"",F249&lt;&gt;"",G249&lt;&gt;"",H249&lt;&gt;"",ISERROR(SEARCH("по паспорту",G249)),ISERROR(SEARCH("по паспорту",H249)),I249&lt;&gt;"",J249&lt;&gt;"",K249&lt;&gt;"",L249&lt;&gt;"",M249&lt;&gt;""),"ГОТОВО","НЕ ГОТОВО"))</f>
        <v/>
      </c>
      <c r="Z249" s="226">
        <f>IF(Y249&lt;&gt;"ГОТОВО","", "Предварительное заключение: "&amp;A249&amp;", скв. "&amp;B249&amp;". МРП: "&amp;E249&amp;" сут. ГНО: "&amp;F249&amp;", типоразмер "&amp;G249&amp;", марка "&amp;H249&amp;". Событие: "&amp;I249&amp;". Признак: "&amp;J249&amp;". Узел: "&amp;K249&amp;". Предварительная причина: "&amp;L249&amp;". Основное осложнение: "&amp;M249&amp;IF(N249&lt;&gt;"","; сопутствующее: "&amp;N249,"")&amp;IF(O249&lt;&gt;"","; дополнительно: "&amp;O249,"")&amp;".")</f>
        <v/>
      </c>
    </row>
    <row r="250">
      <c r="A250" s="75" t="n"/>
      <c r="B250" s="75" t="n"/>
      <c r="C250" s="261" t="n"/>
      <c r="D250" s="261" t="n"/>
      <c r="E250" s="262">
        <f>IF(OR(C250="",D250=""),"",D250-C250)</f>
        <v/>
      </c>
      <c r="F250" s="75" t="n"/>
      <c r="G250" s="75" t="n"/>
      <c r="H250" s="75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226">
        <f>IF(AND(A250="",B250=""),"",IF(AND(A250&lt;&gt;"",B250&lt;&gt;"",C250&lt;&gt;"",D250&lt;&gt;"",F250&lt;&gt;"",G250&lt;&gt;"",H250&lt;&gt;"",ISERROR(SEARCH("по паспорту",G250)),ISERROR(SEARCH("по паспорту",H250)),I250&lt;&gt;"",J250&lt;&gt;"",K250&lt;&gt;"",L250&lt;&gt;"",M250&lt;&gt;""),"ГОТОВО","НЕ ГОТОВО"))</f>
        <v/>
      </c>
      <c r="Z250" s="226">
        <f>IF(Y250&lt;&gt;"ГОТОВО","", "Предварительное заключение: "&amp;A250&amp;", скв. "&amp;B250&amp;". МРП: "&amp;E250&amp;" сут. ГНО: "&amp;F250&amp;", типоразмер "&amp;G250&amp;", марка "&amp;H250&amp;". Событие: "&amp;I250&amp;". Признак: "&amp;J250&amp;". Узел: "&amp;K250&amp;". Предварительная причина: "&amp;L250&amp;". Основное осложнение: "&amp;M250&amp;IF(N250&lt;&gt;"","; сопутствующее: "&amp;N250,"")&amp;IF(O250&lt;&gt;"","; дополнительно: "&amp;O250,"")&amp;".")</f>
        <v/>
      </c>
    </row>
    <row r="251">
      <c r="A251" s="75" t="n"/>
      <c r="B251" s="75" t="n"/>
      <c r="C251" s="261" t="n"/>
      <c r="D251" s="261" t="n"/>
      <c r="E251" s="262">
        <f>IF(OR(C251="",D251=""),"",D251-C251)</f>
        <v/>
      </c>
      <c r="F251" s="75" t="n"/>
      <c r="G251" s="75" t="n"/>
      <c r="H251" s="75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226">
        <f>IF(AND(A251="",B251=""),"",IF(AND(A251&lt;&gt;"",B251&lt;&gt;"",C251&lt;&gt;"",D251&lt;&gt;"",F251&lt;&gt;"",G251&lt;&gt;"",H251&lt;&gt;"",ISERROR(SEARCH("по паспорту",G251)),ISERROR(SEARCH("по паспорту",H251)),I251&lt;&gt;"",J251&lt;&gt;"",K251&lt;&gt;"",L251&lt;&gt;"",M251&lt;&gt;""),"ГОТОВО","НЕ ГОТОВО"))</f>
        <v/>
      </c>
      <c r="Z251" s="226">
        <f>IF(Y251&lt;&gt;"ГОТОВО","", "Предварительное заключение: "&amp;A251&amp;", скв. "&amp;B251&amp;". МРП: "&amp;E251&amp;" сут. ГНО: "&amp;F251&amp;", типоразмер "&amp;G251&amp;", марка "&amp;H251&amp;". Событие: "&amp;I251&amp;". Признак: "&amp;J251&amp;". Узел: "&amp;K251&amp;". Предварительная причина: "&amp;L251&amp;". Основное осложнение: "&amp;M251&amp;IF(N251&lt;&gt;"","; сопутствующее: "&amp;N251,"")&amp;IF(O251&lt;&gt;"","; дополнительно: "&amp;O251,"")&amp;".")</f>
        <v/>
      </c>
    </row>
    <row r="252">
      <c r="A252" s="75" t="n"/>
      <c r="B252" s="75" t="n"/>
      <c r="C252" s="261" t="n"/>
      <c r="D252" s="261" t="n"/>
      <c r="E252" s="262">
        <f>IF(OR(C252="",D252=""),"",D252-C252)</f>
        <v/>
      </c>
      <c r="F252" s="75" t="n"/>
      <c r="G252" s="75" t="n"/>
      <c r="H252" s="75" t="n"/>
      <c r="I252" s="75" t="n"/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226">
        <f>IF(AND(A252="",B252=""),"",IF(AND(A252&lt;&gt;"",B252&lt;&gt;"",C252&lt;&gt;"",D252&lt;&gt;"",F252&lt;&gt;"",G252&lt;&gt;"",H252&lt;&gt;"",ISERROR(SEARCH("по паспорту",G252)),ISERROR(SEARCH("по паспорту",H252)),I252&lt;&gt;"",J252&lt;&gt;"",K252&lt;&gt;"",L252&lt;&gt;"",M252&lt;&gt;""),"ГОТОВО","НЕ ГОТОВО"))</f>
        <v/>
      </c>
      <c r="Z252" s="226">
        <f>IF(Y252&lt;&gt;"ГОТОВО","", "Предварительное заключение: "&amp;A252&amp;", скв. "&amp;B252&amp;". МРП: "&amp;E252&amp;" сут. ГНО: "&amp;F252&amp;", типоразмер "&amp;G252&amp;", марка "&amp;H252&amp;". Событие: "&amp;I252&amp;". Признак: "&amp;J252&amp;". Узел: "&amp;K252&amp;". Предварительная причина: "&amp;L252&amp;". Основное осложнение: "&amp;M252&amp;IF(N252&lt;&gt;"","; сопутствующее: "&amp;N252,"")&amp;IF(O252&lt;&gt;"","; дополнительно: "&amp;O252,"")&amp;".")</f>
        <v/>
      </c>
    </row>
    <row r="253">
      <c r="A253" s="75" t="n"/>
      <c r="B253" s="75" t="n"/>
      <c r="C253" s="261" t="n"/>
      <c r="D253" s="261" t="n"/>
      <c r="E253" s="262">
        <f>IF(OR(C253="",D253=""),"",D253-C253)</f>
        <v/>
      </c>
      <c r="F253" s="75" t="n"/>
      <c r="G253" s="75" t="n"/>
      <c r="H253" s="75" t="n"/>
      <c r="I253" s="75" t="n"/>
      <c r="J253" s="75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226">
        <f>IF(AND(A253="",B253=""),"",IF(AND(A253&lt;&gt;"",B253&lt;&gt;"",C253&lt;&gt;"",D253&lt;&gt;"",F253&lt;&gt;"",G253&lt;&gt;"",H253&lt;&gt;"",ISERROR(SEARCH("по паспорту",G253)),ISERROR(SEARCH("по паспорту",H253)),I253&lt;&gt;"",J253&lt;&gt;"",K253&lt;&gt;"",L253&lt;&gt;"",M253&lt;&gt;""),"ГОТОВО","НЕ ГОТОВО"))</f>
        <v/>
      </c>
      <c r="Z253" s="226">
        <f>IF(Y253&lt;&gt;"ГОТОВО","", "Предварительное заключение: "&amp;A253&amp;", скв. "&amp;B253&amp;". МРП: "&amp;E253&amp;" сут. ГНО: "&amp;F253&amp;", типоразмер "&amp;G253&amp;", марка "&amp;H253&amp;". Событие: "&amp;I253&amp;". Признак: "&amp;J253&amp;". Узел: "&amp;K253&amp;". Предварительная причина: "&amp;L253&amp;". Основное осложнение: "&amp;M253&amp;IF(N253&lt;&gt;"","; сопутствующее: "&amp;N253,"")&amp;IF(O253&lt;&gt;"","; дополнительно: "&amp;O253,"")&amp;".")</f>
        <v/>
      </c>
    </row>
    <row r="254">
      <c r="A254" s="75" t="n"/>
      <c r="B254" s="75" t="n"/>
      <c r="C254" s="261" t="n"/>
      <c r="D254" s="261" t="n"/>
      <c r="E254" s="262">
        <f>IF(OR(C254="",D254=""),"",D254-C254)</f>
        <v/>
      </c>
      <c r="F254" s="75" t="n"/>
      <c r="G254" s="75" t="n"/>
      <c r="H254" s="75" t="n"/>
      <c r="I254" s="75" t="n"/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226">
        <f>IF(AND(A254="",B254=""),"",IF(AND(A254&lt;&gt;"",B254&lt;&gt;"",C254&lt;&gt;"",D254&lt;&gt;"",F254&lt;&gt;"",G254&lt;&gt;"",H254&lt;&gt;"",ISERROR(SEARCH("по паспорту",G254)),ISERROR(SEARCH("по паспорту",H254)),I254&lt;&gt;"",J254&lt;&gt;"",K254&lt;&gt;"",L254&lt;&gt;"",M254&lt;&gt;""),"ГОТОВО","НЕ ГОТОВО"))</f>
        <v/>
      </c>
      <c r="Z254" s="226">
        <f>IF(Y254&lt;&gt;"ГОТОВО","", "Предварительное заключение: "&amp;A254&amp;", скв. "&amp;B254&amp;". МРП: "&amp;E254&amp;" сут. ГНО: "&amp;F254&amp;", типоразмер "&amp;G254&amp;", марка "&amp;H254&amp;". Событие: "&amp;I254&amp;". Признак: "&amp;J254&amp;". Узел: "&amp;K254&amp;". Предварительная причина: "&amp;L254&amp;". Основное осложнение: "&amp;M254&amp;IF(N254&lt;&gt;"","; сопутствующее: "&amp;N254,"")&amp;IF(O254&lt;&gt;"","; дополнительно: "&amp;O254,"")&amp;".")</f>
        <v/>
      </c>
    </row>
    <row r="255">
      <c r="A255" s="75" t="n"/>
      <c r="B255" s="75" t="n"/>
      <c r="C255" s="261" t="n"/>
      <c r="D255" s="261" t="n"/>
      <c r="E255" s="262">
        <f>IF(OR(C255="",D255=""),"",D255-C255)</f>
        <v/>
      </c>
      <c r="F255" s="75" t="n"/>
      <c r="G255" s="75" t="n"/>
      <c r="H255" s="75" t="n"/>
      <c r="I255" s="75" t="n"/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226">
        <f>IF(AND(A255="",B255=""),"",IF(AND(A255&lt;&gt;"",B255&lt;&gt;"",C255&lt;&gt;"",D255&lt;&gt;"",F255&lt;&gt;"",G255&lt;&gt;"",H255&lt;&gt;"",ISERROR(SEARCH("по паспорту",G255)),ISERROR(SEARCH("по паспорту",H255)),I255&lt;&gt;"",J255&lt;&gt;"",K255&lt;&gt;"",L255&lt;&gt;"",M255&lt;&gt;""),"ГОТОВО","НЕ ГОТОВО"))</f>
        <v/>
      </c>
      <c r="Z255" s="226">
        <f>IF(Y255&lt;&gt;"ГОТОВО","", "Предварительное заключение: "&amp;A255&amp;", скв. "&amp;B255&amp;". МРП: "&amp;E255&amp;" сут. ГНО: "&amp;F255&amp;", типоразмер "&amp;G255&amp;", марка "&amp;H255&amp;". Событие: "&amp;I255&amp;". Признак: "&amp;J255&amp;". Узел: "&amp;K255&amp;". Предварительная причина: "&amp;L255&amp;". Основное осложнение: "&amp;M255&amp;IF(N255&lt;&gt;"","; сопутствующее: "&amp;N255,"")&amp;IF(O255&lt;&gt;"","; дополнительно: "&amp;O255,"")&amp;".")</f>
        <v/>
      </c>
    </row>
    <row r="256">
      <c r="A256" s="75" t="n"/>
      <c r="B256" s="75" t="n"/>
      <c r="C256" s="261" t="n"/>
      <c r="D256" s="261" t="n"/>
      <c r="E256" s="262">
        <f>IF(OR(C256="",D256=""),"",D256-C256)</f>
        <v/>
      </c>
      <c r="F256" s="75" t="n"/>
      <c r="G256" s="75" t="n"/>
      <c r="H256" s="75" t="n"/>
      <c r="I256" s="75" t="n"/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226">
        <f>IF(AND(A256="",B256=""),"",IF(AND(A256&lt;&gt;"",B256&lt;&gt;"",C256&lt;&gt;"",D256&lt;&gt;"",F256&lt;&gt;"",G256&lt;&gt;"",H256&lt;&gt;"",ISERROR(SEARCH("по паспорту",G256)),ISERROR(SEARCH("по паспорту",H256)),I256&lt;&gt;"",J256&lt;&gt;"",K256&lt;&gt;"",L256&lt;&gt;"",M256&lt;&gt;""),"ГОТОВО","НЕ ГОТОВО"))</f>
        <v/>
      </c>
      <c r="Z256" s="226">
        <f>IF(Y256&lt;&gt;"ГОТОВО","", "Предварительное заключение: "&amp;A256&amp;", скв. "&amp;B256&amp;". МРП: "&amp;E256&amp;" сут. ГНО: "&amp;F256&amp;", типоразмер "&amp;G256&amp;", марка "&amp;H256&amp;". Событие: "&amp;I256&amp;". Признак: "&amp;J256&amp;". Узел: "&amp;K256&amp;". Предварительная причина: "&amp;L256&amp;". Основное осложнение: "&amp;M256&amp;IF(N256&lt;&gt;"","; сопутствующее: "&amp;N256,"")&amp;IF(O256&lt;&gt;"","; дополнительно: "&amp;O256,"")&amp;".")</f>
        <v/>
      </c>
    </row>
    <row r="257">
      <c r="A257" s="75" t="n"/>
      <c r="B257" s="75" t="n"/>
      <c r="C257" s="261" t="n"/>
      <c r="D257" s="261" t="n"/>
      <c r="E257" s="262">
        <f>IF(OR(C257="",D257=""),"",D257-C257)</f>
        <v/>
      </c>
      <c r="F257" s="75" t="n"/>
      <c r="G257" s="75" t="n"/>
      <c r="H257" s="75" t="n"/>
      <c r="I257" s="75" t="n"/>
      <c r="J257" s="75" t="n"/>
      <c r="K257" s="75" t="n"/>
      <c r="L257" s="75" t="n"/>
      <c r="M257" s="75" t="n"/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226">
        <f>IF(AND(A257="",B257=""),"",IF(AND(A257&lt;&gt;"",B257&lt;&gt;"",C257&lt;&gt;"",D257&lt;&gt;"",F257&lt;&gt;"",G257&lt;&gt;"",H257&lt;&gt;"",ISERROR(SEARCH("по паспорту",G257)),ISERROR(SEARCH("по паспорту",H257)),I257&lt;&gt;"",J257&lt;&gt;"",K257&lt;&gt;"",L257&lt;&gt;"",M257&lt;&gt;""),"ГОТОВО","НЕ ГОТОВО"))</f>
        <v/>
      </c>
      <c r="Z257" s="226">
        <f>IF(Y257&lt;&gt;"ГОТОВО","", "Предварительное заключение: "&amp;A257&amp;", скв. "&amp;B257&amp;". МРП: "&amp;E257&amp;" сут. ГНО: "&amp;F257&amp;", типоразмер "&amp;G257&amp;", марка "&amp;H257&amp;". Событие: "&amp;I257&amp;". Признак: "&amp;J257&amp;". Узел: "&amp;K257&amp;". Предварительная причина: "&amp;L257&amp;". Основное осложнение: "&amp;M257&amp;IF(N257&lt;&gt;"","; сопутствующее: "&amp;N257,"")&amp;IF(O257&lt;&gt;"","; дополнительно: "&amp;O257,"")&amp;".")</f>
        <v/>
      </c>
    </row>
    <row r="258">
      <c r="A258" s="75" t="n"/>
      <c r="B258" s="75" t="n"/>
      <c r="C258" s="261" t="n"/>
      <c r="D258" s="261" t="n"/>
      <c r="E258" s="262">
        <f>IF(OR(C258="",D258=""),"",D258-C258)</f>
        <v/>
      </c>
      <c r="F258" s="75" t="n"/>
      <c r="G258" s="75" t="n"/>
      <c r="H258" s="75" t="n"/>
      <c r="I258" s="75" t="n"/>
      <c r="J258" s="75" t="n"/>
      <c r="K258" s="75" t="n"/>
      <c r="L258" s="75" t="n"/>
      <c r="M258" s="75" t="n"/>
      <c r="N258" s="75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226">
        <f>IF(AND(A258="",B258=""),"",IF(AND(A258&lt;&gt;"",B258&lt;&gt;"",C258&lt;&gt;"",D258&lt;&gt;"",F258&lt;&gt;"",G258&lt;&gt;"",H258&lt;&gt;"",ISERROR(SEARCH("по паспорту",G258)),ISERROR(SEARCH("по паспорту",H258)),I258&lt;&gt;"",J258&lt;&gt;"",K258&lt;&gt;"",L258&lt;&gt;"",M258&lt;&gt;""),"ГОТОВО","НЕ ГОТОВО"))</f>
        <v/>
      </c>
      <c r="Z258" s="226">
        <f>IF(Y258&lt;&gt;"ГОТОВО","", "Предварительное заключение: "&amp;A258&amp;", скв. "&amp;B258&amp;". МРП: "&amp;E258&amp;" сут. ГНО: "&amp;F258&amp;", типоразмер "&amp;G258&amp;", марка "&amp;H258&amp;". Событие: "&amp;I258&amp;". Признак: "&amp;J258&amp;". Узел: "&amp;K258&amp;". Предварительная причина: "&amp;L258&amp;". Основное осложнение: "&amp;M258&amp;IF(N258&lt;&gt;"","; сопутствующее: "&amp;N258,"")&amp;IF(O258&lt;&gt;"","; дополнительно: "&amp;O258,"")&amp;".")</f>
        <v/>
      </c>
    </row>
    <row r="259">
      <c r="A259" s="75" t="n"/>
      <c r="B259" s="75" t="n"/>
      <c r="C259" s="261" t="n"/>
      <c r="D259" s="261" t="n"/>
      <c r="E259" s="262">
        <f>IF(OR(C259="",D259=""),"",D259-C259)</f>
        <v/>
      </c>
      <c r="F259" s="75" t="n"/>
      <c r="G259" s="75" t="n"/>
      <c r="H259" s="75" t="n"/>
      <c r="I259" s="75" t="n"/>
      <c r="J259" s="75" t="n"/>
      <c r="K259" s="75" t="n"/>
      <c r="L259" s="75" t="n"/>
      <c r="M259" s="75" t="n"/>
      <c r="N259" s="75" t="n"/>
      <c r="O259" s="75" t="n"/>
      <c r="P259" s="75" t="n"/>
      <c r="Q259" s="75" t="n"/>
      <c r="R259" s="75" t="n"/>
      <c r="S259" s="75" t="n"/>
      <c r="T259" s="75" t="n"/>
      <c r="U259" s="75" t="n"/>
      <c r="V259" s="75" t="n"/>
      <c r="W259" s="75" t="n"/>
      <c r="X259" s="75" t="n"/>
      <c r="Y259" s="226">
        <f>IF(AND(A259="",B259=""),"",IF(AND(A259&lt;&gt;"",B259&lt;&gt;"",C259&lt;&gt;"",D259&lt;&gt;"",F259&lt;&gt;"",G259&lt;&gt;"",H259&lt;&gt;"",ISERROR(SEARCH("по паспорту",G259)),ISERROR(SEARCH("по паспорту",H259)),I259&lt;&gt;"",J259&lt;&gt;"",K259&lt;&gt;"",L259&lt;&gt;"",M259&lt;&gt;""),"ГОТОВО","НЕ ГОТОВО"))</f>
        <v/>
      </c>
      <c r="Z259" s="226">
        <f>IF(Y259&lt;&gt;"ГОТОВО","", "Предварительное заключение: "&amp;A259&amp;", скв. "&amp;B259&amp;". МРП: "&amp;E259&amp;" сут. ГНО: "&amp;F259&amp;", типоразмер "&amp;G259&amp;", марка "&amp;H259&amp;". Событие: "&amp;I259&amp;". Признак: "&amp;J259&amp;". Узел: "&amp;K259&amp;". Предварительная причина: "&amp;L259&amp;". Основное осложнение: "&amp;M259&amp;IF(N259&lt;&gt;"","; сопутствующее: "&amp;N259,"")&amp;IF(O259&lt;&gt;"","; дополнительно: "&amp;O259,"")&amp;".")</f>
        <v/>
      </c>
    </row>
    <row r="260">
      <c r="A260" s="75" t="n"/>
      <c r="B260" s="75" t="n"/>
      <c r="C260" s="261" t="n"/>
      <c r="D260" s="261" t="n"/>
      <c r="E260" s="262">
        <f>IF(OR(C260="",D260=""),"",D260-C260)</f>
        <v/>
      </c>
      <c r="F260" s="75" t="n"/>
      <c r="G260" s="75" t="n"/>
      <c r="H260" s="75" t="n"/>
      <c r="I260" s="75" t="n"/>
      <c r="J260" s="75" t="n"/>
      <c r="K260" s="75" t="n"/>
      <c r="L260" s="75" t="n"/>
      <c r="M260" s="75" t="n"/>
      <c r="N260" s="75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226">
        <f>IF(AND(A260="",B260=""),"",IF(AND(A260&lt;&gt;"",B260&lt;&gt;"",C260&lt;&gt;"",D260&lt;&gt;"",F260&lt;&gt;"",G260&lt;&gt;"",H260&lt;&gt;"",ISERROR(SEARCH("по паспорту",G260)),ISERROR(SEARCH("по паспорту",H260)),I260&lt;&gt;"",J260&lt;&gt;"",K260&lt;&gt;"",L260&lt;&gt;"",M260&lt;&gt;""),"ГОТОВО","НЕ ГОТОВО"))</f>
        <v/>
      </c>
      <c r="Z260" s="226">
        <f>IF(Y260&lt;&gt;"ГОТОВО","", "Предварительное заключение: "&amp;A260&amp;", скв. "&amp;B260&amp;". МРП: "&amp;E260&amp;" сут. ГНО: "&amp;F260&amp;", типоразмер "&amp;G260&amp;", марка "&amp;H260&amp;". Событие: "&amp;I260&amp;". Признак: "&amp;J260&amp;". Узел: "&amp;K260&amp;". Предварительная причина: "&amp;L260&amp;". Основное осложнение: "&amp;M260&amp;IF(N260&lt;&gt;"","; сопутствующее: "&amp;N260,"")&amp;IF(O260&lt;&gt;"","; дополнительно: "&amp;O260,"")&amp;".")</f>
        <v/>
      </c>
    </row>
    <row r="261">
      <c r="A261" s="75" t="n"/>
      <c r="B261" s="75" t="n"/>
      <c r="C261" s="261" t="n"/>
      <c r="D261" s="261" t="n"/>
      <c r="E261" s="262">
        <f>IF(OR(C261="",D261=""),"",D261-C261)</f>
        <v/>
      </c>
      <c r="F261" s="75" t="n"/>
      <c r="G261" s="75" t="n"/>
      <c r="H261" s="75" t="n"/>
      <c r="I261" s="75" t="n"/>
      <c r="J261" s="75" t="n"/>
      <c r="K261" s="75" t="n"/>
      <c r="L261" s="75" t="n"/>
      <c r="M261" s="75" t="n"/>
      <c r="N261" s="75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226">
        <f>IF(AND(A261="",B261=""),"",IF(AND(A261&lt;&gt;"",B261&lt;&gt;"",C261&lt;&gt;"",D261&lt;&gt;"",F261&lt;&gt;"",G261&lt;&gt;"",H261&lt;&gt;"",ISERROR(SEARCH("по паспорту",G261)),ISERROR(SEARCH("по паспорту",H261)),I261&lt;&gt;"",J261&lt;&gt;"",K261&lt;&gt;"",L261&lt;&gt;"",M261&lt;&gt;""),"ГОТОВО","НЕ ГОТОВО"))</f>
        <v/>
      </c>
      <c r="Z261" s="226">
        <f>IF(Y261&lt;&gt;"ГОТОВО","", "Предварительное заключение: "&amp;A261&amp;", скв. "&amp;B261&amp;". МРП: "&amp;E261&amp;" сут. ГНО: "&amp;F261&amp;", типоразмер "&amp;G261&amp;", марка "&amp;H261&amp;". Событие: "&amp;I261&amp;". Признак: "&amp;J261&amp;". Узел: "&amp;K261&amp;". Предварительная причина: "&amp;L261&amp;". Основное осложнение: "&amp;M261&amp;IF(N261&lt;&gt;"","; сопутствующее: "&amp;N261,"")&amp;IF(O261&lt;&gt;"","; дополнительно: "&amp;O261,"")&amp;".")</f>
        <v/>
      </c>
    </row>
    <row r="262">
      <c r="A262" s="75" t="n"/>
      <c r="B262" s="75" t="n"/>
      <c r="C262" s="261" t="n"/>
      <c r="D262" s="261" t="n"/>
      <c r="E262" s="262">
        <f>IF(OR(C262="",D262=""),"",D262-C262)</f>
        <v/>
      </c>
      <c r="F262" s="75" t="n"/>
      <c r="G262" s="75" t="n"/>
      <c r="H262" s="75" t="n"/>
      <c r="I262" s="75" t="n"/>
      <c r="J262" s="75" t="n"/>
      <c r="K262" s="75" t="n"/>
      <c r="L262" s="75" t="n"/>
      <c r="M262" s="75" t="n"/>
      <c r="N262" s="75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226">
        <f>IF(AND(A262="",B262=""),"",IF(AND(A262&lt;&gt;"",B262&lt;&gt;"",C262&lt;&gt;"",D262&lt;&gt;"",F262&lt;&gt;"",G262&lt;&gt;"",H262&lt;&gt;"",ISERROR(SEARCH("по паспорту",G262)),ISERROR(SEARCH("по паспорту",H262)),I262&lt;&gt;"",J262&lt;&gt;"",K262&lt;&gt;"",L262&lt;&gt;"",M262&lt;&gt;""),"ГОТОВО","НЕ ГОТОВО"))</f>
        <v/>
      </c>
      <c r="Z262" s="226">
        <f>IF(Y262&lt;&gt;"ГОТОВО","", "Предварительное заключение: "&amp;A262&amp;", скв. "&amp;B262&amp;". МРП: "&amp;E262&amp;" сут. ГНО: "&amp;F262&amp;", типоразмер "&amp;G262&amp;", марка "&amp;H262&amp;". Событие: "&amp;I262&amp;". Признак: "&amp;J262&amp;". Узел: "&amp;K262&amp;". Предварительная причина: "&amp;L262&amp;". Основное осложнение: "&amp;M262&amp;IF(N262&lt;&gt;"","; сопутствующее: "&amp;N262,"")&amp;IF(O262&lt;&gt;"","; дополнительно: "&amp;O262,"")&amp;".")</f>
        <v/>
      </c>
    </row>
    <row r="263">
      <c r="A263" s="75" t="n"/>
      <c r="B263" s="75" t="n"/>
      <c r="C263" s="261" t="n"/>
      <c r="D263" s="261" t="n"/>
      <c r="E263" s="262">
        <f>IF(OR(C263="",D263=""),"",D263-C263)</f>
        <v/>
      </c>
      <c r="F263" s="75" t="n"/>
      <c r="G263" s="75" t="n"/>
      <c r="H263" s="75" t="n"/>
      <c r="I263" s="75" t="n"/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226">
        <f>IF(AND(A263="",B263=""),"",IF(AND(A263&lt;&gt;"",B263&lt;&gt;"",C263&lt;&gt;"",D263&lt;&gt;"",F263&lt;&gt;"",G263&lt;&gt;"",H263&lt;&gt;"",ISERROR(SEARCH("по паспорту",G263)),ISERROR(SEARCH("по паспорту",H263)),I263&lt;&gt;"",J263&lt;&gt;"",K263&lt;&gt;"",L263&lt;&gt;"",M263&lt;&gt;""),"ГОТОВО","НЕ ГОТОВО"))</f>
        <v/>
      </c>
      <c r="Z263" s="226">
        <f>IF(Y263&lt;&gt;"ГОТОВО","", "Предварительное заключение: "&amp;A263&amp;", скв. "&amp;B263&amp;". МРП: "&amp;E263&amp;" сут. ГНО: "&amp;F263&amp;", типоразмер "&amp;G263&amp;", марка "&amp;H263&amp;". Событие: "&amp;I263&amp;". Признак: "&amp;J263&amp;". Узел: "&amp;K263&amp;". Предварительная причина: "&amp;L263&amp;". Основное осложнение: "&amp;M263&amp;IF(N263&lt;&gt;"","; сопутствующее: "&amp;N263,"")&amp;IF(O263&lt;&gt;"","; дополнительно: "&amp;O263,"")&amp;".")</f>
        <v/>
      </c>
    </row>
    <row r="264">
      <c r="A264" s="75" t="n"/>
      <c r="B264" s="75" t="n"/>
      <c r="C264" s="261" t="n"/>
      <c r="D264" s="261" t="n"/>
      <c r="E264" s="262">
        <f>IF(OR(C264="",D264=""),"",D264-C264)</f>
        <v/>
      </c>
      <c r="F264" s="75" t="n"/>
      <c r="G264" s="75" t="n"/>
      <c r="H264" s="75" t="n"/>
      <c r="I264" s="75" t="n"/>
      <c r="J264" s="75" t="n"/>
      <c r="K264" s="75" t="n"/>
      <c r="L264" s="75" t="n"/>
      <c r="M264" s="75" t="n"/>
      <c r="N264" s="75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226">
        <f>IF(AND(A264="",B264=""),"",IF(AND(A264&lt;&gt;"",B264&lt;&gt;"",C264&lt;&gt;"",D264&lt;&gt;"",F264&lt;&gt;"",G264&lt;&gt;"",H264&lt;&gt;"",ISERROR(SEARCH("по паспорту",G264)),ISERROR(SEARCH("по паспорту",H264)),I264&lt;&gt;"",J264&lt;&gt;"",K264&lt;&gt;"",L264&lt;&gt;"",M264&lt;&gt;""),"ГОТОВО","НЕ ГОТОВО"))</f>
        <v/>
      </c>
      <c r="Z264" s="226">
        <f>IF(Y264&lt;&gt;"ГОТОВО","", "Предварительное заключение: "&amp;A264&amp;", скв. "&amp;B264&amp;". МРП: "&amp;E264&amp;" сут. ГНО: "&amp;F264&amp;", типоразмер "&amp;G264&amp;", марка "&amp;H264&amp;". Событие: "&amp;I264&amp;". Признак: "&amp;J264&amp;". Узел: "&amp;K264&amp;". Предварительная причина: "&amp;L264&amp;". Основное осложнение: "&amp;M264&amp;IF(N264&lt;&gt;"","; сопутствующее: "&amp;N264,"")&amp;IF(O264&lt;&gt;"","; дополнительно: "&amp;O264,"")&amp;".")</f>
        <v/>
      </c>
    </row>
    <row r="265">
      <c r="A265" s="75" t="n"/>
      <c r="B265" s="75" t="n"/>
      <c r="C265" s="261" t="n"/>
      <c r="D265" s="261" t="n"/>
      <c r="E265" s="262">
        <f>IF(OR(C265="",D265=""),"",D265-C265)</f>
        <v/>
      </c>
      <c r="F265" s="75" t="n"/>
      <c r="G265" s="75" t="n"/>
      <c r="H265" s="75" t="n"/>
      <c r="I265" s="75" t="n"/>
      <c r="J265" s="75" t="n"/>
      <c r="K265" s="75" t="n"/>
      <c r="L265" s="75" t="n"/>
      <c r="M265" s="75" t="n"/>
      <c r="N265" s="75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226">
        <f>IF(AND(A265="",B265=""),"",IF(AND(A265&lt;&gt;"",B265&lt;&gt;"",C265&lt;&gt;"",D265&lt;&gt;"",F265&lt;&gt;"",G265&lt;&gt;"",H265&lt;&gt;"",ISERROR(SEARCH("по паспорту",G265)),ISERROR(SEARCH("по паспорту",H265)),I265&lt;&gt;"",J265&lt;&gt;"",K265&lt;&gt;"",L265&lt;&gt;"",M265&lt;&gt;""),"ГОТОВО","НЕ ГОТОВО"))</f>
        <v/>
      </c>
      <c r="Z265" s="226">
        <f>IF(Y265&lt;&gt;"ГОТОВО","", "Предварительное заключение: "&amp;A265&amp;", скв. "&amp;B265&amp;". МРП: "&amp;E265&amp;" сут. ГНО: "&amp;F265&amp;", типоразмер "&amp;G265&amp;", марка "&amp;H265&amp;". Событие: "&amp;I265&amp;". Признак: "&amp;J265&amp;". Узел: "&amp;K265&amp;". Предварительная причина: "&amp;L265&amp;". Основное осложнение: "&amp;M265&amp;IF(N265&lt;&gt;"","; сопутствующее: "&amp;N265,"")&amp;IF(O265&lt;&gt;"","; дополнительно: "&amp;O265,"")&amp;".")</f>
        <v/>
      </c>
    </row>
    <row r="266">
      <c r="A266" s="75" t="n"/>
      <c r="B266" s="75" t="n"/>
      <c r="C266" s="261" t="n"/>
      <c r="D266" s="261" t="n"/>
      <c r="E266" s="262">
        <f>IF(OR(C266="",D266=""),"",D266-C266)</f>
        <v/>
      </c>
      <c r="F266" s="75" t="n"/>
      <c r="G266" s="75" t="n"/>
      <c r="H266" s="75" t="n"/>
      <c r="I266" s="75" t="n"/>
      <c r="J266" s="75" t="n"/>
      <c r="K266" s="75" t="n"/>
      <c r="L266" s="75" t="n"/>
      <c r="M266" s="75" t="n"/>
      <c r="N266" s="75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226">
        <f>IF(AND(A266="",B266=""),"",IF(AND(A266&lt;&gt;"",B266&lt;&gt;"",C266&lt;&gt;"",D266&lt;&gt;"",F266&lt;&gt;"",G266&lt;&gt;"",H266&lt;&gt;"",ISERROR(SEARCH("по паспорту",G266)),ISERROR(SEARCH("по паспорту",H266)),I266&lt;&gt;"",J266&lt;&gt;"",K266&lt;&gt;"",L266&lt;&gt;"",M266&lt;&gt;""),"ГОТОВО","НЕ ГОТОВО"))</f>
        <v/>
      </c>
      <c r="Z266" s="226">
        <f>IF(Y266&lt;&gt;"ГОТОВО","", "Предварительное заключение: "&amp;A266&amp;", скв. "&amp;B266&amp;". МРП: "&amp;E266&amp;" сут. ГНО: "&amp;F266&amp;", типоразмер "&amp;G266&amp;", марка "&amp;H266&amp;". Событие: "&amp;I266&amp;". Признак: "&amp;J266&amp;". Узел: "&amp;K266&amp;". Предварительная причина: "&amp;L266&amp;". Основное осложнение: "&amp;M266&amp;IF(N266&lt;&gt;"","; сопутствующее: "&amp;N266,"")&amp;IF(O266&lt;&gt;"","; дополнительно: "&amp;O266,"")&amp;".")</f>
        <v/>
      </c>
    </row>
    <row r="267">
      <c r="A267" s="75" t="n"/>
      <c r="B267" s="75" t="n"/>
      <c r="C267" s="261" t="n"/>
      <c r="D267" s="261" t="n"/>
      <c r="E267" s="262">
        <f>IF(OR(C267="",D267=""),"",D267-C267)</f>
        <v/>
      </c>
      <c r="F267" s="75" t="n"/>
      <c r="G267" s="75" t="n"/>
      <c r="H267" s="75" t="n"/>
      <c r="I267" s="75" t="n"/>
      <c r="J267" s="75" t="n"/>
      <c r="K267" s="75" t="n"/>
      <c r="L267" s="75" t="n"/>
      <c r="M267" s="75" t="n"/>
      <c r="N267" s="75" t="n"/>
      <c r="O267" s="75" t="n"/>
      <c r="P267" s="75" t="n"/>
      <c r="Q267" s="75" t="n"/>
      <c r="R267" s="75" t="n"/>
      <c r="S267" s="75" t="n"/>
      <c r="T267" s="75" t="n"/>
      <c r="U267" s="75" t="n"/>
      <c r="V267" s="75" t="n"/>
      <c r="W267" s="75" t="n"/>
      <c r="X267" s="75" t="n"/>
      <c r="Y267" s="226">
        <f>IF(AND(A267="",B267=""),"",IF(AND(A267&lt;&gt;"",B267&lt;&gt;"",C267&lt;&gt;"",D267&lt;&gt;"",F267&lt;&gt;"",G267&lt;&gt;"",H267&lt;&gt;"",ISERROR(SEARCH("по паспорту",G267)),ISERROR(SEARCH("по паспорту",H267)),I267&lt;&gt;"",J267&lt;&gt;"",K267&lt;&gt;"",L267&lt;&gt;"",M267&lt;&gt;""),"ГОТОВО","НЕ ГОТОВО"))</f>
        <v/>
      </c>
      <c r="Z267" s="226">
        <f>IF(Y267&lt;&gt;"ГОТОВО","", "Предварительное заключение: "&amp;A267&amp;", скв. "&amp;B267&amp;". МРП: "&amp;E267&amp;" сут. ГНО: "&amp;F267&amp;", типоразмер "&amp;G267&amp;", марка "&amp;H267&amp;". Событие: "&amp;I267&amp;". Признак: "&amp;J267&amp;". Узел: "&amp;K267&amp;". Предварительная причина: "&amp;L267&amp;". Основное осложнение: "&amp;M267&amp;IF(N267&lt;&gt;"","; сопутствующее: "&amp;N267,"")&amp;IF(O267&lt;&gt;"","; дополнительно: "&amp;O267,"")&amp;".")</f>
        <v/>
      </c>
    </row>
    <row r="268">
      <c r="A268" s="75" t="n"/>
      <c r="B268" s="75" t="n"/>
      <c r="C268" s="261" t="n"/>
      <c r="D268" s="261" t="n"/>
      <c r="E268" s="262">
        <f>IF(OR(C268="",D268=""),"",D268-C268)</f>
        <v/>
      </c>
      <c r="F268" s="75" t="n"/>
      <c r="G268" s="75" t="n"/>
      <c r="H268" s="75" t="n"/>
      <c r="I268" s="75" t="n"/>
      <c r="J268" s="75" t="n"/>
      <c r="K268" s="75" t="n"/>
      <c r="L268" s="75" t="n"/>
      <c r="M268" s="75" t="n"/>
      <c r="N268" s="75" t="n"/>
      <c r="O268" s="75" t="n"/>
      <c r="P268" s="75" t="n"/>
      <c r="Q268" s="75" t="n"/>
      <c r="R268" s="75" t="n"/>
      <c r="S268" s="75" t="n"/>
      <c r="T268" s="75" t="n"/>
      <c r="U268" s="75" t="n"/>
      <c r="V268" s="75" t="n"/>
      <c r="W268" s="75" t="n"/>
      <c r="X268" s="75" t="n"/>
      <c r="Y268" s="226">
        <f>IF(AND(A268="",B268=""),"",IF(AND(A268&lt;&gt;"",B268&lt;&gt;"",C268&lt;&gt;"",D268&lt;&gt;"",F268&lt;&gt;"",G268&lt;&gt;"",H268&lt;&gt;"",ISERROR(SEARCH("по паспорту",G268)),ISERROR(SEARCH("по паспорту",H268)),I268&lt;&gt;"",J268&lt;&gt;"",K268&lt;&gt;"",L268&lt;&gt;"",M268&lt;&gt;""),"ГОТОВО","НЕ ГОТОВО"))</f>
        <v/>
      </c>
      <c r="Z268" s="226">
        <f>IF(Y268&lt;&gt;"ГОТОВО","", "Предварительное заключение: "&amp;A268&amp;", скв. "&amp;B268&amp;". МРП: "&amp;E268&amp;" сут. ГНО: "&amp;F268&amp;", типоразмер "&amp;G268&amp;", марка "&amp;H268&amp;". Событие: "&amp;I268&amp;". Признак: "&amp;J268&amp;". Узел: "&amp;K268&amp;". Предварительная причина: "&amp;L268&amp;". Основное осложнение: "&amp;M268&amp;IF(N268&lt;&gt;"","; сопутствующее: "&amp;N268,"")&amp;IF(O268&lt;&gt;"","; дополнительно: "&amp;O268,"")&amp;".")</f>
        <v/>
      </c>
    </row>
    <row r="269">
      <c r="A269" s="75" t="n"/>
      <c r="B269" s="75" t="n"/>
      <c r="C269" s="261" t="n"/>
      <c r="D269" s="261" t="n"/>
      <c r="E269" s="262">
        <f>IF(OR(C269="",D269=""),"",D269-C269)</f>
        <v/>
      </c>
      <c r="F269" s="75" t="n"/>
      <c r="G269" s="75" t="n"/>
      <c r="H269" s="75" t="n"/>
      <c r="I269" s="75" t="n"/>
      <c r="J269" s="75" t="n"/>
      <c r="K269" s="75" t="n"/>
      <c r="L269" s="75" t="n"/>
      <c r="M269" s="75" t="n"/>
      <c r="N269" s="75" t="n"/>
      <c r="O269" s="75" t="n"/>
      <c r="P269" s="75" t="n"/>
      <c r="Q269" s="75" t="n"/>
      <c r="R269" s="75" t="n"/>
      <c r="S269" s="75" t="n"/>
      <c r="T269" s="75" t="n"/>
      <c r="U269" s="75" t="n"/>
      <c r="V269" s="75" t="n"/>
      <c r="W269" s="75" t="n"/>
      <c r="X269" s="75" t="n"/>
      <c r="Y269" s="226">
        <f>IF(AND(A269="",B269=""),"",IF(AND(A269&lt;&gt;"",B269&lt;&gt;"",C269&lt;&gt;"",D269&lt;&gt;"",F269&lt;&gt;"",G269&lt;&gt;"",H269&lt;&gt;"",ISERROR(SEARCH("по паспорту",G269)),ISERROR(SEARCH("по паспорту",H269)),I269&lt;&gt;"",J269&lt;&gt;"",K269&lt;&gt;"",L269&lt;&gt;"",M269&lt;&gt;""),"ГОТОВО","НЕ ГОТОВО"))</f>
        <v/>
      </c>
      <c r="Z269" s="226">
        <f>IF(Y269&lt;&gt;"ГОТОВО","", "Предварительное заключение: "&amp;A269&amp;", скв. "&amp;B269&amp;". МРП: "&amp;E269&amp;" сут. ГНО: "&amp;F269&amp;", типоразмер "&amp;G269&amp;", марка "&amp;H269&amp;". Событие: "&amp;I269&amp;". Признак: "&amp;J269&amp;". Узел: "&amp;K269&amp;". Предварительная причина: "&amp;L269&amp;". Основное осложнение: "&amp;M269&amp;IF(N269&lt;&gt;"","; сопутствующее: "&amp;N269,"")&amp;IF(O269&lt;&gt;"","; дополнительно: "&amp;O269,"")&amp;".")</f>
        <v/>
      </c>
    </row>
    <row r="270">
      <c r="A270" s="75" t="n"/>
      <c r="B270" s="75" t="n"/>
      <c r="C270" s="261" t="n"/>
      <c r="D270" s="261" t="n"/>
      <c r="E270" s="262">
        <f>IF(OR(C270="",D270=""),"",D270-C270)</f>
        <v/>
      </c>
      <c r="F270" s="75" t="n"/>
      <c r="G270" s="75" t="n"/>
      <c r="H270" s="75" t="n"/>
      <c r="I270" s="75" t="n"/>
      <c r="J270" s="75" t="n"/>
      <c r="K270" s="75" t="n"/>
      <c r="L270" s="75" t="n"/>
      <c r="M270" s="75" t="n"/>
      <c r="N270" s="75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226">
        <f>IF(AND(A270="",B270=""),"",IF(AND(A270&lt;&gt;"",B270&lt;&gt;"",C270&lt;&gt;"",D270&lt;&gt;"",F270&lt;&gt;"",G270&lt;&gt;"",H270&lt;&gt;"",ISERROR(SEARCH("по паспорту",G270)),ISERROR(SEARCH("по паспорту",H270)),I270&lt;&gt;"",J270&lt;&gt;"",K270&lt;&gt;"",L270&lt;&gt;"",M270&lt;&gt;""),"ГОТОВО","НЕ ГОТОВО"))</f>
        <v/>
      </c>
      <c r="Z270" s="226">
        <f>IF(Y270&lt;&gt;"ГОТОВО","", "Предварительное заключение: "&amp;A270&amp;", скв. "&amp;B270&amp;". МРП: "&amp;E270&amp;" сут. ГНО: "&amp;F270&amp;", типоразмер "&amp;G270&amp;", марка "&amp;H270&amp;". Событие: "&amp;I270&amp;". Признак: "&amp;J270&amp;". Узел: "&amp;K270&amp;". Предварительная причина: "&amp;L270&amp;". Основное осложнение: "&amp;M270&amp;IF(N270&lt;&gt;"","; сопутствующее: "&amp;N270,"")&amp;IF(O270&lt;&gt;"","; дополнительно: "&amp;O270,"")&amp;".")</f>
        <v/>
      </c>
    </row>
    <row r="271">
      <c r="A271" s="75" t="n"/>
      <c r="B271" s="75" t="n"/>
      <c r="C271" s="261" t="n"/>
      <c r="D271" s="261" t="n"/>
      <c r="E271" s="262">
        <f>IF(OR(C271="",D271=""),"",D271-C271)</f>
        <v/>
      </c>
      <c r="F271" s="75" t="n"/>
      <c r="G271" s="75" t="n"/>
      <c r="H271" s="75" t="n"/>
      <c r="I271" s="75" t="n"/>
      <c r="J271" s="75" t="n"/>
      <c r="K271" s="75" t="n"/>
      <c r="L271" s="75" t="n"/>
      <c r="M271" s="75" t="n"/>
      <c r="N271" s="75" t="n"/>
      <c r="O271" s="75" t="n"/>
      <c r="P271" s="75" t="n"/>
      <c r="Q271" s="75" t="n"/>
      <c r="R271" s="75" t="n"/>
      <c r="S271" s="75" t="n"/>
      <c r="T271" s="75" t="n"/>
      <c r="U271" s="75" t="n"/>
      <c r="V271" s="75" t="n"/>
      <c r="W271" s="75" t="n"/>
      <c r="X271" s="75" t="n"/>
      <c r="Y271" s="226">
        <f>IF(AND(A271="",B271=""),"",IF(AND(A271&lt;&gt;"",B271&lt;&gt;"",C271&lt;&gt;"",D271&lt;&gt;"",F271&lt;&gt;"",G271&lt;&gt;"",H271&lt;&gt;"",ISERROR(SEARCH("по паспорту",G271)),ISERROR(SEARCH("по паспорту",H271)),I271&lt;&gt;"",J271&lt;&gt;"",K271&lt;&gt;"",L271&lt;&gt;"",M271&lt;&gt;""),"ГОТОВО","НЕ ГОТОВО"))</f>
        <v/>
      </c>
      <c r="Z271" s="226">
        <f>IF(Y271&lt;&gt;"ГОТОВО","", "Предварительное заключение: "&amp;A271&amp;", скв. "&amp;B271&amp;". МРП: "&amp;E271&amp;" сут. ГНО: "&amp;F271&amp;", типоразмер "&amp;G271&amp;", марка "&amp;H271&amp;". Событие: "&amp;I271&amp;". Признак: "&amp;J271&amp;". Узел: "&amp;K271&amp;". Предварительная причина: "&amp;L271&amp;". Основное осложнение: "&amp;M271&amp;IF(N271&lt;&gt;"","; сопутствующее: "&amp;N271,"")&amp;IF(O271&lt;&gt;"","; дополнительно: "&amp;O271,"")&amp;".")</f>
        <v/>
      </c>
    </row>
    <row r="272">
      <c r="A272" s="75" t="n"/>
      <c r="B272" s="75" t="n"/>
      <c r="C272" s="261" t="n"/>
      <c r="D272" s="261" t="n"/>
      <c r="E272" s="262">
        <f>IF(OR(C272="",D272=""),"",D272-C272)</f>
        <v/>
      </c>
      <c r="F272" s="75" t="n"/>
      <c r="G272" s="75" t="n"/>
      <c r="H272" s="75" t="n"/>
      <c r="I272" s="75" t="n"/>
      <c r="J272" s="75" t="n"/>
      <c r="K272" s="75" t="n"/>
      <c r="L272" s="75" t="n"/>
      <c r="M272" s="75" t="n"/>
      <c r="N272" s="75" t="n"/>
      <c r="O272" s="75" t="n"/>
      <c r="P272" s="75" t="n"/>
      <c r="Q272" s="75" t="n"/>
      <c r="R272" s="75" t="n"/>
      <c r="S272" s="75" t="n"/>
      <c r="T272" s="75" t="n"/>
      <c r="U272" s="75" t="n"/>
      <c r="V272" s="75" t="n"/>
      <c r="W272" s="75" t="n"/>
      <c r="X272" s="75" t="n"/>
      <c r="Y272" s="226">
        <f>IF(AND(A272="",B272=""),"",IF(AND(A272&lt;&gt;"",B272&lt;&gt;"",C272&lt;&gt;"",D272&lt;&gt;"",F272&lt;&gt;"",G272&lt;&gt;"",H272&lt;&gt;"",ISERROR(SEARCH("по паспорту",G272)),ISERROR(SEARCH("по паспорту",H272)),I272&lt;&gt;"",J272&lt;&gt;"",K272&lt;&gt;"",L272&lt;&gt;"",M272&lt;&gt;""),"ГОТОВО","НЕ ГОТОВО"))</f>
        <v/>
      </c>
      <c r="Z272" s="226">
        <f>IF(Y272&lt;&gt;"ГОТОВО","", "Предварительное заключение: "&amp;A272&amp;", скв. "&amp;B272&amp;". МРП: "&amp;E272&amp;" сут. ГНО: "&amp;F272&amp;", типоразмер "&amp;G272&amp;", марка "&amp;H272&amp;". Событие: "&amp;I272&amp;". Признак: "&amp;J272&amp;". Узел: "&amp;K272&amp;". Предварительная причина: "&amp;L272&amp;". Основное осложнение: "&amp;M272&amp;IF(N272&lt;&gt;"","; сопутствующее: "&amp;N272,"")&amp;IF(O272&lt;&gt;"","; дополнительно: "&amp;O272,"")&amp;".")</f>
        <v/>
      </c>
    </row>
    <row r="273">
      <c r="A273" s="75" t="n"/>
      <c r="B273" s="75" t="n"/>
      <c r="C273" s="261" t="n"/>
      <c r="D273" s="261" t="n"/>
      <c r="E273" s="262">
        <f>IF(OR(C273="",D273=""),"",D273-C273)</f>
        <v/>
      </c>
      <c r="F273" s="75" t="n"/>
      <c r="G273" s="75" t="n"/>
      <c r="H273" s="75" t="n"/>
      <c r="I273" s="75" t="n"/>
      <c r="J273" s="75" t="n"/>
      <c r="K273" s="75" t="n"/>
      <c r="L273" s="75" t="n"/>
      <c r="M273" s="75" t="n"/>
      <c r="N273" s="75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226">
        <f>IF(AND(A273="",B273=""),"",IF(AND(A273&lt;&gt;"",B273&lt;&gt;"",C273&lt;&gt;"",D273&lt;&gt;"",F273&lt;&gt;"",G273&lt;&gt;"",H273&lt;&gt;"",ISERROR(SEARCH("по паспорту",G273)),ISERROR(SEARCH("по паспорту",H273)),I273&lt;&gt;"",J273&lt;&gt;"",K273&lt;&gt;"",L273&lt;&gt;"",M273&lt;&gt;""),"ГОТОВО","НЕ ГОТОВО"))</f>
        <v/>
      </c>
      <c r="Z273" s="226">
        <f>IF(Y273&lt;&gt;"ГОТОВО","", "Предварительное заключение: "&amp;A273&amp;", скв. "&amp;B273&amp;". МРП: "&amp;E273&amp;" сут. ГНО: "&amp;F273&amp;", типоразмер "&amp;G273&amp;", марка "&amp;H273&amp;". Событие: "&amp;I273&amp;". Признак: "&amp;J273&amp;". Узел: "&amp;K273&amp;". Предварительная причина: "&amp;L273&amp;". Основное осложнение: "&amp;M273&amp;IF(N273&lt;&gt;"","; сопутствующее: "&amp;N273,"")&amp;IF(O273&lt;&gt;"","; дополнительно: "&amp;O273,"")&amp;".")</f>
        <v/>
      </c>
    </row>
    <row r="274">
      <c r="A274" s="75" t="n"/>
      <c r="B274" s="75" t="n"/>
      <c r="C274" s="261" t="n"/>
      <c r="D274" s="261" t="n"/>
      <c r="E274" s="262">
        <f>IF(OR(C274="",D274=""),"",D274-C274)</f>
        <v/>
      </c>
      <c r="F274" s="75" t="n"/>
      <c r="G274" s="75" t="n"/>
      <c r="H274" s="75" t="n"/>
      <c r="I274" s="75" t="n"/>
      <c r="J274" s="75" t="n"/>
      <c r="K274" s="75" t="n"/>
      <c r="L274" s="75" t="n"/>
      <c r="M274" s="75" t="n"/>
      <c r="N274" s="75" t="n"/>
      <c r="O274" s="75" t="n"/>
      <c r="P274" s="75" t="n"/>
      <c r="Q274" s="75" t="n"/>
      <c r="R274" s="75" t="n"/>
      <c r="S274" s="75" t="n"/>
      <c r="T274" s="75" t="n"/>
      <c r="U274" s="75" t="n"/>
      <c r="V274" s="75" t="n"/>
      <c r="W274" s="75" t="n"/>
      <c r="X274" s="75" t="n"/>
      <c r="Y274" s="226">
        <f>IF(AND(A274="",B274=""),"",IF(AND(A274&lt;&gt;"",B274&lt;&gt;"",C274&lt;&gt;"",D274&lt;&gt;"",F274&lt;&gt;"",G274&lt;&gt;"",H274&lt;&gt;"",ISERROR(SEARCH("по паспорту",G274)),ISERROR(SEARCH("по паспорту",H274)),I274&lt;&gt;"",J274&lt;&gt;"",K274&lt;&gt;"",L274&lt;&gt;"",M274&lt;&gt;""),"ГОТОВО","НЕ ГОТОВО"))</f>
        <v/>
      </c>
      <c r="Z274" s="226">
        <f>IF(Y274&lt;&gt;"ГОТОВО","", "Предварительное заключение: "&amp;A274&amp;", скв. "&amp;B274&amp;". МРП: "&amp;E274&amp;" сут. ГНО: "&amp;F274&amp;", типоразмер "&amp;G274&amp;", марка "&amp;H274&amp;". Событие: "&amp;I274&amp;". Признак: "&amp;J274&amp;". Узел: "&amp;K274&amp;". Предварительная причина: "&amp;L274&amp;". Основное осложнение: "&amp;M274&amp;IF(N274&lt;&gt;"","; сопутствующее: "&amp;N274,"")&amp;IF(O274&lt;&gt;"","; дополнительно: "&amp;O274,"")&amp;".")</f>
        <v/>
      </c>
    </row>
    <row r="275">
      <c r="A275" s="75" t="n"/>
      <c r="B275" s="75" t="n"/>
      <c r="C275" s="261" t="n"/>
      <c r="D275" s="261" t="n"/>
      <c r="E275" s="262">
        <f>IF(OR(C275="",D275=""),"",D275-C275)</f>
        <v/>
      </c>
      <c r="F275" s="75" t="n"/>
      <c r="G275" s="75" t="n"/>
      <c r="H275" s="75" t="n"/>
      <c r="I275" s="75" t="n"/>
      <c r="J275" s="75" t="n"/>
      <c r="K275" s="75" t="n"/>
      <c r="L275" s="75" t="n"/>
      <c r="M275" s="75" t="n"/>
      <c r="N275" s="75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226">
        <f>IF(AND(A275="",B275=""),"",IF(AND(A275&lt;&gt;"",B275&lt;&gt;"",C275&lt;&gt;"",D275&lt;&gt;"",F275&lt;&gt;"",G275&lt;&gt;"",H275&lt;&gt;"",ISERROR(SEARCH("по паспорту",G275)),ISERROR(SEARCH("по паспорту",H275)),I275&lt;&gt;"",J275&lt;&gt;"",K275&lt;&gt;"",L275&lt;&gt;"",M275&lt;&gt;""),"ГОТОВО","НЕ ГОТОВО"))</f>
        <v/>
      </c>
      <c r="Z275" s="226">
        <f>IF(Y275&lt;&gt;"ГОТОВО","", "Предварительное заключение: "&amp;A275&amp;", скв. "&amp;B275&amp;". МРП: "&amp;E275&amp;" сут. ГНО: "&amp;F275&amp;", типоразмер "&amp;G275&amp;", марка "&amp;H275&amp;". Событие: "&amp;I275&amp;". Признак: "&amp;J275&amp;". Узел: "&amp;K275&amp;". Предварительная причина: "&amp;L275&amp;". Основное осложнение: "&amp;M275&amp;IF(N275&lt;&gt;"","; сопутствующее: "&amp;N275,"")&amp;IF(O275&lt;&gt;"","; дополнительно: "&amp;O275,"")&amp;".")</f>
        <v/>
      </c>
    </row>
    <row r="276">
      <c r="A276" s="75" t="n"/>
      <c r="B276" s="75" t="n"/>
      <c r="C276" s="261" t="n"/>
      <c r="D276" s="261" t="n"/>
      <c r="E276" s="262">
        <f>IF(OR(C276="",D276=""),"",D276-C276)</f>
        <v/>
      </c>
      <c r="F276" s="75" t="n"/>
      <c r="G276" s="75" t="n"/>
      <c r="H276" s="75" t="n"/>
      <c r="I276" s="75" t="n"/>
      <c r="J276" s="75" t="n"/>
      <c r="K276" s="75" t="n"/>
      <c r="L276" s="75" t="n"/>
      <c r="M276" s="75" t="n"/>
      <c r="N276" s="75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226">
        <f>IF(AND(A276="",B276=""),"",IF(AND(A276&lt;&gt;"",B276&lt;&gt;"",C276&lt;&gt;"",D276&lt;&gt;"",F276&lt;&gt;"",G276&lt;&gt;"",H276&lt;&gt;"",ISERROR(SEARCH("по паспорту",G276)),ISERROR(SEARCH("по паспорту",H276)),I276&lt;&gt;"",J276&lt;&gt;"",K276&lt;&gt;"",L276&lt;&gt;"",M276&lt;&gt;""),"ГОТОВО","НЕ ГОТОВО"))</f>
        <v/>
      </c>
      <c r="Z276" s="226">
        <f>IF(Y276&lt;&gt;"ГОТОВО","", "Предварительное заключение: "&amp;A276&amp;", скв. "&amp;B276&amp;". МРП: "&amp;E276&amp;" сут. ГНО: "&amp;F276&amp;", типоразмер "&amp;G276&amp;", марка "&amp;H276&amp;". Событие: "&amp;I276&amp;". Признак: "&amp;J276&amp;". Узел: "&amp;K276&amp;". Предварительная причина: "&amp;L276&amp;". Основное осложнение: "&amp;M276&amp;IF(N276&lt;&gt;"","; сопутствующее: "&amp;N276,"")&amp;IF(O276&lt;&gt;"","; дополнительно: "&amp;O276,"")&amp;".")</f>
        <v/>
      </c>
    </row>
    <row r="277">
      <c r="A277" s="75" t="n"/>
      <c r="B277" s="75" t="n"/>
      <c r="C277" s="261" t="n"/>
      <c r="D277" s="261" t="n"/>
      <c r="E277" s="262">
        <f>IF(OR(C277="",D277=""),"",D277-C277)</f>
        <v/>
      </c>
      <c r="F277" s="75" t="n"/>
      <c r="G277" s="75" t="n"/>
      <c r="H277" s="75" t="n"/>
      <c r="I277" s="75" t="n"/>
      <c r="J277" s="75" t="n"/>
      <c r="K277" s="75" t="n"/>
      <c r="L277" s="75" t="n"/>
      <c r="M277" s="75" t="n"/>
      <c r="N277" s="75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226">
        <f>IF(AND(A277="",B277=""),"",IF(AND(A277&lt;&gt;"",B277&lt;&gt;"",C277&lt;&gt;"",D277&lt;&gt;"",F277&lt;&gt;"",G277&lt;&gt;"",H277&lt;&gt;"",ISERROR(SEARCH("по паспорту",G277)),ISERROR(SEARCH("по паспорту",H277)),I277&lt;&gt;"",J277&lt;&gt;"",K277&lt;&gt;"",L277&lt;&gt;"",M277&lt;&gt;""),"ГОТОВО","НЕ ГОТОВО"))</f>
        <v/>
      </c>
      <c r="Z277" s="226">
        <f>IF(Y277&lt;&gt;"ГОТОВО","", "Предварительное заключение: "&amp;A277&amp;", скв. "&amp;B277&amp;". МРП: "&amp;E277&amp;" сут. ГНО: "&amp;F277&amp;", типоразмер "&amp;G277&amp;", марка "&amp;H277&amp;". Событие: "&amp;I277&amp;". Признак: "&amp;J277&amp;". Узел: "&amp;K277&amp;". Предварительная причина: "&amp;L277&amp;". Основное осложнение: "&amp;M277&amp;IF(N277&lt;&gt;"","; сопутствующее: "&amp;N277,"")&amp;IF(O277&lt;&gt;"","; дополнительно: "&amp;O277,"")&amp;".")</f>
        <v/>
      </c>
    </row>
    <row r="278">
      <c r="A278" s="75" t="n"/>
      <c r="B278" s="75" t="n"/>
      <c r="C278" s="261" t="n"/>
      <c r="D278" s="261" t="n"/>
      <c r="E278" s="262">
        <f>IF(OR(C278="",D278=""),"",D278-C278)</f>
        <v/>
      </c>
      <c r="F278" s="75" t="n"/>
      <c r="G278" s="75" t="n"/>
      <c r="H278" s="75" t="n"/>
      <c r="I278" s="75" t="n"/>
      <c r="J278" s="75" t="n"/>
      <c r="K278" s="75" t="n"/>
      <c r="L278" s="75" t="n"/>
      <c r="M278" s="75" t="n"/>
      <c r="N278" s="75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226">
        <f>IF(AND(A278="",B278=""),"",IF(AND(A278&lt;&gt;"",B278&lt;&gt;"",C278&lt;&gt;"",D278&lt;&gt;"",F278&lt;&gt;"",G278&lt;&gt;"",H278&lt;&gt;"",ISERROR(SEARCH("по паспорту",G278)),ISERROR(SEARCH("по паспорту",H278)),I278&lt;&gt;"",J278&lt;&gt;"",K278&lt;&gt;"",L278&lt;&gt;"",M278&lt;&gt;""),"ГОТОВО","НЕ ГОТОВО"))</f>
        <v/>
      </c>
      <c r="Z278" s="226">
        <f>IF(Y278&lt;&gt;"ГОТОВО","", "Предварительное заключение: "&amp;A278&amp;", скв. "&amp;B278&amp;". МРП: "&amp;E278&amp;" сут. ГНО: "&amp;F278&amp;", типоразмер "&amp;G278&amp;", марка "&amp;H278&amp;". Событие: "&amp;I278&amp;". Признак: "&amp;J278&amp;". Узел: "&amp;K278&amp;". Предварительная причина: "&amp;L278&amp;". Основное осложнение: "&amp;M278&amp;IF(N278&lt;&gt;"","; сопутствующее: "&amp;N278,"")&amp;IF(O278&lt;&gt;"","; дополнительно: "&amp;O278,"")&amp;".")</f>
        <v/>
      </c>
    </row>
    <row r="279">
      <c r="A279" s="75" t="n"/>
      <c r="B279" s="75" t="n"/>
      <c r="C279" s="261" t="n"/>
      <c r="D279" s="261" t="n"/>
      <c r="E279" s="262">
        <f>IF(OR(C279="",D279=""),"",D279-C279)</f>
        <v/>
      </c>
      <c r="F279" s="75" t="n"/>
      <c r="G279" s="75" t="n"/>
      <c r="H279" s="75" t="n"/>
      <c r="I279" s="75" t="n"/>
      <c r="J279" s="75" t="n"/>
      <c r="K279" s="75" t="n"/>
      <c r="L279" s="75" t="n"/>
      <c r="M279" s="75" t="n"/>
      <c r="N279" s="75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226">
        <f>IF(AND(A279="",B279=""),"",IF(AND(A279&lt;&gt;"",B279&lt;&gt;"",C279&lt;&gt;"",D279&lt;&gt;"",F279&lt;&gt;"",G279&lt;&gt;"",H279&lt;&gt;"",ISERROR(SEARCH("по паспорту",G279)),ISERROR(SEARCH("по паспорту",H279)),I279&lt;&gt;"",J279&lt;&gt;"",K279&lt;&gt;"",L279&lt;&gt;"",M279&lt;&gt;""),"ГОТОВО","НЕ ГОТОВО"))</f>
        <v/>
      </c>
      <c r="Z279" s="226">
        <f>IF(Y279&lt;&gt;"ГОТОВО","", "Предварительное заключение: "&amp;A279&amp;", скв. "&amp;B279&amp;". МРП: "&amp;E279&amp;" сут. ГНО: "&amp;F279&amp;", типоразмер "&amp;G279&amp;", марка "&amp;H279&amp;". Событие: "&amp;I279&amp;". Признак: "&amp;J279&amp;". Узел: "&amp;K279&amp;". Предварительная причина: "&amp;L279&amp;". Основное осложнение: "&amp;M279&amp;IF(N279&lt;&gt;"","; сопутствующее: "&amp;N279,"")&amp;IF(O279&lt;&gt;"","; дополнительно: "&amp;O279,"")&amp;".")</f>
        <v/>
      </c>
    </row>
    <row r="280">
      <c r="A280" s="75" t="n"/>
      <c r="B280" s="75" t="n"/>
      <c r="C280" s="261" t="n"/>
      <c r="D280" s="261" t="n"/>
      <c r="E280" s="262">
        <f>IF(OR(C280="",D280=""),"",D280-C280)</f>
        <v/>
      </c>
      <c r="F280" s="75" t="n"/>
      <c r="G280" s="75" t="n"/>
      <c r="H280" s="75" t="n"/>
      <c r="I280" s="75" t="n"/>
      <c r="J280" s="75" t="n"/>
      <c r="K280" s="75" t="n"/>
      <c r="L280" s="75" t="n"/>
      <c r="M280" s="75" t="n"/>
      <c r="N280" s="75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226">
        <f>IF(AND(A280="",B280=""),"",IF(AND(A280&lt;&gt;"",B280&lt;&gt;"",C280&lt;&gt;"",D280&lt;&gt;"",F280&lt;&gt;"",G280&lt;&gt;"",H280&lt;&gt;"",ISERROR(SEARCH("по паспорту",G280)),ISERROR(SEARCH("по паспорту",H280)),I280&lt;&gt;"",J280&lt;&gt;"",K280&lt;&gt;"",L280&lt;&gt;"",M280&lt;&gt;""),"ГОТОВО","НЕ ГОТОВО"))</f>
        <v/>
      </c>
      <c r="Z280" s="226">
        <f>IF(Y280&lt;&gt;"ГОТОВО","", "Предварительное заключение: "&amp;A280&amp;", скв. "&amp;B280&amp;". МРП: "&amp;E280&amp;" сут. ГНО: "&amp;F280&amp;", типоразмер "&amp;G280&amp;", марка "&amp;H280&amp;". Событие: "&amp;I280&amp;". Признак: "&amp;J280&amp;". Узел: "&amp;K280&amp;". Предварительная причина: "&amp;L280&amp;". Основное осложнение: "&amp;M280&amp;IF(N280&lt;&gt;"","; сопутствующее: "&amp;N280,"")&amp;IF(O280&lt;&gt;"","; дополнительно: "&amp;O280,"")&amp;".")</f>
        <v/>
      </c>
    </row>
    <row r="281">
      <c r="A281" s="75" t="n"/>
      <c r="B281" s="75" t="n"/>
      <c r="C281" s="261" t="n"/>
      <c r="D281" s="261" t="n"/>
      <c r="E281" s="262">
        <f>IF(OR(C281="",D281=""),"",D281-C281)</f>
        <v/>
      </c>
      <c r="F281" s="75" t="n"/>
      <c r="G281" s="75" t="n"/>
      <c r="H281" s="75" t="n"/>
      <c r="I281" s="75" t="n"/>
      <c r="J281" s="75" t="n"/>
      <c r="K281" s="75" t="n"/>
      <c r="L281" s="75" t="n"/>
      <c r="M281" s="75" t="n"/>
      <c r="N281" s="75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226">
        <f>IF(AND(A281="",B281=""),"",IF(AND(A281&lt;&gt;"",B281&lt;&gt;"",C281&lt;&gt;"",D281&lt;&gt;"",F281&lt;&gt;"",G281&lt;&gt;"",H281&lt;&gt;"",ISERROR(SEARCH("по паспорту",G281)),ISERROR(SEARCH("по паспорту",H281)),I281&lt;&gt;"",J281&lt;&gt;"",K281&lt;&gt;"",L281&lt;&gt;"",M281&lt;&gt;""),"ГОТОВО","НЕ ГОТОВО"))</f>
        <v/>
      </c>
      <c r="Z281" s="226">
        <f>IF(Y281&lt;&gt;"ГОТОВО","", "Предварительное заключение: "&amp;A281&amp;", скв. "&amp;B281&amp;". МРП: "&amp;E281&amp;" сут. ГНО: "&amp;F281&amp;", типоразмер "&amp;G281&amp;", марка "&amp;H281&amp;". Событие: "&amp;I281&amp;". Признак: "&amp;J281&amp;". Узел: "&amp;K281&amp;". Предварительная причина: "&amp;L281&amp;". Основное осложнение: "&amp;M281&amp;IF(N281&lt;&gt;"","; сопутствующее: "&amp;N281,"")&amp;IF(O281&lt;&gt;"","; дополнительно: "&amp;O281,"")&amp;".")</f>
        <v/>
      </c>
    </row>
    <row r="282">
      <c r="A282" s="75" t="n"/>
      <c r="B282" s="75" t="n"/>
      <c r="C282" s="261" t="n"/>
      <c r="D282" s="261" t="n"/>
      <c r="E282" s="262">
        <f>IF(OR(C282="",D282=""),"",D282-C282)</f>
        <v/>
      </c>
      <c r="F282" s="75" t="n"/>
      <c r="G282" s="75" t="n"/>
      <c r="H282" s="75" t="n"/>
      <c r="I282" s="75" t="n"/>
      <c r="J282" s="75" t="n"/>
      <c r="K282" s="75" t="n"/>
      <c r="L282" s="75" t="n"/>
      <c r="M282" s="75" t="n"/>
      <c r="N282" s="75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226">
        <f>IF(AND(A282="",B282=""),"",IF(AND(A282&lt;&gt;"",B282&lt;&gt;"",C282&lt;&gt;"",D282&lt;&gt;"",F282&lt;&gt;"",G282&lt;&gt;"",H282&lt;&gt;"",ISERROR(SEARCH("по паспорту",G282)),ISERROR(SEARCH("по паспорту",H282)),I282&lt;&gt;"",J282&lt;&gt;"",K282&lt;&gt;"",L282&lt;&gt;"",M282&lt;&gt;""),"ГОТОВО","НЕ ГОТОВО"))</f>
        <v/>
      </c>
      <c r="Z282" s="226">
        <f>IF(Y282&lt;&gt;"ГОТОВО","", "Предварительное заключение: "&amp;A282&amp;", скв. "&amp;B282&amp;". МРП: "&amp;E282&amp;" сут. ГНО: "&amp;F282&amp;", типоразмер "&amp;G282&amp;", марка "&amp;H282&amp;". Событие: "&amp;I282&amp;". Признак: "&amp;J282&amp;". Узел: "&amp;K282&amp;". Предварительная причина: "&amp;L282&amp;". Основное осложнение: "&amp;M282&amp;IF(N282&lt;&gt;"","; сопутствующее: "&amp;N282,"")&amp;IF(O282&lt;&gt;"","; дополнительно: "&amp;O282,"")&amp;".")</f>
        <v/>
      </c>
    </row>
    <row r="283">
      <c r="A283" s="75" t="n"/>
      <c r="B283" s="75" t="n"/>
      <c r="C283" s="261" t="n"/>
      <c r="D283" s="261" t="n"/>
      <c r="E283" s="262">
        <f>IF(OR(C283="",D283=""),"",D283-C283)</f>
        <v/>
      </c>
      <c r="F283" s="75" t="n"/>
      <c r="G283" s="75" t="n"/>
      <c r="H283" s="75" t="n"/>
      <c r="I283" s="75" t="n"/>
      <c r="J283" s="75" t="n"/>
      <c r="K283" s="75" t="n"/>
      <c r="L283" s="75" t="n"/>
      <c r="M283" s="75" t="n"/>
      <c r="N283" s="75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226">
        <f>IF(AND(A283="",B283=""),"",IF(AND(A283&lt;&gt;"",B283&lt;&gt;"",C283&lt;&gt;"",D283&lt;&gt;"",F283&lt;&gt;"",G283&lt;&gt;"",H283&lt;&gt;"",ISERROR(SEARCH("по паспорту",G283)),ISERROR(SEARCH("по паспорту",H283)),I283&lt;&gt;"",J283&lt;&gt;"",K283&lt;&gt;"",L283&lt;&gt;"",M283&lt;&gt;""),"ГОТОВО","НЕ ГОТОВО"))</f>
        <v/>
      </c>
      <c r="Z283" s="226">
        <f>IF(Y283&lt;&gt;"ГОТОВО","", "Предварительное заключение: "&amp;A283&amp;", скв. "&amp;B283&amp;". МРП: "&amp;E283&amp;" сут. ГНО: "&amp;F283&amp;", типоразмер "&amp;G283&amp;", марка "&amp;H283&amp;". Событие: "&amp;I283&amp;". Признак: "&amp;J283&amp;". Узел: "&amp;K283&amp;". Предварительная причина: "&amp;L283&amp;". Основное осложнение: "&amp;M283&amp;IF(N283&lt;&gt;"","; сопутствующее: "&amp;N283,"")&amp;IF(O283&lt;&gt;"","; дополнительно: "&amp;O283,"")&amp;".")</f>
        <v/>
      </c>
    </row>
    <row r="284">
      <c r="A284" s="75" t="n"/>
      <c r="B284" s="75" t="n"/>
      <c r="C284" s="261" t="n"/>
      <c r="D284" s="261" t="n"/>
      <c r="E284" s="262">
        <f>IF(OR(C284="",D284=""),"",D284-C284)</f>
        <v/>
      </c>
      <c r="F284" s="75" t="n"/>
      <c r="G284" s="75" t="n"/>
      <c r="H284" s="75" t="n"/>
      <c r="I284" s="75" t="n"/>
      <c r="J284" s="75" t="n"/>
      <c r="K284" s="75" t="n"/>
      <c r="L284" s="75" t="n"/>
      <c r="M284" s="75" t="n"/>
      <c r="N284" s="75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226">
        <f>IF(AND(A284="",B284=""),"",IF(AND(A284&lt;&gt;"",B284&lt;&gt;"",C284&lt;&gt;"",D284&lt;&gt;"",F284&lt;&gt;"",G284&lt;&gt;"",H284&lt;&gt;"",ISERROR(SEARCH("по паспорту",G284)),ISERROR(SEARCH("по паспорту",H284)),I284&lt;&gt;"",J284&lt;&gt;"",K284&lt;&gt;"",L284&lt;&gt;"",M284&lt;&gt;""),"ГОТОВО","НЕ ГОТОВО"))</f>
        <v/>
      </c>
      <c r="Z284" s="226">
        <f>IF(Y284&lt;&gt;"ГОТОВО","", "Предварительное заключение: "&amp;A284&amp;", скв. "&amp;B284&amp;". МРП: "&amp;E284&amp;" сут. ГНО: "&amp;F284&amp;", типоразмер "&amp;G284&amp;", марка "&amp;H284&amp;". Событие: "&amp;I284&amp;". Признак: "&amp;J284&amp;". Узел: "&amp;K284&amp;". Предварительная причина: "&amp;L284&amp;". Основное осложнение: "&amp;M284&amp;IF(N284&lt;&gt;"","; сопутствующее: "&amp;N284,"")&amp;IF(O284&lt;&gt;"","; дополнительно: "&amp;O284,"")&amp;".")</f>
        <v/>
      </c>
    </row>
    <row r="285">
      <c r="A285" s="75" t="n"/>
      <c r="B285" s="75" t="n"/>
      <c r="C285" s="261" t="n"/>
      <c r="D285" s="261" t="n"/>
      <c r="E285" s="262">
        <f>IF(OR(C285="",D285=""),"",D285-C285)</f>
        <v/>
      </c>
      <c r="F285" s="75" t="n"/>
      <c r="G285" s="75" t="n"/>
      <c r="H285" s="75" t="n"/>
      <c r="I285" s="75" t="n"/>
      <c r="J285" s="75" t="n"/>
      <c r="K285" s="75" t="n"/>
      <c r="L285" s="75" t="n"/>
      <c r="M285" s="75" t="n"/>
      <c r="N285" s="75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226">
        <f>IF(AND(A285="",B285=""),"",IF(AND(A285&lt;&gt;"",B285&lt;&gt;"",C285&lt;&gt;"",D285&lt;&gt;"",F285&lt;&gt;"",G285&lt;&gt;"",H285&lt;&gt;"",ISERROR(SEARCH("по паспорту",G285)),ISERROR(SEARCH("по паспорту",H285)),I285&lt;&gt;"",J285&lt;&gt;"",K285&lt;&gt;"",L285&lt;&gt;"",M285&lt;&gt;""),"ГОТОВО","НЕ ГОТОВО"))</f>
        <v/>
      </c>
      <c r="Z285" s="226">
        <f>IF(Y285&lt;&gt;"ГОТОВО","", "Предварительное заключение: "&amp;A285&amp;", скв. "&amp;B285&amp;". МРП: "&amp;E285&amp;" сут. ГНО: "&amp;F285&amp;", типоразмер "&amp;G285&amp;", марка "&amp;H285&amp;". Событие: "&amp;I285&amp;". Признак: "&amp;J285&amp;". Узел: "&amp;K285&amp;". Предварительная причина: "&amp;L285&amp;". Основное осложнение: "&amp;M285&amp;IF(N285&lt;&gt;"","; сопутствующее: "&amp;N285,"")&amp;IF(O285&lt;&gt;"","; дополнительно: "&amp;O285,"")&amp;".")</f>
        <v/>
      </c>
    </row>
    <row r="286">
      <c r="A286" s="75" t="n"/>
      <c r="B286" s="75" t="n"/>
      <c r="C286" s="261" t="n"/>
      <c r="D286" s="261" t="n"/>
      <c r="E286" s="262">
        <f>IF(OR(C286="",D286=""),"",D286-C286)</f>
        <v/>
      </c>
      <c r="F286" s="75" t="n"/>
      <c r="G286" s="75" t="n"/>
      <c r="H286" s="75" t="n"/>
      <c r="I286" s="75" t="n"/>
      <c r="J286" s="75" t="n"/>
      <c r="K286" s="75" t="n"/>
      <c r="L286" s="75" t="n"/>
      <c r="M286" s="75" t="n"/>
      <c r="N286" s="75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226">
        <f>IF(AND(A286="",B286=""),"",IF(AND(A286&lt;&gt;"",B286&lt;&gt;"",C286&lt;&gt;"",D286&lt;&gt;"",F286&lt;&gt;"",G286&lt;&gt;"",H286&lt;&gt;"",ISERROR(SEARCH("по паспорту",G286)),ISERROR(SEARCH("по паспорту",H286)),I286&lt;&gt;"",J286&lt;&gt;"",K286&lt;&gt;"",L286&lt;&gt;"",M286&lt;&gt;""),"ГОТОВО","НЕ ГОТОВО"))</f>
        <v/>
      </c>
      <c r="Z286" s="226">
        <f>IF(Y286&lt;&gt;"ГОТОВО","", "Предварительное заключение: "&amp;A286&amp;", скв. "&amp;B286&amp;". МРП: "&amp;E286&amp;" сут. ГНО: "&amp;F286&amp;", типоразмер "&amp;G286&amp;", марка "&amp;H286&amp;". Событие: "&amp;I286&amp;". Признак: "&amp;J286&amp;". Узел: "&amp;K286&amp;". Предварительная причина: "&amp;L286&amp;". Основное осложнение: "&amp;M286&amp;IF(N286&lt;&gt;"","; сопутствующее: "&amp;N286,"")&amp;IF(O286&lt;&gt;"","; дополнительно: "&amp;O286,"")&amp;".")</f>
        <v/>
      </c>
    </row>
    <row r="287">
      <c r="A287" s="75" t="n"/>
      <c r="B287" s="75" t="n"/>
      <c r="C287" s="261" t="n"/>
      <c r="D287" s="261" t="n"/>
      <c r="E287" s="262">
        <f>IF(OR(C287="",D287=""),"",D287-C287)</f>
        <v/>
      </c>
      <c r="F287" s="75" t="n"/>
      <c r="G287" s="75" t="n"/>
      <c r="H287" s="75" t="n"/>
      <c r="I287" s="75" t="n"/>
      <c r="J287" s="75" t="n"/>
      <c r="K287" s="75" t="n"/>
      <c r="L287" s="75" t="n"/>
      <c r="M287" s="75" t="n"/>
      <c r="N287" s="75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226">
        <f>IF(AND(A287="",B287=""),"",IF(AND(A287&lt;&gt;"",B287&lt;&gt;"",C287&lt;&gt;"",D287&lt;&gt;"",F287&lt;&gt;"",G287&lt;&gt;"",H287&lt;&gt;"",ISERROR(SEARCH("по паспорту",G287)),ISERROR(SEARCH("по паспорту",H287)),I287&lt;&gt;"",J287&lt;&gt;"",K287&lt;&gt;"",L287&lt;&gt;"",M287&lt;&gt;""),"ГОТОВО","НЕ ГОТОВО"))</f>
        <v/>
      </c>
      <c r="Z287" s="226">
        <f>IF(Y287&lt;&gt;"ГОТОВО","", "Предварительное заключение: "&amp;A287&amp;", скв. "&amp;B287&amp;". МРП: "&amp;E287&amp;" сут. ГНО: "&amp;F287&amp;", типоразмер "&amp;G287&amp;", марка "&amp;H287&amp;". Событие: "&amp;I287&amp;". Признак: "&amp;J287&amp;". Узел: "&amp;K287&amp;". Предварительная причина: "&amp;L287&amp;". Основное осложнение: "&amp;M287&amp;IF(N287&lt;&gt;"","; сопутствующее: "&amp;N287,"")&amp;IF(O287&lt;&gt;"","; дополнительно: "&amp;O287,"")&amp;".")</f>
        <v/>
      </c>
    </row>
    <row r="288">
      <c r="A288" s="75" t="n"/>
      <c r="B288" s="75" t="n"/>
      <c r="C288" s="261" t="n"/>
      <c r="D288" s="261" t="n"/>
      <c r="E288" s="262">
        <f>IF(OR(C288="",D288=""),"",D288-C288)</f>
        <v/>
      </c>
      <c r="F288" s="75" t="n"/>
      <c r="G288" s="75" t="n"/>
      <c r="H288" s="75" t="n"/>
      <c r="I288" s="75" t="n"/>
      <c r="J288" s="75" t="n"/>
      <c r="K288" s="75" t="n"/>
      <c r="L288" s="75" t="n"/>
      <c r="M288" s="75" t="n"/>
      <c r="N288" s="75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226">
        <f>IF(AND(A288="",B288=""),"",IF(AND(A288&lt;&gt;"",B288&lt;&gt;"",C288&lt;&gt;"",D288&lt;&gt;"",F288&lt;&gt;"",G288&lt;&gt;"",H288&lt;&gt;"",ISERROR(SEARCH("по паспорту",G288)),ISERROR(SEARCH("по паспорту",H288)),I288&lt;&gt;"",J288&lt;&gt;"",K288&lt;&gt;"",L288&lt;&gt;"",M288&lt;&gt;""),"ГОТОВО","НЕ ГОТОВО"))</f>
        <v/>
      </c>
      <c r="Z288" s="226">
        <f>IF(Y288&lt;&gt;"ГОТОВО","", "Предварительное заключение: "&amp;A288&amp;", скв. "&amp;B288&amp;". МРП: "&amp;E288&amp;" сут. ГНО: "&amp;F288&amp;", типоразмер "&amp;G288&amp;", марка "&amp;H288&amp;". Событие: "&amp;I288&amp;". Признак: "&amp;J288&amp;". Узел: "&amp;K288&amp;". Предварительная причина: "&amp;L288&amp;". Основное осложнение: "&amp;M288&amp;IF(N288&lt;&gt;"","; сопутствующее: "&amp;N288,"")&amp;IF(O288&lt;&gt;"","; дополнительно: "&amp;O288,"")&amp;".")</f>
        <v/>
      </c>
    </row>
    <row r="289">
      <c r="A289" s="75" t="n"/>
      <c r="B289" s="75" t="n"/>
      <c r="C289" s="261" t="n"/>
      <c r="D289" s="261" t="n"/>
      <c r="E289" s="262">
        <f>IF(OR(C289="",D289=""),"",D289-C289)</f>
        <v/>
      </c>
      <c r="F289" s="75" t="n"/>
      <c r="G289" s="75" t="n"/>
      <c r="H289" s="75" t="n"/>
      <c r="I289" s="75" t="n"/>
      <c r="J289" s="75" t="n"/>
      <c r="K289" s="75" t="n"/>
      <c r="L289" s="75" t="n"/>
      <c r="M289" s="75" t="n"/>
      <c r="N289" s="75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226">
        <f>IF(AND(A289="",B289=""),"",IF(AND(A289&lt;&gt;"",B289&lt;&gt;"",C289&lt;&gt;"",D289&lt;&gt;"",F289&lt;&gt;"",G289&lt;&gt;"",H289&lt;&gt;"",ISERROR(SEARCH("по паспорту",G289)),ISERROR(SEARCH("по паспорту",H289)),I289&lt;&gt;"",J289&lt;&gt;"",K289&lt;&gt;"",L289&lt;&gt;"",M289&lt;&gt;""),"ГОТОВО","НЕ ГОТОВО"))</f>
        <v/>
      </c>
      <c r="Z289" s="226">
        <f>IF(Y289&lt;&gt;"ГОТОВО","", "Предварительное заключение: "&amp;A289&amp;", скв. "&amp;B289&amp;". МРП: "&amp;E289&amp;" сут. ГНО: "&amp;F289&amp;", типоразмер "&amp;G289&amp;", марка "&amp;H289&amp;". Событие: "&amp;I289&amp;". Признак: "&amp;J289&amp;". Узел: "&amp;K289&amp;". Предварительная причина: "&amp;L289&amp;". Основное осложнение: "&amp;M289&amp;IF(N289&lt;&gt;"","; сопутствующее: "&amp;N289,"")&amp;IF(O289&lt;&gt;"","; дополнительно: "&amp;O289,"")&amp;".")</f>
        <v/>
      </c>
    </row>
    <row r="290">
      <c r="A290" s="75" t="n"/>
      <c r="B290" s="75" t="n"/>
      <c r="C290" s="261" t="n"/>
      <c r="D290" s="261" t="n"/>
      <c r="E290" s="262">
        <f>IF(OR(C290="",D290=""),"",D290-C290)</f>
        <v/>
      </c>
      <c r="F290" s="75" t="n"/>
      <c r="G290" s="75" t="n"/>
      <c r="H290" s="75" t="n"/>
      <c r="I290" s="75" t="n"/>
      <c r="J290" s="75" t="n"/>
      <c r="K290" s="75" t="n"/>
      <c r="L290" s="75" t="n"/>
      <c r="M290" s="75" t="n"/>
      <c r="N290" s="75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226">
        <f>IF(AND(A290="",B290=""),"",IF(AND(A290&lt;&gt;"",B290&lt;&gt;"",C290&lt;&gt;"",D290&lt;&gt;"",F290&lt;&gt;"",G290&lt;&gt;"",H290&lt;&gt;"",ISERROR(SEARCH("по паспорту",G290)),ISERROR(SEARCH("по паспорту",H290)),I290&lt;&gt;"",J290&lt;&gt;"",K290&lt;&gt;"",L290&lt;&gt;"",M290&lt;&gt;""),"ГОТОВО","НЕ ГОТОВО"))</f>
        <v/>
      </c>
      <c r="Z290" s="226">
        <f>IF(Y290&lt;&gt;"ГОТОВО","", "Предварительное заключение: "&amp;A290&amp;", скв. "&amp;B290&amp;". МРП: "&amp;E290&amp;" сут. ГНО: "&amp;F290&amp;", типоразмер "&amp;G290&amp;", марка "&amp;H290&amp;". Событие: "&amp;I290&amp;". Признак: "&amp;J290&amp;". Узел: "&amp;K290&amp;". Предварительная причина: "&amp;L290&amp;". Основное осложнение: "&amp;M290&amp;IF(N290&lt;&gt;"","; сопутствующее: "&amp;N290,"")&amp;IF(O290&lt;&gt;"","; дополнительно: "&amp;O290,"")&amp;".")</f>
        <v/>
      </c>
    </row>
    <row r="291">
      <c r="A291" s="75" t="n"/>
      <c r="B291" s="75" t="n"/>
      <c r="C291" s="261" t="n"/>
      <c r="D291" s="261" t="n"/>
      <c r="E291" s="262">
        <f>IF(OR(C291="",D291=""),"",D291-C291)</f>
        <v/>
      </c>
      <c r="F291" s="75" t="n"/>
      <c r="G291" s="75" t="n"/>
      <c r="H291" s="75" t="n"/>
      <c r="I291" s="75" t="n"/>
      <c r="J291" s="75" t="n"/>
      <c r="K291" s="75" t="n"/>
      <c r="L291" s="75" t="n"/>
      <c r="M291" s="75" t="n"/>
      <c r="N291" s="75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226">
        <f>IF(AND(A291="",B291=""),"",IF(AND(A291&lt;&gt;"",B291&lt;&gt;"",C291&lt;&gt;"",D291&lt;&gt;"",F291&lt;&gt;"",G291&lt;&gt;"",H291&lt;&gt;"",ISERROR(SEARCH("по паспорту",G291)),ISERROR(SEARCH("по паспорту",H291)),I291&lt;&gt;"",J291&lt;&gt;"",K291&lt;&gt;"",L291&lt;&gt;"",M291&lt;&gt;""),"ГОТОВО","НЕ ГОТОВО"))</f>
        <v/>
      </c>
      <c r="Z291" s="226">
        <f>IF(Y291&lt;&gt;"ГОТОВО","", "Предварительное заключение: "&amp;A291&amp;", скв. "&amp;B291&amp;". МРП: "&amp;E291&amp;" сут. ГНО: "&amp;F291&amp;", типоразмер "&amp;G291&amp;", марка "&amp;H291&amp;". Событие: "&amp;I291&amp;". Признак: "&amp;J291&amp;". Узел: "&amp;K291&amp;". Предварительная причина: "&amp;L291&amp;". Основное осложнение: "&amp;M291&amp;IF(N291&lt;&gt;"","; сопутствующее: "&amp;N291,"")&amp;IF(O291&lt;&gt;"","; дополнительно: "&amp;O291,"")&amp;".")</f>
        <v/>
      </c>
    </row>
    <row r="292">
      <c r="A292" s="75" t="n"/>
      <c r="B292" s="75" t="n"/>
      <c r="C292" s="261" t="n"/>
      <c r="D292" s="261" t="n"/>
      <c r="E292" s="262">
        <f>IF(OR(C292="",D292=""),"",D292-C292)</f>
        <v/>
      </c>
      <c r="F292" s="75" t="n"/>
      <c r="G292" s="75" t="n"/>
      <c r="H292" s="75" t="n"/>
      <c r="I292" s="75" t="n"/>
      <c r="J292" s="75" t="n"/>
      <c r="K292" s="75" t="n"/>
      <c r="L292" s="75" t="n"/>
      <c r="M292" s="75" t="n"/>
      <c r="N292" s="75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226">
        <f>IF(AND(A292="",B292=""),"",IF(AND(A292&lt;&gt;"",B292&lt;&gt;"",C292&lt;&gt;"",D292&lt;&gt;"",F292&lt;&gt;"",G292&lt;&gt;"",H292&lt;&gt;"",ISERROR(SEARCH("по паспорту",G292)),ISERROR(SEARCH("по паспорту",H292)),I292&lt;&gt;"",J292&lt;&gt;"",K292&lt;&gt;"",L292&lt;&gt;"",M292&lt;&gt;""),"ГОТОВО","НЕ ГОТОВО"))</f>
        <v/>
      </c>
      <c r="Z292" s="226">
        <f>IF(Y292&lt;&gt;"ГОТОВО","", "Предварительное заключение: "&amp;A292&amp;", скв. "&amp;B292&amp;". МРП: "&amp;E292&amp;" сут. ГНО: "&amp;F292&amp;", типоразмер "&amp;G292&amp;", марка "&amp;H292&amp;". Событие: "&amp;I292&amp;". Признак: "&amp;J292&amp;". Узел: "&amp;K292&amp;". Предварительная причина: "&amp;L292&amp;". Основное осложнение: "&amp;M292&amp;IF(N292&lt;&gt;"","; сопутствующее: "&amp;N292,"")&amp;IF(O292&lt;&gt;"","; дополнительно: "&amp;O292,"")&amp;".")</f>
        <v/>
      </c>
    </row>
    <row r="293">
      <c r="A293" s="75" t="n"/>
      <c r="B293" s="75" t="n"/>
      <c r="C293" s="261" t="n"/>
      <c r="D293" s="261" t="n"/>
      <c r="E293" s="262">
        <f>IF(OR(C293="",D293=""),"",D293-C293)</f>
        <v/>
      </c>
      <c r="F293" s="75" t="n"/>
      <c r="G293" s="75" t="n"/>
      <c r="H293" s="75" t="n"/>
      <c r="I293" s="75" t="n"/>
      <c r="J293" s="75" t="n"/>
      <c r="K293" s="75" t="n"/>
      <c r="L293" s="75" t="n"/>
      <c r="M293" s="75" t="n"/>
      <c r="N293" s="75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226">
        <f>IF(AND(A293="",B293=""),"",IF(AND(A293&lt;&gt;"",B293&lt;&gt;"",C293&lt;&gt;"",D293&lt;&gt;"",F293&lt;&gt;"",G293&lt;&gt;"",H293&lt;&gt;"",ISERROR(SEARCH("по паспорту",G293)),ISERROR(SEARCH("по паспорту",H293)),I293&lt;&gt;"",J293&lt;&gt;"",K293&lt;&gt;"",L293&lt;&gt;"",M293&lt;&gt;""),"ГОТОВО","НЕ ГОТОВО"))</f>
        <v/>
      </c>
      <c r="Z293" s="226">
        <f>IF(Y293&lt;&gt;"ГОТОВО","", "Предварительное заключение: "&amp;A293&amp;", скв. "&amp;B293&amp;". МРП: "&amp;E293&amp;" сут. ГНО: "&amp;F293&amp;", типоразмер "&amp;G293&amp;", марка "&amp;H293&amp;". Событие: "&amp;I293&amp;". Признак: "&amp;J293&amp;". Узел: "&amp;K293&amp;". Предварительная причина: "&amp;L293&amp;". Основное осложнение: "&amp;M293&amp;IF(N293&lt;&gt;"","; сопутствующее: "&amp;N293,"")&amp;IF(O293&lt;&gt;"","; дополнительно: "&amp;O293,"")&amp;".")</f>
        <v/>
      </c>
    </row>
    <row r="294">
      <c r="A294" s="75" t="n"/>
      <c r="B294" s="75" t="n"/>
      <c r="C294" s="261" t="n"/>
      <c r="D294" s="261" t="n"/>
      <c r="E294" s="262">
        <f>IF(OR(C294="",D294=""),"",D294-C294)</f>
        <v/>
      </c>
      <c r="F294" s="75" t="n"/>
      <c r="G294" s="75" t="n"/>
      <c r="H294" s="75" t="n"/>
      <c r="I294" s="75" t="n"/>
      <c r="J294" s="75" t="n"/>
      <c r="K294" s="75" t="n"/>
      <c r="L294" s="75" t="n"/>
      <c r="M294" s="75" t="n"/>
      <c r="N294" s="75" t="n"/>
      <c r="O294" s="75" t="n"/>
      <c r="P294" s="75" t="n"/>
      <c r="Q294" s="75" t="n"/>
      <c r="R294" s="75" t="n"/>
      <c r="S294" s="75" t="n"/>
      <c r="T294" s="75" t="n"/>
      <c r="U294" s="75" t="n"/>
      <c r="V294" s="75" t="n"/>
      <c r="W294" s="75" t="n"/>
      <c r="X294" s="75" t="n"/>
      <c r="Y294" s="226">
        <f>IF(AND(A294="",B294=""),"",IF(AND(A294&lt;&gt;"",B294&lt;&gt;"",C294&lt;&gt;"",D294&lt;&gt;"",F294&lt;&gt;"",G294&lt;&gt;"",H294&lt;&gt;"",ISERROR(SEARCH("по паспорту",G294)),ISERROR(SEARCH("по паспорту",H294)),I294&lt;&gt;"",J294&lt;&gt;"",K294&lt;&gt;"",L294&lt;&gt;"",M294&lt;&gt;""),"ГОТОВО","НЕ ГОТОВО"))</f>
        <v/>
      </c>
      <c r="Z294" s="226">
        <f>IF(Y294&lt;&gt;"ГОТОВО","", "Предварительное заключение: "&amp;A294&amp;", скв. "&amp;B294&amp;". МРП: "&amp;E294&amp;" сут. ГНО: "&amp;F294&amp;", типоразмер "&amp;G294&amp;", марка "&amp;H294&amp;". Событие: "&amp;I294&amp;". Признак: "&amp;J294&amp;". Узел: "&amp;K294&amp;". Предварительная причина: "&amp;L294&amp;". Основное осложнение: "&amp;M294&amp;IF(N294&lt;&gt;"","; сопутствующее: "&amp;N294,"")&amp;IF(O294&lt;&gt;"","; дополнительно: "&amp;O294,"")&amp;".")</f>
        <v/>
      </c>
    </row>
    <row r="295">
      <c r="A295" s="75" t="n"/>
      <c r="B295" s="75" t="n"/>
      <c r="C295" s="261" t="n"/>
      <c r="D295" s="261" t="n"/>
      <c r="E295" s="262">
        <f>IF(OR(C295="",D295=""),"",D295-C295)</f>
        <v/>
      </c>
      <c r="F295" s="75" t="n"/>
      <c r="G295" s="75" t="n"/>
      <c r="H295" s="75" t="n"/>
      <c r="I295" s="75" t="n"/>
      <c r="J295" s="75" t="n"/>
      <c r="K295" s="75" t="n"/>
      <c r="L295" s="75" t="n"/>
      <c r="M295" s="75" t="n"/>
      <c r="N295" s="75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226">
        <f>IF(AND(A295="",B295=""),"",IF(AND(A295&lt;&gt;"",B295&lt;&gt;"",C295&lt;&gt;"",D295&lt;&gt;"",F295&lt;&gt;"",G295&lt;&gt;"",H295&lt;&gt;"",ISERROR(SEARCH("по паспорту",G295)),ISERROR(SEARCH("по паспорту",H295)),I295&lt;&gt;"",J295&lt;&gt;"",K295&lt;&gt;"",L295&lt;&gt;"",M295&lt;&gt;""),"ГОТОВО","НЕ ГОТОВО"))</f>
        <v/>
      </c>
      <c r="Z295" s="226">
        <f>IF(Y295&lt;&gt;"ГОТОВО","", "Предварительное заключение: "&amp;A295&amp;", скв. "&amp;B295&amp;". МРП: "&amp;E295&amp;" сут. ГНО: "&amp;F295&amp;", типоразмер "&amp;G295&amp;", марка "&amp;H295&amp;". Событие: "&amp;I295&amp;". Признак: "&amp;J295&amp;". Узел: "&amp;K295&amp;". Предварительная причина: "&amp;L295&amp;". Основное осложнение: "&amp;M295&amp;IF(N295&lt;&gt;"","; сопутствующее: "&amp;N295,"")&amp;IF(O295&lt;&gt;"","; дополнительно: "&amp;O295,"")&amp;".")</f>
        <v/>
      </c>
    </row>
    <row r="296">
      <c r="A296" s="75" t="n"/>
      <c r="B296" s="75" t="n"/>
      <c r="C296" s="261" t="n"/>
      <c r="D296" s="261" t="n"/>
      <c r="E296" s="262">
        <f>IF(OR(C296="",D296=""),"",D296-C296)</f>
        <v/>
      </c>
      <c r="F296" s="75" t="n"/>
      <c r="G296" s="75" t="n"/>
      <c r="H296" s="75" t="n"/>
      <c r="I296" s="75" t="n"/>
      <c r="J296" s="75" t="n"/>
      <c r="K296" s="75" t="n"/>
      <c r="L296" s="75" t="n"/>
      <c r="M296" s="75" t="n"/>
      <c r="N296" s="75" t="n"/>
      <c r="O296" s="75" t="n"/>
      <c r="P296" s="75" t="n"/>
      <c r="Q296" s="75" t="n"/>
      <c r="R296" s="75" t="n"/>
      <c r="S296" s="75" t="n"/>
      <c r="T296" s="75" t="n"/>
      <c r="U296" s="75" t="n"/>
      <c r="V296" s="75" t="n"/>
      <c r="W296" s="75" t="n"/>
      <c r="X296" s="75" t="n"/>
      <c r="Y296" s="226">
        <f>IF(AND(A296="",B296=""),"",IF(AND(A296&lt;&gt;"",B296&lt;&gt;"",C296&lt;&gt;"",D296&lt;&gt;"",F296&lt;&gt;"",G296&lt;&gt;"",H296&lt;&gt;"",ISERROR(SEARCH("по паспорту",G296)),ISERROR(SEARCH("по паспорту",H296)),I296&lt;&gt;"",J296&lt;&gt;"",K296&lt;&gt;"",L296&lt;&gt;"",M296&lt;&gt;""),"ГОТОВО","НЕ ГОТОВО"))</f>
        <v/>
      </c>
      <c r="Z296" s="226">
        <f>IF(Y296&lt;&gt;"ГОТОВО","", "Предварительное заключение: "&amp;A296&amp;", скв. "&amp;B296&amp;". МРП: "&amp;E296&amp;" сут. ГНО: "&amp;F296&amp;", типоразмер "&amp;G296&amp;", марка "&amp;H296&amp;". Событие: "&amp;I296&amp;". Признак: "&amp;J296&amp;". Узел: "&amp;K296&amp;". Предварительная причина: "&amp;L296&amp;". Основное осложнение: "&amp;M296&amp;IF(N296&lt;&gt;"","; сопутствующее: "&amp;N296,"")&amp;IF(O296&lt;&gt;"","; дополнительно: "&amp;O296,"")&amp;".")</f>
        <v/>
      </c>
    </row>
    <row r="297">
      <c r="A297" s="75" t="n"/>
      <c r="B297" s="75" t="n"/>
      <c r="C297" s="261" t="n"/>
      <c r="D297" s="261" t="n"/>
      <c r="E297" s="262">
        <f>IF(OR(C297="",D297=""),"",D297-C297)</f>
        <v/>
      </c>
      <c r="F297" s="75" t="n"/>
      <c r="G297" s="75" t="n"/>
      <c r="H297" s="75" t="n"/>
      <c r="I297" s="75" t="n"/>
      <c r="J297" s="75" t="n"/>
      <c r="K297" s="75" t="n"/>
      <c r="L297" s="75" t="n"/>
      <c r="M297" s="75" t="n"/>
      <c r="N297" s="75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226">
        <f>IF(AND(A297="",B297=""),"",IF(AND(A297&lt;&gt;"",B297&lt;&gt;"",C297&lt;&gt;"",D297&lt;&gt;"",F297&lt;&gt;"",G297&lt;&gt;"",H297&lt;&gt;"",ISERROR(SEARCH("по паспорту",G297)),ISERROR(SEARCH("по паспорту",H297)),I297&lt;&gt;"",J297&lt;&gt;"",K297&lt;&gt;"",L297&lt;&gt;"",M297&lt;&gt;""),"ГОТОВО","НЕ ГОТОВО"))</f>
        <v/>
      </c>
      <c r="Z297" s="226">
        <f>IF(Y297&lt;&gt;"ГОТОВО","", "Предварительное заключение: "&amp;A297&amp;", скв. "&amp;B297&amp;". МРП: "&amp;E297&amp;" сут. ГНО: "&amp;F297&amp;", типоразмер "&amp;G297&amp;", марка "&amp;H297&amp;". Событие: "&amp;I297&amp;". Признак: "&amp;J297&amp;". Узел: "&amp;K297&amp;". Предварительная причина: "&amp;L297&amp;". Основное осложнение: "&amp;M297&amp;IF(N297&lt;&gt;"","; сопутствующее: "&amp;N297,"")&amp;IF(O297&lt;&gt;"","; дополнительно: "&amp;O297,"")&amp;".")</f>
        <v/>
      </c>
    </row>
    <row r="298">
      <c r="A298" s="75" t="n"/>
      <c r="B298" s="75" t="n"/>
      <c r="C298" s="261" t="n"/>
      <c r="D298" s="261" t="n"/>
      <c r="E298" s="262">
        <f>IF(OR(C298="",D298=""),"",D298-C298)</f>
        <v/>
      </c>
      <c r="F298" s="75" t="n"/>
      <c r="G298" s="75" t="n"/>
      <c r="H298" s="75" t="n"/>
      <c r="I298" s="75" t="n"/>
      <c r="J298" s="75" t="n"/>
      <c r="K298" s="75" t="n"/>
      <c r="L298" s="75" t="n"/>
      <c r="M298" s="75" t="n"/>
      <c r="N298" s="75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226">
        <f>IF(AND(A298="",B298=""),"",IF(AND(A298&lt;&gt;"",B298&lt;&gt;"",C298&lt;&gt;"",D298&lt;&gt;"",F298&lt;&gt;"",G298&lt;&gt;"",H298&lt;&gt;"",ISERROR(SEARCH("по паспорту",G298)),ISERROR(SEARCH("по паспорту",H298)),I298&lt;&gt;"",J298&lt;&gt;"",K298&lt;&gt;"",L298&lt;&gt;"",M298&lt;&gt;""),"ГОТОВО","НЕ ГОТОВО"))</f>
        <v/>
      </c>
      <c r="Z298" s="226">
        <f>IF(Y298&lt;&gt;"ГОТОВО","", "Предварительное заключение: "&amp;A298&amp;", скв. "&amp;B298&amp;". МРП: "&amp;E298&amp;" сут. ГНО: "&amp;F298&amp;", типоразмер "&amp;G298&amp;", марка "&amp;H298&amp;". Событие: "&amp;I298&amp;". Признак: "&amp;J298&amp;". Узел: "&amp;K298&amp;". Предварительная причина: "&amp;L298&amp;". Основное осложнение: "&amp;M298&amp;IF(N298&lt;&gt;"","; сопутствующее: "&amp;N298,"")&amp;IF(O298&lt;&gt;"","; дополнительно: "&amp;O298,"")&amp;".")</f>
        <v/>
      </c>
    </row>
    <row r="299">
      <c r="A299" s="75" t="n"/>
      <c r="B299" s="75" t="n"/>
      <c r="C299" s="261" t="n"/>
      <c r="D299" s="261" t="n"/>
      <c r="E299" s="262">
        <f>IF(OR(C299="",D299=""),"",D299-C299)</f>
        <v/>
      </c>
      <c r="F299" s="75" t="n"/>
      <c r="G299" s="75" t="n"/>
      <c r="H299" s="75" t="n"/>
      <c r="I299" s="75" t="n"/>
      <c r="J299" s="75" t="n"/>
      <c r="K299" s="75" t="n"/>
      <c r="L299" s="75" t="n"/>
      <c r="M299" s="75" t="n"/>
      <c r="N299" s="75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226">
        <f>IF(AND(A299="",B299=""),"",IF(AND(A299&lt;&gt;"",B299&lt;&gt;"",C299&lt;&gt;"",D299&lt;&gt;"",F299&lt;&gt;"",G299&lt;&gt;"",H299&lt;&gt;"",ISERROR(SEARCH("по паспорту",G299)),ISERROR(SEARCH("по паспорту",H299)),I299&lt;&gt;"",J299&lt;&gt;"",K299&lt;&gt;"",L299&lt;&gt;"",M299&lt;&gt;""),"ГОТОВО","НЕ ГОТОВО"))</f>
        <v/>
      </c>
      <c r="Z299" s="226">
        <f>IF(Y299&lt;&gt;"ГОТОВО","", "Предварительное заключение: "&amp;A299&amp;", скв. "&amp;B299&amp;". МРП: "&amp;E299&amp;" сут. ГНО: "&amp;F299&amp;", типоразмер "&amp;G299&amp;", марка "&amp;H299&amp;". Событие: "&amp;I299&amp;". Признак: "&amp;J299&amp;". Узел: "&amp;K299&amp;". Предварительная причина: "&amp;L299&amp;". Основное осложнение: "&amp;M299&amp;IF(N299&lt;&gt;"","; сопутствующее: "&amp;N299,"")&amp;IF(O299&lt;&gt;"","; дополнительно: "&amp;O299,"")&amp;".")</f>
        <v/>
      </c>
    </row>
    <row r="300">
      <c r="A300" s="75" t="n"/>
      <c r="B300" s="75" t="n"/>
      <c r="C300" s="261" t="n"/>
      <c r="D300" s="261" t="n"/>
      <c r="E300" s="262">
        <f>IF(OR(C300="",D300=""),"",D300-C300)</f>
        <v/>
      </c>
      <c r="F300" s="75" t="n"/>
      <c r="G300" s="75" t="n"/>
      <c r="H300" s="75" t="n"/>
      <c r="I300" s="75" t="n"/>
      <c r="J300" s="75" t="n"/>
      <c r="K300" s="75" t="n"/>
      <c r="L300" s="75" t="n"/>
      <c r="M300" s="75" t="n"/>
      <c r="N300" s="75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226">
        <f>IF(AND(A300="",B300=""),"",IF(AND(A300&lt;&gt;"",B300&lt;&gt;"",C300&lt;&gt;"",D300&lt;&gt;"",F300&lt;&gt;"",G300&lt;&gt;"",H300&lt;&gt;"",ISERROR(SEARCH("по паспорту",G300)),ISERROR(SEARCH("по паспорту",H300)),I300&lt;&gt;"",J300&lt;&gt;"",K300&lt;&gt;"",L300&lt;&gt;"",M300&lt;&gt;""),"ГОТОВО","НЕ ГОТОВО"))</f>
        <v/>
      </c>
      <c r="Z300" s="226">
        <f>IF(Y300&lt;&gt;"ГОТОВО","", "Предварительное заключение: "&amp;A300&amp;", скв. "&amp;B300&amp;". МРП: "&amp;E300&amp;" сут. ГНО: "&amp;F300&amp;", типоразмер "&amp;G300&amp;", марка "&amp;H300&amp;". Событие: "&amp;I300&amp;". Признак: "&amp;J300&amp;". Узел: "&amp;K300&amp;". Предварительная причина: "&amp;L300&amp;". Основное осложнение: "&amp;M300&amp;IF(N300&lt;&gt;"","; сопутствующее: "&amp;N300,"")&amp;IF(O300&lt;&gt;"","; дополнительно: "&amp;O300,"")&amp;".")</f>
        <v/>
      </c>
    </row>
    <row r="301">
      <c r="A301" s="75" t="n"/>
      <c r="B301" s="75" t="n"/>
      <c r="C301" s="261" t="n"/>
      <c r="D301" s="261" t="n"/>
      <c r="E301" s="262">
        <f>IF(OR(C301="",D301=""),"",D301-C301)</f>
        <v/>
      </c>
      <c r="F301" s="75" t="n"/>
      <c r="G301" s="75" t="n"/>
      <c r="H301" s="75" t="n"/>
      <c r="I301" s="75" t="n"/>
      <c r="J301" s="75" t="n"/>
      <c r="K301" s="75" t="n"/>
      <c r="L301" s="75" t="n"/>
      <c r="M301" s="75" t="n"/>
      <c r="N301" s="75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226">
        <f>IF(AND(A301="",B301=""),"",IF(AND(A301&lt;&gt;"",B301&lt;&gt;"",C301&lt;&gt;"",D301&lt;&gt;"",F301&lt;&gt;"",G301&lt;&gt;"",H301&lt;&gt;"",ISERROR(SEARCH("по паспорту",G301)),ISERROR(SEARCH("по паспорту",H301)),I301&lt;&gt;"",J301&lt;&gt;"",K301&lt;&gt;"",L301&lt;&gt;"",M301&lt;&gt;""),"ГОТОВО","НЕ ГОТОВО"))</f>
        <v/>
      </c>
      <c r="Z301" s="226">
        <f>IF(Y301&lt;&gt;"ГОТОВО","", "Предварительное заключение: "&amp;A301&amp;", скв. "&amp;B301&amp;". МРП: "&amp;E301&amp;" сут. ГНО: "&amp;F301&amp;", типоразмер "&amp;G301&amp;", марка "&amp;H301&amp;". Событие: "&amp;I301&amp;". Признак: "&amp;J301&amp;". Узел: "&amp;K301&amp;". Предварительная причина: "&amp;L301&amp;". Основное осложнение: "&amp;M301&amp;IF(N301&lt;&gt;"","; сопутствующее: "&amp;N301,"")&amp;IF(O301&lt;&gt;"","; дополнительно: "&amp;O301,"")&amp;".")</f>
        <v/>
      </c>
    </row>
    <row r="302">
      <c r="A302" s="75" t="n"/>
      <c r="B302" s="75" t="n"/>
      <c r="C302" s="261" t="n"/>
      <c r="D302" s="261" t="n"/>
      <c r="E302" s="262">
        <f>IF(OR(C302="",D302=""),"",D302-C302)</f>
        <v/>
      </c>
      <c r="F302" s="75" t="n"/>
      <c r="G302" s="75" t="n"/>
      <c r="H302" s="75" t="n"/>
      <c r="I302" s="75" t="n"/>
      <c r="J302" s="75" t="n"/>
      <c r="K302" s="75" t="n"/>
      <c r="L302" s="75" t="n"/>
      <c r="M302" s="75" t="n"/>
      <c r="N302" s="75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226">
        <f>IF(AND(A302="",B302=""),"",IF(AND(A302&lt;&gt;"",B302&lt;&gt;"",C302&lt;&gt;"",D302&lt;&gt;"",F302&lt;&gt;"",G302&lt;&gt;"",H302&lt;&gt;"",ISERROR(SEARCH("по паспорту",G302)),ISERROR(SEARCH("по паспорту",H302)),I302&lt;&gt;"",J302&lt;&gt;"",K302&lt;&gt;"",L302&lt;&gt;"",M302&lt;&gt;""),"ГОТОВО","НЕ ГОТОВО"))</f>
        <v/>
      </c>
      <c r="Z302" s="226">
        <f>IF(Y302&lt;&gt;"ГОТОВО","", "Предварительное заключение: "&amp;A302&amp;", скв. "&amp;B302&amp;". МРП: "&amp;E302&amp;" сут. ГНО: "&amp;F302&amp;", типоразмер "&amp;G302&amp;", марка "&amp;H302&amp;". Событие: "&amp;I302&amp;". Признак: "&amp;J302&amp;". Узел: "&amp;K302&amp;". Предварительная причина: "&amp;L302&amp;". Основное осложнение: "&amp;M302&amp;IF(N302&lt;&gt;"","; сопутствующее: "&amp;N302,"")&amp;IF(O302&lt;&gt;"","; дополнительно: "&amp;O302,"")&amp;".")</f>
        <v/>
      </c>
    </row>
    <row r="303">
      <c r="A303" s="75" t="n"/>
      <c r="B303" s="75" t="n"/>
      <c r="C303" s="261" t="n"/>
      <c r="D303" s="261" t="n"/>
      <c r="E303" s="262">
        <f>IF(OR(C303="",D303=""),"",D303-C303)</f>
        <v/>
      </c>
      <c r="F303" s="75" t="n"/>
      <c r="G303" s="75" t="n"/>
      <c r="H303" s="75" t="n"/>
      <c r="I303" s="75" t="n"/>
      <c r="J303" s="75" t="n"/>
      <c r="K303" s="75" t="n"/>
      <c r="L303" s="75" t="n"/>
      <c r="M303" s="75" t="n"/>
      <c r="N303" s="75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226">
        <f>IF(AND(A303="",B303=""),"",IF(AND(A303&lt;&gt;"",B303&lt;&gt;"",C303&lt;&gt;"",D303&lt;&gt;"",F303&lt;&gt;"",G303&lt;&gt;"",H303&lt;&gt;"",ISERROR(SEARCH("по паспорту",G303)),ISERROR(SEARCH("по паспорту",H303)),I303&lt;&gt;"",J303&lt;&gt;"",K303&lt;&gt;"",L303&lt;&gt;"",M303&lt;&gt;""),"ГОТОВО","НЕ ГОТОВО"))</f>
        <v/>
      </c>
      <c r="Z303" s="226">
        <f>IF(Y303&lt;&gt;"ГОТОВО","", "Предварительное заключение: "&amp;A303&amp;", скв. "&amp;B303&amp;". МРП: "&amp;E303&amp;" сут. ГНО: "&amp;F303&amp;", типоразмер "&amp;G303&amp;", марка "&amp;H303&amp;". Событие: "&amp;I303&amp;". Признак: "&amp;J303&amp;". Узел: "&amp;K303&amp;". Предварительная причина: "&amp;L303&amp;". Основное осложнение: "&amp;M303&amp;IF(N303&lt;&gt;"","; сопутствующее: "&amp;N303,"")&amp;IF(O303&lt;&gt;"","; дополнительно: "&amp;O303,"")&amp;".")</f>
        <v/>
      </c>
    </row>
    <row r="304">
      <c r="A304" s="75" t="n"/>
      <c r="B304" s="75" t="n"/>
      <c r="C304" s="261" t="n"/>
      <c r="D304" s="261" t="n"/>
      <c r="E304" s="262">
        <f>IF(OR(C304="",D304=""),"",D304-C304)</f>
        <v/>
      </c>
      <c r="F304" s="75" t="n"/>
      <c r="G304" s="75" t="n"/>
      <c r="H304" s="75" t="n"/>
      <c r="I304" s="75" t="n"/>
      <c r="J304" s="75" t="n"/>
      <c r="K304" s="75" t="n"/>
      <c r="L304" s="75" t="n"/>
      <c r="M304" s="75" t="n"/>
      <c r="N304" s="75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226">
        <f>IF(AND(A304="",B304=""),"",IF(AND(A304&lt;&gt;"",B304&lt;&gt;"",C304&lt;&gt;"",D304&lt;&gt;"",F304&lt;&gt;"",G304&lt;&gt;"",H304&lt;&gt;"",ISERROR(SEARCH("по паспорту",G304)),ISERROR(SEARCH("по паспорту",H304)),I304&lt;&gt;"",J304&lt;&gt;"",K304&lt;&gt;"",L304&lt;&gt;"",M304&lt;&gt;""),"ГОТОВО","НЕ ГОТОВО"))</f>
        <v/>
      </c>
      <c r="Z304" s="226">
        <f>IF(Y304&lt;&gt;"ГОТОВО","", "Предварительное заключение: "&amp;A304&amp;", скв. "&amp;B304&amp;". МРП: "&amp;E304&amp;" сут. ГНО: "&amp;F304&amp;", типоразмер "&amp;G304&amp;", марка "&amp;H304&amp;". Событие: "&amp;I304&amp;". Признак: "&amp;J304&amp;". Узел: "&amp;K304&amp;". Предварительная причина: "&amp;L304&amp;". Основное осложнение: "&amp;M304&amp;IF(N304&lt;&gt;"","; сопутствующее: "&amp;N304,"")&amp;IF(O304&lt;&gt;"","; дополнительно: "&amp;O304,"")&amp;".")</f>
        <v/>
      </c>
    </row>
    <row r="305">
      <c r="A305" s="75" t="n"/>
      <c r="B305" s="75" t="n"/>
      <c r="C305" s="261" t="n"/>
      <c r="D305" s="261" t="n"/>
      <c r="E305" s="262">
        <f>IF(OR(C305="",D305=""),"",D305-C305)</f>
        <v/>
      </c>
      <c r="F305" s="75" t="n"/>
      <c r="G305" s="75" t="n"/>
      <c r="H305" s="75" t="n"/>
      <c r="I305" s="75" t="n"/>
      <c r="J305" s="75" t="n"/>
      <c r="K305" s="75" t="n"/>
      <c r="L305" s="75" t="n"/>
      <c r="M305" s="75" t="n"/>
      <c r="N305" s="75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226">
        <f>IF(AND(A305="",B305=""),"",IF(AND(A305&lt;&gt;"",B305&lt;&gt;"",C305&lt;&gt;"",D305&lt;&gt;"",F305&lt;&gt;"",G305&lt;&gt;"",H305&lt;&gt;"",ISERROR(SEARCH("по паспорту",G305)),ISERROR(SEARCH("по паспорту",H305)),I305&lt;&gt;"",J305&lt;&gt;"",K305&lt;&gt;"",L305&lt;&gt;"",M305&lt;&gt;""),"ГОТОВО","НЕ ГОТОВО"))</f>
        <v/>
      </c>
      <c r="Z305" s="226">
        <f>IF(Y305&lt;&gt;"ГОТОВО","", "Предварительное заключение: "&amp;A305&amp;", скв. "&amp;B305&amp;". МРП: "&amp;E305&amp;" сут. ГНО: "&amp;F305&amp;", типоразмер "&amp;G305&amp;", марка "&amp;H305&amp;". Событие: "&amp;I305&amp;". Признак: "&amp;J305&amp;". Узел: "&amp;K305&amp;". Предварительная причина: "&amp;L305&amp;". Основное осложнение: "&amp;M305&amp;IF(N305&lt;&gt;"","; сопутствующее: "&amp;N305,"")&amp;IF(O305&lt;&gt;"","; дополнительно: "&amp;O305,"")&amp;".")</f>
        <v/>
      </c>
    </row>
    <row r="306">
      <c r="A306" s="75" t="n"/>
      <c r="B306" s="75" t="n"/>
      <c r="C306" s="261" t="n"/>
      <c r="D306" s="261" t="n"/>
      <c r="E306" s="262">
        <f>IF(OR(C306="",D306=""),"",D306-C306)</f>
        <v/>
      </c>
      <c r="F306" s="75" t="n"/>
      <c r="G306" s="75" t="n"/>
      <c r="H306" s="75" t="n"/>
      <c r="I306" s="75" t="n"/>
      <c r="J306" s="75" t="n"/>
      <c r="K306" s="75" t="n"/>
      <c r="L306" s="75" t="n"/>
      <c r="M306" s="75" t="n"/>
      <c r="N306" s="75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226">
        <f>IF(AND(A306="",B306=""),"",IF(AND(A306&lt;&gt;"",B306&lt;&gt;"",C306&lt;&gt;"",D306&lt;&gt;"",F306&lt;&gt;"",G306&lt;&gt;"",H306&lt;&gt;"",ISERROR(SEARCH("по паспорту",G306)),ISERROR(SEARCH("по паспорту",H306)),I306&lt;&gt;"",J306&lt;&gt;"",K306&lt;&gt;"",L306&lt;&gt;"",M306&lt;&gt;""),"ГОТОВО","НЕ ГОТОВО"))</f>
        <v/>
      </c>
      <c r="Z306" s="226">
        <f>IF(Y306&lt;&gt;"ГОТОВО","", "Предварительное заключение: "&amp;A306&amp;", скв. "&amp;B306&amp;". МРП: "&amp;E306&amp;" сут. ГНО: "&amp;F306&amp;", типоразмер "&amp;G306&amp;", марка "&amp;H306&amp;". Событие: "&amp;I306&amp;". Признак: "&amp;J306&amp;". Узел: "&amp;K306&amp;". Предварительная причина: "&amp;L306&amp;". Основное осложнение: "&amp;M306&amp;IF(N306&lt;&gt;"","; сопутствующее: "&amp;N306,"")&amp;IF(O306&lt;&gt;"","; дополнительно: "&amp;O306,"")&amp;".")</f>
        <v/>
      </c>
    </row>
    <row r="307">
      <c r="A307" s="75" t="n"/>
      <c r="B307" s="75" t="n"/>
      <c r="C307" s="261" t="n"/>
      <c r="D307" s="261" t="n"/>
      <c r="E307" s="262">
        <f>IF(OR(C307="",D307=""),"",D307-C307)</f>
        <v/>
      </c>
      <c r="F307" s="75" t="n"/>
      <c r="G307" s="75" t="n"/>
      <c r="H307" s="75" t="n"/>
      <c r="I307" s="75" t="n"/>
      <c r="J307" s="75" t="n"/>
      <c r="K307" s="75" t="n"/>
      <c r="L307" s="75" t="n"/>
      <c r="M307" s="75" t="n"/>
      <c r="N307" s="75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226">
        <f>IF(AND(A307="",B307=""),"",IF(AND(A307&lt;&gt;"",B307&lt;&gt;"",C307&lt;&gt;"",D307&lt;&gt;"",F307&lt;&gt;"",G307&lt;&gt;"",H307&lt;&gt;"",ISERROR(SEARCH("по паспорту",G307)),ISERROR(SEARCH("по паспорту",H307)),I307&lt;&gt;"",J307&lt;&gt;"",K307&lt;&gt;"",L307&lt;&gt;"",M307&lt;&gt;""),"ГОТОВО","НЕ ГОТОВО"))</f>
        <v/>
      </c>
      <c r="Z307" s="226">
        <f>IF(Y307&lt;&gt;"ГОТОВО","", "Предварительное заключение: "&amp;A307&amp;", скв. "&amp;B307&amp;". МРП: "&amp;E307&amp;" сут. ГНО: "&amp;F307&amp;", типоразмер "&amp;G307&amp;", марка "&amp;H307&amp;". Событие: "&amp;I307&amp;". Признак: "&amp;J307&amp;". Узел: "&amp;K307&amp;". Предварительная причина: "&amp;L307&amp;". Основное осложнение: "&amp;M307&amp;IF(N307&lt;&gt;"","; сопутствующее: "&amp;N307,"")&amp;IF(O307&lt;&gt;"","; дополнительно: "&amp;O307,"")&amp;".")</f>
        <v/>
      </c>
    </row>
    <row r="308">
      <c r="A308" s="75" t="n"/>
      <c r="B308" s="75" t="n"/>
      <c r="C308" s="261" t="n"/>
      <c r="D308" s="261" t="n"/>
      <c r="E308" s="262">
        <f>IF(OR(C308="",D308=""),"",D308-C308)</f>
        <v/>
      </c>
      <c r="F308" s="75" t="n"/>
      <c r="G308" s="75" t="n"/>
      <c r="H308" s="75" t="n"/>
      <c r="I308" s="75" t="n"/>
      <c r="J308" s="75" t="n"/>
      <c r="K308" s="75" t="n"/>
      <c r="L308" s="75" t="n"/>
      <c r="M308" s="75" t="n"/>
      <c r="N308" s="75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226">
        <f>IF(AND(A308="",B308=""),"",IF(AND(A308&lt;&gt;"",B308&lt;&gt;"",C308&lt;&gt;"",D308&lt;&gt;"",F308&lt;&gt;"",G308&lt;&gt;"",H308&lt;&gt;"",ISERROR(SEARCH("по паспорту",G308)),ISERROR(SEARCH("по паспорту",H308)),I308&lt;&gt;"",J308&lt;&gt;"",K308&lt;&gt;"",L308&lt;&gt;"",M308&lt;&gt;""),"ГОТОВО","НЕ ГОТОВО"))</f>
        <v/>
      </c>
      <c r="Z308" s="226">
        <f>IF(Y308&lt;&gt;"ГОТОВО","", "Предварительное заключение: "&amp;A308&amp;", скв. "&amp;B308&amp;". МРП: "&amp;E308&amp;" сут. ГНО: "&amp;F308&amp;", типоразмер "&amp;G308&amp;", марка "&amp;H308&amp;". Событие: "&amp;I308&amp;". Признак: "&amp;J308&amp;". Узел: "&amp;K308&amp;". Предварительная причина: "&amp;L308&amp;". Основное осложнение: "&amp;M308&amp;IF(N308&lt;&gt;"","; сопутствующее: "&amp;N308,"")&amp;IF(O308&lt;&gt;"","; дополнительно: "&amp;O308,"")&amp;".")</f>
        <v/>
      </c>
    </row>
    <row r="309">
      <c r="A309" s="75" t="n"/>
      <c r="B309" s="75" t="n"/>
      <c r="C309" s="261" t="n"/>
      <c r="D309" s="261" t="n"/>
      <c r="E309" s="262">
        <f>IF(OR(C309="",D309=""),"",D309-C309)</f>
        <v/>
      </c>
      <c r="F309" s="75" t="n"/>
      <c r="G309" s="75" t="n"/>
      <c r="H309" s="75" t="n"/>
      <c r="I309" s="75" t="n"/>
      <c r="J309" s="75" t="n"/>
      <c r="K309" s="75" t="n"/>
      <c r="L309" s="75" t="n"/>
      <c r="M309" s="75" t="n"/>
      <c r="N309" s="75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226">
        <f>IF(AND(A309="",B309=""),"",IF(AND(A309&lt;&gt;"",B309&lt;&gt;"",C309&lt;&gt;"",D309&lt;&gt;"",F309&lt;&gt;"",G309&lt;&gt;"",H309&lt;&gt;"",ISERROR(SEARCH("по паспорту",G309)),ISERROR(SEARCH("по паспорту",H309)),I309&lt;&gt;"",J309&lt;&gt;"",K309&lt;&gt;"",L309&lt;&gt;"",M309&lt;&gt;""),"ГОТОВО","НЕ ГОТОВО"))</f>
        <v/>
      </c>
      <c r="Z309" s="226">
        <f>IF(Y309&lt;&gt;"ГОТОВО","", "Предварительное заключение: "&amp;A309&amp;", скв. "&amp;B309&amp;". МРП: "&amp;E309&amp;" сут. ГНО: "&amp;F309&amp;", типоразмер "&amp;G309&amp;", марка "&amp;H309&amp;". Событие: "&amp;I309&amp;". Признак: "&amp;J309&amp;". Узел: "&amp;K309&amp;". Предварительная причина: "&amp;L309&amp;". Основное осложнение: "&amp;M309&amp;IF(N309&lt;&gt;"","; сопутствующее: "&amp;N309,"")&amp;IF(O309&lt;&gt;"","; дополнительно: "&amp;O309,"")&amp;".")</f>
        <v/>
      </c>
    </row>
    <row r="310">
      <c r="A310" s="75" t="n"/>
      <c r="B310" s="75" t="n"/>
      <c r="C310" s="261" t="n"/>
      <c r="D310" s="261" t="n"/>
      <c r="E310" s="262">
        <f>IF(OR(C310="",D310=""),"",D310-C310)</f>
        <v/>
      </c>
      <c r="F310" s="75" t="n"/>
      <c r="G310" s="75" t="n"/>
      <c r="H310" s="75" t="n"/>
      <c r="I310" s="75" t="n"/>
      <c r="J310" s="75" t="n"/>
      <c r="K310" s="75" t="n"/>
      <c r="L310" s="75" t="n"/>
      <c r="M310" s="75" t="n"/>
      <c r="N310" s="75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226">
        <f>IF(AND(A310="",B310=""),"",IF(AND(A310&lt;&gt;"",B310&lt;&gt;"",C310&lt;&gt;"",D310&lt;&gt;"",F310&lt;&gt;"",G310&lt;&gt;"",H310&lt;&gt;"",ISERROR(SEARCH("по паспорту",G310)),ISERROR(SEARCH("по паспорту",H310)),I310&lt;&gt;"",J310&lt;&gt;"",K310&lt;&gt;"",L310&lt;&gt;"",M310&lt;&gt;""),"ГОТОВО","НЕ ГОТОВО"))</f>
        <v/>
      </c>
      <c r="Z310" s="226">
        <f>IF(Y310&lt;&gt;"ГОТОВО","", "Предварительное заключение: "&amp;A310&amp;", скв. "&amp;B310&amp;". МРП: "&amp;E310&amp;" сут. ГНО: "&amp;F310&amp;", типоразмер "&amp;G310&amp;", марка "&amp;H310&amp;". Событие: "&amp;I310&amp;". Признак: "&amp;J310&amp;". Узел: "&amp;K310&amp;". Предварительная причина: "&amp;L310&amp;". Основное осложнение: "&amp;M310&amp;IF(N310&lt;&gt;"","; сопутствующее: "&amp;N310,"")&amp;IF(O310&lt;&gt;"","; дополнительно: "&amp;O310,"")&amp;".")</f>
        <v/>
      </c>
    </row>
    <row r="311">
      <c r="A311" s="75" t="n"/>
      <c r="B311" s="75" t="n"/>
      <c r="C311" s="261" t="n"/>
      <c r="D311" s="261" t="n"/>
      <c r="E311" s="262">
        <f>IF(OR(C311="",D311=""),"",D311-C311)</f>
        <v/>
      </c>
      <c r="F311" s="75" t="n"/>
      <c r="G311" s="75" t="n"/>
      <c r="H311" s="75" t="n"/>
      <c r="I311" s="75" t="n"/>
      <c r="J311" s="75" t="n"/>
      <c r="K311" s="75" t="n"/>
      <c r="L311" s="75" t="n"/>
      <c r="M311" s="75" t="n"/>
      <c r="N311" s="75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226">
        <f>IF(AND(A311="",B311=""),"",IF(AND(A311&lt;&gt;"",B311&lt;&gt;"",C311&lt;&gt;"",D311&lt;&gt;"",F311&lt;&gt;"",G311&lt;&gt;"",H311&lt;&gt;"",ISERROR(SEARCH("по паспорту",G311)),ISERROR(SEARCH("по паспорту",H311)),I311&lt;&gt;"",J311&lt;&gt;"",K311&lt;&gt;"",L311&lt;&gt;"",M311&lt;&gt;""),"ГОТОВО","НЕ ГОТОВО"))</f>
        <v/>
      </c>
      <c r="Z311" s="226">
        <f>IF(Y311&lt;&gt;"ГОТОВО","", "Предварительное заключение: "&amp;A311&amp;", скв. "&amp;B311&amp;". МРП: "&amp;E311&amp;" сут. ГНО: "&amp;F311&amp;", типоразмер "&amp;G311&amp;", марка "&amp;H311&amp;". Событие: "&amp;I311&amp;". Признак: "&amp;J311&amp;". Узел: "&amp;K311&amp;". Предварительная причина: "&amp;L311&amp;". Основное осложнение: "&amp;M311&amp;IF(N311&lt;&gt;"","; сопутствующее: "&amp;N311,"")&amp;IF(O311&lt;&gt;"","; дополнительно: "&amp;O311,"")&amp;".")</f>
        <v/>
      </c>
    </row>
    <row r="312">
      <c r="A312" s="75" t="n"/>
      <c r="B312" s="75" t="n"/>
      <c r="C312" s="261" t="n"/>
      <c r="D312" s="261" t="n"/>
      <c r="E312" s="262">
        <f>IF(OR(C312="",D312=""),"",D312-C312)</f>
        <v/>
      </c>
      <c r="F312" s="75" t="n"/>
      <c r="G312" s="75" t="n"/>
      <c r="H312" s="75" t="n"/>
      <c r="I312" s="75" t="n"/>
      <c r="J312" s="75" t="n"/>
      <c r="K312" s="75" t="n"/>
      <c r="L312" s="75" t="n"/>
      <c r="M312" s="75" t="n"/>
      <c r="N312" s="75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226">
        <f>IF(AND(A312="",B312=""),"",IF(AND(A312&lt;&gt;"",B312&lt;&gt;"",C312&lt;&gt;"",D312&lt;&gt;"",F312&lt;&gt;"",G312&lt;&gt;"",H312&lt;&gt;"",ISERROR(SEARCH("по паспорту",G312)),ISERROR(SEARCH("по паспорту",H312)),I312&lt;&gt;"",J312&lt;&gt;"",K312&lt;&gt;"",L312&lt;&gt;"",M312&lt;&gt;""),"ГОТОВО","НЕ ГОТОВО"))</f>
        <v/>
      </c>
      <c r="Z312" s="226">
        <f>IF(Y312&lt;&gt;"ГОТОВО","", "Предварительное заключение: "&amp;A312&amp;", скв. "&amp;B312&amp;". МРП: "&amp;E312&amp;" сут. ГНО: "&amp;F312&amp;", типоразмер "&amp;G312&amp;", марка "&amp;H312&amp;". Событие: "&amp;I312&amp;". Признак: "&amp;J312&amp;". Узел: "&amp;K312&amp;". Предварительная причина: "&amp;L312&amp;". Основное осложнение: "&amp;M312&amp;IF(N312&lt;&gt;"","; сопутствующее: "&amp;N312,"")&amp;IF(O312&lt;&gt;"","; дополнительно: "&amp;O312,"")&amp;".")</f>
        <v/>
      </c>
    </row>
    <row r="313">
      <c r="A313" s="75" t="n"/>
      <c r="B313" s="75" t="n"/>
      <c r="C313" s="261" t="n"/>
      <c r="D313" s="261" t="n"/>
      <c r="E313" s="262">
        <f>IF(OR(C313="",D313=""),"",D313-C313)</f>
        <v/>
      </c>
      <c r="F313" s="75" t="n"/>
      <c r="G313" s="75" t="n"/>
      <c r="H313" s="75" t="n"/>
      <c r="I313" s="75" t="n"/>
      <c r="J313" s="75" t="n"/>
      <c r="K313" s="75" t="n"/>
      <c r="L313" s="75" t="n"/>
      <c r="M313" s="75" t="n"/>
      <c r="N313" s="75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226">
        <f>IF(AND(A313="",B313=""),"",IF(AND(A313&lt;&gt;"",B313&lt;&gt;"",C313&lt;&gt;"",D313&lt;&gt;"",F313&lt;&gt;"",G313&lt;&gt;"",H313&lt;&gt;"",ISERROR(SEARCH("по паспорту",G313)),ISERROR(SEARCH("по паспорту",H313)),I313&lt;&gt;"",J313&lt;&gt;"",K313&lt;&gt;"",L313&lt;&gt;"",M313&lt;&gt;""),"ГОТОВО","НЕ ГОТОВО"))</f>
        <v/>
      </c>
      <c r="Z313" s="226">
        <f>IF(Y313&lt;&gt;"ГОТОВО","", "Предварительное заключение: "&amp;A313&amp;", скв. "&amp;B313&amp;". МРП: "&amp;E313&amp;" сут. ГНО: "&amp;F313&amp;", типоразмер "&amp;G313&amp;", марка "&amp;H313&amp;". Событие: "&amp;I313&amp;". Признак: "&amp;J313&amp;". Узел: "&amp;K313&amp;". Предварительная причина: "&amp;L313&amp;". Основное осложнение: "&amp;M313&amp;IF(N313&lt;&gt;"","; сопутствующее: "&amp;N313,"")&amp;IF(O313&lt;&gt;"","; дополнительно: "&amp;O313,"")&amp;".")</f>
        <v/>
      </c>
    </row>
    <row r="314">
      <c r="A314" s="75" t="n"/>
      <c r="B314" s="75" t="n"/>
      <c r="C314" s="261" t="n"/>
      <c r="D314" s="261" t="n"/>
      <c r="E314" s="262">
        <f>IF(OR(C314="",D314=""),"",D314-C314)</f>
        <v/>
      </c>
      <c r="F314" s="75" t="n"/>
      <c r="G314" s="75" t="n"/>
      <c r="H314" s="75" t="n"/>
      <c r="I314" s="75" t="n"/>
      <c r="J314" s="75" t="n"/>
      <c r="K314" s="75" t="n"/>
      <c r="L314" s="75" t="n"/>
      <c r="M314" s="75" t="n"/>
      <c r="N314" s="75" t="n"/>
      <c r="O314" s="75" t="n"/>
      <c r="P314" s="75" t="n"/>
      <c r="Q314" s="75" t="n"/>
      <c r="R314" s="75" t="n"/>
      <c r="S314" s="75" t="n"/>
      <c r="T314" s="75" t="n"/>
      <c r="U314" s="75" t="n"/>
      <c r="V314" s="75" t="n"/>
      <c r="W314" s="75" t="n"/>
      <c r="X314" s="75" t="n"/>
      <c r="Y314" s="226">
        <f>IF(AND(A314="",B314=""),"",IF(AND(A314&lt;&gt;"",B314&lt;&gt;"",C314&lt;&gt;"",D314&lt;&gt;"",F314&lt;&gt;"",G314&lt;&gt;"",H314&lt;&gt;"",ISERROR(SEARCH("по паспорту",G314)),ISERROR(SEARCH("по паспорту",H314)),I314&lt;&gt;"",J314&lt;&gt;"",K314&lt;&gt;"",L314&lt;&gt;"",M314&lt;&gt;""),"ГОТОВО","НЕ ГОТОВО"))</f>
        <v/>
      </c>
      <c r="Z314" s="226">
        <f>IF(Y314&lt;&gt;"ГОТОВО","", "Предварительное заключение: "&amp;A314&amp;", скв. "&amp;B314&amp;". МРП: "&amp;E314&amp;" сут. ГНО: "&amp;F314&amp;", типоразмер "&amp;G314&amp;", марка "&amp;H314&amp;". Событие: "&amp;I314&amp;". Признак: "&amp;J314&amp;". Узел: "&amp;K314&amp;". Предварительная причина: "&amp;L314&amp;". Основное осложнение: "&amp;M314&amp;IF(N314&lt;&gt;"","; сопутствующее: "&amp;N314,"")&amp;IF(O314&lt;&gt;"","; дополнительно: "&amp;O314,"")&amp;".")</f>
        <v/>
      </c>
    </row>
    <row r="315">
      <c r="A315" s="75" t="n"/>
      <c r="B315" s="75" t="n"/>
      <c r="C315" s="261" t="n"/>
      <c r="D315" s="261" t="n"/>
      <c r="E315" s="262">
        <f>IF(OR(C315="",D315=""),"",D315-C315)</f>
        <v/>
      </c>
      <c r="F315" s="75" t="n"/>
      <c r="G315" s="75" t="n"/>
      <c r="H315" s="75" t="n"/>
      <c r="I315" s="75" t="n"/>
      <c r="J315" s="75" t="n"/>
      <c r="K315" s="75" t="n"/>
      <c r="L315" s="75" t="n"/>
      <c r="M315" s="75" t="n"/>
      <c r="N315" s="75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226">
        <f>IF(AND(A315="",B315=""),"",IF(AND(A315&lt;&gt;"",B315&lt;&gt;"",C315&lt;&gt;"",D315&lt;&gt;"",F315&lt;&gt;"",G315&lt;&gt;"",H315&lt;&gt;"",ISERROR(SEARCH("по паспорту",G315)),ISERROR(SEARCH("по паспорту",H315)),I315&lt;&gt;"",J315&lt;&gt;"",K315&lt;&gt;"",L315&lt;&gt;"",M315&lt;&gt;""),"ГОТОВО","НЕ ГОТОВО"))</f>
        <v/>
      </c>
      <c r="Z315" s="226">
        <f>IF(Y315&lt;&gt;"ГОТОВО","", "Предварительное заключение: "&amp;A315&amp;", скв. "&amp;B315&amp;". МРП: "&amp;E315&amp;" сут. ГНО: "&amp;F315&amp;", типоразмер "&amp;G315&amp;", марка "&amp;H315&amp;". Событие: "&amp;I315&amp;". Признак: "&amp;J315&amp;". Узел: "&amp;K315&amp;". Предварительная причина: "&amp;L315&amp;". Основное осложнение: "&amp;M315&amp;IF(N315&lt;&gt;"","; сопутствующее: "&amp;N315,"")&amp;IF(O315&lt;&gt;"","; дополнительно: "&amp;O315,"")&amp;".")</f>
        <v/>
      </c>
    </row>
    <row r="316">
      <c r="A316" s="75" t="n"/>
      <c r="B316" s="75" t="n"/>
      <c r="C316" s="261" t="n"/>
      <c r="D316" s="261" t="n"/>
      <c r="E316" s="262">
        <f>IF(OR(C316="",D316=""),"",D316-C316)</f>
        <v/>
      </c>
      <c r="F316" s="75" t="n"/>
      <c r="G316" s="75" t="n"/>
      <c r="H316" s="75" t="n"/>
      <c r="I316" s="75" t="n"/>
      <c r="J316" s="75" t="n"/>
      <c r="K316" s="75" t="n"/>
      <c r="L316" s="75" t="n"/>
      <c r="M316" s="75" t="n"/>
      <c r="N316" s="75" t="n"/>
      <c r="O316" s="75" t="n"/>
      <c r="P316" s="75" t="n"/>
      <c r="Q316" s="75" t="n"/>
      <c r="R316" s="75" t="n"/>
      <c r="S316" s="75" t="n"/>
      <c r="T316" s="75" t="n"/>
      <c r="U316" s="75" t="n"/>
      <c r="V316" s="75" t="n"/>
      <c r="W316" s="75" t="n"/>
      <c r="X316" s="75" t="n"/>
      <c r="Y316" s="226">
        <f>IF(AND(A316="",B316=""),"",IF(AND(A316&lt;&gt;"",B316&lt;&gt;"",C316&lt;&gt;"",D316&lt;&gt;"",F316&lt;&gt;"",G316&lt;&gt;"",H316&lt;&gt;"",ISERROR(SEARCH("по паспорту",G316)),ISERROR(SEARCH("по паспорту",H316)),I316&lt;&gt;"",J316&lt;&gt;"",K316&lt;&gt;"",L316&lt;&gt;"",M316&lt;&gt;""),"ГОТОВО","НЕ ГОТОВО"))</f>
        <v/>
      </c>
      <c r="Z316" s="226">
        <f>IF(Y316&lt;&gt;"ГОТОВО","", "Предварительное заключение: "&amp;A316&amp;", скв. "&amp;B316&amp;". МРП: "&amp;E316&amp;" сут. ГНО: "&amp;F316&amp;", типоразмер "&amp;G316&amp;", марка "&amp;H316&amp;". Событие: "&amp;I316&amp;". Признак: "&amp;J316&amp;". Узел: "&amp;K316&amp;". Предварительная причина: "&amp;L316&amp;". Основное осложнение: "&amp;M316&amp;IF(N316&lt;&gt;"","; сопутствующее: "&amp;N316,"")&amp;IF(O316&lt;&gt;"","; дополнительно: "&amp;O316,"")&amp;".")</f>
        <v/>
      </c>
    </row>
    <row r="317">
      <c r="A317" s="75" t="n"/>
      <c r="B317" s="75" t="n"/>
      <c r="C317" s="261" t="n"/>
      <c r="D317" s="261" t="n"/>
      <c r="E317" s="262">
        <f>IF(OR(C317="",D317=""),"",D317-C317)</f>
        <v/>
      </c>
      <c r="F317" s="75" t="n"/>
      <c r="G317" s="75" t="n"/>
      <c r="H317" s="75" t="n"/>
      <c r="I317" s="75" t="n"/>
      <c r="J317" s="75" t="n"/>
      <c r="K317" s="75" t="n"/>
      <c r="L317" s="75" t="n"/>
      <c r="M317" s="75" t="n"/>
      <c r="N317" s="75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226">
        <f>IF(AND(A317="",B317=""),"",IF(AND(A317&lt;&gt;"",B317&lt;&gt;"",C317&lt;&gt;"",D317&lt;&gt;"",F317&lt;&gt;"",G317&lt;&gt;"",H317&lt;&gt;"",ISERROR(SEARCH("по паспорту",G317)),ISERROR(SEARCH("по паспорту",H317)),I317&lt;&gt;"",J317&lt;&gt;"",K317&lt;&gt;"",L317&lt;&gt;"",M317&lt;&gt;""),"ГОТОВО","НЕ ГОТОВО"))</f>
        <v/>
      </c>
      <c r="Z317" s="226">
        <f>IF(Y317&lt;&gt;"ГОТОВО","", "Предварительное заключение: "&amp;A317&amp;", скв. "&amp;B317&amp;". МРП: "&amp;E317&amp;" сут. ГНО: "&amp;F317&amp;", типоразмер "&amp;G317&amp;", марка "&amp;H317&amp;". Событие: "&amp;I317&amp;". Признак: "&amp;J317&amp;". Узел: "&amp;K317&amp;". Предварительная причина: "&amp;L317&amp;". Основное осложнение: "&amp;M317&amp;IF(N317&lt;&gt;"","; сопутствующее: "&amp;N317,"")&amp;IF(O317&lt;&gt;"","; дополнительно: "&amp;O317,"")&amp;".")</f>
        <v/>
      </c>
    </row>
    <row r="318">
      <c r="A318" s="75" t="n"/>
      <c r="B318" s="75" t="n"/>
      <c r="C318" s="261" t="n"/>
      <c r="D318" s="261" t="n"/>
      <c r="E318" s="262">
        <f>IF(OR(C318="",D318=""),"",D318-C318)</f>
        <v/>
      </c>
      <c r="F318" s="75" t="n"/>
      <c r="G318" s="75" t="n"/>
      <c r="H318" s="75" t="n"/>
      <c r="I318" s="75" t="n"/>
      <c r="J318" s="75" t="n"/>
      <c r="K318" s="75" t="n"/>
      <c r="L318" s="75" t="n"/>
      <c r="M318" s="75" t="n"/>
      <c r="N318" s="75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226">
        <f>IF(AND(A318="",B318=""),"",IF(AND(A318&lt;&gt;"",B318&lt;&gt;"",C318&lt;&gt;"",D318&lt;&gt;"",F318&lt;&gt;"",G318&lt;&gt;"",H318&lt;&gt;"",ISERROR(SEARCH("по паспорту",G318)),ISERROR(SEARCH("по паспорту",H318)),I318&lt;&gt;"",J318&lt;&gt;"",K318&lt;&gt;"",L318&lt;&gt;"",M318&lt;&gt;""),"ГОТОВО","НЕ ГОТОВО"))</f>
        <v/>
      </c>
      <c r="Z318" s="226">
        <f>IF(Y318&lt;&gt;"ГОТОВО","", "Предварительное заключение: "&amp;A318&amp;", скв. "&amp;B318&amp;". МРП: "&amp;E318&amp;" сут. ГНО: "&amp;F318&amp;", типоразмер "&amp;G318&amp;", марка "&amp;H318&amp;". Событие: "&amp;I318&amp;". Признак: "&amp;J318&amp;". Узел: "&amp;K318&amp;". Предварительная причина: "&amp;L318&amp;". Основное осложнение: "&amp;M318&amp;IF(N318&lt;&gt;"","; сопутствующее: "&amp;N318,"")&amp;IF(O318&lt;&gt;"","; дополнительно: "&amp;O318,"")&amp;".")</f>
        <v/>
      </c>
    </row>
    <row r="319">
      <c r="A319" s="75" t="n"/>
      <c r="B319" s="75" t="n"/>
      <c r="C319" s="261" t="n"/>
      <c r="D319" s="261" t="n"/>
      <c r="E319" s="262">
        <f>IF(OR(C319="",D319=""),"",D319-C319)</f>
        <v/>
      </c>
      <c r="F319" s="75" t="n"/>
      <c r="G319" s="75" t="n"/>
      <c r="H319" s="75" t="n"/>
      <c r="I319" s="75" t="n"/>
      <c r="J319" s="75" t="n"/>
      <c r="K319" s="75" t="n"/>
      <c r="L319" s="75" t="n"/>
      <c r="M319" s="75" t="n"/>
      <c r="N319" s="75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226">
        <f>IF(AND(A319="",B319=""),"",IF(AND(A319&lt;&gt;"",B319&lt;&gt;"",C319&lt;&gt;"",D319&lt;&gt;"",F319&lt;&gt;"",G319&lt;&gt;"",H319&lt;&gt;"",ISERROR(SEARCH("по паспорту",G319)),ISERROR(SEARCH("по паспорту",H319)),I319&lt;&gt;"",J319&lt;&gt;"",K319&lt;&gt;"",L319&lt;&gt;"",M319&lt;&gt;""),"ГОТОВО","НЕ ГОТОВО"))</f>
        <v/>
      </c>
      <c r="Z319" s="226">
        <f>IF(Y319&lt;&gt;"ГОТОВО","", "Предварительное заключение: "&amp;A319&amp;", скв. "&amp;B319&amp;". МРП: "&amp;E319&amp;" сут. ГНО: "&amp;F319&amp;", типоразмер "&amp;G319&amp;", марка "&amp;H319&amp;". Событие: "&amp;I319&amp;". Признак: "&amp;J319&amp;". Узел: "&amp;K319&amp;". Предварительная причина: "&amp;L319&amp;". Основное осложнение: "&amp;M319&amp;IF(N319&lt;&gt;"","; сопутствующее: "&amp;N319,"")&amp;IF(O319&lt;&gt;"","; дополнительно: "&amp;O319,"")&amp;".")</f>
        <v/>
      </c>
    </row>
    <row r="320">
      <c r="A320" s="75" t="n"/>
      <c r="B320" s="75" t="n"/>
      <c r="C320" s="261" t="n"/>
      <c r="D320" s="261" t="n"/>
      <c r="E320" s="262">
        <f>IF(OR(C320="",D320=""),"",D320-C320)</f>
        <v/>
      </c>
      <c r="F320" s="75" t="n"/>
      <c r="G320" s="75" t="n"/>
      <c r="H320" s="75" t="n"/>
      <c r="I320" s="75" t="n"/>
      <c r="J320" s="75" t="n"/>
      <c r="K320" s="75" t="n"/>
      <c r="L320" s="75" t="n"/>
      <c r="M320" s="75" t="n"/>
      <c r="N320" s="75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226">
        <f>IF(AND(A320="",B320=""),"",IF(AND(A320&lt;&gt;"",B320&lt;&gt;"",C320&lt;&gt;"",D320&lt;&gt;"",F320&lt;&gt;"",G320&lt;&gt;"",H320&lt;&gt;"",ISERROR(SEARCH("по паспорту",G320)),ISERROR(SEARCH("по паспорту",H320)),I320&lt;&gt;"",J320&lt;&gt;"",K320&lt;&gt;"",L320&lt;&gt;"",M320&lt;&gt;""),"ГОТОВО","НЕ ГОТОВО"))</f>
        <v/>
      </c>
      <c r="Z320" s="226">
        <f>IF(Y320&lt;&gt;"ГОТОВО","", "Предварительное заключение: "&amp;A320&amp;", скв. "&amp;B320&amp;". МРП: "&amp;E320&amp;" сут. ГНО: "&amp;F320&amp;", типоразмер "&amp;G320&amp;", марка "&amp;H320&amp;". Событие: "&amp;I320&amp;". Признак: "&amp;J320&amp;". Узел: "&amp;K320&amp;". Предварительная причина: "&amp;L320&amp;". Основное осложнение: "&amp;M320&amp;IF(N320&lt;&gt;"","; сопутствующее: "&amp;N320,"")&amp;IF(O320&lt;&gt;"","; дополнительно: "&amp;O320,"")&amp;".")</f>
        <v/>
      </c>
    </row>
    <row r="321">
      <c r="A321" s="75" t="n"/>
      <c r="B321" s="75" t="n"/>
      <c r="C321" s="261" t="n"/>
      <c r="D321" s="261" t="n"/>
      <c r="E321" s="262">
        <f>IF(OR(C321="",D321=""),"",D321-C321)</f>
        <v/>
      </c>
      <c r="F321" s="75" t="n"/>
      <c r="G321" s="75" t="n"/>
      <c r="H321" s="75" t="n"/>
      <c r="I321" s="75" t="n"/>
      <c r="J321" s="75" t="n"/>
      <c r="K321" s="75" t="n"/>
      <c r="L321" s="75" t="n"/>
      <c r="M321" s="75" t="n"/>
      <c r="N321" s="75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226">
        <f>IF(AND(A321="",B321=""),"",IF(AND(A321&lt;&gt;"",B321&lt;&gt;"",C321&lt;&gt;"",D321&lt;&gt;"",F321&lt;&gt;"",G321&lt;&gt;"",H321&lt;&gt;"",ISERROR(SEARCH("по паспорту",G321)),ISERROR(SEARCH("по паспорту",H321)),I321&lt;&gt;"",J321&lt;&gt;"",K321&lt;&gt;"",L321&lt;&gt;"",M321&lt;&gt;""),"ГОТОВО","НЕ ГОТОВО"))</f>
        <v/>
      </c>
      <c r="Z321" s="226">
        <f>IF(Y321&lt;&gt;"ГОТОВО","", "Предварительное заключение: "&amp;A321&amp;", скв. "&amp;B321&amp;". МРП: "&amp;E321&amp;" сут. ГНО: "&amp;F321&amp;", типоразмер "&amp;G321&amp;", марка "&amp;H321&amp;". Событие: "&amp;I321&amp;". Признак: "&amp;J321&amp;". Узел: "&amp;K321&amp;". Предварительная причина: "&amp;L321&amp;". Основное осложнение: "&amp;M321&amp;IF(N321&lt;&gt;"","; сопутствующее: "&amp;N321,"")&amp;IF(O321&lt;&gt;"","; дополнительно: "&amp;O321,"")&amp;".")</f>
        <v/>
      </c>
    </row>
    <row r="322">
      <c r="A322" s="75" t="n"/>
      <c r="B322" s="75" t="n"/>
      <c r="C322" s="261" t="n"/>
      <c r="D322" s="261" t="n"/>
      <c r="E322" s="262">
        <f>IF(OR(C322="",D322=""),"",D322-C322)</f>
        <v/>
      </c>
      <c r="F322" s="75" t="n"/>
      <c r="G322" s="75" t="n"/>
      <c r="H322" s="75" t="n"/>
      <c r="I322" s="75" t="n"/>
      <c r="J322" s="75" t="n"/>
      <c r="K322" s="75" t="n"/>
      <c r="L322" s="75" t="n"/>
      <c r="M322" s="75" t="n"/>
      <c r="N322" s="75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226">
        <f>IF(AND(A322="",B322=""),"",IF(AND(A322&lt;&gt;"",B322&lt;&gt;"",C322&lt;&gt;"",D322&lt;&gt;"",F322&lt;&gt;"",G322&lt;&gt;"",H322&lt;&gt;"",ISERROR(SEARCH("по паспорту",G322)),ISERROR(SEARCH("по паспорту",H322)),I322&lt;&gt;"",J322&lt;&gt;"",K322&lt;&gt;"",L322&lt;&gt;"",M322&lt;&gt;""),"ГОТОВО","НЕ ГОТОВО"))</f>
        <v/>
      </c>
      <c r="Z322" s="226">
        <f>IF(Y322&lt;&gt;"ГОТОВО","", "Предварительное заключение: "&amp;A322&amp;", скв. "&amp;B322&amp;". МРП: "&amp;E322&amp;" сут. ГНО: "&amp;F322&amp;", типоразмер "&amp;G322&amp;", марка "&amp;H322&amp;". Событие: "&amp;I322&amp;". Признак: "&amp;J322&amp;". Узел: "&amp;K322&amp;". Предварительная причина: "&amp;L322&amp;". Основное осложнение: "&amp;M322&amp;IF(N322&lt;&gt;"","; сопутствующее: "&amp;N322,"")&amp;IF(O322&lt;&gt;"","; дополнительно: "&amp;O322,"")&amp;".")</f>
        <v/>
      </c>
    </row>
    <row r="323">
      <c r="A323" s="75" t="n"/>
      <c r="B323" s="75" t="n"/>
      <c r="C323" s="261" t="n"/>
      <c r="D323" s="261" t="n"/>
      <c r="E323" s="262">
        <f>IF(OR(C323="",D323=""),"",D323-C323)</f>
        <v/>
      </c>
      <c r="F323" s="75" t="n"/>
      <c r="G323" s="75" t="n"/>
      <c r="H323" s="75" t="n"/>
      <c r="I323" s="75" t="n"/>
      <c r="J323" s="75" t="n"/>
      <c r="K323" s="75" t="n"/>
      <c r="L323" s="75" t="n"/>
      <c r="M323" s="75" t="n"/>
      <c r="N323" s="75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226">
        <f>IF(AND(A323="",B323=""),"",IF(AND(A323&lt;&gt;"",B323&lt;&gt;"",C323&lt;&gt;"",D323&lt;&gt;"",F323&lt;&gt;"",G323&lt;&gt;"",H323&lt;&gt;"",ISERROR(SEARCH("по паспорту",G323)),ISERROR(SEARCH("по паспорту",H323)),I323&lt;&gt;"",J323&lt;&gt;"",K323&lt;&gt;"",L323&lt;&gt;"",M323&lt;&gt;""),"ГОТОВО","НЕ ГОТОВО"))</f>
        <v/>
      </c>
      <c r="Z323" s="226">
        <f>IF(Y323&lt;&gt;"ГОТОВО","", "Предварительное заключение: "&amp;A323&amp;", скв. "&amp;B323&amp;". МРП: "&amp;E323&amp;" сут. ГНО: "&amp;F323&amp;", типоразмер "&amp;G323&amp;", марка "&amp;H323&amp;". Событие: "&amp;I323&amp;". Признак: "&amp;J323&amp;". Узел: "&amp;K323&amp;". Предварительная причина: "&amp;L323&amp;". Основное осложнение: "&amp;M323&amp;IF(N323&lt;&gt;"","; сопутствующее: "&amp;N323,"")&amp;IF(O323&lt;&gt;"","; дополнительно: "&amp;O323,"")&amp;".")</f>
        <v/>
      </c>
    </row>
    <row r="324">
      <c r="A324" s="75" t="n"/>
      <c r="B324" s="75" t="n"/>
      <c r="C324" s="261" t="n"/>
      <c r="D324" s="261" t="n"/>
      <c r="E324" s="262">
        <f>IF(OR(C324="",D324=""),"",D324-C324)</f>
        <v/>
      </c>
      <c r="F324" s="75" t="n"/>
      <c r="G324" s="75" t="n"/>
      <c r="H324" s="75" t="n"/>
      <c r="I324" s="75" t="n"/>
      <c r="J324" s="75" t="n"/>
      <c r="K324" s="75" t="n"/>
      <c r="L324" s="75" t="n"/>
      <c r="M324" s="75" t="n"/>
      <c r="N324" s="75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226">
        <f>IF(AND(A324="",B324=""),"",IF(AND(A324&lt;&gt;"",B324&lt;&gt;"",C324&lt;&gt;"",D324&lt;&gt;"",F324&lt;&gt;"",G324&lt;&gt;"",H324&lt;&gt;"",ISERROR(SEARCH("по паспорту",G324)),ISERROR(SEARCH("по паспорту",H324)),I324&lt;&gt;"",J324&lt;&gt;"",K324&lt;&gt;"",L324&lt;&gt;"",M324&lt;&gt;""),"ГОТОВО","НЕ ГОТОВО"))</f>
        <v/>
      </c>
      <c r="Z324" s="226">
        <f>IF(Y324&lt;&gt;"ГОТОВО","", "Предварительное заключение: "&amp;A324&amp;", скв. "&amp;B324&amp;". МРП: "&amp;E324&amp;" сут. ГНО: "&amp;F324&amp;", типоразмер "&amp;G324&amp;", марка "&amp;H324&amp;". Событие: "&amp;I324&amp;". Признак: "&amp;J324&amp;". Узел: "&amp;K324&amp;". Предварительная причина: "&amp;L324&amp;". Основное осложнение: "&amp;M324&amp;IF(N324&lt;&gt;"","; сопутствующее: "&amp;N324,"")&amp;IF(O324&lt;&gt;"","; дополнительно: "&amp;O324,"")&amp;".")</f>
        <v/>
      </c>
    </row>
    <row r="325">
      <c r="A325" s="75" t="n"/>
      <c r="B325" s="75" t="n"/>
      <c r="C325" s="261" t="n"/>
      <c r="D325" s="261" t="n"/>
      <c r="E325" s="262">
        <f>IF(OR(C325="",D325=""),"",D325-C325)</f>
        <v/>
      </c>
      <c r="F325" s="75" t="n"/>
      <c r="G325" s="75" t="n"/>
      <c r="H325" s="75" t="n"/>
      <c r="I325" s="75" t="n"/>
      <c r="J325" s="75" t="n"/>
      <c r="K325" s="75" t="n"/>
      <c r="L325" s="75" t="n"/>
      <c r="M325" s="75" t="n"/>
      <c r="N325" s="75" t="n"/>
      <c r="O325" s="75" t="n"/>
      <c r="P325" s="75" t="n"/>
      <c r="Q325" s="75" t="n"/>
      <c r="R325" s="75" t="n"/>
      <c r="S325" s="75" t="n"/>
      <c r="T325" s="75" t="n"/>
      <c r="U325" s="75" t="n"/>
      <c r="V325" s="75" t="n"/>
      <c r="W325" s="75" t="n"/>
      <c r="X325" s="75" t="n"/>
      <c r="Y325" s="226">
        <f>IF(AND(A325="",B325=""),"",IF(AND(A325&lt;&gt;"",B325&lt;&gt;"",C325&lt;&gt;"",D325&lt;&gt;"",F325&lt;&gt;"",G325&lt;&gt;"",H325&lt;&gt;"",ISERROR(SEARCH("по паспорту",G325)),ISERROR(SEARCH("по паспорту",H325)),I325&lt;&gt;"",J325&lt;&gt;"",K325&lt;&gt;"",L325&lt;&gt;"",M325&lt;&gt;""),"ГОТОВО","НЕ ГОТОВО"))</f>
        <v/>
      </c>
      <c r="Z325" s="226">
        <f>IF(Y325&lt;&gt;"ГОТОВО","", "Предварительное заключение: "&amp;A325&amp;", скв. "&amp;B325&amp;". МРП: "&amp;E325&amp;" сут. ГНО: "&amp;F325&amp;", типоразмер "&amp;G325&amp;", марка "&amp;H325&amp;". Событие: "&amp;I325&amp;". Признак: "&amp;J325&amp;". Узел: "&amp;K325&amp;". Предварительная причина: "&amp;L325&amp;". Основное осложнение: "&amp;M325&amp;IF(N325&lt;&gt;"","; сопутствующее: "&amp;N325,"")&amp;IF(O325&lt;&gt;"","; дополнительно: "&amp;O325,"")&amp;".")</f>
        <v/>
      </c>
    </row>
    <row r="326">
      <c r="A326" s="75" t="n"/>
      <c r="B326" s="75" t="n"/>
      <c r="C326" s="261" t="n"/>
      <c r="D326" s="261" t="n"/>
      <c r="E326" s="262">
        <f>IF(OR(C326="",D326=""),"",D326-C326)</f>
        <v/>
      </c>
      <c r="F326" s="75" t="n"/>
      <c r="G326" s="75" t="n"/>
      <c r="H326" s="75" t="n"/>
      <c r="I326" s="75" t="n"/>
      <c r="J326" s="75" t="n"/>
      <c r="K326" s="75" t="n"/>
      <c r="L326" s="75" t="n"/>
      <c r="M326" s="75" t="n"/>
      <c r="N326" s="75" t="n"/>
      <c r="O326" s="75" t="n"/>
      <c r="P326" s="75" t="n"/>
      <c r="Q326" s="75" t="n"/>
      <c r="R326" s="75" t="n"/>
      <c r="S326" s="75" t="n"/>
      <c r="T326" s="75" t="n"/>
      <c r="U326" s="75" t="n"/>
      <c r="V326" s="75" t="n"/>
      <c r="W326" s="75" t="n"/>
      <c r="X326" s="75" t="n"/>
      <c r="Y326" s="226">
        <f>IF(AND(A326="",B326=""),"",IF(AND(A326&lt;&gt;"",B326&lt;&gt;"",C326&lt;&gt;"",D326&lt;&gt;"",F326&lt;&gt;"",G326&lt;&gt;"",H326&lt;&gt;"",ISERROR(SEARCH("по паспорту",G326)),ISERROR(SEARCH("по паспорту",H326)),I326&lt;&gt;"",J326&lt;&gt;"",K326&lt;&gt;"",L326&lt;&gt;"",M326&lt;&gt;""),"ГОТОВО","НЕ ГОТОВО"))</f>
        <v/>
      </c>
      <c r="Z326" s="226">
        <f>IF(Y326&lt;&gt;"ГОТОВО","", "Предварительное заключение: "&amp;A326&amp;", скв. "&amp;B326&amp;". МРП: "&amp;E326&amp;" сут. ГНО: "&amp;F326&amp;", типоразмер "&amp;G326&amp;", марка "&amp;H326&amp;". Событие: "&amp;I326&amp;". Признак: "&amp;J326&amp;". Узел: "&amp;K326&amp;". Предварительная причина: "&amp;L326&amp;". Основное осложнение: "&amp;M326&amp;IF(N326&lt;&gt;"","; сопутствующее: "&amp;N326,"")&amp;IF(O326&lt;&gt;"","; дополнительно: "&amp;O326,"")&amp;".")</f>
        <v/>
      </c>
    </row>
    <row r="327">
      <c r="A327" s="75" t="n"/>
      <c r="B327" s="75" t="n"/>
      <c r="C327" s="261" t="n"/>
      <c r="D327" s="261" t="n"/>
      <c r="E327" s="262">
        <f>IF(OR(C327="",D327=""),"",D327-C327)</f>
        <v/>
      </c>
      <c r="F327" s="75" t="n"/>
      <c r="G327" s="75" t="n"/>
      <c r="H327" s="75" t="n"/>
      <c r="I327" s="75" t="n"/>
      <c r="J327" s="75" t="n"/>
      <c r="K327" s="75" t="n"/>
      <c r="L327" s="75" t="n"/>
      <c r="M327" s="75" t="n"/>
      <c r="N327" s="75" t="n"/>
      <c r="O327" s="75" t="n"/>
      <c r="P327" s="75" t="n"/>
      <c r="Q327" s="75" t="n"/>
      <c r="R327" s="75" t="n"/>
      <c r="S327" s="75" t="n"/>
      <c r="T327" s="75" t="n"/>
      <c r="U327" s="75" t="n"/>
      <c r="V327" s="75" t="n"/>
      <c r="W327" s="75" t="n"/>
      <c r="X327" s="75" t="n"/>
      <c r="Y327" s="226">
        <f>IF(AND(A327="",B327=""),"",IF(AND(A327&lt;&gt;"",B327&lt;&gt;"",C327&lt;&gt;"",D327&lt;&gt;"",F327&lt;&gt;"",G327&lt;&gt;"",H327&lt;&gt;"",ISERROR(SEARCH("по паспорту",G327)),ISERROR(SEARCH("по паспорту",H327)),I327&lt;&gt;"",J327&lt;&gt;"",K327&lt;&gt;"",L327&lt;&gt;"",M327&lt;&gt;""),"ГОТОВО","НЕ ГОТОВО"))</f>
        <v/>
      </c>
      <c r="Z327" s="226">
        <f>IF(Y327&lt;&gt;"ГОТОВО","", "Предварительное заключение: "&amp;A327&amp;", скв. "&amp;B327&amp;". МРП: "&amp;E327&amp;" сут. ГНО: "&amp;F327&amp;", типоразмер "&amp;G327&amp;", марка "&amp;H327&amp;". Событие: "&amp;I327&amp;". Признак: "&amp;J327&amp;". Узел: "&amp;K327&amp;". Предварительная причина: "&amp;L327&amp;". Основное осложнение: "&amp;M327&amp;IF(N327&lt;&gt;"","; сопутствующее: "&amp;N327,"")&amp;IF(O327&lt;&gt;"","; дополнительно: "&amp;O327,"")&amp;".")</f>
        <v/>
      </c>
    </row>
    <row r="328">
      <c r="A328" s="75" t="n"/>
      <c r="B328" s="75" t="n"/>
      <c r="C328" s="261" t="n"/>
      <c r="D328" s="261" t="n"/>
      <c r="E328" s="262">
        <f>IF(OR(C328="",D328=""),"",D328-C328)</f>
        <v/>
      </c>
      <c r="F328" s="75" t="n"/>
      <c r="G328" s="75" t="n"/>
      <c r="H328" s="75" t="n"/>
      <c r="I328" s="75" t="n"/>
      <c r="J328" s="75" t="n"/>
      <c r="K328" s="75" t="n"/>
      <c r="L328" s="75" t="n"/>
      <c r="M328" s="75" t="n"/>
      <c r="N328" s="75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226">
        <f>IF(AND(A328="",B328=""),"",IF(AND(A328&lt;&gt;"",B328&lt;&gt;"",C328&lt;&gt;"",D328&lt;&gt;"",F328&lt;&gt;"",G328&lt;&gt;"",H328&lt;&gt;"",ISERROR(SEARCH("по паспорту",G328)),ISERROR(SEARCH("по паспорту",H328)),I328&lt;&gt;"",J328&lt;&gt;"",K328&lt;&gt;"",L328&lt;&gt;"",M328&lt;&gt;""),"ГОТОВО","НЕ ГОТОВО"))</f>
        <v/>
      </c>
      <c r="Z328" s="226">
        <f>IF(Y328&lt;&gt;"ГОТОВО","", "Предварительное заключение: "&amp;A328&amp;", скв. "&amp;B328&amp;". МРП: "&amp;E328&amp;" сут. ГНО: "&amp;F328&amp;", типоразмер "&amp;G328&amp;", марка "&amp;H328&amp;". Событие: "&amp;I328&amp;". Признак: "&amp;J328&amp;". Узел: "&amp;K328&amp;". Предварительная причина: "&amp;L328&amp;". Основное осложнение: "&amp;M328&amp;IF(N328&lt;&gt;"","; сопутствующее: "&amp;N328,"")&amp;IF(O328&lt;&gt;"","; дополнительно: "&amp;O328,"")&amp;".")</f>
        <v/>
      </c>
    </row>
    <row r="329">
      <c r="A329" s="75" t="n"/>
      <c r="B329" s="75" t="n"/>
      <c r="C329" s="261" t="n"/>
      <c r="D329" s="261" t="n"/>
      <c r="E329" s="262">
        <f>IF(OR(C329="",D329=""),"",D329-C329)</f>
        <v/>
      </c>
      <c r="F329" s="75" t="n"/>
      <c r="G329" s="75" t="n"/>
      <c r="H329" s="75" t="n"/>
      <c r="I329" s="75" t="n"/>
      <c r="J329" s="75" t="n"/>
      <c r="K329" s="75" t="n"/>
      <c r="L329" s="75" t="n"/>
      <c r="M329" s="75" t="n"/>
      <c r="N329" s="75" t="n"/>
      <c r="O329" s="75" t="n"/>
      <c r="P329" s="75" t="n"/>
      <c r="Q329" s="75" t="n"/>
      <c r="R329" s="75" t="n"/>
      <c r="S329" s="75" t="n"/>
      <c r="T329" s="75" t="n"/>
      <c r="U329" s="75" t="n"/>
      <c r="V329" s="75" t="n"/>
      <c r="W329" s="75" t="n"/>
      <c r="X329" s="75" t="n"/>
      <c r="Y329" s="226">
        <f>IF(AND(A329="",B329=""),"",IF(AND(A329&lt;&gt;"",B329&lt;&gt;"",C329&lt;&gt;"",D329&lt;&gt;"",F329&lt;&gt;"",G329&lt;&gt;"",H329&lt;&gt;"",ISERROR(SEARCH("по паспорту",G329)),ISERROR(SEARCH("по паспорту",H329)),I329&lt;&gt;"",J329&lt;&gt;"",K329&lt;&gt;"",L329&lt;&gt;"",M329&lt;&gt;""),"ГОТОВО","НЕ ГОТОВО"))</f>
        <v/>
      </c>
      <c r="Z329" s="226">
        <f>IF(Y329&lt;&gt;"ГОТОВО","", "Предварительное заключение: "&amp;A329&amp;", скв. "&amp;B329&amp;". МРП: "&amp;E329&amp;" сут. ГНО: "&amp;F329&amp;", типоразмер "&amp;G329&amp;", марка "&amp;H329&amp;". Событие: "&amp;I329&amp;". Признак: "&amp;J329&amp;". Узел: "&amp;K329&amp;". Предварительная причина: "&amp;L329&amp;". Основное осложнение: "&amp;M329&amp;IF(N329&lt;&gt;"","; сопутствующее: "&amp;N329,"")&amp;IF(O329&lt;&gt;"","; дополнительно: "&amp;O329,"")&amp;".")</f>
        <v/>
      </c>
    </row>
    <row r="330">
      <c r="A330" s="75" t="n"/>
      <c r="B330" s="75" t="n"/>
      <c r="C330" s="261" t="n"/>
      <c r="D330" s="261" t="n"/>
      <c r="E330" s="262">
        <f>IF(OR(C330="",D330=""),"",D330-C330)</f>
        <v/>
      </c>
      <c r="F330" s="75" t="n"/>
      <c r="G330" s="75" t="n"/>
      <c r="H330" s="75" t="n"/>
      <c r="I330" s="75" t="n"/>
      <c r="J330" s="75" t="n"/>
      <c r="K330" s="75" t="n"/>
      <c r="L330" s="75" t="n"/>
      <c r="M330" s="75" t="n"/>
      <c r="N330" s="75" t="n"/>
      <c r="O330" s="75" t="n"/>
      <c r="P330" s="75" t="n"/>
      <c r="Q330" s="75" t="n"/>
      <c r="R330" s="75" t="n"/>
      <c r="S330" s="75" t="n"/>
      <c r="T330" s="75" t="n"/>
      <c r="U330" s="75" t="n"/>
      <c r="V330" s="75" t="n"/>
      <c r="W330" s="75" t="n"/>
      <c r="X330" s="75" t="n"/>
      <c r="Y330" s="226">
        <f>IF(AND(A330="",B330=""),"",IF(AND(A330&lt;&gt;"",B330&lt;&gt;"",C330&lt;&gt;"",D330&lt;&gt;"",F330&lt;&gt;"",G330&lt;&gt;"",H330&lt;&gt;"",ISERROR(SEARCH("по паспорту",G330)),ISERROR(SEARCH("по паспорту",H330)),I330&lt;&gt;"",J330&lt;&gt;"",K330&lt;&gt;"",L330&lt;&gt;"",M330&lt;&gt;""),"ГОТОВО","НЕ ГОТОВО"))</f>
        <v/>
      </c>
      <c r="Z330" s="226">
        <f>IF(Y330&lt;&gt;"ГОТОВО","", "Предварительное заключение: "&amp;A330&amp;", скв. "&amp;B330&amp;". МРП: "&amp;E330&amp;" сут. ГНО: "&amp;F330&amp;", типоразмер "&amp;G330&amp;", марка "&amp;H330&amp;". Событие: "&amp;I330&amp;". Признак: "&amp;J330&amp;". Узел: "&amp;K330&amp;". Предварительная причина: "&amp;L330&amp;". Основное осложнение: "&amp;M330&amp;IF(N330&lt;&gt;"","; сопутствующее: "&amp;N330,"")&amp;IF(O330&lt;&gt;"","; дополнительно: "&amp;O330,"")&amp;".")</f>
        <v/>
      </c>
    </row>
    <row r="331">
      <c r="A331" s="75" t="n"/>
      <c r="B331" s="75" t="n"/>
      <c r="C331" s="261" t="n"/>
      <c r="D331" s="261" t="n"/>
      <c r="E331" s="262">
        <f>IF(OR(C331="",D331=""),"",D331-C331)</f>
        <v/>
      </c>
      <c r="F331" s="75" t="n"/>
      <c r="G331" s="75" t="n"/>
      <c r="H331" s="75" t="n"/>
      <c r="I331" s="75" t="n"/>
      <c r="J331" s="75" t="n"/>
      <c r="K331" s="75" t="n"/>
      <c r="L331" s="75" t="n"/>
      <c r="M331" s="75" t="n"/>
      <c r="N331" s="75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226">
        <f>IF(AND(A331="",B331=""),"",IF(AND(A331&lt;&gt;"",B331&lt;&gt;"",C331&lt;&gt;"",D331&lt;&gt;"",F331&lt;&gt;"",G331&lt;&gt;"",H331&lt;&gt;"",ISERROR(SEARCH("по паспорту",G331)),ISERROR(SEARCH("по паспорту",H331)),I331&lt;&gt;"",J331&lt;&gt;"",K331&lt;&gt;"",L331&lt;&gt;"",M331&lt;&gt;""),"ГОТОВО","НЕ ГОТОВО"))</f>
        <v/>
      </c>
      <c r="Z331" s="226">
        <f>IF(Y331&lt;&gt;"ГОТОВО","", "Предварительное заключение: "&amp;A331&amp;", скв. "&amp;B331&amp;". МРП: "&amp;E331&amp;" сут. ГНО: "&amp;F331&amp;", типоразмер "&amp;G331&amp;", марка "&amp;H331&amp;". Событие: "&amp;I331&amp;". Признак: "&amp;J331&amp;". Узел: "&amp;K331&amp;". Предварительная причина: "&amp;L331&amp;". Основное осложнение: "&amp;M331&amp;IF(N331&lt;&gt;"","; сопутствующее: "&amp;N331,"")&amp;IF(O331&lt;&gt;"","; дополнительно: "&amp;O331,"")&amp;".")</f>
        <v/>
      </c>
    </row>
    <row r="332">
      <c r="A332" s="75" t="n"/>
      <c r="B332" s="75" t="n"/>
      <c r="C332" s="261" t="n"/>
      <c r="D332" s="261" t="n"/>
      <c r="E332" s="262">
        <f>IF(OR(C332="",D332=""),"",D332-C332)</f>
        <v/>
      </c>
      <c r="F332" s="75" t="n"/>
      <c r="G332" s="75" t="n"/>
      <c r="H332" s="75" t="n"/>
      <c r="I332" s="75" t="n"/>
      <c r="J332" s="75" t="n"/>
      <c r="K332" s="75" t="n"/>
      <c r="L332" s="75" t="n"/>
      <c r="M332" s="75" t="n"/>
      <c r="N332" s="75" t="n"/>
      <c r="O332" s="75" t="n"/>
      <c r="P332" s="75" t="n"/>
      <c r="Q332" s="75" t="n"/>
      <c r="R332" s="75" t="n"/>
      <c r="S332" s="75" t="n"/>
      <c r="T332" s="75" t="n"/>
      <c r="U332" s="75" t="n"/>
      <c r="V332" s="75" t="n"/>
      <c r="W332" s="75" t="n"/>
      <c r="X332" s="75" t="n"/>
      <c r="Y332" s="226">
        <f>IF(AND(A332="",B332=""),"",IF(AND(A332&lt;&gt;"",B332&lt;&gt;"",C332&lt;&gt;"",D332&lt;&gt;"",F332&lt;&gt;"",G332&lt;&gt;"",H332&lt;&gt;"",ISERROR(SEARCH("по паспорту",G332)),ISERROR(SEARCH("по паспорту",H332)),I332&lt;&gt;"",J332&lt;&gt;"",K332&lt;&gt;"",L332&lt;&gt;"",M332&lt;&gt;""),"ГОТОВО","НЕ ГОТОВО"))</f>
        <v/>
      </c>
      <c r="Z332" s="226">
        <f>IF(Y332&lt;&gt;"ГОТОВО","", "Предварительное заключение: "&amp;A332&amp;", скв. "&amp;B332&amp;". МРП: "&amp;E332&amp;" сут. ГНО: "&amp;F332&amp;", типоразмер "&amp;G332&amp;", марка "&amp;H332&amp;". Событие: "&amp;I332&amp;". Признак: "&amp;J332&amp;". Узел: "&amp;K332&amp;". Предварительная причина: "&amp;L332&amp;". Основное осложнение: "&amp;M332&amp;IF(N332&lt;&gt;"","; сопутствующее: "&amp;N332,"")&amp;IF(O332&lt;&gt;"","; дополнительно: "&amp;O332,"")&amp;".")</f>
        <v/>
      </c>
    </row>
    <row r="333">
      <c r="A333" s="75" t="n"/>
      <c r="B333" s="75" t="n"/>
      <c r="C333" s="261" t="n"/>
      <c r="D333" s="261" t="n"/>
      <c r="E333" s="262">
        <f>IF(OR(C333="",D333=""),"",D333-C333)</f>
        <v/>
      </c>
      <c r="F333" s="75" t="n"/>
      <c r="G333" s="75" t="n"/>
      <c r="H333" s="75" t="n"/>
      <c r="I333" s="75" t="n"/>
      <c r="J333" s="75" t="n"/>
      <c r="K333" s="75" t="n"/>
      <c r="L333" s="75" t="n"/>
      <c r="M333" s="75" t="n"/>
      <c r="N333" s="75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226">
        <f>IF(AND(A333="",B333=""),"",IF(AND(A333&lt;&gt;"",B333&lt;&gt;"",C333&lt;&gt;"",D333&lt;&gt;"",F333&lt;&gt;"",G333&lt;&gt;"",H333&lt;&gt;"",ISERROR(SEARCH("по паспорту",G333)),ISERROR(SEARCH("по паспорту",H333)),I333&lt;&gt;"",J333&lt;&gt;"",K333&lt;&gt;"",L333&lt;&gt;"",M333&lt;&gt;""),"ГОТОВО","НЕ ГОТОВО"))</f>
        <v/>
      </c>
      <c r="Z333" s="226">
        <f>IF(Y333&lt;&gt;"ГОТОВО","", "Предварительное заключение: "&amp;A333&amp;", скв. "&amp;B333&amp;". МРП: "&amp;E333&amp;" сут. ГНО: "&amp;F333&amp;", типоразмер "&amp;G333&amp;", марка "&amp;H333&amp;". Событие: "&amp;I333&amp;". Признак: "&amp;J333&amp;". Узел: "&amp;K333&amp;". Предварительная причина: "&amp;L333&amp;". Основное осложнение: "&amp;M333&amp;IF(N333&lt;&gt;"","; сопутствующее: "&amp;N333,"")&amp;IF(O333&lt;&gt;"","; дополнительно: "&amp;O333,"")&amp;".")</f>
        <v/>
      </c>
    </row>
    <row r="334">
      <c r="A334" s="75" t="n"/>
      <c r="B334" s="75" t="n"/>
      <c r="C334" s="261" t="n"/>
      <c r="D334" s="261" t="n"/>
      <c r="E334" s="262">
        <f>IF(OR(C334="",D334=""),"",D334-C334)</f>
        <v/>
      </c>
      <c r="F334" s="75" t="n"/>
      <c r="G334" s="75" t="n"/>
      <c r="H334" s="75" t="n"/>
      <c r="I334" s="75" t="n"/>
      <c r="J334" s="75" t="n"/>
      <c r="K334" s="75" t="n"/>
      <c r="L334" s="75" t="n"/>
      <c r="M334" s="75" t="n"/>
      <c r="N334" s="75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226">
        <f>IF(AND(A334="",B334=""),"",IF(AND(A334&lt;&gt;"",B334&lt;&gt;"",C334&lt;&gt;"",D334&lt;&gt;"",F334&lt;&gt;"",G334&lt;&gt;"",H334&lt;&gt;"",ISERROR(SEARCH("по паспорту",G334)),ISERROR(SEARCH("по паспорту",H334)),I334&lt;&gt;"",J334&lt;&gt;"",K334&lt;&gt;"",L334&lt;&gt;"",M334&lt;&gt;""),"ГОТОВО","НЕ ГОТОВО"))</f>
        <v/>
      </c>
      <c r="Z334" s="226">
        <f>IF(Y334&lt;&gt;"ГОТОВО","", "Предварительное заключение: "&amp;A334&amp;", скв. "&amp;B334&amp;". МРП: "&amp;E334&amp;" сут. ГНО: "&amp;F334&amp;", типоразмер "&amp;G334&amp;", марка "&amp;H334&amp;". Событие: "&amp;I334&amp;". Признак: "&amp;J334&amp;". Узел: "&amp;K334&amp;". Предварительная причина: "&amp;L334&amp;". Основное осложнение: "&amp;M334&amp;IF(N334&lt;&gt;"","; сопутствующее: "&amp;N334,"")&amp;IF(O334&lt;&gt;"","; дополнительно: "&amp;O334,"")&amp;".")</f>
        <v/>
      </c>
    </row>
    <row r="335">
      <c r="A335" s="75" t="n"/>
      <c r="B335" s="75" t="n"/>
      <c r="C335" s="261" t="n"/>
      <c r="D335" s="261" t="n"/>
      <c r="E335" s="262">
        <f>IF(OR(C335="",D335=""),"",D335-C335)</f>
        <v/>
      </c>
      <c r="F335" s="75" t="n"/>
      <c r="G335" s="75" t="n"/>
      <c r="H335" s="75" t="n"/>
      <c r="I335" s="75" t="n"/>
      <c r="J335" s="75" t="n"/>
      <c r="K335" s="75" t="n"/>
      <c r="L335" s="75" t="n"/>
      <c r="M335" s="75" t="n"/>
      <c r="N335" s="75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226">
        <f>IF(AND(A335="",B335=""),"",IF(AND(A335&lt;&gt;"",B335&lt;&gt;"",C335&lt;&gt;"",D335&lt;&gt;"",F335&lt;&gt;"",G335&lt;&gt;"",H335&lt;&gt;"",ISERROR(SEARCH("по паспорту",G335)),ISERROR(SEARCH("по паспорту",H335)),I335&lt;&gt;"",J335&lt;&gt;"",K335&lt;&gt;"",L335&lt;&gt;"",M335&lt;&gt;""),"ГОТОВО","НЕ ГОТОВО"))</f>
        <v/>
      </c>
      <c r="Z335" s="226">
        <f>IF(Y335&lt;&gt;"ГОТОВО","", "Предварительное заключение: "&amp;A335&amp;", скв. "&amp;B335&amp;". МРП: "&amp;E335&amp;" сут. ГНО: "&amp;F335&amp;", типоразмер "&amp;G335&amp;", марка "&amp;H335&amp;". Событие: "&amp;I335&amp;". Признак: "&amp;J335&amp;". Узел: "&amp;K335&amp;". Предварительная причина: "&amp;L335&amp;". Основное осложнение: "&amp;M335&amp;IF(N335&lt;&gt;"","; сопутствующее: "&amp;N335,"")&amp;IF(O335&lt;&gt;"","; дополнительно: "&amp;O335,"")&amp;".")</f>
        <v/>
      </c>
    </row>
    <row r="336">
      <c r="A336" s="75" t="n"/>
      <c r="B336" s="75" t="n"/>
      <c r="C336" s="261" t="n"/>
      <c r="D336" s="261" t="n"/>
      <c r="E336" s="262">
        <f>IF(OR(C336="",D336=""),"",D336-C336)</f>
        <v/>
      </c>
      <c r="F336" s="75" t="n"/>
      <c r="G336" s="75" t="n"/>
      <c r="H336" s="75" t="n"/>
      <c r="I336" s="75" t="n"/>
      <c r="J336" s="75" t="n"/>
      <c r="K336" s="75" t="n"/>
      <c r="L336" s="75" t="n"/>
      <c r="M336" s="75" t="n"/>
      <c r="N336" s="75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226">
        <f>IF(AND(A336="",B336=""),"",IF(AND(A336&lt;&gt;"",B336&lt;&gt;"",C336&lt;&gt;"",D336&lt;&gt;"",F336&lt;&gt;"",G336&lt;&gt;"",H336&lt;&gt;"",ISERROR(SEARCH("по паспорту",G336)),ISERROR(SEARCH("по паспорту",H336)),I336&lt;&gt;"",J336&lt;&gt;"",K336&lt;&gt;"",L336&lt;&gt;"",M336&lt;&gt;""),"ГОТОВО","НЕ ГОТОВО"))</f>
        <v/>
      </c>
      <c r="Z336" s="226">
        <f>IF(Y336&lt;&gt;"ГОТОВО","", "Предварительное заключение: "&amp;A336&amp;", скв. "&amp;B336&amp;". МРП: "&amp;E336&amp;" сут. ГНО: "&amp;F336&amp;", типоразмер "&amp;G336&amp;", марка "&amp;H336&amp;". Событие: "&amp;I336&amp;". Признак: "&amp;J336&amp;". Узел: "&amp;K336&amp;". Предварительная причина: "&amp;L336&amp;". Основное осложнение: "&amp;M336&amp;IF(N336&lt;&gt;"","; сопутствующее: "&amp;N336,"")&amp;IF(O336&lt;&gt;"","; дополнительно: "&amp;O336,"")&amp;".")</f>
        <v/>
      </c>
    </row>
    <row r="337">
      <c r="A337" s="75" t="n"/>
      <c r="B337" s="75" t="n"/>
      <c r="C337" s="261" t="n"/>
      <c r="D337" s="261" t="n"/>
      <c r="E337" s="262">
        <f>IF(OR(C337="",D337=""),"",D337-C337)</f>
        <v/>
      </c>
      <c r="F337" s="75" t="n"/>
      <c r="G337" s="75" t="n"/>
      <c r="H337" s="75" t="n"/>
      <c r="I337" s="75" t="n"/>
      <c r="J337" s="75" t="n"/>
      <c r="K337" s="75" t="n"/>
      <c r="L337" s="75" t="n"/>
      <c r="M337" s="75" t="n"/>
      <c r="N337" s="75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226">
        <f>IF(AND(A337="",B337=""),"",IF(AND(A337&lt;&gt;"",B337&lt;&gt;"",C337&lt;&gt;"",D337&lt;&gt;"",F337&lt;&gt;"",G337&lt;&gt;"",H337&lt;&gt;"",ISERROR(SEARCH("по паспорту",G337)),ISERROR(SEARCH("по паспорту",H337)),I337&lt;&gt;"",J337&lt;&gt;"",K337&lt;&gt;"",L337&lt;&gt;"",M337&lt;&gt;""),"ГОТОВО","НЕ ГОТОВО"))</f>
        <v/>
      </c>
      <c r="Z337" s="226">
        <f>IF(Y337&lt;&gt;"ГОТОВО","", "Предварительное заключение: "&amp;A337&amp;", скв. "&amp;B337&amp;". МРП: "&amp;E337&amp;" сут. ГНО: "&amp;F337&amp;", типоразмер "&amp;G337&amp;", марка "&amp;H337&amp;". Событие: "&amp;I337&amp;". Признак: "&amp;J337&amp;". Узел: "&amp;K337&amp;". Предварительная причина: "&amp;L337&amp;". Основное осложнение: "&amp;M337&amp;IF(N337&lt;&gt;"","; сопутствующее: "&amp;N337,"")&amp;IF(O337&lt;&gt;"","; дополнительно: "&amp;O337,"")&amp;".")</f>
        <v/>
      </c>
    </row>
    <row r="338">
      <c r="A338" s="75" t="n"/>
      <c r="B338" s="75" t="n"/>
      <c r="C338" s="261" t="n"/>
      <c r="D338" s="261" t="n"/>
      <c r="E338" s="262">
        <f>IF(OR(C338="",D338=""),"",D338-C338)</f>
        <v/>
      </c>
      <c r="F338" s="75" t="n"/>
      <c r="G338" s="75" t="n"/>
      <c r="H338" s="75" t="n"/>
      <c r="I338" s="75" t="n"/>
      <c r="J338" s="75" t="n"/>
      <c r="K338" s="75" t="n"/>
      <c r="L338" s="75" t="n"/>
      <c r="M338" s="75" t="n"/>
      <c r="N338" s="75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226">
        <f>IF(AND(A338="",B338=""),"",IF(AND(A338&lt;&gt;"",B338&lt;&gt;"",C338&lt;&gt;"",D338&lt;&gt;"",F338&lt;&gt;"",G338&lt;&gt;"",H338&lt;&gt;"",ISERROR(SEARCH("по паспорту",G338)),ISERROR(SEARCH("по паспорту",H338)),I338&lt;&gt;"",J338&lt;&gt;"",K338&lt;&gt;"",L338&lt;&gt;"",M338&lt;&gt;""),"ГОТОВО","НЕ ГОТОВО"))</f>
        <v/>
      </c>
      <c r="Z338" s="226">
        <f>IF(Y338&lt;&gt;"ГОТОВО","", "Предварительное заключение: "&amp;A338&amp;", скв. "&amp;B338&amp;". МРП: "&amp;E338&amp;" сут. ГНО: "&amp;F338&amp;", типоразмер "&amp;G338&amp;", марка "&amp;H338&amp;". Событие: "&amp;I338&amp;". Признак: "&amp;J338&amp;". Узел: "&amp;K338&amp;". Предварительная причина: "&amp;L338&amp;". Основное осложнение: "&amp;M338&amp;IF(N338&lt;&gt;"","; сопутствующее: "&amp;N338,"")&amp;IF(O338&lt;&gt;"","; дополнительно: "&amp;O338,"")&amp;".")</f>
        <v/>
      </c>
    </row>
    <row r="339">
      <c r="A339" s="75" t="n"/>
      <c r="B339" s="75" t="n"/>
      <c r="C339" s="261" t="n"/>
      <c r="D339" s="261" t="n"/>
      <c r="E339" s="262">
        <f>IF(OR(C339="",D339=""),"",D339-C339)</f>
        <v/>
      </c>
      <c r="F339" s="75" t="n"/>
      <c r="G339" s="75" t="n"/>
      <c r="H339" s="75" t="n"/>
      <c r="I339" s="75" t="n"/>
      <c r="J339" s="75" t="n"/>
      <c r="K339" s="75" t="n"/>
      <c r="L339" s="75" t="n"/>
      <c r="M339" s="75" t="n"/>
      <c r="N339" s="75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226">
        <f>IF(AND(A339="",B339=""),"",IF(AND(A339&lt;&gt;"",B339&lt;&gt;"",C339&lt;&gt;"",D339&lt;&gt;"",F339&lt;&gt;"",G339&lt;&gt;"",H339&lt;&gt;"",ISERROR(SEARCH("по паспорту",G339)),ISERROR(SEARCH("по паспорту",H339)),I339&lt;&gt;"",J339&lt;&gt;"",K339&lt;&gt;"",L339&lt;&gt;"",M339&lt;&gt;""),"ГОТОВО","НЕ ГОТОВО"))</f>
        <v/>
      </c>
      <c r="Z339" s="226">
        <f>IF(Y339&lt;&gt;"ГОТОВО","", "Предварительное заключение: "&amp;A339&amp;", скв. "&amp;B339&amp;". МРП: "&amp;E339&amp;" сут. ГНО: "&amp;F339&amp;", типоразмер "&amp;G339&amp;", марка "&amp;H339&amp;". Событие: "&amp;I339&amp;". Признак: "&amp;J339&amp;". Узел: "&amp;K339&amp;". Предварительная причина: "&amp;L339&amp;". Основное осложнение: "&amp;M339&amp;IF(N339&lt;&gt;"","; сопутствующее: "&amp;N339,"")&amp;IF(O339&lt;&gt;"","; дополнительно: "&amp;O339,"")&amp;".")</f>
        <v/>
      </c>
    </row>
    <row r="340">
      <c r="A340" s="75" t="n"/>
      <c r="B340" s="75" t="n"/>
      <c r="C340" s="261" t="n"/>
      <c r="D340" s="261" t="n"/>
      <c r="E340" s="262">
        <f>IF(OR(C340="",D340=""),"",D340-C340)</f>
        <v/>
      </c>
      <c r="F340" s="75" t="n"/>
      <c r="G340" s="75" t="n"/>
      <c r="H340" s="75" t="n"/>
      <c r="I340" s="75" t="n"/>
      <c r="J340" s="75" t="n"/>
      <c r="K340" s="75" t="n"/>
      <c r="L340" s="75" t="n"/>
      <c r="M340" s="75" t="n"/>
      <c r="N340" s="75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226">
        <f>IF(AND(A340="",B340=""),"",IF(AND(A340&lt;&gt;"",B340&lt;&gt;"",C340&lt;&gt;"",D340&lt;&gt;"",F340&lt;&gt;"",G340&lt;&gt;"",H340&lt;&gt;"",ISERROR(SEARCH("по паспорту",G340)),ISERROR(SEARCH("по паспорту",H340)),I340&lt;&gt;"",J340&lt;&gt;"",K340&lt;&gt;"",L340&lt;&gt;"",M340&lt;&gt;""),"ГОТОВО","НЕ ГОТОВО"))</f>
        <v/>
      </c>
      <c r="Z340" s="226">
        <f>IF(Y340&lt;&gt;"ГОТОВО","", "Предварительное заключение: "&amp;A340&amp;", скв. "&amp;B340&amp;". МРП: "&amp;E340&amp;" сут. ГНО: "&amp;F340&amp;", типоразмер "&amp;G340&amp;", марка "&amp;H340&amp;". Событие: "&amp;I340&amp;". Признак: "&amp;J340&amp;". Узел: "&amp;K340&amp;". Предварительная причина: "&amp;L340&amp;". Основное осложнение: "&amp;M340&amp;IF(N340&lt;&gt;"","; сопутствующее: "&amp;N340,"")&amp;IF(O340&lt;&gt;"","; дополнительно: "&amp;O340,"")&amp;".")</f>
        <v/>
      </c>
    </row>
    <row r="341">
      <c r="A341" s="75" t="n"/>
      <c r="B341" s="75" t="n"/>
      <c r="C341" s="261" t="n"/>
      <c r="D341" s="261" t="n"/>
      <c r="E341" s="262">
        <f>IF(OR(C341="",D341=""),"",D341-C341)</f>
        <v/>
      </c>
      <c r="F341" s="75" t="n"/>
      <c r="G341" s="75" t="n"/>
      <c r="H341" s="75" t="n"/>
      <c r="I341" s="75" t="n"/>
      <c r="J341" s="75" t="n"/>
      <c r="K341" s="75" t="n"/>
      <c r="L341" s="75" t="n"/>
      <c r="M341" s="75" t="n"/>
      <c r="N341" s="75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226">
        <f>IF(AND(A341="",B341=""),"",IF(AND(A341&lt;&gt;"",B341&lt;&gt;"",C341&lt;&gt;"",D341&lt;&gt;"",F341&lt;&gt;"",G341&lt;&gt;"",H341&lt;&gt;"",ISERROR(SEARCH("по паспорту",G341)),ISERROR(SEARCH("по паспорту",H341)),I341&lt;&gt;"",J341&lt;&gt;"",K341&lt;&gt;"",L341&lt;&gt;"",M341&lt;&gt;""),"ГОТОВО","НЕ ГОТОВО"))</f>
        <v/>
      </c>
      <c r="Z341" s="226">
        <f>IF(Y341&lt;&gt;"ГОТОВО","", "Предварительное заключение: "&amp;A341&amp;", скв. "&amp;B341&amp;". МРП: "&amp;E341&amp;" сут. ГНО: "&amp;F341&amp;", типоразмер "&amp;G341&amp;", марка "&amp;H341&amp;". Событие: "&amp;I341&amp;". Признак: "&amp;J341&amp;". Узел: "&amp;K341&amp;". Предварительная причина: "&amp;L341&amp;". Основное осложнение: "&amp;M341&amp;IF(N341&lt;&gt;"","; сопутствующее: "&amp;N341,"")&amp;IF(O341&lt;&gt;"","; дополнительно: "&amp;O341,"")&amp;".")</f>
        <v/>
      </c>
    </row>
    <row r="342">
      <c r="A342" s="75" t="n"/>
      <c r="B342" s="75" t="n"/>
      <c r="C342" s="261" t="n"/>
      <c r="D342" s="261" t="n"/>
      <c r="E342" s="262">
        <f>IF(OR(C342="",D342=""),"",D342-C342)</f>
        <v/>
      </c>
      <c r="F342" s="75" t="n"/>
      <c r="G342" s="75" t="n"/>
      <c r="H342" s="75" t="n"/>
      <c r="I342" s="75" t="n"/>
      <c r="J342" s="75" t="n"/>
      <c r="K342" s="75" t="n"/>
      <c r="L342" s="75" t="n"/>
      <c r="M342" s="75" t="n"/>
      <c r="N342" s="75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226">
        <f>IF(AND(A342="",B342=""),"",IF(AND(A342&lt;&gt;"",B342&lt;&gt;"",C342&lt;&gt;"",D342&lt;&gt;"",F342&lt;&gt;"",G342&lt;&gt;"",H342&lt;&gt;"",ISERROR(SEARCH("по паспорту",G342)),ISERROR(SEARCH("по паспорту",H342)),I342&lt;&gt;"",J342&lt;&gt;"",K342&lt;&gt;"",L342&lt;&gt;"",M342&lt;&gt;""),"ГОТОВО","НЕ ГОТОВО"))</f>
        <v/>
      </c>
      <c r="Z342" s="226">
        <f>IF(Y342&lt;&gt;"ГОТОВО","", "Предварительное заключение: "&amp;A342&amp;", скв. "&amp;B342&amp;". МРП: "&amp;E342&amp;" сут. ГНО: "&amp;F342&amp;", типоразмер "&amp;G342&amp;", марка "&amp;H342&amp;". Событие: "&amp;I342&amp;". Признак: "&amp;J342&amp;". Узел: "&amp;K342&amp;". Предварительная причина: "&amp;L342&amp;". Основное осложнение: "&amp;M342&amp;IF(N342&lt;&gt;"","; сопутствующее: "&amp;N342,"")&amp;IF(O342&lt;&gt;"","; дополнительно: "&amp;O342,"")&amp;".")</f>
        <v/>
      </c>
    </row>
    <row r="343">
      <c r="A343" s="75" t="n"/>
      <c r="B343" s="75" t="n"/>
      <c r="C343" s="261" t="n"/>
      <c r="D343" s="261" t="n"/>
      <c r="E343" s="262">
        <f>IF(OR(C343="",D343=""),"",D343-C343)</f>
        <v/>
      </c>
      <c r="F343" s="75" t="n"/>
      <c r="G343" s="75" t="n"/>
      <c r="H343" s="75" t="n"/>
      <c r="I343" s="75" t="n"/>
      <c r="J343" s="75" t="n"/>
      <c r="K343" s="75" t="n"/>
      <c r="L343" s="75" t="n"/>
      <c r="M343" s="75" t="n"/>
      <c r="N343" s="75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226">
        <f>IF(AND(A343="",B343=""),"",IF(AND(A343&lt;&gt;"",B343&lt;&gt;"",C343&lt;&gt;"",D343&lt;&gt;"",F343&lt;&gt;"",G343&lt;&gt;"",H343&lt;&gt;"",ISERROR(SEARCH("по паспорту",G343)),ISERROR(SEARCH("по паспорту",H343)),I343&lt;&gt;"",J343&lt;&gt;"",K343&lt;&gt;"",L343&lt;&gt;"",M343&lt;&gt;""),"ГОТОВО","НЕ ГОТОВО"))</f>
        <v/>
      </c>
      <c r="Z343" s="226">
        <f>IF(Y343&lt;&gt;"ГОТОВО","", "Предварительное заключение: "&amp;A343&amp;", скв. "&amp;B343&amp;". МРП: "&amp;E343&amp;" сут. ГНО: "&amp;F343&amp;", типоразмер "&amp;G343&amp;", марка "&amp;H343&amp;". Событие: "&amp;I343&amp;". Признак: "&amp;J343&amp;". Узел: "&amp;K343&amp;". Предварительная причина: "&amp;L343&amp;". Основное осложнение: "&amp;M343&amp;IF(N343&lt;&gt;"","; сопутствующее: "&amp;N343,"")&amp;IF(O343&lt;&gt;"","; дополнительно: "&amp;O343,"")&amp;".")</f>
        <v/>
      </c>
    </row>
    <row r="344">
      <c r="A344" s="75" t="n"/>
      <c r="B344" s="75" t="n"/>
      <c r="C344" s="261" t="n"/>
      <c r="D344" s="261" t="n"/>
      <c r="E344" s="262">
        <f>IF(OR(C344="",D344=""),"",D344-C344)</f>
        <v/>
      </c>
      <c r="F344" s="75" t="n"/>
      <c r="G344" s="75" t="n"/>
      <c r="H344" s="75" t="n"/>
      <c r="I344" s="75" t="n"/>
      <c r="J344" s="75" t="n"/>
      <c r="K344" s="75" t="n"/>
      <c r="L344" s="75" t="n"/>
      <c r="M344" s="75" t="n"/>
      <c r="N344" s="75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226">
        <f>IF(AND(A344="",B344=""),"",IF(AND(A344&lt;&gt;"",B344&lt;&gt;"",C344&lt;&gt;"",D344&lt;&gt;"",F344&lt;&gt;"",G344&lt;&gt;"",H344&lt;&gt;"",ISERROR(SEARCH("по паспорту",G344)),ISERROR(SEARCH("по паспорту",H344)),I344&lt;&gt;"",J344&lt;&gt;"",K344&lt;&gt;"",L344&lt;&gt;"",M344&lt;&gt;""),"ГОТОВО","НЕ ГОТОВО"))</f>
        <v/>
      </c>
      <c r="Z344" s="226">
        <f>IF(Y344&lt;&gt;"ГОТОВО","", "Предварительное заключение: "&amp;A344&amp;", скв. "&amp;B344&amp;". МРП: "&amp;E344&amp;" сут. ГНО: "&amp;F344&amp;", типоразмер "&amp;G344&amp;", марка "&amp;H344&amp;". Событие: "&amp;I344&amp;". Признак: "&amp;J344&amp;". Узел: "&amp;K344&amp;". Предварительная причина: "&amp;L344&amp;". Основное осложнение: "&amp;M344&amp;IF(N344&lt;&gt;"","; сопутствующее: "&amp;N344,"")&amp;IF(O344&lt;&gt;"","; дополнительно: "&amp;O344,"")&amp;".")</f>
        <v/>
      </c>
    </row>
    <row r="345">
      <c r="A345" s="75" t="n"/>
      <c r="B345" s="75" t="n"/>
      <c r="C345" s="261" t="n"/>
      <c r="D345" s="261" t="n"/>
      <c r="E345" s="262">
        <f>IF(OR(C345="",D345=""),"",D345-C345)</f>
        <v/>
      </c>
      <c r="F345" s="75" t="n"/>
      <c r="G345" s="75" t="n"/>
      <c r="H345" s="75" t="n"/>
      <c r="I345" s="75" t="n"/>
      <c r="J345" s="75" t="n"/>
      <c r="K345" s="75" t="n"/>
      <c r="L345" s="75" t="n"/>
      <c r="M345" s="75" t="n"/>
      <c r="N345" s="75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226">
        <f>IF(AND(A345="",B345=""),"",IF(AND(A345&lt;&gt;"",B345&lt;&gt;"",C345&lt;&gt;"",D345&lt;&gt;"",F345&lt;&gt;"",G345&lt;&gt;"",H345&lt;&gt;"",ISERROR(SEARCH("по паспорту",G345)),ISERROR(SEARCH("по паспорту",H345)),I345&lt;&gt;"",J345&lt;&gt;"",K345&lt;&gt;"",L345&lt;&gt;"",M345&lt;&gt;""),"ГОТОВО","НЕ ГОТОВО"))</f>
        <v/>
      </c>
      <c r="Z345" s="226">
        <f>IF(Y345&lt;&gt;"ГОТОВО","", "Предварительное заключение: "&amp;A345&amp;", скв. "&amp;B345&amp;". МРП: "&amp;E345&amp;" сут. ГНО: "&amp;F345&amp;", типоразмер "&amp;G345&amp;", марка "&amp;H345&amp;". Событие: "&amp;I345&amp;". Признак: "&amp;J345&amp;". Узел: "&amp;K345&amp;". Предварительная причина: "&amp;L345&amp;". Основное осложнение: "&amp;M345&amp;IF(N345&lt;&gt;"","; сопутствующее: "&amp;N345,"")&amp;IF(O345&lt;&gt;"","; дополнительно: "&amp;O345,"")&amp;".")</f>
        <v/>
      </c>
    </row>
    <row r="346">
      <c r="A346" s="75" t="n"/>
      <c r="B346" s="75" t="n"/>
      <c r="C346" s="261" t="n"/>
      <c r="D346" s="261" t="n"/>
      <c r="E346" s="262">
        <f>IF(OR(C346="",D346=""),"",D346-C346)</f>
        <v/>
      </c>
      <c r="F346" s="75" t="n"/>
      <c r="G346" s="75" t="n"/>
      <c r="H346" s="75" t="n"/>
      <c r="I346" s="75" t="n"/>
      <c r="J346" s="75" t="n"/>
      <c r="K346" s="75" t="n"/>
      <c r="L346" s="75" t="n"/>
      <c r="M346" s="75" t="n"/>
      <c r="N346" s="75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226">
        <f>IF(AND(A346="",B346=""),"",IF(AND(A346&lt;&gt;"",B346&lt;&gt;"",C346&lt;&gt;"",D346&lt;&gt;"",F346&lt;&gt;"",G346&lt;&gt;"",H346&lt;&gt;"",ISERROR(SEARCH("по паспорту",G346)),ISERROR(SEARCH("по паспорту",H346)),I346&lt;&gt;"",J346&lt;&gt;"",K346&lt;&gt;"",L346&lt;&gt;"",M346&lt;&gt;""),"ГОТОВО","НЕ ГОТОВО"))</f>
        <v/>
      </c>
      <c r="Z346" s="226">
        <f>IF(Y346&lt;&gt;"ГОТОВО","", "Предварительное заключение: "&amp;A346&amp;", скв. "&amp;B346&amp;". МРП: "&amp;E346&amp;" сут. ГНО: "&amp;F346&amp;", типоразмер "&amp;G346&amp;", марка "&amp;H346&amp;". Событие: "&amp;I346&amp;". Признак: "&amp;J346&amp;". Узел: "&amp;K346&amp;". Предварительная причина: "&amp;L346&amp;". Основное осложнение: "&amp;M346&amp;IF(N346&lt;&gt;"","; сопутствующее: "&amp;N346,"")&amp;IF(O346&lt;&gt;"","; дополнительно: "&amp;O346,"")&amp;".")</f>
        <v/>
      </c>
    </row>
    <row r="347">
      <c r="A347" s="75" t="n"/>
      <c r="B347" s="75" t="n"/>
      <c r="C347" s="261" t="n"/>
      <c r="D347" s="261" t="n"/>
      <c r="E347" s="262">
        <f>IF(OR(C347="",D347=""),"",D347-C347)</f>
        <v/>
      </c>
      <c r="F347" s="75" t="n"/>
      <c r="G347" s="75" t="n"/>
      <c r="H347" s="75" t="n"/>
      <c r="I347" s="75" t="n"/>
      <c r="J347" s="75" t="n"/>
      <c r="K347" s="75" t="n"/>
      <c r="L347" s="75" t="n"/>
      <c r="M347" s="75" t="n"/>
      <c r="N347" s="75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226">
        <f>IF(AND(A347="",B347=""),"",IF(AND(A347&lt;&gt;"",B347&lt;&gt;"",C347&lt;&gt;"",D347&lt;&gt;"",F347&lt;&gt;"",G347&lt;&gt;"",H347&lt;&gt;"",ISERROR(SEARCH("по паспорту",G347)),ISERROR(SEARCH("по паспорту",H347)),I347&lt;&gt;"",J347&lt;&gt;"",K347&lt;&gt;"",L347&lt;&gt;"",M347&lt;&gt;""),"ГОТОВО","НЕ ГОТОВО"))</f>
        <v/>
      </c>
      <c r="Z347" s="226">
        <f>IF(Y347&lt;&gt;"ГОТОВО","", "Предварительное заключение: "&amp;A347&amp;", скв. "&amp;B347&amp;". МРП: "&amp;E347&amp;" сут. ГНО: "&amp;F347&amp;", типоразмер "&amp;G347&amp;", марка "&amp;H347&amp;". Событие: "&amp;I347&amp;". Признак: "&amp;J347&amp;". Узел: "&amp;K347&amp;". Предварительная причина: "&amp;L347&amp;". Основное осложнение: "&amp;M347&amp;IF(N347&lt;&gt;"","; сопутствующее: "&amp;N347,"")&amp;IF(O347&lt;&gt;"","; дополнительно: "&amp;O347,"")&amp;".")</f>
        <v/>
      </c>
    </row>
    <row r="348">
      <c r="A348" s="75" t="n"/>
      <c r="B348" s="75" t="n"/>
      <c r="C348" s="261" t="n"/>
      <c r="D348" s="261" t="n"/>
      <c r="E348" s="262">
        <f>IF(OR(C348="",D348=""),"",D348-C348)</f>
        <v/>
      </c>
      <c r="F348" s="75" t="n"/>
      <c r="G348" s="75" t="n"/>
      <c r="H348" s="75" t="n"/>
      <c r="I348" s="75" t="n"/>
      <c r="J348" s="75" t="n"/>
      <c r="K348" s="75" t="n"/>
      <c r="L348" s="75" t="n"/>
      <c r="M348" s="75" t="n"/>
      <c r="N348" s="75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226">
        <f>IF(AND(A348="",B348=""),"",IF(AND(A348&lt;&gt;"",B348&lt;&gt;"",C348&lt;&gt;"",D348&lt;&gt;"",F348&lt;&gt;"",G348&lt;&gt;"",H348&lt;&gt;"",ISERROR(SEARCH("по паспорту",G348)),ISERROR(SEARCH("по паспорту",H348)),I348&lt;&gt;"",J348&lt;&gt;"",K348&lt;&gt;"",L348&lt;&gt;"",M348&lt;&gt;""),"ГОТОВО","НЕ ГОТОВО"))</f>
        <v/>
      </c>
      <c r="Z348" s="226">
        <f>IF(Y348&lt;&gt;"ГОТОВО","", "Предварительное заключение: "&amp;A348&amp;", скв. "&amp;B348&amp;". МРП: "&amp;E348&amp;" сут. ГНО: "&amp;F348&amp;", типоразмер "&amp;G348&amp;", марка "&amp;H348&amp;". Событие: "&amp;I348&amp;". Признак: "&amp;J348&amp;". Узел: "&amp;K348&amp;". Предварительная причина: "&amp;L348&amp;". Основное осложнение: "&amp;M348&amp;IF(N348&lt;&gt;"","; сопутствующее: "&amp;N348,"")&amp;IF(O348&lt;&gt;"","; дополнительно: "&amp;O348,"")&amp;".")</f>
        <v/>
      </c>
    </row>
    <row r="349">
      <c r="A349" s="75" t="n"/>
      <c r="B349" s="75" t="n"/>
      <c r="C349" s="261" t="n"/>
      <c r="D349" s="261" t="n"/>
      <c r="E349" s="262">
        <f>IF(OR(C349="",D349=""),"",D349-C349)</f>
        <v/>
      </c>
      <c r="F349" s="75" t="n"/>
      <c r="G349" s="75" t="n"/>
      <c r="H349" s="75" t="n"/>
      <c r="I349" s="75" t="n"/>
      <c r="J349" s="75" t="n"/>
      <c r="K349" s="75" t="n"/>
      <c r="L349" s="75" t="n"/>
      <c r="M349" s="75" t="n"/>
      <c r="N349" s="75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226">
        <f>IF(AND(A349="",B349=""),"",IF(AND(A349&lt;&gt;"",B349&lt;&gt;"",C349&lt;&gt;"",D349&lt;&gt;"",F349&lt;&gt;"",G349&lt;&gt;"",H349&lt;&gt;"",ISERROR(SEARCH("по паспорту",G349)),ISERROR(SEARCH("по паспорту",H349)),I349&lt;&gt;"",J349&lt;&gt;"",K349&lt;&gt;"",L349&lt;&gt;"",M349&lt;&gt;""),"ГОТОВО","НЕ ГОТОВО"))</f>
        <v/>
      </c>
      <c r="Z349" s="226">
        <f>IF(Y349&lt;&gt;"ГОТОВО","", "Предварительное заключение: "&amp;A349&amp;", скв. "&amp;B349&amp;". МРП: "&amp;E349&amp;" сут. ГНО: "&amp;F349&amp;", типоразмер "&amp;G349&amp;", марка "&amp;H349&amp;". Событие: "&amp;I349&amp;". Признак: "&amp;J349&amp;". Узел: "&amp;K349&amp;". Предварительная причина: "&amp;L349&amp;". Основное осложнение: "&amp;M349&amp;IF(N349&lt;&gt;"","; сопутствующее: "&amp;N349,"")&amp;IF(O349&lt;&gt;"","; дополнительно: "&amp;O349,"")&amp;".")</f>
        <v/>
      </c>
    </row>
    <row r="350">
      <c r="A350" s="75" t="n"/>
      <c r="B350" s="75" t="n"/>
      <c r="C350" s="261" t="n"/>
      <c r="D350" s="261" t="n"/>
      <c r="E350" s="262">
        <f>IF(OR(C350="",D350=""),"",D350-C350)</f>
        <v/>
      </c>
      <c r="F350" s="75" t="n"/>
      <c r="G350" s="75" t="n"/>
      <c r="H350" s="75" t="n"/>
      <c r="I350" s="75" t="n"/>
      <c r="J350" s="75" t="n"/>
      <c r="K350" s="75" t="n"/>
      <c r="L350" s="75" t="n"/>
      <c r="M350" s="75" t="n"/>
      <c r="N350" s="75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226">
        <f>IF(AND(A350="",B350=""),"",IF(AND(A350&lt;&gt;"",B350&lt;&gt;"",C350&lt;&gt;"",D350&lt;&gt;"",F350&lt;&gt;"",G350&lt;&gt;"",H350&lt;&gt;"",ISERROR(SEARCH("по паспорту",G350)),ISERROR(SEARCH("по паспорту",H350)),I350&lt;&gt;"",J350&lt;&gt;"",K350&lt;&gt;"",L350&lt;&gt;"",M350&lt;&gt;""),"ГОТОВО","НЕ ГОТОВО"))</f>
        <v/>
      </c>
      <c r="Z350" s="226">
        <f>IF(Y350&lt;&gt;"ГОТОВО","", "Предварительное заключение: "&amp;A350&amp;", скв. "&amp;B350&amp;". МРП: "&amp;E350&amp;" сут. ГНО: "&amp;F350&amp;", типоразмер "&amp;G350&amp;", марка "&amp;H350&amp;". Событие: "&amp;I350&amp;". Признак: "&amp;J350&amp;". Узел: "&amp;K350&amp;". Предварительная причина: "&amp;L350&amp;". Основное осложнение: "&amp;M350&amp;IF(N350&lt;&gt;"","; сопутствующее: "&amp;N350,"")&amp;IF(O350&lt;&gt;"","; дополнительно: "&amp;O350,"")&amp;".")</f>
        <v/>
      </c>
    </row>
    <row r="351">
      <c r="A351" s="75" t="n"/>
      <c r="B351" s="75" t="n"/>
      <c r="C351" s="261" t="n"/>
      <c r="D351" s="261" t="n"/>
      <c r="E351" s="262">
        <f>IF(OR(C351="",D351=""),"",D351-C351)</f>
        <v/>
      </c>
      <c r="F351" s="75" t="n"/>
      <c r="G351" s="75" t="n"/>
      <c r="H351" s="75" t="n"/>
      <c r="I351" s="75" t="n"/>
      <c r="J351" s="75" t="n"/>
      <c r="K351" s="75" t="n"/>
      <c r="L351" s="75" t="n"/>
      <c r="M351" s="75" t="n"/>
      <c r="N351" s="75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226">
        <f>IF(AND(A351="",B351=""),"",IF(AND(A351&lt;&gt;"",B351&lt;&gt;"",C351&lt;&gt;"",D351&lt;&gt;"",F351&lt;&gt;"",G351&lt;&gt;"",H351&lt;&gt;"",ISERROR(SEARCH("по паспорту",G351)),ISERROR(SEARCH("по паспорту",H351)),I351&lt;&gt;"",J351&lt;&gt;"",K351&lt;&gt;"",L351&lt;&gt;"",M351&lt;&gt;""),"ГОТОВО","НЕ ГОТОВО"))</f>
        <v/>
      </c>
      <c r="Z351" s="226">
        <f>IF(Y351&lt;&gt;"ГОТОВО","", "Предварительное заключение: "&amp;A351&amp;", скв. "&amp;B351&amp;". МРП: "&amp;E351&amp;" сут. ГНО: "&amp;F351&amp;", типоразмер "&amp;G351&amp;", марка "&amp;H351&amp;". Событие: "&amp;I351&amp;". Признак: "&amp;J351&amp;". Узел: "&amp;K351&amp;". Предварительная причина: "&amp;L351&amp;". Основное осложнение: "&amp;M351&amp;IF(N351&lt;&gt;"","; сопутствующее: "&amp;N351,"")&amp;IF(O351&lt;&gt;"","; дополнительно: "&amp;O351,"")&amp;".")</f>
        <v/>
      </c>
    </row>
    <row r="352">
      <c r="A352" s="75" t="n"/>
      <c r="B352" s="75" t="n"/>
      <c r="C352" s="261" t="n"/>
      <c r="D352" s="261" t="n"/>
      <c r="E352" s="262">
        <f>IF(OR(C352="",D352=""),"",D352-C352)</f>
        <v/>
      </c>
      <c r="F352" s="75" t="n"/>
      <c r="G352" s="75" t="n"/>
      <c r="H352" s="75" t="n"/>
      <c r="I352" s="75" t="n"/>
      <c r="J352" s="75" t="n"/>
      <c r="K352" s="75" t="n"/>
      <c r="L352" s="75" t="n"/>
      <c r="M352" s="75" t="n"/>
      <c r="N352" s="75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226">
        <f>IF(AND(A352="",B352=""),"",IF(AND(A352&lt;&gt;"",B352&lt;&gt;"",C352&lt;&gt;"",D352&lt;&gt;"",F352&lt;&gt;"",G352&lt;&gt;"",H352&lt;&gt;"",ISERROR(SEARCH("по паспорту",G352)),ISERROR(SEARCH("по паспорту",H352)),I352&lt;&gt;"",J352&lt;&gt;"",K352&lt;&gt;"",L352&lt;&gt;"",M352&lt;&gt;""),"ГОТОВО","НЕ ГОТОВО"))</f>
        <v/>
      </c>
      <c r="Z352" s="226">
        <f>IF(Y352&lt;&gt;"ГОТОВО","", "Предварительное заключение: "&amp;A352&amp;", скв. "&amp;B352&amp;". МРП: "&amp;E352&amp;" сут. ГНО: "&amp;F352&amp;", типоразмер "&amp;G352&amp;", марка "&amp;H352&amp;". Событие: "&amp;I352&amp;". Признак: "&amp;J352&amp;". Узел: "&amp;K352&amp;". Предварительная причина: "&amp;L352&amp;". Основное осложнение: "&amp;M352&amp;IF(N352&lt;&gt;"","; сопутствующее: "&amp;N352,"")&amp;IF(O352&lt;&gt;"","; дополнительно: "&amp;O352,"")&amp;".")</f>
        <v/>
      </c>
    </row>
    <row r="353">
      <c r="A353" s="75" t="n"/>
      <c r="B353" s="75" t="n"/>
      <c r="C353" s="261" t="n"/>
      <c r="D353" s="261" t="n"/>
      <c r="E353" s="262">
        <f>IF(OR(C353="",D353=""),"",D353-C353)</f>
        <v/>
      </c>
      <c r="F353" s="75" t="n"/>
      <c r="G353" s="75" t="n"/>
      <c r="H353" s="75" t="n"/>
      <c r="I353" s="75" t="n"/>
      <c r="J353" s="75" t="n"/>
      <c r="K353" s="75" t="n"/>
      <c r="L353" s="75" t="n"/>
      <c r="M353" s="75" t="n"/>
      <c r="N353" s="75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226">
        <f>IF(AND(A353="",B353=""),"",IF(AND(A353&lt;&gt;"",B353&lt;&gt;"",C353&lt;&gt;"",D353&lt;&gt;"",F353&lt;&gt;"",G353&lt;&gt;"",H353&lt;&gt;"",ISERROR(SEARCH("по паспорту",G353)),ISERROR(SEARCH("по паспорту",H353)),I353&lt;&gt;"",J353&lt;&gt;"",K353&lt;&gt;"",L353&lt;&gt;"",M353&lt;&gt;""),"ГОТОВО","НЕ ГОТОВО"))</f>
        <v/>
      </c>
      <c r="Z353" s="226">
        <f>IF(Y353&lt;&gt;"ГОТОВО","", "Предварительное заключение: "&amp;A353&amp;", скв. "&amp;B353&amp;". МРП: "&amp;E353&amp;" сут. ГНО: "&amp;F353&amp;", типоразмер "&amp;G353&amp;", марка "&amp;H353&amp;". Событие: "&amp;I353&amp;". Признак: "&amp;J353&amp;". Узел: "&amp;K353&amp;". Предварительная причина: "&amp;L353&amp;". Основное осложнение: "&amp;M353&amp;IF(N353&lt;&gt;"","; сопутствующее: "&amp;N353,"")&amp;IF(O353&lt;&gt;"","; дополнительно: "&amp;O353,"")&amp;".")</f>
        <v/>
      </c>
    </row>
    <row r="354">
      <c r="A354" s="75" t="n"/>
      <c r="B354" s="75" t="n"/>
      <c r="C354" s="261" t="n"/>
      <c r="D354" s="261" t="n"/>
      <c r="E354" s="262">
        <f>IF(OR(C354="",D354=""),"",D354-C354)</f>
        <v/>
      </c>
      <c r="F354" s="75" t="n"/>
      <c r="G354" s="75" t="n"/>
      <c r="H354" s="75" t="n"/>
      <c r="I354" s="75" t="n"/>
      <c r="J354" s="75" t="n"/>
      <c r="K354" s="75" t="n"/>
      <c r="L354" s="75" t="n"/>
      <c r="M354" s="75" t="n"/>
      <c r="N354" s="75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226">
        <f>IF(AND(A354="",B354=""),"",IF(AND(A354&lt;&gt;"",B354&lt;&gt;"",C354&lt;&gt;"",D354&lt;&gt;"",F354&lt;&gt;"",G354&lt;&gt;"",H354&lt;&gt;"",ISERROR(SEARCH("по паспорту",G354)),ISERROR(SEARCH("по паспорту",H354)),I354&lt;&gt;"",J354&lt;&gt;"",K354&lt;&gt;"",L354&lt;&gt;"",M354&lt;&gt;""),"ГОТОВО","НЕ ГОТОВО"))</f>
        <v/>
      </c>
      <c r="Z354" s="226">
        <f>IF(Y354&lt;&gt;"ГОТОВО","", "Предварительное заключение: "&amp;A354&amp;", скв. "&amp;B354&amp;". МРП: "&amp;E354&amp;" сут. ГНО: "&amp;F354&amp;", типоразмер "&amp;G354&amp;", марка "&amp;H354&amp;". Событие: "&amp;I354&amp;". Признак: "&amp;J354&amp;". Узел: "&amp;K354&amp;". Предварительная причина: "&amp;L354&amp;". Основное осложнение: "&amp;M354&amp;IF(N354&lt;&gt;"","; сопутствующее: "&amp;N354,"")&amp;IF(O354&lt;&gt;"","; дополнительно: "&amp;O354,"")&amp;".")</f>
        <v/>
      </c>
    </row>
    <row r="355">
      <c r="A355" s="75" t="n"/>
      <c r="B355" s="75" t="n"/>
      <c r="C355" s="261" t="n"/>
      <c r="D355" s="261" t="n"/>
      <c r="E355" s="262">
        <f>IF(OR(C355="",D355=""),"",D355-C355)</f>
        <v/>
      </c>
      <c r="F355" s="75" t="n"/>
      <c r="G355" s="75" t="n"/>
      <c r="H355" s="75" t="n"/>
      <c r="I355" s="75" t="n"/>
      <c r="J355" s="75" t="n"/>
      <c r="K355" s="75" t="n"/>
      <c r="L355" s="75" t="n"/>
      <c r="M355" s="75" t="n"/>
      <c r="N355" s="75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226">
        <f>IF(AND(A355="",B355=""),"",IF(AND(A355&lt;&gt;"",B355&lt;&gt;"",C355&lt;&gt;"",D355&lt;&gt;"",F355&lt;&gt;"",G355&lt;&gt;"",H355&lt;&gt;"",ISERROR(SEARCH("по паспорту",G355)),ISERROR(SEARCH("по паспорту",H355)),I355&lt;&gt;"",J355&lt;&gt;"",K355&lt;&gt;"",L355&lt;&gt;"",M355&lt;&gt;""),"ГОТОВО","НЕ ГОТОВО"))</f>
        <v/>
      </c>
      <c r="Z355" s="226">
        <f>IF(Y355&lt;&gt;"ГОТОВО","", "Предварительное заключение: "&amp;A355&amp;", скв. "&amp;B355&amp;". МРП: "&amp;E355&amp;" сут. ГНО: "&amp;F355&amp;", типоразмер "&amp;G355&amp;", марка "&amp;H355&amp;". Событие: "&amp;I355&amp;". Признак: "&amp;J355&amp;". Узел: "&amp;K355&amp;". Предварительная причина: "&amp;L355&amp;". Основное осложнение: "&amp;M355&amp;IF(N355&lt;&gt;"","; сопутствующее: "&amp;N355,"")&amp;IF(O355&lt;&gt;"","; дополнительно: "&amp;O355,"")&amp;".")</f>
        <v/>
      </c>
    </row>
    <row r="356">
      <c r="A356" s="75" t="n"/>
      <c r="B356" s="75" t="n"/>
      <c r="C356" s="261" t="n"/>
      <c r="D356" s="261" t="n"/>
      <c r="E356" s="262">
        <f>IF(OR(C356="",D356=""),"",D356-C356)</f>
        <v/>
      </c>
      <c r="F356" s="75" t="n"/>
      <c r="G356" s="75" t="n"/>
      <c r="H356" s="75" t="n"/>
      <c r="I356" s="75" t="n"/>
      <c r="J356" s="75" t="n"/>
      <c r="K356" s="75" t="n"/>
      <c r="L356" s="75" t="n"/>
      <c r="M356" s="75" t="n"/>
      <c r="N356" s="75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226">
        <f>IF(AND(A356="",B356=""),"",IF(AND(A356&lt;&gt;"",B356&lt;&gt;"",C356&lt;&gt;"",D356&lt;&gt;"",F356&lt;&gt;"",G356&lt;&gt;"",H356&lt;&gt;"",ISERROR(SEARCH("по паспорту",G356)),ISERROR(SEARCH("по паспорту",H356)),I356&lt;&gt;"",J356&lt;&gt;"",K356&lt;&gt;"",L356&lt;&gt;"",M356&lt;&gt;""),"ГОТОВО","НЕ ГОТОВО"))</f>
        <v/>
      </c>
      <c r="Z356" s="226">
        <f>IF(Y356&lt;&gt;"ГОТОВО","", "Предварительное заключение: "&amp;A356&amp;", скв. "&amp;B356&amp;". МРП: "&amp;E356&amp;" сут. ГНО: "&amp;F356&amp;", типоразмер "&amp;G356&amp;", марка "&amp;H356&amp;". Событие: "&amp;I356&amp;". Признак: "&amp;J356&amp;". Узел: "&amp;K356&amp;". Предварительная причина: "&amp;L356&amp;". Основное осложнение: "&amp;M356&amp;IF(N356&lt;&gt;"","; сопутствующее: "&amp;N356,"")&amp;IF(O356&lt;&gt;"","; дополнительно: "&amp;O356,"")&amp;".")</f>
        <v/>
      </c>
    </row>
    <row r="357">
      <c r="A357" s="75" t="n"/>
      <c r="B357" s="75" t="n"/>
      <c r="C357" s="261" t="n"/>
      <c r="D357" s="261" t="n"/>
      <c r="E357" s="262">
        <f>IF(OR(C357="",D357=""),"",D357-C357)</f>
        <v/>
      </c>
      <c r="F357" s="75" t="n"/>
      <c r="G357" s="75" t="n"/>
      <c r="H357" s="75" t="n"/>
      <c r="I357" s="75" t="n"/>
      <c r="J357" s="75" t="n"/>
      <c r="K357" s="75" t="n"/>
      <c r="L357" s="75" t="n"/>
      <c r="M357" s="75" t="n"/>
      <c r="N357" s="75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226">
        <f>IF(AND(A357="",B357=""),"",IF(AND(A357&lt;&gt;"",B357&lt;&gt;"",C357&lt;&gt;"",D357&lt;&gt;"",F357&lt;&gt;"",G357&lt;&gt;"",H357&lt;&gt;"",ISERROR(SEARCH("по паспорту",G357)),ISERROR(SEARCH("по паспорту",H357)),I357&lt;&gt;"",J357&lt;&gt;"",K357&lt;&gt;"",L357&lt;&gt;"",M357&lt;&gt;""),"ГОТОВО","НЕ ГОТОВО"))</f>
        <v/>
      </c>
      <c r="Z357" s="226">
        <f>IF(Y357&lt;&gt;"ГОТОВО","", "Предварительное заключение: "&amp;A357&amp;", скв. "&amp;B357&amp;". МРП: "&amp;E357&amp;" сут. ГНО: "&amp;F357&amp;", типоразмер "&amp;G357&amp;", марка "&amp;H357&amp;". Событие: "&amp;I357&amp;". Признак: "&amp;J357&amp;". Узел: "&amp;K357&amp;". Предварительная причина: "&amp;L357&amp;". Основное осложнение: "&amp;M357&amp;IF(N357&lt;&gt;"","; сопутствующее: "&amp;N357,"")&amp;IF(O357&lt;&gt;"","; дополнительно: "&amp;O357,"")&amp;".")</f>
        <v/>
      </c>
    </row>
    <row r="358">
      <c r="A358" s="75" t="n"/>
      <c r="B358" s="75" t="n"/>
      <c r="C358" s="261" t="n"/>
      <c r="D358" s="261" t="n"/>
      <c r="E358" s="262">
        <f>IF(OR(C358="",D358=""),"",D358-C358)</f>
        <v/>
      </c>
      <c r="F358" s="75" t="n"/>
      <c r="G358" s="75" t="n"/>
      <c r="H358" s="75" t="n"/>
      <c r="I358" s="75" t="n"/>
      <c r="J358" s="75" t="n"/>
      <c r="K358" s="75" t="n"/>
      <c r="L358" s="75" t="n"/>
      <c r="M358" s="75" t="n"/>
      <c r="N358" s="75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226">
        <f>IF(AND(A358="",B358=""),"",IF(AND(A358&lt;&gt;"",B358&lt;&gt;"",C358&lt;&gt;"",D358&lt;&gt;"",F358&lt;&gt;"",G358&lt;&gt;"",H358&lt;&gt;"",ISERROR(SEARCH("по паспорту",G358)),ISERROR(SEARCH("по паспорту",H358)),I358&lt;&gt;"",J358&lt;&gt;"",K358&lt;&gt;"",L358&lt;&gt;"",M358&lt;&gt;""),"ГОТОВО","НЕ ГОТОВО"))</f>
        <v/>
      </c>
      <c r="Z358" s="226">
        <f>IF(Y358&lt;&gt;"ГОТОВО","", "Предварительное заключение: "&amp;A358&amp;", скв. "&amp;B358&amp;". МРП: "&amp;E358&amp;" сут. ГНО: "&amp;F358&amp;", типоразмер "&amp;G358&amp;", марка "&amp;H358&amp;". Событие: "&amp;I358&amp;". Признак: "&amp;J358&amp;". Узел: "&amp;K358&amp;". Предварительная причина: "&amp;L358&amp;". Основное осложнение: "&amp;M358&amp;IF(N358&lt;&gt;"","; сопутствующее: "&amp;N358,"")&amp;IF(O358&lt;&gt;"","; дополнительно: "&amp;O358,"")&amp;".")</f>
        <v/>
      </c>
    </row>
    <row r="359">
      <c r="A359" s="75" t="n"/>
      <c r="B359" s="75" t="n"/>
      <c r="C359" s="261" t="n"/>
      <c r="D359" s="261" t="n"/>
      <c r="E359" s="262">
        <f>IF(OR(C359="",D359=""),"",D359-C359)</f>
        <v/>
      </c>
      <c r="F359" s="75" t="n"/>
      <c r="G359" s="75" t="n"/>
      <c r="H359" s="75" t="n"/>
      <c r="I359" s="75" t="n"/>
      <c r="J359" s="75" t="n"/>
      <c r="K359" s="75" t="n"/>
      <c r="L359" s="75" t="n"/>
      <c r="M359" s="75" t="n"/>
      <c r="N359" s="75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226">
        <f>IF(AND(A359="",B359=""),"",IF(AND(A359&lt;&gt;"",B359&lt;&gt;"",C359&lt;&gt;"",D359&lt;&gt;"",F359&lt;&gt;"",G359&lt;&gt;"",H359&lt;&gt;"",ISERROR(SEARCH("по паспорту",G359)),ISERROR(SEARCH("по паспорту",H359)),I359&lt;&gt;"",J359&lt;&gt;"",K359&lt;&gt;"",L359&lt;&gt;"",M359&lt;&gt;""),"ГОТОВО","НЕ ГОТОВО"))</f>
        <v/>
      </c>
      <c r="Z359" s="226">
        <f>IF(Y359&lt;&gt;"ГОТОВО","", "Предварительное заключение: "&amp;A359&amp;", скв. "&amp;B359&amp;". МРП: "&amp;E359&amp;" сут. ГНО: "&amp;F359&amp;", типоразмер "&amp;G359&amp;", марка "&amp;H359&amp;". Событие: "&amp;I359&amp;". Признак: "&amp;J359&amp;". Узел: "&amp;K359&amp;". Предварительная причина: "&amp;L359&amp;". Основное осложнение: "&amp;M359&amp;IF(N359&lt;&gt;"","; сопутствующее: "&amp;N359,"")&amp;IF(O359&lt;&gt;"","; дополнительно: "&amp;O359,"")&amp;".")</f>
        <v/>
      </c>
    </row>
    <row r="360">
      <c r="A360" s="75" t="n"/>
      <c r="B360" s="75" t="n"/>
      <c r="C360" s="261" t="n"/>
      <c r="D360" s="261" t="n"/>
      <c r="E360" s="262">
        <f>IF(OR(C360="",D360=""),"",D360-C360)</f>
        <v/>
      </c>
      <c r="F360" s="75" t="n"/>
      <c r="G360" s="75" t="n"/>
      <c r="H360" s="75" t="n"/>
      <c r="I360" s="75" t="n"/>
      <c r="J360" s="75" t="n"/>
      <c r="K360" s="75" t="n"/>
      <c r="L360" s="75" t="n"/>
      <c r="M360" s="75" t="n"/>
      <c r="N360" s="75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226">
        <f>IF(AND(A360="",B360=""),"",IF(AND(A360&lt;&gt;"",B360&lt;&gt;"",C360&lt;&gt;"",D360&lt;&gt;"",F360&lt;&gt;"",G360&lt;&gt;"",H360&lt;&gt;"",ISERROR(SEARCH("по паспорту",G360)),ISERROR(SEARCH("по паспорту",H360)),I360&lt;&gt;"",J360&lt;&gt;"",K360&lt;&gt;"",L360&lt;&gt;"",M360&lt;&gt;""),"ГОТОВО","НЕ ГОТОВО"))</f>
        <v/>
      </c>
      <c r="Z360" s="226">
        <f>IF(Y360&lt;&gt;"ГОТОВО","", "Предварительное заключение: "&amp;A360&amp;", скв. "&amp;B360&amp;". МРП: "&amp;E360&amp;" сут. ГНО: "&amp;F360&amp;", типоразмер "&amp;G360&amp;", марка "&amp;H360&amp;". Событие: "&amp;I360&amp;". Признак: "&amp;J360&amp;". Узел: "&amp;K360&amp;". Предварительная причина: "&amp;L360&amp;". Основное осложнение: "&amp;M360&amp;IF(N360&lt;&gt;"","; сопутствующее: "&amp;N360,"")&amp;IF(O360&lt;&gt;"","; дополнительно: "&amp;O360,"")&amp;".")</f>
        <v/>
      </c>
    </row>
    <row r="361">
      <c r="A361" s="75" t="n"/>
      <c r="B361" s="75" t="n"/>
      <c r="C361" s="261" t="n"/>
      <c r="D361" s="261" t="n"/>
      <c r="E361" s="262">
        <f>IF(OR(C361="",D361=""),"",D361-C361)</f>
        <v/>
      </c>
      <c r="F361" s="75" t="n"/>
      <c r="G361" s="75" t="n"/>
      <c r="H361" s="75" t="n"/>
      <c r="I361" s="75" t="n"/>
      <c r="J361" s="75" t="n"/>
      <c r="K361" s="75" t="n"/>
      <c r="L361" s="75" t="n"/>
      <c r="M361" s="75" t="n"/>
      <c r="N361" s="75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226">
        <f>IF(AND(A361="",B361=""),"",IF(AND(A361&lt;&gt;"",B361&lt;&gt;"",C361&lt;&gt;"",D361&lt;&gt;"",F361&lt;&gt;"",G361&lt;&gt;"",H361&lt;&gt;"",ISERROR(SEARCH("по паспорту",G361)),ISERROR(SEARCH("по паспорту",H361)),I361&lt;&gt;"",J361&lt;&gt;"",K361&lt;&gt;"",L361&lt;&gt;"",M361&lt;&gt;""),"ГОТОВО","НЕ ГОТОВО"))</f>
        <v/>
      </c>
      <c r="Z361" s="226">
        <f>IF(Y361&lt;&gt;"ГОТОВО","", "Предварительное заключение: "&amp;A361&amp;", скв. "&amp;B361&amp;". МРП: "&amp;E361&amp;" сут. ГНО: "&amp;F361&amp;", типоразмер "&amp;G361&amp;", марка "&amp;H361&amp;". Событие: "&amp;I361&amp;". Признак: "&amp;J361&amp;". Узел: "&amp;K361&amp;". Предварительная причина: "&amp;L361&amp;". Основное осложнение: "&amp;M361&amp;IF(N361&lt;&gt;"","; сопутствующее: "&amp;N361,"")&amp;IF(O361&lt;&gt;"","; дополнительно: "&amp;O361,"")&amp;".")</f>
        <v/>
      </c>
    </row>
    <row r="362">
      <c r="A362" s="75" t="n"/>
      <c r="B362" s="75" t="n"/>
      <c r="C362" s="261" t="n"/>
      <c r="D362" s="261" t="n"/>
      <c r="E362" s="262">
        <f>IF(OR(C362="",D362=""),"",D362-C362)</f>
        <v/>
      </c>
      <c r="F362" s="75" t="n"/>
      <c r="G362" s="75" t="n"/>
      <c r="H362" s="75" t="n"/>
      <c r="I362" s="75" t="n"/>
      <c r="J362" s="75" t="n"/>
      <c r="K362" s="75" t="n"/>
      <c r="L362" s="75" t="n"/>
      <c r="M362" s="75" t="n"/>
      <c r="N362" s="75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226">
        <f>IF(AND(A362="",B362=""),"",IF(AND(A362&lt;&gt;"",B362&lt;&gt;"",C362&lt;&gt;"",D362&lt;&gt;"",F362&lt;&gt;"",G362&lt;&gt;"",H362&lt;&gt;"",ISERROR(SEARCH("по паспорту",G362)),ISERROR(SEARCH("по паспорту",H362)),I362&lt;&gt;"",J362&lt;&gt;"",K362&lt;&gt;"",L362&lt;&gt;"",M362&lt;&gt;""),"ГОТОВО","НЕ ГОТОВО"))</f>
        <v/>
      </c>
      <c r="Z362" s="226">
        <f>IF(Y362&lt;&gt;"ГОТОВО","", "Предварительное заключение: "&amp;A362&amp;", скв. "&amp;B362&amp;". МРП: "&amp;E362&amp;" сут. ГНО: "&amp;F362&amp;", типоразмер "&amp;G362&amp;", марка "&amp;H362&amp;". Событие: "&amp;I362&amp;". Признак: "&amp;J362&amp;". Узел: "&amp;K362&amp;". Предварительная причина: "&amp;L362&amp;". Основное осложнение: "&amp;M362&amp;IF(N362&lt;&gt;"","; сопутствующее: "&amp;N362,"")&amp;IF(O362&lt;&gt;"","; дополнительно: "&amp;O362,"")&amp;".")</f>
        <v/>
      </c>
    </row>
    <row r="363">
      <c r="A363" s="75" t="n"/>
      <c r="B363" s="75" t="n"/>
      <c r="C363" s="261" t="n"/>
      <c r="D363" s="261" t="n"/>
      <c r="E363" s="262">
        <f>IF(OR(C363="",D363=""),"",D363-C363)</f>
        <v/>
      </c>
      <c r="F363" s="75" t="n"/>
      <c r="G363" s="75" t="n"/>
      <c r="H363" s="75" t="n"/>
      <c r="I363" s="75" t="n"/>
      <c r="J363" s="75" t="n"/>
      <c r="K363" s="75" t="n"/>
      <c r="L363" s="75" t="n"/>
      <c r="M363" s="75" t="n"/>
      <c r="N363" s="75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226">
        <f>IF(AND(A363="",B363=""),"",IF(AND(A363&lt;&gt;"",B363&lt;&gt;"",C363&lt;&gt;"",D363&lt;&gt;"",F363&lt;&gt;"",G363&lt;&gt;"",H363&lt;&gt;"",ISERROR(SEARCH("по паспорту",G363)),ISERROR(SEARCH("по паспорту",H363)),I363&lt;&gt;"",J363&lt;&gt;"",K363&lt;&gt;"",L363&lt;&gt;"",M363&lt;&gt;""),"ГОТОВО","НЕ ГОТОВО"))</f>
        <v/>
      </c>
      <c r="Z363" s="226">
        <f>IF(Y363&lt;&gt;"ГОТОВО","", "Предварительное заключение: "&amp;A363&amp;", скв. "&amp;B363&amp;". МРП: "&amp;E363&amp;" сут. ГНО: "&amp;F363&amp;", типоразмер "&amp;G363&amp;", марка "&amp;H363&amp;". Событие: "&amp;I363&amp;". Признак: "&amp;J363&amp;". Узел: "&amp;K363&amp;". Предварительная причина: "&amp;L363&amp;". Основное осложнение: "&amp;M363&amp;IF(N363&lt;&gt;"","; сопутствующее: "&amp;N363,"")&amp;IF(O363&lt;&gt;"","; дополнительно: "&amp;O363,"")&amp;".")</f>
        <v/>
      </c>
    </row>
    <row r="364">
      <c r="A364" s="75" t="n"/>
      <c r="B364" s="75" t="n"/>
      <c r="C364" s="261" t="n"/>
      <c r="D364" s="261" t="n"/>
      <c r="E364" s="262">
        <f>IF(OR(C364="",D364=""),"",D364-C364)</f>
        <v/>
      </c>
      <c r="F364" s="75" t="n"/>
      <c r="G364" s="75" t="n"/>
      <c r="H364" s="75" t="n"/>
      <c r="I364" s="75" t="n"/>
      <c r="J364" s="75" t="n"/>
      <c r="K364" s="75" t="n"/>
      <c r="L364" s="75" t="n"/>
      <c r="M364" s="75" t="n"/>
      <c r="N364" s="75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226">
        <f>IF(AND(A364="",B364=""),"",IF(AND(A364&lt;&gt;"",B364&lt;&gt;"",C364&lt;&gt;"",D364&lt;&gt;"",F364&lt;&gt;"",G364&lt;&gt;"",H364&lt;&gt;"",ISERROR(SEARCH("по паспорту",G364)),ISERROR(SEARCH("по паспорту",H364)),I364&lt;&gt;"",J364&lt;&gt;"",K364&lt;&gt;"",L364&lt;&gt;"",M364&lt;&gt;""),"ГОТОВО","НЕ ГОТОВО"))</f>
        <v/>
      </c>
      <c r="Z364" s="226">
        <f>IF(Y364&lt;&gt;"ГОТОВО","", "Предварительное заключение: "&amp;A364&amp;", скв. "&amp;B364&amp;". МРП: "&amp;E364&amp;" сут. ГНО: "&amp;F364&amp;", типоразмер "&amp;G364&amp;", марка "&amp;H364&amp;". Событие: "&amp;I364&amp;". Признак: "&amp;J364&amp;". Узел: "&amp;K364&amp;". Предварительная причина: "&amp;L364&amp;". Основное осложнение: "&amp;M364&amp;IF(N364&lt;&gt;"","; сопутствующее: "&amp;N364,"")&amp;IF(O364&lt;&gt;"","; дополнительно: "&amp;O364,"")&amp;".")</f>
        <v/>
      </c>
    </row>
    <row r="365">
      <c r="A365" s="75" t="n"/>
      <c r="B365" s="75" t="n"/>
      <c r="C365" s="261" t="n"/>
      <c r="D365" s="261" t="n"/>
      <c r="E365" s="262">
        <f>IF(OR(C365="",D365=""),"",D365-C365)</f>
        <v/>
      </c>
      <c r="F365" s="75" t="n"/>
      <c r="G365" s="75" t="n"/>
      <c r="H365" s="75" t="n"/>
      <c r="I365" s="75" t="n"/>
      <c r="J365" s="75" t="n"/>
      <c r="K365" s="75" t="n"/>
      <c r="L365" s="75" t="n"/>
      <c r="M365" s="75" t="n"/>
      <c r="N365" s="75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226">
        <f>IF(AND(A365="",B365=""),"",IF(AND(A365&lt;&gt;"",B365&lt;&gt;"",C365&lt;&gt;"",D365&lt;&gt;"",F365&lt;&gt;"",G365&lt;&gt;"",H365&lt;&gt;"",ISERROR(SEARCH("по паспорту",G365)),ISERROR(SEARCH("по паспорту",H365)),I365&lt;&gt;"",J365&lt;&gt;"",K365&lt;&gt;"",L365&lt;&gt;"",M365&lt;&gt;""),"ГОТОВО","НЕ ГОТОВО"))</f>
        <v/>
      </c>
      <c r="Z365" s="226">
        <f>IF(Y365&lt;&gt;"ГОТОВО","", "Предварительное заключение: "&amp;A365&amp;", скв. "&amp;B365&amp;". МРП: "&amp;E365&amp;" сут. ГНО: "&amp;F365&amp;", типоразмер "&amp;G365&amp;", марка "&amp;H365&amp;". Событие: "&amp;I365&amp;". Признак: "&amp;J365&amp;". Узел: "&amp;K365&amp;". Предварительная причина: "&amp;L365&amp;". Основное осложнение: "&amp;M365&amp;IF(N365&lt;&gt;"","; сопутствующее: "&amp;N365,"")&amp;IF(O365&lt;&gt;"","; дополнительно: "&amp;O365,"")&amp;".")</f>
        <v/>
      </c>
    </row>
    <row r="366">
      <c r="A366" s="75" t="n"/>
      <c r="B366" s="75" t="n"/>
      <c r="C366" s="261" t="n"/>
      <c r="D366" s="261" t="n"/>
      <c r="E366" s="262">
        <f>IF(OR(C366="",D366=""),"",D366-C366)</f>
        <v/>
      </c>
      <c r="F366" s="75" t="n"/>
      <c r="G366" s="75" t="n"/>
      <c r="H366" s="75" t="n"/>
      <c r="I366" s="75" t="n"/>
      <c r="J366" s="75" t="n"/>
      <c r="K366" s="75" t="n"/>
      <c r="L366" s="75" t="n"/>
      <c r="M366" s="75" t="n"/>
      <c r="N366" s="75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226">
        <f>IF(AND(A366="",B366=""),"",IF(AND(A366&lt;&gt;"",B366&lt;&gt;"",C366&lt;&gt;"",D366&lt;&gt;"",F366&lt;&gt;"",G366&lt;&gt;"",H366&lt;&gt;"",ISERROR(SEARCH("по паспорту",G366)),ISERROR(SEARCH("по паспорту",H366)),I366&lt;&gt;"",J366&lt;&gt;"",K366&lt;&gt;"",L366&lt;&gt;"",M366&lt;&gt;""),"ГОТОВО","НЕ ГОТОВО"))</f>
        <v/>
      </c>
      <c r="Z366" s="226">
        <f>IF(Y366&lt;&gt;"ГОТОВО","", "Предварительное заключение: "&amp;A366&amp;", скв. "&amp;B366&amp;". МРП: "&amp;E366&amp;" сут. ГНО: "&amp;F366&amp;", типоразмер "&amp;G366&amp;", марка "&amp;H366&amp;". Событие: "&amp;I366&amp;". Признак: "&amp;J366&amp;". Узел: "&amp;K366&amp;". Предварительная причина: "&amp;L366&amp;". Основное осложнение: "&amp;M366&amp;IF(N366&lt;&gt;"","; сопутствующее: "&amp;N366,"")&amp;IF(O366&lt;&gt;"","; дополнительно: "&amp;O366,"")&amp;".")</f>
        <v/>
      </c>
    </row>
    <row r="367">
      <c r="A367" s="75" t="n"/>
      <c r="B367" s="75" t="n"/>
      <c r="C367" s="261" t="n"/>
      <c r="D367" s="261" t="n"/>
      <c r="E367" s="262">
        <f>IF(OR(C367="",D367=""),"",D367-C367)</f>
        <v/>
      </c>
      <c r="F367" s="75" t="n"/>
      <c r="G367" s="75" t="n"/>
      <c r="H367" s="75" t="n"/>
      <c r="I367" s="75" t="n"/>
      <c r="J367" s="75" t="n"/>
      <c r="K367" s="75" t="n"/>
      <c r="L367" s="75" t="n"/>
      <c r="M367" s="75" t="n"/>
      <c r="N367" s="75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226">
        <f>IF(AND(A367="",B367=""),"",IF(AND(A367&lt;&gt;"",B367&lt;&gt;"",C367&lt;&gt;"",D367&lt;&gt;"",F367&lt;&gt;"",G367&lt;&gt;"",H367&lt;&gt;"",ISERROR(SEARCH("по паспорту",G367)),ISERROR(SEARCH("по паспорту",H367)),I367&lt;&gt;"",J367&lt;&gt;"",K367&lt;&gt;"",L367&lt;&gt;"",M367&lt;&gt;""),"ГОТОВО","НЕ ГОТОВО"))</f>
        <v/>
      </c>
      <c r="Z367" s="226">
        <f>IF(Y367&lt;&gt;"ГОТОВО","", "Предварительное заключение: "&amp;A367&amp;", скв. "&amp;B367&amp;". МРП: "&amp;E367&amp;" сут. ГНО: "&amp;F367&amp;", типоразмер "&amp;G367&amp;", марка "&amp;H367&amp;". Событие: "&amp;I367&amp;". Признак: "&amp;J367&amp;". Узел: "&amp;K367&amp;". Предварительная причина: "&amp;L367&amp;". Основное осложнение: "&amp;M367&amp;IF(N367&lt;&gt;"","; сопутствующее: "&amp;N367,"")&amp;IF(O367&lt;&gt;"","; дополнительно: "&amp;O367,"")&amp;".")</f>
        <v/>
      </c>
    </row>
    <row r="368">
      <c r="A368" s="75" t="n"/>
      <c r="B368" s="75" t="n"/>
      <c r="C368" s="261" t="n"/>
      <c r="D368" s="261" t="n"/>
      <c r="E368" s="262">
        <f>IF(OR(C368="",D368=""),"",D368-C368)</f>
        <v/>
      </c>
      <c r="F368" s="75" t="n"/>
      <c r="G368" s="75" t="n"/>
      <c r="H368" s="75" t="n"/>
      <c r="I368" s="75" t="n"/>
      <c r="J368" s="75" t="n"/>
      <c r="K368" s="75" t="n"/>
      <c r="L368" s="75" t="n"/>
      <c r="M368" s="75" t="n"/>
      <c r="N368" s="75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226">
        <f>IF(AND(A368="",B368=""),"",IF(AND(A368&lt;&gt;"",B368&lt;&gt;"",C368&lt;&gt;"",D368&lt;&gt;"",F368&lt;&gt;"",G368&lt;&gt;"",H368&lt;&gt;"",ISERROR(SEARCH("по паспорту",G368)),ISERROR(SEARCH("по паспорту",H368)),I368&lt;&gt;"",J368&lt;&gt;"",K368&lt;&gt;"",L368&lt;&gt;"",M368&lt;&gt;""),"ГОТОВО","НЕ ГОТОВО"))</f>
        <v/>
      </c>
      <c r="Z368" s="226">
        <f>IF(Y368&lt;&gt;"ГОТОВО","", "Предварительное заключение: "&amp;A368&amp;", скв. "&amp;B368&amp;". МРП: "&amp;E368&amp;" сут. ГНО: "&amp;F368&amp;", типоразмер "&amp;G368&amp;", марка "&amp;H368&amp;". Событие: "&amp;I368&amp;". Признак: "&amp;J368&amp;". Узел: "&amp;K368&amp;". Предварительная причина: "&amp;L368&amp;". Основное осложнение: "&amp;M368&amp;IF(N368&lt;&gt;"","; сопутствующее: "&amp;N368,"")&amp;IF(O368&lt;&gt;"","; дополнительно: "&amp;O368,"")&amp;".")</f>
        <v/>
      </c>
    </row>
    <row r="369">
      <c r="A369" s="75" t="n"/>
      <c r="B369" s="75" t="n"/>
      <c r="C369" s="261" t="n"/>
      <c r="D369" s="261" t="n"/>
      <c r="E369" s="262">
        <f>IF(OR(C369="",D369=""),"",D369-C369)</f>
        <v/>
      </c>
      <c r="F369" s="75" t="n"/>
      <c r="G369" s="75" t="n"/>
      <c r="H369" s="75" t="n"/>
      <c r="I369" s="75" t="n"/>
      <c r="J369" s="75" t="n"/>
      <c r="K369" s="75" t="n"/>
      <c r="L369" s="75" t="n"/>
      <c r="M369" s="75" t="n"/>
      <c r="N369" s="75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226">
        <f>IF(AND(A369="",B369=""),"",IF(AND(A369&lt;&gt;"",B369&lt;&gt;"",C369&lt;&gt;"",D369&lt;&gt;"",F369&lt;&gt;"",G369&lt;&gt;"",H369&lt;&gt;"",ISERROR(SEARCH("по паспорту",G369)),ISERROR(SEARCH("по паспорту",H369)),I369&lt;&gt;"",J369&lt;&gt;"",K369&lt;&gt;"",L369&lt;&gt;"",M369&lt;&gt;""),"ГОТОВО","НЕ ГОТОВО"))</f>
        <v/>
      </c>
      <c r="Z369" s="226">
        <f>IF(Y369&lt;&gt;"ГОТОВО","", "Предварительное заключение: "&amp;A369&amp;", скв. "&amp;B369&amp;". МРП: "&amp;E369&amp;" сут. ГНО: "&amp;F369&amp;", типоразмер "&amp;G369&amp;", марка "&amp;H369&amp;". Событие: "&amp;I369&amp;". Признак: "&amp;J369&amp;". Узел: "&amp;K369&amp;". Предварительная причина: "&amp;L369&amp;". Основное осложнение: "&amp;M369&amp;IF(N369&lt;&gt;"","; сопутствующее: "&amp;N369,"")&amp;IF(O369&lt;&gt;"","; дополнительно: "&amp;O369,"")&amp;".")</f>
        <v/>
      </c>
    </row>
    <row r="370">
      <c r="A370" s="75" t="n"/>
      <c r="B370" s="75" t="n"/>
      <c r="C370" s="261" t="n"/>
      <c r="D370" s="261" t="n"/>
      <c r="E370" s="262">
        <f>IF(OR(C370="",D370=""),"",D370-C370)</f>
        <v/>
      </c>
      <c r="F370" s="75" t="n"/>
      <c r="G370" s="75" t="n"/>
      <c r="H370" s="75" t="n"/>
      <c r="I370" s="75" t="n"/>
      <c r="J370" s="75" t="n"/>
      <c r="K370" s="75" t="n"/>
      <c r="L370" s="75" t="n"/>
      <c r="M370" s="75" t="n"/>
      <c r="N370" s="75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226">
        <f>IF(AND(A370="",B370=""),"",IF(AND(A370&lt;&gt;"",B370&lt;&gt;"",C370&lt;&gt;"",D370&lt;&gt;"",F370&lt;&gt;"",G370&lt;&gt;"",H370&lt;&gt;"",ISERROR(SEARCH("по паспорту",G370)),ISERROR(SEARCH("по паспорту",H370)),I370&lt;&gt;"",J370&lt;&gt;"",K370&lt;&gt;"",L370&lt;&gt;"",M370&lt;&gt;""),"ГОТОВО","НЕ ГОТОВО"))</f>
        <v/>
      </c>
      <c r="Z370" s="226">
        <f>IF(Y370&lt;&gt;"ГОТОВО","", "Предварительное заключение: "&amp;A370&amp;", скв. "&amp;B370&amp;". МРП: "&amp;E370&amp;" сут. ГНО: "&amp;F370&amp;", типоразмер "&amp;G370&amp;", марка "&amp;H370&amp;". Событие: "&amp;I370&amp;". Признак: "&amp;J370&amp;". Узел: "&amp;K370&amp;". Предварительная причина: "&amp;L370&amp;". Основное осложнение: "&amp;M370&amp;IF(N370&lt;&gt;"","; сопутствующее: "&amp;N370,"")&amp;IF(O370&lt;&gt;"","; дополнительно: "&amp;O370,"")&amp;".")</f>
        <v/>
      </c>
    </row>
    <row r="371">
      <c r="A371" s="75" t="n"/>
      <c r="B371" s="75" t="n"/>
      <c r="C371" s="261" t="n"/>
      <c r="D371" s="261" t="n"/>
      <c r="E371" s="262">
        <f>IF(OR(C371="",D371=""),"",D371-C371)</f>
        <v/>
      </c>
      <c r="F371" s="75" t="n"/>
      <c r="G371" s="75" t="n"/>
      <c r="H371" s="75" t="n"/>
      <c r="I371" s="75" t="n"/>
      <c r="J371" s="75" t="n"/>
      <c r="K371" s="75" t="n"/>
      <c r="L371" s="75" t="n"/>
      <c r="M371" s="75" t="n"/>
      <c r="N371" s="75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226">
        <f>IF(AND(A371="",B371=""),"",IF(AND(A371&lt;&gt;"",B371&lt;&gt;"",C371&lt;&gt;"",D371&lt;&gt;"",F371&lt;&gt;"",G371&lt;&gt;"",H371&lt;&gt;"",ISERROR(SEARCH("по паспорту",G371)),ISERROR(SEARCH("по паспорту",H371)),I371&lt;&gt;"",J371&lt;&gt;"",K371&lt;&gt;"",L371&lt;&gt;"",M371&lt;&gt;""),"ГОТОВО","НЕ ГОТОВО"))</f>
        <v/>
      </c>
      <c r="Z371" s="226">
        <f>IF(Y371&lt;&gt;"ГОТОВО","", "Предварительное заключение: "&amp;A371&amp;", скв. "&amp;B371&amp;". МРП: "&amp;E371&amp;" сут. ГНО: "&amp;F371&amp;", типоразмер "&amp;G371&amp;", марка "&amp;H371&amp;". Событие: "&amp;I371&amp;". Признак: "&amp;J371&amp;". Узел: "&amp;K371&amp;". Предварительная причина: "&amp;L371&amp;". Основное осложнение: "&amp;M371&amp;IF(N371&lt;&gt;"","; сопутствующее: "&amp;N371,"")&amp;IF(O371&lt;&gt;"","; дополнительно: "&amp;O371,"")&amp;".")</f>
        <v/>
      </c>
    </row>
    <row r="372">
      <c r="A372" s="75" t="n"/>
      <c r="B372" s="75" t="n"/>
      <c r="C372" s="261" t="n"/>
      <c r="D372" s="261" t="n"/>
      <c r="E372" s="262">
        <f>IF(OR(C372="",D372=""),"",D372-C372)</f>
        <v/>
      </c>
      <c r="F372" s="75" t="n"/>
      <c r="G372" s="75" t="n"/>
      <c r="H372" s="75" t="n"/>
      <c r="I372" s="75" t="n"/>
      <c r="J372" s="75" t="n"/>
      <c r="K372" s="75" t="n"/>
      <c r="L372" s="75" t="n"/>
      <c r="M372" s="75" t="n"/>
      <c r="N372" s="75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226">
        <f>IF(AND(A372="",B372=""),"",IF(AND(A372&lt;&gt;"",B372&lt;&gt;"",C372&lt;&gt;"",D372&lt;&gt;"",F372&lt;&gt;"",G372&lt;&gt;"",H372&lt;&gt;"",ISERROR(SEARCH("по паспорту",G372)),ISERROR(SEARCH("по паспорту",H372)),I372&lt;&gt;"",J372&lt;&gt;"",K372&lt;&gt;"",L372&lt;&gt;"",M372&lt;&gt;""),"ГОТОВО","НЕ ГОТОВО"))</f>
        <v/>
      </c>
      <c r="Z372" s="226">
        <f>IF(Y372&lt;&gt;"ГОТОВО","", "Предварительное заключение: "&amp;A372&amp;", скв. "&amp;B372&amp;". МРП: "&amp;E372&amp;" сут. ГНО: "&amp;F372&amp;", типоразмер "&amp;G372&amp;", марка "&amp;H372&amp;". Событие: "&amp;I372&amp;". Признак: "&amp;J372&amp;". Узел: "&amp;K372&amp;". Предварительная причина: "&amp;L372&amp;". Основное осложнение: "&amp;M372&amp;IF(N372&lt;&gt;"","; сопутствующее: "&amp;N372,"")&amp;IF(O372&lt;&gt;"","; дополнительно: "&amp;O372,"")&amp;".")</f>
        <v/>
      </c>
    </row>
    <row r="373">
      <c r="A373" s="75" t="n"/>
      <c r="B373" s="75" t="n"/>
      <c r="C373" s="261" t="n"/>
      <c r="D373" s="261" t="n"/>
      <c r="E373" s="262">
        <f>IF(OR(C373="",D373=""),"",D373-C373)</f>
        <v/>
      </c>
      <c r="F373" s="75" t="n"/>
      <c r="G373" s="75" t="n"/>
      <c r="H373" s="75" t="n"/>
      <c r="I373" s="75" t="n"/>
      <c r="J373" s="75" t="n"/>
      <c r="K373" s="75" t="n"/>
      <c r="L373" s="75" t="n"/>
      <c r="M373" s="75" t="n"/>
      <c r="N373" s="75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226">
        <f>IF(AND(A373="",B373=""),"",IF(AND(A373&lt;&gt;"",B373&lt;&gt;"",C373&lt;&gt;"",D373&lt;&gt;"",F373&lt;&gt;"",G373&lt;&gt;"",H373&lt;&gt;"",ISERROR(SEARCH("по паспорту",G373)),ISERROR(SEARCH("по паспорту",H373)),I373&lt;&gt;"",J373&lt;&gt;"",K373&lt;&gt;"",L373&lt;&gt;"",M373&lt;&gt;""),"ГОТОВО","НЕ ГОТОВО"))</f>
        <v/>
      </c>
      <c r="Z373" s="226">
        <f>IF(Y373&lt;&gt;"ГОТОВО","", "Предварительное заключение: "&amp;A373&amp;", скв. "&amp;B373&amp;". МРП: "&amp;E373&amp;" сут. ГНО: "&amp;F373&amp;", типоразмер "&amp;G373&amp;", марка "&amp;H373&amp;". Событие: "&amp;I373&amp;". Признак: "&amp;J373&amp;". Узел: "&amp;K373&amp;". Предварительная причина: "&amp;L373&amp;". Основное осложнение: "&amp;M373&amp;IF(N373&lt;&gt;"","; сопутствующее: "&amp;N373,"")&amp;IF(O373&lt;&gt;"","; дополнительно: "&amp;O373,"")&amp;".")</f>
        <v/>
      </c>
    </row>
    <row r="374">
      <c r="A374" s="75" t="n"/>
      <c r="B374" s="75" t="n"/>
      <c r="C374" s="261" t="n"/>
      <c r="D374" s="261" t="n"/>
      <c r="E374" s="262">
        <f>IF(OR(C374="",D374=""),"",D374-C374)</f>
        <v/>
      </c>
      <c r="F374" s="75" t="n"/>
      <c r="G374" s="75" t="n"/>
      <c r="H374" s="75" t="n"/>
      <c r="I374" s="75" t="n"/>
      <c r="J374" s="75" t="n"/>
      <c r="K374" s="75" t="n"/>
      <c r="L374" s="75" t="n"/>
      <c r="M374" s="75" t="n"/>
      <c r="N374" s="75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226">
        <f>IF(AND(A374="",B374=""),"",IF(AND(A374&lt;&gt;"",B374&lt;&gt;"",C374&lt;&gt;"",D374&lt;&gt;"",F374&lt;&gt;"",G374&lt;&gt;"",H374&lt;&gt;"",ISERROR(SEARCH("по паспорту",G374)),ISERROR(SEARCH("по паспорту",H374)),I374&lt;&gt;"",J374&lt;&gt;"",K374&lt;&gt;"",L374&lt;&gt;"",M374&lt;&gt;""),"ГОТОВО","НЕ ГОТОВО"))</f>
        <v/>
      </c>
      <c r="Z374" s="226">
        <f>IF(Y374&lt;&gt;"ГОТОВО","", "Предварительное заключение: "&amp;A374&amp;", скв. "&amp;B374&amp;". МРП: "&amp;E374&amp;" сут. ГНО: "&amp;F374&amp;", типоразмер "&amp;G374&amp;", марка "&amp;H374&amp;". Событие: "&amp;I374&amp;". Признак: "&amp;J374&amp;". Узел: "&amp;K374&amp;". Предварительная причина: "&amp;L374&amp;". Основное осложнение: "&amp;M374&amp;IF(N374&lt;&gt;"","; сопутствующее: "&amp;N374,"")&amp;IF(O374&lt;&gt;"","; дополнительно: "&amp;O374,"")&amp;".")</f>
        <v/>
      </c>
    </row>
    <row r="375">
      <c r="A375" s="75" t="n"/>
      <c r="B375" s="75" t="n"/>
      <c r="C375" s="261" t="n"/>
      <c r="D375" s="261" t="n"/>
      <c r="E375" s="262">
        <f>IF(OR(C375="",D375=""),"",D375-C375)</f>
        <v/>
      </c>
      <c r="F375" s="75" t="n"/>
      <c r="G375" s="75" t="n"/>
      <c r="H375" s="75" t="n"/>
      <c r="I375" s="75" t="n"/>
      <c r="J375" s="75" t="n"/>
      <c r="K375" s="75" t="n"/>
      <c r="L375" s="75" t="n"/>
      <c r="M375" s="75" t="n"/>
      <c r="N375" s="75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226">
        <f>IF(AND(A375="",B375=""),"",IF(AND(A375&lt;&gt;"",B375&lt;&gt;"",C375&lt;&gt;"",D375&lt;&gt;"",F375&lt;&gt;"",G375&lt;&gt;"",H375&lt;&gt;"",ISERROR(SEARCH("по паспорту",G375)),ISERROR(SEARCH("по паспорту",H375)),I375&lt;&gt;"",J375&lt;&gt;"",K375&lt;&gt;"",L375&lt;&gt;"",M375&lt;&gt;""),"ГОТОВО","НЕ ГОТОВО"))</f>
        <v/>
      </c>
      <c r="Z375" s="226">
        <f>IF(Y375&lt;&gt;"ГОТОВО","", "Предварительное заключение: "&amp;A375&amp;", скв. "&amp;B375&amp;". МРП: "&amp;E375&amp;" сут. ГНО: "&amp;F375&amp;", типоразмер "&amp;G375&amp;", марка "&amp;H375&amp;". Событие: "&amp;I375&amp;". Признак: "&amp;J375&amp;". Узел: "&amp;K375&amp;". Предварительная причина: "&amp;L375&amp;". Основное осложнение: "&amp;M375&amp;IF(N375&lt;&gt;"","; сопутствующее: "&amp;N375,"")&amp;IF(O375&lt;&gt;"","; дополнительно: "&amp;O375,"")&amp;".")</f>
        <v/>
      </c>
    </row>
    <row r="376">
      <c r="A376" s="75" t="n"/>
      <c r="B376" s="75" t="n"/>
      <c r="C376" s="261" t="n"/>
      <c r="D376" s="261" t="n"/>
      <c r="E376" s="262">
        <f>IF(OR(C376="",D376=""),"",D376-C376)</f>
        <v/>
      </c>
      <c r="F376" s="75" t="n"/>
      <c r="G376" s="75" t="n"/>
      <c r="H376" s="75" t="n"/>
      <c r="I376" s="75" t="n"/>
      <c r="J376" s="75" t="n"/>
      <c r="K376" s="75" t="n"/>
      <c r="L376" s="75" t="n"/>
      <c r="M376" s="75" t="n"/>
      <c r="N376" s="75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226">
        <f>IF(AND(A376="",B376=""),"",IF(AND(A376&lt;&gt;"",B376&lt;&gt;"",C376&lt;&gt;"",D376&lt;&gt;"",F376&lt;&gt;"",G376&lt;&gt;"",H376&lt;&gt;"",ISERROR(SEARCH("по паспорту",G376)),ISERROR(SEARCH("по паспорту",H376)),I376&lt;&gt;"",J376&lt;&gt;"",K376&lt;&gt;"",L376&lt;&gt;"",M376&lt;&gt;""),"ГОТОВО","НЕ ГОТОВО"))</f>
        <v/>
      </c>
      <c r="Z376" s="226">
        <f>IF(Y376&lt;&gt;"ГОТОВО","", "Предварительное заключение: "&amp;A376&amp;", скв. "&amp;B376&amp;". МРП: "&amp;E376&amp;" сут. ГНО: "&amp;F376&amp;", типоразмер "&amp;G376&amp;", марка "&amp;H376&amp;". Событие: "&amp;I376&amp;". Признак: "&amp;J376&amp;". Узел: "&amp;K376&amp;". Предварительная причина: "&amp;L376&amp;". Основное осложнение: "&amp;M376&amp;IF(N376&lt;&gt;"","; сопутствующее: "&amp;N376,"")&amp;IF(O376&lt;&gt;"","; дополнительно: "&amp;O376,"")&amp;".")</f>
        <v/>
      </c>
    </row>
    <row r="377">
      <c r="A377" s="75" t="n"/>
      <c r="B377" s="75" t="n"/>
      <c r="C377" s="261" t="n"/>
      <c r="D377" s="261" t="n"/>
      <c r="E377" s="262">
        <f>IF(OR(C377="",D377=""),"",D377-C377)</f>
        <v/>
      </c>
      <c r="F377" s="75" t="n"/>
      <c r="G377" s="75" t="n"/>
      <c r="H377" s="75" t="n"/>
      <c r="I377" s="75" t="n"/>
      <c r="J377" s="75" t="n"/>
      <c r="K377" s="75" t="n"/>
      <c r="L377" s="75" t="n"/>
      <c r="M377" s="75" t="n"/>
      <c r="N377" s="75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226">
        <f>IF(AND(A377="",B377=""),"",IF(AND(A377&lt;&gt;"",B377&lt;&gt;"",C377&lt;&gt;"",D377&lt;&gt;"",F377&lt;&gt;"",G377&lt;&gt;"",H377&lt;&gt;"",ISERROR(SEARCH("по паспорту",G377)),ISERROR(SEARCH("по паспорту",H377)),I377&lt;&gt;"",J377&lt;&gt;"",K377&lt;&gt;"",L377&lt;&gt;"",M377&lt;&gt;""),"ГОТОВО","НЕ ГОТОВО"))</f>
        <v/>
      </c>
      <c r="Z377" s="226">
        <f>IF(Y377&lt;&gt;"ГОТОВО","", "Предварительное заключение: "&amp;A377&amp;", скв. "&amp;B377&amp;". МРП: "&amp;E377&amp;" сут. ГНО: "&amp;F377&amp;", типоразмер "&amp;G377&amp;", марка "&amp;H377&amp;". Событие: "&amp;I377&amp;". Признак: "&amp;J377&amp;". Узел: "&amp;K377&amp;". Предварительная причина: "&amp;L377&amp;". Основное осложнение: "&amp;M377&amp;IF(N377&lt;&gt;"","; сопутствующее: "&amp;N377,"")&amp;IF(O377&lt;&gt;"","; дополнительно: "&amp;O377,"")&amp;".")</f>
        <v/>
      </c>
    </row>
    <row r="378">
      <c r="A378" s="75" t="n"/>
      <c r="B378" s="75" t="n"/>
      <c r="C378" s="261" t="n"/>
      <c r="D378" s="261" t="n"/>
      <c r="E378" s="262">
        <f>IF(OR(C378="",D378=""),"",D378-C378)</f>
        <v/>
      </c>
      <c r="F378" s="75" t="n"/>
      <c r="G378" s="75" t="n"/>
      <c r="H378" s="75" t="n"/>
      <c r="I378" s="75" t="n"/>
      <c r="J378" s="75" t="n"/>
      <c r="K378" s="75" t="n"/>
      <c r="L378" s="75" t="n"/>
      <c r="M378" s="75" t="n"/>
      <c r="N378" s="75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226">
        <f>IF(AND(A378="",B378=""),"",IF(AND(A378&lt;&gt;"",B378&lt;&gt;"",C378&lt;&gt;"",D378&lt;&gt;"",F378&lt;&gt;"",G378&lt;&gt;"",H378&lt;&gt;"",ISERROR(SEARCH("по паспорту",G378)),ISERROR(SEARCH("по паспорту",H378)),I378&lt;&gt;"",J378&lt;&gt;"",K378&lt;&gt;"",L378&lt;&gt;"",M378&lt;&gt;""),"ГОТОВО","НЕ ГОТОВО"))</f>
        <v/>
      </c>
      <c r="Z378" s="226">
        <f>IF(Y378&lt;&gt;"ГОТОВО","", "Предварительное заключение: "&amp;A378&amp;", скв. "&amp;B378&amp;". МРП: "&amp;E378&amp;" сут. ГНО: "&amp;F378&amp;", типоразмер "&amp;G378&amp;", марка "&amp;H378&amp;". Событие: "&amp;I378&amp;". Признак: "&amp;J378&amp;". Узел: "&amp;K378&amp;". Предварительная причина: "&amp;L378&amp;". Основное осложнение: "&amp;M378&amp;IF(N378&lt;&gt;"","; сопутствующее: "&amp;N378,"")&amp;IF(O378&lt;&gt;"","; дополнительно: "&amp;O378,"")&amp;".")</f>
        <v/>
      </c>
    </row>
    <row r="379">
      <c r="A379" s="75" t="n"/>
      <c r="B379" s="75" t="n"/>
      <c r="C379" s="261" t="n"/>
      <c r="D379" s="261" t="n"/>
      <c r="E379" s="262">
        <f>IF(OR(C379="",D379=""),"",D379-C379)</f>
        <v/>
      </c>
      <c r="F379" s="75" t="n"/>
      <c r="G379" s="75" t="n"/>
      <c r="H379" s="75" t="n"/>
      <c r="I379" s="75" t="n"/>
      <c r="J379" s="75" t="n"/>
      <c r="K379" s="75" t="n"/>
      <c r="L379" s="75" t="n"/>
      <c r="M379" s="75" t="n"/>
      <c r="N379" s="75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226">
        <f>IF(AND(A379="",B379=""),"",IF(AND(A379&lt;&gt;"",B379&lt;&gt;"",C379&lt;&gt;"",D379&lt;&gt;"",F379&lt;&gt;"",G379&lt;&gt;"",H379&lt;&gt;"",ISERROR(SEARCH("по паспорту",G379)),ISERROR(SEARCH("по паспорту",H379)),I379&lt;&gt;"",J379&lt;&gt;"",K379&lt;&gt;"",L379&lt;&gt;"",M379&lt;&gt;""),"ГОТОВО","НЕ ГОТОВО"))</f>
        <v/>
      </c>
      <c r="Z379" s="226">
        <f>IF(Y379&lt;&gt;"ГОТОВО","", "Предварительное заключение: "&amp;A379&amp;", скв. "&amp;B379&amp;". МРП: "&amp;E379&amp;" сут. ГНО: "&amp;F379&amp;", типоразмер "&amp;G379&amp;", марка "&amp;H379&amp;". Событие: "&amp;I379&amp;". Признак: "&amp;J379&amp;". Узел: "&amp;K379&amp;". Предварительная причина: "&amp;L379&amp;". Основное осложнение: "&amp;M379&amp;IF(N379&lt;&gt;"","; сопутствующее: "&amp;N379,"")&amp;IF(O379&lt;&gt;"","; дополнительно: "&amp;O379,"")&amp;".")</f>
        <v/>
      </c>
    </row>
    <row r="380">
      <c r="A380" s="75" t="n"/>
      <c r="B380" s="75" t="n"/>
      <c r="C380" s="261" t="n"/>
      <c r="D380" s="261" t="n"/>
      <c r="E380" s="262">
        <f>IF(OR(C380="",D380=""),"",D380-C380)</f>
        <v/>
      </c>
      <c r="F380" s="75" t="n"/>
      <c r="G380" s="75" t="n"/>
      <c r="H380" s="75" t="n"/>
      <c r="I380" s="75" t="n"/>
      <c r="J380" s="75" t="n"/>
      <c r="K380" s="75" t="n"/>
      <c r="L380" s="75" t="n"/>
      <c r="M380" s="75" t="n"/>
      <c r="N380" s="75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226">
        <f>IF(AND(A380="",B380=""),"",IF(AND(A380&lt;&gt;"",B380&lt;&gt;"",C380&lt;&gt;"",D380&lt;&gt;"",F380&lt;&gt;"",G380&lt;&gt;"",H380&lt;&gt;"",ISERROR(SEARCH("по паспорту",G380)),ISERROR(SEARCH("по паспорту",H380)),I380&lt;&gt;"",J380&lt;&gt;"",K380&lt;&gt;"",L380&lt;&gt;"",M380&lt;&gt;""),"ГОТОВО","НЕ ГОТОВО"))</f>
        <v/>
      </c>
      <c r="Z380" s="226">
        <f>IF(Y380&lt;&gt;"ГОТОВО","", "Предварительное заключение: "&amp;A380&amp;", скв. "&amp;B380&amp;". МРП: "&amp;E380&amp;" сут. ГНО: "&amp;F380&amp;", типоразмер "&amp;G380&amp;", марка "&amp;H380&amp;". Событие: "&amp;I380&amp;". Признак: "&amp;J380&amp;". Узел: "&amp;K380&amp;". Предварительная причина: "&amp;L380&amp;". Основное осложнение: "&amp;M380&amp;IF(N380&lt;&gt;"","; сопутствующее: "&amp;N380,"")&amp;IF(O380&lt;&gt;"","; дополнительно: "&amp;O380,"")&amp;".")</f>
        <v/>
      </c>
    </row>
    <row r="381">
      <c r="A381" s="75" t="n"/>
      <c r="B381" s="75" t="n"/>
      <c r="C381" s="261" t="n"/>
      <c r="D381" s="261" t="n"/>
      <c r="E381" s="262">
        <f>IF(OR(C381="",D381=""),"",D381-C381)</f>
        <v/>
      </c>
      <c r="F381" s="75" t="n"/>
      <c r="G381" s="75" t="n"/>
      <c r="H381" s="75" t="n"/>
      <c r="I381" s="75" t="n"/>
      <c r="J381" s="75" t="n"/>
      <c r="K381" s="75" t="n"/>
      <c r="L381" s="75" t="n"/>
      <c r="M381" s="75" t="n"/>
      <c r="N381" s="75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226">
        <f>IF(AND(A381="",B381=""),"",IF(AND(A381&lt;&gt;"",B381&lt;&gt;"",C381&lt;&gt;"",D381&lt;&gt;"",F381&lt;&gt;"",G381&lt;&gt;"",H381&lt;&gt;"",ISERROR(SEARCH("по паспорту",G381)),ISERROR(SEARCH("по паспорту",H381)),I381&lt;&gt;"",J381&lt;&gt;"",K381&lt;&gt;"",L381&lt;&gt;"",M381&lt;&gt;""),"ГОТОВО","НЕ ГОТОВО"))</f>
        <v/>
      </c>
      <c r="Z381" s="226">
        <f>IF(Y381&lt;&gt;"ГОТОВО","", "Предварительное заключение: "&amp;A381&amp;", скв. "&amp;B381&amp;". МРП: "&amp;E381&amp;" сут. ГНО: "&amp;F381&amp;", типоразмер "&amp;G381&amp;", марка "&amp;H381&amp;". Событие: "&amp;I381&amp;". Признак: "&amp;J381&amp;". Узел: "&amp;K381&amp;". Предварительная причина: "&amp;L381&amp;". Основное осложнение: "&amp;M381&amp;IF(N381&lt;&gt;"","; сопутствующее: "&amp;N381,"")&amp;IF(O381&lt;&gt;"","; дополнительно: "&amp;O381,"")&amp;".")</f>
        <v/>
      </c>
    </row>
    <row r="382">
      <c r="A382" s="75" t="n"/>
      <c r="B382" s="75" t="n"/>
      <c r="C382" s="261" t="n"/>
      <c r="D382" s="261" t="n"/>
      <c r="E382" s="262">
        <f>IF(OR(C382="",D382=""),"",D382-C382)</f>
        <v/>
      </c>
      <c r="F382" s="75" t="n"/>
      <c r="G382" s="75" t="n"/>
      <c r="H382" s="75" t="n"/>
      <c r="I382" s="75" t="n"/>
      <c r="J382" s="75" t="n"/>
      <c r="K382" s="75" t="n"/>
      <c r="L382" s="75" t="n"/>
      <c r="M382" s="75" t="n"/>
      <c r="N382" s="75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226">
        <f>IF(AND(A382="",B382=""),"",IF(AND(A382&lt;&gt;"",B382&lt;&gt;"",C382&lt;&gt;"",D382&lt;&gt;"",F382&lt;&gt;"",G382&lt;&gt;"",H382&lt;&gt;"",ISERROR(SEARCH("по паспорту",G382)),ISERROR(SEARCH("по паспорту",H382)),I382&lt;&gt;"",J382&lt;&gt;"",K382&lt;&gt;"",L382&lt;&gt;"",M382&lt;&gt;""),"ГОТОВО","НЕ ГОТОВО"))</f>
        <v/>
      </c>
      <c r="Z382" s="226">
        <f>IF(Y382&lt;&gt;"ГОТОВО","", "Предварительное заключение: "&amp;A382&amp;", скв. "&amp;B382&amp;". МРП: "&amp;E382&amp;" сут. ГНО: "&amp;F382&amp;", типоразмер "&amp;G382&amp;", марка "&amp;H382&amp;". Событие: "&amp;I382&amp;". Признак: "&amp;J382&amp;". Узел: "&amp;K382&amp;". Предварительная причина: "&amp;L382&amp;". Основное осложнение: "&amp;M382&amp;IF(N382&lt;&gt;"","; сопутствующее: "&amp;N382,"")&amp;IF(O382&lt;&gt;"","; дополнительно: "&amp;O382,"")&amp;".")</f>
        <v/>
      </c>
    </row>
    <row r="383">
      <c r="A383" s="75" t="n"/>
      <c r="B383" s="75" t="n"/>
      <c r="C383" s="261" t="n"/>
      <c r="D383" s="261" t="n"/>
      <c r="E383" s="262">
        <f>IF(OR(C383="",D383=""),"",D383-C383)</f>
        <v/>
      </c>
      <c r="F383" s="75" t="n"/>
      <c r="G383" s="75" t="n"/>
      <c r="H383" s="75" t="n"/>
      <c r="I383" s="75" t="n"/>
      <c r="J383" s="75" t="n"/>
      <c r="K383" s="75" t="n"/>
      <c r="L383" s="75" t="n"/>
      <c r="M383" s="75" t="n"/>
      <c r="N383" s="75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226">
        <f>IF(AND(A383="",B383=""),"",IF(AND(A383&lt;&gt;"",B383&lt;&gt;"",C383&lt;&gt;"",D383&lt;&gt;"",F383&lt;&gt;"",G383&lt;&gt;"",H383&lt;&gt;"",ISERROR(SEARCH("по паспорту",G383)),ISERROR(SEARCH("по паспорту",H383)),I383&lt;&gt;"",J383&lt;&gt;"",K383&lt;&gt;"",L383&lt;&gt;"",M383&lt;&gt;""),"ГОТОВО","НЕ ГОТОВО"))</f>
        <v/>
      </c>
      <c r="Z383" s="226">
        <f>IF(Y383&lt;&gt;"ГОТОВО","", "Предварительное заключение: "&amp;A383&amp;", скв. "&amp;B383&amp;". МРП: "&amp;E383&amp;" сут. ГНО: "&amp;F383&amp;", типоразмер "&amp;G383&amp;", марка "&amp;H383&amp;". Событие: "&amp;I383&amp;". Признак: "&amp;J383&amp;". Узел: "&amp;K383&amp;". Предварительная причина: "&amp;L383&amp;". Основное осложнение: "&amp;M383&amp;IF(N383&lt;&gt;"","; сопутствующее: "&amp;N383,"")&amp;IF(O383&lt;&gt;"","; дополнительно: "&amp;O383,"")&amp;".")</f>
        <v/>
      </c>
    </row>
    <row r="384">
      <c r="A384" s="75" t="n"/>
      <c r="B384" s="75" t="n"/>
      <c r="C384" s="261" t="n"/>
      <c r="D384" s="261" t="n"/>
      <c r="E384" s="262">
        <f>IF(OR(C384="",D384=""),"",D384-C384)</f>
        <v/>
      </c>
      <c r="F384" s="75" t="n"/>
      <c r="G384" s="75" t="n"/>
      <c r="H384" s="75" t="n"/>
      <c r="I384" s="75" t="n"/>
      <c r="J384" s="75" t="n"/>
      <c r="K384" s="75" t="n"/>
      <c r="L384" s="75" t="n"/>
      <c r="M384" s="75" t="n"/>
      <c r="N384" s="75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226">
        <f>IF(AND(A384="",B384=""),"",IF(AND(A384&lt;&gt;"",B384&lt;&gt;"",C384&lt;&gt;"",D384&lt;&gt;"",F384&lt;&gt;"",G384&lt;&gt;"",H384&lt;&gt;"",ISERROR(SEARCH("по паспорту",G384)),ISERROR(SEARCH("по паспорту",H384)),I384&lt;&gt;"",J384&lt;&gt;"",K384&lt;&gt;"",L384&lt;&gt;"",M384&lt;&gt;""),"ГОТОВО","НЕ ГОТОВО"))</f>
        <v/>
      </c>
      <c r="Z384" s="226">
        <f>IF(Y384&lt;&gt;"ГОТОВО","", "Предварительное заключение: "&amp;A384&amp;", скв. "&amp;B384&amp;". МРП: "&amp;E384&amp;" сут. ГНО: "&amp;F384&amp;", типоразмер "&amp;G384&amp;", марка "&amp;H384&amp;". Событие: "&amp;I384&amp;". Признак: "&amp;J384&amp;". Узел: "&amp;K384&amp;". Предварительная причина: "&amp;L384&amp;". Основное осложнение: "&amp;M384&amp;IF(N384&lt;&gt;"","; сопутствующее: "&amp;N384,"")&amp;IF(O384&lt;&gt;"","; дополнительно: "&amp;O384,"")&amp;".")</f>
        <v/>
      </c>
    </row>
    <row r="385">
      <c r="A385" s="75" t="n"/>
      <c r="B385" s="75" t="n"/>
      <c r="C385" s="261" t="n"/>
      <c r="D385" s="261" t="n"/>
      <c r="E385" s="262">
        <f>IF(OR(C385="",D385=""),"",D385-C385)</f>
        <v/>
      </c>
      <c r="F385" s="75" t="n"/>
      <c r="G385" s="75" t="n"/>
      <c r="H385" s="75" t="n"/>
      <c r="I385" s="75" t="n"/>
      <c r="J385" s="75" t="n"/>
      <c r="K385" s="75" t="n"/>
      <c r="L385" s="75" t="n"/>
      <c r="M385" s="75" t="n"/>
      <c r="N385" s="75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226">
        <f>IF(AND(A385="",B385=""),"",IF(AND(A385&lt;&gt;"",B385&lt;&gt;"",C385&lt;&gt;"",D385&lt;&gt;"",F385&lt;&gt;"",G385&lt;&gt;"",H385&lt;&gt;"",ISERROR(SEARCH("по паспорту",G385)),ISERROR(SEARCH("по паспорту",H385)),I385&lt;&gt;"",J385&lt;&gt;"",K385&lt;&gt;"",L385&lt;&gt;"",M385&lt;&gt;""),"ГОТОВО","НЕ ГОТОВО"))</f>
        <v/>
      </c>
      <c r="Z385" s="226">
        <f>IF(Y385&lt;&gt;"ГОТОВО","", "Предварительное заключение: "&amp;A385&amp;", скв. "&amp;B385&amp;". МРП: "&amp;E385&amp;" сут. ГНО: "&amp;F385&amp;", типоразмер "&amp;G385&amp;", марка "&amp;H385&amp;". Событие: "&amp;I385&amp;". Признак: "&amp;J385&amp;". Узел: "&amp;K385&amp;". Предварительная причина: "&amp;L385&amp;". Основное осложнение: "&amp;M385&amp;IF(N385&lt;&gt;"","; сопутствующее: "&amp;N385,"")&amp;IF(O385&lt;&gt;"","; дополнительно: "&amp;O385,"")&amp;".")</f>
        <v/>
      </c>
    </row>
    <row r="386">
      <c r="A386" s="75" t="n"/>
      <c r="B386" s="75" t="n"/>
      <c r="C386" s="261" t="n"/>
      <c r="D386" s="261" t="n"/>
      <c r="E386" s="262">
        <f>IF(OR(C386="",D386=""),"",D386-C386)</f>
        <v/>
      </c>
      <c r="F386" s="75" t="n"/>
      <c r="G386" s="75" t="n"/>
      <c r="H386" s="75" t="n"/>
      <c r="I386" s="75" t="n"/>
      <c r="J386" s="75" t="n"/>
      <c r="K386" s="75" t="n"/>
      <c r="L386" s="75" t="n"/>
      <c r="M386" s="75" t="n"/>
      <c r="N386" s="75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226">
        <f>IF(AND(A386="",B386=""),"",IF(AND(A386&lt;&gt;"",B386&lt;&gt;"",C386&lt;&gt;"",D386&lt;&gt;"",F386&lt;&gt;"",G386&lt;&gt;"",H386&lt;&gt;"",ISERROR(SEARCH("по паспорту",G386)),ISERROR(SEARCH("по паспорту",H386)),I386&lt;&gt;"",J386&lt;&gt;"",K386&lt;&gt;"",L386&lt;&gt;"",M386&lt;&gt;""),"ГОТОВО","НЕ ГОТОВО"))</f>
        <v/>
      </c>
      <c r="Z386" s="226">
        <f>IF(Y386&lt;&gt;"ГОТОВО","", "Предварительное заключение: "&amp;A386&amp;", скв. "&amp;B386&amp;". МРП: "&amp;E386&amp;" сут. ГНО: "&amp;F386&amp;", типоразмер "&amp;G386&amp;", марка "&amp;H386&amp;". Событие: "&amp;I386&amp;". Признак: "&amp;J386&amp;". Узел: "&amp;K386&amp;". Предварительная причина: "&amp;L386&amp;". Основное осложнение: "&amp;M386&amp;IF(N386&lt;&gt;"","; сопутствующее: "&amp;N386,"")&amp;IF(O386&lt;&gt;"","; дополнительно: "&amp;O386,"")&amp;".")</f>
        <v/>
      </c>
    </row>
    <row r="387">
      <c r="A387" s="75" t="n"/>
      <c r="B387" s="75" t="n"/>
      <c r="C387" s="261" t="n"/>
      <c r="D387" s="261" t="n"/>
      <c r="E387" s="262">
        <f>IF(OR(C387="",D387=""),"",D387-C387)</f>
        <v/>
      </c>
      <c r="F387" s="75" t="n"/>
      <c r="G387" s="75" t="n"/>
      <c r="H387" s="75" t="n"/>
      <c r="I387" s="75" t="n"/>
      <c r="J387" s="75" t="n"/>
      <c r="K387" s="75" t="n"/>
      <c r="L387" s="75" t="n"/>
      <c r="M387" s="75" t="n"/>
      <c r="N387" s="75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226">
        <f>IF(AND(A387="",B387=""),"",IF(AND(A387&lt;&gt;"",B387&lt;&gt;"",C387&lt;&gt;"",D387&lt;&gt;"",F387&lt;&gt;"",G387&lt;&gt;"",H387&lt;&gt;"",ISERROR(SEARCH("по паспорту",G387)),ISERROR(SEARCH("по паспорту",H387)),I387&lt;&gt;"",J387&lt;&gt;"",K387&lt;&gt;"",L387&lt;&gt;"",M387&lt;&gt;""),"ГОТОВО","НЕ ГОТОВО"))</f>
        <v/>
      </c>
      <c r="Z387" s="226">
        <f>IF(Y387&lt;&gt;"ГОТОВО","", "Предварительное заключение: "&amp;A387&amp;", скв. "&amp;B387&amp;". МРП: "&amp;E387&amp;" сут. ГНО: "&amp;F387&amp;", типоразмер "&amp;G387&amp;", марка "&amp;H387&amp;". Событие: "&amp;I387&amp;". Признак: "&amp;J387&amp;". Узел: "&amp;K387&amp;". Предварительная причина: "&amp;L387&amp;". Основное осложнение: "&amp;M387&amp;IF(N387&lt;&gt;"","; сопутствующее: "&amp;N387,"")&amp;IF(O387&lt;&gt;"","; дополнительно: "&amp;O387,"")&amp;".")</f>
        <v/>
      </c>
    </row>
    <row r="388">
      <c r="A388" s="75" t="n"/>
      <c r="B388" s="75" t="n"/>
      <c r="C388" s="261" t="n"/>
      <c r="D388" s="261" t="n"/>
      <c r="E388" s="262">
        <f>IF(OR(C388="",D388=""),"",D388-C388)</f>
        <v/>
      </c>
      <c r="F388" s="75" t="n"/>
      <c r="G388" s="75" t="n"/>
      <c r="H388" s="75" t="n"/>
      <c r="I388" s="75" t="n"/>
      <c r="J388" s="75" t="n"/>
      <c r="K388" s="75" t="n"/>
      <c r="L388" s="75" t="n"/>
      <c r="M388" s="75" t="n"/>
      <c r="N388" s="75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226">
        <f>IF(AND(A388="",B388=""),"",IF(AND(A388&lt;&gt;"",B388&lt;&gt;"",C388&lt;&gt;"",D388&lt;&gt;"",F388&lt;&gt;"",G388&lt;&gt;"",H388&lt;&gt;"",ISERROR(SEARCH("по паспорту",G388)),ISERROR(SEARCH("по паспорту",H388)),I388&lt;&gt;"",J388&lt;&gt;"",K388&lt;&gt;"",L388&lt;&gt;"",M388&lt;&gt;""),"ГОТОВО","НЕ ГОТОВО"))</f>
        <v/>
      </c>
      <c r="Z388" s="226">
        <f>IF(Y388&lt;&gt;"ГОТОВО","", "Предварительное заключение: "&amp;A388&amp;", скв. "&amp;B388&amp;". МРП: "&amp;E388&amp;" сут. ГНО: "&amp;F388&amp;", типоразмер "&amp;G388&amp;", марка "&amp;H388&amp;". Событие: "&amp;I388&amp;". Признак: "&amp;J388&amp;". Узел: "&amp;K388&amp;". Предварительная причина: "&amp;L388&amp;". Основное осложнение: "&amp;M388&amp;IF(N388&lt;&gt;"","; сопутствующее: "&amp;N388,"")&amp;IF(O388&lt;&gt;"","; дополнительно: "&amp;O388,"")&amp;".")</f>
        <v/>
      </c>
    </row>
    <row r="389">
      <c r="A389" s="75" t="n"/>
      <c r="B389" s="75" t="n"/>
      <c r="C389" s="261" t="n"/>
      <c r="D389" s="261" t="n"/>
      <c r="E389" s="262">
        <f>IF(OR(C389="",D389=""),"",D389-C389)</f>
        <v/>
      </c>
      <c r="F389" s="75" t="n"/>
      <c r="G389" s="75" t="n"/>
      <c r="H389" s="75" t="n"/>
      <c r="I389" s="75" t="n"/>
      <c r="J389" s="75" t="n"/>
      <c r="K389" s="75" t="n"/>
      <c r="L389" s="75" t="n"/>
      <c r="M389" s="75" t="n"/>
      <c r="N389" s="75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226">
        <f>IF(AND(A389="",B389=""),"",IF(AND(A389&lt;&gt;"",B389&lt;&gt;"",C389&lt;&gt;"",D389&lt;&gt;"",F389&lt;&gt;"",G389&lt;&gt;"",H389&lt;&gt;"",ISERROR(SEARCH("по паспорту",G389)),ISERROR(SEARCH("по паспорту",H389)),I389&lt;&gt;"",J389&lt;&gt;"",K389&lt;&gt;"",L389&lt;&gt;"",M389&lt;&gt;""),"ГОТОВО","НЕ ГОТОВО"))</f>
        <v/>
      </c>
      <c r="Z389" s="226">
        <f>IF(Y389&lt;&gt;"ГОТОВО","", "Предварительное заключение: "&amp;A389&amp;", скв. "&amp;B389&amp;". МРП: "&amp;E389&amp;" сут. ГНО: "&amp;F389&amp;", типоразмер "&amp;G389&amp;", марка "&amp;H389&amp;". Событие: "&amp;I389&amp;". Признак: "&amp;J389&amp;". Узел: "&amp;K389&amp;". Предварительная причина: "&amp;L389&amp;". Основное осложнение: "&amp;M389&amp;IF(N389&lt;&gt;"","; сопутствующее: "&amp;N389,"")&amp;IF(O389&lt;&gt;"","; дополнительно: "&amp;O389,"")&amp;".")</f>
        <v/>
      </c>
    </row>
    <row r="390">
      <c r="A390" s="75" t="n"/>
      <c r="B390" s="75" t="n"/>
      <c r="C390" s="261" t="n"/>
      <c r="D390" s="261" t="n"/>
      <c r="E390" s="262">
        <f>IF(OR(C390="",D390=""),"",D390-C390)</f>
        <v/>
      </c>
      <c r="F390" s="75" t="n"/>
      <c r="G390" s="75" t="n"/>
      <c r="H390" s="75" t="n"/>
      <c r="I390" s="75" t="n"/>
      <c r="J390" s="75" t="n"/>
      <c r="K390" s="75" t="n"/>
      <c r="L390" s="75" t="n"/>
      <c r="M390" s="75" t="n"/>
      <c r="N390" s="75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226">
        <f>IF(AND(A390="",B390=""),"",IF(AND(A390&lt;&gt;"",B390&lt;&gt;"",C390&lt;&gt;"",D390&lt;&gt;"",F390&lt;&gt;"",G390&lt;&gt;"",H390&lt;&gt;"",ISERROR(SEARCH("по паспорту",G390)),ISERROR(SEARCH("по паспорту",H390)),I390&lt;&gt;"",J390&lt;&gt;"",K390&lt;&gt;"",L390&lt;&gt;"",M390&lt;&gt;""),"ГОТОВО","НЕ ГОТОВО"))</f>
        <v/>
      </c>
      <c r="Z390" s="226">
        <f>IF(Y390&lt;&gt;"ГОТОВО","", "Предварительное заключение: "&amp;A390&amp;", скв. "&amp;B390&amp;". МРП: "&amp;E390&amp;" сут. ГНО: "&amp;F390&amp;", типоразмер "&amp;G390&amp;", марка "&amp;H390&amp;". Событие: "&amp;I390&amp;". Признак: "&amp;J390&amp;". Узел: "&amp;K390&amp;". Предварительная причина: "&amp;L390&amp;". Основное осложнение: "&amp;M390&amp;IF(N390&lt;&gt;"","; сопутствующее: "&amp;N390,"")&amp;IF(O390&lt;&gt;"","; дополнительно: "&amp;O390,"")&amp;".")</f>
        <v/>
      </c>
    </row>
    <row r="391">
      <c r="A391" s="75" t="n"/>
      <c r="B391" s="75" t="n"/>
      <c r="C391" s="261" t="n"/>
      <c r="D391" s="261" t="n"/>
      <c r="E391" s="262">
        <f>IF(OR(C391="",D391=""),"",D391-C391)</f>
        <v/>
      </c>
      <c r="F391" s="75" t="n"/>
      <c r="G391" s="75" t="n"/>
      <c r="H391" s="75" t="n"/>
      <c r="I391" s="75" t="n"/>
      <c r="J391" s="75" t="n"/>
      <c r="K391" s="75" t="n"/>
      <c r="L391" s="75" t="n"/>
      <c r="M391" s="75" t="n"/>
      <c r="N391" s="75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226">
        <f>IF(AND(A391="",B391=""),"",IF(AND(A391&lt;&gt;"",B391&lt;&gt;"",C391&lt;&gt;"",D391&lt;&gt;"",F391&lt;&gt;"",G391&lt;&gt;"",H391&lt;&gt;"",ISERROR(SEARCH("по паспорту",G391)),ISERROR(SEARCH("по паспорту",H391)),I391&lt;&gt;"",J391&lt;&gt;"",K391&lt;&gt;"",L391&lt;&gt;"",M391&lt;&gt;""),"ГОТОВО","НЕ ГОТОВО"))</f>
        <v/>
      </c>
      <c r="Z391" s="226">
        <f>IF(Y391&lt;&gt;"ГОТОВО","", "Предварительное заключение: "&amp;A391&amp;", скв. "&amp;B391&amp;". МРП: "&amp;E391&amp;" сут. ГНО: "&amp;F391&amp;", типоразмер "&amp;G391&amp;", марка "&amp;H391&amp;". Событие: "&amp;I391&amp;". Признак: "&amp;J391&amp;". Узел: "&amp;K391&amp;". Предварительная причина: "&amp;L391&amp;". Основное осложнение: "&amp;M391&amp;IF(N391&lt;&gt;"","; сопутствующее: "&amp;N391,"")&amp;IF(O391&lt;&gt;"","; дополнительно: "&amp;O391,"")&amp;".")</f>
        <v/>
      </c>
    </row>
    <row r="392">
      <c r="A392" s="75" t="n"/>
      <c r="B392" s="75" t="n"/>
      <c r="C392" s="261" t="n"/>
      <c r="D392" s="261" t="n"/>
      <c r="E392" s="262">
        <f>IF(OR(C392="",D392=""),"",D392-C392)</f>
        <v/>
      </c>
      <c r="F392" s="75" t="n"/>
      <c r="G392" s="75" t="n"/>
      <c r="H392" s="75" t="n"/>
      <c r="I392" s="75" t="n"/>
      <c r="J392" s="75" t="n"/>
      <c r="K392" s="75" t="n"/>
      <c r="L392" s="75" t="n"/>
      <c r="M392" s="75" t="n"/>
      <c r="N392" s="75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226">
        <f>IF(AND(A392="",B392=""),"",IF(AND(A392&lt;&gt;"",B392&lt;&gt;"",C392&lt;&gt;"",D392&lt;&gt;"",F392&lt;&gt;"",G392&lt;&gt;"",H392&lt;&gt;"",ISERROR(SEARCH("по паспорту",G392)),ISERROR(SEARCH("по паспорту",H392)),I392&lt;&gt;"",J392&lt;&gt;"",K392&lt;&gt;"",L392&lt;&gt;"",M392&lt;&gt;""),"ГОТОВО","НЕ ГОТОВО"))</f>
        <v/>
      </c>
      <c r="Z392" s="226">
        <f>IF(Y392&lt;&gt;"ГОТОВО","", "Предварительное заключение: "&amp;A392&amp;", скв. "&amp;B392&amp;". МРП: "&amp;E392&amp;" сут. ГНО: "&amp;F392&amp;", типоразмер "&amp;G392&amp;", марка "&amp;H392&amp;". Событие: "&amp;I392&amp;". Признак: "&amp;J392&amp;". Узел: "&amp;K392&amp;". Предварительная причина: "&amp;L392&amp;". Основное осложнение: "&amp;M392&amp;IF(N392&lt;&gt;"","; сопутствующее: "&amp;N392,"")&amp;IF(O392&lt;&gt;"","; дополнительно: "&amp;O392,"")&amp;".")</f>
        <v/>
      </c>
    </row>
    <row r="393">
      <c r="A393" s="75" t="n"/>
      <c r="B393" s="75" t="n"/>
      <c r="C393" s="261" t="n"/>
      <c r="D393" s="261" t="n"/>
      <c r="E393" s="262">
        <f>IF(OR(C393="",D393=""),"",D393-C393)</f>
        <v/>
      </c>
      <c r="F393" s="75" t="n"/>
      <c r="G393" s="75" t="n"/>
      <c r="H393" s="75" t="n"/>
      <c r="I393" s="75" t="n"/>
      <c r="J393" s="75" t="n"/>
      <c r="K393" s="75" t="n"/>
      <c r="L393" s="75" t="n"/>
      <c r="M393" s="75" t="n"/>
      <c r="N393" s="75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226">
        <f>IF(AND(A393="",B393=""),"",IF(AND(A393&lt;&gt;"",B393&lt;&gt;"",C393&lt;&gt;"",D393&lt;&gt;"",F393&lt;&gt;"",G393&lt;&gt;"",H393&lt;&gt;"",ISERROR(SEARCH("по паспорту",G393)),ISERROR(SEARCH("по паспорту",H393)),I393&lt;&gt;"",J393&lt;&gt;"",K393&lt;&gt;"",L393&lt;&gt;"",M393&lt;&gt;""),"ГОТОВО","НЕ ГОТОВО"))</f>
        <v/>
      </c>
      <c r="Z393" s="226">
        <f>IF(Y393&lt;&gt;"ГОТОВО","", "Предварительное заключение: "&amp;A393&amp;", скв. "&amp;B393&amp;". МРП: "&amp;E393&amp;" сут. ГНО: "&amp;F393&amp;", типоразмер "&amp;G393&amp;", марка "&amp;H393&amp;". Событие: "&amp;I393&amp;". Признак: "&amp;J393&amp;". Узел: "&amp;K393&amp;". Предварительная причина: "&amp;L393&amp;". Основное осложнение: "&amp;M393&amp;IF(N393&lt;&gt;"","; сопутствующее: "&amp;N393,"")&amp;IF(O393&lt;&gt;"","; дополнительно: "&amp;O393,"")&amp;".")</f>
        <v/>
      </c>
    </row>
    <row r="394">
      <c r="A394" s="75" t="n"/>
      <c r="B394" s="75" t="n"/>
      <c r="C394" s="261" t="n"/>
      <c r="D394" s="261" t="n"/>
      <c r="E394" s="262">
        <f>IF(OR(C394="",D394=""),"",D394-C394)</f>
        <v/>
      </c>
      <c r="F394" s="75" t="n"/>
      <c r="G394" s="75" t="n"/>
      <c r="H394" s="75" t="n"/>
      <c r="I394" s="75" t="n"/>
      <c r="J394" s="75" t="n"/>
      <c r="K394" s="75" t="n"/>
      <c r="L394" s="75" t="n"/>
      <c r="M394" s="75" t="n"/>
      <c r="N394" s="75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226">
        <f>IF(AND(A394="",B394=""),"",IF(AND(A394&lt;&gt;"",B394&lt;&gt;"",C394&lt;&gt;"",D394&lt;&gt;"",F394&lt;&gt;"",G394&lt;&gt;"",H394&lt;&gt;"",ISERROR(SEARCH("по паспорту",G394)),ISERROR(SEARCH("по паспорту",H394)),I394&lt;&gt;"",J394&lt;&gt;"",K394&lt;&gt;"",L394&lt;&gt;"",M394&lt;&gt;""),"ГОТОВО","НЕ ГОТОВО"))</f>
        <v/>
      </c>
      <c r="Z394" s="226">
        <f>IF(Y394&lt;&gt;"ГОТОВО","", "Предварительное заключение: "&amp;A394&amp;", скв. "&amp;B394&amp;". МРП: "&amp;E394&amp;" сут. ГНО: "&amp;F394&amp;", типоразмер "&amp;G394&amp;", марка "&amp;H394&amp;". Событие: "&amp;I394&amp;". Признак: "&amp;J394&amp;". Узел: "&amp;K394&amp;". Предварительная причина: "&amp;L394&amp;". Основное осложнение: "&amp;M394&amp;IF(N394&lt;&gt;"","; сопутствующее: "&amp;N394,"")&amp;IF(O394&lt;&gt;"","; дополнительно: "&amp;O394,"")&amp;".")</f>
        <v/>
      </c>
    </row>
    <row r="395">
      <c r="A395" s="75" t="n"/>
      <c r="B395" s="75" t="n"/>
      <c r="C395" s="261" t="n"/>
      <c r="D395" s="261" t="n"/>
      <c r="E395" s="262">
        <f>IF(OR(C395="",D395=""),"",D395-C395)</f>
        <v/>
      </c>
      <c r="F395" s="75" t="n"/>
      <c r="G395" s="75" t="n"/>
      <c r="H395" s="75" t="n"/>
      <c r="I395" s="75" t="n"/>
      <c r="J395" s="75" t="n"/>
      <c r="K395" s="75" t="n"/>
      <c r="L395" s="75" t="n"/>
      <c r="M395" s="75" t="n"/>
      <c r="N395" s="75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226">
        <f>IF(AND(A395="",B395=""),"",IF(AND(A395&lt;&gt;"",B395&lt;&gt;"",C395&lt;&gt;"",D395&lt;&gt;"",F395&lt;&gt;"",G395&lt;&gt;"",H395&lt;&gt;"",ISERROR(SEARCH("по паспорту",G395)),ISERROR(SEARCH("по паспорту",H395)),I395&lt;&gt;"",J395&lt;&gt;"",K395&lt;&gt;"",L395&lt;&gt;"",M395&lt;&gt;""),"ГОТОВО","НЕ ГОТОВО"))</f>
        <v/>
      </c>
      <c r="Z395" s="226">
        <f>IF(Y395&lt;&gt;"ГОТОВО","", "Предварительное заключение: "&amp;A395&amp;", скв. "&amp;B395&amp;". МРП: "&amp;E395&amp;" сут. ГНО: "&amp;F395&amp;", типоразмер "&amp;G395&amp;", марка "&amp;H395&amp;". Событие: "&amp;I395&amp;". Признак: "&amp;J395&amp;". Узел: "&amp;K395&amp;". Предварительная причина: "&amp;L395&amp;". Основное осложнение: "&amp;M395&amp;IF(N395&lt;&gt;"","; сопутствующее: "&amp;N395,"")&amp;IF(O395&lt;&gt;"","; дополнительно: "&amp;O395,"")&amp;".")</f>
        <v/>
      </c>
    </row>
    <row r="396">
      <c r="A396" s="75" t="n"/>
      <c r="B396" s="75" t="n"/>
      <c r="C396" s="261" t="n"/>
      <c r="D396" s="261" t="n"/>
      <c r="E396" s="262">
        <f>IF(OR(C396="",D396=""),"",D396-C396)</f>
        <v/>
      </c>
      <c r="F396" s="75" t="n"/>
      <c r="G396" s="75" t="n"/>
      <c r="H396" s="75" t="n"/>
      <c r="I396" s="75" t="n"/>
      <c r="J396" s="75" t="n"/>
      <c r="K396" s="75" t="n"/>
      <c r="L396" s="75" t="n"/>
      <c r="M396" s="75" t="n"/>
      <c r="N396" s="75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226">
        <f>IF(AND(A396="",B396=""),"",IF(AND(A396&lt;&gt;"",B396&lt;&gt;"",C396&lt;&gt;"",D396&lt;&gt;"",F396&lt;&gt;"",G396&lt;&gt;"",H396&lt;&gt;"",ISERROR(SEARCH("по паспорту",G396)),ISERROR(SEARCH("по паспорту",H396)),I396&lt;&gt;"",J396&lt;&gt;"",K396&lt;&gt;"",L396&lt;&gt;"",M396&lt;&gt;""),"ГОТОВО","НЕ ГОТОВО"))</f>
        <v/>
      </c>
      <c r="Z396" s="226">
        <f>IF(Y396&lt;&gt;"ГОТОВО","", "Предварительное заключение: "&amp;A396&amp;", скв. "&amp;B396&amp;". МРП: "&amp;E396&amp;" сут. ГНО: "&amp;F396&amp;", типоразмер "&amp;G396&amp;", марка "&amp;H396&amp;". Событие: "&amp;I396&amp;". Признак: "&amp;J396&amp;". Узел: "&amp;K396&amp;". Предварительная причина: "&amp;L396&amp;". Основное осложнение: "&amp;M396&amp;IF(N396&lt;&gt;"","; сопутствующее: "&amp;N396,"")&amp;IF(O396&lt;&gt;"","; дополнительно: "&amp;O396,"")&amp;".")</f>
        <v/>
      </c>
    </row>
    <row r="397">
      <c r="A397" s="75" t="n"/>
      <c r="B397" s="75" t="n"/>
      <c r="C397" s="261" t="n"/>
      <c r="D397" s="261" t="n"/>
      <c r="E397" s="262">
        <f>IF(OR(C397="",D397=""),"",D397-C397)</f>
        <v/>
      </c>
      <c r="F397" s="75" t="n"/>
      <c r="G397" s="75" t="n"/>
      <c r="H397" s="75" t="n"/>
      <c r="I397" s="75" t="n"/>
      <c r="J397" s="75" t="n"/>
      <c r="K397" s="75" t="n"/>
      <c r="L397" s="75" t="n"/>
      <c r="M397" s="75" t="n"/>
      <c r="N397" s="75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226">
        <f>IF(AND(A397="",B397=""),"",IF(AND(A397&lt;&gt;"",B397&lt;&gt;"",C397&lt;&gt;"",D397&lt;&gt;"",F397&lt;&gt;"",G397&lt;&gt;"",H397&lt;&gt;"",ISERROR(SEARCH("по паспорту",G397)),ISERROR(SEARCH("по паспорту",H397)),I397&lt;&gt;"",J397&lt;&gt;"",K397&lt;&gt;"",L397&lt;&gt;"",M397&lt;&gt;""),"ГОТОВО","НЕ ГОТОВО"))</f>
        <v/>
      </c>
      <c r="Z397" s="226">
        <f>IF(Y397&lt;&gt;"ГОТОВО","", "Предварительное заключение: "&amp;A397&amp;", скв. "&amp;B397&amp;". МРП: "&amp;E397&amp;" сут. ГНО: "&amp;F397&amp;", типоразмер "&amp;G397&amp;", марка "&amp;H397&amp;". Событие: "&amp;I397&amp;". Признак: "&amp;J397&amp;". Узел: "&amp;K397&amp;". Предварительная причина: "&amp;L397&amp;". Основное осложнение: "&amp;M397&amp;IF(N397&lt;&gt;"","; сопутствующее: "&amp;N397,"")&amp;IF(O397&lt;&gt;"","; дополнительно: "&amp;O397,"")&amp;".")</f>
        <v/>
      </c>
    </row>
    <row r="398">
      <c r="A398" s="75" t="n"/>
      <c r="B398" s="75" t="n"/>
      <c r="C398" s="261" t="n"/>
      <c r="D398" s="261" t="n"/>
      <c r="E398" s="262">
        <f>IF(OR(C398="",D398=""),"",D398-C398)</f>
        <v/>
      </c>
      <c r="F398" s="75" t="n"/>
      <c r="G398" s="75" t="n"/>
      <c r="H398" s="75" t="n"/>
      <c r="I398" s="75" t="n"/>
      <c r="J398" s="75" t="n"/>
      <c r="K398" s="75" t="n"/>
      <c r="L398" s="75" t="n"/>
      <c r="M398" s="75" t="n"/>
      <c r="N398" s="75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226">
        <f>IF(AND(A398="",B398=""),"",IF(AND(A398&lt;&gt;"",B398&lt;&gt;"",C398&lt;&gt;"",D398&lt;&gt;"",F398&lt;&gt;"",G398&lt;&gt;"",H398&lt;&gt;"",ISERROR(SEARCH("по паспорту",G398)),ISERROR(SEARCH("по паспорту",H398)),I398&lt;&gt;"",J398&lt;&gt;"",K398&lt;&gt;"",L398&lt;&gt;"",M398&lt;&gt;""),"ГОТОВО","НЕ ГОТОВО"))</f>
        <v/>
      </c>
      <c r="Z398" s="226">
        <f>IF(Y398&lt;&gt;"ГОТОВО","", "Предварительное заключение: "&amp;A398&amp;", скв. "&amp;B398&amp;". МРП: "&amp;E398&amp;" сут. ГНО: "&amp;F398&amp;", типоразмер "&amp;G398&amp;", марка "&amp;H398&amp;". Событие: "&amp;I398&amp;". Признак: "&amp;J398&amp;". Узел: "&amp;K398&amp;". Предварительная причина: "&amp;L398&amp;". Основное осложнение: "&amp;M398&amp;IF(N398&lt;&gt;"","; сопутствующее: "&amp;N398,"")&amp;IF(O398&lt;&gt;"","; дополнительно: "&amp;O398,"")&amp;".")</f>
        <v/>
      </c>
    </row>
    <row r="399">
      <c r="A399" s="75" t="n"/>
      <c r="B399" s="75" t="n"/>
      <c r="C399" s="261" t="n"/>
      <c r="D399" s="261" t="n"/>
      <c r="E399" s="262">
        <f>IF(OR(C399="",D399=""),"",D399-C399)</f>
        <v/>
      </c>
      <c r="F399" s="75" t="n"/>
      <c r="G399" s="75" t="n"/>
      <c r="H399" s="75" t="n"/>
      <c r="I399" s="75" t="n"/>
      <c r="J399" s="75" t="n"/>
      <c r="K399" s="75" t="n"/>
      <c r="L399" s="75" t="n"/>
      <c r="M399" s="75" t="n"/>
      <c r="N399" s="75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226">
        <f>IF(AND(A399="",B399=""),"",IF(AND(A399&lt;&gt;"",B399&lt;&gt;"",C399&lt;&gt;"",D399&lt;&gt;"",F399&lt;&gt;"",G399&lt;&gt;"",H399&lt;&gt;"",ISERROR(SEARCH("по паспорту",G399)),ISERROR(SEARCH("по паспорту",H399)),I399&lt;&gt;"",J399&lt;&gt;"",K399&lt;&gt;"",L399&lt;&gt;"",M399&lt;&gt;""),"ГОТОВО","НЕ ГОТОВО"))</f>
        <v/>
      </c>
      <c r="Z399" s="226">
        <f>IF(Y399&lt;&gt;"ГОТОВО","", "Предварительное заключение: "&amp;A399&amp;", скв. "&amp;B399&amp;". МРП: "&amp;E399&amp;" сут. ГНО: "&amp;F399&amp;", типоразмер "&amp;G399&amp;", марка "&amp;H399&amp;". Событие: "&amp;I399&amp;". Признак: "&amp;J399&amp;". Узел: "&amp;K399&amp;". Предварительная причина: "&amp;L399&amp;". Основное осложнение: "&amp;M399&amp;IF(N399&lt;&gt;"","; сопутствующее: "&amp;N399,"")&amp;IF(O399&lt;&gt;"","; дополнительно: "&amp;O399,"")&amp;".")</f>
        <v/>
      </c>
    </row>
    <row r="400">
      <c r="A400" s="75" t="n"/>
      <c r="B400" s="75" t="n"/>
      <c r="C400" s="261" t="n"/>
      <c r="D400" s="261" t="n"/>
      <c r="E400" s="262">
        <f>IF(OR(C400="",D400=""),"",D400-C400)</f>
        <v/>
      </c>
      <c r="F400" s="75" t="n"/>
      <c r="G400" s="75" t="n"/>
      <c r="H400" s="75" t="n"/>
      <c r="I400" s="75" t="n"/>
      <c r="J400" s="75" t="n"/>
      <c r="K400" s="75" t="n"/>
      <c r="L400" s="75" t="n"/>
      <c r="M400" s="75" t="n"/>
      <c r="N400" s="75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226">
        <f>IF(AND(A400="",B400=""),"",IF(AND(A400&lt;&gt;"",B400&lt;&gt;"",C400&lt;&gt;"",D400&lt;&gt;"",F400&lt;&gt;"",G400&lt;&gt;"",H400&lt;&gt;"",ISERROR(SEARCH("по паспорту",G400)),ISERROR(SEARCH("по паспорту",H400)),I400&lt;&gt;"",J400&lt;&gt;"",K400&lt;&gt;"",L400&lt;&gt;"",M400&lt;&gt;""),"ГОТОВО","НЕ ГОТОВО"))</f>
        <v/>
      </c>
      <c r="Z400" s="226">
        <f>IF(Y400&lt;&gt;"ГОТОВО","", "Предварительное заключение: "&amp;A400&amp;", скв. "&amp;B400&amp;". МРП: "&amp;E400&amp;" сут. ГНО: "&amp;F400&amp;", типоразмер "&amp;G400&amp;", марка "&amp;H400&amp;". Событие: "&amp;I400&amp;". Признак: "&amp;J400&amp;". Узел: "&amp;K400&amp;". Предварительная причина: "&amp;L400&amp;". Основное осложнение: "&amp;M400&amp;IF(N400&lt;&gt;"","; сопутствующее: "&amp;N400,"")&amp;IF(O400&lt;&gt;"","; дополнительно: "&amp;O400,"")&amp;".")</f>
        <v/>
      </c>
    </row>
    <row r="401">
      <c r="A401" s="75" t="n"/>
      <c r="B401" s="75" t="n"/>
      <c r="C401" s="261" t="n"/>
      <c r="D401" s="261" t="n"/>
      <c r="E401" s="262">
        <f>IF(OR(C401="",D401=""),"",D401-C401)</f>
        <v/>
      </c>
      <c r="F401" s="75" t="n"/>
      <c r="G401" s="75" t="n"/>
      <c r="H401" s="75" t="n"/>
      <c r="I401" s="75" t="n"/>
      <c r="J401" s="75" t="n"/>
      <c r="K401" s="75" t="n"/>
      <c r="L401" s="75" t="n"/>
      <c r="M401" s="75" t="n"/>
      <c r="N401" s="75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226">
        <f>IF(AND(A401="",B401=""),"",IF(AND(A401&lt;&gt;"",B401&lt;&gt;"",C401&lt;&gt;"",D401&lt;&gt;"",F401&lt;&gt;"",G401&lt;&gt;"",H401&lt;&gt;"",ISERROR(SEARCH("по паспорту",G401)),ISERROR(SEARCH("по паспорту",H401)),I401&lt;&gt;"",J401&lt;&gt;"",K401&lt;&gt;"",L401&lt;&gt;"",M401&lt;&gt;""),"ГОТОВО","НЕ ГОТОВО"))</f>
        <v/>
      </c>
      <c r="Z401" s="226">
        <f>IF(Y401&lt;&gt;"ГОТОВО","", "Предварительное заключение: "&amp;A401&amp;", скв. "&amp;B401&amp;". МРП: "&amp;E401&amp;" сут. ГНО: "&amp;F401&amp;", типоразмер "&amp;G401&amp;", марка "&amp;H401&amp;". Событие: "&amp;I401&amp;". Признак: "&amp;J401&amp;". Узел: "&amp;K401&amp;". Предварительная причина: "&amp;L401&amp;". Основное осложнение: "&amp;M401&amp;IF(N401&lt;&gt;"","; сопутствующее: "&amp;N401,"")&amp;IF(O401&lt;&gt;"","; дополнительно: "&amp;O401,"")&amp;".")</f>
        <v/>
      </c>
    </row>
    <row r="402">
      <c r="A402" s="75" t="n"/>
      <c r="B402" s="75" t="n"/>
      <c r="C402" s="261" t="n"/>
      <c r="D402" s="261" t="n"/>
      <c r="E402" s="262">
        <f>IF(OR(C402="",D402=""),"",D402-C402)</f>
        <v/>
      </c>
      <c r="F402" s="75" t="n"/>
      <c r="G402" s="75" t="n"/>
      <c r="H402" s="75" t="n"/>
      <c r="I402" s="75" t="n"/>
      <c r="J402" s="75" t="n"/>
      <c r="K402" s="75" t="n"/>
      <c r="L402" s="75" t="n"/>
      <c r="M402" s="75" t="n"/>
      <c r="N402" s="75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226">
        <f>IF(AND(A402="",B402=""),"",IF(AND(A402&lt;&gt;"",B402&lt;&gt;"",C402&lt;&gt;"",D402&lt;&gt;"",F402&lt;&gt;"",G402&lt;&gt;"",H402&lt;&gt;"",ISERROR(SEARCH("по паспорту",G402)),ISERROR(SEARCH("по паспорту",H402)),I402&lt;&gt;"",J402&lt;&gt;"",K402&lt;&gt;"",L402&lt;&gt;"",M402&lt;&gt;""),"ГОТОВО","НЕ ГОТОВО"))</f>
        <v/>
      </c>
      <c r="Z402" s="226">
        <f>IF(Y402&lt;&gt;"ГОТОВО","", "Предварительное заключение: "&amp;A402&amp;", скв. "&amp;B402&amp;". МРП: "&amp;E402&amp;" сут. ГНО: "&amp;F402&amp;", типоразмер "&amp;G402&amp;", марка "&amp;H402&amp;". Событие: "&amp;I402&amp;". Признак: "&amp;J402&amp;". Узел: "&amp;K402&amp;". Предварительная причина: "&amp;L402&amp;". Основное осложнение: "&amp;M402&amp;IF(N402&lt;&gt;"","; сопутствующее: "&amp;N402,"")&amp;IF(O402&lt;&gt;"","; дополнительно: "&amp;O402,"")&amp;".")</f>
        <v/>
      </c>
    </row>
    <row r="403">
      <c r="A403" s="75" t="n"/>
      <c r="B403" s="75" t="n"/>
      <c r="C403" s="261" t="n"/>
      <c r="D403" s="261" t="n"/>
      <c r="E403" s="262">
        <f>IF(OR(C403="",D403=""),"",D403-C403)</f>
        <v/>
      </c>
      <c r="F403" s="75" t="n"/>
      <c r="G403" s="75" t="n"/>
      <c r="H403" s="75" t="n"/>
      <c r="I403" s="75" t="n"/>
      <c r="J403" s="75" t="n"/>
      <c r="K403" s="75" t="n"/>
      <c r="L403" s="75" t="n"/>
      <c r="M403" s="75" t="n"/>
      <c r="N403" s="75" t="n"/>
      <c r="O403" s="75" t="n"/>
      <c r="P403" s="75" t="n"/>
      <c r="Q403" s="75" t="n"/>
      <c r="R403" s="75" t="n"/>
      <c r="S403" s="75" t="n"/>
      <c r="T403" s="75" t="n"/>
      <c r="U403" s="75" t="n"/>
      <c r="V403" s="75" t="n"/>
      <c r="W403" s="75" t="n"/>
      <c r="X403" s="75" t="n"/>
      <c r="Y403" s="226">
        <f>IF(AND(A403="",B403=""),"",IF(AND(A403&lt;&gt;"",B403&lt;&gt;"",C403&lt;&gt;"",D403&lt;&gt;"",F403&lt;&gt;"",G403&lt;&gt;"",H403&lt;&gt;"",ISERROR(SEARCH("по паспорту",G403)),ISERROR(SEARCH("по паспорту",H403)),I403&lt;&gt;"",J403&lt;&gt;"",K403&lt;&gt;"",L403&lt;&gt;"",M403&lt;&gt;""),"ГОТОВО","НЕ ГОТОВО"))</f>
        <v/>
      </c>
      <c r="Z403" s="226">
        <f>IF(Y403&lt;&gt;"ГОТОВО","", "Предварительное заключение: "&amp;A403&amp;", скв. "&amp;B403&amp;". МРП: "&amp;E403&amp;" сут. ГНО: "&amp;F403&amp;", типоразмер "&amp;G403&amp;", марка "&amp;H403&amp;". Событие: "&amp;I403&amp;". Признак: "&amp;J403&amp;". Узел: "&amp;K403&amp;". Предварительная причина: "&amp;L403&amp;". Основное осложнение: "&amp;M403&amp;IF(N403&lt;&gt;"","; сопутствующее: "&amp;N403,"")&amp;IF(O403&lt;&gt;"","; дополнительно: "&amp;O403,"")&amp;".")</f>
        <v/>
      </c>
    </row>
    <row r="404">
      <c r="A404" s="75" t="n"/>
      <c r="B404" s="75" t="n"/>
      <c r="C404" s="261" t="n"/>
      <c r="D404" s="261" t="n"/>
      <c r="E404" s="262">
        <f>IF(OR(C404="",D404=""),"",D404-C404)</f>
        <v/>
      </c>
      <c r="F404" s="75" t="n"/>
      <c r="G404" s="75" t="n"/>
      <c r="H404" s="75" t="n"/>
      <c r="I404" s="75" t="n"/>
      <c r="J404" s="75" t="n"/>
      <c r="K404" s="75" t="n"/>
      <c r="L404" s="75" t="n"/>
      <c r="M404" s="75" t="n"/>
      <c r="N404" s="75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226">
        <f>IF(AND(A404="",B404=""),"",IF(AND(A404&lt;&gt;"",B404&lt;&gt;"",C404&lt;&gt;"",D404&lt;&gt;"",F404&lt;&gt;"",G404&lt;&gt;"",H404&lt;&gt;"",ISERROR(SEARCH("по паспорту",G404)),ISERROR(SEARCH("по паспорту",H404)),I404&lt;&gt;"",J404&lt;&gt;"",K404&lt;&gt;"",L404&lt;&gt;"",M404&lt;&gt;""),"ГОТОВО","НЕ ГОТОВО"))</f>
        <v/>
      </c>
      <c r="Z404" s="226">
        <f>IF(Y404&lt;&gt;"ГОТОВО","", "Предварительное заключение: "&amp;A404&amp;", скв. "&amp;B404&amp;". МРП: "&amp;E404&amp;" сут. ГНО: "&amp;F404&amp;", типоразмер "&amp;G404&amp;", марка "&amp;H404&amp;". Событие: "&amp;I404&amp;". Признак: "&amp;J404&amp;". Узел: "&amp;K404&amp;". Предварительная причина: "&amp;L404&amp;". Основное осложнение: "&amp;M404&amp;IF(N404&lt;&gt;"","; сопутствующее: "&amp;N404,"")&amp;IF(O404&lt;&gt;"","; дополнительно: "&amp;O404,"")&amp;".")</f>
        <v/>
      </c>
    </row>
    <row r="405">
      <c r="A405" s="75" t="n"/>
      <c r="B405" s="75" t="n"/>
      <c r="C405" s="261" t="n"/>
      <c r="D405" s="261" t="n"/>
      <c r="E405" s="262">
        <f>IF(OR(C405="",D405=""),"",D405-C405)</f>
        <v/>
      </c>
      <c r="F405" s="75" t="n"/>
      <c r="G405" s="75" t="n"/>
      <c r="H405" s="75" t="n"/>
      <c r="I405" s="75" t="n"/>
      <c r="J405" s="75" t="n"/>
      <c r="K405" s="75" t="n"/>
      <c r="L405" s="75" t="n"/>
      <c r="M405" s="75" t="n"/>
      <c r="N405" s="75" t="n"/>
      <c r="O405" s="75" t="n"/>
      <c r="P405" s="75" t="n"/>
      <c r="Q405" s="75" t="n"/>
      <c r="R405" s="75" t="n"/>
      <c r="S405" s="75" t="n"/>
      <c r="T405" s="75" t="n"/>
      <c r="U405" s="75" t="n"/>
      <c r="V405" s="75" t="n"/>
      <c r="W405" s="75" t="n"/>
      <c r="X405" s="75" t="n"/>
      <c r="Y405" s="226">
        <f>IF(AND(A405="",B405=""),"",IF(AND(A405&lt;&gt;"",B405&lt;&gt;"",C405&lt;&gt;"",D405&lt;&gt;"",F405&lt;&gt;"",G405&lt;&gt;"",H405&lt;&gt;"",ISERROR(SEARCH("по паспорту",G405)),ISERROR(SEARCH("по паспорту",H405)),I405&lt;&gt;"",J405&lt;&gt;"",K405&lt;&gt;"",L405&lt;&gt;"",M405&lt;&gt;""),"ГОТОВО","НЕ ГОТОВО"))</f>
        <v/>
      </c>
      <c r="Z405" s="226">
        <f>IF(Y405&lt;&gt;"ГОТОВО","", "Предварительное заключение: "&amp;A405&amp;", скв. "&amp;B405&amp;". МРП: "&amp;E405&amp;" сут. ГНО: "&amp;F405&amp;", типоразмер "&amp;G405&amp;", марка "&amp;H405&amp;". Событие: "&amp;I405&amp;". Признак: "&amp;J405&amp;". Узел: "&amp;K405&amp;". Предварительная причина: "&amp;L405&amp;". Основное осложнение: "&amp;M405&amp;IF(N405&lt;&gt;"","; сопутствующее: "&amp;N405,"")&amp;IF(O405&lt;&gt;"","; дополнительно: "&amp;O405,"")&amp;".")</f>
        <v/>
      </c>
    </row>
    <row r="406">
      <c r="A406" s="75" t="n"/>
      <c r="B406" s="75" t="n"/>
      <c r="C406" s="261" t="n"/>
      <c r="D406" s="261" t="n"/>
      <c r="E406" s="262">
        <f>IF(OR(C406="",D406=""),"",D406-C406)</f>
        <v/>
      </c>
      <c r="F406" s="75" t="n"/>
      <c r="G406" s="75" t="n"/>
      <c r="H406" s="75" t="n"/>
      <c r="I406" s="75" t="n"/>
      <c r="J406" s="75" t="n"/>
      <c r="K406" s="75" t="n"/>
      <c r="L406" s="75" t="n"/>
      <c r="M406" s="75" t="n"/>
      <c r="N406" s="75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226">
        <f>IF(AND(A406="",B406=""),"",IF(AND(A406&lt;&gt;"",B406&lt;&gt;"",C406&lt;&gt;"",D406&lt;&gt;"",F406&lt;&gt;"",G406&lt;&gt;"",H406&lt;&gt;"",ISERROR(SEARCH("по паспорту",G406)),ISERROR(SEARCH("по паспорту",H406)),I406&lt;&gt;"",J406&lt;&gt;"",K406&lt;&gt;"",L406&lt;&gt;"",M406&lt;&gt;""),"ГОТОВО","НЕ ГОТОВО"))</f>
        <v/>
      </c>
      <c r="Z406" s="226">
        <f>IF(Y406&lt;&gt;"ГОТОВО","", "Предварительное заключение: "&amp;A406&amp;", скв. "&amp;B406&amp;". МРП: "&amp;E406&amp;" сут. ГНО: "&amp;F406&amp;", типоразмер "&amp;G406&amp;", марка "&amp;H406&amp;". Событие: "&amp;I406&amp;". Признак: "&amp;J406&amp;". Узел: "&amp;K406&amp;". Предварительная причина: "&amp;L406&amp;". Основное осложнение: "&amp;M406&amp;IF(N406&lt;&gt;"","; сопутствующее: "&amp;N406,"")&amp;IF(O406&lt;&gt;"","; дополнительно: "&amp;O406,"")&amp;".")</f>
        <v/>
      </c>
    </row>
    <row r="407">
      <c r="A407" s="75" t="n"/>
      <c r="B407" s="75" t="n"/>
      <c r="C407" s="261" t="n"/>
      <c r="D407" s="261" t="n"/>
      <c r="E407" s="262">
        <f>IF(OR(C407="",D407=""),"",D407-C407)</f>
        <v/>
      </c>
      <c r="F407" s="75" t="n"/>
      <c r="G407" s="75" t="n"/>
      <c r="H407" s="75" t="n"/>
      <c r="I407" s="75" t="n"/>
      <c r="J407" s="75" t="n"/>
      <c r="K407" s="75" t="n"/>
      <c r="L407" s="75" t="n"/>
      <c r="M407" s="75" t="n"/>
      <c r="N407" s="75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226">
        <f>IF(AND(A407="",B407=""),"",IF(AND(A407&lt;&gt;"",B407&lt;&gt;"",C407&lt;&gt;"",D407&lt;&gt;"",F407&lt;&gt;"",G407&lt;&gt;"",H407&lt;&gt;"",ISERROR(SEARCH("по паспорту",G407)),ISERROR(SEARCH("по паспорту",H407)),I407&lt;&gt;"",J407&lt;&gt;"",K407&lt;&gt;"",L407&lt;&gt;"",M407&lt;&gt;""),"ГОТОВО","НЕ ГОТОВО"))</f>
        <v/>
      </c>
      <c r="Z407" s="226">
        <f>IF(Y407&lt;&gt;"ГОТОВО","", "Предварительное заключение: "&amp;A407&amp;", скв. "&amp;B407&amp;". МРП: "&amp;E407&amp;" сут. ГНО: "&amp;F407&amp;", типоразмер "&amp;G407&amp;", марка "&amp;H407&amp;". Событие: "&amp;I407&amp;". Признак: "&amp;J407&amp;". Узел: "&amp;K407&amp;". Предварительная причина: "&amp;L407&amp;". Основное осложнение: "&amp;M407&amp;IF(N407&lt;&gt;"","; сопутствующее: "&amp;N407,"")&amp;IF(O407&lt;&gt;"","; дополнительно: "&amp;O407,"")&amp;".")</f>
        <v/>
      </c>
    </row>
    <row r="408">
      <c r="A408" s="75" t="n"/>
      <c r="B408" s="75" t="n"/>
      <c r="C408" s="261" t="n"/>
      <c r="D408" s="261" t="n"/>
      <c r="E408" s="262">
        <f>IF(OR(C408="",D408=""),"",D408-C408)</f>
        <v/>
      </c>
      <c r="F408" s="75" t="n"/>
      <c r="G408" s="75" t="n"/>
      <c r="H408" s="75" t="n"/>
      <c r="I408" s="75" t="n"/>
      <c r="J408" s="75" t="n"/>
      <c r="K408" s="75" t="n"/>
      <c r="L408" s="75" t="n"/>
      <c r="M408" s="75" t="n"/>
      <c r="N408" s="75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226">
        <f>IF(AND(A408="",B408=""),"",IF(AND(A408&lt;&gt;"",B408&lt;&gt;"",C408&lt;&gt;"",D408&lt;&gt;"",F408&lt;&gt;"",G408&lt;&gt;"",H408&lt;&gt;"",ISERROR(SEARCH("по паспорту",G408)),ISERROR(SEARCH("по паспорту",H408)),I408&lt;&gt;"",J408&lt;&gt;"",K408&lt;&gt;"",L408&lt;&gt;"",M408&lt;&gt;""),"ГОТОВО","НЕ ГОТОВО"))</f>
        <v/>
      </c>
      <c r="Z408" s="226">
        <f>IF(Y408&lt;&gt;"ГОТОВО","", "Предварительное заключение: "&amp;A408&amp;", скв. "&amp;B408&amp;". МРП: "&amp;E408&amp;" сут. ГНО: "&amp;F408&amp;", типоразмер "&amp;G408&amp;", марка "&amp;H408&amp;". Событие: "&amp;I408&amp;". Признак: "&amp;J408&amp;". Узел: "&amp;K408&amp;". Предварительная причина: "&amp;L408&amp;". Основное осложнение: "&amp;M408&amp;IF(N408&lt;&gt;"","; сопутствующее: "&amp;N408,"")&amp;IF(O408&lt;&gt;"","; дополнительно: "&amp;O408,"")&amp;".")</f>
        <v/>
      </c>
    </row>
    <row r="409">
      <c r="A409" s="75" t="n"/>
      <c r="B409" s="75" t="n"/>
      <c r="C409" s="261" t="n"/>
      <c r="D409" s="261" t="n"/>
      <c r="E409" s="262">
        <f>IF(OR(C409="",D409=""),"",D409-C409)</f>
        <v/>
      </c>
      <c r="F409" s="75" t="n"/>
      <c r="G409" s="75" t="n"/>
      <c r="H409" s="75" t="n"/>
      <c r="I409" s="75" t="n"/>
      <c r="J409" s="75" t="n"/>
      <c r="K409" s="75" t="n"/>
      <c r="L409" s="75" t="n"/>
      <c r="M409" s="75" t="n"/>
      <c r="N409" s="75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226">
        <f>IF(AND(A409="",B409=""),"",IF(AND(A409&lt;&gt;"",B409&lt;&gt;"",C409&lt;&gt;"",D409&lt;&gt;"",F409&lt;&gt;"",G409&lt;&gt;"",H409&lt;&gt;"",ISERROR(SEARCH("по паспорту",G409)),ISERROR(SEARCH("по паспорту",H409)),I409&lt;&gt;"",J409&lt;&gt;"",K409&lt;&gt;"",L409&lt;&gt;"",M409&lt;&gt;""),"ГОТОВО","НЕ ГОТОВО"))</f>
        <v/>
      </c>
      <c r="Z409" s="226">
        <f>IF(Y409&lt;&gt;"ГОТОВО","", "Предварительное заключение: "&amp;A409&amp;", скв. "&amp;B409&amp;". МРП: "&amp;E409&amp;" сут. ГНО: "&amp;F409&amp;", типоразмер "&amp;G409&amp;", марка "&amp;H409&amp;". Событие: "&amp;I409&amp;". Признак: "&amp;J409&amp;". Узел: "&amp;K409&amp;". Предварительная причина: "&amp;L409&amp;". Основное осложнение: "&amp;M409&amp;IF(N409&lt;&gt;"","; сопутствующее: "&amp;N409,"")&amp;IF(O409&lt;&gt;"","; дополнительно: "&amp;O409,"")&amp;".")</f>
        <v/>
      </c>
    </row>
    <row r="410">
      <c r="A410" s="75" t="n"/>
      <c r="B410" s="75" t="n"/>
      <c r="C410" s="261" t="n"/>
      <c r="D410" s="261" t="n"/>
      <c r="E410" s="262">
        <f>IF(OR(C410="",D410=""),"",D410-C410)</f>
        <v/>
      </c>
      <c r="F410" s="75" t="n"/>
      <c r="G410" s="75" t="n"/>
      <c r="H410" s="75" t="n"/>
      <c r="I410" s="75" t="n"/>
      <c r="J410" s="75" t="n"/>
      <c r="K410" s="75" t="n"/>
      <c r="L410" s="75" t="n"/>
      <c r="M410" s="75" t="n"/>
      <c r="N410" s="75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226">
        <f>IF(AND(A410="",B410=""),"",IF(AND(A410&lt;&gt;"",B410&lt;&gt;"",C410&lt;&gt;"",D410&lt;&gt;"",F410&lt;&gt;"",G410&lt;&gt;"",H410&lt;&gt;"",ISERROR(SEARCH("по паспорту",G410)),ISERROR(SEARCH("по паспорту",H410)),I410&lt;&gt;"",J410&lt;&gt;"",K410&lt;&gt;"",L410&lt;&gt;"",M410&lt;&gt;""),"ГОТОВО","НЕ ГОТОВО"))</f>
        <v/>
      </c>
      <c r="Z410" s="226">
        <f>IF(Y410&lt;&gt;"ГОТОВО","", "Предварительное заключение: "&amp;A410&amp;", скв. "&amp;B410&amp;". МРП: "&amp;E410&amp;" сут. ГНО: "&amp;F410&amp;", типоразмер "&amp;G410&amp;", марка "&amp;H410&amp;". Событие: "&amp;I410&amp;". Признак: "&amp;J410&amp;". Узел: "&amp;K410&amp;". Предварительная причина: "&amp;L410&amp;". Основное осложнение: "&amp;M410&amp;IF(N410&lt;&gt;"","; сопутствующее: "&amp;N410,"")&amp;IF(O410&lt;&gt;"","; дополнительно: "&amp;O410,"")&amp;".")</f>
        <v/>
      </c>
    </row>
    <row r="411">
      <c r="A411" s="75" t="n"/>
      <c r="B411" s="75" t="n"/>
      <c r="C411" s="261" t="n"/>
      <c r="D411" s="261" t="n"/>
      <c r="E411" s="262">
        <f>IF(OR(C411="",D411=""),"",D411-C411)</f>
        <v/>
      </c>
      <c r="F411" s="75" t="n"/>
      <c r="G411" s="75" t="n"/>
      <c r="H411" s="75" t="n"/>
      <c r="I411" s="75" t="n"/>
      <c r="J411" s="75" t="n"/>
      <c r="K411" s="75" t="n"/>
      <c r="L411" s="75" t="n"/>
      <c r="M411" s="75" t="n"/>
      <c r="N411" s="75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226">
        <f>IF(AND(A411="",B411=""),"",IF(AND(A411&lt;&gt;"",B411&lt;&gt;"",C411&lt;&gt;"",D411&lt;&gt;"",F411&lt;&gt;"",G411&lt;&gt;"",H411&lt;&gt;"",ISERROR(SEARCH("по паспорту",G411)),ISERROR(SEARCH("по паспорту",H411)),I411&lt;&gt;"",J411&lt;&gt;"",K411&lt;&gt;"",L411&lt;&gt;"",M411&lt;&gt;""),"ГОТОВО","НЕ ГОТОВО"))</f>
        <v/>
      </c>
      <c r="Z411" s="226">
        <f>IF(Y411&lt;&gt;"ГОТОВО","", "Предварительное заключение: "&amp;A411&amp;", скв. "&amp;B411&amp;". МРП: "&amp;E411&amp;" сут. ГНО: "&amp;F411&amp;", типоразмер "&amp;G411&amp;", марка "&amp;H411&amp;". Событие: "&amp;I411&amp;". Признак: "&amp;J411&amp;". Узел: "&amp;K411&amp;". Предварительная причина: "&amp;L411&amp;". Основное осложнение: "&amp;M411&amp;IF(N411&lt;&gt;"","; сопутствующее: "&amp;N411,"")&amp;IF(O411&lt;&gt;"","; дополнительно: "&amp;O411,"")&amp;".")</f>
        <v/>
      </c>
    </row>
    <row r="412">
      <c r="A412" s="75" t="n"/>
      <c r="B412" s="75" t="n"/>
      <c r="C412" s="261" t="n"/>
      <c r="D412" s="261" t="n"/>
      <c r="E412" s="262">
        <f>IF(OR(C412="",D412=""),"",D412-C412)</f>
        <v/>
      </c>
      <c r="F412" s="75" t="n"/>
      <c r="G412" s="75" t="n"/>
      <c r="H412" s="75" t="n"/>
      <c r="I412" s="75" t="n"/>
      <c r="J412" s="75" t="n"/>
      <c r="K412" s="75" t="n"/>
      <c r="L412" s="75" t="n"/>
      <c r="M412" s="75" t="n"/>
      <c r="N412" s="75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226">
        <f>IF(AND(A412="",B412=""),"",IF(AND(A412&lt;&gt;"",B412&lt;&gt;"",C412&lt;&gt;"",D412&lt;&gt;"",F412&lt;&gt;"",G412&lt;&gt;"",H412&lt;&gt;"",ISERROR(SEARCH("по паспорту",G412)),ISERROR(SEARCH("по паспорту",H412)),I412&lt;&gt;"",J412&lt;&gt;"",K412&lt;&gt;"",L412&lt;&gt;"",M412&lt;&gt;""),"ГОТОВО","НЕ ГОТОВО"))</f>
        <v/>
      </c>
      <c r="Z412" s="226">
        <f>IF(Y412&lt;&gt;"ГОТОВО","", "Предварительное заключение: "&amp;A412&amp;", скв. "&amp;B412&amp;". МРП: "&amp;E412&amp;" сут. ГНО: "&amp;F412&amp;", типоразмер "&amp;G412&amp;", марка "&amp;H412&amp;". Событие: "&amp;I412&amp;". Признак: "&amp;J412&amp;". Узел: "&amp;K412&amp;". Предварительная причина: "&amp;L412&amp;". Основное осложнение: "&amp;M412&amp;IF(N412&lt;&gt;"","; сопутствующее: "&amp;N412,"")&amp;IF(O412&lt;&gt;"","; дополнительно: "&amp;O412,"")&amp;".")</f>
        <v/>
      </c>
    </row>
    <row r="413">
      <c r="A413" s="75" t="n"/>
      <c r="B413" s="75" t="n"/>
      <c r="C413" s="261" t="n"/>
      <c r="D413" s="261" t="n"/>
      <c r="E413" s="262">
        <f>IF(OR(C413="",D413=""),"",D413-C413)</f>
        <v/>
      </c>
      <c r="F413" s="75" t="n"/>
      <c r="G413" s="75" t="n"/>
      <c r="H413" s="75" t="n"/>
      <c r="I413" s="75" t="n"/>
      <c r="J413" s="75" t="n"/>
      <c r="K413" s="75" t="n"/>
      <c r="L413" s="75" t="n"/>
      <c r="M413" s="75" t="n"/>
      <c r="N413" s="75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226">
        <f>IF(AND(A413="",B413=""),"",IF(AND(A413&lt;&gt;"",B413&lt;&gt;"",C413&lt;&gt;"",D413&lt;&gt;"",F413&lt;&gt;"",G413&lt;&gt;"",H413&lt;&gt;"",ISERROR(SEARCH("по паспорту",G413)),ISERROR(SEARCH("по паспорту",H413)),I413&lt;&gt;"",J413&lt;&gt;"",K413&lt;&gt;"",L413&lt;&gt;"",M413&lt;&gt;""),"ГОТОВО","НЕ ГОТОВО"))</f>
        <v/>
      </c>
      <c r="Z413" s="226">
        <f>IF(Y413&lt;&gt;"ГОТОВО","", "Предварительное заключение: "&amp;A413&amp;", скв. "&amp;B413&amp;". МРП: "&amp;E413&amp;" сут. ГНО: "&amp;F413&amp;", типоразмер "&amp;G413&amp;", марка "&amp;H413&amp;". Событие: "&amp;I413&amp;". Признак: "&amp;J413&amp;". Узел: "&amp;K413&amp;". Предварительная причина: "&amp;L413&amp;". Основное осложнение: "&amp;M413&amp;IF(N413&lt;&gt;"","; сопутствующее: "&amp;N413,"")&amp;IF(O413&lt;&gt;"","; дополнительно: "&amp;O413,"")&amp;".")</f>
        <v/>
      </c>
    </row>
    <row r="414">
      <c r="A414" s="75" t="n"/>
      <c r="B414" s="75" t="n"/>
      <c r="C414" s="261" t="n"/>
      <c r="D414" s="261" t="n"/>
      <c r="E414" s="262">
        <f>IF(OR(C414="",D414=""),"",D414-C414)</f>
        <v/>
      </c>
      <c r="F414" s="75" t="n"/>
      <c r="G414" s="75" t="n"/>
      <c r="H414" s="75" t="n"/>
      <c r="I414" s="75" t="n"/>
      <c r="J414" s="75" t="n"/>
      <c r="K414" s="75" t="n"/>
      <c r="L414" s="75" t="n"/>
      <c r="M414" s="75" t="n"/>
      <c r="N414" s="75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226">
        <f>IF(AND(A414="",B414=""),"",IF(AND(A414&lt;&gt;"",B414&lt;&gt;"",C414&lt;&gt;"",D414&lt;&gt;"",F414&lt;&gt;"",G414&lt;&gt;"",H414&lt;&gt;"",ISERROR(SEARCH("по паспорту",G414)),ISERROR(SEARCH("по паспорту",H414)),I414&lt;&gt;"",J414&lt;&gt;"",K414&lt;&gt;"",L414&lt;&gt;"",M414&lt;&gt;""),"ГОТОВО","НЕ ГОТОВО"))</f>
        <v/>
      </c>
      <c r="Z414" s="226">
        <f>IF(Y414&lt;&gt;"ГОТОВО","", "Предварительное заключение: "&amp;A414&amp;", скв. "&amp;B414&amp;". МРП: "&amp;E414&amp;" сут. ГНО: "&amp;F414&amp;", типоразмер "&amp;G414&amp;", марка "&amp;H414&amp;". Событие: "&amp;I414&amp;". Признак: "&amp;J414&amp;". Узел: "&amp;K414&amp;". Предварительная причина: "&amp;L414&amp;". Основное осложнение: "&amp;M414&amp;IF(N414&lt;&gt;"","; сопутствующее: "&amp;N414,"")&amp;IF(O414&lt;&gt;"","; дополнительно: "&amp;O414,"")&amp;".")</f>
        <v/>
      </c>
    </row>
    <row r="415">
      <c r="A415" s="75" t="n"/>
      <c r="B415" s="75" t="n"/>
      <c r="C415" s="261" t="n"/>
      <c r="D415" s="261" t="n"/>
      <c r="E415" s="262">
        <f>IF(OR(C415="",D415=""),"",D415-C415)</f>
        <v/>
      </c>
      <c r="F415" s="75" t="n"/>
      <c r="G415" s="75" t="n"/>
      <c r="H415" s="75" t="n"/>
      <c r="I415" s="75" t="n"/>
      <c r="J415" s="75" t="n"/>
      <c r="K415" s="75" t="n"/>
      <c r="L415" s="75" t="n"/>
      <c r="M415" s="75" t="n"/>
      <c r="N415" s="75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226">
        <f>IF(AND(A415="",B415=""),"",IF(AND(A415&lt;&gt;"",B415&lt;&gt;"",C415&lt;&gt;"",D415&lt;&gt;"",F415&lt;&gt;"",G415&lt;&gt;"",H415&lt;&gt;"",ISERROR(SEARCH("по паспорту",G415)),ISERROR(SEARCH("по паспорту",H415)),I415&lt;&gt;"",J415&lt;&gt;"",K415&lt;&gt;"",L415&lt;&gt;"",M415&lt;&gt;""),"ГОТОВО","НЕ ГОТОВО"))</f>
        <v/>
      </c>
      <c r="Z415" s="226">
        <f>IF(Y415&lt;&gt;"ГОТОВО","", "Предварительное заключение: "&amp;A415&amp;", скв. "&amp;B415&amp;". МРП: "&amp;E415&amp;" сут. ГНО: "&amp;F415&amp;", типоразмер "&amp;G415&amp;", марка "&amp;H415&amp;". Событие: "&amp;I415&amp;". Признак: "&amp;J415&amp;". Узел: "&amp;K415&amp;". Предварительная причина: "&amp;L415&amp;". Основное осложнение: "&amp;M415&amp;IF(N415&lt;&gt;"","; сопутствующее: "&amp;N415,"")&amp;IF(O415&lt;&gt;"","; дополнительно: "&amp;O415,"")&amp;".")</f>
        <v/>
      </c>
    </row>
    <row r="416">
      <c r="A416" s="75" t="n"/>
      <c r="B416" s="75" t="n"/>
      <c r="C416" s="261" t="n"/>
      <c r="D416" s="261" t="n"/>
      <c r="E416" s="262">
        <f>IF(OR(C416="",D416=""),"",D416-C416)</f>
        <v/>
      </c>
      <c r="F416" s="75" t="n"/>
      <c r="G416" s="75" t="n"/>
      <c r="H416" s="75" t="n"/>
      <c r="I416" s="75" t="n"/>
      <c r="J416" s="75" t="n"/>
      <c r="K416" s="75" t="n"/>
      <c r="L416" s="75" t="n"/>
      <c r="M416" s="75" t="n"/>
      <c r="N416" s="75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226">
        <f>IF(AND(A416="",B416=""),"",IF(AND(A416&lt;&gt;"",B416&lt;&gt;"",C416&lt;&gt;"",D416&lt;&gt;"",F416&lt;&gt;"",G416&lt;&gt;"",H416&lt;&gt;"",ISERROR(SEARCH("по паспорту",G416)),ISERROR(SEARCH("по паспорту",H416)),I416&lt;&gt;"",J416&lt;&gt;"",K416&lt;&gt;"",L416&lt;&gt;"",M416&lt;&gt;""),"ГОТОВО","НЕ ГОТОВО"))</f>
        <v/>
      </c>
      <c r="Z416" s="226">
        <f>IF(Y416&lt;&gt;"ГОТОВО","", "Предварительное заключение: "&amp;A416&amp;", скв. "&amp;B416&amp;". МРП: "&amp;E416&amp;" сут. ГНО: "&amp;F416&amp;", типоразмер "&amp;G416&amp;", марка "&amp;H416&amp;". Событие: "&amp;I416&amp;". Признак: "&amp;J416&amp;". Узел: "&amp;K416&amp;". Предварительная причина: "&amp;L416&amp;". Основное осложнение: "&amp;M416&amp;IF(N416&lt;&gt;"","; сопутствующее: "&amp;N416,"")&amp;IF(O416&lt;&gt;"","; дополнительно: "&amp;O416,"")&amp;".")</f>
        <v/>
      </c>
    </row>
    <row r="417">
      <c r="A417" s="75" t="n"/>
      <c r="B417" s="75" t="n"/>
      <c r="C417" s="261" t="n"/>
      <c r="D417" s="261" t="n"/>
      <c r="E417" s="262">
        <f>IF(OR(C417="",D417=""),"",D417-C417)</f>
        <v/>
      </c>
      <c r="F417" s="75" t="n"/>
      <c r="G417" s="75" t="n"/>
      <c r="H417" s="75" t="n"/>
      <c r="I417" s="75" t="n"/>
      <c r="J417" s="75" t="n"/>
      <c r="K417" s="75" t="n"/>
      <c r="L417" s="75" t="n"/>
      <c r="M417" s="75" t="n"/>
      <c r="N417" s="75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226">
        <f>IF(AND(A417="",B417=""),"",IF(AND(A417&lt;&gt;"",B417&lt;&gt;"",C417&lt;&gt;"",D417&lt;&gt;"",F417&lt;&gt;"",G417&lt;&gt;"",H417&lt;&gt;"",ISERROR(SEARCH("по паспорту",G417)),ISERROR(SEARCH("по паспорту",H417)),I417&lt;&gt;"",J417&lt;&gt;"",K417&lt;&gt;"",L417&lt;&gt;"",M417&lt;&gt;""),"ГОТОВО","НЕ ГОТОВО"))</f>
        <v/>
      </c>
      <c r="Z417" s="226">
        <f>IF(Y417&lt;&gt;"ГОТОВО","", "Предварительное заключение: "&amp;A417&amp;", скв. "&amp;B417&amp;". МРП: "&amp;E417&amp;" сут. ГНО: "&amp;F417&amp;", типоразмер "&amp;G417&amp;", марка "&amp;H417&amp;". Событие: "&amp;I417&amp;". Признак: "&amp;J417&amp;". Узел: "&amp;K417&amp;". Предварительная причина: "&amp;L417&amp;". Основное осложнение: "&amp;M417&amp;IF(N417&lt;&gt;"","; сопутствующее: "&amp;N417,"")&amp;IF(O417&lt;&gt;"","; дополнительно: "&amp;O417,"")&amp;".")</f>
        <v/>
      </c>
    </row>
    <row r="418">
      <c r="A418" s="75" t="n"/>
      <c r="B418" s="75" t="n"/>
      <c r="C418" s="261" t="n"/>
      <c r="D418" s="261" t="n"/>
      <c r="E418" s="262">
        <f>IF(OR(C418="",D418=""),"",D418-C418)</f>
        <v/>
      </c>
      <c r="F418" s="75" t="n"/>
      <c r="G418" s="75" t="n"/>
      <c r="H418" s="75" t="n"/>
      <c r="I418" s="75" t="n"/>
      <c r="J418" s="75" t="n"/>
      <c r="K418" s="75" t="n"/>
      <c r="L418" s="75" t="n"/>
      <c r="M418" s="75" t="n"/>
      <c r="N418" s="75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226">
        <f>IF(AND(A418="",B418=""),"",IF(AND(A418&lt;&gt;"",B418&lt;&gt;"",C418&lt;&gt;"",D418&lt;&gt;"",F418&lt;&gt;"",G418&lt;&gt;"",H418&lt;&gt;"",ISERROR(SEARCH("по паспорту",G418)),ISERROR(SEARCH("по паспорту",H418)),I418&lt;&gt;"",J418&lt;&gt;"",K418&lt;&gt;"",L418&lt;&gt;"",M418&lt;&gt;""),"ГОТОВО","НЕ ГОТОВО"))</f>
        <v/>
      </c>
      <c r="Z418" s="226">
        <f>IF(Y418&lt;&gt;"ГОТОВО","", "Предварительное заключение: "&amp;A418&amp;", скв. "&amp;B418&amp;". МРП: "&amp;E418&amp;" сут. ГНО: "&amp;F418&amp;", типоразмер "&amp;G418&amp;", марка "&amp;H418&amp;". Событие: "&amp;I418&amp;". Признак: "&amp;J418&amp;". Узел: "&amp;K418&amp;". Предварительная причина: "&amp;L418&amp;". Основное осложнение: "&amp;M418&amp;IF(N418&lt;&gt;"","; сопутствующее: "&amp;N418,"")&amp;IF(O418&lt;&gt;"","; дополнительно: "&amp;O418,"")&amp;".")</f>
        <v/>
      </c>
    </row>
    <row r="419">
      <c r="A419" s="75" t="n"/>
      <c r="B419" s="75" t="n"/>
      <c r="C419" s="261" t="n"/>
      <c r="D419" s="261" t="n"/>
      <c r="E419" s="262">
        <f>IF(OR(C419="",D419=""),"",D419-C419)</f>
        <v/>
      </c>
      <c r="F419" s="75" t="n"/>
      <c r="G419" s="75" t="n"/>
      <c r="H419" s="75" t="n"/>
      <c r="I419" s="75" t="n"/>
      <c r="J419" s="75" t="n"/>
      <c r="K419" s="75" t="n"/>
      <c r="L419" s="75" t="n"/>
      <c r="M419" s="75" t="n"/>
      <c r="N419" s="75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226">
        <f>IF(AND(A419="",B419=""),"",IF(AND(A419&lt;&gt;"",B419&lt;&gt;"",C419&lt;&gt;"",D419&lt;&gt;"",F419&lt;&gt;"",G419&lt;&gt;"",H419&lt;&gt;"",ISERROR(SEARCH("по паспорту",G419)),ISERROR(SEARCH("по паспорту",H419)),I419&lt;&gt;"",J419&lt;&gt;"",K419&lt;&gt;"",L419&lt;&gt;"",M419&lt;&gt;""),"ГОТОВО","НЕ ГОТОВО"))</f>
        <v/>
      </c>
      <c r="Z419" s="226">
        <f>IF(Y419&lt;&gt;"ГОТОВО","", "Предварительное заключение: "&amp;A419&amp;", скв. "&amp;B419&amp;". МРП: "&amp;E419&amp;" сут. ГНО: "&amp;F419&amp;", типоразмер "&amp;G419&amp;", марка "&amp;H419&amp;". Событие: "&amp;I419&amp;". Признак: "&amp;J419&amp;". Узел: "&amp;K419&amp;". Предварительная причина: "&amp;L419&amp;". Основное осложнение: "&amp;M419&amp;IF(N419&lt;&gt;"","; сопутствующее: "&amp;N419,"")&amp;IF(O419&lt;&gt;"","; дополнительно: "&amp;O419,"")&amp;".")</f>
        <v/>
      </c>
    </row>
    <row r="420">
      <c r="A420" s="75" t="n"/>
      <c r="B420" s="75" t="n"/>
      <c r="C420" s="261" t="n"/>
      <c r="D420" s="261" t="n"/>
      <c r="E420" s="262">
        <f>IF(OR(C420="",D420=""),"",D420-C420)</f>
        <v/>
      </c>
      <c r="F420" s="75" t="n"/>
      <c r="G420" s="75" t="n"/>
      <c r="H420" s="75" t="n"/>
      <c r="I420" s="75" t="n"/>
      <c r="J420" s="75" t="n"/>
      <c r="K420" s="75" t="n"/>
      <c r="L420" s="75" t="n"/>
      <c r="M420" s="75" t="n"/>
      <c r="N420" s="75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226">
        <f>IF(AND(A420="",B420=""),"",IF(AND(A420&lt;&gt;"",B420&lt;&gt;"",C420&lt;&gt;"",D420&lt;&gt;"",F420&lt;&gt;"",G420&lt;&gt;"",H420&lt;&gt;"",ISERROR(SEARCH("по паспорту",G420)),ISERROR(SEARCH("по паспорту",H420)),I420&lt;&gt;"",J420&lt;&gt;"",K420&lt;&gt;"",L420&lt;&gt;"",M420&lt;&gt;""),"ГОТОВО","НЕ ГОТОВО"))</f>
        <v/>
      </c>
      <c r="Z420" s="226">
        <f>IF(Y420&lt;&gt;"ГОТОВО","", "Предварительное заключение: "&amp;A420&amp;", скв. "&amp;B420&amp;". МРП: "&amp;E420&amp;" сут. ГНО: "&amp;F420&amp;", типоразмер "&amp;G420&amp;", марка "&amp;H420&amp;". Событие: "&amp;I420&amp;". Признак: "&amp;J420&amp;". Узел: "&amp;K420&amp;". Предварительная причина: "&amp;L420&amp;". Основное осложнение: "&amp;M420&amp;IF(N420&lt;&gt;"","; сопутствующее: "&amp;N420,"")&amp;IF(O420&lt;&gt;"","; дополнительно: "&amp;O420,"")&amp;".")</f>
        <v/>
      </c>
    </row>
    <row r="421">
      <c r="A421" s="75" t="n"/>
      <c r="B421" s="75" t="n"/>
      <c r="C421" s="261" t="n"/>
      <c r="D421" s="261" t="n"/>
      <c r="E421" s="262">
        <f>IF(OR(C421="",D421=""),"",D421-C421)</f>
        <v/>
      </c>
      <c r="F421" s="75" t="n"/>
      <c r="G421" s="75" t="n"/>
      <c r="H421" s="75" t="n"/>
      <c r="I421" s="75" t="n"/>
      <c r="J421" s="75" t="n"/>
      <c r="K421" s="75" t="n"/>
      <c r="L421" s="75" t="n"/>
      <c r="M421" s="75" t="n"/>
      <c r="N421" s="75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226">
        <f>IF(AND(A421="",B421=""),"",IF(AND(A421&lt;&gt;"",B421&lt;&gt;"",C421&lt;&gt;"",D421&lt;&gt;"",F421&lt;&gt;"",G421&lt;&gt;"",H421&lt;&gt;"",ISERROR(SEARCH("по паспорту",G421)),ISERROR(SEARCH("по паспорту",H421)),I421&lt;&gt;"",J421&lt;&gt;"",K421&lt;&gt;"",L421&lt;&gt;"",M421&lt;&gt;""),"ГОТОВО","НЕ ГОТОВО"))</f>
        <v/>
      </c>
      <c r="Z421" s="226">
        <f>IF(Y421&lt;&gt;"ГОТОВО","", "Предварительное заключение: "&amp;A421&amp;", скв. "&amp;B421&amp;". МРП: "&amp;E421&amp;" сут. ГНО: "&amp;F421&amp;", типоразмер "&amp;G421&amp;", марка "&amp;H421&amp;". Событие: "&amp;I421&amp;". Признак: "&amp;J421&amp;". Узел: "&amp;K421&amp;". Предварительная причина: "&amp;L421&amp;". Основное осложнение: "&amp;M421&amp;IF(N421&lt;&gt;"","; сопутствующее: "&amp;N421,"")&amp;IF(O421&lt;&gt;"","; дополнительно: "&amp;O421,"")&amp;".")</f>
        <v/>
      </c>
    </row>
    <row r="422">
      <c r="A422" s="75" t="n"/>
      <c r="B422" s="75" t="n"/>
      <c r="C422" s="261" t="n"/>
      <c r="D422" s="261" t="n"/>
      <c r="E422" s="262">
        <f>IF(OR(C422="",D422=""),"",D422-C422)</f>
        <v/>
      </c>
      <c r="F422" s="75" t="n"/>
      <c r="G422" s="75" t="n"/>
      <c r="H422" s="75" t="n"/>
      <c r="I422" s="75" t="n"/>
      <c r="J422" s="75" t="n"/>
      <c r="K422" s="75" t="n"/>
      <c r="L422" s="75" t="n"/>
      <c r="M422" s="75" t="n"/>
      <c r="N422" s="75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226">
        <f>IF(AND(A422="",B422=""),"",IF(AND(A422&lt;&gt;"",B422&lt;&gt;"",C422&lt;&gt;"",D422&lt;&gt;"",F422&lt;&gt;"",G422&lt;&gt;"",H422&lt;&gt;"",ISERROR(SEARCH("по паспорту",G422)),ISERROR(SEARCH("по паспорту",H422)),I422&lt;&gt;"",J422&lt;&gt;"",K422&lt;&gt;"",L422&lt;&gt;"",M422&lt;&gt;""),"ГОТОВО","НЕ ГОТОВО"))</f>
        <v/>
      </c>
      <c r="Z422" s="226">
        <f>IF(Y422&lt;&gt;"ГОТОВО","", "Предварительное заключение: "&amp;A422&amp;", скв. "&amp;B422&amp;". МРП: "&amp;E422&amp;" сут. ГНО: "&amp;F422&amp;", типоразмер "&amp;G422&amp;", марка "&amp;H422&amp;". Событие: "&amp;I422&amp;". Признак: "&amp;J422&amp;". Узел: "&amp;K422&amp;". Предварительная причина: "&amp;L422&amp;". Основное осложнение: "&amp;M422&amp;IF(N422&lt;&gt;"","; сопутствующее: "&amp;N422,"")&amp;IF(O422&lt;&gt;"","; дополнительно: "&amp;O422,"")&amp;".")</f>
        <v/>
      </c>
    </row>
    <row r="423">
      <c r="A423" s="75" t="n"/>
      <c r="B423" s="75" t="n"/>
      <c r="C423" s="261" t="n"/>
      <c r="D423" s="261" t="n"/>
      <c r="E423" s="262">
        <f>IF(OR(C423="",D423=""),"",D423-C423)</f>
        <v/>
      </c>
      <c r="F423" s="75" t="n"/>
      <c r="G423" s="75" t="n"/>
      <c r="H423" s="75" t="n"/>
      <c r="I423" s="75" t="n"/>
      <c r="J423" s="75" t="n"/>
      <c r="K423" s="75" t="n"/>
      <c r="L423" s="75" t="n"/>
      <c r="M423" s="75" t="n"/>
      <c r="N423" s="75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226">
        <f>IF(AND(A423="",B423=""),"",IF(AND(A423&lt;&gt;"",B423&lt;&gt;"",C423&lt;&gt;"",D423&lt;&gt;"",F423&lt;&gt;"",G423&lt;&gt;"",H423&lt;&gt;"",ISERROR(SEARCH("по паспорту",G423)),ISERROR(SEARCH("по паспорту",H423)),I423&lt;&gt;"",J423&lt;&gt;"",K423&lt;&gt;"",L423&lt;&gt;"",M423&lt;&gt;""),"ГОТОВО","НЕ ГОТОВО"))</f>
        <v/>
      </c>
      <c r="Z423" s="226">
        <f>IF(Y423&lt;&gt;"ГОТОВО","", "Предварительное заключение: "&amp;A423&amp;", скв. "&amp;B423&amp;". МРП: "&amp;E423&amp;" сут. ГНО: "&amp;F423&amp;", типоразмер "&amp;G423&amp;", марка "&amp;H423&amp;". Событие: "&amp;I423&amp;". Признак: "&amp;J423&amp;". Узел: "&amp;K423&amp;". Предварительная причина: "&amp;L423&amp;". Основное осложнение: "&amp;M423&amp;IF(N423&lt;&gt;"","; сопутствующее: "&amp;N423,"")&amp;IF(O423&lt;&gt;"","; дополнительно: "&amp;O423,"")&amp;".")</f>
        <v/>
      </c>
    </row>
    <row r="424">
      <c r="A424" s="75" t="n"/>
      <c r="B424" s="75" t="n"/>
      <c r="C424" s="261" t="n"/>
      <c r="D424" s="261" t="n"/>
      <c r="E424" s="262">
        <f>IF(OR(C424="",D424=""),"",D424-C424)</f>
        <v/>
      </c>
      <c r="F424" s="75" t="n"/>
      <c r="G424" s="75" t="n"/>
      <c r="H424" s="75" t="n"/>
      <c r="I424" s="75" t="n"/>
      <c r="J424" s="75" t="n"/>
      <c r="K424" s="75" t="n"/>
      <c r="L424" s="75" t="n"/>
      <c r="M424" s="75" t="n"/>
      <c r="N424" s="75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226">
        <f>IF(AND(A424="",B424=""),"",IF(AND(A424&lt;&gt;"",B424&lt;&gt;"",C424&lt;&gt;"",D424&lt;&gt;"",F424&lt;&gt;"",G424&lt;&gt;"",H424&lt;&gt;"",ISERROR(SEARCH("по паспорту",G424)),ISERROR(SEARCH("по паспорту",H424)),I424&lt;&gt;"",J424&lt;&gt;"",K424&lt;&gt;"",L424&lt;&gt;"",M424&lt;&gt;""),"ГОТОВО","НЕ ГОТОВО"))</f>
        <v/>
      </c>
      <c r="Z424" s="226">
        <f>IF(Y424&lt;&gt;"ГОТОВО","", "Предварительное заключение: "&amp;A424&amp;", скв. "&amp;B424&amp;". МРП: "&amp;E424&amp;" сут. ГНО: "&amp;F424&amp;", типоразмер "&amp;G424&amp;", марка "&amp;H424&amp;". Событие: "&amp;I424&amp;". Признак: "&amp;J424&amp;". Узел: "&amp;K424&amp;". Предварительная причина: "&amp;L424&amp;". Основное осложнение: "&amp;M424&amp;IF(N424&lt;&gt;"","; сопутствующее: "&amp;N424,"")&amp;IF(O424&lt;&gt;"","; дополнительно: "&amp;O424,"")&amp;".")</f>
        <v/>
      </c>
    </row>
    <row r="425">
      <c r="A425" s="75" t="n"/>
      <c r="B425" s="75" t="n"/>
      <c r="C425" s="261" t="n"/>
      <c r="D425" s="261" t="n"/>
      <c r="E425" s="262">
        <f>IF(OR(C425="",D425=""),"",D425-C425)</f>
        <v/>
      </c>
      <c r="F425" s="75" t="n"/>
      <c r="G425" s="75" t="n"/>
      <c r="H425" s="75" t="n"/>
      <c r="I425" s="75" t="n"/>
      <c r="J425" s="75" t="n"/>
      <c r="K425" s="75" t="n"/>
      <c r="L425" s="75" t="n"/>
      <c r="M425" s="75" t="n"/>
      <c r="N425" s="75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226">
        <f>IF(AND(A425="",B425=""),"",IF(AND(A425&lt;&gt;"",B425&lt;&gt;"",C425&lt;&gt;"",D425&lt;&gt;"",F425&lt;&gt;"",G425&lt;&gt;"",H425&lt;&gt;"",ISERROR(SEARCH("по паспорту",G425)),ISERROR(SEARCH("по паспорту",H425)),I425&lt;&gt;"",J425&lt;&gt;"",K425&lt;&gt;"",L425&lt;&gt;"",M425&lt;&gt;""),"ГОТОВО","НЕ ГОТОВО"))</f>
        <v/>
      </c>
      <c r="Z425" s="226">
        <f>IF(Y425&lt;&gt;"ГОТОВО","", "Предварительное заключение: "&amp;A425&amp;", скв. "&amp;B425&amp;". МРП: "&amp;E425&amp;" сут. ГНО: "&amp;F425&amp;", типоразмер "&amp;G425&amp;", марка "&amp;H425&amp;". Событие: "&amp;I425&amp;". Признак: "&amp;J425&amp;". Узел: "&amp;K425&amp;". Предварительная причина: "&amp;L425&amp;". Основное осложнение: "&amp;M425&amp;IF(N425&lt;&gt;"","; сопутствующее: "&amp;N425,"")&amp;IF(O425&lt;&gt;"","; дополнительно: "&amp;O425,"")&amp;".")</f>
        <v/>
      </c>
    </row>
    <row r="426">
      <c r="A426" s="75" t="n"/>
      <c r="B426" s="75" t="n"/>
      <c r="C426" s="261" t="n"/>
      <c r="D426" s="261" t="n"/>
      <c r="E426" s="262">
        <f>IF(OR(C426="",D426=""),"",D426-C426)</f>
        <v/>
      </c>
      <c r="F426" s="75" t="n"/>
      <c r="G426" s="75" t="n"/>
      <c r="H426" s="75" t="n"/>
      <c r="I426" s="75" t="n"/>
      <c r="J426" s="75" t="n"/>
      <c r="K426" s="75" t="n"/>
      <c r="L426" s="75" t="n"/>
      <c r="M426" s="75" t="n"/>
      <c r="N426" s="75" t="n"/>
      <c r="O426" s="75" t="n"/>
      <c r="P426" s="75" t="n"/>
      <c r="Q426" s="75" t="n"/>
      <c r="R426" s="75" t="n"/>
      <c r="S426" s="75" t="n"/>
      <c r="T426" s="75" t="n"/>
      <c r="U426" s="75" t="n"/>
      <c r="V426" s="75" t="n"/>
      <c r="W426" s="75" t="n"/>
      <c r="X426" s="75" t="n"/>
      <c r="Y426" s="226">
        <f>IF(AND(A426="",B426=""),"",IF(AND(A426&lt;&gt;"",B426&lt;&gt;"",C426&lt;&gt;"",D426&lt;&gt;"",F426&lt;&gt;"",G426&lt;&gt;"",H426&lt;&gt;"",ISERROR(SEARCH("по паспорту",G426)),ISERROR(SEARCH("по паспорту",H426)),I426&lt;&gt;"",J426&lt;&gt;"",K426&lt;&gt;"",L426&lt;&gt;"",M426&lt;&gt;""),"ГОТОВО","НЕ ГОТОВО"))</f>
        <v/>
      </c>
      <c r="Z426" s="226">
        <f>IF(Y426&lt;&gt;"ГОТОВО","", "Предварительное заключение: "&amp;A426&amp;", скв. "&amp;B426&amp;". МРП: "&amp;E426&amp;" сут. ГНО: "&amp;F426&amp;", типоразмер "&amp;G426&amp;", марка "&amp;H426&amp;". Событие: "&amp;I426&amp;". Признак: "&amp;J426&amp;". Узел: "&amp;K426&amp;". Предварительная причина: "&amp;L426&amp;". Основное осложнение: "&amp;M426&amp;IF(N426&lt;&gt;"","; сопутствующее: "&amp;N426,"")&amp;IF(O426&lt;&gt;"","; дополнительно: "&amp;O426,"")&amp;".")</f>
        <v/>
      </c>
    </row>
    <row r="427">
      <c r="A427" s="75" t="n"/>
      <c r="B427" s="75" t="n"/>
      <c r="C427" s="261" t="n"/>
      <c r="D427" s="261" t="n"/>
      <c r="E427" s="262">
        <f>IF(OR(C427="",D427=""),"",D427-C427)</f>
        <v/>
      </c>
      <c r="F427" s="75" t="n"/>
      <c r="G427" s="75" t="n"/>
      <c r="H427" s="75" t="n"/>
      <c r="I427" s="75" t="n"/>
      <c r="J427" s="75" t="n"/>
      <c r="K427" s="75" t="n"/>
      <c r="L427" s="75" t="n"/>
      <c r="M427" s="75" t="n"/>
      <c r="N427" s="75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226">
        <f>IF(AND(A427="",B427=""),"",IF(AND(A427&lt;&gt;"",B427&lt;&gt;"",C427&lt;&gt;"",D427&lt;&gt;"",F427&lt;&gt;"",G427&lt;&gt;"",H427&lt;&gt;"",ISERROR(SEARCH("по паспорту",G427)),ISERROR(SEARCH("по паспорту",H427)),I427&lt;&gt;"",J427&lt;&gt;"",K427&lt;&gt;"",L427&lt;&gt;"",M427&lt;&gt;""),"ГОТОВО","НЕ ГОТОВО"))</f>
        <v/>
      </c>
      <c r="Z427" s="226">
        <f>IF(Y427&lt;&gt;"ГОТОВО","", "Предварительное заключение: "&amp;A427&amp;", скв. "&amp;B427&amp;". МРП: "&amp;E427&amp;" сут. ГНО: "&amp;F427&amp;", типоразмер "&amp;G427&amp;", марка "&amp;H427&amp;". Событие: "&amp;I427&amp;". Признак: "&amp;J427&amp;". Узел: "&amp;K427&amp;". Предварительная причина: "&amp;L427&amp;". Основное осложнение: "&amp;M427&amp;IF(N427&lt;&gt;"","; сопутствующее: "&amp;N427,"")&amp;IF(O427&lt;&gt;"","; дополнительно: "&amp;O427,"")&amp;".")</f>
        <v/>
      </c>
    </row>
    <row r="428">
      <c r="A428" s="75" t="n"/>
      <c r="B428" s="75" t="n"/>
      <c r="C428" s="261" t="n"/>
      <c r="D428" s="261" t="n"/>
      <c r="E428" s="262">
        <f>IF(OR(C428="",D428=""),"",D428-C428)</f>
        <v/>
      </c>
      <c r="F428" s="75" t="n"/>
      <c r="G428" s="75" t="n"/>
      <c r="H428" s="75" t="n"/>
      <c r="I428" s="75" t="n"/>
      <c r="J428" s="75" t="n"/>
      <c r="K428" s="75" t="n"/>
      <c r="L428" s="75" t="n"/>
      <c r="M428" s="75" t="n"/>
      <c r="N428" s="75" t="n"/>
      <c r="O428" s="75" t="n"/>
      <c r="P428" s="75" t="n"/>
      <c r="Q428" s="75" t="n"/>
      <c r="R428" s="75" t="n"/>
      <c r="S428" s="75" t="n"/>
      <c r="T428" s="75" t="n"/>
      <c r="U428" s="75" t="n"/>
      <c r="V428" s="75" t="n"/>
      <c r="W428" s="75" t="n"/>
      <c r="X428" s="75" t="n"/>
      <c r="Y428" s="226">
        <f>IF(AND(A428="",B428=""),"",IF(AND(A428&lt;&gt;"",B428&lt;&gt;"",C428&lt;&gt;"",D428&lt;&gt;"",F428&lt;&gt;"",G428&lt;&gt;"",H428&lt;&gt;"",ISERROR(SEARCH("по паспорту",G428)),ISERROR(SEARCH("по паспорту",H428)),I428&lt;&gt;"",J428&lt;&gt;"",K428&lt;&gt;"",L428&lt;&gt;"",M428&lt;&gt;""),"ГОТОВО","НЕ ГОТОВО"))</f>
        <v/>
      </c>
      <c r="Z428" s="226">
        <f>IF(Y428&lt;&gt;"ГОТОВО","", "Предварительное заключение: "&amp;A428&amp;", скв. "&amp;B428&amp;". МРП: "&amp;E428&amp;" сут. ГНО: "&amp;F428&amp;", типоразмер "&amp;G428&amp;", марка "&amp;H428&amp;". Событие: "&amp;I428&amp;". Признак: "&amp;J428&amp;". Узел: "&amp;K428&amp;". Предварительная причина: "&amp;L428&amp;". Основное осложнение: "&amp;M428&amp;IF(N428&lt;&gt;"","; сопутствующее: "&amp;N428,"")&amp;IF(O428&lt;&gt;"","; дополнительно: "&amp;O428,"")&amp;".")</f>
        <v/>
      </c>
    </row>
    <row r="429">
      <c r="A429" s="75" t="n"/>
      <c r="B429" s="75" t="n"/>
      <c r="C429" s="261" t="n"/>
      <c r="D429" s="261" t="n"/>
      <c r="E429" s="262">
        <f>IF(OR(C429="",D429=""),"",D429-C429)</f>
        <v/>
      </c>
      <c r="F429" s="75" t="n"/>
      <c r="G429" s="75" t="n"/>
      <c r="H429" s="75" t="n"/>
      <c r="I429" s="75" t="n"/>
      <c r="J429" s="75" t="n"/>
      <c r="K429" s="75" t="n"/>
      <c r="L429" s="75" t="n"/>
      <c r="M429" s="75" t="n"/>
      <c r="N429" s="75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226">
        <f>IF(AND(A429="",B429=""),"",IF(AND(A429&lt;&gt;"",B429&lt;&gt;"",C429&lt;&gt;"",D429&lt;&gt;"",F429&lt;&gt;"",G429&lt;&gt;"",H429&lt;&gt;"",ISERROR(SEARCH("по паспорту",G429)),ISERROR(SEARCH("по паспорту",H429)),I429&lt;&gt;"",J429&lt;&gt;"",K429&lt;&gt;"",L429&lt;&gt;"",M429&lt;&gt;""),"ГОТОВО","НЕ ГОТОВО"))</f>
        <v/>
      </c>
      <c r="Z429" s="226">
        <f>IF(Y429&lt;&gt;"ГОТОВО","", "Предварительное заключение: "&amp;A429&amp;", скв. "&amp;B429&amp;". МРП: "&amp;E429&amp;" сут. ГНО: "&amp;F429&amp;", типоразмер "&amp;G429&amp;", марка "&amp;H429&amp;". Событие: "&amp;I429&amp;". Признак: "&amp;J429&amp;". Узел: "&amp;K429&amp;". Предварительная причина: "&amp;L429&amp;". Основное осложнение: "&amp;M429&amp;IF(N429&lt;&gt;"","; сопутствующее: "&amp;N429,"")&amp;IF(O429&lt;&gt;"","; дополнительно: "&amp;O429,"")&amp;".")</f>
        <v/>
      </c>
    </row>
    <row r="430">
      <c r="A430" s="75" t="n"/>
      <c r="B430" s="75" t="n"/>
      <c r="C430" s="261" t="n"/>
      <c r="D430" s="261" t="n"/>
      <c r="E430" s="262">
        <f>IF(OR(C430="",D430=""),"",D430-C430)</f>
        <v/>
      </c>
      <c r="F430" s="75" t="n"/>
      <c r="G430" s="75" t="n"/>
      <c r="H430" s="75" t="n"/>
      <c r="I430" s="75" t="n"/>
      <c r="J430" s="75" t="n"/>
      <c r="K430" s="75" t="n"/>
      <c r="L430" s="75" t="n"/>
      <c r="M430" s="75" t="n"/>
      <c r="N430" s="75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226">
        <f>IF(AND(A430="",B430=""),"",IF(AND(A430&lt;&gt;"",B430&lt;&gt;"",C430&lt;&gt;"",D430&lt;&gt;"",F430&lt;&gt;"",G430&lt;&gt;"",H430&lt;&gt;"",ISERROR(SEARCH("по паспорту",G430)),ISERROR(SEARCH("по паспорту",H430)),I430&lt;&gt;"",J430&lt;&gt;"",K430&lt;&gt;"",L430&lt;&gt;"",M430&lt;&gt;""),"ГОТОВО","НЕ ГОТОВО"))</f>
        <v/>
      </c>
      <c r="Z430" s="226">
        <f>IF(Y430&lt;&gt;"ГОТОВО","", "Предварительное заключение: "&amp;A430&amp;", скв. "&amp;B430&amp;". МРП: "&amp;E430&amp;" сут. ГНО: "&amp;F430&amp;", типоразмер "&amp;G430&amp;", марка "&amp;H430&amp;". Событие: "&amp;I430&amp;". Признак: "&amp;J430&amp;". Узел: "&amp;K430&amp;". Предварительная причина: "&amp;L430&amp;". Основное осложнение: "&amp;M430&amp;IF(N430&lt;&gt;"","; сопутствующее: "&amp;N430,"")&amp;IF(O430&lt;&gt;"","; дополнительно: "&amp;O430,"")&amp;".")</f>
        <v/>
      </c>
    </row>
    <row r="431">
      <c r="A431" s="75" t="n"/>
      <c r="B431" s="75" t="n"/>
      <c r="C431" s="261" t="n"/>
      <c r="D431" s="261" t="n"/>
      <c r="E431" s="262">
        <f>IF(OR(C431="",D431=""),"",D431-C431)</f>
        <v/>
      </c>
      <c r="F431" s="75" t="n"/>
      <c r="G431" s="75" t="n"/>
      <c r="H431" s="75" t="n"/>
      <c r="I431" s="75" t="n"/>
      <c r="J431" s="75" t="n"/>
      <c r="K431" s="75" t="n"/>
      <c r="L431" s="75" t="n"/>
      <c r="M431" s="75" t="n"/>
      <c r="N431" s="75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226">
        <f>IF(AND(A431="",B431=""),"",IF(AND(A431&lt;&gt;"",B431&lt;&gt;"",C431&lt;&gt;"",D431&lt;&gt;"",F431&lt;&gt;"",G431&lt;&gt;"",H431&lt;&gt;"",ISERROR(SEARCH("по паспорту",G431)),ISERROR(SEARCH("по паспорту",H431)),I431&lt;&gt;"",J431&lt;&gt;"",K431&lt;&gt;"",L431&lt;&gt;"",M431&lt;&gt;""),"ГОТОВО","НЕ ГОТОВО"))</f>
        <v/>
      </c>
      <c r="Z431" s="226">
        <f>IF(Y431&lt;&gt;"ГОТОВО","", "Предварительное заключение: "&amp;A431&amp;", скв. "&amp;B431&amp;". МРП: "&amp;E431&amp;" сут. ГНО: "&amp;F431&amp;", типоразмер "&amp;G431&amp;", марка "&amp;H431&amp;". Событие: "&amp;I431&amp;". Признак: "&amp;J431&amp;". Узел: "&amp;K431&amp;". Предварительная причина: "&amp;L431&amp;". Основное осложнение: "&amp;M431&amp;IF(N431&lt;&gt;"","; сопутствующее: "&amp;N431,"")&amp;IF(O431&lt;&gt;"","; дополнительно: "&amp;O431,"")&amp;".")</f>
        <v/>
      </c>
    </row>
    <row r="432">
      <c r="A432" s="75" t="n"/>
      <c r="B432" s="75" t="n"/>
      <c r="C432" s="261" t="n"/>
      <c r="D432" s="261" t="n"/>
      <c r="E432" s="262">
        <f>IF(OR(C432="",D432=""),"",D432-C432)</f>
        <v/>
      </c>
      <c r="F432" s="75" t="n"/>
      <c r="G432" s="75" t="n"/>
      <c r="H432" s="75" t="n"/>
      <c r="I432" s="75" t="n"/>
      <c r="J432" s="75" t="n"/>
      <c r="K432" s="75" t="n"/>
      <c r="L432" s="75" t="n"/>
      <c r="M432" s="75" t="n"/>
      <c r="N432" s="75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226">
        <f>IF(AND(A432="",B432=""),"",IF(AND(A432&lt;&gt;"",B432&lt;&gt;"",C432&lt;&gt;"",D432&lt;&gt;"",F432&lt;&gt;"",G432&lt;&gt;"",H432&lt;&gt;"",ISERROR(SEARCH("по паспорту",G432)),ISERROR(SEARCH("по паспорту",H432)),I432&lt;&gt;"",J432&lt;&gt;"",K432&lt;&gt;"",L432&lt;&gt;"",M432&lt;&gt;""),"ГОТОВО","НЕ ГОТОВО"))</f>
        <v/>
      </c>
      <c r="Z432" s="226">
        <f>IF(Y432&lt;&gt;"ГОТОВО","", "Предварительное заключение: "&amp;A432&amp;", скв. "&amp;B432&amp;". МРП: "&amp;E432&amp;" сут. ГНО: "&amp;F432&amp;", типоразмер "&amp;G432&amp;", марка "&amp;H432&amp;". Событие: "&amp;I432&amp;". Признак: "&amp;J432&amp;". Узел: "&amp;K432&amp;". Предварительная причина: "&amp;L432&amp;". Основное осложнение: "&amp;M432&amp;IF(N432&lt;&gt;"","; сопутствующее: "&amp;N432,"")&amp;IF(O432&lt;&gt;"","; дополнительно: "&amp;O432,"")&amp;".")</f>
        <v/>
      </c>
    </row>
    <row r="433">
      <c r="A433" s="75" t="n"/>
      <c r="B433" s="75" t="n"/>
      <c r="C433" s="261" t="n"/>
      <c r="D433" s="261" t="n"/>
      <c r="E433" s="262">
        <f>IF(OR(C433="",D433=""),"",D433-C433)</f>
        <v/>
      </c>
      <c r="F433" s="75" t="n"/>
      <c r="G433" s="75" t="n"/>
      <c r="H433" s="75" t="n"/>
      <c r="I433" s="75" t="n"/>
      <c r="J433" s="75" t="n"/>
      <c r="K433" s="75" t="n"/>
      <c r="L433" s="75" t="n"/>
      <c r="M433" s="75" t="n"/>
      <c r="N433" s="75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226">
        <f>IF(AND(A433="",B433=""),"",IF(AND(A433&lt;&gt;"",B433&lt;&gt;"",C433&lt;&gt;"",D433&lt;&gt;"",F433&lt;&gt;"",G433&lt;&gt;"",H433&lt;&gt;"",ISERROR(SEARCH("по паспорту",G433)),ISERROR(SEARCH("по паспорту",H433)),I433&lt;&gt;"",J433&lt;&gt;"",K433&lt;&gt;"",L433&lt;&gt;"",M433&lt;&gt;""),"ГОТОВО","НЕ ГОТОВО"))</f>
        <v/>
      </c>
      <c r="Z433" s="226">
        <f>IF(Y433&lt;&gt;"ГОТОВО","", "Предварительное заключение: "&amp;A433&amp;", скв. "&amp;B433&amp;". МРП: "&amp;E433&amp;" сут. ГНО: "&amp;F433&amp;", типоразмер "&amp;G433&amp;", марка "&amp;H433&amp;". Событие: "&amp;I433&amp;". Признак: "&amp;J433&amp;". Узел: "&amp;K433&amp;". Предварительная причина: "&amp;L433&amp;". Основное осложнение: "&amp;M433&amp;IF(N433&lt;&gt;"","; сопутствующее: "&amp;N433,"")&amp;IF(O433&lt;&gt;"","; дополнительно: "&amp;O433,"")&amp;".")</f>
        <v/>
      </c>
    </row>
    <row r="434">
      <c r="A434" s="75" t="n"/>
      <c r="B434" s="75" t="n"/>
      <c r="C434" s="261" t="n"/>
      <c r="D434" s="261" t="n"/>
      <c r="E434" s="262">
        <f>IF(OR(C434="",D434=""),"",D434-C434)</f>
        <v/>
      </c>
      <c r="F434" s="75" t="n"/>
      <c r="G434" s="75" t="n"/>
      <c r="H434" s="75" t="n"/>
      <c r="I434" s="75" t="n"/>
      <c r="J434" s="75" t="n"/>
      <c r="K434" s="75" t="n"/>
      <c r="L434" s="75" t="n"/>
      <c r="M434" s="75" t="n"/>
      <c r="N434" s="75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226">
        <f>IF(AND(A434="",B434=""),"",IF(AND(A434&lt;&gt;"",B434&lt;&gt;"",C434&lt;&gt;"",D434&lt;&gt;"",F434&lt;&gt;"",G434&lt;&gt;"",H434&lt;&gt;"",ISERROR(SEARCH("по паспорту",G434)),ISERROR(SEARCH("по паспорту",H434)),I434&lt;&gt;"",J434&lt;&gt;"",K434&lt;&gt;"",L434&lt;&gt;"",M434&lt;&gt;""),"ГОТОВО","НЕ ГОТОВО"))</f>
        <v/>
      </c>
      <c r="Z434" s="226">
        <f>IF(Y434&lt;&gt;"ГОТОВО","", "Предварительное заключение: "&amp;A434&amp;", скв. "&amp;B434&amp;". МРП: "&amp;E434&amp;" сут. ГНО: "&amp;F434&amp;", типоразмер "&amp;G434&amp;", марка "&amp;H434&amp;". Событие: "&amp;I434&amp;". Признак: "&amp;J434&amp;". Узел: "&amp;K434&amp;". Предварительная причина: "&amp;L434&amp;". Основное осложнение: "&amp;M434&amp;IF(N434&lt;&gt;"","; сопутствующее: "&amp;N434,"")&amp;IF(O434&lt;&gt;"","; дополнительно: "&amp;O434,"")&amp;".")</f>
        <v/>
      </c>
    </row>
    <row r="435">
      <c r="A435" s="75" t="n"/>
      <c r="B435" s="75" t="n"/>
      <c r="C435" s="261" t="n"/>
      <c r="D435" s="261" t="n"/>
      <c r="E435" s="262">
        <f>IF(OR(C435="",D435=""),"",D435-C435)</f>
        <v/>
      </c>
      <c r="F435" s="75" t="n"/>
      <c r="G435" s="75" t="n"/>
      <c r="H435" s="75" t="n"/>
      <c r="I435" s="75" t="n"/>
      <c r="J435" s="75" t="n"/>
      <c r="K435" s="75" t="n"/>
      <c r="L435" s="75" t="n"/>
      <c r="M435" s="75" t="n"/>
      <c r="N435" s="75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226">
        <f>IF(AND(A435="",B435=""),"",IF(AND(A435&lt;&gt;"",B435&lt;&gt;"",C435&lt;&gt;"",D435&lt;&gt;"",F435&lt;&gt;"",G435&lt;&gt;"",H435&lt;&gt;"",ISERROR(SEARCH("по паспорту",G435)),ISERROR(SEARCH("по паспорту",H435)),I435&lt;&gt;"",J435&lt;&gt;"",K435&lt;&gt;"",L435&lt;&gt;"",M435&lt;&gt;""),"ГОТОВО","НЕ ГОТОВО"))</f>
        <v/>
      </c>
      <c r="Z435" s="226">
        <f>IF(Y435&lt;&gt;"ГОТОВО","", "Предварительное заключение: "&amp;A435&amp;", скв. "&amp;B435&amp;". МРП: "&amp;E435&amp;" сут. ГНО: "&amp;F435&amp;", типоразмер "&amp;G435&amp;", марка "&amp;H435&amp;". Событие: "&amp;I435&amp;". Признак: "&amp;J435&amp;". Узел: "&amp;K435&amp;". Предварительная причина: "&amp;L435&amp;". Основное осложнение: "&amp;M435&amp;IF(N435&lt;&gt;"","; сопутствующее: "&amp;N435,"")&amp;IF(O435&lt;&gt;"","; дополнительно: "&amp;O435,"")&amp;".")</f>
        <v/>
      </c>
    </row>
    <row r="436">
      <c r="A436" s="75" t="n"/>
      <c r="B436" s="75" t="n"/>
      <c r="C436" s="261" t="n"/>
      <c r="D436" s="261" t="n"/>
      <c r="E436" s="262">
        <f>IF(OR(C436="",D436=""),"",D436-C436)</f>
        <v/>
      </c>
      <c r="F436" s="75" t="n"/>
      <c r="G436" s="75" t="n"/>
      <c r="H436" s="75" t="n"/>
      <c r="I436" s="75" t="n"/>
      <c r="J436" s="75" t="n"/>
      <c r="K436" s="75" t="n"/>
      <c r="L436" s="75" t="n"/>
      <c r="M436" s="75" t="n"/>
      <c r="N436" s="75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226">
        <f>IF(AND(A436="",B436=""),"",IF(AND(A436&lt;&gt;"",B436&lt;&gt;"",C436&lt;&gt;"",D436&lt;&gt;"",F436&lt;&gt;"",G436&lt;&gt;"",H436&lt;&gt;"",ISERROR(SEARCH("по паспорту",G436)),ISERROR(SEARCH("по паспорту",H436)),I436&lt;&gt;"",J436&lt;&gt;"",K436&lt;&gt;"",L436&lt;&gt;"",M436&lt;&gt;""),"ГОТОВО","НЕ ГОТОВО"))</f>
        <v/>
      </c>
      <c r="Z436" s="226">
        <f>IF(Y436&lt;&gt;"ГОТОВО","", "Предварительное заключение: "&amp;A436&amp;", скв. "&amp;B436&amp;". МРП: "&amp;E436&amp;" сут. ГНО: "&amp;F436&amp;", типоразмер "&amp;G436&amp;", марка "&amp;H436&amp;". Событие: "&amp;I436&amp;". Признак: "&amp;J436&amp;". Узел: "&amp;K436&amp;". Предварительная причина: "&amp;L436&amp;". Основное осложнение: "&amp;M436&amp;IF(N436&lt;&gt;"","; сопутствующее: "&amp;N436,"")&amp;IF(O436&lt;&gt;"","; дополнительно: "&amp;O436,"")&amp;".")</f>
        <v/>
      </c>
    </row>
    <row r="437">
      <c r="A437" s="75" t="n"/>
      <c r="B437" s="75" t="n"/>
      <c r="C437" s="261" t="n"/>
      <c r="D437" s="261" t="n"/>
      <c r="E437" s="262">
        <f>IF(OR(C437="",D437=""),"",D437-C437)</f>
        <v/>
      </c>
      <c r="F437" s="75" t="n"/>
      <c r="G437" s="75" t="n"/>
      <c r="H437" s="75" t="n"/>
      <c r="I437" s="75" t="n"/>
      <c r="J437" s="75" t="n"/>
      <c r="K437" s="75" t="n"/>
      <c r="L437" s="75" t="n"/>
      <c r="M437" s="75" t="n"/>
      <c r="N437" s="75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226">
        <f>IF(AND(A437="",B437=""),"",IF(AND(A437&lt;&gt;"",B437&lt;&gt;"",C437&lt;&gt;"",D437&lt;&gt;"",F437&lt;&gt;"",G437&lt;&gt;"",H437&lt;&gt;"",ISERROR(SEARCH("по паспорту",G437)),ISERROR(SEARCH("по паспорту",H437)),I437&lt;&gt;"",J437&lt;&gt;"",K437&lt;&gt;"",L437&lt;&gt;"",M437&lt;&gt;""),"ГОТОВО","НЕ ГОТОВО"))</f>
        <v/>
      </c>
      <c r="Z437" s="226">
        <f>IF(Y437&lt;&gt;"ГОТОВО","", "Предварительное заключение: "&amp;A437&amp;", скв. "&amp;B437&amp;". МРП: "&amp;E437&amp;" сут. ГНО: "&amp;F437&amp;", типоразмер "&amp;G437&amp;", марка "&amp;H437&amp;". Событие: "&amp;I437&amp;". Признак: "&amp;J437&amp;". Узел: "&amp;K437&amp;". Предварительная причина: "&amp;L437&amp;". Основное осложнение: "&amp;M437&amp;IF(N437&lt;&gt;"","; сопутствующее: "&amp;N437,"")&amp;IF(O437&lt;&gt;"","; дополнительно: "&amp;O437,"")&amp;".")</f>
        <v/>
      </c>
    </row>
    <row r="438">
      <c r="A438" s="75" t="n"/>
      <c r="B438" s="75" t="n"/>
      <c r="C438" s="261" t="n"/>
      <c r="D438" s="261" t="n"/>
      <c r="E438" s="262">
        <f>IF(OR(C438="",D438=""),"",D438-C438)</f>
        <v/>
      </c>
      <c r="F438" s="75" t="n"/>
      <c r="G438" s="75" t="n"/>
      <c r="H438" s="75" t="n"/>
      <c r="I438" s="75" t="n"/>
      <c r="J438" s="75" t="n"/>
      <c r="K438" s="75" t="n"/>
      <c r="L438" s="75" t="n"/>
      <c r="M438" s="75" t="n"/>
      <c r="N438" s="75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226">
        <f>IF(AND(A438="",B438=""),"",IF(AND(A438&lt;&gt;"",B438&lt;&gt;"",C438&lt;&gt;"",D438&lt;&gt;"",F438&lt;&gt;"",G438&lt;&gt;"",H438&lt;&gt;"",ISERROR(SEARCH("по паспорту",G438)),ISERROR(SEARCH("по паспорту",H438)),I438&lt;&gt;"",J438&lt;&gt;"",K438&lt;&gt;"",L438&lt;&gt;"",M438&lt;&gt;""),"ГОТОВО","НЕ ГОТОВО"))</f>
        <v/>
      </c>
      <c r="Z438" s="226">
        <f>IF(Y438&lt;&gt;"ГОТОВО","", "Предварительное заключение: "&amp;A438&amp;", скв. "&amp;B438&amp;". МРП: "&amp;E438&amp;" сут. ГНО: "&amp;F438&amp;", типоразмер "&amp;G438&amp;", марка "&amp;H438&amp;". Событие: "&amp;I438&amp;". Признак: "&amp;J438&amp;". Узел: "&amp;K438&amp;". Предварительная причина: "&amp;L438&amp;". Основное осложнение: "&amp;M438&amp;IF(N438&lt;&gt;"","; сопутствующее: "&amp;N438,"")&amp;IF(O438&lt;&gt;"","; дополнительно: "&amp;O438,"")&amp;".")</f>
        <v/>
      </c>
    </row>
    <row r="439">
      <c r="A439" s="75" t="n"/>
      <c r="B439" s="75" t="n"/>
      <c r="C439" s="261" t="n"/>
      <c r="D439" s="261" t="n"/>
      <c r="E439" s="262">
        <f>IF(OR(C439="",D439=""),"",D439-C439)</f>
        <v/>
      </c>
      <c r="F439" s="75" t="n"/>
      <c r="G439" s="75" t="n"/>
      <c r="H439" s="75" t="n"/>
      <c r="I439" s="75" t="n"/>
      <c r="J439" s="75" t="n"/>
      <c r="K439" s="75" t="n"/>
      <c r="L439" s="75" t="n"/>
      <c r="M439" s="75" t="n"/>
      <c r="N439" s="75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226">
        <f>IF(AND(A439="",B439=""),"",IF(AND(A439&lt;&gt;"",B439&lt;&gt;"",C439&lt;&gt;"",D439&lt;&gt;"",F439&lt;&gt;"",G439&lt;&gt;"",H439&lt;&gt;"",ISERROR(SEARCH("по паспорту",G439)),ISERROR(SEARCH("по паспорту",H439)),I439&lt;&gt;"",J439&lt;&gt;"",K439&lt;&gt;"",L439&lt;&gt;"",M439&lt;&gt;""),"ГОТОВО","НЕ ГОТОВО"))</f>
        <v/>
      </c>
      <c r="Z439" s="226">
        <f>IF(Y439&lt;&gt;"ГОТОВО","", "Предварительное заключение: "&amp;A439&amp;", скв. "&amp;B439&amp;". МРП: "&amp;E439&amp;" сут. ГНО: "&amp;F439&amp;", типоразмер "&amp;G439&amp;", марка "&amp;H439&amp;". Событие: "&amp;I439&amp;". Признак: "&amp;J439&amp;". Узел: "&amp;K439&amp;". Предварительная причина: "&amp;L439&amp;". Основное осложнение: "&amp;M439&amp;IF(N439&lt;&gt;"","; сопутствующее: "&amp;N439,"")&amp;IF(O439&lt;&gt;"","; дополнительно: "&amp;O439,"")&amp;".")</f>
        <v/>
      </c>
    </row>
    <row r="440">
      <c r="A440" s="75" t="n"/>
      <c r="B440" s="75" t="n"/>
      <c r="C440" s="261" t="n"/>
      <c r="D440" s="261" t="n"/>
      <c r="E440" s="262">
        <f>IF(OR(C440="",D440=""),"",D440-C440)</f>
        <v/>
      </c>
      <c r="F440" s="75" t="n"/>
      <c r="G440" s="75" t="n"/>
      <c r="H440" s="75" t="n"/>
      <c r="I440" s="75" t="n"/>
      <c r="J440" s="75" t="n"/>
      <c r="K440" s="75" t="n"/>
      <c r="L440" s="75" t="n"/>
      <c r="M440" s="75" t="n"/>
      <c r="N440" s="75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226">
        <f>IF(AND(A440="",B440=""),"",IF(AND(A440&lt;&gt;"",B440&lt;&gt;"",C440&lt;&gt;"",D440&lt;&gt;"",F440&lt;&gt;"",G440&lt;&gt;"",H440&lt;&gt;"",ISERROR(SEARCH("по паспорту",G440)),ISERROR(SEARCH("по паспорту",H440)),I440&lt;&gt;"",J440&lt;&gt;"",K440&lt;&gt;"",L440&lt;&gt;"",M440&lt;&gt;""),"ГОТОВО","НЕ ГОТОВО"))</f>
        <v/>
      </c>
      <c r="Z440" s="226">
        <f>IF(Y440&lt;&gt;"ГОТОВО","", "Предварительное заключение: "&amp;A440&amp;", скв. "&amp;B440&amp;". МРП: "&amp;E440&amp;" сут. ГНО: "&amp;F440&amp;", типоразмер "&amp;G440&amp;", марка "&amp;H440&amp;". Событие: "&amp;I440&amp;". Признак: "&amp;J440&amp;". Узел: "&amp;K440&amp;". Предварительная причина: "&amp;L440&amp;". Основное осложнение: "&amp;M440&amp;IF(N440&lt;&gt;"","; сопутствующее: "&amp;N440,"")&amp;IF(O440&lt;&gt;"","; дополнительно: "&amp;O440,"")&amp;".")</f>
        <v/>
      </c>
    </row>
    <row r="441">
      <c r="A441" s="75" t="n"/>
      <c r="B441" s="75" t="n"/>
      <c r="C441" s="261" t="n"/>
      <c r="D441" s="261" t="n"/>
      <c r="E441" s="262">
        <f>IF(OR(C441="",D441=""),"",D441-C441)</f>
        <v/>
      </c>
      <c r="F441" s="75" t="n"/>
      <c r="G441" s="75" t="n"/>
      <c r="H441" s="75" t="n"/>
      <c r="I441" s="75" t="n"/>
      <c r="J441" s="75" t="n"/>
      <c r="K441" s="75" t="n"/>
      <c r="L441" s="75" t="n"/>
      <c r="M441" s="75" t="n"/>
      <c r="N441" s="75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226">
        <f>IF(AND(A441="",B441=""),"",IF(AND(A441&lt;&gt;"",B441&lt;&gt;"",C441&lt;&gt;"",D441&lt;&gt;"",F441&lt;&gt;"",G441&lt;&gt;"",H441&lt;&gt;"",ISERROR(SEARCH("по паспорту",G441)),ISERROR(SEARCH("по паспорту",H441)),I441&lt;&gt;"",J441&lt;&gt;"",K441&lt;&gt;"",L441&lt;&gt;"",M441&lt;&gt;""),"ГОТОВО","НЕ ГОТОВО"))</f>
        <v/>
      </c>
      <c r="Z441" s="226">
        <f>IF(Y441&lt;&gt;"ГОТОВО","", "Предварительное заключение: "&amp;A441&amp;", скв. "&amp;B441&amp;". МРП: "&amp;E441&amp;" сут. ГНО: "&amp;F441&amp;", типоразмер "&amp;G441&amp;", марка "&amp;H441&amp;". Событие: "&amp;I441&amp;". Признак: "&amp;J441&amp;". Узел: "&amp;K441&amp;". Предварительная причина: "&amp;L441&amp;". Основное осложнение: "&amp;M441&amp;IF(N441&lt;&gt;"","; сопутствующее: "&amp;N441,"")&amp;IF(O441&lt;&gt;"","; дополнительно: "&amp;O441,"")&amp;".")</f>
        <v/>
      </c>
    </row>
    <row r="442">
      <c r="A442" s="75" t="n"/>
      <c r="B442" s="75" t="n"/>
      <c r="C442" s="261" t="n"/>
      <c r="D442" s="261" t="n"/>
      <c r="E442" s="262">
        <f>IF(OR(C442="",D442=""),"",D442-C442)</f>
        <v/>
      </c>
      <c r="F442" s="75" t="n"/>
      <c r="G442" s="75" t="n"/>
      <c r="H442" s="75" t="n"/>
      <c r="I442" s="75" t="n"/>
      <c r="J442" s="75" t="n"/>
      <c r="K442" s="75" t="n"/>
      <c r="L442" s="75" t="n"/>
      <c r="M442" s="75" t="n"/>
      <c r="N442" s="75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226">
        <f>IF(AND(A442="",B442=""),"",IF(AND(A442&lt;&gt;"",B442&lt;&gt;"",C442&lt;&gt;"",D442&lt;&gt;"",F442&lt;&gt;"",G442&lt;&gt;"",H442&lt;&gt;"",ISERROR(SEARCH("по паспорту",G442)),ISERROR(SEARCH("по паспорту",H442)),I442&lt;&gt;"",J442&lt;&gt;"",K442&lt;&gt;"",L442&lt;&gt;"",M442&lt;&gt;""),"ГОТОВО","НЕ ГОТОВО"))</f>
        <v/>
      </c>
      <c r="Z442" s="226">
        <f>IF(Y442&lt;&gt;"ГОТОВО","", "Предварительное заключение: "&amp;A442&amp;", скв. "&amp;B442&amp;". МРП: "&amp;E442&amp;" сут. ГНО: "&amp;F442&amp;", типоразмер "&amp;G442&amp;", марка "&amp;H442&amp;". Событие: "&amp;I442&amp;". Признак: "&amp;J442&amp;". Узел: "&amp;K442&amp;". Предварительная причина: "&amp;L442&amp;". Основное осложнение: "&amp;M442&amp;IF(N442&lt;&gt;"","; сопутствующее: "&amp;N442,"")&amp;IF(O442&lt;&gt;"","; дополнительно: "&amp;O442,"")&amp;".")</f>
        <v/>
      </c>
    </row>
    <row r="443">
      <c r="A443" s="75" t="n"/>
      <c r="B443" s="75" t="n"/>
      <c r="C443" s="261" t="n"/>
      <c r="D443" s="261" t="n"/>
      <c r="E443" s="262">
        <f>IF(OR(C443="",D443=""),"",D443-C443)</f>
        <v/>
      </c>
      <c r="F443" s="75" t="n"/>
      <c r="G443" s="75" t="n"/>
      <c r="H443" s="75" t="n"/>
      <c r="I443" s="75" t="n"/>
      <c r="J443" s="75" t="n"/>
      <c r="K443" s="75" t="n"/>
      <c r="L443" s="75" t="n"/>
      <c r="M443" s="75" t="n"/>
      <c r="N443" s="75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226">
        <f>IF(AND(A443="",B443=""),"",IF(AND(A443&lt;&gt;"",B443&lt;&gt;"",C443&lt;&gt;"",D443&lt;&gt;"",F443&lt;&gt;"",G443&lt;&gt;"",H443&lt;&gt;"",ISERROR(SEARCH("по паспорту",G443)),ISERROR(SEARCH("по паспорту",H443)),I443&lt;&gt;"",J443&lt;&gt;"",K443&lt;&gt;"",L443&lt;&gt;"",M443&lt;&gt;""),"ГОТОВО","НЕ ГОТОВО"))</f>
        <v/>
      </c>
      <c r="Z443" s="226">
        <f>IF(Y443&lt;&gt;"ГОТОВО","", "Предварительное заключение: "&amp;A443&amp;", скв. "&amp;B443&amp;". МРП: "&amp;E443&amp;" сут. ГНО: "&amp;F443&amp;", типоразмер "&amp;G443&amp;", марка "&amp;H443&amp;". Событие: "&amp;I443&amp;". Признак: "&amp;J443&amp;". Узел: "&amp;K443&amp;". Предварительная причина: "&amp;L443&amp;". Основное осложнение: "&amp;M443&amp;IF(N443&lt;&gt;"","; сопутствующее: "&amp;N443,"")&amp;IF(O443&lt;&gt;"","; дополнительно: "&amp;O443,"")&amp;".")</f>
        <v/>
      </c>
    </row>
    <row r="444">
      <c r="A444" s="75" t="n"/>
      <c r="B444" s="75" t="n"/>
      <c r="C444" s="261" t="n"/>
      <c r="D444" s="261" t="n"/>
      <c r="E444" s="262">
        <f>IF(OR(C444="",D444=""),"",D444-C444)</f>
        <v/>
      </c>
      <c r="F444" s="75" t="n"/>
      <c r="G444" s="75" t="n"/>
      <c r="H444" s="75" t="n"/>
      <c r="I444" s="75" t="n"/>
      <c r="J444" s="75" t="n"/>
      <c r="K444" s="75" t="n"/>
      <c r="L444" s="75" t="n"/>
      <c r="M444" s="75" t="n"/>
      <c r="N444" s="75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226">
        <f>IF(AND(A444="",B444=""),"",IF(AND(A444&lt;&gt;"",B444&lt;&gt;"",C444&lt;&gt;"",D444&lt;&gt;"",F444&lt;&gt;"",G444&lt;&gt;"",H444&lt;&gt;"",ISERROR(SEARCH("по паспорту",G444)),ISERROR(SEARCH("по паспорту",H444)),I444&lt;&gt;"",J444&lt;&gt;"",K444&lt;&gt;"",L444&lt;&gt;"",M444&lt;&gt;""),"ГОТОВО","НЕ ГОТОВО"))</f>
        <v/>
      </c>
      <c r="Z444" s="226">
        <f>IF(Y444&lt;&gt;"ГОТОВО","", "Предварительное заключение: "&amp;A444&amp;", скв. "&amp;B444&amp;". МРП: "&amp;E444&amp;" сут. ГНО: "&amp;F444&amp;", типоразмер "&amp;G444&amp;", марка "&amp;H444&amp;". Событие: "&amp;I444&amp;". Признак: "&amp;J444&amp;". Узел: "&amp;K444&amp;". Предварительная причина: "&amp;L444&amp;". Основное осложнение: "&amp;M444&amp;IF(N444&lt;&gt;"","; сопутствующее: "&amp;N444,"")&amp;IF(O444&lt;&gt;"","; дополнительно: "&amp;O444,"")&amp;".")</f>
        <v/>
      </c>
    </row>
    <row r="445">
      <c r="A445" s="75" t="n"/>
      <c r="B445" s="75" t="n"/>
      <c r="C445" s="261" t="n"/>
      <c r="D445" s="261" t="n"/>
      <c r="E445" s="262">
        <f>IF(OR(C445="",D445=""),"",D445-C445)</f>
        <v/>
      </c>
      <c r="F445" s="75" t="n"/>
      <c r="G445" s="75" t="n"/>
      <c r="H445" s="75" t="n"/>
      <c r="I445" s="75" t="n"/>
      <c r="J445" s="75" t="n"/>
      <c r="K445" s="75" t="n"/>
      <c r="L445" s="75" t="n"/>
      <c r="M445" s="75" t="n"/>
      <c r="N445" s="75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226">
        <f>IF(AND(A445="",B445=""),"",IF(AND(A445&lt;&gt;"",B445&lt;&gt;"",C445&lt;&gt;"",D445&lt;&gt;"",F445&lt;&gt;"",G445&lt;&gt;"",H445&lt;&gt;"",ISERROR(SEARCH("по паспорту",G445)),ISERROR(SEARCH("по паспорту",H445)),I445&lt;&gt;"",J445&lt;&gt;"",K445&lt;&gt;"",L445&lt;&gt;"",M445&lt;&gt;""),"ГОТОВО","НЕ ГОТОВО"))</f>
        <v/>
      </c>
      <c r="Z445" s="226">
        <f>IF(Y445&lt;&gt;"ГОТОВО","", "Предварительное заключение: "&amp;A445&amp;", скв. "&amp;B445&amp;". МРП: "&amp;E445&amp;" сут. ГНО: "&amp;F445&amp;", типоразмер "&amp;G445&amp;", марка "&amp;H445&amp;". Событие: "&amp;I445&amp;". Признак: "&amp;J445&amp;". Узел: "&amp;K445&amp;". Предварительная причина: "&amp;L445&amp;". Основное осложнение: "&amp;M445&amp;IF(N445&lt;&gt;"","; сопутствующее: "&amp;N445,"")&amp;IF(O445&lt;&gt;"","; дополнительно: "&amp;O445,"")&amp;".")</f>
        <v/>
      </c>
    </row>
    <row r="446">
      <c r="A446" s="75" t="n"/>
      <c r="B446" s="75" t="n"/>
      <c r="C446" s="261" t="n"/>
      <c r="D446" s="261" t="n"/>
      <c r="E446" s="262">
        <f>IF(OR(C446="",D446=""),"",D446-C446)</f>
        <v/>
      </c>
      <c r="F446" s="75" t="n"/>
      <c r="G446" s="75" t="n"/>
      <c r="H446" s="75" t="n"/>
      <c r="I446" s="75" t="n"/>
      <c r="J446" s="75" t="n"/>
      <c r="K446" s="75" t="n"/>
      <c r="L446" s="75" t="n"/>
      <c r="M446" s="75" t="n"/>
      <c r="N446" s="75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226">
        <f>IF(AND(A446="",B446=""),"",IF(AND(A446&lt;&gt;"",B446&lt;&gt;"",C446&lt;&gt;"",D446&lt;&gt;"",F446&lt;&gt;"",G446&lt;&gt;"",H446&lt;&gt;"",ISERROR(SEARCH("по паспорту",G446)),ISERROR(SEARCH("по паспорту",H446)),I446&lt;&gt;"",J446&lt;&gt;"",K446&lt;&gt;"",L446&lt;&gt;"",M446&lt;&gt;""),"ГОТОВО","НЕ ГОТОВО"))</f>
        <v/>
      </c>
      <c r="Z446" s="226">
        <f>IF(Y446&lt;&gt;"ГОТОВО","", "Предварительное заключение: "&amp;A446&amp;", скв. "&amp;B446&amp;". МРП: "&amp;E446&amp;" сут. ГНО: "&amp;F446&amp;", типоразмер "&amp;G446&amp;", марка "&amp;H446&amp;". Событие: "&amp;I446&amp;". Признак: "&amp;J446&amp;". Узел: "&amp;K446&amp;". Предварительная причина: "&amp;L446&amp;". Основное осложнение: "&amp;M446&amp;IF(N446&lt;&gt;"","; сопутствующее: "&amp;N446,"")&amp;IF(O446&lt;&gt;"","; дополнительно: "&amp;O446,"")&amp;".")</f>
        <v/>
      </c>
    </row>
    <row r="447">
      <c r="A447" s="75" t="n"/>
      <c r="B447" s="75" t="n"/>
      <c r="C447" s="261" t="n"/>
      <c r="D447" s="261" t="n"/>
      <c r="E447" s="262">
        <f>IF(OR(C447="",D447=""),"",D447-C447)</f>
        <v/>
      </c>
      <c r="F447" s="75" t="n"/>
      <c r="G447" s="75" t="n"/>
      <c r="H447" s="75" t="n"/>
      <c r="I447" s="75" t="n"/>
      <c r="J447" s="75" t="n"/>
      <c r="K447" s="75" t="n"/>
      <c r="L447" s="75" t="n"/>
      <c r="M447" s="75" t="n"/>
      <c r="N447" s="75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226">
        <f>IF(AND(A447="",B447=""),"",IF(AND(A447&lt;&gt;"",B447&lt;&gt;"",C447&lt;&gt;"",D447&lt;&gt;"",F447&lt;&gt;"",G447&lt;&gt;"",H447&lt;&gt;"",ISERROR(SEARCH("по паспорту",G447)),ISERROR(SEARCH("по паспорту",H447)),I447&lt;&gt;"",J447&lt;&gt;"",K447&lt;&gt;"",L447&lt;&gt;"",M447&lt;&gt;""),"ГОТОВО","НЕ ГОТОВО"))</f>
        <v/>
      </c>
      <c r="Z447" s="226">
        <f>IF(Y447&lt;&gt;"ГОТОВО","", "Предварительное заключение: "&amp;A447&amp;", скв. "&amp;B447&amp;". МРП: "&amp;E447&amp;" сут. ГНО: "&amp;F447&amp;", типоразмер "&amp;G447&amp;", марка "&amp;H447&amp;". Событие: "&amp;I447&amp;". Признак: "&amp;J447&amp;". Узел: "&amp;K447&amp;". Предварительная причина: "&amp;L447&amp;". Основное осложнение: "&amp;M447&amp;IF(N447&lt;&gt;"","; сопутствующее: "&amp;N447,"")&amp;IF(O447&lt;&gt;"","; дополнительно: "&amp;O447,"")&amp;".")</f>
        <v/>
      </c>
    </row>
    <row r="448">
      <c r="A448" s="75" t="n"/>
      <c r="B448" s="75" t="n"/>
      <c r="C448" s="261" t="n"/>
      <c r="D448" s="261" t="n"/>
      <c r="E448" s="262">
        <f>IF(OR(C448="",D448=""),"",D448-C448)</f>
        <v/>
      </c>
      <c r="F448" s="75" t="n"/>
      <c r="G448" s="75" t="n"/>
      <c r="H448" s="75" t="n"/>
      <c r="I448" s="75" t="n"/>
      <c r="J448" s="75" t="n"/>
      <c r="K448" s="75" t="n"/>
      <c r="L448" s="75" t="n"/>
      <c r="M448" s="75" t="n"/>
      <c r="N448" s="75" t="n"/>
      <c r="O448" s="75" t="n"/>
      <c r="P448" s="75" t="n"/>
      <c r="Q448" s="75" t="n"/>
      <c r="R448" s="75" t="n"/>
      <c r="S448" s="75" t="n"/>
      <c r="T448" s="75" t="n"/>
      <c r="U448" s="75" t="n"/>
      <c r="V448" s="75" t="n"/>
      <c r="W448" s="75" t="n"/>
      <c r="X448" s="75" t="n"/>
      <c r="Y448" s="226">
        <f>IF(AND(A448="",B448=""),"",IF(AND(A448&lt;&gt;"",B448&lt;&gt;"",C448&lt;&gt;"",D448&lt;&gt;"",F448&lt;&gt;"",G448&lt;&gt;"",H448&lt;&gt;"",ISERROR(SEARCH("по паспорту",G448)),ISERROR(SEARCH("по паспорту",H448)),I448&lt;&gt;"",J448&lt;&gt;"",K448&lt;&gt;"",L448&lt;&gt;"",M448&lt;&gt;""),"ГОТОВО","НЕ ГОТОВО"))</f>
        <v/>
      </c>
      <c r="Z448" s="226">
        <f>IF(Y448&lt;&gt;"ГОТОВО","", "Предварительное заключение: "&amp;A448&amp;", скв. "&amp;B448&amp;". МРП: "&amp;E448&amp;" сут. ГНО: "&amp;F448&amp;", типоразмер "&amp;G448&amp;", марка "&amp;H448&amp;". Событие: "&amp;I448&amp;". Признак: "&amp;J448&amp;". Узел: "&amp;K448&amp;". Предварительная причина: "&amp;L448&amp;". Основное осложнение: "&amp;M448&amp;IF(N448&lt;&gt;"","; сопутствующее: "&amp;N448,"")&amp;IF(O448&lt;&gt;"","; дополнительно: "&amp;O448,"")&amp;".")</f>
        <v/>
      </c>
    </row>
    <row r="449">
      <c r="A449" s="75" t="n"/>
      <c r="B449" s="75" t="n"/>
      <c r="C449" s="261" t="n"/>
      <c r="D449" s="261" t="n"/>
      <c r="E449" s="262">
        <f>IF(OR(C449="",D449=""),"",D449-C449)</f>
        <v/>
      </c>
      <c r="F449" s="75" t="n"/>
      <c r="G449" s="75" t="n"/>
      <c r="H449" s="75" t="n"/>
      <c r="I449" s="75" t="n"/>
      <c r="J449" s="75" t="n"/>
      <c r="K449" s="75" t="n"/>
      <c r="L449" s="75" t="n"/>
      <c r="M449" s="75" t="n"/>
      <c r="N449" s="75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226">
        <f>IF(AND(A449="",B449=""),"",IF(AND(A449&lt;&gt;"",B449&lt;&gt;"",C449&lt;&gt;"",D449&lt;&gt;"",F449&lt;&gt;"",G449&lt;&gt;"",H449&lt;&gt;"",ISERROR(SEARCH("по паспорту",G449)),ISERROR(SEARCH("по паспорту",H449)),I449&lt;&gt;"",J449&lt;&gt;"",K449&lt;&gt;"",L449&lt;&gt;"",M449&lt;&gt;""),"ГОТОВО","НЕ ГОТОВО"))</f>
        <v/>
      </c>
      <c r="Z449" s="226">
        <f>IF(Y449&lt;&gt;"ГОТОВО","", "Предварительное заключение: "&amp;A449&amp;", скв. "&amp;B449&amp;". МРП: "&amp;E449&amp;" сут. ГНО: "&amp;F449&amp;", типоразмер "&amp;G449&amp;", марка "&amp;H449&amp;". Событие: "&amp;I449&amp;". Признак: "&amp;J449&amp;". Узел: "&amp;K449&amp;". Предварительная причина: "&amp;L449&amp;". Основное осложнение: "&amp;M449&amp;IF(N449&lt;&gt;"","; сопутствующее: "&amp;N449,"")&amp;IF(O449&lt;&gt;"","; дополнительно: "&amp;O449,"")&amp;".")</f>
        <v/>
      </c>
    </row>
    <row r="450">
      <c r="A450" s="75" t="n"/>
      <c r="B450" s="75" t="n"/>
      <c r="C450" s="261" t="n"/>
      <c r="D450" s="261" t="n"/>
      <c r="E450" s="262">
        <f>IF(OR(C450="",D450=""),"",D450-C450)</f>
        <v/>
      </c>
      <c r="F450" s="75" t="n"/>
      <c r="G450" s="75" t="n"/>
      <c r="H450" s="75" t="n"/>
      <c r="I450" s="75" t="n"/>
      <c r="J450" s="75" t="n"/>
      <c r="K450" s="75" t="n"/>
      <c r="L450" s="75" t="n"/>
      <c r="M450" s="75" t="n"/>
      <c r="N450" s="75" t="n"/>
      <c r="O450" s="75" t="n"/>
      <c r="P450" s="75" t="n"/>
      <c r="Q450" s="75" t="n"/>
      <c r="R450" s="75" t="n"/>
      <c r="S450" s="75" t="n"/>
      <c r="T450" s="75" t="n"/>
      <c r="U450" s="75" t="n"/>
      <c r="V450" s="75" t="n"/>
      <c r="W450" s="75" t="n"/>
      <c r="X450" s="75" t="n"/>
      <c r="Y450" s="226">
        <f>IF(AND(A450="",B450=""),"",IF(AND(A450&lt;&gt;"",B450&lt;&gt;"",C450&lt;&gt;"",D450&lt;&gt;"",F450&lt;&gt;"",G450&lt;&gt;"",H450&lt;&gt;"",ISERROR(SEARCH("по паспорту",G450)),ISERROR(SEARCH("по паспорту",H450)),I450&lt;&gt;"",J450&lt;&gt;"",K450&lt;&gt;"",L450&lt;&gt;"",M450&lt;&gt;""),"ГОТОВО","НЕ ГОТОВО"))</f>
        <v/>
      </c>
      <c r="Z450" s="226">
        <f>IF(Y450&lt;&gt;"ГОТОВО","", "Предварительное заключение: "&amp;A450&amp;", скв. "&amp;B450&amp;". МРП: "&amp;E450&amp;" сут. ГНО: "&amp;F450&amp;", типоразмер "&amp;G450&amp;", марка "&amp;H450&amp;". Событие: "&amp;I450&amp;". Признак: "&amp;J450&amp;". Узел: "&amp;K450&amp;". Предварительная причина: "&amp;L450&amp;". Основное осложнение: "&amp;M450&amp;IF(N450&lt;&gt;"","; сопутствующее: "&amp;N450,"")&amp;IF(O450&lt;&gt;"","; дополнительно: "&amp;O450,"")&amp;".")</f>
        <v/>
      </c>
    </row>
    <row r="451">
      <c r="A451" s="75" t="n"/>
      <c r="B451" s="75" t="n"/>
      <c r="C451" s="261" t="n"/>
      <c r="D451" s="261" t="n"/>
      <c r="E451" s="262">
        <f>IF(OR(C451="",D451=""),"",D451-C451)</f>
        <v/>
      </c>
      <c r="F451" s="75" t="n"/>
      <c r="G451" s="75" t="n"/>
      <c r="H451" s="75" t="n"/>
      <c r="I451" s="75" t="n"/>
      <c r="J451" s="75" t="n"/>
      <c r="K451" s="75" t="n"/>
      <c r="L451" s="75" t="n"/>
      <c r="M451" s="75" t="n"/>
      <c r="N451" s="75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226">
        <f>IF(AND(A451="",B451=""),"",IF(AND(A451&lt;&gt;"",B451&lt;&gt;"",C451&lt;&gt;"",D451&lt;&gt;"",F451&lt;&gt;"",G451&lt;&gt;"",H451&lt;&gt;"",ISERROR(SEARCH("по паспорту",G451)),ISERROR(SEARCH("по паспорту",H451)),I451&lt;&gt;"",J451&lt;&gt;"",K451&lt;&gt;"",L451&lt;&gt;"",M451&lt;&gt;""),"ГОТОВО","НЕ ГОТОВО"))</f>
        <v/>
      </c>
      <c r="Z451" s="226">
        <f>IF(Y451&lt;&gt;"ГОТОВО","", "Предварительное заключение: "&amp;A451&amp;", скв. "&amp;B451&amp;". МРП: "&amp;E451&amp;" сут. ГНО: "&amp;F451&amp;", типоразмер "&amp;G451&amp;", марка "&amp;H451&amp;". Событие: "&amp;I451&amp;". Признак: "&amp;J451&amp;". Узел: "&amp;K451&amp;". Предварительная причина: "&amp;L451&amp;". Основное осложнение: "&amp;M451&amp;IF(N451&lt;&gt;"","; сопутствующее: "&amp;N451,"")&amp;IF(O451&lt;&gt;"","; дополнительно: "&amp;O451,"")&amp;".")</f>
        <v/>
      </c>
    </row>
    <row r="452">
      <c r="A452" s="75" t="n"/>
      <c r="B452" s="75" t="n"/>
      <c r="C452" s="261" t="n"/>
      <c r="D452" s="261" t="n"/>
      <c r="E452" s="262">
        <f>IF(OR(C452="",D452=""),"",D452-C452)</f>
        <v/>
      </c>
      <c r="F452" s="75" t="n"/>
      <c r="G452" s="75" t="n"/>
      <c r="H452" s="75" t="n"/>
      <c r="I452" s="75" t="n"/>
      <c r="J452" s="75" t="n"/>
      <c r="K452" s="75" t="n"/>
      <c r="L452" s="75" t="n"/>
      <c r="M452" s="75" t="n"/>
      <c r="N452" s="75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226">
        <f>IF(AND(A452="",B452=""),"",IF(AND(A452&lt;&gt;"",B452&lt;&gt;"",C452&lt;&gt;"",D452&lt;&gt;"",F452&lt;&gt;"",G452&lt;&gt;"",H452&lt;&gt;"",ISERROR(SEARCH("по паспорту",G452)),ISERROR(SEARCH("по паспорту",H452)),I452&lt;&gt;"",J452&lt;&gt;"",K452&lt;&gt;"",L452&lt;&gt;"",M452&lt;&gt;""),"ГОТОВО","НЕ ГОТОВО"))</f>
        <v/>
      </c>
      <c r="Z452" s="226">
        <f>IF(Y452&lt;&gt;"ГОТОВО","", "Предварительное заключение: "&amp;A452&amp;", скв. "&amp;B452&amp;". МРП: "&amp;E452&amp;" сут. ГНО: "&amp;F452&amp;", типоразмер "&amp;G452&amp;", марка "&amp;H452&amp;". Событие: "&amp;I452&amp;". Признак: "&amp;J452&amp;". Узел: "&amp;K452&amp;". Предварительная причина: "&amp;L452&amp;". Основное осложнение: "&amp;M452&amp;IF(N452&lt;&gt;"","; сопутствующее: "&amp;N452,"")&amp;IF(O452&lt;&gt;"","; дополнительно: "&amp;O452,"")&amp;".")</f>
        <v/>
      </c>
    </row>
    <row r="453">
      <c r="A453" s="75" t="n"/>
      <c r="B453" s="75" t="n"/>
      <c r="C453" s="261" t="n"/>
      <c r="D453" s="261" t="n"/>
      <c r="E453" s="262">
        <f>IF(OR(C453="",D453=""),"",D453-C453)</f>
        <v/>
      </c>
      <c r="F453" s="75" t="n"/>
      <c r="G453" s="75" t="n"/>
      <c r="H453" s="75" t="n"/>
      <c r="I453" s="75" t="n"/>
      <c r="J453" s="75" t="n"/>
      <c r="K453" s="75" t="n"/>
      <c r="L453" s="75" t="n"/>
      <c r="M453" s="75" t="n"/>
      <c r="N453" s="75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226">
        <f>IF(AND(A453="",B453=""),"",IF(AND(A453&lt;&gt;"",B453&lt;&gt;"",C453&lt;&gt;"",D453&lt;&gt;"",F453&lt;&gt;"",G453&lt;&gt;"",H453&lt;&gt;"",ISERROR(SEARCH("по паспорту",G453)),ISERROR(SEARCH("по паспорту",H453)),I453&lt;&gt;"",J453&lt;&gt;"",K453&lt;&gt;"",L453&lt;&gt;"",M453&lt;&gt;""),"ГОТОВО","НЕ ГОТОВО"))</f>
        <v/>
      </c>
      <c r="Z453" s="226">
        <f>IF(Y453&lt;&gt;"ГОТОВО","", "Предварительное заключение: "&amp;A453&amp;", скв. "&amp;B453&amp;". МРП: "&amp;E453&amp;" сут. ГНО: "&amp;F453&amp;", типоразмер "&amp;G453&amp;", марка "&amp;H453&amp;". Событие: "&amp;I453&amp;". Признак: "&amp;J453&amp;". Узел: "&amp;K453&amp;". Предварительная причина: "&amp;L453&amp;". Основное осложнение: "&amp;M453&amp;IF(N453&lt;&gt;"","; сопутствующее: "&amp;N453,"")&amp;IF(O453&lt;&gt;"","; дополнительно: "&amp;O453,"")&amp;".")</f>
        <v/>
      </c>
    </row>
    <row r="454">
      <c r="A454" s="75" t="n"/>
      <c r="B454" s="75" t="n"/>
      <c r="C454" s="261" t="n"/>
      <c r="D454" s="261" t="n"/>
      <c r="E454" s="262">
        <f>IF(OR(C454="",D454=""),"",D454-C454)</f>
        <v/>
      </c>
      <c r="F454" s="75" t="n"/>
      <c r="G454" s="75" t="n"/>
      <c r="H454" s="75" t="n"/>
      <c r="I454" s="75" t="n"/>
      <c r="J454" s="75" t="n"/>
      <c r="K454" s="75" t="n"/>
      <c r="L454" s="75" t="n"/>
      <c r="M454" s="75" t="n"/>
      <c r="N454" s="75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226">
        <f>IF(AND(A454="",B454=""),"",IF(AND(A454&lt;&gt;"",B454&lt;&gt;"",C454&lt;&gt;"",D454&lt;&gt;"",F454&lt;&gt;"",G454&lt;&gt;"",H454&lt;&gt;"",ISERROR(SEARCH("по паспорту",G454)),ISERROR(SEARCH("по паспорту",H454)),I454&lt;&gt;"",J454&lt;&gt;"",K454&lt;&gt;"",L454&lt;&gt;"",M454&lt;&gt;""),"ГОТОВО","НЕ ГОТОВО"))</f>
        <v/>
      </c>
      <c r="Z454" s="226">
        <f>IF(Y454&lt;&gt;"ГОТОВО","", "Предварительное заключение: "&amp;A454&amp;", скв. "&amp;B454&amp;". МРП: "&amp;E454&amp;" сут. ГНО: "&amp;F454&amp;", типоразмер "&amp;G454&amp;", марка "&amp;H454&amp;". Событие: "&amp;I454&amp;". Признак: "&amp;J454&amp;". Узел: "&amp;K454&amp;". Предварительная причина: "&amp;L454&amp;". Основное осложнение: "&amp;M454&amp;IF(N454&lt;&gt;"","; сопутствующее: "&amp;N454,"")&amp;IF(O454&lt;&gt;"","; дополнительно: "&amp;O454,"")&amp;".")</f>
        <v/>
      </c>
    </row>
    <row r="455">
      <c r="A455" s="75" t="n"/>
      <c r="B455" s="75" t="n"/>
      <c r="C455" s="261" t="n"/>
      <c r="D455" s="261" t="n"/>
      <c r="E455" s="262">
        <f>IF(OR(C455="",D455=""),"",D455-C455)</f>
        <v/>
      </c>
      <c r="F455" s="75" t="n"/>
      <c r="G455" s="75" t="n"/>
      <c r="H455" s="75" t="n"/>
      <c r="I455" s="75" t="n"/>
      <c r="J455" s="75" t="n"/>
      <c r="K455" s="75" t="n"/>
      <c r="L455" s="75" t="n"/>
      <c r="M455" s="75" t="n"/>
      <c r="N455" s="75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226">
        <f>IF(AND(A455="",B455=""),"",IF(AND(A455&lt;&gt;"",B455&lt;&gt;"",C455&lt;&gt;"",D455&lt;&gt;"",F455&lt;&gt;"",G455&lt;&gt;"",H455&lt;&gt;"",ISERROR(SEARCH("по паспорту",G455)),ISERROR(SEARCH("по паспорту",H455)),I455&lt;&gt;"",J455&lt;&gt;"",K455&lt;&gt;"",L455&lt;&gt;"",M455&lt;&gt;""),"ГОТОВО","НЕ ГОТОВО"))</f>
        <v/>
      </c>
      <c r="Z455" s="226">
        <f>IF(Y455&lt;&gt;"ГОТОВО","", "Предварительное заключение: "&amp;A455&amp;", скв. "&amp;B455&amp;". МРП: "&amp;E455&amp;" сут. ГНО: "&amp;F455&amp;", типоразмер "&amp;G455&amp;", марка "&amp;H455&amp;". Событие: "&amp;I455&amp;". Признак: "&amp;J455&amp;". Узел: "&amp;K455&amp;". Предварительная причина: "&amp;L455&amp;". Основное осложнение: "&amp;M455&amp;IF(N455&lt;&gt;"","; сопутствующее: "&amp;N455,"")&amp;IF(O455&lt;&gt;"","; дополнительно: "&amp;O455,"")&amp;".")</f>
        <v/>
      </c>
    </row>
    <row r="456">
      <c r="A456" s="75" t="n"/>
      <c r="B456" s="75" t="n"/>
      <c r="C456" s="261" t="n"/>
      <c r="D456" s="261" t="n"/>
      <c r="E456" s="262">
        <f>IF(OR(C456="",D456=""),"",D456-C456)</f>
        <v/>
      </c>
      <c r="F456" s="75" t="n"/>
      <c r="G456" s="75" t="n"/>
      <c r="H456" s="75" t="n"/>
      <c r="I456" s="75" t="n"/>
      <c r="J456" s="75" t="n"/>
      <c r="K456" s="75" t="n"/>
      <c r="L456" s="75" t="n"/>
      <c r="M456" s="75" t="n"/>
      <c r="N456" s="75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226">
        <f>IF(AND(A456="",B456=""),"",IF(AND(A456&lt;&gt;"",B456&lt;&gt;"",C456&lt;&gt;"",D456&lt;&gt;"",F456&lt;&gt;"",G456&lt;&gt;"",H456&lt;&gt;"",ISERROR(SEARCH("по паспорту",G456)),ISERROR(SEARCH("по паспорту",H456)),I456&lt;&gt;"",J456&lt;&gt;"",K456&lt;&gt;"",L456&lt;&gt;"",M456&lt;&gt;""),"ГОТОВО","НЕ ГОТОВО"))</f>
        <v/>
      </c>
      <c r="Z456" s="226">
        <f>IF(Y456&lt;&gt;"ГОТОВО","", "Предварительное заключение: "&amp;A456&amp;", скв. "&amp;B456&amp;". МРП: "&amp;E456&amp;" сут. ГНО: "&amp;F456&amp;", типоразмер "&amp;G456&amp;", марка "&amp;H456&amp;". Событие: "&amp;I456&amp;". Признак: "&amp;J456&amp;". Узел: "&amp;K456&amp;". Предварительная причина: "&amp;L456&amp;". Основное осложнение: "&amp;M456&amp;IF(N456&lt;&gt;"","; сопутствующее: "&amp;N456,"")&amp;IF(O456&lt;&gt;"","; дополнительно: "&amp;O456,"")&amp;".")</f>
        <v/>
      </c>
    </row>
    <row r="457">
      <c r="A457" s="75" t="n"/>
      <c r="B457" s="75" t="n"/>
      <c r="C457" s="261" t="n"/>
      <c r="D457" s="261" t="n"/>
      <c r="E457" s="262">
        <f>IF(OR(C457="",D457=""),"",D457-C457)</f>
        <v/>
      </c>
      <c r="F457" s="75" t="n"/>
      <c r="G457" s="75" t="n"/>
      <c r="H457" s="75" t="n"/>
      <c r="I457" s="75" t="n"/>
      <c r="J457" s="75" t="n"/>
      <c r="K457" s="75" t="n"/>
      <c r="L457" s="75" t="n"/>
      <c r="M457" s="75" t="n"/>
      <c r="N457" s="75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226">
        <f>IF(AND(A457="",B457=""),"",IF(AND(A457&lt;&gt;"",B457&lt;&gt;"",C457&lt;&gt;"",D457&lt;&gt;"",F457&lt;&gt;"",G457&lt;&gt;"",H457&lt;&gt;"",ISERROR(SEARCH("по паспорту",G457)),ISERROR(SEARCH("по паспорту",H457)),I457&lt;&gt;"",J457&lt;&gt;"",K457&lt;&gt;"",L457&lt;&gt;"",M457&lt;&gt;""),"ГОТОВО","НЕ ГОТОВО"))</f>
        <v/>
      </c>
      <c r="Z457" s="226">
        <f>IF(Y457&lt;&gt;"ГОТОВО","", "Предварительное заключение: "&amp;A457&amp;", скв. "&amp;B457&amp;". МРП: "&amp;E457&amp;" сут. ГНО: "&amp;F457&amp;", типоразмер "&amp;G457&amp;", марка "&amp;H457&amp;". Событие: "&amp;I457&amp;". Признак: "&amp;J457&amp;". Узел: "&amp;K457&amp;". Предварительная причина: "&amp;L457&amp;". Основное осложнение: "&amp;M457&amp;IF(N457&lt;&gt;"","; сопутствующее: "&amp;N457,"")&amp;IF(O457&lt;&gt;"","; дополнительно: "&amp;O457,"")&amp;".")</f>
        <v/>
      </c>
    </row>
    <row r="458">
      <c r="A458" s="75" t="n"/>
      <c r="B458" s="75" t="n"/>
      <c r="C458" s="261" t="n"/>
      <c r="D458" s="261" t="n"/>
      <c r="E458" s="262">
        <f>IF(OR(C458="",D458=""),"",D458-C458)</f>
        <v/>
      </c>
      <c r="F458" s="75" t="n"/>
      <c r="G458" s="75" t="n"/>
      <c r="H458" s="75" t="n"/>
      <c r="I458" s="75" t="n"/>
      <c r="J458" s="75" t="n"/>
      <c r="K458" s="75" t="n"/>
      <c r="L458" s="75" t="n"/>
      <c r="M458" s="75" t="n"/>
      <c r="N458" s="75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226">
        <f>IF(AND(A458="",B458=""),"",IF(AND(A458&lt;&gt;"",B458&lt;&gt;"",C458&lt;&gt;"",D458&lt;&gt;"",F458&lt;&gt;"",G458&lt;&gt;"",H458&lt;&gt;"",ISERROR(SEARCH("по паспорту",G458)),ISERROR(SEARCH("по паспорту",H458)),I458&lt;&gt;"",J458&lt;&gt;"",K458&lt;&gt;"",L458&lt;&gt;"",M458&lt;&gt;""),"ГОТОВО","НЕ ГОТОВО"))</f>
        <v/>
      </c>
      <c r="Z458" s="226">
        <f>IF(Y458&lt;&gt;"ГОТОВО","", "Предварительное заключение: "&amp;A458&amp;", скв. "&amp;B458&amp;". МРП: "&amp;E458&amp;" сут. ГНО: "&amp;F458&amp;", типоразмер "&amp;G458&amp;", марка "&amp;H458&amp;". Событие: "&amp;I458&amp;". Признак: "&amp;J458&amp;". Узел: "&amp;K458&amp;". Предварительная причина: "&amp;L458&amp;". Основное осложнение: "&amp;M458&amp;IF(N458&lt;&gt;"","; сопутствующее: "&amp;N458,"")&amp;IF(O458&lt;&gt;"","; дополнительно: "&amp;O458,"")&amp;".")</f>
        <v/>
      </c>
    </row>
    <row r="459">
      <c r="A459" s="75" t="n"/>
      <c r="B459" s="75" t="n"/>
      <c r="C459" s="261" t="n"/>
      <c r="D459" s="261" t="n"/>
      <c r="E459" s="262">
        <f>IF(OR(C459="",D459=""),"",D459-C459)</f>
        <v/>
      </c>
      <c r="F459" s="75" t="n"/>
      <c r="G459" s="75" t="n"/>
      <c r="H459" s="75" t="n"/>
      <c r="I459" s="75" t="n"/>
      <c r="J459" s="75" t="n"/>
      <c r="K459" s="75" t="n"/>
      <c r="L459" s="75" t="n"/>
      <c r="M459" s="75" t="n"/>
      <c r="N459" s="75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226">
        <f>IF(AND(A459="",B459=""),"",IF(AND(A459&lt;&gt;"",B459&lt;&gt;"",C459&lt;&gt;"",D459&lt;&gt;"",F459&lt;&gt;"",G459&lt;&gt;"",H459&lt;&gt;"",ISERROR(SEARCH("по паспорту",G459)),ISERROR(SEARCH("по паспорту",H459)),I459&lt;&gt;"",J459&lt;&gt;"",K459&lt;&gt;"",L459&lt;&gt;"",M459&lt;&gt;""),"ГОТОВО","НЕ ГОТОВО"))</f>
        <v/>
      </c>
      <c r="Z459" s="226">
        <f>IF(Y459&lt;&gt;"ГОТОВО","", "Предварительное заключение: "&amp;A459&amp;", скв. "&amp;B459&amp;". МРП: "&amp;E459&amp;" сут. ГНО: "&amp;F459&amp;", типоразмер "&amp;G459&amp;", марка "&amp;H459&amp;". Событие: "&amp;I459&amp;". Признак: "&amp;J459&amp;". Узел: "&amp;K459&amp;". Предварительная причина: "&amp;L459&amp;". Основное осложнение: "&amp;M459&amp;IF(N459&lt;&gt;"","; сопутствующее: "&amp;N459,"")&amp;IF(O459&lt;&gt;"","; дополнительно: "&amp;O459,"")&amp;".")</f>
        <v/>
      </c>
    </row>
    <row r="460">
      <c r="A460" s="75" t="n"/>
      <c r="B460" s="75" t="n"/>
      <c r="C460" s="261" t="n"/>
      <c r="D460" s="261" t="n"/>
      <c r="E460" s="262">
        <f>IF(OR(C460="",D460=""),"",D460-C460)</f>
        <v/>
      </c>
      <c r="F460" s="75" t="n"/>
      <c r="G460" s="75" t="n"/>
      <c r="H460" s="75" t="n"/>
      <c r="I460" s="75" t="n"/>
      <c r="J460" s="75" t="n"/>
      <c r="K460" s="75" t="n"/>
      <c r="L460" s="75" t="n"/>
      <c r="M460" s="75" t="n"/>
      <c r="N460" s="75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226">
        <f>IF(AND(A460="",B460=""),"",IF(AND(A460&lt;&gt;"",B460&lt;&gt;"",C460&lt;&gt;"",D460&lt;&gt;"",F460&lt;&gt;"",G460&lt;&gt;"",H460&lt;&gt;"",ISERROR(SEARCH("по паспорту",G460)),ISERROR(SEARCH("по паспорту",H460)),I460&lt;&gt;"",J460&lt;&gt;"",K460&lt;&gt;"",L460&lt;&gt;"",M460&lt;&gt;""),"ГОТОВО","НЕ ГОТОВО"))</f>
        <v/>
      </c>
      <c r="Z460" s="226">
        <f>IF(Y460&lt;&gt;"ГОТОВО","", "Предварительное заключение: "&amp;A460&amp;", скв. "&amp;B460&amp;". МРП: "&amp;E460&amp;" сут. ГНО: "&amp;F460&amp;", типоразмер "&amp;G460&amp;", марка "&amp;H460&amp;". Событие: "&amp;I460&amp;". Признак: "&amp;J460&amp;". Узел: "&amp;K460&amp;". Предварительная причина: "&amp;L460&amp;". Основное осложнение: "&amp;M460&amp;IF(N460&lt;&gt;"","; сопутствующее: "&amp;N460,"")&amp;IF(O460&lt;&gt;"","; дополнительно: "&amp;O460,"")&amp;".")</f>
        <v/>
      </c>
    </row>
    <row r="461">
      <c r="A461" s="75" t="n"/>
      <c r="B461" s="75" t="n"/>
      <c r="C461" s="261" t="n"/>
      <c r="D461" s="261" t="n"/>
      <c r="E461" s="262">
        <f>IF(OR(C461="",D461=""),"",D461-C461)</f>
        <v/>
      </c>
      <c r="F461" s="75" t="n"/>
      <c r="G461" s="75" t="n"/>
      <c r="H461" s="75" t="n"/>
      <c r="I461" s="75" t="n"/>
      <c r="J461" s="75" t="n"/>
      <c r="K461" s="75" t="n"/>
      <c r="L461" s="75" t="n"/>
      <c r="M461" s="75" t="n"/>
      <c r="N461" s="75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226">
        <f>IF(AND(A461="",B461=""),"",IF(AND(A461&lt;&gt;"",B461&lt;&gt;"",C461&lt;&gt;"",D461&lt;&gt;"",F461&lt;&gt;"",G461&lt;&gt;"",H461&lt;&gt;"",ISERROR(SEARCH("по паспорту",G461)),ISERROR(SEARCH("по паспорту",H461)),I461&lt;&gt;"",J461&lt;&gt;"",K461&lt;&gt;"",L461&lt;&gt;"",M461&lt;&gt;""),"ГОТОВО","НЕ ГОТОВО"))</f>
        <v/>
      </c>
      <c r="Z461" s="226">
        <f>IF(Y461&lt;&gt;"ГОТОВО","", "Предварительное заключение: "&amp;A461&amp;", скв. "&amp;B461&amp;". МРП: "&amp;E461&amp;" сут. ГНО: "&amp;F461&amp;", типоразмер "&amp;G461&amp;", марка "&amp;H461&amp;". Событие: "&amp;I461&amp;". Признак: "&amp;J461&amp;". Узел: "&amp;K461&amp;". Предварительная причина: "&amp;L461&amp;". Основное осложнение: "&amp;M461&amp;IF(N461&lt;&gt;"","; сопутствующее: "&amp;N461,"")&amp;IF(O461&lt;&gt;"","; дополнительно: "&amp;O461,"")&amp;".")</f>
        <v/>
      </c>
    </row>
    <row r="462">
      <c r="A462" s="75" t="n"/>
      <c r="B462" s="75" t="n"/>
      <c r="C462" s="261" t="n"/>
      <c r="D462" s="261" t="n"/>
      <c r="E462" s="262">
        <f>IF(OR(C462="",D462=""),"",D462-C462)</f>
        <v/>
      </c>
      <c r="F462" s="75" t="n"/>
      <c r="G462" s="75" t="n"/>
      <c r="H462" s="75" t="n"/>
      <c r="I462" s="75" t="n"/>
      <c r="J462" s="75" t="n"/>
      <c r="K462" s="75" t="n"/>
      <c r="L462" s="75" t="n"/>
      <c r="M462" s="75" t="n"/>
      <c r="N462" s="75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226">
        <f>IF(AND(A462="",B462=""),"",IF(AND(A462&lt;&gt;"",B462&lt;&gt;"",C462&lt;&gt;"",D462&lt;&gt;"",F462&lt;&gt;"",G462&lt;&gt;"",H462&lt;&gt;"",ISERROR(SEARCH("по паспорту",G462)),ISERROR(SEARCH("по паспорту",H462)),I462&lt;&gt;"",J462&lt;&gt;"",K462&lt;&gt;"",L462&lt;&gt;"",M462&lt;&gt;""),"ГОТОВО","НЕ ГОТОВО"))</f>
        <v/>
      </c>
      <c r="Z462" s="226">
        <f>IF(Y462&lt;&gt;"ГОТОВО","", "Предварительное заключение: "&amp;A462&amp;", скв. "&amp;B462&amp;". МРП: "&amp;E462&amp;" сут. ГНО: "&amp;F462&amp;", типоразмер "&amp;G462&amp;", марка "&amp;H462&amp;". Событие: "&amp;I462&amp;". Признак: "&amp;J462&amp;". Узел: "&amp;K462&amp;". Предварительная причина: "&amp;L462&amp;". Основное осложнение: "&amp;M462&amp;IF(N462&lt;&gt;"","; сопутствующее: "&amp;N462,"")&amp;IF(O462&lt;&gt;"","; дополнительно: "&amp;O462,"")&amp;".")</f>
        <v/>
      </c>
    </row>
    <row r="463">
      <c r="A463" s="75" t="n"/>
      <c r="B463" s="75" t="n"/>
      <c r="C463" s="261" t="n"/>
      <c r="D463" s="261" t="n"/>
      <c r="E463" s="262">
        <f>IF(OR(C463="",D463=""),"",D463-C463)</f>
        <v/>
      </c>
      <c r="F463" s="75" t="n"/>
      <c r="G463" s="75" t="n"/>
      <c r="H463" s="75" t="n"/>
      <c r="I463" s="75" t="n"/>
      <c r="J463" s="75" t="n"/>
      <c r="K463" s="75" t="n"/>
      <c r="L463" s="75" t="n"/>
      <c r="M463" s="75" t="n"/>
      <c r="N463" s="75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226">
        <f>IF(AND(A463="",B463=""),"",IF(AND(A463&lt;&gt;"",B463&lt;&gt;"",C463&lt;&gt;"",D463&lt;&gt;"",F463&lt;&gt;"",G463&lt;&gt;"",H463&lt;&gt;"",ISERROR(SEARCH("по паспорту",G463)),ISERROR(SEARCH("по паспорту",H463)),I463&lt;&gt;"",J463&lt;&gt;"",K463&lt;&gt;"",L463&lt;&gt;"",M463&lt;&gt;""),"ГОТОВО","НЕ ГОТОВО"))</f>
        <v/>
      </c>
      <c r="Z463" s="226">
        <f>IF(Y463&lt;&gt;"ГОТОВО","", "Предварительное заключение: "&amp;A463&amp;", скв. "&amp;B463&amp;". МРП: "&amp;E463&amp;" сут. ГНО: "&amp;F463&amp;", типоразмер "&amp;G463&amp;", марка "&amp;H463&amp;". Событие: "&amp;I463&amp;". Признак: "&amp;J463&amp;". Узел: "&amp;K463&amp;". Предварительная причина: "&amp;L463&amp;". Основное осложнение: "&amp;M463&amp;IF(N463&lt;&gt;"","; сопутствующее: "&amp;N463,"")&amp;IF(O463&lt;&gt;"","; дополнительно: "&amp;O463,"")&amp;".")</f>
        <v/>
      </c>
    </row>
    <row r="464">
      <c r="A464" s="75" t="n"/>
      <c r="B464" s="75" t="n"/>
      <c r="C464" s="261" t="n"/>
      <c r="D464" s="261" t="n"/>
      <c r="E464" s="262">
        <f>IF(OR(C464="",D464=""),"",D464-C464)</f>
        <v/>
      </c>
      <c r="F464" s="75" t="n"/>
      <c r="G464" s="75" t="n"/>
      <c r="H464" s="75" t="n"/>
      <c r="I464" s="75" t="n"/>
      <c r="J464" s="75" t="n"/>
      <c r="K464" s="75" t="n"/>
      <c r="L464" s="75" t="n"/>
      <c r="M464" s="75" t="n"/>
      <c r="N464" s="75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226">
        <f>IF(AND(A464="",B464=""),"",IF(AND(A464&lt;&gt;"",B464&lt;&gt;"",C464&lt;&gt;"",D464&lt;&gt;"",F464&lt;&gt;"",G464&lt;&gt;"",H464&lt;&gt;"",ISERROR(SEARCH("по паспорту",G464)),ISERROR(SEARCH("по паспорту",H464)),I464&lt;&gt;"",J464&lt;&gt;"",K464&lt;&gt;"",L464&lt;&gt;"",M464&lt;&gt;""),"ГОТОВО","НЕ ГОТОВО"))</f>
        <v/>
      </c>
      <c r="Z464" s="226">
        <f>IF(Y464&lt;&gt;"ГОТОВО","", "Предварительное заключение: "&amp;A464&amp;", скв. "&amp;B464&amp;". МРП: "&amp;E464&amp;" сут. ГНО: "&amp;F464&amp;", типоразмер "&amp;G464&amp;", марка "&amp;H464&amp;". Событие: "&amp;I464&amp;". Признак: "&amp;J464&amp;". Узел: "&amp;K464&amp;". Предварительная причина: "&amp;L464&amp;". Основное осложнение: "&amp;M464&amp;IF(N464&lt;&gt;"","; сопутствующее: "&amp;N464,"")&amp;IF(O464&lt;&gt;"","; дополнительно: "&amp;O464,"")&amp;".")</f>
        <v/>
      </c>
    </row>
    <row r="465">
      <c r="A465" s="75" t="n"/>
      <c r="B465" s="75" t="n"/>
      <c r="C465" s="261" t="n"/>
      <c r="D465" s="261" t="n"/>
      <c r="E465" s="262">
        <f>IF(OR(C465="",D465=""),"",D465-C465)</f>
        <v/>
      </c>
      <c r="F465" s="75" t="n"/>
      <c r="G465" s="75" t="n"/>
      <c r="H465" s="75" t="n"/>
      <c r="I465" s="75" t="n"/>
      <c r="J465" s="75" t="n"/>
      <c r="K465" s="75" t="n"/>
      <c r="L465" s="75" t="n"/>
      <c r="M465" s="75" t="n"/>
      <c r="N465" s="75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226">
        <f>IF(AND(A465="",B465=""),"",IF(AND(A465&lt;&gt;"",B465&lt;&gt;"",C465&lt;&gt;"",D465&lt;&gt;"",F465&lt;&gt;"",G465&lt;&gt;"",H465&lt;&gt;"",ISERROR(SEARCH("по паспорту",G465)),ISERROR(SEARCH("по паспорту",H465)),I465&lt;&gt;"",J465&lt;&gt;"",K465&lt;&gt;"",L465&lt;&gt;"",M465&lt;&gt;""),"ГОТОВО","НЕ ГОТОВО"))</f>
        <v/>
      </c>
      <c r="Z465" s="226">
        <f>IF(Y465&lt;&gt;"ГОТОВО","", "Предварительное заключение: "&amp;A465&amp;", скв. "&amp;B465&amp;". МРП: "&amp;E465&amp;" сут. ГНО: "&amp;F465&amp;", типоразмер "&amp;G465&amp;", марка "&amp;H465&amp;". Событие: "&amp;I465&amp;". Признак: "&amp;J465&amp;". Узел: "&amp;K465&amp;". Предварительная причина: "&amp;L465&amp;". Основное осложнение: "&amp;M465&amp;IF(N465&lt;&gt;"","; сопутствующее: "&amp;N465,"")&amp;IF(O465&lt;&gt;"","; дополнительно: "&amp;O465,"")&amp;".")</f>
        <v/>
      </c>
    </row>
    <row r="466">
      <c r="A466" s="75" t="n"/>
      <c r="B466" s="75" t="n"/>
      <c r="C466" s="261" t="n"/>
      <c r="D466" s="261" t="n"/>
      <c r="E466" s="262">
        <f>IF(OR(C466="",D466=""),"",D466-C466)</f>
        <v/>
      </c>
      <c r="F466" s="75" t="n"/>
      <c r="G466" s="75" t="n"/>
      <c r="H466" s="75" t="n"/>
      <c r="I466" s="75" t="n"/>
      <c r="J466" s="75" t="n"/>
      <c r="K466" s="75" t="n"/>
      <c r="L466" s="75" t="n"/>
      <c r="M466" s="75" t="n"/>
      <c r="N466" s="75" t="n"/>
      <c r="O466" s="75" t="n"/>
      <c r="P466" s="75" t="n"/>
      <c r="Q466" s="75" t="n"/>
      <c r="R466" s="75" t="n"/>
      <c r="S466" s="75" t="n"/>
      <c r="T466" s="75" t="n"/>
      <c r="U466" s="75" t="n"/>
      <c r="V466" s="75" t="n"/>
      <c r="W466" s="75" t="n"/>
      <c r="X466" s="75" t="n"/>
      <c r="Y466" s="226">
        <f>IF(AND(A466="",B466=""),"",IF(AND(A466&lt;&gt;"",B466&lt;&gt;"",C466&lt;&gt;"",D466&lt;&gt;"",F466&lt;&gt;"",G466&lt;&gt;"",H466&lt;&gt;"",ISERROR(SEARCH("по паспорту",G466)),ISERROR(SEARCH("по паспорту",H466)),I466&lt;&gt;"",J466&lt;&gt;"",K466&lt;&gt;"",L466&lt;&gt;"",M466&lt;&gt;""),"ГОТОВО","НЕ ГОТОВО"))</f>
        <v/>
      </c>
      <c r="Z466" s="226">
        <f>IF(Y466&lt;&gt;"ГОТОВО","", "Предварительное заключение: "&amp;A466&amp;", скв. "&amp;B466&amp;". МРП: "&amp;E466&amp;" сут. ГНО: "&amp;F466&amp;", типоразмер "&amp;G466&amp;", марка "&amp;H466&amp;". Событие: "&amp;I466&amp;". Признак: "&amp;J466&amp;". Узел: "&amp;K466&amp;". Предварительная причина: "&amp;L466&amp;". Основное осложнение: "&amp;M466&amp;IF(N466&lt;&gt;"","; сопутствующее: "&amp;N466,"")&amp;IF(O466&lt;&gt;"","; дополнительно: "&amp;O466,"")&amp;".")</f>
        <v/>
      </c>
    </row>
    <row r="467">
      <c r="A467" s="75" t="n"/>
      <c r="B467" s="75" t="n"/>
      <c r="C467" s="261" t="n"/>
      <c r="D467" s="261" t="n"/>
      <c r="E467" s="262">
        <f>IF(OR(C467="",D467=""),"",D467-C467)</f>
        <v/>
      </c>
      <c r="F467" s="75" t="n"/>
      <c r="G467" s="75" t="n"/>
      <c r="H467" s="75" t="n"/>
      <c r="I467" s="75" t="n"/>
      <c r="J467" s="75" t="n"/>
      <c r="K467" s="75" t="n"/>
      <c r="L467" s="75" t="n"/>
      <c r="M467" s="75" t="n"/>
      <c r="N467" s="75" t="n"/>
      <c r="O467" s="75" t="n"/>
      <c r="P467" s="75" t="n"/>
      <c r="Q467" s="75" t="n"/>
      <c r="R467" s="75" t="n"/>
      <c r="S467" s="75" t="n"/>
      <c r="T467" s="75" t="n"/>
      <c r="U467" s="75" t="n"/>
      <c r="V467" s="75" t="n"/>
      <c r="W467" s="75" t="n"/>
      <c r="X467" s="75" t="n"/>
      <c r="Y467" s="226">
        <f>IF(AND(A467="",B467=""),"",IF(AND(A467&lt;&gt;"",B467&lt;&gt;"",C467&lt;&gt;"",D467&lt;&gt;"",F467&lt;&gt;"",G467&lt;&gt;"",H467&lt;&gt;"",ISERROR(SEARCH("по паспорту",G467)),ISERROR(SEARCH("по паспорту",H467)),I467&lt;&gt;"",J467&lt;&gt;"",K467&lt;&gt;"",L467&lt;&gt;"",M467&lt;&gt;""),"ГОТОВО","НЕ ГОТОВО"))</f>
        <v/>
      </c>
      <c r="Z467" s="226">
        <f>IF(Y467&lt;&gt;"ГОТОВО","", "Предварительное заключение: "&amp;A467&amp;", скв. "&amp;B467&amp;". МРП: "&amp;E467&amp;" сут. ГНО: "&amp;F467&amp;", типоразмер "&amp;G467&amp;", марка "&amp;H467&amp;". Событие: "&amp;I467&amp;". Признак: "&amp;J467&amp;". Узел: "&amp;K467&amp;". Предварительная причина: "&amp;L467&amp;". Основное осложнение: "&amp;M467&amp;IF(N467&lt;&gt;"","; сопутствующее: "&amp;N467,"")&amp;IF(O467&lt;&gt;"","; дополнительно: "&amp;O467,"")&amp;".")</f>
        <v/>
      </c>
    </row>
    <row r="468">
      <c r="A468" s="75" t="n"/>
      <c r="B468" s="75" t="n"/>
      <c r="C468" s="261" t="n"/>
      <c r="D468" s="261" t="n"/>
      <c r="E468" s="262">
        <f>IF(OR(C468="",D468=""),"",D468-C468)</f>
        <v/>
      </c>
      <c r="F468" s="75" t="n"/>
      <c r="G468" s="75" t="n"/>
      <c r="H468" s="75" t="n"/>
      <c r="I468" s="75" t="n"/>
      <c r="J468" s="75" t="n"/>
      <c r="K468" s="75" t="n"/>
      <c r="L468" s="75" t="n"/>
      <c r="M468" s="75" t="n"/>
      <c r="N468" s="75" t="n"/>
      <c r="O468" s="75" t="n"/>
      <c r="P468" s="75" t="n"/>
      <c r="Q468" s="75" t="n"/>
      <c r="R468" s="75" t="n"/>
      <c r="S468" s="75" t="n"/>
      <c r="T468" s="75" t="n"/>
      <c r="U468" s="75" t="n"/>
      <c r="V468" s="75" t="n"/>
      <c r="W468" s="75" t="n"/>
      <c r="X468" s="75" t="n"/>
      <c r="Y468" s="226">
        <f>IF(AND(A468="",B468=""),"",IF(AND(A468&lt;&gt;"",B468&lt;&gt;"",C468&lt;&gt;"",D468&lt;&gt;"",F468&lt;&gt;"",G468&lt;&gt;"",H468&lt;&gt;"",ISERROR(SEARCH("по паспорту",G468)),ISERROR(SEARCH("по паспорту",H468)),I468&lt;&gt;"",J468&lt;&gt;"",K468&lt;&gt;"",L468&lt;&gt;"",M468&lt;&gt;""),"ГОТОВО","НЕ ГОТОВО"))</f>
        <v/>
      </c>
      <c r="Z468" s="226">
        <f>IF(Y468&lt;&gt;"ГОТОВО","", "Предварительное заключение: "&amp;A468&amp;", скв. "&amp;B468&amp;". МРП: "&amp;E468&amp;" сут. ГНО: "&amp;F468&amp;", типоразмер "&amp;G468&amp;", марка "&amp;H468&amp;". Событие: "&amp;I468&amp;". Признак: "&amp;J468&amp;". Узел: "&amp;K468&amp;". Предварительная причина: "&amp;L468&amp;". Основное осложнение: "&amp;M468&amp;IF(N468&lt;&gt;"","; сопутствующее: "&amp;N468,"")&amp;IF(O468&lt;&gt;"","; дополнительно: "&amp;O468,"")&amp;".")</f>
        <v/>
      </c>
    </row>
    <row r="469">
      <c r="A469" s="75" t="n"/>
      <c r="B469" s="75" t="n"/>
      <c r="C469" s="261" t="n"/>
      <c r="D469" s="261" t="n"/>
      <c r="E469" s="262">
        <f>IF(OR(C469="",D469=""),"",D469-C469)</f>
        <v/>
      </c>
      <c r="F469" s="75" t="n"/>
      <c r="G469" s="75" t="n"/>
      <c r="H469" s="75" t="n"/>
      <c r="I469" s="75" t="n"/>
      <c r="J469" s="75" t="n"/>
      <c r="K469" s="75" t="n"/>
      <c r="L469" s="75" t="n"/>
      <c r="M469" s="75" t="n"/>
      <c r="N469" s="75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226">
        <f>IF(AND(A469="",B469=""),"",IF(AND(A469&lt;&gt;"",B469&lt;&gt;"",C469&lt;&gt;"",D469&lt;&gt;"",F469&lt;&gt;"",G469&lt;&gt;"",H469&lt;&gt;"",ISERROR(SEARCH("по паспорту",G469)),ISERROR(SEARCH("по паспорту",H469)),I469&lt;&gt;"",J469&lt;&gt;"",K469&lt;&gt;"",L469&lt;&gt;"",M469&lt;&gt;""),"ГОТОВО","НЕ ГОТОВО"))</f>
        <v/>
      </c>
      <c r="Z469" s="226">
        <f>IF(Y469&lt;&gt;"ГОТОВО","", "Предварительное заключение: "&amp;A469&amp;", скв. "&amp;B469&amp;". МРП: "&amp;E469&amp;" сут. ГНО: "&amp;F469&amp;", типоразмер "&amp;G469&amp;", марка "&amp;H469&amp;". Событие: "&amp;I469&amp;". Признак: "&amp;J469&amp;". Узел: "&amp;K469&amp;". Предварительная причина: "&amp;L469&amp;". Основное осложнение: "&amp;M469&amp;IF(N469&lt;&gt;"","; сопутствующее: "&amp;N469,"")&amp;IF(O469&lt;&gt;"","; дополнительно: "&amp;O469,"")&amp;".")</f>
        <v/>
      </c>
    </row>
    <row r="470">
      <c r="A470" s="75" t="n"/>
      <c r="B470" s="75" t="n"/>
      <c r="C470" s="261" t="n"/>
      <c r="D470" s="261" t="n"/>
      <c r="E470" s="262">
        <f>IF(OR(C470="",D470=""),"",D470-C470)</f>
        <v/>
      </c>
      <c r="F470" s="75" t="n"/>
      <c r="G470" s="75" t="n"/>
      <c r="H470" s="75" t="n"/>
      <c r="I470" s="75" t="n"/>
      <c r="J470" s="75" t="n"/>
      <c r="K470" s="75" t="n"/>
      <c r="L470" s="75" t="n"/>
      <c r="M470" s="75" t="n"/>
      <c r="N470" s="75" t="n"/>
      <c r="O470" s="75" t="n"/>
      <c r="P470" s="75" t="n"/>
      <c r="Q470" s="75" t="n"/>
      <c r="R470" s="75" t="n"/>
      <c r="S470" s="75" t="n"/>
      <c r="T470" s="75" t="n"/>
      <c r="U470" s="75" t="n"/>
      <c r="V470" s="75" t="n"/>
      <c r="W470" s="75" t="n"/>
      <c r="X470" s="75" t="n"/>
      <c r="Y470" s="226">
        <f>IF(AND(A470="",B470=""),"",IF(AND(A470&lt;&gt;"",B470&lt;&gt;"",C470&lt;&gt;"",D470&lt;&gt;"",F470&lt;&gt;"",G470&lt;&gt;"",H470&lt;&gt;"",ISERROR(SEARCH("по паспорту",G470)),ISERROR(SEARCH("по паспорту",H470)),I470&lt;&gt;"",J470&lt;&gt;"",K470&lt;&gt;"",L470&lt;&gt;"",M470&lt;&gt;""),"ГОТОВО","НЕ ГОТОВО"))</f>
        <v/>
      </c>
      <c r="Z470" s="226">
        <f>IF(Y470&lt;&gt;"ГОТОВО","", "Предварительное заключение: "&amp;A470&amp;", скв. "&amp;B470&amp;". МРП: "&amp;E470&amp;" сут. ГНО: "&amp;F470&amp;", типоразмер "&amp;G470&amp;", марка "&amp;H470&amp;". Событие: "&amp;I470&amp;". Признак: "&amp;J470&amp;". Узел: "&amp;K470&amp;". Предварительная причина: "&amp;L470&amp;". Основное осложнение: "&amp;M470&amp;IF(N470&lt;&gt;"","; сопутствующее: "&amp;N470,"")&amp;IF(O470&lt;&gt;"","; дополнительно: "&amp;O470,"")&amp;".")</f>
        <v/>
      </c>
    </row>
    <row r="471">
      <c r="A471" s="75" t="n"/>
      <c r="B471" s="75" t="n"/>
      <c r="C471" s="261" t="n"/>
      <c r="D471" s="261" t="n"/>
      <c r="E471" s="262">
        <f>IF(OR(C471="",D471=""),"",D471-C471)</f>
        <v/>
      </c>
      <c r="F471" s="75" t="n"/>
      <c r="G471" s="75" t="n"/>
      <c r="H471" s="75" t="n"/>
      <c r="I471" s="75" t="n"/>
      <c r="J471" s="75" t="n"/>
      <c r="K471" s="75" t="n"/>
      <c r="L471" s="75" t="n"/>
      <c r="M471" s="75" t="n"/>
      <c r="N471" s="75" t="n"/>
      <c r="O471" s="75" t="n"/>
      <c r="P471" s="75" t="n"/>
      <c r="Q471" s="75" t="n"/>
      <c r="R471" s="75" t="n"/>
      <c r="S471" s="75" t="n"/>
      <c r="T471" s="75" t="n"/>
      <c r="U471" s="75" t="n"/>
      <c r="V471" s="75" t="n"/>
      <c r="W471" s="75" t="n"/>
      <c r="X471" s="75" t="n"/>
      <c r="Y471" s="226">
        <f>IF(AND(A471="",B471=""),"",IF(AND(A471&lt;&gt;"",B471&lt;&gt;"",C471&lt;&gt;"",D471&lt;&gt;"",F471&lt;&gt;"",G471&lt;&gt;"",H471&lt;&gt;"",ISERROR(SEARCH("по паспорту",G471)),ISERROR(SEARCH("по паспорту",H471)),I471&lt;&gt;"",J471&lt;&gt;"",K471&lt;&gt;"",L471&lt;&gt;"",M471&lt;&gt;""),"ГОТОВО","НЕ ГОТОВО"))</f>
        <v/>
      </c>
      <c r="Z471" s="226">
        <f>IF(Y471&lt;&gt;"ГОТОВО","", "Предварительное заключение: "&amp;A471&amp;", скв. "&amp;B471&amp;". МРП: "&amp;E471&amp;" сут. ГНО: "&amp;F471&amp;", типоразмер "&amp;G471&amp;", марка "&amp;H471&amp;". Событие: "&amp;I471&amp;". Признак: "&amp;J471&amp;". Узел: "&amp;K471&amp;". Предварительная причина: "&amp;L471&amp;". Основное осложнение: "&amp;M471&amp;IF(N471&lt;&gt;"","; сопутствующее: "&amp;N471,"")&amp;IF(O471&lt;&gt;"","; дополнительно: "&amp;O471,"")&amp;".")</f>
        <v/>
      </c>
    </row>
    <row r="472">
      <c r="A472" s="75" t="n"/>
      <c r="B472" s="75" t="n"/>
      <c r="C472" s="261" t="n"/>
      <c r="D472" s="261" t="n"/>
      <c r="E472" s="262">
        <f>IF(OR(C472="",D472=""),"",D472-C472)</f>
        <v/>
      </c>
      <c r="F472" s="75" t="n"/>
      <c r="G472" s="75" t="n"/>
      <c r="H472" s="75" t="n"/>
      <c r="I472" s="75" t="n"/>
      <c r="J472" s="75" t="n"/>
      <c r="K472" s="75" t="n"/>
      <c r="L472" s="75" t="n"/>
      <c r="M472" s="75" t="n"/>
      <c r="N472" s="75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226">
        <f>IF(AND(A472="",B472=""),"",IF(AND(A472&lt;&gt;"",B472&lt;&gt;"",C472&lt;&gt;"",D472&lt;&gt;"",F472&lt;&gt;"",G472&lt;&gt;"",H472&lt;&gt;"",ISERROR(SEARCH("по паспорту",G472)),ISERROR(SEARCH("по паспорту",H472)),I472&lt;&gt;"",J472&lt;&gt;"",K472&lt;&gt;"",L472&lt;&gt;"",M472&lt;&gt;""),"ГОТОВО","НЕ ГОТОВО"))</f>
        <v/>
      </c>
      <c r="Z472" s="226">
        <f>IF(Y472&lt;&gt;"ГОТОВО","", "Предварительное заключение: "&amp;A472&amp;", скв. "&amp;B472&amp;". МРП: "&amp;E472&amp;" сут. ГНО: "&amp;F472&amp;", типоразмер "&amp;G472&amp;", марка "&amp;H472&amp;". Событие: "&amp;I472&amp;". Признак: "&amp;J472&amp;". Узел: "&amp;K472&amp;". Предварительная причина: "&amp;L472&amp;". Основное осложнение: "&amp;M472&amp;IF(N472&lt;&gt;"","; сопутствующее: "&amp;N472,"")&amp;IF(O472&lt;&gt;"","; дополнительно: "&amp;O472,"")&amp;".")</f>
        <v/>
      </c>
    </row>
    <row r="473">
      <c r="A473" s="75" t="n"/>
      <c r="B473" s="75" t="n"/>
      <c r="C473" s="261" t="n"/>
      <c r="D473" s="261" t="n"/>
      <c r="E473" s="262">
        <f>IF(OR(C473="",D473=""),"",D473-C473)</f>
        <v/>
      </c>
      <c r="F473" s="75" t="n"/>
      <c r="G473" s="75" t="n"/>
      <c r="H473" s="75" t="n"/>
      <c r="I473" s="75" t="n"/>
      <c r="J473" s="75" t="n"/>
      <c r="K473" s="75" t="n"/>
      <c r="L473" s="75" t="n"/>
      <c r="M473" s="75" t="n"/>
      <c r="N473" s="75" t="n"/>
      <c r="O473" s="75" t="n"/>
      <c r="P473" s="75" t="n"/>
      <c r="Q473" s="75" t="n"/>
      <c r="R473" s="75" t="n"/>
      <c r="S473" s="75" t="n"/>
      <c r="T473" s="75" t="n"/>
      <c r="U473" s="75" t="n"/>
      <c r="V473" s="75" t="n"/>
      <c r="W473" s="75" t="n"/>
      <c r="X473" s="75" t="n"/>
      <c r="Y473" s="226">
        <f>IF(AND(A473="",B473=""),"",IF(AND(A473&lt;&gt;"",B473&lt;&gt;"",C473&lt;&gt;"",D473&lt;&gt;"",F473&lt;&gt;"",G473&lt;&gt;"",H473&lt;&gt;"",ISERROR(SEARCH("по паспорту",G473)),ISERROR(SEARCH("по паспорту",H473)),I473&lt;&gt;"",J473&lt;&gt;"",K473&lt;&gt;"",L473&lt;&gt;"",M473&lt;&gt;""),"ГОТОВО","НЕ ГОТОВО"))</f>
        <v/>
      </c>
      <c r="Z473" s="226">
        <f>IF(Y473&lt;&gt;"ГОТОВО","", "Предварительное заключение: "&amp;A473&amp;", скв. "&amp;B473&amp;". МРП: "&amp;E473&amp;" сут. ГНО: "&amp;F473&amp;", типоразмер "&amp;G473&amp;", марка "&amp;H473&amp;". Событие: "&amp;I473&amp;". Признак: "&amp;J473&amp;". Узел: "&amp;K473&amp;". Предварительная причина: "&amp;L473&amp;". Основное осложнение: "&amp;M473&amp;IF(N473&lt;&gt;"","; сопутствующее: "&amp;N473,"")&amp;IF(O473&lt;&gt;"","; дополнительно: "&amp;O473,"")&amp;".")</f>
        <v/>
      </c>
    </row>
    <row r="474">
      <c r="A474" s="75" t="n"/>
      <c r="B474" s="75" t="n"/>
      <c r="C474" s="261" t="n"/>
      <c r="D474" s="261" t="n"/>
      <c r="E474" s="262">
        <f>IF(OR(C474="",D474=""),"",D474-C474)</f>
        <v/>
      </c>
      <c r="F474" s="75" t="n"/>
      <c r="G474" s="75" t="n"/>
      <c r="H474" s="75" t="n"/>
      <c r="I474" s="75" t="n"/>
      <c r="J474" s="75" t="n"/>
      <c r="K474" s="75" t="n"/>
      <c r="L474" s="75" t="n"/>
      <c r="M474" s="75" t="n"/>
      <c r="N474" s="75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226">
        <f>IF(AND(A474="",B474=""),"",IF(AND(A474&lt;&gt;"",B474&lt;&gt;"",C474&lt;&gt;"",D474&lt;&gt;"",F474&lt;&gt;"",G474&lt;&gt;"",H474&lt;&gt;"",ISERROR(SEARCH("по паспорту",G474)),ISERROR(SEARCH("по паспорту",H474)),I474&lt;&gt;"",J474&lt;&gt;"",K474&lt;&gt;"",L474&lt;&gt;"",M474&lt;&gt;""),"ГОТОВО","НЕ ГОТОВО"))</f>
        <v/>
      </c>
      <c r="Z474" s="226">
        <f>IF(Y474&lt;&gt;"ГОТОВО","", "Предварительное заключение: "&amp;A474&amp;", скв. "&amp;B474&amp;". МРП: "&amp;E474&amp;" сут. ГНО: "&amp;F474&amp;", типоразмер "&amp;G474&amp;", марка "&amp;H474&amp;". Событие: "&amp;I474&amp;". Признак: "&amp;J474&amp;". Узел: "&amp;K474&amp;". Предварительная причина: "&amp;L474&amp;". Основное осложнение: "&amp;M474&amp;IF(N474&lt;&gt;"","; сопутствующее: "&amp;N474,"")&amp;IF(O474&lt;&gt;"","; дополнительно: "&amp;O474,"")&amp;".")</f>
        <v/>
      </c>
    </row>
    <row r="475">
      <c r="A475" s="75" t="n"/>
      <c r="B475" s="75" t="n"/>
      <c r="C475" s="261" t="n"/>
      <c r="D475" s="261" t="n"/>
      <c r="E475" s="262">
        <f>IF(OR(C475="",D475=""),"",D475-C475)</f>
        <v/>
      </c>
      <c r="F475" s="75" t="n"/>
      <c r="G475" s="75" t="n"/>
      <c r="H475" s="75" t="n"/>
      <c r="I475" s="75" t="n"/>
      <c r="J475" s="75" t="n"/>
      <c r="K475" s="75" t="n"/>
      <c r="L475" s="75" t="n"/>
      <c r="M475" s="75" t="n"/>
      <c r="N475" s="75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226">
        <f>IF(AND(A475="",B475=""),"",IF(AND(A475&lt;&gt;"",B475&lt;&gt;"",C475&lt;&gt;"",D475&lt;&gt;"",F475&lt;&gt;"",G475&lt;&gt;"",H475&lt;&gt;"",ISERROR(SEARCH("по паспорту",G475)),ISERROR(SEARCH("по паспорту",H475)),I475&lt;&gt;"",J475&lt;&gt;"",K475&lt;&gt;"",L475&lt;&gt;"",M475&lt;&gt;""),"ГОТОВО","НЕ ГОТОВО"))</f>
        <v/>
      </c>
      <c r="Z475" s="226">
        <f>IF(Y475&lt;&gt;"ГОТОВО","", "Предварительное заключение: "&amp;A475&amp;", скв. "&amp;B475&amp;". МРП: "&amp;E475&amp;" сут. ГНО: "&amp;F475&amp;", типоразмер "&amp;G475&amp;", марка "&amp;H475&amp;". Событие: "&amp;I475&amp;". Признак: "&amp;J475&amp;". Узел: "&amp;K475&amp;". Предварительная причина: "&amp;L475&amp;". Основное осложнение: "&amp;M475&amp;IF(N475&lt;&gt;"","; сопутствующее: "&amp;N475,"")&amp;IF(O475&lt;&gt;"","; дополнительно: "&amp;O475,"")&amp;".")</f>
        <v/>
      </c>
    </row>
    <row r="476">
      <c r="A476" s="75" t="n"/>
      <c r="B476" s="75" t="n"/>
      <c r="C476" s="261" t="n"/>
      <c r="D476" s="261" t="n"/>
      <c r="E476" s="262">
        <f>IF(OR(C476="",D476=""),"",D476-C476)</f>
        <v/>
      </c>
      <c r="F476" s="75" t="n"/>
      <c r="G476" s="75" t="n"/>
      <c r="H476" s="75" t="n"/>
      <c r="I476" s="75" t="n"/>
      <c r="J476" s="75" t="n"/>
      <c r="K476" s="75" t="n"/>
      <c r="L476" s="75" t="n"/>
      <c r="M476" s="75" t="n"/>
      <c r="N476" s="75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226">
        <f>IF(AND(A476="",B476=""),"",IF(AND(A476&lt;&gt;"",B476&lt;&gt;"",C476&lt;&gt;"",D476&lt;&gt;"",F476&lt;&gt;"",G476&lt;&gt;"",H476&lt;&gt;"",ISERROR(SEARCH("по паспорту",G476)),ISERROR(SEARCH("по паспорту",H476)),I476&lt;&gt;"",J476&lt;&gt;"",K476&lt;&gt;"",L476&lt;&gt;"",M476&lt;&gt;""),"ГОТОВО","НЕ ГОТОВО"))</f>
        <v/>
      </c>
      <c r="Z476" s="226">
        <f>IF(Y476&lt;&gt;"ГОТОВО","", "Предварительное заключение: "&amp;A476&amp;", скв. "&amp;B476&amp;". МРП: "&amp;E476&amp;" сут. ГНО: "&amp;F476&amp;", типоразмер "&amp;G476&amp;", марка "&amp;H476&amp;". Событие: "&amp;I476&amp;". Признак: "&amp;J476&amp;". Узел: "&amp;K476&amp;". Предварительная причина: "&amp;L476&amp;". Основное осложнение: "&amp;M476&amp;IF(N476&lt;&gt;"","; сопутствующее: "&amp;N476,"")&amp;IF(O476&lt;&gt;"","; дополнительно: "&amp;O476,"")&amp;".")</f>
        <v/>
      </c>
    </row>
    <row r="477">
      <c r="A477" s="75" t="n"/>
      <c r="B477" s="75" t="n"/>
      <c r="C477" s="261" t="n"/>
      <c r="D477" s="261" t="n"/>
      <c r="E477" s="262">
        <f>IF(OR(C477="",D477=""),"",D477-C477)</f>
        <v/>
      </c>
      <c r="F477" s="75" t="n"/>
      <c r="G477" s="75" t="n"/>
      <c r="H477" s="75" t="n"/>
      <c r="I477" s="75" t="n"/>
      <c r="J477" s="75" t="n"/>
      <c r="K477" s="75" t="n"/>
      <c r="L477" s="75" t="n"/>
      <c r="M477" s="75" t="n"/>
      <c r="N477" s="75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226">
        <f>IF(AND(A477="",B477=""),"",IF(AND(A477&lt;&gt;"",B477&lt;&gt;"",C477&lt;&gt;"",D477&lt;&gt;"",F477&lt;&gt;"",G477&lt;&gt;"",H477&lt;&gt;"",ISERROR(SEARCH("по паспорту",G477)),ISERROR(SEARCH("по паспорту",H477)),I477&lt;&gt;"",J477&lt;&gt;"",K477&lt;&gt;"",L477&lt;&gt;"",M477&lt;&gt;""),"ГОТОВО","НЕ ГОТОВО"))</f>
        <v/>
      </c>
      <c r="Z477" s="226">
        <f>IF(Y477&lt;&gt;"ГОТОВО","", "Предварительное заключение: "&amp;A477&amp;", скв. "&amp;B477&amp;". МРП: "&amp;E477&amp;" сут. ГНО: "&amp;F477&amp;", типоразмер "&amp;G477&amp;", марка "&amp;H477&amp;". Событие: "&amp;I477&amp;". Признак: "&amp;J477&amp;". Узел: "&amp;K477&amp;". Предварительная причина: "&amp;L477&amp;". Основное осложнение: "&amp;M477&amp;IF(N477&lt;&gt;"","; сопутствующее: "&amp;N477,"")&amp;IF(O477&lt;&gt;"","; дополнительно: "&amp;O477,"")&amp;".")</f>
        <v/>
      </c>
    </row>
    <row r="478">
      <c r="A478" s="75" t="n"/>
      <c r="B478" s="75" t="n"/>
      <c r="C478" s="261" t="n"/>
      <c r="D478" s="261" t="n"/>
      <c r="E478" s="262">
        <f>IF(OR(C478="",D478=""),"",D478-C478)</f>
        <v/>
      </c>
      <c r="F478" s="75" t="n"/>
      <c r="G478" s="75" t="n"/>
      <c r="H478" s="75" t="n"/>
      <c r="I478" s="75" t="n"/>
      <c r="J478" s="75" t="n"/>
      <c r="K478" s="75" t="n"/>
      <c r="L478" s="75" t="n"/>
      <c r="M478" s="75" t="n"/>
      <c r="N478" s="75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226">
        <f>IF(AND(A478="",B478=""),"",IF(AND(A478&lt;&gt;"",B478&lt;&gt;"",C478&lt;&gt;"",D478&lt;&gt;"",F478&lt;&gt;"",G478&lt;&gt;"",H478&lt;&gt;"",ISERROR(SEARCH("по паспорту",G478)),ISERROR(SEARCH("по паспорту",H478)),I478&lt;&gt;"",J478&lt;&gt;"",K478&lt;&gt;"",L478&lt;&gt;"",M478&lt;&gt;""),"ГОТОВО","НЕ ГОТОВО"))</f>
        <v/>
      </c>
      <c r="Z478" s="226">
        <f>IF(Y478&lt;&gt;"ГОТОВО","", "Предварительное заключение: "&amp;A478&amp;", скв. "&amp;B478&amp;". МРП: "&amp;E478&amp;" сут. ГНО: "&amp;F478&amp;", типоразмер "&amp;G478&amp;", марка "&amp;H478&amp;". Событие: "&amp;I478&amp;". Признак: "&amp;J478&amp;". Узел: "&amp;K478&amp;". Предварительная причина: "&amp;L478&amp;". Основное осложнение: "&amp;M478&amp;IF(N478&lt;&gt;"","; сопутствующее: "&amp;N478,"")&amp;IF(O478&lt;&gt;"","; дополнительно: "&amp;O478,"")&amp;".")</f>
        <v/>
      </c>
    </row>
    <row r="479">
      <c r="A479" s="75" t="n"/>
      <c r="B479" s="75" t="n"/>
      <c r="C479" s="261" t="n"/>
      <c r="D479" s="261" t="n"/>
      <c r="E479" s="262">
        <f>IF(OR(C479="",D479=""),"",D479-C479)</f>
        <v/>
      </c>
      <c r="F479" s="75" t="n"/>
      <c r="G479" s="75" t="n"/>
      <c r="H479" s="75" t="n"/>
      <c r="I479" s="75" t="n"/>
      <c r="J479" s="75" t="n"/>
      <c r="K479" s="75" t="n"/>
      <c r="L479" s="75" t="n"/>
      <c r="M479" s="75" t="n"/>
      <c r="N479" s="75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226">
        <f>IF(AND(A479="",B479=""),"",IF(AND(A479&lt;&gt;"",B479&lt;&gt;"",C479&lt;&gt;"",D479&lt;&gt;"",F479&lt;&gt;"",G479&lt;&gt;"",H479&lt;&gt;"",ISERROR(SEARCH("по паспорту",G479)),ISERROR(SEARCH("по паспорту",H479)),I479&lt;&gt;"",J479&lt;&gt;"",K479&lt;&gt;"",L479&lt;&gt;"",M479&lt;&gt;""),"ГОТОВО","НЕ ГОТОВО"))</f>
        <v/>
      </c>
      <c r="Z479" s="226">
        <f>IF(Y479&lt;&gt;"ГОТОВО","", "Предварительное заключение: "&amp;A479&amp;", скв. "&amp;B479&amp;". МРП: "&amp;E479&amp;" сут. ГНО: "&amp;F479&amp;", типоразмер "&amp;G479&amp;", марка "&amp;H479&amp;". Событие: "&amp;I479&amp;". Признак: "&amp;J479&amp;". Узел: "&amp;K479&amp;". Предварительная причина: "&amp;L479&amp;". Основное осложнение: "&amp;M479&amp;IF(N479&lt;&gt;"","; сопутствующее: "&amp;N479,"")&amp;IF(O479&lt;&gt;"","; дополнительно: "&amp;O479,"")&amp;".")</f>
        <v/>
      </c>
    </row>
    <row r="480">
      <c r="A480" s="75" t="n"/>
      <c r="B480" s="75" t="n"/>
      <c r="C480" s="261" t="n"/>
      <c r="D480" s="261" t="n"/>
      <c r="E480" s="262">
        <f>IF(OR(C480="",D480=""),"",D480-C480)</f>
        <v/>
      </c>
      <c r="F480" s="75" t="n"/>
      <c r="G480" s="75" t="n"/>
      <c r="H480" s="75" t="n"/>
      <c r="I480" s="75" t="n"/>
      <c r="J480" s="75" t="n"/>
      <c r="K480" s="75" t="n"/>
      <c r="L480" s="75" t="n"/>
      <c r="M480" s="75" t="n"/>
      <c r="N480" s="75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226">
        <f>IF(AND(A480="",B480=""),"",IF(AND(A480&lt;&gt;"",B480&lt;&gt;"",C480&lt;&gt;"",D480&lt;&gt;"",F480&lt;&gt;"",G480&lt;&gt;"",H480&lt;&gt;"",ISERROR(SEARCH("по паспорту",G480)),ISERROR(SEARCH("по паспорту",H480)),I480&lt;&gt;"",J480&lt;&gt;"",K480&lt;&gt;"",L480&lt;&gt;"",M480&lt;&gt;""),"ГОТОВО","НЕ ГОТОВО"))</f>
        <v/>
      </c>
      <c r="Z480" s="226">
        <f>IF(Y480&lt;&gt;"ГОТОВО","", "Предварительное заключение: "&amp;A480&amp;", скв. "&amp;B480&amp;". МРП: "&amp;E480&amp;" сут. ГНО: "&amp;F480&amp;", типоразмер "&amp;G480&amp;", марка "&amp;H480&amp;". Событие: "&amp;I480&amp;". Признак: "&amp;J480&amp;". Узел: "&amp;K480&amp;". Предварительная причина: "&amp;L480&amp;". Основное осложнение: "&amp;M480&amp;IF(N480&lt;&gt;"","; сопутствующее: "&amp;N480,"")&amp;IF(O480&lt;&gt;"","; дополнительно: "&amp;O480,"")&amp;".")</f>
        <v/>
      </c>
    </row>
    <row r="481">
      <c r="A481" s="75" t="n"/>
      <c r="B481" s="75" t="n"/>
      <c r="C481" s="261" t="n"/>
      <c r="D481" s="261" t="n"/>
      <c r="E481" s="262">
        <f>IF(OR(C481="",D481=""),"",D481-C481)</f>
        <v/>
      </c>
      <c r="F481" s="75" t="n"/>
      <c r="G481" s="75" t="n"/>
      <c r="H481" s="75" t="n"/>
      <c r="I481" s="75" t="n"/>
      <c r="J481" s="75" t="n"/>
      <c r="K481" s="75" t="n"/>
      <c r="L481" s="75" t="n"/>
      <c r="M481" s="75" t="n"/>
      <c r="N481" s="75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226">
        <f>IF(AND(A481="",B481=""),"",IF(AND(A481&lt;&gt;"",B481&lt;&gt;"",C481&lt;&gt;"",D481&lt;&gt;"",F481&lt;&gt;"",G481&lt;&gt;"",H481&lt;&gt;"",ISERROR(SEARCH("по паспорту",G481)),ISERROR(SEARCH("по паспорту",H481)),I481&lt;&gt;"",J481&lt;&gt;"",K481&lt;&gt;"",L481&lt;&gt;"",M481&lt;&gt;""),"ГОТОВО","НЕ ГОТОВО"))</f>
        <v/>
      </c>
      <c r="Z481" s="226">
        <f>IF(Y481&lt;&gt;"ГОТОВО","", "Предварительное заключение: "&amp;A481&amp;", скв. "&amp;B481&amp;". МРП: "&amp;E481&amp;" сут. ГНО: "&amp;F481&amp;", типоразмер "&amp;G481&amp;", марка "&amp;H481&amp;". Событие: "&amp;I481&amp;". Признак: "&amp;J481&amp;". Узел: "&amp;K481&amp;". Предварительная причина: "&amp;L481&amp;". Основное осложнение: "&amp;M481&amp;IF(N481&lt;&gt;"","; сопутствующее: "&amp;N481,"")&amp;IF(O481&lt;&gt;"","; дополнительно: "&amp;O481,"")&amp;".")</f>
        <v/>
      </c>
    </row>
    <row r="482">
      <c r="A482" s="75" t="n"/>
      <c r="B482" s="75" t="n"/>
      <c r="C482" s="261" t="n"/>
      <c r="D482" s="261" t="n"/>
      <c r="E482" s="262">
        <f>IF(OR(C482="",D482=""),"",D482-C482)</f>
        <v/>
      </c>
      <c r="F482" s="75" t="n"/>
      <c r="G482" s="75" t="n"/>
      <c r="H482" s="75" t="n"/>
      <c r="I482" s="75" t="n"/>
      <c r="J482" s="75" t="n"/>
      <c r="K482" s="75" t="n"/>
      <c r="L482" s="75" t="n"/>
      <c r="M482" s="75" t="n"/>
      <c r="N482" s="75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226">
        <f>IF(AND(A482="",B482=""),"",IF(AND(A482&lt;&gt;"",B482&lt;&gt;"",C482&lt;&gt;"",D482&lt;&gt;"",F482&lt;&gt;"",G482&lt;&gt;"",H482&lt;&gt;"",ISERROR(SEARCH("по паспорту",G482)),ISERROR(SEARCH("по паспорту",H482)),I482&lt;&gt;"",J482&lt;&gt;"",K482&lt;&gt;"",L482&lt;&gt;"",M482&lt;&gt;""),"ГОТОВО","НЕ ГОТОВО"))</f>
        <v/>
      </c>
      <c r="Z482" s="226">
        <f>IF(Y482&lt;&gt;"ГОТОВО","", "Предварительное заключение: "&amp;A482&amp;", скв. "&amp;B482&amp;". МРП: "&amp;E482&amp;" сут. ГНО: "&amp;F482&amp;", типоразмер "&amp;G482&amp;", марка "&amp;H482&amp;". Событие: "&amp;I482&amp;". Признак: "&amp;J482&amp;". Узел: "&amp;K482&amp;". Предварительная причина: "&amp;L482&amp;". Основное осложнение: "&amp;M482&amp;IF(N482&lt;&gt;"","; сопутствующее: "&amp;N482,"")&amp;IF(O482&lt;&gt;"","; дополнительно: "&amp;O482,"")&amp;".")</f>
        <v/>
      </c>
    </row>
    <row r="483">
      <c r="A483" s="75" t="n"/>
      <c r="B483" s="75" t="n"/>
      <c r="C483" s="261" t="n"/>
      <c r="D483" s="261" t="n"/>
      <c r="E483" s="262">
        <f>IF(OR(C483="",D483=""),"",D483-C483)</f>
        <v/>
      </c>
      <c r="F483" s="75" t="n"/>
      <c r="G483" s="75" t="n"/>
      <c r="H483" s="75" t="n"/>
      <c r="I483" s="75" t="n"/>
      <c r="J483" s="75" t="n"/>
      <c r="K483" s="75" t="n"/>
      <c r="L483" s="75" t="n"/>
      <c r="M483" s="75" t="n"/>
      <c r="N483" s="75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226">
        <f>IF(AND(A483="",B483=""),"",IF(AND(A483&lt;&gt;"",B483&lt;&gt;"",C483&lt;&gt;"",D483&lt;&gt;"",F483&lt;&gt;"",G483&lt;&gt;"",H483&lt;&gt;"",ISERROR(SEARCH("по паспорту",G483)),ISERROR(SEARCH("по паспорту",H483)),I483&lt;&gt;"",J483&lt;&gt;"",K483&lt;&gt;"",L483&lt;&gt;"",M483&lt;&gt;""),"ГОТОВО","НЕ ГОТОВО"))</f>
        <v/>
      </c>
      <c r="Z483" s="226">
        <f>IF(Y483&lt;&gt;"ГОТОВО","", "Предварительное заключение: "&amp;A483&amp;", скв. "&amp;B483&amp;". МРП: "&amp;E483&amp;" сут. ГНО: "&amp;F483&amp;", типоразмер "&amp;G483&amp;", марка "&amp;H483&amp;". Событие: "&amp;I483&amp;". Признак: "&amp;J483&amp;". Узел: "&amp;K483&amp;". Предварительная причина: "&amp;L483&amp;". Основное осложнение: "&amp;M483&amp;IF(N483&lt;&gt;"","; сопутствующее: "&amp;N483,"")&amp;IF(O483&lt;&gt;"","; дополнительно: "&amp;O483,"")&amp;".")</f>
        <v/>
      </c>
    </row>
    <row r="484">
      <c r="A484" s="75" t="n"/>
      <c r="B484" s="75" t="n"/>
      <c r="C484" s="261" t="n"/>
      <c r="D484" s="261" t="n"/>
      <c r="E484" s="262">
        <f>IF(OR(C484="",D484=""),"",D484-C484)</f>
        <v/>
      </c>
      <c r="F484" s="75" t="n"/>
      <c r="G484" s="75" t="n"/>
      <c r="H484" s="75" t="n"/>
      <c r="I484" s="75" t="n"/>
      <c r="J484" s="75" t="n"/>
      <c r="K484" s="75" t="n"/>
      <c r="L484" s="75" t="n"/>
      <c r="M484" s="75" t="n"/>
      <c r="N484" s="75" t="n"/>
      <c r="O484" s="75" t="n"/>
      <c r="P484" s="75" t="n"/>
      <c r="Q484" s="75" t="n"/>
      <c r="R484" s="75" t="n"/>
      <c r="S484" s="75" t="n"/>
      <c r="T484" s="75" t="n"/>
      <c r="U484" s="75" t="n"/>
      <c r="V484" s="75" t="n"/>
      <c r="W484" s="75" t="n"/>
      <c r="X484" s="75" t="n"/>
      <c r="Y484" s="226">
        <f>IF(AND(A484="",B484=""),"",IF(AND(A484&lt;&gt;"",B484&lt;&gt;"",C484&lt;&gt;"",D484&lt;&gt;"",F484&lt;&gt;"",G484&lt;&gt;"",H484&lt;&gt;"",ISERROR(SEARCH("по паспорту",G484)),ISERROR(SEARCH("по паспорту",H484)),I484&lt;&gt;"",J484&lt;&gt;"",K484&lt;&gt;"",L484&lt;&gt;"",M484&lt;&gt;""),"ГОТОВО","НЕ ГОТОВО"))</f>
        <v/>
      </c>
      <c r="Z484" s="226">
        <f>IF(Y484&lt;&gt;"ГОТОВО","", "Предварительное заключение: "&amp;A484&amp;", скв. "&amp;B484&amp;". МРП: "&amp;E484&amp;" сут. ГНО: "&amp;F484&amp;", типоразмер "&amp;G484&amp;", марка "&amp;H484&amp;". Событие: "&amp;I484&amp;". Признак: "&amp;J484&amp;". Узел: "&amp;K484&amp;". Предварительная причина: "&amp;L484&amp;". Основное осложнение: "&amp;M484&amp;IF(N484&lt;&gt;"","; сопутствующее: "&amp;N484,"")&amp;IF(O484&lt;&gt;"","; дополнительно: "&amp;O484,"")&amp;".")</f>
        <v/>
      </c>
    </row>
    <row r="485">
      <c r="A485" s="75" t="n"/>
      <c r="B485" s="75" t="n"/>
      <c r="C485" s="261" t="n"/>
      <c r="D485" s="261" t="n"/>
      <c r="E485" s="262">
        <f>IF(OR(C485="",D485=""),"",D485-C485)</f>
        <v/>
      </c>
      <c r="F485" s="75" t="n"/>
      <c r="G485" s="75" t="n"/>
      <c r="H485" s="75" t="n"/>
      <c r="I485" s="75" t="n"/>
      <c r="J485" s="75" t="n"/>
      <c r="K485" s="75" t="n"/>
      <c r="L485" s="75" t="n"/>
      <c r="M485" s="75" t="n"/>
      <c r="N485" s="75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226">
        <f>IF(AND(A485="",B485=""),"",IF(AND(A485&lt;&gt;"",B485&lt;&gt;"",C485&lt;&gt;"",D485&lt;&gt;"",F485&lt;&gt;"",G485&lt;&gt;"",H485&lt;&gt;"",ISERROR(SEARCH("по паспорту",G485)),ISERROR(SEARCH("по паспорту",H485)),I485&lt;&gt;"",J485&lt;&gt;"",K485&lt;&gt;"",L485&lt;&gt;"",M485&lt;&gt;""),"ГОТОВО","НЕ ГОТОВО"))</f>
        <v/>
      </c>
      <c r="Z485" s="226">
        <f>IF(Y485&lt;&gt;"ГОТОВО","", "Предварительное заключение: "&amp;A485&amp;", скв. "&amp;B485&amp;". МРП: "&amp;E485&amp;" сут. ГНО: "&amp;F485&amp;", типоразмер "&amp;G485&amp;", марка "&amp;H485&amp;". Событие: "&amp;I485&amp;". Признак: "&amp;J485&amp;". Узел: "&amp;K485&amp;". Предварительная причина: "&amp;L485&amp;". Основное осложнение: "&amp;M485&amp;IF(N485&lt;&gt;"","; сопутствующее: "&amp;N485,"")&amp;IF(O485&lt;&gt;"","; дополнительно: "&amp;O485,"")&amp;".")</f>
        <v/>
      </c>
    </row>
    <row r="486">
      <c r="A486" s="75" t="n"/>
      <c r="B486" s="75" t="n"/>
      <c r="C486" s="261" t="n"/>
      <c r="D486" s="261" t="n"/>
      <c r="E486" s="262">
        <f>IF(OR(C486="",D486=""),"",D486-C486)</f>
        <v/>
      </c>
      <c r="F486" s="75" t="n"/>
      <c r="G486" s="75" t="n"/>
      <c r="H486" s="75" t="n"/>
      <c r="I486" s="75" t="n"/>
      <c r="J486" s="75" t="n"/>
      <c r="K486" s="75" t="n"/>
      <c r="L486" s="75" t="n"/>
      <c r="M486" s="75" t="n"/>
      <c r="N486" s="75" t="n"/>
      <c r="O486" s="75" t="n"/>
      <c r="P486" s="75" t="n"/>
      <c r="Q486" s="75" t="n"/>
      <c r="R486" s="75" t="n"/>
      <c r="S486" s="75" t="n"/>
      <c r="T486" s="75" t="n"/>
      <c r="U486" s="75" t="n"/>
      <c r="V486" s="75" t="n"/>
      <c r="W486" s="75" t="n"/>
      <c r="X486" s="75" t="n"/>
      <c r="Y486" s="226">
        <f>IF(AND(A486="",B486=""),"",IF(AND(A486&lt;&gt;"",B486&lt;&gt;"",C486&lt;&gt;"",D486&lt;&gt;"",F486&lt;&gt;"",G486&lt;&gt;"",H486&lt;&gt;"",ISERROR(SEARCH("по паспорту",G486)),ISERROR(SEARCH("по паспорту",H486)),I486&lt;&gt;"",J486&lt;&gt;"",K486&lt;&gt;"",L486&lt;&gt;"",M486&lt;&gt;""),"ГОТОВО","НЕ ГОТОВО"))</f>
        <v/>
      </c>
      <c r="Z486" s="226">
        <f>IF(Y486&lt;&gt;"ГОТОВО","", "Предварительное заключение: "&amp;A486&amp;", скв. "&amp;B486&amp;". МРП: "&amp;E486&amp;" сут. ГНО: "&amp;F486&amp;", типоразмер "&amp;G486&amp;", марка "&amp;H486&amp;". Событие: "&amp;I486&amp;". Признак: "&amp;J486&amp;". Узел: "&amp;K486&amp;". Предварительная причина: "&amp;L486&amp;". Основное осложнение: "&amp;M486&amp;IF(N486&lt;&gt;"","; сопутствующее: "&amp;N486,"")&amp;IF(O486&lt;&gt;"","; дополнительно: "&amp;O486,"")&amp;".")</f>
        <v/>
      </c>
    </row>
    <row r="487">
      <c r="A487" s="75" t="n"/>
      <c r="B487" s="75" t="n"/>
      <c r="C487" s="261" t="n"/>
      <c r="D487" s="261" t="n"/>
      <c r="E487" s="262">
        <f>IF(OR(C487="",D487=""),"",D487-C487)</f>
        <v/>
      </c>
      <c r="F487" s="75" t="n"/>
      <c r="G487" s="75" t="n"/>
      <c r="H487" s="75" t="n"/>
      <c r="I487" s="75" t="n"/>
      <c r="J487" s="75" t="n"/>
      <c r="K487" s="75" t="n"/>
      <c r="L487" s="75" t="n"/>
      <c r="M487" s="75" t="n"/>
      <c r="N487" s="75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226">
        <f>IF(AND(A487="",B487=""),"",IF(AND(A487&lt;&gt;"",B487&lt;&gt;"",C487&lt;&gt;"",D487&lt;&gt;"",F487&lt;&gt;"",G487&lt;&gt;"",H487&lt;&gt;"",ISERROR(SEARCH("по паспорту",G487)),ISERROR(SEARCH("по паспорту",H487)),I487&lt;&gt;"",J487&lt;&gt;"",K487&lt;&gt;"",L487&lt;&gt;"",M487&lt;&gt;""),"ГОТОВО","НЕ ГОТОВО"))</f>
        <v/>
      </c>
      <c r="Z487" s="226">
        <f>IF(Y487&lt;&gt;"ГОТОВО","", "Предварительное заключение: "&amp;A487&amp;", скв. "&amp;B487&amp;". МРП: "&amp;E487&amp;" сут. ГНО: "&amp;F487&amp;", типоразмер "&amp;G487&amp;", марка "&amp;H487&amp;". Событие: "&amp;I487&amp;". Признак: "&amp;J487&amp;". Узел: "&amp;K487&amp;". Предварительная причина: "&amp;L487&amp;". Основное осложнение: "&amp;M487&amp;IF(N487&lt;&gt;"","; сопутствующее: "&amp;N487,"")&amp;IF(O487&lt;&gt;"","; дополнительно: "&amp;O487,"")&amp;".")</f>
        <v/>
      </c>
    </row>
    <row r="488">
      <c r="A488" s="75" t="n"/>
      <c r="B488" s="75" t="n"/>
      <c r="C488" s="261" t="n"/>
      <c r="D488" s="261" t="n"/>
      <c r="E488" s="262">
        <f>IF(OR(C488="",D488=""),"",D488-C488)</f>
        <v/>
      </c>
      <c r="F488" s="75" t="n"/>
      <c r="G488" s="75" t="n"/>
      <c r="H488" s="75" t="n"/>
      <c r="I488" s="75" t="n"/>
      <c r="J488" s="75" t="n"/>
      <c r="K488" s="75" t="n"/>
      <c r="L488" s="75" t="n"/>
      <c r="M488" s="75" t="n"/>
      <c r="N488" s="75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226">
        <f>IF(AND(A488="",B488=""),"",IF(AND(A488&lt;&gt;"",B488&lt;&gt;"",C488&lt;&gt;"",D488&lt;&gt;"",F488&lt;&gt;"",G488&lt;&gt;"",H488&lt;&gt;"",ISERROR(SEARCH("по паспорту",G488)),ISERROR(SEARCH("по паспорту",H488)),I488&lt;&gt;"",J488&lt;&gt;"",K488&lt;&gt;"",L488&lt;&gt;"",M488&lt;&gt;""),"ГОТОВО","НЕ ГОТОВО"))</f>
        <v/>
      </c>
      <c r="Z488" s="226">
        <f>IF(Y488&lt;&gt;"ГОТОВО","", "Предварительное заключение: "&amp;A488&amp;", скв. "&amp;B488&amp;". МРП: "&amp;E488&amp;" сут. ГНО: "&amp;F488&amp;", типоразмер "&amp;G488&amp;", марка "&amp;H488&amp;". Событие: "&amp;I488&amp;". Признак: "&amp;J488&amp;". Узел: "&amp;K488&amp;". Предварительная причина: "&amp;L488&amp;". Основное осложнение: "&amp;M488&amp;IF(N488&lt;&gt;"","; сопутствующее: "&amp;N488,"")&amp;IF(O488&lt;&gt;"","; дополнительно: "&amp;O488,"")&amp;".")</f>
        <v/>
      </c>
    </row>
    <row r="489">
      <c r="A489" s="75" t="n"/>
      <c r="B489" s="75" t="n"/>
      <c r="C489" s="261" t="n"/>
      <c r="D489" s="261" t="n"/>
      <c r="E489" s="262">
        <f>IF(OR(C489="",D489=""),"",D489-C489)</f>
        <v/>
      </c>
      <c r="F489" s="75" t="n"/>
      <c r="G489" s="75" t="n"/>
      <c r="H489" s="75" t="n"/>
      <c r="I489" s="75" t="n"/>
      <c r="J489" s="75" t="n"/>
      <c r="K489" s="75" t="n"/>
      <c r="L489" s="75" t="n"/>
      <c r="M489" s="75" t="n"/>
      <c r="N489" s="75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226">
        <f>IF(AND(A489="",B489=""),"",IF(AND(A489&lt;&gt;"",B489&lt;&gt;"",C489&lt;&gt;"",D489&lt;&gt;"",F489&lt;&gt;"",G489&lt;&gt;"",H489&lt;&gt;"",ISERROR(SEARCH("по паспорту",G489)),ISERROR(SEARCH("по паспорту",H489)),I489&lt;&gt;"",J489&lt;&gt;"",K489&lt;&gt;"",L489&lt;&gt;"",M489&lt;&gt;""),"ГОТОВО","НЕ ГОТОВО"))</f>
        <v/>
      </c>
      <c r="Z489" s="226">
        <f>IF(Y489&lt;&gt;"ГОТОВО","", "Предварительное заключение: "&amp;A489&amp;", скв. "&amp;B489&amp;". МРП: "&amp;E489&amp;" сут. ГНО: "&amp;F489&amp;", типоразмер "&amp;G489&amp;", марка "&amp;H489&amp;". Событие: "&amp;I489&amp;". Признак: "&amp;J489&amp;". Узел: "&amp;K489&amp;". Предварительная причина: "&amp;L489&amp;". Основное осложнение: "&amp;M489&amp;IF(N489&lt;&gt;"","; сопутствующее: "&amp;N489,"")&amp;IF(O489&lt;&gt;"","; дополнительно: "&amp;O489,"")&amp;".")</f>
        <v/>
      </c>
    </row>
    <row r="490">
      <c r="A490" s="75" t="n"/>
      <c r="B490" s="75" t="n"/>
      <c r="C490" s="261" t="n"/>
      <c r="D490" s="261" t="n"/>
      <c r="E490" s="262">
        <f>IF(OR(C490="",D490=""),"",D490-C490)</f>
        <v/>
      </c>
      <c r="F490" s="75" t="n"/>
      <c r="G490" s="75" t="n"/>
      <c r="H490" s="75" t="n"/>
      <c r="I490" s="75" t="n"/>
      <c r="J490" s="75" t="n"/>
      <c r="K490" s="75" t="n"/>
      <c r="L490" s="75" t="n"/>
      <c r="M490" s="75" t="n"/>
      <c r="N490" s="75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226">
        <f>IF(AND(A490="",B490=""),"",IF(AND(A490&lt;&gt;"",B490&lt;&gt;"",C490&lt;&gt;"",D490&lt;&gt;"",F490&lt;&gt;"",G490&lt;&gt;"",H490&lt;&gt;"",ISERROR(SEARCH("по паспорту",G490)),ISERROR(SEARCH("по паспорту",H490)),I490&lt;&gt;"",J490&lt;&gt;"",K490&lt;&gt;"",L490&lt;&gt;"",M490&lt;&gt;""),"ГОТОВО","НЕ ГОТОВО"))</f>
        <v/>
      </c>
      <c r="Z490" s="226">
        <f>IF(Y490&lt;&gt;"ГОТОВО","", "Предварительное заключение: "&amp;A490&amp;", скв. "&amp;B490&amp;". МРП: "&amp;E490&amp;" сут. ГНО: "&amp;F490&amp;", типоразмер "&amp;G490&amp;", марка "&amp;H490&amp;". Событие: "&amp;I490&amp;". Признак: "&amp;J490&amp;". Узел: "&amp;K490&amp;". Предварительная причина: "&amp;L490&amp;". Основное осложнение: "&amp;M490&amp;IF(N490&lt;&gt;"","; сопутствующее: "&amp;N490,"")&amp;IF(O490&lt;&gt;"","; дополнительно: "&amp;O490,"")&amp;".")</f>
        <v/>
      </c>
    </row>
    <row r="491">
      <c r="A491" s="75" t="n"/>
      <c r="B491" s="75" t="n"/>
      <c r="C491" s="261" t="n"/>
      <c r="D491" s="261" t="n"/>
      <c r="E491" s="262">
        <f>IF(OR(C491="",D491=""),"",D491-C491)</f>
        <v/>
      </c>
      <c r="F491" s="75" t="n"/>
      <c r="G491" s="75" t="n"/>
      <c r="H491" s="75" t="n"/>
      <c r="I491" s="75" t="n"/>
      <c r="J491" s="75" t="n"/>
      <c r="K491" s="75" t="n"/>
      <c r="L491" s="75" t="n"/>
      <c r="M491" s="75" t="n"/>
      <c r="N491" s="75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226">
        <f>IF(AND(A491="",B491=""),"",IF(AND(A491&lt;&gt;"",B491&lt;&gt;"",C491&lt;&gt;"",D491&lt;&gt;"",F491&lt;&gt;"",G491&lt;&gt;"",H491&lt;&gt;"",ISERROR(SEARCH("по паспорту",G491)),ISERROR(SEARCH("по паспорту",H491)),I491&lt;&gt;"",J491&lt;&gt;"",K491&lt;&gt;"",L491&lt;&gt;"",M491&lt;&gt;""),"ГОТОВО","НЕ ГОТОВО"))</f>
        <v/>
      </c>
      <c r="Z491" s="226">
        <f>IF(Y491&lt;&gt;"ГОТОВО","", "Предварительное заключение: "&amp;A491&amp;", скв. "&amp;B491&amp;". МРП: "&amp;E491&amp;" сут. ГНО: "&amp;F491&amp;", типоразмер "&amp;G491&amp;", марка "&amp;H491&amp;". Событие: "&amp;I491&amp;". Признак: "&amp;J491&amp;". Узел: "&amp;K491&amp;". Предварительная причина: "&amp;L491&amp;". Основное осложнение: "&amp;M491&amp;IF(N491&lt;&gt;"","; сопутствующее: "&amp;N491,"")&amp;IF(O491&lt;&gt;"","; дополнительно: "&amp;O491,"")&amp;".")</f>
        <v/>
      </c>
    </row>
    <row r="492">
      <c r="A492" s="75" t="n"/>
      <c r="B492" s="75" t="n"/>
      <c r="C492" s="261" t="n"/>
      <c r="D492" s="261" t="n"/>
      <c r="E492" s="262">
        <f>IF(OR(C492="",D492=""),"",D492-C492)</f>
        <v/>
      </c>
      <c r="F492" s="75" t="n"/>
      <c r="G492" s="75" t="n"/>
      <c r="H492" s="75" t="n"/>
      <c r="I492" s="75" t="n"/>
      <c r="J492" s="75" t="n"/>
      <c r="K492" s="75" t="n"/>
      <c r="L492" s="75" t="n"/>
      <c r="M492" s="75" t="n"/>
      <c r="N492" s="75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226">
        <f>IF(AND(A492="",B492=""),"",IF(AND(A492&lt;&gt;"",B492&lt;&gt;"",C492&lt;&gt;"",D492&lt;&gt;"",F492&lt;&gt;"",G492&lt;&gt;"",H492&lt;&gt;"",ISERROR(SEARCH("по паспорту",G492)),ISERROR(SEARCH("по паспорту",H492)),I492&lt;&gt;"",J492&lt;&gt;"",K492&lt;&gt;"",L492&lt;&gt;"",M492&lt;&gt;""),"ГОТОВО","НЕ ГОТОВО"))</f>
        <v/>
      </c>
      <c r="Z492" s="226">
        <f>IF(Y492&lt;&gt;"ГОТОВО","", "Предварительное заключение: "&amp;A492&amp;", скв. "&amp;B492&amp;". МРП: "&amp;E492&amp;" сут. ГНО: "&amp;F492&amp;", типоразмер "&amp;G492&amp;", марка "&amp;H492&amp;". Событие: "&amp;I492&amp;". Признак: "&amp;J492&amp;". Узел: "&amp;K492&amp;". Предварительная причина: "&amp;L492&amp;". Основное осложнение: "&amp;M492&amp;IF(N492&lt;&gt;"","; сопутствующее: "&amp;N492,"")&amp;IF(O492&lt;&gt;"","; дополнительно: "&amp;O492,"")&amp;".")</f>
        <v/>
      </c>
    </row>
    <row r="493">
      <c r="A493" s="75" t="n"/>
      <c r="B493" s="75" t="n"/>
      <c r="C493" s="261" t="n"/>
      <c r="D493" s="261" t="n"/>
      <c r="E493" s="262">
        <f>IF(OR(C493="",D493=""),"",D493-C493)</f>
        <v/>
      </c>
      <c r="F493" s="75" t="n"/>
      <c r="G493" s="75" t="n"/>
      <c r="H493" s="75" t="n"/>
      <c r="I493" s="75" t="n"/>
      <c r="J493" s="75" t="n"/>
      <c r="K493" s="75" t="n"/>
      <c r="L493" s="75" t="n"/>
      <c r="M493" s="75" t="n"/>
      <c r="N493" s="75" t="n"/>
      <c r="O493" s="75" t="n"/>
      <c r="P493" s="75" t="n"/>
      <c r="Q493" s="75" t="n"/>
      <c r="R493" s="75" t="n"/>
      <c r="S493" s="75" t="n"/>
      <c r="T493" s="75" t="n"/>
      <c r="U493" s="75" t="n"/>
      <c r="V493" s="75" t="n"/>
      <c r="W493" s="75" t="n"/>
      <c r="X493" s="75" t="n"/>
      <c r="Y493" s="226">
        <f>IF(AND(A493="",B493=""),"",IF(AND(A493&lt;&gt;"",B493&lt;&gt;"",C493&lt;&gt;"",D493&lt;&gt;"",F493&lt;&gt;"",G493&lt;&gt;"",H493&lt;&gt;"",ISERROR(SEARCH("по паспорту",G493)),ISERROR(SEARCH("по паспорту",H493)),I493&lt;&gt;"",J493&lt;&gt;"",K493&lt;&gt;"",L493&lt;&gt;"",M493&lt;&gt;""),"ГОТОВО","НЕ ГОТОВО"))</f>
        <v/>
      </c>
      <c r="Z493" s="226">
        <f>IF(Y493&lt;&gt;"ГОТОВО","", "Предварительное заключение: "&amp;A493&amp;", скв. "&amp;B493&amp;". МРП: "&amp;E493&amp;" сут. ГНО: "&amp;F493&amp;", типоразмер "&amp;G493&amp;", марка "&amp;H493&amp;". Событие: "&amp;I493&amp;". Признак: "&amp;J493&amp;". Узел: "&amp;K493&amp;". Предварительная причина: "&amp;L493&amp;". Основное осложнение: "&amp;M493&amp;IF(N493&lt;&gt;"","; сопутствующее: "&amp;N493,"")&amp;IF(O493&lt;&gt;"","; дополнительно: "&amp;O493,"")&amp;".")</f>
        <v/>
      </c>
    </row>
    <row r="494">
      <c r="A494" s="75" t="n"/>
      <c r="B494" s="75" t="n"/>
      <c r="C494" s="261" t="n"/>
      <c r="D494" s="261" t="n"/>
      <c r="E494" s="262">
        <f>IF(OR(C494="",D494=""),"",D494-C494)</f>
        <v/>
      </c>
      <c r="F494" s="75" t="n"/>
      <c r="G494" s="75" t="n"/>
      <c r="H494" s="75" t="n"/>
      <c r="I494" s="75" t="n"/>
      <c r="J494" s="75" t="n"/>
      <c r="K494" s="75" t="n"/>
      <c r="L494" s="75" t="n"/>
      <c r="M494" s="75" t="n"/>
      <c r="N494" s="75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226">
        <f>IF(AND(A494="",B494=""),"",IF(AND(A494&lt;&gt;"",B494&lt;&gt;"",C494&lt;&gt;"",D494&lt;&gt;"",F494&lt;&gt;"",G494&lt;&gt;"",H494&lt;&gt;"",ISERROR(SEARCH("по паспорту",G494)),ISERROR(SEARCH("по паспорту",H494)),I494&lt;&gt;"",J494&lt;&gt;"",K494&lt;&gt;"",L494&lt;&gt;"",M494&lt;&gt;""),"ГОТОВО","НЕ ГОТОВО"))</f>
        <v/>
      </c>
      <c r="Z494" s="226">
        <f>IF(Y494&lt;&gt;"ГОТОВО","", "Предварительное заключение: "&amp;A494&amp;", скв. "&amp;B494&amp;". МРП: "&amp;E494&amp;" сут. ГНО: "&amp;F494&amp;", типоразмер "&amp;G494&amp;", марка "&amp;H494&amp;". Событие: "&amp;I494&amp;". Признак: "&amp;J494&amp;". Узел: "&amp;K494&amp;". Предварительная причина: "&amp;L494&amp;". Основное осложнение: "&amp;M494&amp;IF(N494&lt;&gt;"","; сопутствующее: "&amp;N494,"")&amp;IF(O494&lt;&gt;"","; дополнительно: "&amp;O494,"")&amp;".")</f>
        <v/>
      </c>
    </row>
    <row r="495">
      <c r="A495" s="75" t="n"/>
      <c r="B495" s="75" t="n"/>
      <c r="C495" s="261" t="n"/>
      <c r="D495" s="261" t="n"/>
      <c r="E495" s="262">
        <f>IF(OR(C495="",D495=""),"",D495-C495)</f>
        <v/>
      </c>
      <c r="F495" s="75" t="n"/>
      <c r="G495" s="75" t="n"/>
      <c r="H495" s="75" t="n"/>
      <c r="I495" s="75" t="n"/>
      <c r="J495" s="75" t="n"/>
      <c r="K495" s="75" t="n"/>
      <c r="L495" s="75" t="n"/>
      <c r="M495" s="75" t="n"/>
      <c r="N495" s="75" t="n"/>
      <c r="O495" s="75" t="n"/>
      <c r="P495" s="75" t="n"/>
      <c r="Q495" s="75" t="n"/>
      <c r="R495" s="75" t="n"/>
      <c r="S495" s="75" t="n"/>
      <c r="T495" s="75" t="n"/>
      <c r="U495" s="75" t="n"/>
      <c r="V495" s="75" t="n"/>
      <c r="W495" s="75" t="n"/>
      <c r="X495" s="75" t="n"/>
      <c r="Y495" s="226">
        <f>IF(AND(A495="",B495=""),"",IF(AND(A495&lt;&gt;"",B495&lt;&gt;"",C495&lt;&gt;"",D495&lt;&gt;"",F495&lt;&gt;"",G495&lt;&gt;"",H495&lt;&gt;"",ISERROR(SEARCH("по паспорту",G495)),ISERROR(SEARCH("по паспорту",H495)),I495&lt;&gt;"",J495&lt;&gt;"",K495&lt;&gt;"",L495&lt;&gt;"",M495&lt;&gt;""),"ГОТОВО","НЕ ГОТОВО"))</f>
        <v/>
      </c>
      <c r="Z495" s="226">
        <f>IF(Y495&lt;&gt;"ГОТОВО","", "Предварительное заключение: "&amp;A495&amp;", скв. "&amp;B495&amp;". МРП: "&amp;E495&amp;" сут. ГНО: "&amp;F495&amp;", типоразмер "&amp;G495&amp;", марка "&amp;H495&amp;". Событие: "&amp;I495&amp;". Признак: "&amp;J495&amp;". Узел: "&amp;K495&amp;". Предварительная причина: "&amp;L495&amp;". Основное осложнение: "&amp;M495&amp;IF(N495&lt;&gt;"","; сопутствующее: "&amp;N495,"")&amp;IF(O495&lt;&gt;"","; дополнительно: "&amp;O495,"")&amp;".")</f>
        <v/>
      </c>
    </row>
    <row r="496">
      <c r="A496" s="75" t="n"/>
      <c r="B496" s="75" t="n"/>
      <c r="C496" s="261" t="n"/>
      <c r="D496" s="261" t="n"/>
      <c r="E496" s="262">
        <f>IF(OR(C496="",D496=""),"",D496-C496)</f>
        <v/>
      </c>
      <c r="F496" s="75" t="n"/>
      <c r="G496" s="75" t="n"/>
      <c r="H496" s="75" t="n"/>
      <c r="I496" s="75" t="n"/>
      <c r="J496" s="75" t="n"/>
      <c r="K496" s="75" t="n"/>
      <c r="L496" s="75" t="n"/>
      <c r="M496" s="75" t="n"/>
      <c r="N496" s="75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226">
        <f>IF(AND(A496="",B496=""),"",IF(AND(A496&lt;&gt;"",B496&lt;&gt;"",C496&lt;&gt;"",D496&lt;&gt;"",F496&lt;&gt;"",G496&lt;&gt;"",H496&lt;&gt;"",ISERROR(SEARCH("по паспорту",G496)),ISERROR(SEARCH("по паспорту",H496)),I496&lt;&gt;"",J496&lt;&gt;"",K496&lt;&gt;"",L496&lt;&gt;"",M496&lt;&gt;""),"ГОТОВО","НЕ ГОТОВО"))</f>
        <v/>
      </c>
      <c r="Z496" s="226">
        <f>IF(Y496&lt;&gt;"ГОТОВО","", "Предварительное заключение: "&amp;A496&amp;", скв. "&amp;B496&amp;". МРП: "&amp;E496&amp;" сут. ГНО: "&amp;F496&amp;", типоразмер "&amp;G496&amp;", марка "&amp;H496&amp;". Событие: "&amp;I496&amp;". Признак: "&amp;J496&amp;". Узел: "&amp;K496&amp;". Предварительная причина: "&amp;L496&amp;". Основное осложнение: "&amp;M496&amp;IF(N496&lt;&gt;"","; сопутствующее: "&amp;N496,"")&amp;IF(O496&lt;&gt;"","; дополнительно: "&amp;O496,"")&amp;".")</f>
        <v/>
      </c>
    </row>
    <row r="497">
      <c r="A497" s="75" t="n"/>
      <c r="B497" s="75" t="n"/>
      <c r="C497" s="261" t="n"/>
      <c r="D497" s="261" t="n"/>
      <c r="E497" s="262">
        <f>IF(OR(C497="",D497=""),"",D497-C497)</f>
        <v/>
      </c>
      <c r="F497" s="75" t="n"/>
      <c r="G497" s="75" t="n"/>
      <c r="H497" s="75" t="n"/>
      <c r="I497" s="75" t="n"/>
      <c r="J497" s="75" t="n"/>
      <c r="K497" s="75" t="n"/>
      <c r="L497" s="75" t="n"/>
      <c r="M497" s="75" t="n"/>
      <c r="N497" s="75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226">
        <f>IF(AND(A497="",B497=""),"",IF(AND(A497&lt;&gt;"",B497&lt;&gt;"",C497&lt;&gt;"",D497&lt;&gt;"",F497&lt;&gt;"",G497&lt;&gt;"",H497&lt;&gt;"",ISERROR(SEARCH("по паспорту",G497)),ISERROR(SEARCH("по паспорту",H497)),I497&lt;&gt;"",J497&lt;&gt;"",K497&lt;&gt;"",L497&lt;&gt;"",M497&lt;&gt;""),"ГОТОВО","НЕ ГОТОВО"))</f>
        <v/>
      </c>
      <c r="Z497" s="226">
        <f>IF(Y497&lt;&gt;"ГОТОВО","", "Предварительное заключение: "&amp;A497&amp;", скв. "&amp;B497&amp;". МРП: "&amp;E497&amp;" сут. ГНО: "&amp;F497&amp;", типоразмер "&amp;G497&amp;", марка "&amp;H497&amp;". Событие: "&amp;I497&amp;". Признак: "&amp;J497&amp;". Узел: "&amp;K497&amp;". Предварительная причина: "&amp;L497&amp;". Основное осложнение: "&amp;M497&amp;IF(N497&lt;&gt;"","; сопутствующее: "&amp;N497,"")&amp;IF(O497&lt;&gt;"","; дополнительно: "&amp;O497,"")&amp;".")</f>
        <v/>
      </c>
    </row>
    <row r="498">
      <c r="A498" s="75" t="n"/>
      <c r="B498" s="75" t="n"/>
      <c r="C498" s="261" t="n"/>
      <c r="D498" s="261" t="n"/>
      <c r="E498" s="262">
        <f>IF(OR(C498="",D498=""),"",D498-C498)</f>
        <v/>
      </c>
      <c r="F498" s="75" t="n"/>
      <c r="G498" s="75" t="n"/>
      <c r="H498" s="75" t="n"/>
      <c r="I498" s="75" t="n"/>
      <c r="J498" s="75" t="n"/>
      <c r="K498" s="75" t="n"/>
      <c r="L498" s="75" t="n"/>
      <c r="M498" s="75" t="n"/>
      <c r="N498" s="75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226">
        <f>IF(AND(A498="",B498=""),"",IF(AND(A498&lt;&gt;"",B498&lt;&gt;"",C498&lt;&gt;"",D498&lt;&gt;"",F498&lt;&gt;"",G498&lt;&gt;"",H498&lt;&gt;"",ISERROR(SEARCH("по паспорту",G498)),ISERROR(SEARCH("по паспорту",H498)),I498&lt;&gt;"",J498&lt;&gt;"",K498&lt;&gt;"",L498&lt;&gt;"",M498&lt;&gt;""),"ГОТОВО","НЕ ГОТОВО"))</f>
        <v/>
      </c>
      <c r="Z498" s="226">
        <f>IF(Y498&lt;&gt;"ГОТОВО","", "Предварительное заключение: "&amp;A498&amp;", скв. "&amp;B498&amp;". МРП: "&amp;E498&amp;" сут. ГНО: "&amp;F498&amp;", типоразмер "&amp;G498&amp;", марка "&amp;H498&amp;". Событие: "&amp;I498&amp;". Признак: "&amp;J498&amp;". Узел: "&amp;K498&amp;". Предварительная причина: "&amp;L498&amp;". Основное осложнение: "&amp;M498&amp;IF(N498&lt;&gt;"","; сопутствующее: "&amp;N498,"")&amp;IF(O498&lt;&gt;"","; дополнительно: "&amp;O498,"")&amp;".")</f>
        <v/>
      </c>
    </row>
    <row r="499">
      <c r="A499" s="75" t="n"/>
      <c r="B499" s="75" t="n"/>
      <c r="C499" s="261" t="n"/>
      <c r="D499" s="261" t="n"/>
      <c r="E499" s="262">
        <f>IF(OR(C499="",D499=""),"",D499-C499)</f>
        <v/>
      </c>
      <c r="F499" s="75" t="n"/>
      <c r="G499" s="75" t="n"/>
      <c r="H499" s="75" t="n"/>
      <c r="I499" s="75" t="n"/>
      <c r="J499" s="75" t="n"/>
      <c r="K499" s="75" t="n"/>
      <c r="L499" s="75" t="n"/>
      <c r="M499" s="75" t="n"/>
      <c r="N499" s="75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226">
        <f>IF(AND(A499="",B499=""),"",IF(AND(A499&lt;&gt;"",B499&lt;&gt;"",C499&lt;&gt;"",D499&lt;&gt;"",F499&lt;&gt;"",G499&lt;&gt;"",H499&lt;&gt;"",ISERROR(SEARCH("по паспорту",G499)),ISERROR(SEARCH("по паспорту",H499)),I499&lt;&gt;"",J499&lt;&gt;"",K499&lt;&gt;"",L499&lt;&gt;"",M499&lt;&gt;""),"ГОТОВО","НЕ ГОТОВО"))</f>
        <v/>
      </c>
      <c r="Z499" s="226">
        <f>IF(Y499&lt;&gt;"ГОТОВО","", "Предварительное заключение: "&amp;A499&amp;", скв. "&amp;B499&amp;". МРП: "&amp;E499&amp;" сут. ГНО: "&amp;F499&amp;", типоразмер "&amp;G499&amp;", марка "&amp;H499&amp;". Событие: "&amp;I499&amp;". Признак: "&amp;J499&amp;". Узел: "&amp;K499&amp;". Предварительная причина: "&amp;L499&amp;". Основное осложнение: "&amp;M499&amp;IF(N499&lt;&gt;"","; сопутствующее: "&amp;N499,"")&amp;IF(O499&lt;&gt;"","; дополнительно: "&amp;O499,"")&amp;".")</f>
        <v/>
      </c>
    </row>
    <row r="500">
      <c r="A500" s="75" t="n"/>
      <c r="B500" s="75" t="n"/>
      <c r="C500" s="261" t="n"/>
      <c r="D500" s="261" t="n"/>
      <c r="E500" s="262">
        <f>IF(OR(C500="",D500=""),"",D500-C500)</f>
        <v/>
      </c>
      <c r="F500" s="75" t="n"/>
      <c r="G500" s="75" t="n"/>
      <c r="H500" s="75" t="n"/>
      <c r="I500" s="75" t="n"/>
      <c r="J500" s="75" t="n"/>
      <c r="K500" s="75" t="n"/>
      <c r="L500" s="75" t="n"/>
      <c r="M500" s="75" t="n"/>
      <c r="N500" s="75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226">
        <f>IF(AND(A500="",B500=""),"",IF(AND(A500&lt;&gt;"",B500&lt;&gt;"",C500&lt;&gt;"",D500&lt;&gt;"",F500&lt;&gt;"",G500&lt;&gt;"",H500&lt;&gt;"",ISERROR(SEARCH("по паспорту",G500)),ISERROR(SEARCH("по паспорту",H500)),I500&lt;&gt;"",J500&lt;&gt;"",K500&lt;&gt;"",L500&lt;&gt;"",M500&lt;&gt;""),"ГОТОВО","НЕ ГОТОВО"))</f>
        <v/>
      </c>
      <c r="Z500" s="226">
        <f>IF(Y500&lt;&gt;"ГОТОВО","", "Предварительное заключение: "&amp;A500&amp;", скв. "&amp;B500&amp;". МРП: "&amp;E500&amp;" сут. ГНО: "&amp;F500&amp;", типоразмер "&amp;G500&amp;", марка "&amp;H500&amp;". Событие: "&amp;I500&amp;". Признак: "&amp;J500&amp;". Узел: "&amp;K500&amp;". Предварительная причина: "&amp;L500&amp;". Основное осложнение: "&amp;M500&amp;IF(N500&lt;&gt;"","; сопутствующее: "&amp;N500,"")&amp;IF(O500&lt;&gt;"","; дополнительно: "&amp;O500,"")&amp;".")</f>
        <v/>
      </c>
    </row>
    <row r="501">
      <c r="A501" s="75" t="n"/>
      <c r="B501" s="75" t="n"/>
      <c r="C501" s="261" t="n"/>
      <c r="D501" s="261" t="n"/>
      <c r="E501" s="262">
        <f>IF(OR(C501="",D501=""),"",D501-C501)</f>
        <v/>
      </c>
      <c r="F501" s="75" t="n"/>
      <c r="G501" s="75" t="n"/>
      <c r="H501" s="75" t="n"/>
      <c r="I501" s="75" t="n"/>
      <c r="J501" s="75" t="n"/>
      <c r="K501" s="75" t="n"/>
      <c r="L501" s="75" t="n"/>
      <c r="M501" s="75" t="n"/>
      <c r="N501" s="75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226">
        <f>IF(AND(A501="",B501=""),"",IF(AND(A501&lt;&gt;"",B501&lt;&gt;"",C501&lt;&gt;"",D501&lt;&gt;"",F501&lt;&gt;"",G501&lt;&gt;"",H501&lt;&gt;"",ISERROR(SEARCH("по паспорту",G501)),ISERROR(SEARCH("по паспорту",H501)),I501&lt;&gt;"",J501&lt;&gt;"",K501&lt;&gt;"",L501&lt;&gt;"",M501&lt;&gt;""),"ГОТОВО","НЕ ГОТОВО"))</f>
        <v/>
      </c>
      <c r="Z501" s="226">
        <f>IF(Y501&lt;&gt;"ГОТОВО","", "Предварительное заключение: "&amp;A501&amp;", скв. "&amp;B501&amp;". МРП: "&amp;E501&amp;" сут. ГНО: "&amp;F501&amp;", типоразмер "&amp;G501&amp;", марка "&amp;H501&amp;". Событие: "&amp;I501&amp;". Признак: "&amp;J501&amp;". Узел: "&amp;K501&amp;". Предварительная причина: "&amp;L501&amp;". Основное осложнение: "&amp;M501&amp;IF(N501&lt;&gt;"","; сопутствующее: "&amp;N501,"")&amp;IF(O501&lt;&gt;"","; дополнительно: "&amp;O501,"")&amp;".")</f>
        <v/>
      </c>
    </row>
    <row r="502">
      <c r="A502" s="75" t="n"/>
      <c r="B502" s="75" t="n"/>
      <c r="C502" s="261" t="n"/>
      <c r="D502" s="261" t="n"/>
      <c r="E502" s="262">
        <f>IF(OR(C502="",D502=""),"",D502-C502)</f>
        <v/>
      </c>
      <c r="F502" s="75" t="n"/>
      <c r="G502" s="75" t="n"/>
      <c r="H502" s="75" t="n"/>
      <c r="I502" s="75" t="n"/>
      <c r="J502" s="75" t="n"/>
      <c r="K502" s="75" t="n"/>
      <c r="L502" s="75" t="n"/>
      <c r="M502" s="75" t="n"/>
      <c r="N502" s="75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226">
        <f>IF(AND(A502="",B502=""),"",IF(AND(A502&lt;&gt;"",B502&lt;&gt;"",C502&lt;&gt;"",D502&lt;&gt;"",F502&lt;&gt;"",G502&lt;&gt;"",H502&lt;&gt;"",ISERROR(SEARCH("по паспорту",G502)),ISERROR(SEARCH("по паспорту",H502)),I502&lt;&gt;"",J502&lt;&gt;"",K502&lt;&gt;"",L502&lt;&gt;"",M502&lt;&gt;""),"ГОТОВО","НЕ ГОТОВО"))</f>
        <v/>
      </c>
      <c r="Z502" s="226">
        <f>IF(Y502&lt;&gt;"ГОТОВО","", "Предварительное заключение: "&amp;A502&amp;", скв. "&amp;B502&amp;". МРП: "&amp;E502&amp;" сут. ГНО: "&amp;F502&amp;", типоразмер "&amp;G502&amp;", марка "&amp;H502&amp;". Событие: "&amp;I502&amp;". Признак: "&amp;J502&amp;". Узел: "&amp;K502&amp;". Предварительная причина: "&amp;L502&amp;". Основное осложнение: "&amp;M502&amp;IF(N502&lt;&gt;"","; сопутствующее: "&amp;N502,"")&amp;IF(O502&lt;&gt;"","; дополнительно: "&amp;O502,"")&amp;".")</f>
        <v/>
      </c>
    </row>
    <row r="503">
      <c r="A503" s="75" t="n"/>
      <c r="B503" s="75" t="n"/>
      <c r="C503" s="261" t="n"/>
      <c r="D503" s="261" t="n"/>
      <c r="E503" s="262">
        <f>IF(OR(C503="",D503=""),"",D503-C503)</f>
        <v/>
      </c>
      <c r="F503" s="75" t="n"/>
      <c r="G503" s="75" t="n"/>
      <c r="H503" s="75" t="n"/>
      <c r="I503" s="75" t="n"/>
      <c r="J503" s="75" t="n"/>
      <c r="K503" s="75" t="n"/>
      <c r="L503" s="75" t="n"/>
      <c r="M503" s="75" t="n"/>
      <c r="N503" s="75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226">
        <f>IF(AND(A503="",B503=""),"",IF(AND(A503&lt;&gt;"",B503&lt;&gt;"",C503&lt;&gt;"",D503&lt;&gt;"",F503&lt;&gt;"",G503&lt;&gt;"",H503&lt;&gt;"",ISERROR(SEARCH("по паспорту",G503)),ISERROR(SEARCH("по паспорту",H503)),I503&lt;&gt;"",J503&lt;&gt;"",K503&lt;&gt;"",L503&lt;&gt;"",M503&lt;&gt;""),"ГОТОВО","НЕ ГОТОВО"))</f>
        <v/>
      </c>
      <c r="Z503" s="226">
        <f>IF(Y503&lt;&gt;"ГОТОВО","", "Предварительное заключение: "&amp;A503&amp;", скв. "&amp;B503&amp;". МРП: "&amp;E503&amp;" сут. ГНО: "&amp;F503&amp;", типоразмер "&amp;G503&amp;", марка "&amp;H503&amp;". Событие: "&amp;I503&amp;". Признак: "&amp;J503&amp;". Узел: "&amp;K503&amp;". Предварительная причина: "&amp;L503&amp;". Основное осложнение: "&amp;M503&amp;IF(N503&lt;&gt;"","; сопутствующее: "&amp;N503,"")&amp;IF(O503&lt;&gt;"","; дополнительно: "&amp;O503,"")&amp;".")</f>
        <v/>
      </c>
    </row>
    <row r="504">
      <c r="A504" s="75" t="n"/>
      <c r="B504" s="75" t="n"/>
      <c r="C504" s="261" t="n"/>
      <c r="D504" s="261" t="n"/>
      <c r="E504" s="262">
        <f>IF(OR(C504="",D504=""),"",D504-C504)</f>
        <v/>
      </c>
      <c r="F504" s="75" t="n"/>
      <c r="G504" s="75" t="n"/>
      <c r="H504" s="75" t="n"/>
      <c r="I504" s="75" t="n"/>
      <c r="J504" s="75" t="n"/>
      <c r="K504" s="75" t="n"/>
      <c r="L504" s="75" t="n"/>
      <c r="M504" s="75" t="n"/>
      <c r="N504" s="75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226">
        <f>IF(AND(A504="",B504=""),"",IF(AND(A504&lt;&gt;"",B504&lt;&gt;"",C504&lt;&gt;"",D504&lt;&gt;"",F504&lt;&gt;"",G504&lt;&gt;"",H504&lt;&gt;"",ISERROR(SEARCH("по паспорту",G504)),ISERROR(SEARCH("по паспорту",H504)),I504&lt;&gt;"",J504&lt;&gt;"",K504&lt;&gt;"",L504&lt;&gt;"",M504&lt;&gt;""),"ГОТОВО","НЕ ГОТОВО"))</f>
        <v/>
      </c>
      <c r="Z504" s="226">
        <f>IF(Y504&lt;&gt;"ГОТОВО","", "Предварительное заключение: "&amp;A504&amp;", скв. "&amp;B504&amp;". МРП: "&amp;E504&amp;" сут. ГНО: "&amp;F504&amp;", типоразмер "&amp;G504&amp;", марка "&amp;H504&amp;". Событие: "&amp;I504&amp;". Признак: "&amp;J504&amp;". Узел: "&amp;K504&amp;". Предварительная причина: "&amp;L504&amp;". Основное осложнение: "&amp;M504&amp;IF(N504&lt;&gt;"","; сопутствующее: "&amp;N504,"")&amp;IF(O504&lt;&gt;"","; дополнительно: "&amp;O504,"")&amp;".")</f>
        <v/>
      </c>
    </row>
    <row r="505">
      <c r="A505" s="75" t="n"/>
      <c r="B505" s="75" t="n"/>
      <c r="C505" s="261" t="n"/>
      <c r="D505" s="261" t="n"/>
      <c r="E505" s="262">
        <f>IF(OR(C505="",D505=""),"",D505-C505)</f>
        <v/>
      </c>
      <c r="F505" s="75" t="n"/>
      <c r="G505" s="75" t="n"/>
      <c r="H505" s="75" t="n"/>
      <c r="I505" s="75" t="n"/>
      <c r="J505" s="75" t="n"/>
      <c r="K505" s="75" t="n"/>
      <c r="L505" s="75" t="n"/>
      <c r="M505" s="75" t="n"/>
      <c r="N505" s="75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226">
        <f>IF(AND(A505="",B505=""),"",IF(AND(A505&lt;&gt;"",B505&lt;&gt;"",C505&lt;&gt;"",D505&lt;&gt;"",F505&lt;&gt;"",G505&lt;&gt;"",H505&lt;&gt;"",ISERROR(SEARCH("по паспорту",G505)),ISERROR(SEARCH("по паспорту",H505)),I505&lt;&gt;"",J505&lt;&gt;"",K505&lt;&gt;"",L505&lt;&gt;"",M505&lt;&gt;""),"ГОТОВО","НЕ ГОТОВО"))</f>
        <v/>
      </c>
      <c r="Z505" s="226">
        <f>IF(Y505&lt;&gt;"ГОТОВО","", "Предварительное заключение: "&amp;A505&amp;", скв. "&amp;B505&amp;". МРП: "&amp;E505&amp;" сут. ГНО: "&amp;F505&amp;", типоразмер "&amp;G505&amp;", марка "&amp;H505&amp;". Событие: "&amp;I505&amp;". Признак: "&amp;J505&amp;". Узел: "&amp;K505&amp;". Предварительная причина: "&amp;L505&amp;". Основное осложнение: "&amp;M505&amp;IF(N505&lt;&gt;"","; сопутствующее: "&amp;N505,"")&amp;IF(O505&lt;&gt;"","; дополнительно: "&amp;O505,"")&amp;".")</f>
        <v/>
      </c>
    </row>
    <row r="506">
      <c r="A506" s="75" t="n"/>
      <c r="B506" s="75" t="n"/>
      <c r="C506" s="261" t="n"/>
      <c r="D506" s="261" t="n"/>
      <c r="E506" s="262">
        <f>IF(OR(C506="",D506=""),"",D506-C506)</f>
        <v/>
      </c>
      <c r="F506" s="75" t="n"/>
      <c r="G506" s="75" t="n"/>
      <c r="H506" s="75" t="n"/>
      <c r="I506" s="75" t="n"/>
      <c r="J506" s="75" t="n"/>
      <c r="K506" s="75" t="n"/>
      <c r="L506" s="75" t="n"/>
      <c r="M506" s="75" t="n"/>
      <c r="N506" s="75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226">
        <f>IF(AND(A506="",B506=""),"",IF(AND(A506&lt;&gt;"",B506&lt;&gt;"",C506&lt;&gt;"",D506&lt;&gt;"",F506&lt;&gt;"",G506&lt;&gt;"",H506&lt;&gt;"",ISERROR(SEARCH("по паспорту",G506)),ISERROR(SEARCH("по паспорту",H506)),I506&lt;&gt;"",J506&lt;&gt;"",K506&lt;&gt;"",L506&lt;&gt;"",M506&lt;&gt;""),"ГОТОВО","НЕ ГОТОВО"))</f>
        <v/>
      </c>
      <c r="Z506" s="226">
        <f>IF(Y506&lt;&gt;"ГОТОВО","", "Предварительное заключение: "&amp;A506&amp;", скв. "&amp;B506&amp;". МРП: "&amp;E506&amp;" сут. ГНО: "&amp;F506&amp;", типоразмер "&amp;G506&amp;", марка "&amp;H506&amp;". Событие: "&amp;I506&amp;". Признак: "&amp;J506&amp;". Узел: "&amp;K506&amp;". Предварительная причина: "&amp;L506&amp;". Основное осложнение: "&amp;M506&amp;IF(N506&lt;&gt;"","; сопутствующее: "&amp;N506,"")&amp;IF(O506&lt;&gt;"","; дополнительно: "&amp;O506,"")&amp;".")</f>
        <v/>
      </c>
    </row>
    <row r="507">
      <c r="A507" s="75" t="n"/>
      <c r="B507" s="75" t="n"/>
      <c r="C507" s="261" t="n"/>
      <c r="D507" s="261" t="n"/>
      <c r="E507" s="262">
        <f>IF(OR(C507="",D507=""),"",D507-C507)</f>
        <v/>
      </c>
      <c r="F507" s="75" t="n"/>
      <c r="G507" s="75" t="n"/>
      <c r="H507" s="75" t="n"/>
      <c r="I507" s="75" t="n"/>
      <c r="J507" s="75" t="n"/>
      <c r="K507" s="75" t="n"/>
      <c r="L507" s="75" t="n"/>
      <c r="M507" s="75" t="n"/>
      <c r="N507" s="75" t="n"/>
      <c r="O507" s="75" t="n"/>
      <c r="P507" s="75" t="n"/>
      <c r="Q507" s="75" t="n"/>
      <c r="R507" s="75" t="n"/>
      <c r="S507" s="75" t="n"/>
      <c r="T507" s="75" t="n"/>
      <c r="U507" s="75" t="n"/>
      <c r="V507" s="75" t="n"/>
      <c r="W507" s="75" t="n"/>
      <c r="X507" s="75" t="n"/>
      <c r="Y507" s="226">
        <f>IF(AND(A507="",B507=""),"",IF(AND(A507&lt;&gt;"",B507&lt;&gt;"",C507&lt;&gt;"",D507&lt;&gt;"",F507&lt;&gt;"",G507&lt;&gt;"",H507&lt;&gt;"",ISERROR(SEARCH("по паспорту",G507)),ISERROR(SEARCH("по паспорту",H507)),I507&lt;&gt;"",J507&lt;&gt;"",K507&lt;&gt;"",L507&lt;&gt;"",M507&lt;&gt;""),"ГОТОВО","НЕ ГОТОВО"))</f>
        <v/>
      </c>
      <c r="Z507" s="226">
        <f>IF(Y507&lt;&gt;"ГОТОВО","", "Предварительное заключение: "&amp;A507&amp;", скв. "&amp;B507&amp;". МРП: "&amp;E507&amp;" сут. ГНО: "&amp;F507&amp;", типоразмер "&amp;G507&amp;", марка "&amp;H507&amp;". Событие: "&amp;I507&amp;". Признак: "&amp;J507&amp;". Узел: "&amp;K507&amp;". Предварительная причина: "&amp;L507&amp;". Основное осложнение: "&amp;M507&amp;IF(N507&lt;&gt;"","; сопутствующее: "&amp;N507,"")&amp;IF(O507&lt;&gt;"","; дополнительно: "&amp;O507,"")&amp;".")</f>
        <v/>
      </c>
    </row>
    <row r="508">
      <c r="A508" s="75" t="n"/>
      <c r="B508" s="75" t="n"/>
      <c r="C508" s="261" t="n"/>
      <c r="D508" s="261" t="n"/>
      <c r="E508" s="262">
        <f>IF(OR(C508="",D508=""),"",D508-C508)</f>
        <v/>
      </c>
      <c r="F508" s="75" t="n"/>
      <c r="G508" s="75" t="n"/>
      <c r="H508" s="75" t="n"/>
      <c r="I508" s="75" t="n"/>
      <c r="J508" s="75" t="n"/>
      <c r="K508" s="75" t="n"/>
      <c r="L508" s="75" t="n"/>
      <c r="M508" s="75" t="n"/>
      <c r="N508" s="75" t="n"/>
      <c r="O508" s="75" t="n"/>
      <c r="P508" s="75" t="n"/>
      <c r="Q508" s="75" t="n"/>
      <c r="R508" s="75" t="n"/>
      <c r="S508" s="75" t="n"/>
      <c r="T508" s="75" t="n"/>
      <c r="U508" s="75" t="n"/>
      <c r="V508" s="75" t="n"/>
      <c r="W508" s="75" t="n"/>
      <c r="X508" s="75" t="n"/>
      <c r="Y508" s="226">
        <f>IF(AND(A508="",B508=""),"",IF(AND(A508&lt;&gt;"",B508&lt;&gt;"",C508&lt;&gt;"",D508&lt;&gt;"",F508&lt;&gt;"",G508&lt;&gt;"",H508&lt;&gt;"",ISERROR(SEARCH("по паспорту",G508)),ISERROR(SEARCH("по паспорту",H508)),I508&lt;&gt;"",J508&lt;&gt;"",K508&lt;&gt;"",L508&lt;&gt;"",M508&lt;&gt;""),"ГОТОВО","НЕ ГОТОВО"))</f>
        <v/>
      </c>
      <c r="Z508" s="226">
        <f>IF(Y508&lt;&gt;"ГОТОВО","", "Предварительное заключение: "&amp;A508&amp;", скв. "&amp;B508&amp;". МРП: "&amp;E508&amp;" сут. ГНО: "&amp;F508&amp;", типоразмер "&amp;G508&amp;", марка "&amp;H508&amp;". Событие: "&amp;I508&amp;". Признак: "&amp;J508&amp;". Узел: "&amp;K508&amp;". Предварительная причина: "&amp;L508&amp;". Основное осложнение: "&amp;M508&amp;IF(N508&lt;&gt;"","; сопутствующее: "&amp;N508,"")&amp;IF(O508&lt;&gt;"","; дополнительно: "&amp;O508,"")&amp;".")</f>
        <v/>
      </c>
    </row>
    <row r="509">
      <c r="A509" s="75" t="n"/>
      <c r="B509" s="75" t="n"/>
      <c r="C509" s="261" t="n"/>
      <c r="D509" s="261" t="n"/>
      <c r="E509" s="262">
        <f>IF(OR(C509="",D509=""),"",D509-C509)</f>
        <v/>
      </c>
      <c r="F509" s="75" t="n"/>
      <c r="G509" s="75" t="n"/>
      <c r="H509" s="75" t="n"/>
      <c r="I509" s="75" t="n"/>
      <c r="J509" s="75" t="n"/>
      <c r="K509" s="75" t="n"/>
      <c r="L509" s="75" t="n"/>
      <c r="M509" s="75" t="n"/>
      <c r="N509" s="75" t="n"/>
      <c r="O509" s="75" t="n"/>
      <c r="P509" s="75" t="n"/>
      <c r="Q509" s="75" t="n"/>
      <c r="R509" s="75" t="n"/>
      <c r="S509" s="75" t="n"/>
      <c r="T509" s="75" t="n"/>
      <c r="U509" s="75" t="n"/>
      <c r="V509" s="75" t="n"/>
      <c r="W509" s="75" t="n"/>
      <c r="X509" s="75" t="n"/>
      <c r="Y509" s="226">
        <f>IF(AND(A509="",B509=""),"",IF(AND(A509&lt;&gt;"",B509&lt;&gt;"",C509&lt;&gt;"",D509&lt;&gt;"",F509&lt;&gt;"",G509&lt;&gt;"",H509&lt;&gt;"",ISERROR(SEARCH("по паспорту",G509)),ISERROR(SEARCH("по паспорту",H509)),I509&lt;&gt;"",J509&lt;&gt;"",K509&lt;&gt;"",L509&lt;&gt;"",M509&lt;&gt;""),"ГОТОВО","НЕ ГОТОВО"))</f>
        <v/>
      </c>
      <c r="Z509" s="226">
        <f>IF(Y509&lt;&gt;"ГОТОВО","", "Предварительное заключение: "&amp;A509&amp;", скв. "&amp;B509&amp;". МРП: "&amp;E509&amp;" сут. ГНО: "&amp;F509&amp;", типоразмер "&amp;G509&amp;", марка "&amp;H509&amp;". Событие: "&amp;I509&amp;". Признак: "&amp;J509&amp;". Узел: "&amp;K509&amp;". Предварительная причина: "&amp;L509&amp;". Основное осложнение: "&amp;M509&amp;IF(N509&lt;&gt;"","; сопутствующее: "&amp;N509,"")&amp;IF(O509&lt;&gt;"","; дополнительно: "&amp;O509,"")&amp;".")</f>
        <v/>
      </c>
    </row>
    <row r="510">
      <c r="A510" s="75" t="n"/>
      <c r="B510" s="75" t="n"/>
      <c r="C510" s="261" t="n"/>
      <c r="D510" s="261" t="n"/>
      <c r="E510" s="262">
        <f>IF(OR(C510="",D510=""),"",D510-C510)</f>
        <v/>
      </c>
      <c r="F510" s="75" t="n"/>
      <c r="G510" s="75" t="n"/>
      <c r="H510" s="75" t="n"/>
      <c r="I510" s="75" t="n"/>
      <c r="J510" s="75" t="n"/>
      <c r="K510" s="75" t="n"/>
      <c r="L510" s="75" t="n"/>
      <c r="M510" s="75" t="n"/>
      <c r="N510" s="75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226">
        <f>IF(AND(A510="",B510=""),"",IF(AND(A510&lt;&gt;"",B510&lt;&gt;"",C510&lt;&gt;"",D510&lt;&gt;"",F510&lt;&gt;"",G510&lt;&gt;"",H510&lt;&gt;"",ISERROR(SEARCH("по паспорту",G510)),ISERROR(SEARCH("по паспорту",H510)),I510&lt;&gt;"",J510&lt;&gt;"",K510&lt;&gt;"",L510&lt;&gt;"",M510&lt;&gt;""),"ГОТОВО","НЕ ГОТОВО"))</f>
        <v/>
      </c>
      <c r="Z510" s="226">
        <f>IF(Y510&lt;&gt;"ГОТОВО","", "Предварительное заключение: "&amp;A510&amp;", скв. "&amp;B510&amp;". МРП: "&amp;E510&amp;" сут. ГНО: "&amp;F510&amp;", типоразмер "&amp;G510&amp;", марка "&amp;H510&amp;". Событие: "&amp;I510&amp;". Признак: "&amp;J510&amp;". Узел: "&amp;K510&amp;". Предварительная причина: "&amp;L510&amp;". Основное осложнение: "&amp;M510&amp;IF(N510&lt;&gt;"","; сопутствующее: "&amp;N510,"")&amp;IF(O510&lt;&gt;"","; дополнительно: "&amp;O510,"")&amp;".")</f>
        <v/>
      </c>
    </row>
    <row r="511">
      <c r="A511" s="75" t="n"/>
      <c r="B511" s="75" t="n"/>
      <c r="C511" s="261" t="n"/>
      <c r="D511" s="261" t="n"/>
      <c r="E511" s="262">
        <f>IF(OR(C511="",D511=""),"",D511-C511)</f>
        <v/>
      </c>
      <c r="F511" s="75" t="n"/>
      <c r="G511" s="75" t="n"/>
      <c r="H511" s="75" t="n"/>
      <c r="I511" s="75" t="n"/>
      <c r="J511" s="75" t="n"/>
      <c r="K511" s="75" t="n"/>
      <c r="L511" s="75" t="n"/>
      <c r="M511" s="75" t="n"/>
      <c r="N511" s="75" t="n"/>
      <c r="O511" s="75" t="n"/>
      <c r="P511" s="75" t="n"/>
      <c r="Q511" s="75" t="n"/>
      <c r="R511" s="75" t="n"/>
      <c r="S511" s="75" t="n"/>
      <c r="T511" s="75" t="n"/>
      <c r="U511" s="75" t="n"/>
      <c r="V511" s="75" t="n"/>
      <c r="W511" s="75" t="n"/>
      <c r="X511" s="75" t="n"/>
      <c r="Y511" s="226">
        <f>IF(AND(A511="",B511=""),"",IF(AND(A511&lt;&gt;"",B511&lt;&gt;"",C511&lt;&gt;"",D511&lt;&gt;"",F511&lt;&gt;"",G511&lt;&gt;"",H511&lt;&gt;"",ISERROR(SEARCH("по паспорту",G511)),ISERROR(SEARCH("по паспорту",H511)),I511&lt;&gt;"",J511&lt;&gt;"",K511&lt;&gt;"",L511&lt;&gt;"",M511&lt;&gt;""),"ГОТОВО","НЕ ГОТОВО"))</f>
        <v/>
      </c>
      <c r="Z511" s="226">
        <f>IF(Y511&lt;&gt;"ГОТОВО","", "Предварительное заключение: "&amp;A511&amp;", скв. "&amp;B511&amp;". МРП: "&amp;E511&amp;" сут. ГНО: "&amp;F511&amp;", типоразмер "&amp;G511&amp;", марка "&amp;H511&amp;". Событие: "&amp;I511&amp;". Признак: "&amp;J511&amp;". Узел: "&amp;K511&amp;". Предварительная причина: "&amp;L511&amp;". Основное осложнение: "&amp;M511&amp;IF(N511&lt;&gt;"","; сопутствующее: "&amp;N511,"")&amp;IF(O511&lt;&gt;"","; дополнительно: "&amp;O511,"")&amp;".")</f>
        <v/>
      </c>
    </row>
    <row r="512">
      <c r="A512" s="75" t="n"/>
      <c r="B512" s="75" t="n"/>
      <c r="C512" s="261" t="n"/>
      <c r="D512" s="261" t="n"/>
      <c r="E512" s="262">
        <f>IF(OR(C512="",D512=""),"",D512-C512)</f>
        <v/>
      </c>
      <c r="F512" s="75" t="n"/>
      <c r="G512" s="75" t="n"/>
      <c r="H512" s="75" t="n"/>
      <c r="I512" s="75" t="n"/>
      <c r="J512" s="75" t="n"/>
      <c r="K512" s="75" t="n"/>
      <c r="L512" s="75" t="n"/>
      <c r="M512" s="75" t="n"/>
      <c r="N512" s="75" t="n"/>
      <c r="O512" s="75" t="n"/>
      <c r="P512" s="75" t="n"/>
      <c r="Q512" s="75" t="n"/>
      <c r="R512" s="75" t="n"/>
      <c r="S512" s="75" t="n"/>
      <c r="T512" s="75" t="n"/>
      <c r="U512" s="75" t="n"/>
      <c r="V512" s="75" t="n"/>
      <c r="W512" s="75" t="n"/>
      <c r="X512" s="75" t="n"/>
      <c r="Y512" s="226">
        <f>IF(AND(A512="",B512=""),"",IF(AND(A512&lt;&gt;"",B512&lt;&gt;"",C512&lt;&gt;"",D512&lt;&gt;"",F512&lt;&gt;"",G512&lt;&gt;"",H512&lt;&gt;"",ISERROR(SEARCH("по паспорту",G512)),ISERROR(SEARCH("по паспорту",H512)),I512&lt;&gt;"",J512&lt;&gt;"",K512&lt;&gt;"",L512&lt;&gt;"",M512&lt;&gt;""),"ГОТОВО","НЕ ГОТОВО"))</f>
        <v/>
      </c>
      <c r="Z512" s="226">
        <f>IF(Y512&lt;&gt;"ГОТОВО","", "Предварительное заключение: "&amp;A512&amp;", скв. "&amp;B512&amp;". МРП: "&amp;E512&amp;" сут. ГНО: "&amp;F512&amp;", типоразмер "&amp;G512&amp;", марка "&amp;H512&amp;". Событие: "&amp;I512&amp;". Признак: "&amp;J512&amp;". Узел: "&amp;K512&amp;". Предварительная причина: "&amp;L512&amp;". Основное осложнение: "&amp;M512&amp;IF(N512&lt;&gt;"","; сопутствующее: "&amp;N512,"")&amp;IF(O512&lt;&gt;"","; дополнительно: "&amp;O512,"")&amp;".")</f>
        <v/>
      </c>
    </row>
    <row r="513">
      <c r="A513" s="75" t="n"/>
      <c r="B513" s="75" t="n"/>
      <c r="C513" s="261" t="n"/>
      <c r="D513" s="261" t="n"/>
      <c r="E513" s="262">
        <f>IF(OR(C513="",D513=""),"",D513-C513)</f>
        <v/>
      </c>
      <c r="F513" s="75" t="n"/>
      <c r="G513" s="75" t="n"/>
      <c r="H513" s="75" t="n"/>
      <c r="I513" s="75" t="n"/>
      <c r="J513" s="75" t="n"/>
      <c r="K513" s="75" t="n"/>
      <c r="L513" s="75" t="n"/>
      <c r="M513" s="75" t="n"/>
      <c r="N513" s="75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226">
        <f>IF(AND(A513="",B513=""),"",IF(AND(A513&lt;&gt;"",B513&lt;&gt;"",C513&lt;&gt;"",D513&lt;&gt;"",F513&lt;&gt;"",G513&lt;&gt;"",H513&lt;&gt;"",ISERROR(SEARCH("по паспорту",G513)),ISERROR(SEARCH("по паспорту",H513)),I513&lt;&gt;"",J513&lt;&gt;"",K513&lt;&gt;"",L513&lt;&gt;"",M513&lt;&gt;""),"ГОТОВО","НЕ ГОТОВО"))</f>
        <v/>
      </c>
      <c r="Z513" s="226">
        <f>IF(Y513&lt;&gt;"ГОТОВО","", "Предварительное заключение: "&amp;A513&amp;", скв. "&amp;B513&amp;". МРП: "&amp;E513&amp;" сут. ГНО: "&amp;F513&amp;", типоразмер "&amp;G513&amp;", марка "&amp;H513&amp;". Событие: "&amp;I513&amp;". Признак: "&amp;J513&amp;". Узел: "&amp;K513&amp;". Предварительная причина: "&amp;L513&amp;". Основное осложнение: "&amp;M513&amp;IF(N513&lt;&gt;"","; сопутствующее: "&amp;N513,"")&amp;IF(O513&lt;&gt;"","; дополнительно: "&amp;O513,"")&amp;".")</f>
        <v/>
      </c>
    </row>
    <row r="514">
      <c r="A514" s="75" t="n"/>
      <c r="B514" s="75" t="n"/>
      <c r="C514" s="261" t="n"/>
      <c r="D514" s="261" t="n"/>
      <c r="E514" s="262">
        <f>IF(OR(C514="",D514=""),"",D514-C514)</f>
        <v/>
      </c>
      <c r="F514" s="75" t="n"/>
      <c r="G514" s="75" t="n"/>
      <c r="H514" s="75" t="n"/>
      <c r="I514" s="75" t="n"/>
      <c r="J514" s="75" t="n"/>
      <c r="K514" s="75" t="n"/>
      <c r="L514" s="75" t="n"/>
      <c r="M514" s="75" t="n"/>
      <c r="N514" s="75" t="n"/>
      <c r="O514" s="75" t="n"/>
      <c r="P514" s="75" t="n"/>
      <c r="Q514" s="75" t="n"/>
      <c r="R514" s="75" t="n"/>
      <c r="S514" s="75" t="n"/>
      <c r="T514" s="75" t="n"/>
      <c r="U514" s="75" t="n"/>
      <c r="V514" s="75" t="n"/>
      <c r="W514" s="75" t="n"/>
      <c r="X514" s="75" t="n"/>
      <c r="Y514" s="226">
        <f>IF(AND(A514="",B514=""),"",IF(AND(A514&lt;&gt;"",B514&lt;&gt;"",C514&lt;&gt;"",D514&lt;&gt;"",F514&lt;&gt;"",G514&lt;&gt;"",H514&lt;&gt;"",ISERROR(SEARCH("по паспорту",G514)),ISERROR(SEARCH("по паспорту",H514)),I514&lt;&gt;"",J514&lt;&gt;"",K514&lt;&gt;"",L514&lt;&gt;"",M514&lt;&gt;""),"ГОТОВО","НЕ ГОТОВО"))</f>
        <v/>
      </c>
      <c r="Z514" s="226">
        <f>IF(Y514&lt;&gt;"ГОТОВО","", "Предварительное заключение: "&amp;A514&amp;", скв. "&amp;B514&amp;". МРП: "&amp;E514&amp;" сут. ГНО: "&amp;F514&amp;", типоразмер "&amp;G514&amp;", марка "&amp;H514&amp;". Событие: "&amp;I514&amp;". Признак: "&amp;J514&amp;". Узел: "&amp;K514&amp;". Предварительная причина: "&amp;L514&amp;". Основное осложнение: "&amp;M514&amp;IF(N514&lt;&gt;"","; сопутствующее: "&amp;N514,"")&amp;IF(O514&lt;&gt;"","; дополнительно: "&amp;O514,"")&amp;".")</f>
        <v/>
      </c>
    </row>
    <row r="515">
      <c r="A515" s="75" t="n"/>
      <c r="B515" s="75" t="n"/>
      <c r="C515" s="261" t="n"/>
      <c r="D515" s="261" t="n"/>
      <c r="E515" s="262">
        <f>IF(OR(C515="",D515=""),"",D515-C515)</f>
        <v/>
      </c>
      <c r="F515" s="75" t="n"/>
      <c r="G515" s="75" t="n"/>
      <c r="H515" s="75" t="n"/>
      <c r="I515" s="75" t="n"/>
      <c r="J515" s="75" t="n"/>
      <c r="K515" s="75" t="n"/>
      <c r="L515" s="75" t="n"/>
      <c r="M515" s="75" t="n"/>
      <c r="N515" s="75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226">
        <f>IF(AND(A515="",B515=""),"",IF(AND(A515&lt;&gt;"",B515&lt;&gt;"",C515&lt;&gt;"",D515&lt;&gt;"",F515&lt;&gt;"",G515&lt;&gt;"",H515&lt;&gt;"",ISERROR(SEARCH("по паспорту",G515)),ISERROR(SEARCH("по паспорту",H515)),I515&lt;&gt;"",J515&lt;&gt;"",K515&lt;&gt;"",L515&lt;&gt;"",M515&lt;&gt;""),"ГОТОВО","НЕ ГОТОВО"))</f>
        <v/>
      </c>
      <c r="Z515" s="226">
        <f>IF(Y515&lt;&gt;"ГОТОВО","", "Предварительное заключение: "&amp;A515&amp;", скв. "&amp;B515&amp;". МРП: "&amp;E515&amp;" сут. ГНО: "&amp;F515&amp;", типоразмер "&amp;G515&amp;", марка "&amp;H515&amp;". Событие: "&amp;I515&amp;". Признак: "&amp;J515&amp;". Узел: "&amp;K515&amp;". Предварительная причина: "&amp;L515&amp;". Основное осложнение: "&amp;M515&amp;IF(N515&lt;&gt;"","; сопутствующее: "&amp;N515,"")&amp;IF(O515&lt;&gt;"","; дополнительно: "&amp;O515,"")&amp;".")</f>
        <v/>
      </c>
    </row>
    <row r="516">
      <c r="A516" s="75" t="n"/>
      <c r="B516" s="75" t="n"/>
      <c r="C516" s="261" t="n"/>
      <c r="D516" s="261" t="n"/>
      <c r="E516" s="262">
        <f>IF(OR(C516="",D516=""),"",D516-C516)</f>
        <v/>
      </c>
      <c r="F516" s="75" t="n"/>
      <c r="G516" s="75" t="n"/>
      <c r="H516" s="75" t="n"/>
      <c r="I516" s="75" t="n"/>
      <c r="J516" s="75" t="n"/>
      <c r="K516" s="75" t="n"/>
      <c r="L516" s="75" t="n"/>
      <c r="M516" s="75" t="n"/>
      <c r="N516" s="75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226">
        <f>IF(AND(A516="",B516=""),"",IF(AND(A516&lt;&gt;"",B516&lt;&gt;"",C516&lt;&gt;"",D516&lt;&gt;"",F516&lt;&gt;"",G516&lt;&gt;"",H516&lt;&gt;"",ISERROR(SEARCH("по паспорту",G516)),ISERROR(SEARCH("по паспорту",H516)),I516&lt;&gt;"",J516&lt;&gt;"",K516&lt;&gt;"",L516&lt;&gt;"",M516&lt;&gt;""),"ГОТОВО","НЕ ГОТОВО"))</f>
        <v/>
      </c>
      <c r="Z516" s="226">
        <f>IF(Y516&lt;&gt;"ГОТОВО","", "Предварительное заключение: "&amp;A516&amp;", скв. "&amp;B516&amp;". МРП: "&amp;E516&amp;" сут. ГНО: "&amp;F516&amp;", типоразмер "&amp;G516&amp;", марка "&amp;H516&amp;". Событие: "&amp;I516&amp;". Признак: "&amp;J516&amp;". Узел: "&amp;K516&amp;". Предварительная причина: "&amp;L516&amp;". Основное осложнение: "&amp;M516&amp;IF(N516&lt;&gt;"","; сопутствующее: "&amp;N516,"")&amp;IF(O516&lt;&gt;"","; дополнительно: "&amp;O516,"")&amp;".")</f>
        <v/>
      </c>
    </row>
    <row r="517">
      <c r="A517" s="75" t="n"/>
      <c r="B517" s="75" t="n"/>
      <c r="C517" s="261" t="n"/>
      <c r="D517" s="261" t="n"/>
      <c r="E517" s="262">
        <f>IF(OR(C517="",D517=""),"",D517-C517)</f>
        <v/>
      </c>
      <c r="F517" s="75" t="n"/>
      <c r="G517" s="75" t="n"/>
      <c r="H517" s="75" t="n"/>
      <c r="I517" s="75" t="n"/>
      <c r="J517" s="75" t="n"/>
      <c r="K517" s="75" t="n"/>
      <c r="L517" s="75" t="n"/>
      <c r="M517" s="75" t="n"/>
      <c r="N517" s="75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226">
        <f>IF(AND(A517="",B517=""),"",IF(AND(A517&lt;&gt;"",B517&lt;&gt;"",C517&lt;&gt;"",D517&lt;&gt;"",F517&lt;&gt;"",G517&lt;&gt;"",H517&lt;&gt;"",ISERROR(SEARCH("по паспорту",G517)),ISERROR(SEARCH("по паспорту",H517)),I517&lt;&gt;"",J517&lt;&gt;"",K517&lt;&gt;"",L517&lt;&gt;"",M517&lt;&gt;""),"ГОТОВО","НЕ ГОТОВО"))</f>
        <v/>
      </c>
      <c r="Z517" s="226">
        <f>IF(Y517&lt;&gt;"ГОТОВО","", "Предварительное заключение: "&amp;A517&amp;", скв. "&amp;B517&amp;". МРП: "&amp;E517&amp;" сут. ГНО: "&amp;F517&amp;", типоразмер "&amp;G517&amp;", марка "&amp;H517&amp;". Событие: "&amp;I517&amp;". Признак: "&amp;J517&amp;". Узел: "&amp;K517&amp;". Предварительная причина: "&amp;L517&amp;". Основное осложнение: "&amp;M517&amp;IF(N517&lt;&gt;"","; сопутствующее: "&amp;N517,"")&amp;IF(O517&lt;&gt;"","; дополнительно: "&amp;O517,"")&amp;".")</f>
        <v/>
      </c>
    </row>
    <row r="518">
      <c r="A518" s="75" t="n"/>
      <c r="B518" s="75" t="n"/>
      <c r="C518" s="261" t="n"/>
      <c r="D518" s="261" t="n"/>
      <c r="E518" s="262">
        <f>IF(OR(C518="",D518=""),"",D518-C518)</f>
        <v/>
      </c>
      <c r="F518" s="75" t="n"/>
      <c r="G518" s="75" t="n"/>
      <c r="H518" s="75" t="n"/>
      <c r="I518" s="75" t="n"/>
      <c r="J518" s="75" t="n"/>
      <c r="K518" s="75" t="n"/>
      <c r="L518" s="75" t="n"/>
      <c r="M518" s="75" t="n"/>
      <c r="N518" s="75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226">
        <f>IF(AND(A518="",B518=""),"",IF(AND(A518&lt;&gt;"",B518&lt;&gt;"",C518&lt;&gt;"",D518&lt;&gt;"",F518&lt;&gt;"",G518&lt;&gt;"",H518&lt;&gt;"",ISERROR(SEARCH("по паспорту",G518)),ISERROR(SEARCH("по паспорту",H518)),I518&lt;&gt;"",J518&lt;&gt;"",K518&lt;&gt;"",L518&lt;&gt;"",M518&lt;&gt;""),"ГОТОВО","НЕ ГОТОВО"))</f>
        <v/>
      </c>
      <c r="Z518" s="226">
        <f>IF(Y518&lt;&gt;"ГОТОВО","", "Предварительное заключение: "&amp;A518&amp;", скв. "&amp;B518&amp;". МРП: "&amp;E518&amp;" сут. ГНО: "&amp;F518&amp;", типоразмер "&amp;G518&amp;", марка "&amp;H518&amp;". Событие: "&amp;I518&amp;". Признак: "&amp;J518&amp;". Узел: "&amp;K518&amp;". Предварительная причина: "&amp;L518&amp;". Основное осложнение: "&amp;M518&amp;IF(N518&lt;&gt;"","; сопутствующее: "&amp;N518,"")&amp;IF(O518&lt;&gt;"","; дополнительно: "&amp;O518,"")&amp;".")</f>
        <v/>
      </c>
    </row>
    <row r="519">
      <c r="A519" s="75" t="n"/>
      <c r="B519" s="75" t="n"/>
      <c r="C519" s="261" t="n"/>
      <c r="D519" s="261" t="n"/>
      <c r="E519" s="262">
        <f>IF(OR(C519="",D519=""),"",D519-C519)</f>
        <v/>
      </c>
      <c r="F519" s="75" t="n"/>
      <c r="G519" s="75" t="n"/>
      <c r="H519" s="75" t="n"/>
      <c r="I519" s="75" t="n"/>
      <c r="J519" s="75" t="n"/>
      <c r="K519" s="75" t="n"/>
      <c r="L519" s="75" t="n"/>
      <c r="M519" s="75" t="n"/>
      <c r="N519" s="75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226">
        <f>IF(AND(A519="",B519=""),"",IF(AND(A519&lt;&gt;"",B519&lt;&gt;"",C519&lt;&gt;"",D519&lt;&gt;"",F519&lt;&gt;"",G519&lt;&gt;"",H519&lt;&gt;"",ISERROR(SEARCH("по паспорту",G519)),ISERROR(SEARCH("по паспорту",H519)),I519&lt;&gt;"",J519&lt;&gt;"",K519&lt;&gt;"",L519&lt;&gt;"",M519&lt;&gt;""),"ГОТОВО","НЕ ГОТОВО"))</f>
        <v/>
      </c>
      <c r="Z519" s="226">
        <f>IF(Y519&lt;&gt;"ГОТОВО","", "Предварительное заключение: "&amp;A519&amp;", скв. "&amp;B519&amp;". МРП: "&amp;E519&amp;" сут. ГНО: "&amp;F519&amp;", типоразмер "&amp;G519&amp;", марка "&amp;H519&amp;". Событие: "&amp;I519&amp;". Признак: "&amp;J519&amp;". Узел: "&amp;K519&amp;". Предварительная причина: "&amp;L519&amp;". Основное осложнение: "&amp;M519&amp;IF(N519&lt;&gt;"","; сопутствующее: "&amp;N519,"")&amp;IF(O519&lt;&gt;"","; дополнительно: "&amp;O519,"")&amp;".")</f>
        <v/>
      </c>
    </row>
    <row r="520">
      <c r="A520" s="75" t="n"/>
      <c r="B520" s="75" t="n"/>
      <c r="C520" s="261" t="n"/>
      <c r="D520" s="261" t="n"/>
      <c r="E520" s="262">
        <f>IF(OR(C520="",D520=""),"",D520-C520)</f>
        <v/>
      </c>
      <c r="F520" s="75" t="n"/>
      <c r="G520" s="75" t="n"/>
      <c r="H520" s="75" t="n"/>
      <c r="I520" s="75" t="n"/>
      <c r="J520" s="75" t="n"/>
      <c r="K520" s="75" t="n"/>
      <c r="L520" s="75" t="n"/>
      <c r="M520" s="75" t="n"/>
      <c r="N520" s="75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226">
        <f>IF(AND(A520="",B520=""),"",IF(AND(A520&lt;&gt;"",B520&lt;&gt;"",C520&lt;&gt;"",D520&lt;&gt;"",F520&lt;&gt;"",G520&lt;&gt;"",H520&lt;&gt;"",ISERROR(SEARCH("по паспорту",G520)),ISERROR(SEARCH("по паспорту",H520)),I520&lt;&gt;"",J520&lt;&gt;"",K520&lt;&gt;"",L520&lt;&gt;"",M520&lt;&gt;""),"ГОТОВО","НЕ ГОТОВО"))</f>
        <v/>
      </c>
      <c r="Z520" s="226">
        <f>IF(Y520&lt;&gt;"ГОТОВО","", "Предварительное заключение: "&amp;A520&amp;", скв. "&amp;B520&amp;". МРП: "&amp;E520&amp;" сут. ГНО: "&amp;F520&amp;", типоразмер "&amp;G520&amp;", марка "&amp;H520&amp;". Событие: "&amp;I520&amp;". Признак: "&amp;J520&amp;". Узел: "&amp;K520&amp;". Предварительная причина: "&amp;L520&amp;". Основное осложнение: "&amp;M520&amp;IF(N520&lt;&gt;"","; сопутствующее: "&amp;N520,"")&amp;IF(O520&lt;&gt;"","; дополнительно: "&amp;O520,"")&amp;".")</f>
        <v/>
      </c>
    </row>
    <row r="521">
      <c r="A521" s="75" t="n"/>
      <c r="B521" s="75" t="n"/>
      <c r="C521" s="261" t="n"/>
      <c r="D521" s="261" t="n"/>
      <c r="E521" s="262">
        <f>IF(OR(C521="",D521=""),"",D521-C521)</f>
        <v/>
      </c>
      <c r="F521" s="75" t="n"/>
      <c r="G521" s="75" t="n"/>
      <c r="H521" s="75" t="n"/>
      <c r="I521" s="75" t="n"/>
      <c r="J521" s="75" t="n"/>
      <c r="K521" s="75" t="n"/>
      <c r="L521" s="75" t="n"/>
      <c r="M521" s="75" t="n"/>
      <c r="N521" s="75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226">
        <f>IF(AND(A521="",B521=""),"",IF(AND(A521&lt;&gt;"",B521&lt;&gt;"",C521&lt;&gt;"",D521&lt;&gt;"",F521&lt;&gt;"",G521&lt;&gt;"",H521&lt;&gt;"",ISERROR(SEARCH("по паспорту",G521)),ISERROR(SEARCH("по паспорту",H521)),I521&lt;&gt;"",J521&lt;&gt;"",K521&lt;&gt;"",L521&lt;&gt;"",M521&lt;&gt;""),"ГОТОВО","НЕ ГОТОВО"))</f>
        <v/>
      </c>
      <c r="Z521" s="226">
        <f>IF(Y521&lt;&gt;"ГОТОВО","", "Предварительное заключение: "&amp;A521&amp;", скв. "&amp;B521&amp;". МРП: "&amp;E521&amp;" сут. ГНО: "&amp;F521&amp;", типоразмер "&amp;G521&amp;", марка "&amp;H521&amp;". Событие: "&amp;I521&amp;". Признак: "&amp;J521&amp;". Узел: "&amp;K521&amp;". Предварительная причина: "&amp;L521&amp;". Основное осложнение: "&amp;M521&amp;IF(N521&lt;&gt;"","; сопутствующее: "&amp;N521,"")&amp;IF(O521&lt;&gt;"","; дополнительно: "&amp;O521,"")&amp;".")</f>
        <v/>
      </c>
    </row>
    <row r="522">
      <c r="A522" s="75" t="n"/>
      <c r="B522" s="75" t="n"/>
      <c r="C522" s="261" t="n"/>
      <c r="D522" s="261" t="n"/>
      <c r="E522" s="262">
        <f>IF(OR(C522="",D522=""),"",D522-C522)</f>
        <v/>
      </c>
      <c r="F522" s="75" t="n"/>
      <c r="G522" s="75" t="n"/>
      <c r="H522" s="75" t="n"/>
      <c r="I522" s="75" t="n"/>
      <c r="J522" s="75" t="n"/>
      <c r="K522" s="75" t="n"/>
      <c r="L522" s="75" t="n"/>
      <c r="M522" s="75" t="n"/>
      <c r="N522" s="75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226">
        <f>IF(AND(A522="",B522=""),"",IF(AND(A522&lt;&gt;"",B522&lt;&gt;"",C522&lt;&gt;"",D522&lt;&gt;"",F522&lt;&gt;"",G522&lt;&gt;"",H522&lt;&gt;"",ISERROR(SEARCH("по паспорту",G522)),ISERROR(SEARCH("по паспорту",H522)),I522&lt;&gt;"",J522&lt;&gt;"",K522&lt;&gt;"",L522&lt;&gt;"",M522&lt;&gt;""),"ГОТОВО","НЕ ГОТОВО"))</f>
        <v/>
      </c>
      <c r="Z522" s="226">
        <f>IF(Y522&lt;&gt;"ГОТОВО","", "Предварительное заключение: "&amp;A522&amp;", скв. "&amp;B522&amp;". МРП: "&amp;E522&amp;" сут. ГНО: "&amp;F522&amp;", типоразмер "&amp;G522&amp;", марка "&amp;H522&amp;". Событие: "&amp;I522&amp;". Признак: "&amp;J522&amp;". Узел: "&amp;K522&amp;". Предварительная причина: "&amp;L522&amp;". Основное осложнение: "&amp;M522&amp;IF(N522&lt;&gt;"","; сопутствующее: "&amp;N522,"")&amp;IF(O522&lt;&gt;"","; дополнительно: "&amp;O522,"")&amp;".")</f>
        <v/>
      </c>
    </row>
    <row r="523">
      <c r="A523" s="75" t="n"/>
      <c r="B523" s="75" t="n"/>
      <c r="C523" s="261" t="n"/>
      <c r="D523" s="261" t="n"/>
      <c r="E523" s="262">
        <f>IF(OR(C523="",D523=""),"",D523-C523)</f>
        <v/>
      </c>
      <c r="F523" s="75" t="n"/>
      <c r="G523" s="75" t="n"/>
      <c r="H523" s="75" t="n"/>
      <c r="I523" s="75" t="n"/>
      <c r="J523" s="75" t="n"/>
      <c r="K523" s="75" t="n"/>
      <c r="L523" s="75" t="n"/>
      <c r="M523" s="75" t="n"/>
      <c r="N523" s="75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226">
        <f>IF(AND(A523="",B523=""),"",IF(AND(A523&lt;&gt;"",B523&lt;&gt;"",C523&lt;&gt;"",D523&lt;&gt;"",F523&lt;&gt;"",G523&lt;&gt;"",H523&lt;&gt;"",ISERROR(SEARCH("по паспорту",G523)),ISERROR(SEARCH("по паспорту",H523)),I523&lt;&gt;"",J523&lt;&gt;"",K523&lt;&gt;"",L523&lt;&gt;"",M523&lt;&gt;""),"ГОТОВО","НЕ ГОТОВО"))</f>
        <v/>
      </c>
      <c r="Z523" s="226">
        <f>IF(Y523&lt;&gt;"ГОТОВО","", "Предварительное заключение: "&amp;A523&amp;", скв. "&amp;B523&amp;". МРП: "&amp;E523&amp;" сут. ГНО: "&amp;F523&amp;", типоразмер "&amp;G523&amp;", марка "&amp;H523&amp;". Событие: "&amp;I523&amp;". Признак: "&amp;J523&amp;". Узел: "&amp;K523&amp;". Предварительная причина: "&amp;L523&amp;". Основное осложнение: "&amp;M523&amp;IF(N523&lt;&gt;"","; сопутствующее: "&amp;N523,"")&amp;IF(O523&lt;&gt;"","; дополнительно: "&amp;O523,"")&amp;".")</f>
        <v/>
      </c>
    </row>
    <row r="524">
      <c r="A524" s="75" t="n"/>
      <c r="B524" s="75" t="n"/>
      <c r="C524" s="261" t="n"/>
      <c r="D524" s="261" t="n"/>
      <c r="E524" s="262">
        <f>IF(OR(C524="",D524=""),"",D524-C524)</f>
        <v/>
      </c>
      <c r="F524" s="75" t="n"/>
      <c r="G524" s="75" t="n"/>
      <c r="H524" s="75" t="n"/>
      <c r="I524" s="75" t="n"/>
      <c r="J524" s="75" t="n"/>
      <c r="K524" s="75" t="n"/>
      <c r="L524" s="75" t="n"/>
      <c r="M524" s="75" t="n"/>
      <c r="N524" s="75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226">
        <f>IF(AND(A524="",B524=""),"",IF(AND(A524&lt;&gt;"",B524&lt;&gt;"",C524&lt;&gt;"",D524&lt;&gt;"",F524&lt;&gt;"",G524&lt;&gt;"",H524&lt;&gt;"",ISERROR(SEARCH("по паспорту",G524)),ISERROR(SEARCH("по паспорту",H524)),I524&lt;&gt;"",J524&lt;&gt;"",K524&lt;&gt;"",L524&lt;&gt;"",M524&lt;&gt;""),"ГОТОВО","НЕ ГОТОВО"))</f>
        <v/>
      </c>
      <c r="Z524" s="226">
        <f>IF(Y524&lt;&gt;"ГОТОВО","", "Предварительное заключение: "&amp;A524&amp;", скв. "&amp;B524&amp;". МРП: "&amp;E524&amp;" сут. ГНО: "&amp;F524&amp;", типоразмер "&amp;G524&amp;", марка "&amp;H524&amp;". Событие: "&amp;I524&amp;". Признак: "&amp;J524&amp;". Узел: "&amp;K524&amp;". Предварительная причина: "&amp;L524&amp;". Основное осложнение: "&amp;M524&amp;IF(N524&lt;&gt;"","; сопутствующее: "&amp;N524,"")&amp;IF(O524&lt;&gt;"","; дополнительно: "&amp;O524,"")&amp;".")</f>
        <v/>
      </c>
    </row>
    <row r="525">
      <c r="A525" s="75" t="n"/>
      <c r="B525" s="75" t="n"/>
      <c r="C525" s="261" t="n"/>
      <c r="D525" s="261" t="n"/>
      <c r="E525" s="262">
        <f>IF(OR(C525="",D525=""),"",D525-C525)</f>
        <v/>
      </c>
      <c r="F525" s="75" t="n"/>
      <c r="G525" s="75" t="n"/>
      <c r="H525" s="75" t="n"/>
      <c r="I525" s="75" t="n"/>
      <c r="J525" s="75" t="n"/>
      <c r="K525" s="75" t="n"/>
      <c r="L525" s="75" t="n"/>
      <c r="M525" s="75" t="n"/>
      <c r="N525" s="75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226">
        <f>IF(AND(A525="",B525=""),"",IF(AND(A525&lt;&gt;"",B525&lt;&gt;"",C525&lt;&gt;"",D525&lt;&gt;"",F525&lt;&gt;"",G525&lt;&gt;"",H525&lt;&gt;"",ISERROR(SEARCH("по паспорту",G525)),ISERROR(SEARCH("по паспорту",H525)),I525&lt;&gt;"",J525&lt;&gt;"",K525&lt;&gt;"",L525&lt;&gt;"",M525&lt;&gt;""),"ГОТОВО","НЕ ГОТОВО"))</f>
        <v/>
      </c>
      <c r="Z525" s="226">
        <f>IF(Y525&lt;&gt;"ГОТОВО","", "Предварительное заключение: "&amp;A525&amp;", скв. "&amp;B525&amp;". МРП: "&amp;E525&amp;" сут. ГНО: "&amp;F525&amp;", типоразмер "&amp;G525&amp;", марка "&amp;H525&amp;". Событие: "&amp;I525&amp;". Признак: "&amp;J525&amp;". Узел: "&amp;K525&amp;". Предварительная причина: "&amp;L525&amp;". Основное осложнение: "&amp;M525&amp;IF(N525&lt;&gt;"","; сопутствующее: "&amp;N525,"")&amp;IF(O525&lt;&gt;"","; дополнительно: "&amp;O525,"")&amp;".")</f>
        <v/>
      </c>
    </row>
    <row r="526">
      <c r="A526" s="75" t="n"/>
      <c r="B526" s="75" t="n"/>
      <c r="C526" s="261" t="n"/>
      <c r="D526" s="261" t="n"/>
      <c r="E526" s="262">
        <f>IF(OR(C526="",D526=""),"",D526-C526)</f>
        <v/>
      </c>
      <c r="F526" s="75" t="n"/>
      <c r="G526" s="75" t="n"/>
      <c r="H526" s="75" t="n"/>
      <c r="I526" s="75" t="n"/>
      <c r="J526" s="75" t="n"/>
      <c r="K526" s="75" t="n"/>
      <c r="L526" s="75" t="n"/>
      <c r="M526" s="75" t="n"/>
      <c r="N526" s="75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226">
        <f>IF(AND(A526="",B526=""),"",IF(AND(A526&lt;&gt;"",B526&lt;&gt;"",C526&lt;&gt;"",D526&lt;&gt;"",F526&lt;&gt;"",G526&lt;&gt;"",H526&lt;&gt;"",ISERROR(SEARCH("по паспорту",G526)),ISERROR(SEARCH("по паспорту",H526)),I526&lt;&gt;"",J526&lt;&gt;"",K526&lt;&gt;"",L526&lt;&gt;"",M526&lt;&gt;""),"ГОТОВО","НЕ ГОТОВО"))</f>
        <v/>
      </c>
      <c r="Z526" s="226">
        <f>IF(Y526&lt;&gt;"ГОТОВО","", "Предварительное заключение: "&amp;A526&amp;", скв. "&amp;B526&amp;". МРП: "&amp;E526&amp;" сут. ГНО: "&amp;F526&amp;", типоразмер "&amp;G526&amp;", марка "&amp;H526&amp;". Событие: "&amp;I526&amp;". Признак: "&amp;J526&amp;". Узел: "&amp;K526&amp;". Предварительная причина: "&amp;L526&amp;". Основное осложнение: "&amp;M526&amp;IF(N526&lt;&gt;"","; сопутствующее: "&amp;N526,"")&amp;IF(O526&lt;&gt;"","; дополнительно: "&amp;O526,"")&amp;".")</f>
        <v/>
      </c>
    </row>
    <row r="527">
      <c r="A527" s="75" t="n"/>
      <c r="B527" s="75" t="n"/>
      <c r="C527" s="261" t="n"/>
      <c r="D527" s="261" t="n"/>
      <c r="E527" s="262">
        <f>IF(OR(C527="",D527=""),"",D527-C527)</f>
        <v/>
      </c>
      <c r="F527" s="75" t="n"/>
      <c r="G527" s="75" t="n"/>
      <c r="H527" s="75" t="n"/>
      <c r="I527" s="75" t="n"/>
      <c r="J527" s="75" t="n"/>
      <c r="K527" s="75" t="n"/>
      <c r="L527" s="75" t="n"/>
      <c r="M527" s="75" t="n"/>
      <c r="N527" s="75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226">
        <f>IF(AND(A527="",B527=""),"",IF(AND(A527&lt;&gt;"",B527&lt;&gt;"",C527&lt;&gt;"",D527&lt;&gt;"",F527&lt;&gt;"",G527&lt;&gt;"",H527&lt;&gt;"",ISERROR(SEARCH("по паспорту",G527)),ISERROR(SEARCH("по паспорту",H527)),I527&lt;&gt;"",J527&lt;&gt;"",K527&lt;&gt;"",L527&lt;&gt;"",M527&lt;&gt;""),"ГОТОВО","НЕ ГОТОВО"))</f>
        <v/>
      </c>
      <c r="Z527" s="226">
        <f>IF(Y527&lt;&gt;"ГОТОВО","", "Предварительное заключение: "&amp;A527&amp;", скв. "&amp;B527&amp;". МРП: "&amp;E527&amp;" сут. ГНО: "&amp;F527&amp;", типоразмер "&amp;G527&amp;", марка "&amp;H527&amp;". Событие: "&amp;I527&amp;". Признак: "&amp;J527&amp;". Узел: "&amp;K527&amp;". Предварительная причина: "&amp;L527&amp;". Основное осложнение: "&amp;M527&amp;IF(N527&lt;&gt;"","; сопутствующее: "&amp;N527,"")&amp;IF(O527&lt;&gt;"","; дополнительно: "&amp;O527,"")&amp;".")</f>
        <v/>
      </c>
    </row>
    <row r="528">
      <c r="A528" s="75" t="n"/>
      <c r="B528" s="75" t="n"/>
      <c r="C528" s="261" t="n"/>
      <c r="D528" s="261" t="n"/>
      <c r="E528" s="262">
        <f>IF(OR(C528="",D528=""),"",D528-C528)</f>
        <v/>
      </c>
      <c r="F528" s="75" t="n"/>
      <c r="G528" s="75" t="n"/>
      <c r="H528" s="75" t="n"/>
      <c r="I528" s="75" t="n"/>
      <c r="J528" s="75" t="n"/>
      <c r="K528" s="75" t="n"/>
      <c r="L528" s="75" t="n"/>
      <c r="M528" s="75" t="n"/>
      <c r="N528" s="75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226">
        <f>IF(AND(A528="",B528=""),"",IF(AND(A528&lt;&gt;"",B528&lt;&gt;"",C528&lt;&gt;"",D528&lt;&gt;"",F528&lt;&gt;"",G528&lt;&gt;"",H528&lt;&gt;"",ISERROR(SEARCH("по паспорту",G528)),ISERROR(SEARCH("по паспорту",H528)),I528&lt;&gt;"",J528&lt;&gt;"",K528&lt;&gt;"",L528&lt;&gt;"",M528&lt;&gt;""),"ГОТОВО","НЕ ГОТОВО"))</f>
        <v/>
      </c>
      <c r="Z528" s="226">
        <f>IF(Y528&lt;&gt;"ГОТОВО","", "Предварительное заключение: "&amp;A528&amp;", скв. "&amp;B528&amp;". МРП: "&amp;E528&amp;" сут. ГНО: "&amp;F528&amp;", типоразмер "&amp;G528&amp;", марка "&amp;H528&amp;". Событие: "&amp;I528&amp;". Признак: "&amp;J528&amp;". Узел: "&amp;K528&amp;". Предварительная причина: "&amp;L528&amp;". Основное осложнение: "&amp;M528&amp;IF(N528&lt;&gt;"","; сопутствующее: "&amp;N528,"")&amp;IF(O528&lt;&gt;"","; дополнительно: "&amp;O528,"")&amp;".")</f>
        <v/>
      </c>
    </row>
    <row r="529">
      <c r="A529" s="75" t="n"/>
      <c r="B529" s="75" t="n"/>
      <c r="C529" s="261" t="n"/>
      <c r="D529" s="261" t="n"/>
      <c r="E529" s="262">
        <f>IF(OR(C529="",D529=""),"",D529-C529)</f>
        <v/>
      </c>
      <c r="F529" s="75" t="n"/>
      <c r="G529" s="75" t="n"/>
      <c r="H529" s="75" t="n"/>
      <c r="I529" s="75" t="n"/>
      <c r="J529" s="75" t="n"/>
      <c r="K529" s="75" t="n"/>
      <c r="L529" s="75" t="n"/>
      <c r="M529" s="75" t="n"/>
      <c r="N529" s="75" t="n"/>
      <c r="O529" s="75" t="n"/>
      <c r="P529" s="75" t="n"/>
      <c r="Q529" s="75" t="n"/>
      <c r="R529" s="75" t="n"/>
      <c r="S529" s="75" t="n"/>
      <c r="T529" s="75" t="n"/>
      <c r="U529" s="75" t="n"/>
      <c r="V529" s="75" t="n"/>
      <c r="W529" s="75" t="n"/>
      <c r="X529" s="75" t="n"/>
      <c r="Y529" s="226">
        <f>IF(AND(A529="",B529=""),"",IF(AND(A529&lt;&gt;"",B529&lt;&gt;"",C529&lt;&gt;"",D529&lt;&gt;"",F529&lt;&gt;"",G529&lt;&gt;"",H529&lt;&gt;"",ISERROR(SEARCH("по паспорту",G529)),ISERROR(SEARCH("по паспорту",H529)),I529&lt;&gt;"",J529&lt;&gt;"",K529&lt;&gt;"",L529&lt;&gt;"",M529&lt;&gt;""),"ГОТОВО","НЕ ГОТОВО"))</f>
        <v/>
      </c>
      <c r="Z529" s="226">
        <f>IF(Y529&lt;&gt;"ГОТОВО","", "Предварительное заключение: "&amp;A529&amp;", скв. "&amp;B529&amp;". МРП: "&amp;E529&amp;" сут. ГНО: "&amp;F529&amp;", типоразмер "&amp;G529&amp;", марка "&amp;H529&amp;". Событие: "&amp;I529&amp;". Признак: "&amp;J529&amp;". Узел: "&amp;K529&amp;". Предварительная причина: "&amp;L529&amp;". Основное осложнение: "&amp;M529&amp;IF(N529&lt;&gt;"","; сопутствующее: "&amp;N529,"")&amp;IF(O529&lt;&gt;"","; дополнительно: "&amp;O529,"")&amp;".")</f>
        <v/>
      </c>
    </row>
    <row r="530">
      <c r="A530" s="75" t="n"/>
      <c r="B530" s="75" t="n"/>
      <c r="C530" s="261" t="n"/>
      <c r="D530" s="261" t="n"/>
      <c r="E530" s="262">
        <f>IF(OR(C530="",D530=""),"",D530-C530)</f>
        <v/>
      </c>
      <c r="F530" s="75" t="n"/>
      <c r="G530" s="75" t="n"/>
      <c r="H530" s="75" t="n"/>
      <c r="I530" s="75" t="n"/>
      <c r="J530" s="75" t="n"/>
      <c r="K530" s="75" t="n"/>
      <c r="L530" s="75" t="n"/>
      <c r="M530" s="75" t="n"/>
      <c r="N530" s="75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226">
        <f>IF(AND(A530="",B530=""),"",IF(AND(A530&lt;&gt;"",B530&lt;&gt;"",C530&lt;&gt;"",D530&lt;&gt;"",F530&lt;&gt;"",G530&lt;&gt;"",H530&lt;&gt;"",ISERROR(SEARCH("по паспорту",G530)),ISERROR(SEARCH("по паспорту",H530)),I530&lt;&gt;"",J530&lt;&gt;"",K530&lt;&gt;"",L530&lt;&gt;"",M530&lt;&gt;""),"ГОТОВО","НЕ ГОТОВО"))</f>
        <v/>
      </c>
      <c r="Z530" s="226">
        <f>IF(Y530&lt;&gt;"ГОТОВО","", "Предварительное заключение: "&amp;A530&amp;", скв. "&amp;B530&amp;". МРП: "&amp;E530&amp;" сут. ГНО: "&amp;F530&amp;", типоразмер "&amp;G530&amp;", марка "&amp;H530&amp;". Событие: "&amp;I530&amp;". Признак: "&amp;J530&amp;". Узел: "&amp;K530&amp;". Предварительная причина: "&amp;L530&amp;". Основное осложнение: "&amp;M530&amp;IF(N530&lt;&gt;"","; сопутствующее: "&amp;N530,"")&amp;IF(O530&lt;&gt;"","; дополнительно: "&amp;O530,"")&amp;".")</f>
        <v/>
      </c>
    </row>
    <row r="531">
      <c r="A531" s="75" t="n"/>
      <c r="B531" s="75" t="n"/>
      <c r="C531" s="261" t="n"/>
      <c r="D531" s="261" t="n"/>
      <c r="E531" s="262">
        <f>IF(OR(C531="",D531=""),"",D531-C531)</f>
        <v/>
      </c>
      <c r="F531" s="75" t="n"/>
      <c r="G531" s="75" t="n"/>
      <c r="H531" s="75" t="n"/>
      <c r="I531" s="75" t="n"/>
      <c r="J531" s="75" t="n"/>
      <c r="K531" s="75" t="n"/>
      <c r="L531" s="75" t="n"/>
      <c r="M531" s="75" t="n"/>
      <c r="N531" s="75" t="n"/>
      <c r="O531" s="75" t="n"/>
      <c r="P531" s="75" t="n"/>
      <c r="Q531" s="75" t="n"/>
      <c r="R531" s="75" t="n"/>
      <c r="S531" s="75" t="n"/>
      <c r="T531" s="75" t="n"/>
      <c r="U531" s="75" t="n"/>
      <c r="V531" s="75" t="n"/>
      <c r="W531" s="75" t="n"/>
      <c r="X531" s="75" t="n"/>
      <c r="Y531" s="226">
        <f>IF(AND(A531="",B531=""),"",IF(AND(A531&lt;&gt;"",B531&lt;&gt;"",C531&lt;&gt;"",D531&lt;&gt;"",F531&lt;&gt;"",G531&lt;&gt;"",H531&lt;&gt;"",ISERROR(SEARCH("по паспорту",G531)),ISERROR(SEARCH("по паспорту",H531)),I531&lt;&gt;"",J531&lt;&gt;"",K531&lt;&gt;"",L531&lt;&gt;"",M531&lt;&gt;""),"ГОТОВО","НЕ ГОТОВО"))</f>
        <v/>
      </c>
      <c r="Z531" s="226">
        <f>IF(Y531&lt;&gt;"ГОТОВО","", "Предварительное заключение: "&amp;A531&amp;", скв. "&amp;B531&amp;". МРП: "&amp;E531&amp;" сут. ГНО: "&amp;F531&amp;", типоразмер "&amp;G531&amp;", марка "&amp;H531&amp;". Событие: "&amp;I531&amp;". Признак: "&amp;J531&amp;". Узел: "&amp;K531&amp;". Предварительная причина: "&amp;L531&amp;". Основное осложнение: "&amp;M531&amp;IF(N531&lt;&gt;"","; сопутствующее: "&amp;N531,"")&amp;IF(O531&lt;&gt;"","; дополнительно: "&amp;O531,"")&amp;".")</f>
        <v/>
      </c>
    </row>
    <row r="532">
      <c r="A532" s="75" t="n"/>
      <c r="B532" s="75" t="n"/>
      <c r="C532" s="261" t="n"/>
      <c r="D532" s="261" t="n"/>
      <c r="E532" s="262">
        <f>IF(OR(C532="",D532=""),"",D532-C532)</f>
        <v/>
      </c>
      <c r="F532" s="75" t="n"/>
      <c r="G532" s="75" t="n"/>
      <c r="H532" s="75" t="n"/>
      <c r="I532" s="75" t="n"/>
      <c r="J532" s="75" t="n"/>
      <c r="K532" s="75" t="n"/>
      <c r="L532" s="75" t="n"/>
      <c r="M532" s="75" t="n"/>
      <c r="N532" s="75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226">
        <f>IF(AND(A532="",B532=""),"",IF(AND(A532&lt;&gt;"",B532&lt;&gt;"",C532&lt;&gt;"",D532&lt;&gt;"",F532&lt;&gt;"",G532&lt;&gt;"",H532&lt;&gt;"",ISERROR(SEARCH("по паспорту",G532)),ISERROR(SEARCH("по паспорту",H532)),I532&lt;&gt;"",J532&lt;&gt;"",K532&lt;&gt;"",L532&lt;&gt;"",M532&lt;&gt;""),"ГОТОВО","НЕ ГОТОВО"))</f>
        <v/>
      </c>
      <c r="Z532" s="226">
        <f>IF(Y532&lt;&gt;"ГОТОВО","", "Предварительное заключение: "&amp;A532&amp;", скв. "&amp;B532&amp;". МРП: "&amp;E532&amp;" сут. ГНО: "&amp;F532&amp;", типоразмер "&amp;G532&amp;", марка "&amp;H532&amp;". Событие: "&amp;I532&amp;". Признак: "&amp;J532&amp;". Узел: "&amp;K532&amp;". Предварительная причина: "&amp;L532&amp;". Основное осложнение: "&amp;M532&amp;IF(N532&lt;&gt;"","; сопутствующее: "&amp;N532,"")&amp;IF(O532&lt;&gt;"","; дополнительно: "&amp;O532,"")&amp;".")</f>
        <v/>
      </c>
    </row>
    <row r="533">
      <c r="A533" s="75" t="n"/>
      <c r="B533" s="75" t="n"/>
      <c r="C533" s="261" t="n"/>
      <c r="D533" s="261" t="n"/>
      <c r="E533" s="262">
        <f>IF(OR(C533="",D533=""),"",D533-C533)</f>
        <v/>
      </c>
      <c r="F533" s="75" t="n"/>
      <c r="G533" s="75" t="n"/>
      <c r="H533" s="75" t="n"/>
      <c r="I533" s="75" t="n"/>
      <c r="J533" s="75" t="n"/>
      <c r="K533" s="75" t="n"/>
      <c r="L533" s="75" t="n"/>
      <c r="M533" s="75" t="n"/>
      <c r="N533" s="75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226">
        <f>IF(AND(A533="",B533=""),"",IF(AND(A533&lt;&gt;"",B533&lt;&gt;"",C533&lt;&gt;"",D533&lt;&gt;"",F533&lt;&gt;"",G533&lt;&gt;"",H533&lt;&gt;"",ISERROR(SEARCH("по паспорту",G533)),ISERROR(SEARCH("по паспорту",H533)),I533&lt;&gt;"",J533&lt;&gt;"",K533&lt;&gt;"",L533&lt;&gt;"",M533&lt;&gt;""),"ГОТОВО","НЕ ГОТОВО"))</f>
        <v/>
      </c>
      <c r="Z533" s="226">
        <f>IF(Y533&lt;&gt;"ГОТОВО","", "Предварительное заключение: "&amp;A533&amp;", скв. "&amp;B533&amp;". МРП: "&amp;E533&amp;" сут. ГНО: "&amp;F533&amp;", типоразмер "&amp;G533&amp;", марка "&amp;H533&amp;". Событие: "&amp;I533&amp;". Признак: "&amp;J533&amp;". Узел: "&amp;K533&amp;". Предварительная причина: "&amp;L533&amp;". Основное осложнение: "&amp;M533&amp;IF(N533&lt;&gt;"","; сопутствующее: "&amp;N533,"")&amp;IF(O533&lt;&gt;"","; дополнительно: "&amp;O533,"")&amp;".")</f>
        <v/>
      </c>
    </row>
    <row r="534">
      <c r="A534" s="75" t="n"/>
      <c r="B534" s="75" t="n"/>
      <c r="C534" s="261" t="n"/>
      <c r="D534" s="261" t="n"/>
      <c r="E534" s="262">
        <f>IF(OR(C534="",D534=""),"",D534-C534)</f>
        <v/>
      </c>
      <c r="F534" s="75" t="n"/>
      <c r="G534" s="75" t="n"/>
      <c r="H534" s="75" t="n"/>
      <c r="I534" s="75" t="n"/>
      <c r="J534" s="75" t="n"/>
      <c r="K534" s="75" t="n"/>
      <c r="L534" s="75" t="n"/>
      <c r="M534" s="75" t="n"/>
      <c r="N534" s="75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226">
        <f>IF(AND(A534="",B534=""),"",IF(AND(A534&lt;&gt;"",B534&lt;&gt;"",C534&lt;&gt;"",D534&lt;&gt;"",F534&lt;&gt;"",G534&lt;&gt;"",H534&lt;&gt;"",ISERROR(SEARCH("по паспорту",G534)),ISERROR(SEARCH("по паспорту",H534)),I534&lt;&gt;"",J534&lt;&gt;"",K534&lt;&gt;"",L534&lt;&gt;"",M534&lt;&gt;""),"ГОТОВО","НЕ ГОТОВО"))</f>
        <v/>
      </c>
      <c r="Z534" s="226">
        <f>IF(Y534&lt;&gt;"ГОТОВО","", "Предварительное заключение: "&amp;A534&amp;", скв. "&amp;B534&amp;". МРП: "&amp;E534&amp;" сут. ГНО: "&amp;F534&amp;", типоразмер "&amp;G534&amp;", марка "&amp;H534&amp;". Событие: "&amp;I534&amp;". Признак: "&amp;J534&amp;". Узел: "&amp;K534&amp;". Предварительная причина: "&amp;L534&amp;". Основное осложнение: "&amp;M534&amp;IF(N534&lt;&gt;"","; сопутствующее: "&amp;N534,"")&amp;IF(O534&lt;&gt;"","; дополнительно: "&amp;O534,"")&amp;".")</f>
        <v/>
      </c>
    </row>
    <row r="535">
      <c r="A535" s="75" t="n"/>
      <c r="B535" s="75" t="n"/>
      <c r="C535" s="261" t="n"/>
      <c r="D535" s="261" t="n"/>
      <c r="E535" s="262">
        <f>IF(OR(C535="",D535=""),"",D535-C535)</f>
        <v/>
      </c>
      <c r="F535" s="75" t="n"/>
      <c r="G535" s="75" t="n"/>
      <c r="H535" s="75" t="n"/>
      <c r="I535" s="75" t="n"/>
      <c r="J535" s="75" t="n"/>
      <c r="K535" s="75" t="n"/>
      <c r="L535" s="75" t="n"/>
      <c r="M535" s="75" t="n"/>
      <c r="N535" s="75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226">
        <f>IF(AND(A535="",B535=""),"",IF(AND(A535&lt;&gt;"",B535&lt;&gt;"",C535&lt;&gt;"",D535&lt;&gt;"",F535&lt;&gt;"",G535&lt;&gt;"",H535&lt;&gt;"",ISERROR(SEARCH("по паспорту",G535)),ISERROR(SEARCH("по паспорту",H535)),I535&lt;&gt;"",J535&lt;&gt;"",K535&lt;&gt;"",L535&lt;&gt;"",M535&lt;&gt;""),"ГОТОВО","НЕ ГОТОВО"))</f>
        <v/>
      </c>
      <c r="Z535" s="226">
        <f>IF(Y535&lt;&gt;"ГОТОВО","", "Предварительное заключение: "&amp;A535&amp;", скв. "&amp;B535&amp;". МРП: "&amp;E535&amp;" сут. ГНО: "&amp;F535&amp;", типоразмер "&amp;G535&amp;", марка "&amp;H535&amp;". Событие: "&amp;I535&amp;". Признак: "&amp;J535&amp;". Узел: "&amp;K535&amp;". Предварительная причина: "&amp;L535&amp;". Основное осложнение: "&amp;M535&amp;IF(N535&lt;&gt;"","; сопутствующее: "&amp;N535,"")&amp;IF(O535&lt;&gt;"","; дополнительно: "&amp;O535,"")&amp;".")</f>
        <v/>
      </c>
    </row>
    <row r="536">
      <c r="A536" s="75" t="n"/>
      <c r="B536" s="75" t="n"/>
      <c r="C536" s="261" t="n"/>
      <c r="D536" s="261" t="n"/>
      <c r="E536" s="262">
        <f>IF(OR(C536="",D536=""),"",D536-C536)</f>
        <v/>
      </c>
      <c r="F536" s="75" t="n"/>
      <c r="G536" s="75" t="n"/>
      <c r="H536" s="75" t="n"/>
      <c r="I536" s="75" t="n"/>
      <c r="J536" s="75" t="n"/>
      <c r="K536" s="75" t="n"/>
      <c r="L536" s="75" t="n"/>
      <c r="M536" s="75" t="n"/>
      <c r="N536" s="75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226">
        <f>IF(AND(A536="",B536=""),"",IF(AND(A536&lt;&gt;"",B536&lt;&gt;"",C536&lt;&gt;"",D536&lt;&gt;"",F536&lt;&gt;"",G536&lt;&gt;"",H536&lt;&gt;"",ISERROR(SEARCH("по паспорту",G536)),ISERROR(SEARCH("по паспорту",H536)),I536&lt;&gt;"",J536&lt;&gt;"",K536&lt;&gt;"",L536&lt;&gt;"",M536&lt;&gt;""),"ГОТОВО","НЕ ГОТОВО"))</f>
        <v/>
      </c>
      <c r="Z536" s="226">
        <f>IF(Y536&lt;&gt;"ГОТОВО","", "Предварительное заключение: "&amp;A536&amp;", скв. "&amp;B536&amp;". МРП: "&amp;E536&amp;" сут. ГНО: "&amp;F536&amp;", типоразмер "&amp;G536&amp;", марка "&amp;H536&amp;". Событие: "&amp;I536&amp;". Признак: "&amp;J536&amp;". Узел: "&amp;K536&amp;". Предварительная причина: "&amp;L536&amp;". Основное осложнение: "&amp;M536&amp;IF(N536&lt;&gt;"","; сопутствующее: "&amp;N536,"")&amp;IF(O536&lt;&gt;"","; дополнительно: "&amp;O536,"")&amp;".")</f>
        <v/>
      </c>
    </row>
    <row r="537">
      <c r="A537" s="75" t="n"/>
      <c r="B537" s="75" t="n"/>
      <c r="C537" s="261" t="n"/>
      <c r="D537" s="261" t="n"/>
      <c r="E537" s="262">
        <f>IF(OR(C537="",D537=""),"",D537-C537)</f>
        <v/>
      </c>
      <c r="F537" s="75" t="n"/>
      <c r="G537" s="75" t="n"/>
      <c r="H537" s="75" t="n"/>
      <c r="I537" s="75" t="n"/>
      <c r="J537" s="75" t="n"/>
      <c r="K537" s="75" t="n"/>
      <c r="L537" s="75" t="n"/>
      <c r="M537" s="75" t="n"/>
      <c r="N537" s="75" t="n"/>
      <c r="O537" s="75" t="n"/>
      <c r="P537" s="75" t="n"/>
      <c r="Q537" s="75" t="n"/>
      <c r="R537" s="75" t="n"/>
      <c r="S537" s="75" t="n"/>
      <c r="T537" s="75" t="n"/>
      <c r="U537" s="75" t="n"/>
      <c r="V537" s="75" t="n"/>
      <c r="W537" s="75" t="n"/>
      <c r="X537" s="75" t="n"/>
      <c r="Y537" s="226">
        <f>IF(AND(A537="",B537=""),"",IF(AND(A537&lt;&gt;"",B537&lt;&gt;"",C537&lt;&gt;"",D537&lt;&gt;"",F537&lt;&gt;"",G537&lt;&gt;"",H537&lt;&gt;"",ISERROR(SEARCH("по паспорту",G537)),ISERROR(SEARCH("по паспорту",H537)),I537&lt;&gt;"",J537&lt;&gt;"",K537&lt;&gt;"",L537&lt;&gt;"",M537&lt;&gt;""),"ГОТОВО","НЕ ГОТОВО"))</f>
        <v/>
      </c>
      <c r="Z537" s="226">
        <f>IF(Y537&lt;&gt;"ГОТОВО","", "Предварительное заключение: "&amp;A537&amp;", скв. "&amp;B537&amp;". МРП: "&amp;E537&amp;" сут. ГНО: "&amp;F537&amp;", типоразмер "&amp;G537&amp;", марка "&amp;H537&amp;". Событие: "&amp;I537&amp;". Признак: "&amp;J537&amp;". Узел: "&amp;K537&amp;". Предварительная причина: "&amp;L537&amp;". Основное осложнение: "&amp;M537&amp;IF(N537&lt;&gt;"","; сопутствующее: "&amp;N537,"")&amp;IF(O537&lt;&gt;"","; дополнительно: "&amp;O537,"")&amp;".")</f>
        <v/>
      </c>
    </row>
    <row r="538">
      <c r="A538" s="75" t="n"/>
      <c r="B538" s="75" t="n"/>
      <c r="C538" s="261" t="n"/>
      <c r="D538" s="261" t="n"/>
      <c r="E538" s="262">
        <f>IF(OR(C538="",D538=""),"",D538-C538)</f>
        <v/>
      </c>
      <c r="F538" s="75" t="n"/>
      <c r="G538" s="75" t="n"/>
      <c r="H538" s="75" t="n"/>
      <c r="I538" s="75" t="n"/>
      <c r="J538" s="75" t="n"/>
      <c r="K538" s="75" t="n"/>
      <c r="L538" s="75" t="n"/>
      <c r="M538" s="75" t="n"/>
      <c r="N538" s="75" t="n"/>
      <c r="O538" s="75" t="n"/>
      <c r="P538" s="75" t="n"/>
      <c r="Q538" s="75" t="n"/>
      <c r="R538" s="75" t="n"/>
      <c r="S538" s="75" t="n"/>
      <c r="T538" s="75" t="n"/>
      <c r="U538" s="75" t="n"/>
      <c r="V538" s="75" t="n"/>
      <c r="W538" s="75" t="n"/>
      <c r="X538" s="75" t="n"/>
      <c r="Y538" s="226">
        <f>IF(AND(A538="",B538=""),"",IF(AND(A538&lt;&gt;"",B538&lt;&gt;"",C538&lt;&gt;"",D538&lt;&gt;"",F538&lt;&gt;"",G538&lt;&gt;"",H538&lt;&gt;"",ISERROR(SEARCH("по паспорту",G538)),ISERROR(SEARCH("по паспорту",H538)),I538&lt;&gt;"",J538&lt;&gt;"",K538&lt;&gt;"",L538&lt;&gt;"",M538&lt;&gt;""),"ГОТОВО","НЕ ГОТОВО"))</f>
        <v/>
      </c>
      <c r="Z538" s="226">
        <f>IF(Y538&lt;&gt;"ГОТОВО","", "Предварительное заключение: "&amp;A538&amp;", скв. "&amp;B538&amp;". МРП: "&amp;E538&amp;" сут. ГНО: "&amp;F538&amp;", типоразмер "&amp;G538&amp;", марка "&amp;H538&amp;". Событие: "&amp;I538&amp;". Признак: "&amp;J538&amp;". Узел: "&amp;K538&amp;". Предварительная причина: "&amp;L538&amp;". Основное осложнение: "&amp;M538&amp;IF(N538&lt;&gt;"","; сопутствующее: "&amp;N538,"")&amp;IF(O538&lt;&gt;"","; дополнительно: "&amp;O538,"")&amp;".")</f>
        <v/>
      </c>
    </row>
    <row r="539">
      <c r="A539" s="75" t="n"/>
      <c r="B539" s="75" t="n"/>
      <c r="C539" s="261" t="n"/>
      <c r="D539" s="261" t="n"/>
      <c r="E539" s="262">
        <f>IF(OR(C539="",D539=""),"",D539-C539)</f>
        <v/>
      </c>
      <c r="F539" s="75" t="n"/>
      <c r="G539" s="75" t="n"/>
      <c r="H539" s="75" t="n"/>
      <c r="I539" s="75" t="n"/>
      <c r="J539" s="75" t="n"/>
      <c r="K539" s="75" t="n"/>
      <c r="L539" s="75" t="n"/>
      <c r="M539" s="75" t="n"/>
      <c r="N539" s="75" t="n"/>
      <c r="O539" s="75" t="n"/>
      <c r="P539" s="75" t="n"/>
      <c r="Q539" s="75" t="n"/>
      <c r="R539" s="75" t="n"/>
      <c r="S539" s="75" t="n"/>
      <c r="T539" s="75" t="n"/>
      <c r="U539" s="75" t="n"/>
      <c r="V539" s="75" t="n"/>
      <c r="W539" s="75" t="n"/>
      <c r="X539" s="75" t="n"/>
      <c r="Y539" s="226">
        <f>IF(AND(A539="",B539=""),"",IF(AND(A539&lt;&gt;"",B539&lt;&gt;"",C539&lt;&gt;"",D539&lt;&gt;"",F539&lt;&gt;"",G539&lt;&gt;"",H539&lt;&gt;"",ISERROR(SEARCH("по паспорту",G539)),ISERROR(SEARCH("по паспорту",H539)),I539&lt;&gt;"",J539&lt;&gt;"",K539&lt;&gt;"",L539&lt;&gt;"",M539&lt;&gt;""),"ГОТОВО","НЕ ГОТОВО"))</f>
        <v/>
      </c>
      <c r="Z539" s="226">
        <f>IF(Y539&lt;&gt;"ГОТОВО","", "Предварительное заключение: "&amp;A539&amp;", скв. "&amp;B539&amp;". МРП: "&amp;E539&amp;" сут. ГНО: "&amp;F539&amp;", типоразмер "&amp;G539&amp;", марка "&amp;H539&amp;". Событие: "&amp;I539&amp;". Признак: "&amp;J539&amp;". Узел: "&amp;K539&amp;". Предварительная причина: "&amp;L539&amp;". Основное осложнение: "&amp;M539&amp;IF(N539&lt;&gt;"","; сопутствующее: "&amp;N539,"")&amp;IF(O539&lt;&gt;"","; дополнительно: "&amp;O539,"")&amp;".")</f>
        <v/>
      </c>
    </row>
    <row r="540">
      <c r="A540" s="75" t="n"/>
      <c r="B540" s="75" t="n"/>
      <c r="C540" s="261" t="n"/>
      <c r="D540" s="261" t="n"/>
      <c r="E540" s="262">
        <f>IF(OR(C540="",D540=""),"",D540-C540)</f>
        <v/>
      </c>
      <c r="F540" s="75" t="n"/>
      <c r="G540" s="75" t="n"/>
      <c r="H540" s="75" t="n"/>
      <c r="I540" s="75" t="n"/>
      <c r="J540" s="75" t="n"/>
      <c r="K540" s="75" t="n"/>
      <c r="L540" s="75" t="n"/>
      <c r="M540" s="75" t="n"/>
      <c r="N540" s="75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226">
        <f>IF(AND(A540="",B540=""),"",IF(AND(A540&lt;&gt;"",B540&lt;&gt;"",C540&lt;&gt;"",D540&lt;&gt;"",F540&lt;&gt;"",G540&lt;&gt;"",H540&lt;&gt;"",ISERROR(SEARCH("по паспорту",G540)),ISERROR(SEARCH("по паспорту",H540)),I540&lt;&gt;"",J540&lt;&gt;"",K540&lt;&gt;"",L540&lt;&gt;"",M540&lt;&gt;""),"ГОТОВО","НЕ ГОТОВО"))</f>
        <v/>
      </c>
      <c r="Z540" s="226">
        <f>IF(Y540&lt;&gt;"ГОТОВО","", "Предварительное заключение: "&amp;A540&amp;", скв. "&amp;B540&amp;". МРП: "&amp;E540&amp;" сут. ГНО: "&amp;F540&amp;", типоразмер "&amp;G540&amp;", марка "&amp;H540&amp;". Событие: "&amp;I540&amp;". Признак: "&amp;J540&amp;". Узел: "&amp;K540&amp;". Предварительная причина: "&amp;L540&amp;". Основное осложнение: "&amp;M540&amp;IF(N540&lt;&gt;"","; сопутствующее: "&amp;N540,"")&amp;IF(O540&lt;&gt;"","; дополнительно: "&amp;O540,"")&amp;".")</f>
        <v/>
      </c>
    </row>
    <row r="541">
      <c r="A541" s="75" t="n"/>
      <c r="B541" s="75" t="n"/>
      <c r="C541" s="261" t="n"/>
      <c r="D541" s="261" t="n"/>
      <c r="E541" s="262">
        <f>IF(OR(C541="",D541=""),"",D541-C541)</f>
        <v/>
      </c>
      <c r="F541" s="75" t="n"/>
      <c r="G541" s="75" t="n"/>
      <c r="H541" s="75" t="n"/>
      <c r="I541" s="75" t="n"/>
      <c r="J541" s="75" t="n"/>
      <c r="K541" s="75" t="n"/>
      <c r="L541" s="75" t="n"/>
      <c r="M541" s="75" t="n"/>
      <c r="N541" s="75" t="n"/>
      <c r="O541" s="75" t="n"/>
      <c r="P541" s="75" t="n"/>
      <c r="Q541" s="75" t="n"/>
      <c r="R541" s="75" t="n"/>
      <c r="S541" s="75" t="n"/>
      <c r="T541" s="75" t="n"/>
      <c r="U541" s="75" t="n"/>
      <c r="V541" s="75" t="n"/>
      <c r="W541" s="75" t="n"/>
      <c r="X541" s="75" t="n"/>
      <c r="Y541" s="226">
        <f>IF(AND(A541="",B541=""),"",IF(AND(A541&lt;&gt;"",B541&lt;&gt;"",C541&lt;&gt;"",D541&lt;&gt;"",F541&lt;&gt;"",G541&lt;&gt;"",H541&lt;&gt;"",ISERROR(SEARCH("по паспорту",G541)),ISERROR(SEARCH("по паспорту",H541)),I541&lt;&gt;"",J541&lt;&gt;"",K541&lt;&gt;"",L541&lt;&gt;"",M541&lt;&gt;""),"ГОТОВО","НЕ ГОТОВО"))</f>
        <v/>
      </c>
      <c r="Z541" s="226">
        <f>IF(Y541&lt;&gt;"ГОТОВО","", "Предварительное заключение: "&amp;A541&amp;", скв. "&amp;B541&amp;". МРП: "&amp;E541&amp;" сут. ГНО: "&amp;F541&amp;", типоразмер "&amp;G541&amp;", марка "&amp;H541&amp;". Событие: "&amp;I541&amp;". Признак: "&amp;J541&amp;". Узел: "&amp;K541&amp;". Предварительная причина: "&amp;L541&amp;". Основное осложнение: "&amp;M541&amp;IF(N541&lt;&gt;"","; сопутствующее: "&amp;N541,"")&amp;IF(O541&lt;&gt;"","; дополнительно: "&amp;O541,"")&amp;".")</f>
        <v/>
      </c>
    </row>
    <row r="542">
      <c r="A542" s="75" t="n"/>
      <c r="B542" s="75" t="n"/>
      <c r="C542" s="261" t="n"/>
      <c r="D542" s="261" t="n"/>
      <c r="E542" s="262">
        <f>IF(OR(C542="",D542=""),"",D542-C542)</f>
        <v/>
      </c>
      <c r="F542" s="75" t="n"/>
      <c r="G542" s="75" t="n"/>
      <c r="H542" s="75" t="n"/>
      <c r="I542" s="75" t="n"/>
      <c r="J542" s="75" t="n"/>
      <c r="K542" s="75" t="n"/>
      <c r="L542" s="75" t="n"/>
      <c r="M542" s="75" t="n"/>
      <c r="N542" s="75" t="n"/>
      <c r="O542" s="75" t="n"/>
      <c r="P542" s="75" t="n"/>
      <c r="Q542" s="75" t="n"/>
      <c r="R542" s="75" t="n"/>
      <c r="S542" s="75" t="n"/>
      <c r="T542" s="75" t="n"/>
      <c r="U542" s="75" t="n"/>
      <c r="V542" s="75" t="n"/>
      <c r="W542" s="75" t="n"/>
      <c r="X542" s="75" t="n"/>
      <c r="Y542" s="226">
        <f>IF(AND(A542="",B542=""),"",IF(AND(A542&lt;&gt;"",B542&lt;&gt;"",C542&lt;&gt;"",D542&lt;&gt;"",F542&lt;&gt;"",G542&lt;&gt;"",H542&lt;&gt;"",ISERROR(SEARCH("по паспорту",G542)),ISERROR(SEARCH("по паспорту",H542)),I542&lt;&gt;"",J542&lt;&gt;"",K542&lt;&gt;"",L542&lt;&gt;"",M542&lt;&gt;""),"ГОТОВО","НЕ ГОТОВО"))</f>
        <v/>
      </c>
      <c r="Z542" s="226">
        <f>IF(Y542&lt;&gt;"ГОТОВО","", "Предварительное заключение: "&amp;A542&amp;", скв. "&amp;B542&amp;". МРП: "&amp;E542&amp;" сут. ГНО: "&amp;F542&amp;", типоразмер "&amp;G542&amp;", марка "&amp;H542&amp;". Событие: "&amp;I542&amp;". Признак: "&amp;J542&amp;". Узел: "&amp;K542&amp;". Предварительная причина: "&amp;L542&amp;". Основное осложнение: "&amp;M542&amp;IF(N542&lt;&gt;"","; сопутствующее: "&amp;N542,"")&amp;IF(O542&lt;&gt;"","; дополнительно: "&amp;O542,"")&amp;".")</f>
        <v/>
      </c>
    </row>
    <row r="543">
      <c r="A543" s="75" t="n"/>
      <c r="B543" s="75" t="n"/>
      <c r="C543" s="261" t="n"/>
      <c r="D543" s="261" t="n"/>
      <c r="E543" s="262">
        <f>IF(OR(C543="",D543=""),"",D543-C543)</f>
        <v/>
      </c>
      <c r="F543" s="75" t="n"/>
      <c r="G543" s="75" t="n"/>
      <c r="H543" s="75" t="n"/>
      <c r="I543" s="75" t="n"/>
      <c r="J543" s="75" t="n"/>
      <c r="K543" s="75" t="n"/>
      <c r="L543" s="75" t="n"/>
      <c r="M543" s="75" t="n"/>
      <c r="N543" s="75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226">
        <f>IF(AND(A543="",B543=""),"",IF(AND(A543&lt;&gt;"",B543&lt;&gt;"",C543&lt;&gt;"",D543&lt;&gt;"",F543&lt;&gt;"",G543&lt;&gt;"",H543&lt;&gt;"",ISERROR(SEARCH("по паспорту",G543)),ISERROR(SEARCH("по паспорту",H543)),I543&lt;&gt;"",J543&lt;&gt;"",K543&lt;&gt;"",L543&lt;&gt;"",M543&lt;&gt;""),"ГОТОВО","НЕ ГОТОВО"))</f>
        <v/>
      </c>
      <c r="Z543" s="226">
        <f>IF(Y543&lt;&gt;"ГОТОВО","", "Предварительное заключение: "&amp;A543&amp;", скв. "&amp;B543&amp;". МРП: "&amp;E543&amp;" сут. ГНО: "&amp;F543&amp;", типоразмер "&amp;G543&amp;", марка "&amp;H543&amp;". Событие: "&amp;I543&amp;". Признак: "&amp;J543&amp;". Узел: "&amp;K543&amp;". Предварительная причина: "&amp;L543&amp;". Основное осложнение: "&amp;M543&amp;IF(N543&lt;&gt;"","; сопутствующее: "&amp;N543,"")&amp;IF(O543&lt;&gt;"","; дополнительно: "&amp;O543,"")&amp;".")</f>
        <v/>
      </c>
    </row>
    <row r="544">
      <c r="A544" s="75" t="n"/>
      <c r="B544" s="75" t="n"/>
      <c r="C544" s="261" t="n"/>
      <c r="D544" s="261" t="n"/>
      <c r="E544" s="262">
        <f>IF(OR(C544="",D544=""),"",D544-C544)</f>
        <v/>
      </c>
      <c r="F544" s="75" t="n"/>
      <c r="G544" s="75" t="n"/>
      <c r="H544" s="75" t="n"/>
      <c r="I544" s="75" t="n"/>
      <c r="J544" s="75" t="n"/>
      <c r="K544" s="75" t="n"/>
      <c r="L544" s="75" t="n"/>
      <c r="M544" s="75" t="n"/>
      <c r="N544" s="75" t="n"/>
      <c r="O544" s="75" t="n"/>
      <c r="P544" s="75" t="n"/>
      <c r="Q544" s="75" t="n"/>
      <c r="R544" s="75" t="n"/>
      <c r="S544" s="75" t="n"/>
      <c r="T544" s="75" t="n"/>
      <c r="U544" s="75" t="n"/>
      <c r="V544" s="75" t="n"/>
      <c r="W544" s="75" t="n"/>
      <c r="X544" s="75" t="n"/>
      <c r="Y544" s="226">
        <f>IF(AND(A544="",B544=""),"",IF(AND(A544&lt;&gt;"",B544&lt;&gt;"",C544&lt;&gt;"",D544&lt;&gt;"",F544&lt;&gt;"",G544&lt;&gt;"",H544&lt;&gt;"",ISERROR(SEARCH("по паспорту",G544)),ISERROR(SEARCH("по паспорту",H544)),I544&lt;&gt;"",J544&lt;&gt;"",K544&lt;&gt;"",L544&lt;&gt;"",M544&lt;&gt;""),"ГОТОВО","НЕ ГОТОВО"))</f>
        <v/>
      </c>
      <c r="Z544" s="226">
        <f>IF(Y544&lt;&gt;"ГОТОВО","", "Предварительное заключение: "&amp;A544&amp;", скв. "&amp;B544&amp;". МРП: "&amp;E544&amp;" сут. ГНО: "&amp;F544&amp;", типоразмер "&amp;G544&amp;", марка "&amp;H544&amp;". Событие: "&amp;I544&amp;". Признак: "&amp;J544&amp;". Узел: "&amp;K544&amp;". Предварительная причина: "&amp;L544&amp;". Основное осложнение: "&amp;M544&amp;IF(N544&lt;&gt;"","; сопутствующее: "&amp;N544,"")&amp;IF(O544&lt;&gt;"","; дополнительно: "&amp;O544,"")&amp;".")</f>
        <v/>
      </c>
    </row>
    <row r="545">
      <c r="A545" s="75" t="n"/>
      <c r="B545" s="75" t="n"/>
      <c r="C545" s="261" t="n"/>
      <c r="D545" s="261" t="n"/>
      <c r="E545" s="262">
        <f>IF(OR(C545="",D545=""),"",D545-C545)</f>
        <v/>
      </c>
      <c r="F545" s="75" t="n"/>
      <c r="G545" s="75" t="n"/>
      <c r="H545" s="75" t="n"/>
      <c r="I545" s="75" t="n"/>
      <c r="J545" s="75" t="n"/>
      <c r="K545" s="75" t="n"/>
      <c r="L545" s="75" t="n"/>
      <c r="M545" s="75" t="n"/>
      <c r="N545" s="75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226">
        <f>IF(AND(A545="",B545=""),"",IF(AND(A545&lt;&gt;"",B545&lt;&gt;"",C545&lt;&gt;"",D545&lt;&gt;"",F545&lt;&gt;"",G545&lt;&gt;"",H545&lt;&gt;"",ISERROR(SEARCH("по паспорту",G545)),ISERROR(SEARCH("по паспорту",H545)),I545&lt;&gt;"",J545&lt;&gt;"",K545&lt;&gt;"",L545&lt;&gt;"",M545&lt;&gt;""),"ГОТОВО","НЕ ГОТОВО"))</f>
        <v/>
      </c>
      <c r="Z545" s="226">
        <f>IF(Y545&lt;&gt;"ГОТОВО","", "Предварительное заключение: "&amp;A545&amp;", скв. "&amp;B545&amp;". МРП: "&amp;E545&amp;" сут. ГНО: "&amp;F545&amp;", типоразмер "&amp;G545&amp;", марка "&amp;H545&amp;". Событие: "&amp;I545&amp;". Признак: "&amp;J545&amp;". Узел: "&amp;K545&amp;". Предварительная причина: "&amp;L545&amp;". Основное осложнение: "&amp;M545&amp;IF(N545&lt;&gt;"","; сопутствующее: "&amp;N545,"")&amp;IF(O545&lt;&gt;"","; дополнительно: "&amp;O545,"")&amp;".")</f>
        <v/>
      </c>
    </row>
    <row r="546">
      <c r="A546" s="75" t="n"/>
      <c r="B546" s="75" t="n"/>
      <c r="C546" s="261" t="n"/>
      <c r="D546" s="261" t="n"/>
      <c r="E546" s="262">
        <f>IF(OR(C546="",D546=""),"",D546-C546)</f>
        <v/>
      </c>
      <c r="F546" s="75" t="n"/>
      <c r="G546" s="75" t="n"/>
      <c r="H546" s="75" t="n"/>
      <c r="I546" s="75" t="n"/>
      <c r="J546" s="75" t="n"/>
      <c r="K546" s="75" t="n"/>
      <c r="L546" s="75" t="n"/>
      <c r="M546" s="75" t="n"/>
      <c r="N546" s="75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226">
        <f>IF(AND(A546="",B546=""),"",IF(AND(A546&lt;&gt;"",B546&lt;&gt;"",C546&lt;&gt;"",D546&lt;&gt;"",F546&lt;&gt;"",G546&lt;&gt;"",H546&lt;&gt;"",ISERROR(SEARCH("по паспорту",G546)),ISERROR(SEARCH("по паспорту",H546)),I546&lt;&gt;"",J546&lt;&gt;"",K546&lt;&gt;"",L546&lt;&gt;"",M546&lt;&gt;""),"ГОТОВО","НЕ ГОТОВО"))</f>
        <v/>
      </c>
      <c r="Z546" s="226">
        <f>IF(Y546&lt;&gt;"ГОТОВО","", "Предварительное заключение: "&amp;A546&amp;", скв. "&amp;B546&amp;". МРП: "&amp;E546&amp;" сут. ГНО: "&amp;F546&amp;", типоразмер "&amp;G546&amp;", марка "&amp;H546&amp;". Событие: "&amp;I546&amp;". Признак: "&amp;J546&amp;". Узел: "&amp;K546&amp;". Предварительная причина: "&amp;L546&amp;". Основное осложнение: "&amp;M546&amp;IF(N546&lt;&gt;"","; сопутствующее: "&amp;N546,"")&amp;IF(O546&lt;&gt;"","; дополнительно: "&amp;O546,"")&amp;".")</f>
        <v/>
      </c>
    </row>
    <row r="547">
      <c r="A547" s="75" t="n"/>
      <c r="B547" s="75" t="n"/>
      <c r="C547" s="261" t="n"/>
      <c r="D547" s="261" t="n"/>
      <c r="E547" s="262">
        <f>IF(OR(C547="",D547=""),"",D547-C547)</f>
        <v/>
      </c>
      <c r="F547" s="75" t="n"/>
      <c r="G547" s="75" t="n"/>
      <c r="H547" s="75" t="n"/>
      <c r="I547" s="75" t="n"/>
      <c r="J547" s="75" t="n"/>
      <c r="K547" s="75" t="n"/>
      <c r="L547" s="75" t="n"/>
      <c r="M547" s="75" t="n"/>
      <c r="N547" s="75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226">
        <f>IF(AND(A547="",B547=""),"",IF(AND(A547&lt;&gt;"",B547&lt;&gt;"",C547&lt;&gt;"",D547&lt;&gt;"",F547&lt;&gt;"",G547&lt;&gt;"",H547&lt;&gt;"",ISERROR(SEARCH("по паспорту",G547)),ISERROR(SEARCH("по паспорту",H547)),I547&lt;&gt;"",J547&lt;&gt;"",K547&lt;&gt;"",L547&lt;&gt;"",M547&lt;&gt;""),"ГОТОВО","НЕ ГОТОВО"))</f>
        <v/>
      </c>
      <c r="Z547" s="226">
        <f>IF(Y547&lt;&gt;"ГОТОВО","", "Предварительное заключение: "&amp;A547&amp;", скв. "&amp;B547&amp;". МРП: "&amp;E547&amp;" сут. ГНО: "&amp;F547&amp;", типоразмер "&amp;G547&amp;", марка "&amp;H547&amp;". Событие: "&amp;I547&amp;". Признак: "&amp;J547&amp;". Узел: "&amp;K547&amp;". Предварительная причина: "&amp;L547&amp;". Основное осложнение: "&amp;M547&amp;IF(N547&lt;&gt;"","; сопутствующее: "&amp;N547,"")&amp;IF(O547&lt;&gt;"","; дополнительно: "&amp;O547,"")&amp;".")</f>
        <v/>
      </c>
    </row>
    <row r="548">
      <c r="A548" s="75" t="n"/>
      <c r="B548" s="75" t="n"/>
      <c r="C548" s="261" t="n"/>
      <c r="D548" s="261" t="n"/>
      <c r="E548" s="262">
        <f>IF(OR(C548="",D548=""),"",D548-C548)</f>
        <v/>
      </c>
      <c r="F548" s="75" t="n"/>
      <c r="G548" s="75" t="n"/>
      <c r="H548" s="75" t="n"/>
      <c r="I548" s="75" t="n"/>
      <c r="J548" s="75" t="n"/>
      <c r="K548" s="75" t="n"/>
      <c r="L548" s="75" t="n"/>
      <c r="M548" s="75" t="n"/>
      <c r="N548" s="75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226">
        <f>IF(AND(A548="",B548=""),"",IF(AND(A548&lt;&gt;"",B548&lt;&gt;"",C548&lt;&gt;"",D548&lt;&gt;"",F548&lt;&gt;"",G548&lt;&gt;"",H548&lt;&gt;"",ISERROR(SEARCH("по паспорту",G548)),ISERROR(SEARCH("по паспорту",H548)),I548&lt;&gt;"",J548&lt;&gt;"",K548&lt;&gt;"",L548&lt;&gt;"",M548&lt;&gt;""),"ГОТОВО","НЕ ГОТОВО"))</f>
        <v/>
      </c>
      <c r="Z548" s="226">
        <f>IF(Y548&lt;&gt;"ГОТОВО","", "Предварительное заключение: "&amp;A548&amp;", скв. "&amp;B548&amp;". МРП: "&amp;E548&amp;" сут. ГНО: "&amp;F548&amp;", типоразмер "&amp;G548&amp;", марка "&amp;H548&amp;". Событие: "&amp;I548&amp;". Признак: "&amp;J548&amp;". Узел: "&amp;K548&amp;". Предварительная причина: "&amp;L548&amp;". Основное осложнение: "&amp;M548&amp;IF(N548&lt;&gt;"","; сопутствующее: "&amp;N548,"")&amp;IF(O548&lt;&gt;"","; дополнительно: "&amp;O548,"")&amp;".")</f>
        <v/>
      </c>
    </row>
    <row r="549">
      <c r="A549" s="75" t="n"/>
      <c r="B549" s="75" t="n"/>
      <c r="C549" s="261" t="n"/>
      <c r="D549" s="261" t="n"/>
      <c r="E549" s="262">
        <f>IF(OR(C549="",D549=""),"",D549-C549)</f>
        <v/>
      </c>
      <c r="F549" s="75" t="n"/>
      <c r="G549" s="75" t="n"/>
      <c r="H549" s="75" t="n"/>
      <c r="I549" s="75" t="n"/>
      <c r="J549" s="75" t="n"/>
      <c r="K549" s="75" t="n"/>
      <c r="L549" s="75" t="n"/>
      <c r="M549" s="75" t="n"/>
      <c r="N549" s="75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226">
        <f>IF(AND(A549="",B549=""),"",IF(AND(A549&lt;&gt;"",B549&lt;&gt;"",C549&lt;&gt;"",D549&lt;&gt;"",F549&lt;&gt;"",G549&lt;&gt;"",H549&lt;&gt;"",ISERROR(SEARCH("по паспорту",G549)),ISERROR(SEARCH("по паспорту",H549)),I549&lt;&gt;"",J549&lt;&gt;"",K549&lt;&gt;"",L549&lt;&gt;"",M549&lt;&gt;""),"ГОТОВО","НЕ ГОТОВО"))</f>
        <v/>
      </c>
      <c r="Z549" s="226">
        <f>IF(Y549&lt;&gt;"ГОТОВО","", "Предварительное заключение: "&amp;A549&amp;", скв. "&amp;B549&amp;". МРП: "&amp;E549&amp;" сут. ГНО: "&amp;F549&amp;", типоразмер "&amp;G549&amp;", марка "&amp;H549&amp;". Событие: "&amp;I549&amp;". Признак: "&amp;J549&amp;". Узел: "&amp;K549&amp;". Предварительная причина: "&amp;L549&amp;". Основное осложнение: "&amp;M549&amp;IF(N549&lt;&gt;"","; сопутствующее: "&amp;N549,"")&amp;IF(O549&lt;&gt;"","; дополнительно: "&amp;O549,"")&amp;".")</f>
        <v/>
      </c>
    </row>
    <row r="550">
      <c r="A550" s="75" t="n"/>
      <c r="B550" s="75" t="n"/>
      <c r="C550" s="261" t="n"/>
      <c r="D550" s="261" t="n"/>
      <c r="E550" s="262">
        <f>IF(OR(C550="",D550=""),"",D550-C550)</f>
        <v/>
      </c>
      <c r="F550" s="75" t="n"/>
      <c r="G550" s="75" t="n"/>
      <c r="H550" s="75" t="n"/>
      <c r="I550" s="75" t="n"/>
      <c r="J550" s="75" t="n"/>
      <c r="K550" s="75" t="n"/>
      <c r="L550" s="75" t="n"/>
      <c r="M550" s="75" t="n"/>
      <c r="N550" s="75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226">
        <f>IF(AND(A550="",B550=""),"",IF(AND(A550&lt;&gt;"",B550&lt;&gt;"",C550&lt;&gt;"",D550&lt;&gt;"",F550&lt;&gt;"",G550&lt;&gt;"",H550&lt;&gt;"",ISERROR(SEARCH("по паспорту",G550)),ISERROR(SEARCH("по паспорту",H550)),I550&lt;&gt;"",J550&lt;&gt;"",K550&lt;&gt;"",L550&lt;&gt;"",M550&lt;&gt;""),"ГОТОВО","НЕ ГОТОВО"))</f>
        <v/>
      </c>
      <c r="Z550" s="226">
        <f>IF(Y550&lt;&gt;"ГОТОВО","", "Предварительное заключение: "&amp;A550&amp;", скв. "&amp;B550&amp;". МРП: "&amp;E550&amp;" сут. ГНО: "&amp;F550&amp;", типоразмер "&amp;G550&amp;", марка "&amp;H550&amp;". Событие: "&amp;I550&amp;". Признак: "&amp;J550&amp;". Узел: "&amp;K550&amp;". Предварительная причина: "&amp;L550&amp;". Основное осложнение: "&amp;M550&amp;IF(N550&lt;&gt;"","; сопутствующее: "&amp;N550,"")&amp;IF(O550&lt;&gt;"","; дополнительно: "&amp;O550,"")&amp;".")</f>
        <v/>
      </c>
    </row>
    <row r="551">
      <c r="A551" s="75" t="n"/>
      <c r="B551" s="75" t="n"/>
      <c r="C551" s="261" t="n"/>
      <c r="D551" s="261" t="n"/>
      <c r="E551" s="262">
        <f>IF(OR(C551="",D551=""),"",D551-C551)</f>
        <v/>
      </c>
      <c r="F551" s="75" t="n"/>
      <c r="G551" s="75" t="n"/>
      <c r="H551" s="75" t="n"/>
      <c r="I551" s="75" t="n"/>
      <c r="J551" s="75" t="n"/>
      <c r="K551" s="75" t="n"/>
      <c r="L551" s="75" t="n"/>
      <c r="M551" s="75" t="n"/>
      <c r="N551" s="75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226">
        <f>IF(AND(A551="",B551=""),"",IF(AND(A551&lt;&gt;"",B551&lt;&gt;"",C551&lt;&gt;"",D551&lt;&gt;"",F551&lt;&gt;"",G551&lt;&gt;"",H551&lt;&gt;"",ISERROR(SEARCH("по паспорту",G551)),ISERROR(SEARCH("по паспорту",H551)),I551&lt;&gt;"",J551&lt;&gt;"",K551&lt;&gt;"",L551&lt;&gt;"",M551&lt;&gt;""),"ГОТОВО","НЕ ГОТОВО"))</f>
        <v/>
      </c>
      <c r="Z551" s="226">
        <f>IF(Y551&lt;&gt;"ГОТОВО","", "Предварительное заключение: "&amp;A551&amp;", скв. "&amp;B551&amp;". МРП: "&amp;E551&amp;" сут. ГНО: "&amp;F551&amp;", типоразмер "&amp;G551&amp;", марка "&amp;H551&amp;". Событие: "&amp;I551&amp;". Признак: "&amp;J551&amp;". Узел: "&amp;K551&amp;". Предварительная причина: "&amp;L551&amp;". Основное осложнение: "&amp;M551&amp;IF(N551&lt;&gt;"","; сопутствующее: "&amp;N551,"")&amp;IF(O551&lt;&gt;"","; дополнительно: "&amp;O551,"")&amp;".")</f>
        <v/>
      </c>
    </row>
    <row r="552">
      <c r="A552" s="75" t="n"/>
      <c r="B552" s="75" t="n"/>
      <c r="C552" s="261" t="n"/>
      <c r="D552" s="261" t="n"/>
      <c r="E552" s="262">
        <f>IF(OR(C552="",D552=""),"",D552-C552)</f>
        <v/>
      </c>
      <c r="F552" s="75" t="n"/>
      <c r="G552" s="75" t="n"/>
      <c r="H552" s="75" t="n"/>
      <c r="I552" s="75" t="n"/>
      <c r="J552" s="75" t="n"/>
      <c r="K552" s="75" t="n"/>
      <c r="L552" s="75" t="n"/>
      <c r="M552" s="75" t="n"/>
      <c r="N552" s="75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226">
        <f>IF(AND(A552="",B552=""),"",IF(AND(A552&lt;&gt;"",B552&lt;&gt;"",C552&lt;&gt;"",D552&lt;&gt;"",F552&lt;&gt;"",G552&lt;&gt;"",H552&lt;&gt;"",ISERROR(SEARCH("по паспорту",G552)),ISERROR(SEARCH("по паспорту",H552)),I552&lt;&gt;"",J552&lt;&gt;"",K552&lt;&gt;"",L552&lt;&gt;"",M552&lt;&gt;""),"ГОТОВО","НЕ ГОТОВО"))</f>
        <v/>
      </c>
      <c r="Z552" s="226">
        <f>IF(Y552&lt;&gt;"ГОТОВО","", "Предварительное заключение: "&amp;A552&amp;", скв. "&amp;B552&amp;". МРП: "&amp;E552&amp;" сут. ГНО: "&amp;F552&amp;", типоразмер "&amp;G552&amp;", марка "&amp;H552&amp;". Событие: "&amp;I552&amp;". Признак: "&amp;J552&amp;". Узел: "&amp;K552&amp;". Предварительная причина: "&amp;L552&amp;". Основное осложнение: "&amp;M552&amp;IF(N552&lt;&gt;"","; сопутствующее: "&amp;N552,"")&amp;IF(O552&lt;&gt;"","; дополнительно: "&amp;O552,"")&amp;".")</f>
        <v/>
      </c>
    </row>
    <row r="553">
      <c r="A553" s="75" t="n"/>
      <c r="B553" s="75" t="n"/>
      <c r="C553" s="261" t="n"/>
      <c r="D553" s="261" t="n"/>
      <c r="E553" s="262">
        <f>IF(OR(C553="",D553=""),"",D553-C553)</f>
        <v/>
      </c>
      <c r="F553" s="75" t="n"/>
      <c r="G553" s="75" t="n"/>
      <c r="H553" s="75" t="n"/>
      <c r="I553" s="75" t="n"/>
      <c r="J553" s="75" t="n"/>
      <c r="K553" s="75" t="n"/>
      <c r="L553" s="75" t="n"/>
      <c r="M553" s="75" t="n"/>
      <c r="N553" s="75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226">
        <f>IF(AND(A553="",B553=""),"",IF(AND(A553&lt;&gt;"",B553&lt;&gt;"",C553&lt;&gt;"",D553&lt;&gt;"",F553&lt;&gt;"",G553&lt;&gt;"",H553&lt;&gt;"",ISERROR(SEARCH("по паспорту",G553)),ISERROR(SEARCH("по паспорту",H553)),I553&lt;&gt;"",J553&lt;&gt;"",K553&lt;&gt;"",L553&lt;&gt;"",M553&lt;&gt;""),"ГОТОВО","НЕ ГОТОВО"))</f>
        <v/>
      </c>
      <c r="Z553" s="226">
        <f>IF(Y553&lt;&gt;"ГОТОВО","", "Предварительное заключение: "&amp;A553&amp;", скв. "&amp;B553&amp;". МРП: "&amp;E553&amp;" сут. ГНО: "&amp;F553&amp;", типоразмер "&amp;G553&amp;", марка "&amp;H553&amp;". Событие: "&amp;I553&amp;". Признак: "&amp;J553&amp;". Узел: "&amp;K553&amp;". Предварительная причина: "&amp;L553&amp;". Основное осложнение: "&amp;M553&amp;IF(N553&lt;&gt;"","; сопутствующее: "&amp;N553,"")&amp;IF(O553&lt;&gt;"","; дополнительно: "&amp;O553,"")&amp;".")</f>
        <v/>
      </c>
    </row>
    <row r="554">
      <c r="A554" s="75" t="n"/>
      <c r="B554" s="75" t="n"/>
      <c r="C554" s="261" t="n"/>
      <c r="D554" s="261" t="n"/>
      <c r="E554" s="262">
        <f>IF(OR(C554="",D554=""),"",D554-C554)</f>
        <v/>
      </c>
      <c r="F554" s="75" t="n"/>
      <c r="G554" s="75" t="n"/>
      <c r="H554" s="75" t="n"/>
      <c r="I554" s="75" t="n"/>
      <c r="J554" s="75" t="n"/>
      <c r="K554" s="75" t="n"/>
      <c r="L554" s="75" t="n"/>
      <c r="M554" s="75" t="n"/>
      <c r="N554" s="75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226">
        <f>IF(AND(A554="",B554=""),"",IF(AND(A554&lt;&gt;"",B554&lt;&gt;"",C554&lt;&gt;"",D554&lt;&gt;"",F554&lt;&gt;"",G554&lt;&gt;"",H554&lt;&gt;"",ISERROR(SEARCH("по паспорту",G554)),ISERROR(SEARCH("по паспорту",H554)),I554&lt;&gt;"",J554&lt;&gt;"",K554&lt;&gt;"",L554&lt;&gt;"",M554&lt;&gt;""),"ГОТОВО","НЕ ГОТОВО"))</f>
        <v/>
      </c>
      <c r="Z554" s="226">
        <f>IF(Y554&lt;&gt;"ГОТОВО","", "Предварительное заключение: "&amp;A554&amp;", скв. "&amp;B554&amp;". МРП: "&amp;E554&amp;" сут. ГНО: "&amp;F554&amp;", типоразмер "&amp;G554&amp;", марка "&amp;H554&amp;". Событие: "&amp;I554&amp;". Признак: "&amp;J554&amp;". Узел: "&amp;K554&amp;". Предварительная причина: "&amp;L554&amp;". Основное осложнение: "&amp;M554&amp;IF(N554&lt;&gt;"","; сопутствующее: "&amp;N554,"")&amp;IF(O554&lt;&gt;"","; дополнительно: "&amp;O554,"")&amp;".")</f>
        <v/>
      </c>
    </row>
    <row r="555">
      <c r="A555" s="75" t="n"/>
      <c r="B555" s="75" t="n"/>
      <c r="C555" s="261" t="n"/>
      <c r="D555" s="261" t="n"/>
      <c r="E555" s="262">
        <f>IF(OR(C555="",D555=""),"",D555-C555)</f>
        <v/>
      </c>
      <c r="F555" s="75" t="n"/>
      <c r="G555" s="75" t="n"/>
      <c r="H555" s="75" t="n"/>
      <c r="I555" s="75" t="n"/>
      <c r="J555" s="75" t="n"/>
      <c r="K555" s="75" t="n"/>
      <c r="L555" s="75" t="n"/>
      <c r="M555" s="75" t="n"/>
      <c r="N555" s="75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226">
        <f>IF(AND(A555="",B555=""),"",IF(AND(A555&lt;&gt;"",B555&lt;&gt;"",C555&lt;&gt;"",D555&lt;&gt;"",F555&lt;&gt;"",G555&lt;&gt;"",H555&lt;&gt;"",ISERROR(SEARCH("по паспорту",G555)),ISERROR(SEARCH("по паспорту",H555)),I555&lt;&gt;"",J555&lt;&gt;"",K555&lt;&gt;"",L555&lt;&gt;"",M555&lt;&gt;""),"ГОТОВО","НЕ ГОТОВО"))</f>
        <v/>
      </c>
      <c r="Z555" s="226">
        <f>IF(Y555&lt;&gt;"ГОТОВО","", "Предварительное заключение: "&amp;A555&amp;", скв. "&amp;B555&amp;". МРП: "&amp;E555&amp;" сут. ГНО: "&amp;F555&amp;", типоразмер "&amp;G555&amp;", марка "&amp;H555&amp;". Событие: "&amp;I555&amp;". Признак: "&amp;J555&amp;". Узел: "&amp;K555&amp;". Предварительная причина: "&amp;L555&amp;". Основное осложнение: "&amp;M555&amp;IF(N555&lt;&gt;"","; сопутствующее: "&amp;N555,"")&amp;IF(O555&lt;&gt;"","; дополнительно: "&amp;O555,"")&amp;".")</f>
        <v/>
      </c>
    </row>
    <row r="556">
      <c r="A556" s="75" t="n"/>
      <c r="B556" s="75" t="n"/>
      <c r="C556" s="261" t="n"/>
      <c r="D556" s="261" t="n"/>
      <c r="E556" s="262">
        <f>IF(OR(C556="",D556=""),"",D556-C556)</f>
        <v/>
      </c>
      <c r="F556" s="75" t="n"/>
      <c r="G556" s="75" t="n"/>
      <c r="H556" s="75" t="n"/>
      <c r="I556" s="75" t="n"/>
      <c r="J556" s="75" t="n"/>
      <c r="K556" s="75" t="n"/>
      <c r="L556" s="75" t="n"/>
      <c r="M556" s="75" t="n"/>
      <c r="N556" s="75" t="n"/>
      <c r="O556" s="75" t="n"/>
      <c r="P556" s="75" t="n"/>
      <c r="Q556" s="75" t="n"/>
      <c r="R556" s="75" t="n"/>
      <c r="S556" s="75" t="n"/>
      <c r="T556" s="75" t="n"/>
      <c r="U556" s="75" t="n"/>
      <c r="V556" s="75" t="n"/>
      <c r="W556" s="75" t="n"/>
      <c r="X556" s="75" t="n"/>
      <c r="Y556" s="226">
        <f>IF(AND(A556="",B556=""),"",IF(AND(A556&lt;&gt;"",B556&lt;&gt;"",C556&lt;&gt;"",D556&lt;&gt;"",F556&lt;&gt;"",G556&lt;&gt;"",H556&lt;&gt;"",ISERROR(SEARCH("по паспорту",G556)),ISERROR(SEARCH("по паспорту",H556)),I556&lt;&gt;"",J556&lt;&gt;"",K556&lt;&gt;"",L556&lt;&gt;"",M556&lt;&gt;""),"ГОТОВО","НЕ ГОТОВО"))</f>
        <v/>
      </c>
      <c r="Z556" s="226">
        <f>IF(Y556&lt;&gt;"ГОТОВО","", "Предварительное заключение: "&amp;A556&amp;", скв. "&amp;B556&amp;". МРП: "&amp;E556&amp;" сут. ГНО: "&amp;F556&amp;", типоразмер "&amp;G556&amp;", марка "&amp;H556&amp;". Событие: "&amp;I556&amp;". Признак: "&amp;J556&amp;". Узел: "&amp;K556&amp;". Предварительная причина: "&amp;L556&amp;". Основное осложнение: "&amp;M556&amp;IF(N556&lt;&gt;"","; сопутствующее: "&amp;N556,"")&amp;IF(O556&lt;&gt;"","; дополнительно: "&amp;O556,"")&amp;".")</f>
        <v/>
      </c>
    </row>
    <row r="557">
      <c r="A557" s="75" t="n"/>
      <c r="B557" s="75" t="n"/>
      <c r="C557" s="261" t="n"/>
      <c r="D557" s="261" t="n"/>
      <c r="E557" s="262">
        <f>IF(OR(C557="",D557=""),"",D557-C557)</f>
        <v/>
      </c>
      <c r="F557" s="75" t="n"/>
      <c r="G557" s="75" t="n"/>
      <c r="H557" s="75" t="n"/>
      <c r="I557" s="75" t="n"/>
      <c r="J557" s="75" t="n"/>
      <c r="K557" s="75" t="n"/>
      <c r="L557" s="75" t="n"/>
      <c r="M557" s="75" t="n"/>
      <c r="N557" s="75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226">
        <f>IF(AND(A557="",B557=""),"",IF(AND(A557&lt;&gt;"",B557&lt;&gt;"",C557&lt;&gt;"",D557&lt;&gt;"",F557&lt;&gt;"",G557&lt;&gt;"",H557&lt;&gt;"",ISERROR(SEARCH("по паспорту",G557)),ISERROR(SEARCH("по паспорту",H557)),I557&lt;&gt;"",J557&lt;&gt;"",K557&lt;&gt;"",L557&lt;&gt;"",M557&lt;&gt;""),"ГОТОВО","НЕ ГОТОВО"))</f>
        <v/>
      </c>
      <c r="Z557" s="226">
        <f>IF(Y557&lt;&gt;"ГОТОВО","", "Предварительное заключение: "&amp;A557&amp;", скв. "&amp;B557&amp;". МРП: "&amp;E557&amp;" сут. ГНО: "&amp;F557&amp;", типоразмер "&amp;G557&amp;", марка "&amp;H557&amp;". Событие: "&amp;I557&amp;". Признак: "&amp;J557&amp;". Узел: "&amp;K557&amp;". Предварительная причина: "&amp;L557&amp;". Основное осложнение: "&amp;M557&amp;IF(N557&lt;&gt;"","; сопутствующее: "&amp;N557,"")&amp;IF(O557&lt;&gt;"","; дополнительно: "&amp;O557,"")&amp;".")</f>
        <v/>
      </c>
    </row>
    <row r="558">
      <c r="A558" s="75" t="n"/>
      <c r="B558" s="75" t="n"/>
      <c r="C558" s="261" t="n"/>
      <c r="D558" s="261" t="n"/>
      <c r="E558" s="262">
        <f>IF(OR(C558="",D558=""),"",D558-C558)</f>
        <v/>
      </c>
      <c r="F558" s="75" t="n"/>
      <c r="G558" s="75" t="n"/>
      <c r="H558" s="75" t="n"/>
      <c r="I558" s="75" t="n"/>
      <c r="J558" s="75" t="n"/>
      <c r="K558" s="75" t="n"/>
      <c r="L558" s="75" t="n"/>
      <c r="M558" s="75" t="n"/>
      <c r="N558" s="75" t="n"/>
      <c r="O558" s="75" t="n"/>
      <c r="P558" s="75" t="n"/>
      <c r="Q558" s="75" t="n"/>
      <c r="R558" s="75" t="n"/>
      <c r="S558" s="75" t="n"/>
      <c r="T558" s="75" t="n"/>
      <c r="U558" s="75" t="n"/>
      <c r="V558" s="75" t="n"/>
      <c r="W558" s="75" t="n"/>
      <c r="X558" s="75" t="n"/>
      <c r="Y558" s="226">
        <f>IF(AND(A558="",B558=""),"",IF(AND(A558&lt;&gt;"",B558&lt;&gt;"",C558&lt;&gt;"",D558&lt;&gt;"",F558&lt;&gt;"",G558&lt;&gt;"",H558&lt;&gt;"",ISERROR(SEARCH("по паспорту",G558)),ISERROR(SEARCH("по паспорту",H558)),I558&lt;&gt;"",J558&lt;&gt;"",K558&lt;&gt;"",L558&lt;&gt;"",M558&lt;&gt;""),"ГОТОВО","НЕ ГОТОВО"))</f>
        <v/>
      </c>
      <c r="Z558" s="226">
        <f>IF(Y558&lt;&gt;"ГОТОВО","", "Предварительное заключение: "&amp;A558&amp;", скв. "&amp;B558&amp;". МРП: "&amp;E558&amp;" сут. ГНО: "&amp;F558&amp;", типоразмер "&amp;G558&amp;", марка "&amp;H558&amp;". Событие: "&amp;I558&amp;". Признак: "&amp;J558&amp;". Узел: "&amp;K558&amp;". Предварительная причина: "&amp;L558&amp;". Основное осложнение: "&amp;M558&amp;IF(N558&lt;&gt;"","; сопутствующее: "&amp;N558,"")&amp;IF(O558&lt;&gt;"","; дополнительно: "&amp;O558,"")&amp;".")</f>
        <v/>
      </c>
    </row>
    <row r="559">
      <c r="A559" s="75" t="n"/>
      <c r="B559" s="75" t="n"/>
      <c r="C559" s="261" t="n"/>
      <c r="D559" s="261" t="n"/>
      <c r="E559" s="262">
        <f>IF(OR(C559="",D559=""),"",D559-C559)</f>
        <v/>
      </c>
      <c r="F559" s="75" t="n"/>
      <c r="G559" s="75" t="n"/>
      <c r="H559" s="75" t="n"/>
      <c r="I559" s="75" t="n"/>
      <c r="J559" s="75" t="n"/>
      <c r="K559" s="75" t="n"/>
      <c r="L559" s="75" t="n"/>
      <c r="M559" s="75" t="n"/>
      <c r="N559" s="75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226">
        <f>IF(AND(A559="",B559=""),"",IF(AND(A559&lt;&gt;"",B559&lt;&gt;"",C559&lt;&gt;"",D559&lt;&gt;"",F559&lt;&gt;"",G559&lt;&gt;"",H559&lt;&gt;"",ISERROR(SEARCH("по паспорту",G559)),ISERROR(SEARCH("по паспорту",H559)),I559&lt;&gt;"",J559&lt;&gt;"",K559&lt;&gt;"",L559&lt;&gt;"",M559&lt;&gt;""),"ГОТОВО","НЕ ГОТОВО"))</f>
        <v/>
      </c>
      <c r="Z559" s="226">
        <f>IF(Y559&lt;&gt;"ГОТОВО","", "Предварительное заключение: "&amp;A559&amp;", скв. "&amp;B559&amp;". МРП: "&amp;E559&amp;" сут. ГНО: "&amp;F559&amp;", типоразмер "&amp;G559&amp;", марка "&amp;H559&amp;". Событие: "&amp;I559&amp;". Признак: "&amp;J559&amp;". Узел: "&amp;K559&amp;". Предварительная причина: "&amp;L559&amp;". Основное осложнение: "&amp;M559&amp;IF(N559&lt;&gt;"","; сопутствующее: "&amp;N559,"")&amp;IF(O559&lt;&gt;"","; дополнительно: "&amp;O559,"")&amp;".")</f>
        <v/>
      </c>
    </row>
    <row r="560">
      <c r="A560" s="75" t="n"/>
      <c r="B560" s="75" t="n"/>
      <c r="C560" s="261" t="n"/>
      <c r="D560" s="261" t="n"/>
      <c r="E560" s="262">
        <f>IF(OR(C560="",D560=""),"",D560-C560)</f>
        <v/>
      </c>
      <c r="F560" s="75" t="n"/>
      <c r="G560" s="75" t="n"/>
      <c r="H560" s="75" t="n"/>
      <c r="I560" s="75" t="n"/>
      <c r="J560" s="75" t="n"/>
      <c r="K560" s="75" t="n"/>
      <c r="L560" s="75" t="n"/>
      <c r="M560" s="75" t="n"/>
      <c r="N560" s="75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226">
        <f>IF(AND(A560="",B560=""),"",IF(AND(A560&lt;&gt;"",B560&lt;&gt;"",C560&lt;&gt;"",D560&lt;&gt;"",F560&lt;&gt;"",G560&lt;&gt;"",H560&lt;&gt;"",ISERROR(SEARCH("по паспорту",G560)),ISERROR(SEARCH("по паспорту",H560)),I560&lt;&gt;"",J560&lt;&gt;"",K560&lt;&gt;"",L560&lt;&gt;"",M560&lt;&gt;""),"ГОТОВО","НЕ ГОТОВО"))</f>
        <v/>
      </c>
      <c r="Z560" s="226">
        <f>IF(Y560&lt;&gt;"ГОТОВО","", "Предварительное заключение: "&amp;A560&amp;", скв. "&amp;B560&amp;". МРП: "&amp;E560&amp;" сут. ГНО: "&amp;F560&amp;", типоразмер "&amp;G560&amp;", марка "&amp;H560&amp;". Событие: "&amp;I560&amp;". Признак: "&amp;J560&amp;". Узел: "&amp;K560&amp;". Предварительная причина: "&amp;L560&amp;". Основное осложнение: "&amp;M560&amp;IF(N560&lt;&gt;"","; сопутствующее: "&amp;N560,"")&amp;IF(O560&lt;&gt;"","; дополнительно: "&amp;O560,"")&amp;".")</f>
        <v/>
      </c>
    </row>
    <row r="561">
      <c r="A561" s="75" t="n"/>
      <c r="B561" s="75" t="n"/>
      <c r="C561" s="261" t="n"/>
      <c r="D561" s="261" t="n"/>
      <c r="E561" s="262">
        <f>IF(OR(C561="",D561=""),"",D561-C561)</f>
        <v/>
      </c>
      <c r="F561" s="75" t="n"/>
      <c r="G561" s="75" t="n"/>
      <c r="H561" s="75" t="n"/>
      <c r="I561" s="75" t="n"/>
      <c r="J561" s="75" t="n"/>
      <c r="K561" s="75" t="n"/>
      <c r="L561" s="75" t="n"/>
      <c r="M561" s="75" t="n"/>
      <c r="N561" s="75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226">
        <f>IF(AND(A561="",B561=""),"",IF(AND(A561&lt;&gt;"",B561&lt;&gt;"",C561&lt;&gt;"",D561&lt;&gt;"",F561&lt;&gt;"",G561&lt;&gt;"",H561&lt;&gt;"",ISERROR(SEARCH("по паспорту",G561)),ISERROR(SEARCH("по паспорту",H561)),I561&lt;&gt;"",J561&lt;&gt;"",K561&lt;&gt;"",L561&lt;&gt;"",M561&lt;&gt;""),"ГОТОВО","НЕ ГОТОВО"))</f>
        <v/>
      </c>
      <c r="Z561" s="226">
        <f>IF(Y561&lt;&gt;"ГОТОВО","", "Предварительное заключение: "&amp;A561&amp;", скв. "&amp;B561&amp;". МРП: "&amp;E561&amp;" сут. ГНО: "&amp;F561&amp;", типоразмер "&amp;G561&amp;", марка "&amp;H561&amp;". Событие: "&amp;I561&amp;". Признак: "&amp;J561&amp;". Узел: "&amp;K561&amp;". Предварительная причина: "&amp;L561&amp;". Основное осложнение: "&amp;M561&amp;IF(N561&lt;&gt;"","; сопутствующее: "&amp;N561,"")&amp;IF(O561&lt;&gt;"","; дополнительно: "&amp;O561,"")&amp;".")</f>
        <v/>
      </c>
    </row>
    <row r="562">
      <c r="A562" s="75" t="n"/>
      <c r="B562" s="75" t="n"/>
      <c r="C562" s="261" t="n"/>
      <c r="D562" s="261" t="n"/>
      <c r="E562" s="262">
        <f>IF(OR(C562="",D562=""),"",D562-C562)</f>
        <v/>
      </c>
      <c r="F562" s="75" t="n"/>
      <c r="G562" s="75" t="n"/>
      <c r="H562" s="75" t="n"/>
      <c r="I562" s="75" t="n"/>
      <c r="J562" s="75" t="n"/>
      <c r="K562" s="75" t="n"/>
      <c r="L562" s="75" t="n"/>
      <c r="M562" s="75" t="n"/>
      <c r="N562" s="75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226">
        <f>IF(AND(A562="",B562=""),"",IF(AND(A562&lt;&gt;"",B562&lt;&gt;"",C562&lt;&gt;"",D562&lt;&gt;"",F562&lt;&gt;"",G562&lt;&gt;"",H562&lt;&gt;"",ISERROR(SEARCH("по паспорту",G562)),ISERROR(SEARCH("по паспорту",H562)),I562&lt;&gt;"",J562&lt;&gt;"",K562&lt;&gt;"",L562&lt;&gt;"",M562&lt;&gt;""),"ГОТОВО","НЕ ГОТОВО"))</f>
        <v/>
      </c>
      <c r="Z562" s="226">
        <f>IF(Y562&lt;&gt;"ГОТОВО","", "Предварительное заключение: "&amp;A562&amp;", скв. "&amp;B562&amp;". МРП: "&amp;E562&amp;" сут. ГНО: "&amp;F562&amp;", типоразмер "&amp;G562&amp;", марка "&amp;H562&amp;". Событие: "&amp;I562&amp;". Признак: "&amp;J562&amp;". Узел: "&amp;K562&amp;". Предварительная причина: "&amp;L562&amp;". Основное осложнение: "&amp;M562&amp;IF(N562&lt;&gt;"","; сопутствующее: "&amp;N562,"")&amp;IF(O562&lt;&gt;"","; дополнительно: "&amp;O562,"")&amp;".")</f>
        <v/>
      </c>
    </row>
    <row r="563">
      <c r="A563" s="75" t="n"/>
      <c r="B563" s="75" t="n"/>
      <c r="C563" s="261" t="n"/>
      <c r="D563" s="261" t="n"/>
      <c r="E563" s="262">
        <f>IF(OR(C563="",D563=""),"",D563-C563)</f>
        <v/>
      </c>
      <c r="F563" s="75" t="n"/>
      <c r="G563" s="75" t="n"/>
      <c r="H563" s="75" t="n"/>
      <c r="I563" s="75" t="n"/>
      <c r="J563" s="75" t="n"/>
      <c r="K563" s="75" t="n"/>
      <c r="L563" s="75" t="n"/>
      <c r="M563" s="75" t="n"/>
      <c r="N563" s="75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226">
        <f>IF(AND(A563="",B563=""),"",IF(AND(A563&lt;&gt;"",B563&lt;&gt;"",C563&lt;&gt;"",D563&lt;&gt;"",F563&lt;&gt;"",G563&lt;&gt;"",H563&lt;&gt;"",ISERROR(SEARCH("по паспорту",G563)),ISERROR(SEARCH("по паспорту",H563)),I563&lt;&gt;"",J563&lt;&gt;"",K563&lt;&gt;"",L563&lt;&gt;"",M563&lt;&gt;""),"ГОТОВО","НЕ ГОТОВО"))</f>
        <v/>
      </c>
      <c r="Z563" s="226">
        <f>IF(Y563&lt;&gt;"ГОТОВО","", "Предварительное заключение: "&amp;A563&amp;", скв. "&amp;B563&amp;". МРП: "&amp;E563&amp;" сут. ГНО: "&amp;F563&amp;", типоразмер "&amp;G563&amp;", марка "&amp;H563&amp;". Событие: "&amp;I563&amp;". Признак: "&amp;J563&amp;". Узел: "&amp;K563&amp;". Предварительная причина: "&amp;L563&amp;". Основное осложнение: "&amp;M563&amp;IF(N563&lt;&gt;"","; сопутствующее: "&amp;N563,"")&amp;IF(O563&lt;&gt;"","; дополнительно: "&amp;O563,"")&amp;".")</f>
        <v/>
      </c>
    </row>
    <row r="564">
      <c r="A564" s="75" t="n"/>
      <c r="B564" s="75" t="n"/>
      <c r="C564" s="261" t="n"/>
      <c r="D564" s="261" t="n"/>
      <c r="E564" s="262">
        <f>IF(OR(C564="",D564=""),"",D564-C564)</f>
        <v/>
      </c>
      <c r="F564" s="75" t="n"/>
      <c r="G564" s="75" t="n"/>
      <c r="H564" s="75" t="n"/>
      <c r="I564" s="75" t="n"/>
      <c r="J564" s="75" t="n"/>
      <c r="K564" s="75" t="n"/>
      <c r="L564" s="75" t="n"/>
      <c r="M564" s="75" t="n"/>
      <c r="N564" s="75" t="n"/>
      <c r="O564" s="75" t="n"/>
      <c r="P564" s="75" t="n"/>
      <c r="Q564" s="75" t="n"/>
      <c r="R564" s="75" t="n"/>
      <c r="S564" s="75" t="n"/>
      <c r="T564" s="75" t="n"/>
      <c r="U564" s="75" t="n"/>
      <c r="V564" s="75" t="n"/>
      <c r="W564" s="75" t="n"/>
      <c r="X564" s="75" t="n"/>
      <c r="Y564" s="226">
        <f>IF(AND(A564="",B564=""),"",IF(AND(A564&lt;&gt;"",B564&lt;&gt;"",C564&lt;&gt;"",D564&lt;&gt;"",F564&lt;&gt;"",G564&lt;&gt;"",H564&lt;&gt;"",ISERROR(SEARCH("по паспорту",G564)),ISERROR(SEARCH("по паспорту",H564)),I564&lt;&gt;"",J564&lt;&gt;"",K564&lt;&gt;"",L564&lt;&gt;"",M564&lt;&gt;""),"ГОТОВО","НЕ ГОТОВО"))</f>
        <v/>
      </c>
      <c r="Z564" s="226">
        <f>IF(Y564&lt;&gt;"ГОТОВО","", "Предварительное заключение: "&amp;A564&amp;", скв. "&amp;B564&amp;". МРП: "&amp;E564&amp;" сут. ГНО: "&amp;F564&amp;", типоразмер "&amp;G564&amp;", марка "&amp;H564&amp;". Событие: "&amp;I564&amp;". Признак: "&amp;J564&amp;". Узел: "&amp;K564&amp;". Предварительная причина: "&amp;L564&amp;". Основное осложнение: "&amp;M564&amp;IF(N564&lt;&gt;"","; сопутствующее: "&amp;N564,"")&amp;IF(O564&lt;&gt;"","; дополнительно: "&amp;O564,"")&amp;".")</f>
        <v/>
      </c>
    </row>
    <row r="565">
      <c r="A565" s="75" t="n"/>
      <c r="B565" s="75" t="n"/>
      <c r="C565" s="261" t="n"/>
      <c r="D565" s="261" t="n"/>
      <c r="E565" s="262">
        <f>IF(OR(C565="",D565=""),"",D565-C565)</f>
        <v/>
      </c>
      <c r="F565" s="75" t="n"/>
      <c r="G565" s="75" t="n"/>
      <c r="H565" s="75" t="n"/>
      <c r="I565" s="75" t="n"/>
      <c r="J565" s="75" t="n"/>
      <c r="K565" s="75" t="n"/>
      <c r="L565" s="75" t="n"/>
      <c r="M565" s="75" t="n"/>
      <c r="N565" s="75" t="n"/>
      <c r="O565" s="75" t="n"/>
      <c r="P565" s="75" t="n"/>
      <c r="Q565" s="75" t="n"/>
      <c r="R565" s="75" t="n"/>
      <c r="S565" s="75" t="n"/>
      <c r="T565" s="75" t="n"/>
      <c r="U565" s="75" t="n"/>
      <c r="V565" s="75" t="n"/>
      <c r="W565" s="75" t="n"/>
      <c r="X565" s="75" t="n"/>
      <c r="Y565" s="226">
        <f>IF(AND(A565="",B565=""),"",IF(AND(A565&lt;&gt;"",B565&lt;&gt;"",C565&lt;&gt;"",D565&lt;&gt;"",F565&lt;&gt;"",G565&lt;&gt;"",H565&lt;&gt;"",ISERROR(SEARCH("по паспорту",G565)),ISERROR(SEARCH("по паспорту",H565)),I565&lt;&gt;"",J565&lt;&gt;"",K565&lt;&gt;"",L565&lt;&gt;"",M565&lt;&gt;""),"ГОТОВО","НЕ ГОТОВО"))</f>
        <v/>
      </c>
      <c r="Z565" s="226">
        <f>IF(Y565&lt;&gt;"ГОТОВО","", "Предварительное заключение: "&amp;A565&amp;", скв. "&amp;B565&amp;". МРП: "&amp;E565&amp;" сут. ГНО: "&amp;F565&amp;", типоразмер "&amp;G565&amp;", марка "&amp;H565&amp;". Событие: "&amp;I565&amp;". Признак: "&amp;J565&amp;". Узел: "&amp;K565&amp;". Предварительная причина: "&amp;L565&amp;". Основное осложнение: "&amp;M565&amp;IF(N565&lt;&gt;"","; сопутствующее: "&amp;N565,"")&amp;IF(O565&lt;&gt;"","; дополнительно: "&amp;O565,"")&amp;".")</f>
        <v/>
      </c>
    </row>
    <row r="566">
      <c r="A566" s="75" t="n"/>
      <c r="B566" s="75" t="n"/>
      <c r="C566" s="261" t="n"/>
      <c r="D566" s="261" t="n"/>
      <c r="E566" s="262">
        <f>IF(OR(C566="",D566=""),"",D566-C566)</f>
        <v/>
      </c>
      <c r="F566" s="75" t="n"/>
      <c r="G566" s="75" t="n"/>
      <c r="H566" s="75" t="n"/>
      <c r="I566" s="75" t="n"/>
      <c r="J566" s="75" t="n"/>
      <c r="K566" s="75" t="n"/>
      <c r="L566" s="75" t="n"/>
      <c r="M566" s="75" t="n"/>
      <c r="N566" s="75" t="n"/>
      <c r="O566" s="75" t="n"/>
      <c r="P566" s="75" t="n"/>
      <c r="Q566" s="75" t="n"/>
      <c r="R566" s="75" t="n"/>
      <c r="S566" s="75" t="n"/>
      <c r="T566" s="75" t="n"/>
      <c r="U566" s="75" t="n"/>
      <c r="V566" s="75" t="n"/>
      <c r="W566" s="75" t="n"/>
      <c r="X566" s="75" t="n"/>
      <c r="Y566" s="226">
        <f>IF(AND(A566="",B566=""),"",IF(AND(A566&lt;&gt;"",B566&lt;&gt;"",C566&lt;&gt;"",D566&lt;&gt;"",F566&lt;&gt;"",G566&lt;&gt;"",H566&lt;&gt;"",ISERROR(SEARCH("по паспорту",G566)),ISERROR(SEARCH("по паспорту",H566)),I566&lt;&gt;"",J566&lt;&gt;"",K566&lt;&gt;"",L566&lt;&gt;"",M566&lt;&gt;""),"ГОТОВО","НЕ ГОТОВО"))</f>
        <v/>
      </c>
      <c r="Z566" s="226">
        <f>IF(Y566&lt;&gt;"ГОТОВО","", "Предварительное заключение: "&amp;A566&amp;", скв. "&amp;B566&amp;". МРП: "&amp;E566&amp;" сут. ГНО: "&amp;F566&amp;", типоразмер "&amp;G566&amp;", марка "&amp;H566&amp;". Событие: "&amp;I566&amp;". Признак: "&amp;J566&amp;". Узел: "&amp;K566&amp;". Предварительная причина: "&amp;L566&amp;". Основное осложнение: "&amp;M566&amp;IF(N566&lt;&gt;"","; сопутствующее: "&amp;N566,"")&amp;IF(O566&lt;&gt;"","; дополнительно: "&amp;O566,"")&amp;".")</f>
        <v/>
      </c>
    </row>
    <row r="567">
      <c r="A567" s="75" t="n"/>
      <c r="B567" s="75" t="n"/>
      <c r="C567" s="261" t="n"/>
      <c r="D567" s="261" t="n"/>
      <c r="E567" s="262">
        <f>IF(OR(C567="",D567=""),"",D567-C567)</f>
        <v/>
      </c>
      <c r="F567" s="75" t="n"/>
      <c r="G567" s="75" t="n"/>
      <c r="H567" s="75" t="n"/>
      <c r="I567" s="75" t="n"/>
      <c r="J567" s="75" t="n"/>
      <c r="K567" s="75" t="n"/>
      <c r="L567" s="75" t="n"/>
      <c r="M567" s="75" t="n"/>
      <c r="N567" s="75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226">
        <f>IF(AND(A567="",B567=""),"",IF(AND(A567&lt;&gt;"",B567&lt;&gt;"",C567&lt;&gt;"",D567&lt;&gt;"",F567&lt;&gt;"",G567&lt;&gt;"",H567&lt;&gt;"",ISERROR(SEARCH("по паспорту",G567)),ISERROR(SEARCH("по паспорту",H567)),I567&lt;&gt;"",J567&lt;&gt;"",K567&lt;&gt;"",L567&lt;&gt;"",M567&lt;&gt;""),"ГОТОВО","НЕ ГОТОВО"))</f>
        <v/>
      </c>
      <c r="Z567" s="226">
        <f>IF(Y567&lt;&gt;"ГОТОВО","", "Предварительное заключение: "&amp;A567&amp;", скв. "&amp;B567&amp;". МРП: "&amp;E567&amp;" сут. ГНО: "&amp;F567&amp;", типоразмер "&amp;G567&amp;", марка "&amp;H567&amp;". Событие: "&amp;I567&amp;". Признак: "&amp;J567&amp;". Узел: "&amp;K567&amp;". Предварительная причина: "&amp;L567&amp;". Основное осложнение: "&amp;M567&amp;IF(N567&lt;&gt;"","; сопутствующее: "&amp;N567,"")&amp;IF(O567&lt;&gt;"","; дополнительно: "&amp;O567,"")&amp;".")</f>
        <v/>
      </c>
    </row>
    <row r="568">
      <c r="A568" s="75" t="n"/>
      <c r="B568" s="75" t="n"/>
      <c r="C568" s="261" t="n"/>
      <c r="D568" s="261" t="n"/>
      <c r="E568" s="262">
        <f>IF(OR(C568="",D568=""),"",D568-C568)</f>
        <v/>
      </c>
      <c r="F568" s="75" t="n"/>
      <c r="G568" s="75" t="n"/>
      <c r="H568" s="75" t="n"/>
      <c r="I568" s="75" t="n"/>
      <c r="J568" s="75" t="n"/>
      <c r="K568" s="75" t="n"/>
      <c r="L568" s="75" t="n"/>
      <c r="M568" s="75" t="n"/>
      <c r="N568" s="75" t="n"/>
      <c r="O568" s="75" t="n"/>
      <c r="P568" s="75" t="n"/>
      <c r="Q568" s="75" t="n"/>
      <c r="R568" s="75" t="n"/>
      <c r="S568" s="75" t="n"/>
      <c r="T568" s="75" t="n"/>
      <c r="U568" s="75" t="n"/>
      <c r="V568" s="75" t="n"/>
      <c r="W568" s="75" t="n"/>
      <c r="X568" s="75" t="n"/>
      <c r="Y568" s="226">
        <f>IF(AND(A568="",B568=""),"",IF(AND(A568&lt;&gt;"",B568&lt;&gt;"",C568&lt;&gt;"",D568&lt;&gt;"",F568&lt;&gt;"",G568&lt;&gt;"",H568&lt;&gt;"",ISERROR(SEARCH("по паспорту",G568)),ISERROR(SEARCH("по паспорту",H568)),I568&lt;&gt;"",J568&lt;&gt;"",K568&lt;&gt;"",L568&lt;&gt;"",M568&lt;&gt;""),"ГОТОВО","НЕ ГОТОВО"))</f>
        <v/>
      </c>
      <c r="Z568" s="226">
        <f>IF(Y568&lt;&gt;"ГОТОВО","", "Предварительное заключение: "&amp;A568&amp;", скв. "&amp;B568&amp;". МРП: "&amp;E568&amp;" сут. ГНО: "&amp;F568&amp;", типоразмер "&amp;G568&amp;", марка "&amp;H568&amp;". Событие: "&amp;I568&amp;". Признак: "&amp;J568&amp;". Узел: "&amp;K568&amp;". Предварительная причина: "&amp;L568&amp;". Основное осложнение: "&amp;M568&amp;IF(N568&lt;&gt;"","; сопутствующее: "&amp;N568,"")&amp;IF(O568&lt;&gt;"","; дополнительно: "&amp;O568,"")&amp;".")</f>
        <v/>
      </c>
    </row>
    <row r="569">
      <c r="A569" s="75" t="n"/>
      <c r="B569" s="75" t="n"/>
      <c r="C569" s="261" t="n"/>
      <c r="D569" s="261" t="n"/>
      <c r="E569" s="262">
        <f>IF(OR(C569="",D569=""),"",D569-C569)</f>
        <v/>
      </c>
      <c r="F569" s="75" t="n"/>
      <c r="G569" s="75" t="n"/>
      <c r="H569" s="75" t="n"/>
      <c r="I569" s="75" t="n"/>
      <c r="J569" s="75" t="n"/>
      <c r="K569" s="75" t="n"/>
      <c r="L569" s="75" t="n"/>
      <c r="M569" s="75" t="n"/>
      <c r="N569" s="75" t="n"/>
      <c r="O569" s="75" t="n"/>
      <c r="P569" s="75" t="n"/>
      <c r="Q569" s="75" t="n"/>
      <c r="R569" s="75" t="n"/>
      <c r="S569" s="75" t="n"/>
      <c r="T569" s="75" t="n"/>
      <c r="U569" s="75" t="n"/>
      <c r="V569" s="75" t="n"/>
      <c r="W569" s="75" t="n"/>
      <c r="X569" s="75" t="n"/>
      <c r="Y569" s="226">
        <f>IF(AND(A569="",B569=""),"",IF(AND(A569&lt;&gt;"",B569&lt;&gt;"",C569&lt;&gt;"",D569&lt;&gt;"",F569&lt;&gt;"",G569&lt;&gt;"",H569&lt;&gt;"",ISERROR(SEARCH("по паспорту",G569)),ISERROR(SEARCH("по паспорту",H569)),I569&lt;&gt;"",J569&lt;&gt;"",K569&lt;&gt;"",L569&lt;&gt;"",M569&lt;&gt;""),"ГОТОВО","НЕ ГОТОВО"))</f>
        <v/>
      </c>
      <c r="Z569" s="226">
        <f>IF(Y569&lt;&gt;"ГОТОВО","", "Предварительное заключение: "&amp;A569&amp;", скв. "&amp;B569&amp;". МРП: "&amp;E569&amp;" сут. ГНО: "&amp;F569&amp;", типоразмер "&amp;G569&amp;", марка "&amp;H569&amp;". Событие: "&amp;I569&amp;". Признак: "&amp;J569&amp;". Узел: "&amp;K569&amp;". Предварительная причина: "&amp;L569&amp;". Основное осложнение: "&amp;M569&amp;IF(N569&lt;&gt;"","; сопутствующее: "&amp;N569,"")&amp;IF(O569&lt;&gt;"","; дополнительно: "&amp;O569,"")&amp;".")</f>
        <v/>
      </c>
    </row>
    <row r="570">
      <c r="A570" s="75" t="n"/>
      <c r="B570" s="75" t="n"/>
      <c r="C570" s="261" t="n"/>
      <c r="D570" s="261" t="n"/>
      <c r="E570" s="262">
        <f>IF(OR(C570="",D570=""),"",D570-C570)</f>
        <v/>
      </c>
      <c r="F570" s="75" t="n"/>
      <c r="G570" s="75" t="n"/>
      <c r="H570" s="75" t="n"/>
      <c r="I570" s="75" t="n"/>
      <c r="J570" s="75" t="n"/>
      <c r="K570" s="75" t="n"/>
      <c r="L570" s="75" t="n"/>
      <c r="M570" s="75" t="n"/>
      <c r="N570" s="75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226">
        <f>IF(AND(A570="",B570=""),"",IF(AND(A570&lt;&gt;"",B570&lt;&gt;"",C570&lt;&gt;"",D570&lt;&gt;"",F570&lt;&gt;"",G570&lt;&gt;"",H570&lt;&gt;"",ISERROR(SEARCH("по паспорту",G570)),ISERROR(SEARCH("по паспорту",H570)),I570&lt;&gt;"",J570&lt;&gt;"",K570&lt;&gt;"",L570&lt;&gt;"",M570&lt;&gt;""),"ГОТОВО","НЕ ГОТОВО"))</f>
        <v/>
      </c>
      <c r="Z570" s="226">
        <f>IF(Y570&lt;&gt;"ГОТОВО","", "Предварительное заключение: "&amp;A570&amp;", скв. "&amp;B570&amp;". МРП: "&amp;E570&amp;" сут. ГНО: "&amp;F570&amp;", типоразмер "&amp;G570&amp;", марка "&amp;H570&amp;". Событие: "&amp;I570&amp;". Признак: "&amp;J570&amp;". Узел: "&amp;K570&amp;". Предварительная причина: "&amp;L570&amp;". Основное осложнение: "&amp;M570&amp;IF(N570&lt;&gt;"","; сопутствующее: "&amp;N570,"")&amp;IF(O570&lt;&gt;"","; дополнительно: "&amp;O570,"")&amp;".")</f>
        <v/>
      </c>
    </row>
    <row r="571">
      <c r="A571" s="75" t="n"/>
      <c r="B571" s="75" t="n"/>
      <c r="C571" s="261" t="n"/>
      <c r="D571" s="261" t="n"/>
      <c r="E571" s="262">
        <f>IF(OR(C571="",D571=""),"",D571-C571)</f>
        <v/>
      </c>
      <c r="F571" s="75" t="n"/>
      <c r="G571" s="75" t="n"/>
      <c r="H571" s="75" t="n"/>
      <c r="I571" s="75" t="n"/>
      <c r="J571" s="75" t="n"/>
      <c r="K571" s="75" t="n"/>
      <c r="L571" s="75" t="n"/>
      <c r="M571" s="75" t="n"/>
      <c r="N571" s="75" t="n"/>
      <c r="O571" s="75" t="n"/>
      <c r="P571" s="75" t="n"/>
      <c r="Q571" s="75" t="n"/>
      <c r="R571" s="75" t="n"/>
      <c r="S571" s="75" t="n"/>
      <c r="T571" s="75" t="n"/>
      <c r="U571" s="75" t="n"/>
      <c r="V571" s="75" t="n"/>
      <c r="W571" s="75" t="n"/>
      <c r="X571" s="75" t="n"/>
      <c r="Y571" s="226">
        <f>IF(AND(A571="",B571=""),"",IF(AND(A571&lt;&gt;"",B571&lt;&gt;"",C571&lt;&gt;"",D571&lt;&gt;"",F571&lt;&gt;"",G571&lt;&gt;"",H571&lt;&gt;"",ISERROR(SEARCH("по паспорту",G571)),ISERROR(SEARCH("по паспорту",H571)),I571&lt;&gt;"",J571&lt;&gt;"",K571&lt;&gt;"",L571&lt;&gt;"",M571&lt;&gt;""),"ГОТОВО","НЕ ГОТОВО"))</f>
        <v/>
      </c>
      <c r="Z571" s="226">
        <f>IF(Y571&lt;&gt;"ГОТОВО","", "Предварительное заключение: "&amp;A571&amp;", скв. "&amp;B571&amp;". МРП: "&amp;E571&amp;" сут. ГНО: "&amp;F571&amp;", типоразмер "&amp;G571&amp;", марка "&amp;H571&amp;". Событие: "&amp;I571&amp;". Признак: "&amp;J571&amp;". Узел: "&amp;K571&amp;". Предварительная причина: "&amp;L571&amp;". Основное осложнение: "&amp;M571&amp;IF(N571&lt;&gt;"","; сопутствующее: "&amp;N571,"")&amp;IF(O571&lt;&gt;"","; дополнительно: "&amp;O571,"")&amp;".")</f>
        <v/>
      </c>
    </row>
    <row r="572">
      <c r="A572" s="75" t="n"/>
      <c r="B572" s="75" t="n"/>
      <c r="C572" s="261" t="n"/>
      <c r="D572" s="261" t="n"/>
      <c r="E572" s="262">
        <f>IF(OR(C572="",D572=""),"",D572-C572)</f>
        <v/>
      </c>
      <c r="F572" s="75" t="n"/>
      <c r="G572" s="75" t="n"/>
      <c r="H572" s="75" t="n"/>
      <c r="I572" s="75" t="n"/>
      <c r="J572" s="75" t="n"/>
      <c r="K572" s="75" t="n"/>
      <c r="L572" s="75" t="n"/>
      <c r="M572" s="75" t="n"/>
      <c r="N572" s="75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226">
        <f>IF(AND(A572="",B572=""),"",IF(AND(A572&lt;&gt;"",B572&lt;&gt;"",C572&lt;&gt;"",D572&lt;&gt;"",F572&lt;&gt;"",G572&lt;&gt;"",H572&lt;&gt;"",ISERROR(SEARCH("по паспорту",G572)),ISERROR(SEARCH("по паспорту",H572)),I572&lt;&gt;"",J572&lt;&gt;"",K572&lt;&gt;"",L572&lt;&gt;"",M572&lt;&gt;""),"ГОТОВО","НЕ ГОТОВО"))</f>
        <v/>
      </c>
      <c r="Z572" s="226">
        <f>IF(Y572&lt;&gt;"ГОТОВО","", "Предварительное заключение: "&amp;A572&amp;", скв. "&amp;B572&amp;". МРП: "&amp;E572&amp;" сут. ГНО: "&amp;F572&amp;", типоразмер "&amp;G572&amp;", марка "&amp;H572&amp;". Событие: "&amp;I572&amp;". Признак: "&amp;J572&amp;". Узел: "&amp;K572&amp;". Предварительная причина: "&amp;L572&amp;". Основное осложнение: "&amp;M572&amp;IF(N572&lt;&gt;"","; сопутствующее: "&amp;N572,"")&amp;IF(O572&lt;&gt;"","; дополнительно: "&amp;O572,"")&amp;".")</f>
        <v/>
      </c>
    </row>
    <row r="573">
      <c r="A573" s="75" t="n"/>
      <c r="B573" s="75" t="n"/>
      <c r="C573" s="261" t="n"/>
      <c r="D573" s="261" t="n"/>
      <c r="E573" s="262">
        <f>IF(OR(C573="",D573=""),"",D573-C573)</f>
        <v/>
      </c>
      <c r="F573" s="75" t="n"/>
      <c r="G573" s="75" t="n"/>
      <c r="H573" s="75" t="n"/>
      <c r="I573" s="75" t="n"/>
      <c r="J573" s="75" t="n"/>
      <c r="K573" s="75" t="n"/>
      <c r="L573" s="75" t="n"/>
      <c r="M573" s="75" t="n"/>
      <c r="N573" s="75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226">
        <f>IF(AND(A573="",B573=""),"",IF(AND(A573&lt;&gt;"",B573&lt;&gt;"",C573&lt;&gt;"",D573&lt;&gt;"",F573&lt;&gt;"",G573&lt;&gt;"",H573&lt;&gt;"",ISERROR(SEARCH("по паспорту",G573)),ISERROR(SEARCH("по паспорту",H573)),I573&lt;&gt;"",J573&lt;&gt;"",K573&lt;&gt;"",L573&lt;&gt;"",M573&lt;&gt;""),"ГОТОВО","НЕ ГОТОВО"))</f>
        <v/>
      </c>
      <c r="Z573" s="226">
        <f>IF(Y573&lt;&gt;"ГОТОВО","", "Предварительное заключение: "&amp;A573&amp;", скв. "&amp;B573&amp;". МРП: "&amp;E573&amp;" сут. ГНО: "&amp;F573&amp;", типоразмер "&amp;G573&amp;", марка "&amp;H573&amp;". Событие: "&amp;I573&amp;". Признак: "&amp;J573&amp;". Узел: "&amp;K573&amp;". Предварительная причина: "&amp;L573&amp;". Основное осложнение: "&amp;M573&amp;IF(N573&lt;&gt;"","; сопутствующее: "&amp;N573,"")&amp;IF(O573&lt;&gt;"","; дополнительно: "&amp;O573,"")&amp;".")</f>
        <v/>
      </c>
    </row>
    <row r="574">
      <c r="A574" s="75" t="n"/>
      <c r="B574" s="75" t="n"/>
      <c r="C574" s="261" t="n"/>
      <c r="D574" s="261" t="n"/>
      <c r="E574" s="262">
        <f>IF(OR(C574="",D574=""),"",D574-C574)</f>
        <v/>
      </c>
      <c r="F574" s="75" t="n"/>
      <c r="G574" s="75" t="n"/>
      <c r="H574" s="75" t="n"/>
      <c r="I574" s="75" t="n"/>
      <c r="J574" s="75" t="n"/>
      <c r="K574" s="75" t="n"/>
      <c r="L574" s="75" t="n"/>
      <c r="M574" s="75" t="n"/>
      <c r="N574" s="75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226">
        <f>IF(AND(A574="",B574=""),"",IF(AND(A574&lt;&gt;"",B574&lt;&gt;"",C574&lt;&gt;"",D574&lt;&gt;"",F574&lt;&gt;"",G574&lt;&gt;"",H574&lt;&gt;"",ISERROR(SEARCH("по паспорту",G574)),ISERROR(SEARCH("по паспорту",H574)),I574&lt;&gt;"",J574&lt;&gt;"",K574&lt;&gt;"",L574&lt;&gt;"",M574&lt;&gt;""),"ГОТОВО","НЕ ГОТОВО"))</f>
        <v/>
      </c>
      <c r="Z574" s="226">
        <f>IF(Y574&lt;&gt;"ГОТОВО","", "Предварительное заключение: "&amp;A574&amp;", скв. "&amp;B574&amp;". МРП: "&amp;E574&amp;" сут. ГНО: "&amp;F574&amp;", типоразмер "&amp;G574&amp;", марка "&amp;H574&amp;". Событие: "&amp;I574&amp;". Признак: "&amp;J574&amp;". Узел: "&amp;K574&amp;". Предварительная причина: "&amp;L574&amp;". Основное осложнение: "&amp;M574&amp;IF(N574&lt;&gt;"","; сопутствующее: "&amp;N574,"")&amp;IF(O574&lt;&gt;"","; дополнительно: "&amp;O574,"")&amp;".")</f>
        <v/>
      </c>
    </row>
    <row r="575">
      <c r="A575" s="75" t="n"/>
      <c r="B575" s="75" t="n"/>
      <c r="C575" s="261" t="n"/>
      <c r="D575" s="261" t="n"/>
      <c r="E575" s="262">
        <f>IF(OR(C575="",D575=""),"",D575-C575)</f>
        <v/>
      </c>
      <c r="F575" s="75" t="n"/>
      <c r="G575" s="75" t="n"/>
      <c r="H575" s="75" t="n"/>
      <c r="I575" s="75" t="n"/>
      <c r="J575" s="75" t="n"/>
      <c r="K575" s="75" t="n"/>
      <c r="L575" s="75" t="n"/>
      <c r="M575" s="75" t="n"/>
      <c r="N575" s="75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226">
        <f>IF(AND(A575="",B575=""),"",IF(AND(A575&lt;&gt;"",B575&lt;&gt;"",C575&lt;&gt;"",D575&lt;&gt;"",F575&lt;&gt;"",G575&lt;&gt;"",H575&lt;&gt;"",ISERROR(SEARCH("по паспорту",G575)),ISERROR(SEARCH("по паспорту",H575)),I575&lt;&gt;"",J575&lt;&gt;"",K575&lt;&gt;"",L575&lt;&gt;"",M575&lt;&gt;""),"ГОТОВО","НЕ ГОТОВО"))</f>
        <v/>
      </c>
      <c r="Z575" s="226">
        <f>IF(Y575&lt;&gt;"ГОТОВО","", "Предварительное заключение: "&amp;A575&amp;", скв. "&amp;B575&amp;". МРП: "&amp;E575&amp;" сут. ГНО: "&amp;F575&amp;", типоразмер "&amp;G575&amp;", марка "&amp;H575&amp;". Событие: "&amp;I575&amp;". Признак: "&amp;J575&amp;". Узел: "&amp;K575&amp;". Предварительная причина: "&amp;L575&amp;". Основное осложнение: "&amp;M575&amp;IF(N575&lt;&gt;"","; сопутствующее: "&amp;N575,"")&amp;IF(O575&lt;&gt;"","; дополнительно: "&amp;O575,"")&amp;".")</f>
        <v/>
      </c>
    </row>
    <row r="576">
      <c r="A576" s="75" t="n"/>
      <c r="B576" s="75" t="n"/>
      <c r="C576" s="261" t="n"/>
      <c r="D576" s="261" t="n"/>
      <c r="E576" s="262">
        <f>IF(OR(C576="",D576=""),"",D576-C576)</f>
        <v/>
      </c>
      <c r="F576" s="75" t="n"/>
      <c r="G576" s="75" t="n"/>
      <c r="H576" s="75" t="n"/>
      <c r="I576" s="75" t="n"/>
      <c r="J576" s="75" t="n"/>
      <c r="K576" s="75" t="n"/>
      <c r="L576" s="75" t="n"/>
      <c r="M576" s="75" t="n"/>
      <c r="N576" s="75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226">
        <f>IF(AND(A576="",B576=""),"",IF(AND(A576&lt;&gt;"",B576&lt;&gt;"",C576&lt;&gt;"",D576&lt;&gt;"",F576&lt;&gt;"",G576&lt;&gt;"",H576&lt;&gt;"",ISERROR(SEARCH("по паспорту",G576)),ISERROR(SEARCH("по паспорту",H576)),I576&lt;&gt;"",J576&lt;&gt;"",K576&lt;&gt;"",L576&lt;&gt;"",M576&lt;&gt;""),"ГОТОВО","НЕ ГОТОВО"))</f>
        <v/>
      </c>
      <c r="Z576" s="226">
        <f>IF(Y576&lt;&gt;"ГОТОВО","", "Предварительное заключение: "&amp;A576&amp;", скв. "&amp;B576&amp;". МРП: "&amp;E576&amp;" сут. ГНО: "&amp;F576&amp;", типоразмер "&amp;G576&amp;", марка "&amp;H576&amp;". Событие: "&amp;I576&amp;". Признак: "&amp;J576&amp;". Узел: "&amp;K576&amp;". Предварительная причина: "&amp;L576&amp;". Основное осложнение: "&amp;M576&amp;IF(N576&lt;&gt;"","; сопутствующее: "&amp;N576,"")&amp;IF(O576&lt;&gt;"","; дополнительно: "&amp;O576,"")&amp;".")</f>
        <v/>
      </c>
    </row>
    <row r="577">
      <c r="A577" s="75" t="n"/>
      <c r="B577" s="75" t="n"/>
      <c r="C577" s="261" t="n"/>
      <c r="D577" s="261" t="n"/>
      <c r="E577" s="262">
        <f>IF(OR(C577="",D577=""),"",D577-C577)</f>
        <v/>
      </c>
      <c r="F577" s="75" t="n"/>
      <c r="G577" s="75" t="n"/>
      <c r="H577" s="75" t="n"/>
      <c r="I577" s="75" t="n"/>
      <c r="J577" s="75" t="n"/>
      <c r="K577" s="75" t="n"/>
      <c r="L577" s="75" t="n"/>
      <c r="M577" s="75" t="n"/>
      <c r="N577" s="75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226">
        <f>IF(AND(A577="",B577=""),"",IF(AND(A577&lt;&gt;"",B577&lt;&gt;"",C577&lt;&gt;"",D577&lt;&gt;"",F577&lt;&gt;"",G577&lt;&gt;"",H577&lt;&gt;"",ISERROR(SEARCH("по паспорту",G577)),ISERROR(SEARCH("по паспорту",H577)),I577&lt;&gt;"",J577&lt;&gt;"",K577&lt;&gt;"",L577&lt;&gt;"",M577&lt;&gt;""),"ГОТОВО","НЕ ГОТОВО"))</f>
        <v/>
      </c>
      <c r="Z577" s="226">
        <f>IF(Y577&lt;&gt;"ГОТОВО","", "Предварительное заключение: "&amp;A577&amp;", скв. "&amp;B577&amp;". МРП: "&amp;E577&amp;" сут. ГНО: "&amp;F577&amp;", типоразмер "&amp;G577&amp;", марка "&amp;H577&amp;". Событие: "&amp;I577&amp;". Признак: "&amp;J577&amp;". Узел: "&amp;K577&amp;". Предварительная причина: "&amp;L577&amp;". Основное осложнение: "&amp;M577&amp;IF(N577&lt;&gt;"","; сопутствующее: "&amp;N577,"")&amp;IF(O577&lt;&gt;"","; дополнительно: "&amp;O577,"")&amp;".")</f>
        <v/>
      </c>
    </row>
    <row r="578">
      <c r="A578" s="75" t="n"/>
      <c r="B578" s="75" t="n"/>
      <c r="C578" s="261" t="n"/>
      <c r="D578" s="261" t="n"/>
      <c r="E578" s="262">
        <f>IF(OR(C578="",D578=""),"",D578-C578)</f>
        <v/>
      </c>
      <c r="F578" s="75" t="n"/>
      <c r="G578" s="75" t="n"/>
      <c r="H578" s="75" t="n"/>
      <c r="I578" s="75" t="n"/>
      <c r="J578" s="75" t="n"/>
      <c r="K578" s="75" t="n"/>
      <c r="L578" s="75" t="n"/>
      <c r="M578" s="75" t="n"/>
      <c r="N578" s="75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226">
        <f>IF(AND(A578="",B578=""),"",IF(AND(A578&lt;&gt;"",B578&lt;&gt;"",C578&lt;&gt;"",D578&lt;&gt;"",F578&lt;&gt;"",G578&lt;&gt;"",H578&lt;&gt;"",ISERROR(SEARCH("по паспорту",G578)),ISERROR(SEARCH("по паспорту",H578)),I578&lt;&gt;"",J578&lt;&gt;"",K578&lt;&gt;"",L578&lt;&gt;"",M578&lt;&gt;""),"ГОТОВО","НЕ ГОТОВО"))</f>
        <v/>
      </c>
      <c r="Z578" s="226">
        <f>IF(Y578&lt;&gt;"ГОТОВО","", "Предварительное заключение: "&amp;A578&amp;", скв. "&amp;B578&amp;". МРП: "&amp;E578&amp;" сут. ГНО: "&amp;F578&amp;", типоразмер "&amp;G578&amp;", марка "&amp;H578&amp;". Событие: "&amp;I578&amp;". Признак: "&amp;J578&amp;". Узел: "&amp;K578&amp;". Предварительная причина: "&amp;L578&amp;". Основное осложнение: "&amp;M578&amp;IF(N578&lt;&gt;"","; сопутствующее: "&amp;N578,"")&amp;IF(O578&lt;&gt;"","; дополнительно: "&amp;O578,"")&amp;".")</f>
        <v/>
      </c>
    </row>
    <row r="579">
      <c r="A579" s="75" t="n"/>
      <c r="B579" s="75" t="n"/>
      <c r="C579" s="261" t="n"/>
      <c r="D579" s="261" t="n"/>
      <c r="E579" s="262">
        <f>IF(OR(C579="",D579=""),"",D579-C579)</f>
        <v/>
      </c>
      <c r="F579" s="75" t="n"/>
      <c r="G579" s="75" t="n"/>
      <c r="H579" s="75" t="n"/>
      <c r="I579" s="75" t="n"/>
      <c r="J579" s="75" t="n"/>
      <c r="K579" s="75" t="n"/>
      <c r="L579" s="75" t="n"/>
      <c r="M579" s="75" t="n"/>
      <c r="N579" s="75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226">
        <f>IF(AND(A579="",B579=""),"",IF(AND(A579&lt;&gt;"",B579&lt;&gt;"",C579&lt;&gt;"",D579&lt;&gt;"",F579&lt;&gt;"",G579&lt;&gt;"",H579&lt;&gt;"",ISERROR(SEARCH("по паспорту",G579)),ISERROR(SEARCH("по паспорту",H579)),I579&lt;&gt;"",J579&lt;&gt;"",K579&lt;&gt;"",L579&lt;&gt;"",M579&lt;&gt;""),"ГОТОВО","НЕ ГОТОВО"))</f>
        <v/>
      </c>
      <c r="Z579" s="226">
        <f>IF(Y579&lt;&gt;"ГОТОВО","", "Предварительное заключение: "&amp;A579&amp;", скв. "&amp;B579&amp;". МРП: "&amp;E579&amp;" сут. ГНО: "&amp;F579&amp;", типоразмер "&amp;G579&amp;", марка "&amp;H579&amp;". Событие: "&amp;I579&amp;". Признак: "&amp;J579&amp;". Узел: "&amp;K579&amp;". Предварительная причина: "&amp;L579&amp;". Основное осложнение: "&amp;M579&amp;IF(N579&lt;&gt;"","; сопутствующее: "&amp;N579,"")&amp;IF(O579&lt;&gt;"","; дополнительно: "&amp;O579,"")&amp;".")</f>
        <v/>
      </c>
    </row>
    <row r="580">
      <c r="A580" s="75" t="n"/>
      <c r="B580" s="75" t="n"/>
      <c r="C580" s="261" t="n"/>
      <c r="D580" s="261" t="n"/>
      <c r="E580" s="262">
        <f>IF(OR(C580="",D580=""),"",D580-C580)</f>
        <v/>
      </c>
      <c r="F580" s="75" t="n"/>
      <c r="G580" s="75" t="n"/>
      <c r="H580" s="75" t="n"/>
      <c r="I580" s="75" t="n"/>
      <c r="J580" s="75" t="n"/>
      <c r="K580" s="75" t="n"/>
      <c r="L580" s="75" t="n"/>
      <c r="M580" s="75" t="n"/>
      <c r="N580" s="75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226">
        <f>IF(AND(A580="",B580=""),"",IF(AND(A580&lt;&gt;"",B580&lt;&gt;"",C580&lt;&gt;"",D580&lt;&gt;"",F580&lt;&gt;"",G580&lt;&gt;"",H580&lt;&gt;"",ISERROR(SEARCH("по паспорту",G580)),ISERROR(SEARCH("по паспорту",H580)),I580&lt;&gt;"",J580&lt;&gt;"",K580&lt;&gt;"",L580&lt;&gt;"",M580&lt;&gt;""),"ГОТОВО","НЕ ГОТОВО"))</f>
        <v/>
      </c>
      <c r="Z580" s="226">
        <f>IF(Y580&lt;&gt;"ГОТОВО","", "Предварительное заключение: "&amp;A580&amp;", скв. "&amp;B580&amp;". МРП: "&amp;E580&amp;" сут. ГНО: "&amp;F580&amp;", типоразмер "&amp;G580&amp;", марка "&amp;H580&amp;". Событие: "&amp;I580&amp;". Признак: "&amp;J580&amp;". Узел: "&amp;K580&amp;". Предварительная причина: "&amp;L580&amp;". Основное осложнение: "&amp;M580&amp;IF(N580&lt;&gt;"","; сопутствующее: "&amp;N580,"")&amp;IF(O580&lt;&gt;"","; дополнительно: "&amp;O580,"")&amp;".")</f>
        <v/>
      </c>
    </row>
    <row r="581">
      <c r="A581" s="75" t="n"/>
      <c r="B581" s="75" t="n"/>
      <c r="C581" s="261" t="n"/>
      <c r="D581" s="261" t="n"/>
      <c r="E581" s="262">
        <f>IF(OR(C581="",D581=""),"",D581-C581)</f>
        <v/>
      </c>
      <c r="F581" s="75" t="n"/>
      <c r="G581" s="75" t="n"/>
      <c r="H581" s="75" t="n"/>
      <c r="I581" s="75" t="n"/>
      <c r="J581" s="75" t="n"/>
      <c r="K581" s="75" t="n"/>
      <c r="L581" s="75" t="n"/>
      <c r="M581" s="75" t="n"/>
      <c r="N581" s="75" t="n"/>
      <c r="O581" s="75" t="n"/>
      <c r="P581" s="75" t="n"/>
      <c r="Q581" s="75" t="n"/>
      <c r="R581" s="75" t="n"/>
      <c r="S581" s="75" t="n"/>
      <c r="T581" s="75" t="n"/>
      <c r="U581" s="75" t="n"/>
      <c r="V581" s="75" t="n"/>
      <c r="W581" s="75" t="n"/>
      <c r="X581" s="75" t="n"/>
      <c r="Y581" s="226">
        <f>IF(AND(A581="",B581=""),"",IF(AND(A581&lt;&gt;"",B581&lt;&gt;"",C581&lt;&gt;"",D581&lt;&gt;"",F581&lt;&gt;"",G581&lt;&gt;"",H581&lt;&gt;"",ISERROR(SEARCH("по паспорту",G581)),ISERROR(SEARCH("по паспорту",H581)),I581&lt;&gt;"",J581&lt;&gt;"",K581&lt;&gt;"",L581&lt;&gt;"",M581&lt;&gt;""),"ГОТОВО","НЕ ГОТОВО"))</f>
        <v/>
      </c>
      <c r="Z581" s="226">
        <f>IF(Y581&lt;&gt;"ГОТОВО","", "Предварительное заключение: "&amp;A581&amp;", скв. "&amp;B581&amp;". МРП: "&amp;E581&amp;" сут. ГНО: "&amp;F581&amp;", типоразмер "&amp;G581&amp;", марка "&amp;H581&amp;". Событие: "&amp;I581&amp;". Признак: "&amp;J581&amp;". Узел: "&amp;K581&amp;". Предварительная причина: "&amp;L581&amp;". Основное осложнение: "&amp;M581&amp;IF(N581&lt;&gt;"","; сопутствующее: "&amp;N581,"")&amp;IF(O581&lt;&gt;"","; дополнительно: "&amp;O581,"")&amp;".")</f>
        <v/>
      </c>
    </row>
    <row r="582">
      <c r="A582" s="75" t="n"/>
      <c r="B582" s="75" t="n"/>
      <c r="C582" s="261" t="n"/>
      <c r="D582" s="261" t="n"/>
      <c r="E582" s="262">
        <f>IF(OR(C582="",D582=""),"",D582-C582)</f>
        <v/>
      </c>
      <c r="F582" s="75" t="n"/>
      <c r="G582" s="75" t="n"/>
      <c r="H582" s="75" t="n"/>
      <c r="I582" s="75" t="n"/>
      <c r="J582" s="75" t="n"/>
      <c r="K582" s="75" t="n"/>
      <c r="L582" s="75" t="n"/>
      <c r="M582" s="75" t="n"/>
      <c r="N582" s="75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226">
        <f>IF(AND(A582="",B582=""),"",IF(AND(A582&lt;&gt;"",B582&lt;&gt;"",C582&lt;&gt;"",D582&lt;&gt;"",F582&lt;&gt;"",G582&lt;&gt;"",H582&lt;&gt;"",ISERROR(SEARCH("по паспорту",G582)),ISERROR(SEARCH("по паспорту",H582)),I582&lt;&gt;"",J582&lt;&gt;"",K582&lt;&gt;"",L582&lt;&gt;"",M582&lt;&gt;""),"ГОТОВО","НЕ ГОТОВО"))</f>
        <v/>
      </c>
      <c r="Z582" s="226">
        <f>IF(Y582&lt;&gt;"ГОТОВО","", "Предварительное заключение: "&amp;A582&amp;", скв. "&amp;B582&amp;". МРП: "&amp;E582&amp;" сут. ГНО: "&amp;F582&amp;", типоразмер "&amp;G582&amp;", марка "&amp;H582&amp;". Событие: "&amp;I582&amp;". Признак: "&amp;J582&amp;". Узел: "&amp;K582&amp;". Предварительная причина: "&amp;L582&amp;". Основное осложнение: "&amp;M582&amp;IF(N582&lt;&gt;"","; сопутствующее: "&amp;N582,"")&amp;IF(O582&lt;&gt;"","; дополнительно: "&amp;O582,"")&amp;".")</f>
        <v/>
      </c>
    </row>
    <row r="583">
      <c r="A583" s="75" t="n"/>
      <c r="B583" s="75" t="n"/>
      <c r="C583" s="261" t="n"/>
      <c r="D583" s="261" t="n"/>
      <c r="E583" s="262">
        <f>IF(OR(C583="",D583=""),"",D583-C583)</f>
        <v/>
      </c>
      <c r="F583" s="75" t="n"/>
      <c r="G583" s="75" t="n"/>
      <c r="H583" s="75" t="n"/>
      <c r="I583" s="75" t="n"/>
      <c r="J583" s="75" t="n"/>
      <c r="K583" s="75" t="n"/>
      <c r="L583" s="75" t="n"/>
      <c r="M583" s="75" t="n"/>
      <c r="N583" s="75" t="n"/>
      <c r="O583" s="75" t="n"/>
      <c r="P583" s="75" t="n"/>
      <c r="Q583" s="75" t="n"/>
      <c r="R583" s="75" t="n"/>
      <c r="S583" s="75" t="n"/>
      <c r="T583" s="75" t="n"/>
      <c r="U583" s="75" t="n"/>
      <c r="V583" s="75" t="n"/>
      <c r="W583" s="75" t="n"/>
      <c r="X583" s="75" t="n"/>
      <c r="Y583" s="226">
        <f>IF(AND(A583="",B583=""),"",IF(AND(A583&lt;&gt;"",B583&lt;&gt;"",C583&lt;&gt;"",D583&lt;&gt;"",F583&lt;&gt;"",G583&lt;&gt;"",H583&lt;&gt;"",ISERROR(SEARCH("по паспорту",G583)),ISERROR(SEARCH("по паспорту",H583)),I583&lt;&gt;"",J583&lt;&gt;"",K583&lt;&gt;"",L583&lt;&gt;"",M583&lt;&gt;""),"ГОТОВО","НЕ ГОТОВО"))</f>
        <v/>
      </c>
      <c r="Z583" s="226">
        <f>IF(Y583&lt;&gt;"ГОТОВО","", "Предварительное заключение: "&amp;A583&amp;", скв. "&amp;B583&amp;". МРП: "&amp;E583&amp;" сут. ГНО: "&amp;F583&amp;", типоразмер "&amp;G583&amp;", марка "&amp;H583&amp;". Событие: "&amp;I583&amp;". Признак: "&amp;J583&amp;". Узел: "&amp;K583&amp;". Предварительная причина: "&amp;L583&amp;". Основное осложнение: "&amp;M583&amp;IF(N583&lt;&gt;"","; сопутствующее: "&amp;N583,"")&amp;IF(O583&lt;&gt;"","; дополнительно: "&amp;O583,"")&amp;".")</f>
        <v/>
      </c>
    </row>
    <row r="584">
      <c r="A584" s="75" t="n"/>
      <c r="B584" s="75" t="n"/>
      <c r="C584" s="261" t="n"/>
      <c r="D584" s="261" t="n"/>
      <c r="E584" s="262">
        <f>IF(OR(C584="",D584=""),"",D584-C584)</f>
        <v/>
      </c>
      <c r="F584" s="75" t="n"/>
      <c r="G584" s="75" t="n"/>
      <c r="H584" s="75" t="n"/>
      <c r="I584" s="75" t="n"/>
      <c r="J584" s="75" t="n"/>
      <c r="K584" s="75" t="n"/>
      <c r="L584" s="75" t="n"/>
      <c r="M584" s="75" t="n"/>
      <c r="N584" s="75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226">
        <f>IF(AND(A584="",B584=""),"",IF(AND(A584&lt;&gt;"",B584&lt;&gt;"",C584&lt;&gt;"",D584&lt;&gt;"",F584&lt;&gt;"",G584&lt;&gt;"",H584&lt;&gt;"",ISERROR(SEARCH("по паспорту",G584)),ISERROR(SEARCH("по паспорту",H584)),I584&lt;&gt;"",J584&lt;&gt;"",K584&lt;&gt;"",L584&lt;&gt;"",M584&lt;&gt;""),"ГОТОВО","НЕ ГОТОВО"))</f>
        <v/>
      </c>
      <c r="Z584" s="226">
        <f>IF(Y584&lt;&gt;"ГОТОВО","", "Предварительное заключение: "&amp;A584&amp;", скв. "&amp;B584&amp;". МРП: "&amp;E584&amp;" сут. ГНО: "&amp;F584&amp;", типоразмер "&amp;G584&amp;", марка "&amp;H584&amp;". Событие: "&amp;I584&amp;". Признак: "&amp;J584&amp;". Узел: "&amp;K584&amp;". Предварительная причина: "&amp;L584&amp;". Основное осложнение: "&amp;M584&amp;IF(N584&lt;&gt;"","; сопутствующее: "&amp;N584,"")&amp;IF(O584&lt;&gt;"","; дополнительно: "&amp;O584,"")&amp;".")</f>
        <v/>
      </c>
    </row>
    <row r="585">
      <c r="A585" s="75" t="n"/>
      <c r="B585" s="75" t="n"/>
      <c r="C585" s="261" t="n"/>
      <c r="D585" s="261" t="n"/>
      <c r="E585" s="262">
        <f>IF(OR(C585="",D585=""),"",D585-C585)</f>
        <v/>
      </c>
      <c r="F585" s="75" t="n"/>
      <c r="G585" s="75" t="n"/>
      <c r="H585" s="75" t="n"/>
      <c r="I585" s="75" t="n"/>
      <c r="J585" s="75" t="n"/>
      <c r="K585" s="75" t="n"/>
      <c r="L585" s="75" t="n"/>
      <c r="M585" s="75" t="n"/>
      <c r="N585" s="75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226">
        <f>IF(AND(A585="",B585=""),"",IF(AND(A585&lt;&gt;"",B585&lt;&gt;"",C585&lt;&gt;"",D585&lt;&gt;"",F585&lt;&gt;"",G585&lt;&gt;"",H585&lt;&gt;"",ISERROR(SEARCH("по паспорту",G585)),ISERROR(SEARCH("по паспорту",H585)),I585&lt;&gt;"",J585&lt;&gt;"",K585&lt;&gt;"",L585&lt;&gt;"",M585&lt;&gt;""),"ГОТОВО","НЕ ГОТОВО"))</f>
        <v/>
      </c>
      <c r="Z585" s="226">
        <f>IF(Y585&lt;&gt;"ГОТОВО","", "Предварительное заключение: "&amp;A585&amp;", скв. "&amp;B585&amp;". МРП: "&amp;E585&amp;" сут. ГНО: "&amp;F585&amp;", типоразмер "&amp;G585&amp;", марка "&amp;H585&amp;". Событие: "&amp;I585&amp;". Признак: "&amp;J585&amp;". Узел: "&amp;K585&amp;". Предварительная причина: "&amp;L585&amp;". Основное осложнение: "&amp;M585&amp;IF(N585&lt;&gt;"","; сопутствующее: "&amp;N585,"")&amp;IF(O585&lt;&gt;"","; дополнительно: "&amp;O585,"")&amp;".")</f>
        <v/>
      </c>
    </row>
    <row r="586">
      <c r="A586" s="75" t="n"/>
      <c r="B586" s="75" t="n"/>
      <c r="C586" s="261" t="n"/>
      <c r="D586" s="261" t="n"/>
      <c r="E586" s="262">
        <f>IF(OR(C586="",D586=""),"",D586-C586)</f>
        <v/>
      </c>
      <c r="F586" s="75" t="n"/>
      <c r="G586" s="75" t="n"/>
      <c r="H586" s="75" t="n"/>
      <c r="I586" s="75" t="n"/>
      <c r="J586" s="75" t="n"/>
      <c r="K586" s="75" t="n"/>
      <c r="L586" s="75" t="n"/>
      <c r="M586" s="75" t="n"/>
      <c r="N586" s="75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226">
        <f>IF(AND(A586="",B586=""),"",IF(AND(A586&lt;&gt;"",B586&lt;&gt;"",C586&lt;&gt;"",D586&lt;&gt;"",F586&lt;&gt;"",G586&lt;&gt;"",H586&lt;&gt;"",ISERROR(SEARCH("по паспорту",G586)),ISERROR(SEARCH("по паспорту",H586)),I586&lt;&gt;"",J586&lt;&gt;"",K586&lt;&gt;"",L586&lt;&gt;"",M586&lt;&gt;""),"ГОТОВО","НЕ ГОТОВО"))</f>
        <v/>
      </c>
      <c r="Z586" s="226">
        <f>IF(Y586&lt;&gt;"ГОТОВО","", "Предварительное заключение: "&amp;A586&amp;", скв. "&amp;B586&amp;". МРП: "&amp;E586&amp;" сут. ГНО: "&amp;F586&amp;", типоразмер "&amp;G586&amp;", марка "&amp;H586&amp;". Событие: "&amp;I586&amp;". Признак: "&amp;J586&amp;". Узел: "&amp;K586&amp;". Предварительная причина: "&amp;L586&amp;". Основное осложнение: "&amp;M586&amp;IF(N586&lt;&gt;"","; сопутствующее: "&amp;N586,"")&amp;IF(O586&lt;&gt;"","; дополнительно: "&amp;O586,"")&amp;".")</f>
        <v/>
      </c>
    </row>
    <row r="587">
      <c r="A587" s="75" t="n"/>
      <c r="B587" s="75" t="n"/>
      <c r="C587" s="261" t="n"/>
      <c r="D587" s="261" t="n"/>
      <c r="E587" s="262">
        <f>IF(OR(C587="",D587=""),"",D587-C587)</f>
        <v/>
      </c>
      <c r="F587" s="75" t="n"/>
      <c r="G587" s="75" t="n"/>
      <c r="H587" s="75" t="n"/>
      <c r="I587" s="75" t="n"/>
      <c r="J587" s="75" t="n"/>
      <c r="K587" s="75" t="n"/>
      <c r="L587" s="75" t="n"/>
      <c r="M587" s="75" t="n"/>
      <c r="N587" s="75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226">
        <f>IF(AND(A587="",B587=""),"",IF(AND(A587&lt;&gt;"",B587&lt;&gt;"",C587&lt;&gt;"",D587&lt;&gt;"",F587&lt;&gt;"",G587&lt;&gt;"",H587&lt;&gt;"",ISERROR(SEARCH("по паспорту",G587)),ISERROR(SEARCH("по паспорту",H587)),I587&lt;&gt;"",J587&lt;&gt;"",K587&lt;&gt;"",L587&lt;&gt;"",M587&lt;&gt;""),"ГОТОВО","НЕ ГОТОВО"))</f>
        <v/>
      </c>
      <c r="Z587" s="226">
        <f>IF(Y587&lt;&gt;"ГОТОВО","", "Предварительное заключение: "&amp;A587&amp;", скв. "&amp;B587&amp;". МРП: "&amp;E587&amp;" сут. ГНО: "&amp;F587&amp;", типоразмер "&amp;G587&amp;", марка "&amp;H587&amp;". Событие: "&amp;I587&amp;". Признак: "&amp;J587&amp;". Узел: "&amp;K587&amp;". Предварительная причина: "&amp;L587&amp;". Основное осложнение: "&amp;M587&amp;IF(N587&lt;&gt;"","; сопутствующее: "&amp;N587,"")&amp;IF(O587&lt;&gt;"","; дополнительно: "&amp;O587,"")&amp;".")</f>
        <v/>
      </c>
    </row>
    <row r="588">
      <c r="A588" s="75" t="n"/>
      <c r="B588" s="75" t="n"/>
      <c r="C588" s="261" t="n"/>
      <c r="D588" s="261" t="n"/>
      <c r="E588" s="262">
        <f>IF(OR(C588="",D588=""),"",D588-C588)</f>
        <v/>
      </c>
      <c r="F588" s="75" t="n"/>
      <c r="G588" s="75" t="n"/>
      <c r="H588" s="75" t="n"/>
      <c r="I588" s="75" t="n"/>
      <c r="J588" s="75" t="n"/>
      <c r="K588" s="75" t="n"/>
      <c r="L588" s="75" t="n"/>
      <c r="M588" s="75" t="n"/>
      <c r="N588" s="75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226">
        <f>IF(AND(A588="",B588=""),"",IF(AND(A588&lt;&gt;"",B588&lt;&gt;"",C588&lt;&gt;"",D588&lt;&gt;"",F588&lt;&gt;"",G588&lt;&gt;"",H588&lt;&gt;"",ISERROR(SEARCH("по паспорту",G588)),ISERROR(SEARCH("по паспорту",H588)),I588&lt;&gt;"",J588&lt;&gt;"",K588&lt;&gt;"",L588&lt;&gt;"",M588&lt;&gt;""),"ГОТОВО","НЕ ГОТОВО"))</f>
        <v/>
      </c>
      <c r="Z588" s="226">
        <f>IF(Y588&lt;&gt;"ГОТОВО","", "Предварительное заключение: "&amp;A588&amp;", скв. "&amp;B588&amp;". МРП: "&amp;E588&amp;" сут. ГНО: "&amp;F588&amp;", типоразмер "&amp;G588&amp;", марка "&amp;H588&amp;". Событие: "&amp;I588&amp;". Признак: "&amp;J588&amp;". Узел: "&amp;K588&amp;". Предварительная причина: "&amp;L588&amp;". Основное осложнение: "&amp;M588&amp;IF(N588&lt;&gt;"","; сопутствующее: "&amp;N588,"")&amp;IF(O588&lt;&gt;"","; дополнительно: "&amp;O588,"")&amp;".")</f>
        <v/>
      </c>
    </row>
    <row r="589">
      <c r="A589" s="75" t="n"/>
      <c r="B589" s="75" t="n"/>
      <c r="C589" s="261" t="n"/>
      <c r="D589" s="261" t="n"/>
      <c r="E589" s="262">
        <f>IF(OR(C589="",D589=""),"",D589-C589)</f>
        <v/>
      </c>
      <c r="F589" s="75" t="n"/>
      <c r="G589" s="75" t="n"/>
      <c r="H589" s="75" t="n"/>
      <c r="I589" s="75" t="n"/>
      <c r="J589" s="75" t="n"/>
      <c r="K589" s="75" t="n"/>
      <c r="L589" s="75" t="n"/>
      <c r="M589" s="75" t="n"/>
      <c r="N589" s="75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226">
        <f>IF(AND(A589="",B589=""),"",IF(AND(A589&lt;&gt;"",B589&lt;&gt;"",C589&lt;&gt;"",D589&lt;&gt;"",F589&lt;&gt;"",G589&lt;&gt;"",H589&lt;&gt;"",ISERROR(SEARCH("по паспорту",G589)),ISERROR(SEARCH("по паспорту",H589)),I589&lt;&gt;"",J589&lt;&gt;"",K589&lt;&gt;"",L589&lt;&gt;"",M589&lt;&gt;""),"ГОТОВО","НЕ ГОТОВО"))</f>
        <v/>
      </c>
      <c r="Z589" s="226">
        <f>IF(Y589&lt;&gt;"ГОТОВО","", "Предварительное заключение: "&amp;A589&amp;", скв. "&amp;B589&amp;". МРП: "&amp;E589&amp;" сут. ГНО: "&amp;F589&amp;", типоразмер "&amp;G589&amp;", марка "&amp;H589&amp;". Событие: "&amp;I589&amp;". Признак: "&amp;J589&amp;". Узел: "&amp;K589&amp;". Предварительная причина: "&amp;L589&amp;". Основное осложнение: "&amp;M589&amp;IF(N589&lt;&gt;"","; сопутствующее: "&amp;N589,"")&amp;IF(O589&lt;&gt;"","; дополнительно: "&amp;O589,"")&amp;".")</f>
        <v/>
      </c>
    </row>
    <row r="590">
      <c r="A590" s="75" t="n"/>
      <c r="B590" s="75" t="n"/>
      <c r="C590" s="261" t="n"/>
      <c r="D590" s="261" t="n"/>
      <c r="E590" s="262">
        <f>IF(OR(C590="",D590=""),"",D590-C590)</f>
        <v/>
      </c>
      <c r="F590" s="75" t="n"/>
      <c r="G590" s="75" t="n"/>
      <c r="H590" s="75" t="n"/>
      <c r="I590" s="75" t="n"/>
      <c r="J590" s="75" t="n"/>
      <c r="K590" s="75" t="n"/>
      <c r="L590" s="75" t="n"/>
      <c r="M590" s="75" t="n"/>
      <c r="N590" s="75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226">
        <f>IF(AND(A590="",B590=""),"",IF(AND(A590&lt;&gt;"",B590&lt;&gt;"",C590&lt;&gt;"",D590&lt;&gt;"",F590&lt;&gt;"",G590&lt;&gt;"",H590&lt;&gt;"",ISERROR(SEARCH("по паспорту",G590)),ISERROR(SEARCH("по паспорту",H590)),I590&lt;&gt;"",J590&lt;&gt;"",K590&lt;&gt;"",L590&lt;&gt;"",M590&lt;&gt;""),"ГОТОВО","НЕ ГОТОВО"))</f>
        <v/>
      </c>
      <c r="Z590" s="226">
        <f>IF(Y590&lt;&gt;"ГОТОВО","", "Предварительное заключение: "&amp;A590&amp;", скв. "&amp;B590&amp;". МРП: "&amp;E590&amp;" сут. ГНО: "&amp;F590&amp;", типоразмер "&amp;G590&amp;", марка "&amp;H590&amp;". Событие: "&amp;I590&amp;". Признак: "&amp;J590&amp;". Узел: "&amp;K590&amp;". Предварительная причина: "&amp;L590&amp;". Основное осложнение: "&amp;M590&amp;IF(N590&lt;&gt;"","; сопутствующее: "&amp;N590,"")&amp;IF(O590&lt;&gt;"","; дополнительно: "&amp;O590,"")&amp;".")</f>
        <v/>
      </c>
    </row>
    <row r="591">
      <c r="A591" s="75" t="n"/>
      <c r="B591" s="75" t="n"/>
      <c r="C591" s="261" t="n"/>
      <c r="D591" s="261" t="n"/>
      <c r="E591" s="262">
        <f>IF(OR(C591="",D591=""),"",D591-C591)</f>
        <v/>
      </c>
      <c r="F591" s="75" t="n"/>
      <c r="G591" s="75" t="n"/>
      <c r="H591" s="75" t="n"/>
      <c r="I591" s="75" t="n"/>
      <c r="J591" s="75" t="n"/>
      <c r="K591" s="75" t="n"/>
      <c r="L591" s="75" t="n"/>
      <c r="M591" s="75" t="n"/>
      <c r="N591" s="75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226">
        <f>IF(AND(A591="",B591=""),"",IF(AND(A591&lt;&gt;"",B591&lt;&gt;"",C591&lt;&gt;"",D591&lt;&gt;"",F591&lt;&gt;"",G591&lt;&gt;"",H591&lt;&gt;"",ISERROR(SEARCH("по паспорту",G591)),ISERROR(SEARCH("по паспорту",H591)),I591&lt;&gt;"",J591&lt;&gt;"",K591&lt;&gt;"",L591&lt;&gt;"",M591&lt;&gt;""),"ГОТОВО","НЕ ГОТОВО"))</f>
        <v/>
      </c>
      <c r="Z591" s="226">
        <f>IF(Y591&lt;&gt;"ГОТОВО","", "Предварительное заключение: "&amp;A591&amp;", скв. "&amp;B591&amp;". МРП: "&amp;E591&amp;" сут. ГНО: "&amp;F591&amp;", типоразмер "&amp;G591&amp;", марка "&amp;H591&amp;". Событие: "&amp;I591&amp;". Признак: "&amp;J591&amp;". Узел: "&amp;K591&amp;". Предварительная причина: "&amp;L591&amp;". Основное осложнение: "&amp;M591&amp;IF(N591&lt;&gt;"","; сопутствующее: "&amp;N591,"")&amp;IF(O591&lt;&gt;"","; дополнительно: "&amp;O591,"")&amp;".")</f>
        <v/>
      </c>
    </row>
    <row r="592">
      <c r="A592" s="75" t="n"/>
      <c r="B592" s="75" t="n"/>
      <c r="C592" s="261" t="n"/>
      <c r="D592" s="261" t="n"/>
      <c r="E592" s="262">
        <f>IF(OR(C592="",D592=""),"",D592-C592)</f>
        <v/>
      </c>
      <c r="F592" s="75" t="n"/>
      <c r="G592" s="75" t="n"/>
      <c r="H592" s="75" t="n"/>
      <c r="I592" s="75" t="n"/>
      <c r="J592" s="75" t="n"/>
      <c r="K592" s="75" t="n"/>
      <c r="L592" s="75" t="n"/>
      <c r="M592" s="75" t="n"/>
      <c r="N592" s="75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226">
        <f>IF(AND(A592="",B592=""),"",IF(AND(A592&lt;&gt;"",B592&lt;&gt;"",C592&lt;&gt;"",D592&lt;&gt;"",F592&lt;&gt;"",G592&lt;&gt;"",H592&lt;&gt;"",ISERROR(SEARCH("по паспорту",G592)),ISERROR(SEARCH("по паспорту",H592)),I592&lt;&gt;"",J592&lt;&gt;"",K592&lt;&gt;"",L592&lt;&gt;"",M592&lt;&gt;""),"ГОТОВО","НЕ ГОТОВО"))</f>
        <v/>
      </c>
      <c r="Z592" s="226">
        <f>IF(Y592&lt;&gt;"ГОТОВО","", "Предварительное заключение: "&amp;A592&amp;", скв. "&amp;B592&amp;". МРП: "&amp;E592&amp;" сут. ГНО: "&amp;F592&amp;", типоразмер "&amp;G592&amp;", марка "&amp;H592&amp;". Событие: "&amp;I592&amp;". Признак: "&amp;J592&amp;". Узел: "&amp;K592&amp;". Предварительная причина: "&amp;L592&amp;". Основное осложнение: "&amp;M592&amp;IF(N592&lt;&gt;"","; сопутствующее: "&amp;N592,"")&amp;IF(O592&lt;&gt;"","; дополнительно: "&amp;O592,"")&amp;".")</f>
        <v/>
      </c>
    </row>
    <row r="593">
      <c r="A593" s="75" t="n"/>
      <c r="B593" s="75" t="n"/>
      <c r="C593" s="261" t="n"/>
      <c r="D593" s="261" t="n"/>
      <c r="E593" s="262">
        <f>IF(OR(C593="",D593=""),"",D593-C593)</f>
        <v/>
      </c>
      <c r="F593" s="75" t="n"/>
      <c r="G593" s="75" t="n"/>
      <c r="H593" s="75" t="n"/>
      <c r="I593" s="75" t="n"/>
      <c r="J593" s="75" t="n"/>
      <c r="K593" s="75" t="n"/>
      <c r="L593" s="75" t="n"/>
      <c r="M593" s="75" t="n"/>
      <c r="N593" s="75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226">
        <f>IF(AND(A593="",B593=""),"",IF(AND(A593&lt;&gt;"",B593&lt;&gt;"",C593&lt;&gt;"",D593&lt;&gt;"",F593&lt;&gt;"",G593&lt;&gt;"",H593&lt;&gt;"",ISERROR(SEARCH("по паспорту",G593)),ISERROR(SEARCH("по паспорту",H593)),I593&lt;&gt;"",J593&lt;&gt;"",K593&lt;&gt;"",L593&lt;&gt;"",M593&lt;&gt;""),"ГОТОВО","НЕ ГОТОВО"))</f>
        <v/>
      </c>
      <c r="Z593" s="226">
        <f>IF(Y593&lt;&gt;"ГОТОВО","", "Предварительное заключение: "&amp;A593&amp;", скв. "&amp;B593&amp;". МРП: "&amp;E593&amp;" сут. ГНО: "&amp;F593&amp;", типоразмер "&amp;G593&amp;", марка "&amp;H593&amp;". Событие: "&amp;I593&amp;". Признак: "&amp;J593&amp;". Узел: "&amp;K593&amp;". Предварительная причина: "&amp;L593&amp;". Основное осложнение: "&amp;M593&amp;IF(N593&lt;&gt;"","; сопутствующее: "&amp;N593,"")&amp;IF(O593&lt;&gt;"","; дополнительно: "&amp;O593,"")&amp;".")</f>
        <v/>
      </c>
    </row>
    <row r="594">
      <c r="A594" s="75" t="n"/>
      <c r="B594" s="75" t="n"/>
      <c r="C594" s="261" t="n"/>
      <c r="D594" s="261" t="n"/>
      <c r="E594" s="262">
        <f>IF(OR(C594="",D594=""),"",D594-C594)</f>
        <v/>
      </c>
      <c r="F594" s="75" t="n"/>
      <c r="G594" s="75" t="n"/>
      <c r="H594" s="75" t="n"/>
      <c r="I594" s="75" t="n"/>
      <c r="J594" s="75" t="n"/>
      <c r="K594" s="75" t="n"/>
      <c r="L594" s="75" t="n"/>
      <c r="M594" s="75" t="n"/>
      <c r="N594" s="75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226">
        <f>IF(AND(A594="",B594=""),"",IF(AND(A594&lt;&gt;"",B594&lt;&gt;"",C594&lt;&gt;"",D594&lt;&gt;"",F594&lt;&gt;"",G594&lt;&gt;"",H594&lt;&gt;"",ISERROR(SEARCH("по паспорту",G594)),ISERROR(SEARCH("по паспорту",H594)),I594&lt;&gt;"",J594&lt;&gt;"",K594&lt;&gt;"",L594&lt;&gt;"",M594&lt;&gt;""),"ГОТОВО","НЕ ГОТОВО"))</f>
        <v/>
      </c>
      <c r="Z594" s="226">
        <f>IF(Y594&lt;&gt;"ГОТОВО","", "Предварительное заключение: "&amp;A594&amp;", скв. "&amp;B594&amp;". МРП: "&amp;E594&amp;" сут. ГНО: "&amp;F594&amp;", типоразмер "&amp;G594&amp;", марка "&amp;H594&amp;". Событие: "&amp;I594&amp;". Признак: "&amp;J594&amp;". Узел: "&amp;K594&amp;". Предварительная причина: "&amp;L594&amp;". Основное осложнение: "&amp;M594&amp;IF(N594&lt;&gt;"","; сопутствующее: "&amp;N594,"")&amp;IF(O594&lt;&gt;"","; дополнительно: "&amp;O594,"")&amp;".")</f>
        <v/>
      </c>
    </row>
    <row r="595">
      <c r="A595" s="75" t="n"/>
      <c r="B595" s="75" t="n"/>
      <c r="C595" s="261" t="n"/>
      <c r="D595" s="261" t="n"/>
      <c r="E595" s="262">
        <f>IF(OR(C595="",D595=""),"",D595-C595)</f>
        <v/>
      </c>
      <c r="F595" s="75" t="n"/>
      <c r="G595" s="75" t="n"/>
      <c r="H595" s="75" t="n"/>
      <c r="I595" s="75" t="n"/>
      <c r="J595" s="75" t="n"/>
      <c r="K595" s="75" t="n"/>
      <c r="L595" s="75" t="n"/>
      <c r="M595" s="75" t="n"/>
      <c r="N595" s="75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226">
        <f>IF(AND(A595="",B595=""),"",IF(AND(A595&lt;&gt;"",B595&lt;&gt;"",C595&lt;&gt;"",D595&lt;&gt;"",F595&lt;&gt;"",G595&lt;&gt;"",H595&lt;&gt;"",ISERROR(SEARCH("по паспорту",G595)),ISERROR(SEARCH("по паспорту",H595)),I595&lt;&gt;"",J595&lt;&gt;"",K595&lt;&gt;"",L595&lt;&gt;"",M595&lt;&gt;""),"ГОТОВО","НЕ ГОТОВО"))</f>
        <v/>
      </c>
      <c r="Z595" s="226">
        <f>IF(Y595&lt;&gt;"ГОТОВО","", "Предварительное заключение: "&amp;A595&amp;", скв. "&amp;B595&amp;". МРП: "&amp;E595&amp;" сут. ГНО: "&amp;F595&amp;", типоразмер "&amp;G595&amp;", марка "&amp;H595&amp;". Событие: "&amp;I595&amp;". Признак: "&amp;J595&amp;". Узел: "&amp;K595&amp;". Предварительная причина: "&amp;L595&amp;". Основное осложнение: "&amp;M595&amp;IF(N595&lt;&gt;"","; сопутствующее: "&amp;N595,"")&amp;IF(O595&lt;&gt;"","; дополнительно: "&amp;O595,"")&amp;".")</f>
        <v/>
      </c>
    </row>
    <row r="596">
      <c r="A596" s="75" t="n"/>
      <c r="B596" s="75" t="n"/>
      <c r="C596" s="261" t="n"/>
      <c r="D596" s="261" t="n"/>
      <c r="E596" s="262">
        <f>IF(OR(C596="",D596=""),"",D596-C596)</f>
        <v/>
      </c>
      <c r="F596" s="75" t="n"/>
      <c r="G596" s="75" t="n"/>
      <c r="H596" s="75" t="n"/>
      <c r="I596" s="75" t="n"/>
      <c r="J596" s="75" t="n"/>
      <c r="K596" s="75" t="n"/>
      <c r="L596" s="75" t="n"/>
      <c r="M596" s="75" t="n"/>
      <c r="N596" s="75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226">
        <f>IF(AND(A596="",B596=""),"",IF(AND(A596&lt;&gt;"",B596&lt;&gt;"",C596&lt;&gt;"",D596&lt;&gt;"",F596&lt;&gt;"",G596&lt;&gt;"",H596&lt;&gt;"",ISERROR(SEARCH("по паспорту",G596)),ISERROR(SEARCH("по паспорту",H596)),I596&lt;&gt;"",J596&lt;&gt;"",K596&lt;&gt;"",L596&lt;&gt;"",M596&lt;&gt;""),"ГОТОВО","НЕ ГОТОВО"))</f>
        <v/>
      </c>
      <c r="Z596" s="226">
        <f>IF(Y596&lt;&gt;"ГОТОВО","", "Предварительное заключение: "&amp;A596&amp;", скв. "&amp;B596&amp;". МРП: "&amp;E596&amp;" сут. ГНО: "&amp;F596&amp;", типоразмер "&amp;G596&amp;", марка "&amp;H596&amp;". Событие: "&amp;I596&amp;". Признак: "&amp;J596&amp;". Узел: "&amp;K596&amp;". Предварительная причина: "&amp;L596&amp;". Основное осложнение: "&amp;M596&amp;IF(N596&lt;&gt;"","; сопутствующее: "&amp;N596,"")&amp;IF(O596&lt;&gt;"","; дополнительно: "&amp;O596,"")&amp;".")</f>
        <v/>
      </c>
    </row>
    <row r="597">
      <c r="A597" s="75" t="n"/>
      <c r="B597" s="75" t="n"/>
      <c r="C597" s="261" t="n"/>
      <c r="D597" s="261" t="n"/>
      <c r="E597" s="262">
        <f>IF(OR(C597="",D597=""),"",D597-C597)</f>
        <v/>
      </c>
      <c r="F597" s="75" t="n"/>
      <c r="G597" s="75" t="n"/>
      <c r="H597" s="75" t="n"/>
      <c r="I597" s="75" t="n"/>
      <c r="J597" s="75" t="n"/>
      <c r="K597" s="75" t="n"/>
      <c r="L597" s="75" t="n"/>
      <c r="M597" s="75" t="n"/>
      <c r="N597" s="75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226">
        <f>IF(AND(A597="",B597=""),"",IF(AND(A597&lt;&gt;"",B597&lt;&gt;"",C597&lt;&gt;"",D597&lt;&gt;"",F597&lt;&gt;"",G597&lt;&gt;"",H597&lt;&gt;"",ISERROR(SEARCH("по паспорту",G597)),ISERROR(SEARCH("по паспорту",H597)),I597&lt;&gt;"",J597&lt;&gt;"",K597&lt;&gt;"",L597&lt;&gt;"",M597&lt;&gt;""),"ГОТОВО","НЕ ГОТОВО"))</f>
        <v/>
      </c>
      <c r="Z597" s="226">
        <f>IF(Y597&lt;&gt;"ГОТОВО","", "Предварительное заключение: "&amp;A597&amp;", скв. "&amp;B597&amp;". МРП: "&amp;E597&amp;" сут. ГНО: "&amp;F597&amp;", типоразмер "&amp;G597&amp;", марка "&amp;H597&amp;". Событие: "&amp;I597&amp;". Признак: "&amp;J597&amp;". Узел: "&amp;K597&amp;". Предварительная причина: "&amp;L597&amp;". Основное осложнение: "&amp;M597&amp;IF(N597&lt;&gt;"","; сопутствующее: "&amp;N597,"")&amp;IF(O597&lt;&gt;"","; дополнительно: "&amp;O597,"")&amp;".")</f>
        <v/>
      </c>
    </row>
    <row r="598">
      <c r="A598" s="75" t="n"/>
      <c r="B598" s="75" t="n"/>
      <c r="C598" s="261" t="n"/>
      <c r="D598" s="261" t="n"/>
      <c r="E598" s="262">
        <f>IF(OR(C598="",D598=""),"",D598-C598)</f>
        <v/>
      </c>
      <c r="F598" s="75" t="n"/>
      <c r="G598" s="75" t="n"/>
      <c r="H598" s="75" t="n"/>
      <c r="I598" s="75" t="n"/>
      <c r="J598" s="75" t="n"/>
      <c r="K598" s="75" t="n"/>
      <c r="L598" s="75" t="n"/>
      <c r="M598" s="75" t="n"/>
      <c r="N598" s="75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226">
        <f>IF(AND(A598="",B598=""),"",IF(AND(A598&lt;&gt;"",B598&lt;&gt;"",C598&lt;&gt;"",D598&lt;&gt;"",F598&lt;&gt;"",G598&lt;&gt;"",H598&lt;&gt;"",ISERROR(SEARCH("по паспорту",G598)),ISERROR(SEARCH("по паспорту",H598)),I598&lt;&gt;"",J598&lt;&gt;"",K598&lt;&gt;"",L598&lt;&gt;"",M598&lt;&gt;""),"ГОТОВО","НЕ ГОТОВО"))</f>
        <v/>
      </c>
      <c r="Z598" s="226">
        <f>IF(Y598&lt;&gt;"ГОТОВО","", "Предварительное заключение: "&amp;A598&amp;", скв. "&amp;B598&amp;". МРП: "&amp;E598&amp;" сут. ГНО: "&amp;F598&amp;", типоразмер "&amp;G598&amp;", марка "&amp;H598&amp;". Событие: "&amp;I598&amp;". Признак: "&amp;J598&amp;". Узел: "&amp;K598&amp;". Предварительная причина: "&amp;L598&amp;". Основное осложнение: "&amp;M598&amp;IF(N598&lt;&gt;"","; сопутствующее: "&amp;N598,"")&amp;IF(O598&lt;&gt;"","; дополнительно: "&amp;O598,"")&amp;".")</f>
        <v/>
      </c>
    </row>
    <row r="599">
      <c r="A599" s="75" t="n"/>
      <c r="B599" s="75" t="n"/>
      <c r="C599" s="261" t="n"/>
      <c r="D599" s="261" t="n"/>
      <c r="E599" s="262">
        <f>IF(OR(C599="",D599=""),"",D599-C599)</f>
        <v/>
      </c>
      <c r="F599" s="75" t="n"/>
      <c r="G599" s="75" t="n"/>
      <c r="H599" s="75" t="n"/>
      <c r="I599" s="75" t="n"/>
      <c r="J599" s="75" t="n"/>
      <c r="K599" s="75" t="n"/>
      <c r="L599" s="75" t="n"/>
      <c r="M599" s="75" t="n"/>
      <c r="N599" s="75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226">
        <f>IF(AND(A599="",B599=""),"",IF(AND(A599&lt;&gt;"",B599&lt;&gt;"",C599&lt;&gt;"",D599&lt;&gt;"",F599&lt;&gt;"",G599&lt;&gt;"",H599&lt;&gt;"",ISERROR(SEARCH("по паспорту",G599)),ISERROR(SEARCH("по паспорту",H599)),I599&lt;&gt;"",J599&lt;&gt;"",K599&lt;&gt;"",L599&lt;&gt;"",M599&lt;&gt;""),"ГОТОВО","НЕ ГОТОВО"))</f>
        <v/>
      </c>
      <c r="Z599" s="226">
        <f>IF(Y599&lt;&gt;"ГОТОВО","", "Предварительное заключение: "&amp;A599&amp;", скв. "&amp;B599&amp;". МРП: "&amp;E599&amp;" сут. ГНО: "&amp;F599&amp;", типоразмер "&amp;G599&amp;", марка "&amp;H599&amp;". Событие: "&amp;I599&amp;". Признак: "&amp;J599&amp;". Узел: "&amp;K599&amp;". Предварительная причина: "&amp;L599&amp;". Основное осложнение: "&amp;M599&amp;IF(N599&lt;&gt;"","; сопутствующее: "&amp;N599,"")&amp;IF(O599&lt;&gt;"","; дополнительно: "&amp;O599,"")&amp;".")</f>
        <v/>
      </c>
    </row>
    <row r="600">
      <c r="A600" s="75" t="n"/>
      <c r="B600" s="75" t="n"/>
      <c r="C600" s="261" t="n"/>
      <c r="D600" s="261" t="n"/>
      <c r="E600" s="262">
        <f>IF(OR(C600="",D600=""),"",D600-C600)</f>
        <v/>
      </c>
      <c r="F600" s="75" t="n"/>
      <c r="G600" s="75" t="n"/>
      <c r="H600" s="75" t="n"/>
      <c r="I600" s="75" t="n"/>
      <c r="J600" s="75" t="n"/>
      <c r="K600" s="75" t="n"/>
      <c r="L600" s="75" t="n"/>
      <c r="M600" s="75" t="n"/>
      <c r="N600" s="75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226">
        <f>IF(AND(A600="",B600=""),"",IF(AND(A600&lt;&gt;"",B600&lt;&gt;"",C600&lt;&gt;"",D600&lt;&gt;"",F600&lt;&gt;"",G600&lt;&gt;"",H600&lt;&gt;"",ISERROR(SEARCH("по паспорту",G600)),ISERROR(SEARCH("по паспорту",H600)),I600&lt;&gt;"",J600&lt;&gt;"",K600&lt;&gt;"",L600&lt;&gt;"",M600&lt;&gt;""),"ГОТОВО","НЕ ГОТОВО"))</f>
        <v/>
      </c>
      <c r="Z600" s="226">
        <f>IF(Y600&lt;&gt;"ГОТОВО","", "Предварительное заключение: "&amp;A600&amp;", скв. "&amp;B600&amp;". МРП: "&amp;E600&amp;" сут. ГНО: "&amp;F600&amp;", типоразмер "&amp;G600&amp;", марка "&amp;H600&amp;". Событие: "&amp;I600&amp;". Признак: "&amp;J600&amp;". Узел: "&amp;K600&amp;". Предварительная причина: "&amp;L600&amp;". Основное осложнение: "&amp;M600&amp;IF(N600&lt;&gt;"","; сопутствующее: "&amp;N600,"")&amp;IF(O600&lt;&gt;"","; дополнительно: "&amp;O600,"")&amp;".")</f>
        <v/>
      </c>
    </row>
    <row r="601">
      <c r="A601" s="75" t="n"/>
      <c r="B601" s="75" t="n"/>
      <c r="C601" s="261" t="n"/>
      <c r="D601" s="261" t="n"/>
      <c r="E601" s="262">
        <f>IF(OR(C601="",D601=""),"",D601-C601)</f>
        <v/>
      </c>
      <c r="F601" s="75" t="n"/>
      <c r="G601" s="75" t="n"/>
      <c r="H601" s="75" t="n"/>
      <c r="I601" s="75" t="n"/>
      <c r="J601" s="75" t="n"/>
      <c r="K601" s="75" t="n"/>
      <c r="L601" s="75" t="n"/>
      <c r="M601" s="75" t="n"/>
      <c r="N601" s="75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226">
        <f>IF(AND(A601="",B601=""),"",IF(AND(A601&lt;&gt;"",B601&lt;&gt;"",C601&lt;&gt;"",D601&lt;&gt;"",F601&lt;&gt;"",G601&lt;&gt;"",H601&lt;&gt;"",ISERROR(SEARCH("по паспорту",G601)),ISERROR(SEARCH("по паспорту",H601)),I601&lt;&gt;"",J601&lt;&gt;"",K601&lt;&gt;"",L601&lt;&gt;"",M601&lt;&gt;""),"ГОТОВО","НЕ ГОТОВО"))</f>
        <v/>
      </c>
      <c r="Z601" s="226">
        <f>IF(Y601&lt;&gt;"ГОТОВО","", "Предварительное заключение: "&amp;A601&amp;", скв. "&amp;B601&amp;". МРП: "&amp;E601&amp;" сут. ГНО: "&amp;F601&amp;", типоразмер "&amp;G601&amp;", марка "&amp;H601&amp;". Событие: "&amp;I601&amp;". Признак: "&amp;J601&amp;". Узел: "&amp;K601&amp;". Предварительная причина: "&amp;L601&amp;". Основное осложнение: "&amp;M601&amp;IF(N601&lt;&gt;"","; сопутствующее: "&amp;N601,"")&amp;IF(O601&lt;&gt;"","; дополнительно: "&amp;O601,"")&amp;".")</f>
        <v/>
      </c>
    </row>
    <row r="602">
      <c r="A602" s="75" t="n"/>
      <c r="B602" s="75" t="n"/>
      <c r="C602" s="261" t="n"/>
      <c r="D602" s="261" t="n"/>
      <c r="E602" s="262">
        <f>IF(OR(C602="",D602=""),"",D602-C602)</f>
        <v/>
      </c>
      <c r="F602" s="75" t="n"/>
      <c r="G602" s="75" t="n"/>
      <c r="H602" s="75" t="n"/>
      <c r="I602" s="75" t="n"/>
      <c r="J602" s="75" t="n"/>
      <c r="K602" s="75" t="n"/>
      <c r="L602" s="75" t="n"/>
      <c r="M602" s="75" t="n"/>
      <c r="N602" s="75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226">
        <f>IF(AND(A602="",B602=""),"",IF(AND(A602&lt;&gt;"",B602&lt;&gt;"",C602&lt;&gt;"",D602&lt;&gt;"",F602&lt;&gt;"",G602&lt;&gt;"",H602&lt;&gt;"",ISERROR(SEARCH("по паспорту",G602)),ISERROR(SEARCH("по паспорту",H602)),I602&lt;&gt;"",J602&lt;&gt;"",K602&lt;&gt;"",L602&lt;&gt;"",M602&lt;&gt;""),"ГОТОВО","НЕ ГОТОВО"))</f>
        <v/>
      </c>
      <c r="Z602" s="226">
        <f>IF(Y602&lt;&gt;"ГОТОВО","", "Предварительное заключение: "&amp;A602&amp;", скв. "&amp;B602&amp;". МРП: "&amp;E602&amp;" сут. ГНО: "&amp;F602&amp;", типоразмер "&amp;G602&amp;", марка "&amp;H602&amp;". Событие: "&amp;I602&amp;". Признак: "&amp;J602&amp;". Узел: "&amp;K602&amp;". Предварительная причина: "&amp;L602&amp;". Основное осложнение: "&amp;M602&amp;IF(N602&lt;&gt;"","; сопутствующее: "&amp;N602,"")&amp;IF(O602&lt;&gt;"","; дополнительно: "&amp;O602,"")&amp;".")</f>
        <v/>
      </c>
    </row>
    <row r="603">
      <c r="A603" s="75" t="n"/>
      <c r="B603" s="75" t="n"/>
      <c r="C603" s="261" t="n"/>
      <c r="D603" s="261" t="n"/>
      <c r="E603" s="262">
        <f>IF(OR(C603="",D603=""),"",D603-C603)</f>
        <v/>
      </c>
      <c r="F603" s="75" t="n"/>
      <c r="G603" s="75" t="n"/>
      <c r="H603" s="75" t="n"/>
      <c r="I603" s="75" t="n"/>
      <c r="J603" s="75" t="n"/>
      <c r="K603" s="75" t="n"/>
      <c r="L603" s="75" t="n"/>
      <c r="M603" s="75" t="n"/>
      <c r="N603" s="75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226">
        <f>IF(AND(A603="",B603=""),"",IF(AND(A603&lt;&gt;"",B603&lt;&gt;"",C603&lt;&gt;"",D603&lt;&gt;"",F603&lt;&gt;"",G603&lt;&gt;"",H603&lt;&gt;"",ISERROR(SEARCH("по паспорту",G603)),ISERROR(SEARCH("по паспорту",H603)),I603&lt;&gt;"",J603&lt;&gt;"",K603&lt;&gt;"",L603&lt;&gt;"",M603&lt;&gt;""),"ГОТОВО","НЕ ГОТОВО"))</f>
        <v/>
      </c>
      <c r="Z603" s="226">
        <f>IF(Y603&lt;&gt;"ГОТОВО","", "Предварительное заключение: "&amp;A603&amp;", скв. "&amp;B603&amp;". МРП: "&amp;E603&amp;" сут. ГНО: "&amp;F603&amp;", типоразмер "&amp;G603&amp;", марка "&amp;H603&amp;". Событие: "&amp;I603&amp;". Признак: "&amp;J603&amp;". Узел: "&amp;K603&amp;". Предварительная причина: "&amp;L603&amp;". Основное осложнение: "&amp;M603&amp;IF(N603&lt;&gt;"","; сопутствующее: "&amp;N603,"")&amp;IF(O603&lt;&gt;"","; дополнительно: "&amp;O603,"")&amp;".")</f>
        <v/>
      </c>
    </row>
    <row r="604">
      <c r="A604" s="75" t="n"/>
      <c r="B604" s="75" t="n"/>
      <c r="C604" s="261" t="n"/>
      <c r="D604" s="261" t="n"/>
      <c r="E604" s="262">
        <f>IF(OR(C604="",D604=""),"",D604-C604)</f>
        <v/>
      </c>
      <c r="F604" s="75" t="n"/>
      <c r="G604" s="75" t="n"/>
      <c r="H604" s="75" t="n"/>
      <c r="I604" s="75" t="n"/>
      <c r="J604" s="75" t="n"/>
      <c r="K604" s="75" t="n"/>
      <c r="L604" s="75" t="n"/>
      <c r="M604" s="75" t="n"/>
      <c r="N604" s="75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226">
        <f>IF(AND(A604="",B604=""),"",IF(AND(A604&lt;&gt;"",B604&lt;&gt;"",C604&lt;&gt;"",D604&lt;&gt;"",F604&lt;&gt;"",G604&lt;&gt;"",H604&lt;&gt;"",ISERROR(SEARCH("по паспорту",G604)),ISERROR(SEARCH("по паспорту",H604)),I604&lt;&gt;"",J604&lt;&gt;"",K604&lt;&gt;"",L604&lt;&gt;"",M604&lt;&gt;""),"ГОТОВО","НЕ ГОТОВО"))</f>
        <v/>
      </c>
      <c r="Z604" s="226">
        <f>IF(Y604&lt;&gt;"ГОТОВО","", "Предварительное заключение: "&amp;A604&amp;", скв. "&amp;B604&amp;". МРП: "&amp;E604&amp;" сут. ГНО: "&amp;F604&amp;", типоразмер "&amp;G604&amp;", марка "&amp;H604&amp;". Событие: "&amp;I604&amp;". Признак: "&amp;J604&amp;". Узел: "&amp;K604&amp;". Предварительная причина: "&amp;L604&amp;". Основное осложнение: "&amp;M604&amp;IF(N604&lt;&gt;"","; сопутствующее: "&amp;N604,"")&amp;IF(O604&lt;&gt;"","; дополнительно: "&amp;O604,"")&amp;".")</f>
        <v/>
      </c>
    </row>
    <row r="605">
      <c r="A605" s="75" t="n"/>
      <c r="B605" s="75" t="n"/>
      <c r="C605" s="261" t="n"/>
      <c r="D605" s="261" t="n"/>
      <c r="E605" s="262">
        <f>IF(OR(C605="",D605=""),"",D605-C605)</f>
        <v/>
      </c>
      <c r="F605" s="75" t="n"/>
      <c r="G605" s="75" t="n"/>
      <c r="H605" s="75" t="n"/>
      <c r="I605" s="75" t="n"/>
      <c r="J605" s="75" t="n"/>
      <c r="K605" s="75" t="n"/>
      <c r="L605" s="75" t="n"/>
      <c r="M605" s="75" t="n"/>
      <c r="N605" s="75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226">
        <f>IF(AND(A605="",B605=""),"",IF(AND(A605&lt;&gt;"",B605&lt;&gt;"",C605&lt;&gt;"",D605&lt;&gt;"",F605&lt;&gt;"",G605&lt;&gt;"",H605&lt;&gt;"",ISERROR(SEARCH("по паспорту",G605)),ISERROR(SEARCH("по паспорту",H605)),I605&lt;&gt;"",J605&lt;&gt;"",K605&lt;&gt;"",L605&lt;&gt;"",M605&lt;&gt;""),"ГОТОВО","НЕ ГОТОВО"))</f>
        <v/>
      </c>
      <c r="Z605" s="226">
        <f>IF(Y605&lt;&gt;"ГОТОВО","", "Предварительное заключение: "&amp;A605&amp;", скв. "&amp;B605&amp;". МРП: "&amp;E605&amp;" сут. ГНО: "&amp;F605&amp;", типоразмер "&amp;G605&amp;", марка "&amp;H605&amp;". Событие: "&amp;I605&amp;". Признак: "&amp;J605&amp;". Узел: "&amp;K605&amp;". Предварительная причина: "&amp;L605&amp;". Основное осложнение: "&amp;M605&amp;IF(N605&lt;&gt;"","; сопутствующее: "&amp;N605,"")&amp;IF(O605&lt;&gt;"","; дополнительно: "&amp;O605,"")&amp;".")</f>
        <v/>
      </c>
    </row>
    <row r="606">
      <c r="A606" s="75" t="n"/>
      <c r="B606" s="75" t="n"/>
      <c r="C606" s="261" t="n"/>
      <c r="D606" s="261" t="n"/>
      <c r="E606" s="262">
        <f>IF(OR(C606="",D606=""),"",D606-C606)</f>
        <v/>
      </c>
      <c r="F606" s="75" t="n"/>
      <c r="G606" s="75" t="n"/>
      <c r="H606" s="75" t="n"/>
      <c r="I606" s="75" t="n"/>
      <c r="J606" s="75" t="n"/>
      <c r="K606" s="75" t="n"/>
      <c r="L606" s="75" t="n"/>
      <c r="M606" s="75" t="n"/>
      <c r="N606" s="75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226">
        <f>IF(AND(A606="",B606=""),"",IF(AND(A606&lt;&gt;"",B606&lt;&gt;"",C606&lt;&gt;"",D606&lt;&gt;"",F606&lt;&gt;"",G606&lt;&gt;"",H606&lt;&gt;"",ISERROR(SEARCH("по паспорту",G606)),ISERROR(SEARCH("по паспорту",H606)),I606&lt;&gt;"",J606&lt;&gt;"",K606&lt;&gt;"",L606&lt;&gt;"",M606&lt;&gt;""),"ГОТОВО","НЕ ГОТОВО"))</f>
        <v/>
      </c>
      <c r="Z606" s="226">
        <f>IF(Y606&lt;&gt;"ГОТОВО","", "Предварительное заключение: "&amp;A606&amp;", скв. "&amp;B606&amp;". МРП: "&amp;E606&amp;" сут. ГНО: "&amp;F606&amp;", типоразмер "&amp;G606&amp;", марка "&amp;H606&amp;". Событие: "&amp;I606&amp;". Признак: "&amp;J606&amp;". Узел: "&amp;K606&amp;". Предварительная причина: "&amp;L606&amp;". Основное осложнение: "&amp;M606&amp;IF(N606&lt;&gt;"","; сопутствующее: "&amp;N606,"")&amp;IF(O606&lt;&gt;"","; дополнительно: "&amp;O606,"")&amp;".")</f>
        <v/>
      </c>
    </row>
    <row r="607">
      <c r="A607" s="75" t="n"/>
      <c r="B607" s="75" t="n"/>
      <c r="C607" s="261" t="n"/>
      <c r="D607" s="261" t="n"/>
      <c r="E607" s="262">
        <f>IF(OR(C607="",D607=""),"",D607-C607)</f>
        <v/>
      </c>
      <c r="F607" s="75" t="n"/>
      <c r="G607" s="75" t="n"/>
      <c r="H607" s="75" t="n"/>
      <c r="I607" s="75" t="n"/>
      <c r="J607" s="75" t="n"/>
      <c r="K607" s="75" t="n"/>
      <c r="L607" s="75" t="n"/>
      <c r="M607" s="75" t="n"/>
      <c r="N607" s="75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226">
        <f>IF(AND(A607="",B607=""),"",IF(AND(A607&lt;&gt;"",B607&lt;&gt;"",C607&lt;&gt;"",D607&lt;&gt;"",F607&lt;&gt;"",G607&lt;&gt;"",H607&lt;&gt;"",ISERROR(SEARCH("по паспорту",G607)),ISERROR(SEARCH("по паспорту",H607)),I607&lt;&gt;"",J607&lt;&gt;"",K607&lt;&gt;"",L607&lt;&gt;"",M607&lt;&gt;""),"ГОТОВО","НЕ ГОТОВО"))</f>
        <v/>
      </c>
      <c r="Z607" s="226">
        <f>IF(Y607&lt;&gt;"ГОТОВО","", "Предварительное заключение: "&amp;A607&amp;", скв. "&amp;B607&amp;". МРП: "&amp;E607&amp;" сут. ГНО: "&amp;F607&amp;", типоразмер "&amp;G607&amp;", марка "&amp;H607&amp;". Событие: "&amp;I607&amp;". Признак: "&amp;J607&amp;". Узел: "&amp;K607&amp;". Предварительная причина: "&amp;L607&amp;". Основное осложнение: "&amp;M607&amp;IF(N607&lt;&gt;"","; сопутствующее: "&amp;N607,"")&amp;IF(O607&lt;&gt;"","; дополнительно: "&amp;O607,"")&amp;".")</f>
        <v/>
      </c>
    </row>
    <row r="608">
      <c r="A608" s="75" t="n"/>
      <c r="B608" s="75" t="n"/>
      <c r="C608" s="261" t="n"/>
      <c r="D608" s="261" t="n"/>
      <c r="E608" s="262">
        <f>IF(OR(C608="",D608=""),"",D608-C608)</f>
        <v/>
      </c>
      <c r="F608" s="75" t="n"/>
      <c r="G608" s="75" t="n"/>
      <c r="H608" s="75" t="n"/>
      <c r="I608" s="75" t="n"/>
      <c r="J608" s="75" t="n"/>
      <c r="K608" s="75" t="n"/>
      <c r="L608" s="75" t="n"/>
      <c r="M608" s="75" t="n"/>
      <c r="N608" s="75" t="n"/>
      <c r="O608" s="75" t="n"/>
      <c r="P608" s="75" t="n"/>
      <c r="Q608" s="75" t="n"/>
      <c r="R608" s="75" t="n"/>
      <c r="S608" s="75" t="n"/>
      <c r="T608" s="75" t="n"/>
      <c r="U608" s="75" t="n"/>
      <c r="V608" s="75" t="n"/>
      <c r="W608" s="75" t="n"/>
      <c r="X608" s="75" t="n"/>
      <c r="Y608" s="226">
        <f>IF(AND(A608="",B608=""),"",IF(AND(A608&lt;&gt;"",B608&lt;&gt;"",C608&lt;&gt;"",D608&lt;&gt;"",F608&lt;&gt;"",G608&lt;&gt;"",H608&lt;&gt;"",ISERROR(SEARCH("по паспорту",G608)),ISERROR(SEARCH("по паспорту",H608)),I608&lt;&gt;"",J608&lt;&gt;"",K608&lt;&gt;"",L608&lt;&gt;"",M608&lt;&gt;""),"ГОТОВО","НЕ ГОТОВО"))</f>
        <v/>
      </c>
      <c r="Z608" s="226">
        <f>IF(Y608&lt;&gt;"ГОТОВО","", "Предварительное заключение: "&amp;A608&amp;", скв. "&amp;B608&amp;". МРП: "&amp;E608&amp;" сут. ГНО: "&amp;F608&amp;", типоразмер "&amp;G608&amp;", марка "&amp;H608&amp;". Событие: "&amp;I608&amp;". Признак: "&amp;J608&amp;". Узел: "&amp;K608&amp;". Предварительная причина: "&amp;L608&amp;". Основное осложнение: "&amp;M608&amp;IF(N608&lt;&gt;"","; сопутствующее: "&amp;N608,"")&amp;IF(O608&lt;&gt;"","; дополнительно: "&amp;O608,"")&amp;".")</f>
        <v/>
      </c>
    </row>
    <row r="609">
      <c r="A609" s="75" t="n"/>
      <c r="B609" s="75" t="n"/>
      <c r="C609" s="261" t="n"/>
      <c r="D609" s="261" t="n"/>
      <c r="E609" s="262">
        <f>IF(OR(C609="",D609=""),"",D609-C609)</f>
        <v/>
      </c>
      <c r="F609" s="75" t="n"/>
      <c r="G609" s="75" t="n"/>
      <c r="H609" s="75" t="n"/>
      <c r="I609" s="75" t="n"/>
      <c r="J609" s="75" t="n"/>
      <c r="K609" s="75" t="n"/>
      <c r="L609" s="75" t="n"/>
      <c r="M609" s="75" t="n"/>
      <c r="N609" s="75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226">
        <f>IF(AND(A609="",B609=""),"",IF(AND(A609&lt;&gt;"",B609&lt;&gt;"",C609&lt;&gt;"",D609&lt;&gt;"",F609&lt;&gt;"",G609&lt;&gt;"",H609&lt;&gt;"",ISERROR(SEARCH("по паспорту",G609)),ISERROR(SEARCH("по паспорту",H609)),I609&lt;&gt;"",J609&lt;&gt;"",K609&lt;&gt;"",L609&lt;&gt;"",M609&lt;&gt;""),"ГОТОВО","НЕ ГОТОВО"))</f>
        <v/>
      </c>
      <c r="Z609" s="226">
        <f>IF(Y609&lt;&gt;"ГОТОВО","", "Предварительное заключение: "&amp;A609&amp;", скв. "&amp;B609&amp;". МРП: "&amp;E609&amp;" сут. ГНО: "&amp;F609&amp;", типоразмер "&amp;G609&amp;", марка "&amp;H609&amp;". Событие: "&amp;I609&amp;". Признак: "&amp;J609&amp;". Узел: "&amp;K609&amp;". Предварительная причина: "&amp;L609&amp;". Основное осложнение: "&amp;M609&amp;IF(N609&lt;&gt;"","; сопутствующее: "&amp;N609,"")&amp;IF(O609&lt;&gt;"","; дополнительно: "&amp;O609,"")&amp;".")</f>
        <v/>
      </c>
    </row>
    <row r="610">
      <c r="A610" s="75" t="n"/>
      <c r="B610" s="75" t="n"/>
      <c r="C610" s="261" t="n"/>
      <c r="D610" s="261" t="n"/>
      <c r="E610" s="262">
        <f>IF(OR(C610="",D610=""),"",D610-C610)</f>
        <v/>
      </c>
      <c r="F610" s="75" t="n"/>
      <c r="G610" s="75" t="n"/>
      <c r="H610" s="75" t="n"/>
      <c r="I610" s="75" t="n"/>
      <c r="J610" s="75" t="n"/>
      <c r="K610" s="75" t="n"/>
      <c r="L610" s="75" t="n"/>
      <c r="M610" s="75" t="n"/>
      <c r="N610" s="75" t="n"/>
      <c r="O610" s="75" t="n"/>
      <c r="P610" s="75" t="n"/>
      <c r="Q610" s="75" t="n"/>
      <c r="R610" s="75" t="n"/>
      <c r="S610" s="75" t="n"/>
      <c r="T610" s="75" t="n"/>
      <c r="U610" s="75" t="n"/>
      <c r="V610" s="75" t="n"/>
      <c r="W610" s="75" t="n"/>
      <c r="X610" s="75" t="n"/>
      <c r="Y610" s="226">
        <f>IF(AND(A610="",B610=""),"",IF(AND(A610&lt;&gt;"",B610&lt;&gt;"",C610&lt;&gt;"",D610&lt;&gt;"",F610&lt;&gt;"",G610&lt;&gt;"",H610&lt;&gt;"",ISERROR(SEARCH("по паспорту",G610)),ISERROR(SEARCH("по паспорту",H610)),I610&lt;&gt;"",J610&lt;&gt;"",K610&lt;&gt;"",L610&lt;&gt;"",M610&lt;&gt;""),"ГОТОВО","НЕ ГОТОВО"))</f>
        <v/>
      </c>
      <c r="Z610" s="226">
        <f>IF(Y610&lt;&gt;"ГОТОВО","", "Предварительное заключение: "&amp;A610&amp;", скв. "&amp;B610&amp;". МРП: "&amp;E610&amp;" сут. ГНО: "&amp;F610&amp;", типоразмер "&amp;G610&amp;", марка "&amp;H610&amp;". Событие: "&amp;I610&amp;". Признак: "&amp;J610&amp;". Узел: "&amp;K610&amp;". Предварительная причина: "&amp;L610&amp;". Основное осложнение: "&amp;M610&amp;IF(N610&lt;&gt;"","; сопутствующее: "&amp;N610,"")&amp;IF(O610&lt;&gt;"","; дополнительно: "&amp;O610,"")&amp;".")</f>
        <v/>
      </c>
    </row>
    <row r="611">
      <c r="A611" s="75" t="n"/>
      <c r="B611" s="75" t="n"/>
      <c r="C611" s="261" t="n"/>
      <c r="D611" s="261" t="n"/>
      <c r="E611" s="262">
        <f>IF(OR(C611="",D611=""),"",D611-C611)</f>
        <v/>
      </c>
      <c r="F611" s="75" t="n"/>
      <c r="G611" s="75" t="n"/>
      <c r="H611" s="75" t="n"/>
      <c r="I611" s="75" t="n"/>
      <c r="J611" s="75" t="n"/>
      <c r="K611" s="75" t="n"/>
      <c r="L611" s="75" t="n"/>
      <c r="M611" s="75" t="n"/>
      <c r="N611" s="75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226">
        <f>IF(AND(A611="",B611=""),"",IF(AND(A611&lt;&gt;"",B611&lt;&gt;"",C611&lt;&gt;"",D611&lt;&gt;"",F611&lt;&gt;"",G611&lt;&gt;"",H611&lt;&gt;"",ISERROR(SEARCH("по паспорту",G611)),ISERROR(SEARCH("по паспорту",H611)),I611&lt;&gt;"",J611&lt;&gt;"",K611&lt;&gt;"",L611&lt;&gt;"",M611&lt;&gt;""),"ГОТОВО","НЕ ГОТОВО"))</f>
        <v/>
      </c>
      <c r="Z611" s="226">
        <f>IF(Y611&lt;&gt;"ГОТОВО","", "Предварительное заключение: "&amp;A611&amp;", скв. "&amp;B611&amp;". МРП: "&amp;E611&amp;" сут. ГНО: "&amp;F611&amp;", типоразмер "&amp;G611&amp;", марка "&amp;H611&amp;". Событие: "&amp;I611&amp;". Признак: "&amp;J611&amp;". Узел: "&amp;K611&amp;". Предварительная причина: "&amp;L611&amp;". Основное осложнение: "&amp;M611&amp;IF(N611&lt;&gt;"","; сопутствующее: "&amp;N611,"")&amp;IF(O611&lt;&gt;"","; дополнительно: "&amp;O611,"")&amp;".")</f>
        <v/>
      </c>
    </row>
    <row r="612">
      <c r="A612" s="75" t="n"/>
      <c r="B612" s="75" t="n"/>
      <c r="C612" s="261" t="n"/>
      <c r="D612" s="261" t="n"/>
      <c r="E612" s="262">
        <f>IF(OR(C612="",D612=""),"",D612-C612)</f>
        <v/>
      </c>
      <c r="F612" s="75" t="n"/>
      <c r="G612" s="75" t="n"/>
      <c r="H612" s="75" t="n"/>
      <c r="I612" s="75" t="n"/>
      <c r="J612" s="75" t="n"/>
      <c r="K612" s="75" t="n"/>
      <c r="L612" s="75" t="n"/>
      <c r="M612" s="75" t="n"/>
      <c r="N612" s="75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226">
        <f>IF(AND(A612="",B612=""),"",IF(AND(A612&lt;&gt;"",B612&lt;&gt;"",C612&lt;&gt;"",D612&lt;&gt;"",F612&lt;&gt;"",G612&lt;&gt;"",H612&lt;&gt;"",ISERROR(SEARCH("по паспорту",G612)),ISERROR(SEARCH("по паспорту",H612)),I612&lt;&gt;"",J612&lt;&gt;"",K612&lt;&gt;"",L612&lt;&gt;"",M612&lt;&gt;""),"ГОТОВО","НЕ ГОТОВО"))</f>
        <v/>
      </c>
      <c r="Z612" s="226">
        <f>IF(Y612&lt;&gt;"ГОТОВО","", "Предварительное заключение: "&amp;A612&amp;", скв. "&amp;B612&amp;". МРП: "&amp;E612&amp;" сут. ГНО: "&amp;F612&amp;", типоразмер "&amp;G612&amp;", марка "&amp;H612&amp;". Событие: "&amp;I612&amp;". Признак: "&amp;J612&amp;". Узел: "&amp;K612&amp;". Предварительная причина: "&amp;L612&amp;". Основное осложнение: "&amp;M612&amp;IF(N612&lt;&gt;"","; сопутствующее: "&amp;N612,"")&amp;IF(O612&lt;&gt;"","; дополнительно: "&amp;O612,"")&amp;".")</f>
        <v/>
      </c>
    </row>
    <row r="613">
      <c r="A613" s="75" t="n"/>
      <c r="B613" s="75" t="n"/>
      <c r="C613" s="261" t="n"/>
      <c r="D613" s="261" t="n"/>
      <c r="E613" s="262">
        <f>IF(OR(C613="",D613=""),"",D613-C613)</f>
        <v/>
      </c>
      <c r="F613" s="75" t="n"/>
      <c r="G613" s="75" t="n"/>
      <c r="H613" s="75" t="n"/>
      <c r="I613" s="75" t="n"/>
      <c r="J613" s="75" t="n"/>
      <c r="K613" s="75" t="n"/>
      <c r="L613" s="75" t="n"/>
      <c r="M613" s="75" t="n"/>
      <c r="N613" s="75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226">
        <f>IF(AND(A613="",B613=""),"",IF(AND(A613&lt;&gt;"",B613&lt;&gt;"",C613&lt;&gt;"",D613&lt;&gt;"",F613&lt;&gt;"",G613&lt;&gt;"",H613&lt;&gt;"",ISERROR(SEARCH("по паспорту",G613)),ISERROR(SEARCH("по паспорту",H613)),I613&lt;&gt;"",J613&lt;&gt;"",K613&lt;&gt;"",L613&lt;&gt;"",M613&lt;&gt;""),"ГОТОВО","НЕ ГОТОВО"))</f>
        <v/>
      </c>
      <c r="Z613" s="226">
        <f>IF(Y613&lt;&gt;"ГОТОВО","", "Предварительное заключение: "&amp;A613&amp;", скв. "&amp;B613&amp;". МРП: "&amp;E613&amp;" сут. ГНО: "&amp;F613&amp;", типоразмер "&amp;G613&amp;", марка "&amp;H613&amp;". Событие: "&amp;I613&amp;". Признак: "&amp;J613&amp;". Узел: "&amp;K613&amp;". Предварительная причина: "&amp;L613&amp;". Основное осложнение: "&amp;M613&amp;IF(N613&lt;&gt;"","; сопутствующее: "&amp;N613,"")&amp;IF(O613&lt;&gt;"","; дополнительно: "&amp;O613,"")&amp;".")</f>
        <v/>
      </c>
    </row>
    <row r="614">
      <c r="A614" s="75" t="n"/>
      <c r="B614" s="75" t="n"/>
      <c r="C614" s="261" t="n"/>
      <c r="D614" s="261" t="n"/>
      <c r="E614" s="262">
        <f>IF(OR(C614="",D614=""),"",D614-C614)</f>
        <v/>
      </c>
      <c r="F614" s="75" t="n"/>
      <c r="G614" s="75" t="n"/>
      <c r="H614" s="75" t="n"/>
      <c r="I614" s="75" t="n"/>
      <c r="J614" s="75" t="n"/>
      <c r="K614" s="75" t="n"/>
      <c r="L614" s="75" t="n"/>
      <c r="M614" s="75" t="n"/>
      <c r="N614" s="75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226">
        <f>IF(AND(A614="",B614=""),"",IF(AND(A614&lt;&gt;"",B614&lt;&gt;"",C614&lt;&gt;"",D614&lt;&gt;"",F614&lt;&gt;"",G614&lt;&gt;"",H614&lt;&gt;"",ISERROR(SEARCH("по паспорту",G614)),ISERROR(SEARCH("по паспорту",H614)),I614&lt;&gt;"",J614&lt;&gt;"",K614&lt;&gt;"",L614&lt;&gt;"",M614&lt;&gt;""),"ГОТОВО","НЕ ГОТОВО"))</f>
        <v/>
      </c>
      <c r="Z614" s="226">
        <f>IF(Y614&lt;&gt;"ГОТОВО","", "Предварительное заключение: "&amp;A614&amp;", скв. "&amp;B614&amp;". МРП: "&amp;E614&amp;" сут. ГНО: "&amp;F614&amp;", типоразмер "&amp;G614&amp;", марка "&amp;H614&amp;". Событие: "&amp;I614&amp;". Признак: "&amp;J614&amp;". Узел: "&amp;K614&amp;". Предварительная причина: "&amp;L614&amp;". Основное осложнение: "&amp;M614&amp;IF(N614&lt;&gt;"","; сопутствующее: "&amp;N614,"")&amp;IF(O614&lt;&gt;"","; дополнительно: "&amp;O614,"")&amp;".")</f>
        <v/>
      </c>
    </row>
    <row r="615">
      <c r="A615" s="75" t="n"/>
      <c r="B615" s="75" t="n"/>
      <c r="C615" s="261" t="n"/>
      <c r="D615" s="261" t="n"/>
      <c r="E615" s="262">
        <f>IF(OR(C615="",D615=""),"",D615-C615)</f>
        <v/>
      </c>
      <c r="F615" s="75" t="n"/>
      <c r="G615" s="75" t="n"/>
      <c r="H615" s="75" t="n"/>
      <c r="I615" s="75" t="n"/>
      <c r="J615" s="75" t="n"/>
      <c r="K615" s="75" t="n"/>
      <c r="L615" s="75" t="n"/>
      <c r="M615" s="75" t="n"/>
      <c r="N615" s="75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226">
        <f>IF(AND(A615="",B615=""),"",IF(AND(A615&lt;&gt;"",B615&lt;&gt;"",C615&lt;&gt;"",D615&lt;&gt;"",F615&lt;&gt;"",G615&lt;&gt;"",H615&lt;&gt;"",ISERROR(SEARCH("по паспорту",G615)),ISERROR(SEARCH("по паспорту",H615)),I615&lt;&gt;"",J615&lt;&gt;"",K615&lt;&gt;"",L615&lt;&gt;"",M615&lt;&gt;""),"ГОТОВО","НЕ ГОТОВО"))</f>
        <v/>
      </c>
      <c r="Z615" s="226">
        <f>IF(Y615&lt;&gt;"ГОТОВО","", "Предварительное заключение: "&amp;A615&amp;", скв. "&amp;B615&amp;". МРП: "&amp;E615&amp;" сут. ГНО: "&amp;F615&amp;", типоразмер "&amp;G615&amp;", марка "&amp;H615&amp;". Событие: "&amp;I615&amp;". Признак: "&amp;J615&amp;". Узел: "&amp;K615&amp;". Предварительная причина: "&amp;L615&amp;". Основное осложнение: "&amp;M615&amp;IF(N615&lt;&gt;"","; сопутствующее: "&amp;N615,"")&amp;IF(O615&lt;&gt;"","; дополнительно: "&amp;O615,"")&amp;".")</f>
        <v/>
      </c>
    </row>
    <row r="616">
      <c r="A616" s="75" t="n"/>
      <c r="B616" s="75" t="n"/>
      <c r="C616" s="261" t="n"/>
      <c r="D616" s="261" t="n"/>
      <c r="E616" s="262">
        <f>IF(OR(C616="",D616=""),"",D616-C616)</f>
        <v/>
      </c>
      <c r="F616" s="75" t="n"/>
      <c r="G616" s="75" t="n"/>
      <c r="H616" s="75" t="n"/>
      <c r="I616" s="75" t="n"/>
      <c r="J616" s="75" t="n"/>
      <c r="K616" s="75" t="n"/>
      <c r="L616" s="75" t="n"/>
      <c r="M616" s="75" t="n"/>
      <c r="N616" s="75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226">
        <f>IF(AND(A616="",B616=""),"",IF(AND(A616&lt;&gt;"",B616&lt;&gt;"",C616&lt;&gt;"",D616&lt;&gt;"",F616&lt;&gt;"",G616&lt;&gt;"",H616&lt;&gt;"",ISERROR(SEARCH("по паспорту",G616)),ISERROR(SEARCH("по паспорту",H616)),I616&lt;&gt;"",J616&lt;&gt;"",K616&lt;&gt;"",L616&lt;&gt;"",M616&lt;&gt;""),"ГОТОВО","НЕ ГОТОВО"))</f>
        <v/>
      </c>
      <c r="Z616" s="226">
        <f>IF(Y616&lt;&gt;"ГОТОВО","", "Предварительное заключение: "&amp;A616&amp;", скв. "&amp;B616&amp;". МРП: "&amp;E616&amp;" сут. ГНО: "&amp;F616&amp;", типоразмер "&amp;G616&amp;", марка "&amp;H616&amp;". Событие: "&amp;I616&amp;". Признак: "&amp;J616&amp;". Узел: "&amp;K616&amp;". Предварительная причина: "&amp;L616&amp;". Основное осложнение: "&amp;M616&amp;IF(N616&lt;&gt;"","; сопутствующее: "&amp;N616,"")&amp;IF(O616&lt;&gt;"","; дополнительно: "&amp;O616,"")&amp;".")</f>
        <v/>
      </c>
    </row>
    <row r="617">
      <c r="A617" s="75" t="n"/>
      <c r="B617" s="75" t="n"/>
      <c r="C617" s="261" t="n"/>
      <c r="D617" s="261" t="n"/>
      <c r="E617" s="262">
        <f>IF(OR(C617="",D617=""),"",D617-C617)</f>
        <v/>
      </c>
      <c r="F617" s="75" t="n"/>
      <c r="G617" s="75" t="n"/>
      <c r="H617" s="75" t="n"/>
      <c r="I617" s="75" t="n"/>
      <c r="J617" s="75" t="n"/>
      <c r="K617" s="75" t="n"/>
      <c r="L617" s="75" t="n"/>
      <c r="M617" s="75" t="n"/>
      <c r="N617" s="75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226">
        <f>IF(AND(A617="",B617=""),"",IF(AND(A617&lt;&gt;"",B617&lt;&gt;"",C617&lt;&gt;"",D617&lt;&gt;"",F617&lt;&gt;"",G617&lt;&gt;"",H617&lt;&gt;"",ISERROR(SEARCH("по паспорту",G617)),ISERROR(SEARCH("по паспорту",H617)),I617&lt;&gt;"",J617&lt;&gt;"",K617&lt;&gt;"",L617&lt;&gt;"",M617&lt;&gt;""),"ГОТОВО","НЕ ГОТОВО"))</f>
        <v/>
      </c>
      <c r="Z617" s="226">
        <f>IF(Y617&lt;&gt;"ГОТОВО","", "Предварительное заключение: "&amp;A617&amp;", скв. "&amp;B617&amp;". МРП: "&amp;E617&amp;" сут. ГНО: "&amp;F617&amp;", типоразмер "&amp;G617&amp;", марка "&amp;H617&amp;". Событие: "&amp;I617&amp;". Признак: "&amp;J617&amp;". Узел: "&amp;K617&amp;". Предварительная причина: "&amp;L617&amp;". Основное осложнение: "&amp;M617&amp;IF(N617&lt;&gt;"","; сопутствующее: "&amp;N617,"")&amp;IF(O617&lt;&gt;"","; дополнительно: "&amp;O617,"")&amp;".")</f>
        <v/>
      </c>
    </row>
    <row r="618">
      <c r="A618" s="75" t="n"/>
      <c r="B618" s="75" t="n"/>
      <c r="C618" s="261" t="n"/>
      <c r="D618" s="261" t="n"/>
      <c r="E618" s="262">
        <f>IF(OR(C618="",D618=""),"",D618-C618)</f>
        <v/>
      </c>
      <c r="F618" s="75" t="n"/>
      <c r="G618" s="75" t="n"/>
      <c r="H618" s="75" t="n"/>
      <c r="I618" s="75" t="n"/>
      <c r="J618" s="75" t="n"/>
      <c r="K618" s="75" t="n"/>
      <c r="L618" s="75" t="n"/>
      <c r="M618" s="75" t="n"/>
      <c r="N618" s="75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226">
        <f>IF(AND(A618="",B618=""),"",IF(AND(A618&lt;&gt;"",B618&lt;&gt;"",C618&lt;&gt;"",D618&lt;&gt;"",F618&lt;&gt;"",G618&lt;&gt;"",H618&lt;&gt;"",ISERROR(SEARCH("по паспорту",G618)),ISERROR(SEARCH("по паспорту",H618)),I618&lt;&gt;"",J618&lt;&gt;"",K618&lt;&gt;"",L618&lt;&gt;"",M618&lt;&gt;""),"ГОТОВО","НЕ ГОТОВО"))</f>
        <v/>
      </c>
      <c r="Z618" s="226">
        <f>IF(Y618&lt;&gt;"ГОТОВО","", "Предварительное заключение: "&amp;A618&amp;", скв. "&amp;B618&amp;". МРП: "&amp;E618&amp;" сут. ГНО: "&amp;F618&amp;", типоразмер "&amp;G618&amp;", марка "&amp;H618&amp;". Событие: "&amp;I618&amp;". Признак: "&amp;J618&amp;". Узел: "&amp;K618&amp;". Предварительная причина: "&amp;L618&amp;". Основное осложнение: "&amp;M618&amp;IF(N618&lt;&gt;"","; сопутствующее: "&amp;N618,"")&amp;IF(O618&lt;&gt;"","; дополнительно: "&amp;O618,"")&amp;".")</f>
        <v/>
      </c>
    </row>
    <row r="619">
      <c r="A619" s="75" t="n"/>
      <c r="B619" s="75" t="n"/>
      <c r="C619" s="261" t="n"/>
      <c r="D619" s="261" t="n"/>
      <c r="E619" s="262">
        <f>IF(OR(C619="",D619=""),"",D619-C619)</f>
        <v/>
      </c>
      <c r="F619" s="75" t="n"/>
      <c r="G619" s="75" t="n"/>
      <c r="H619" s="75" t="n"/>
      <c r="I619" s="75" t="n"/>
      <c r="J619" s="75" t="n"/>
      <c r="K619" s="75" t="n"/>
      <c r="L619" s="75" t="n"/>
      <c r="M619" s="75" t="n"/>
      <c r="N619" s="75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226">
        <f>IF(AND(A619="",B619=""),"",IF(AND(A619&lt;&gt;"",B619&lt;&gt;"",C619&lt;&gt;"",D619&lt;&gt;"",F619&lt;&gt;"",G619&lt;&gt;"",H619&lt;&gt;"",ISERROR(SEARCH("по паспорту",G619)),ISERROR(SEARCH("по паспорту",H619)),I619&lt;&gt;"",J619&lt;&gt;"",K619&lt;&gt;"",L619&lt;&gt;"",M619&lt;&gt;""),"ГОТОВО","НЕ ГОТОВО"))</f>
        <v/>
      </c>
      <c r="Z619" s="226">
        <f>IF(Y619&lt;&gt;"ГОТОВО","", "Предварительное заключение: "&amp;A619&amp;", скв. "&amp;B619&amp;". МРП: "&amp;E619&amp;" сут. ГНО: "&amp;F619&amp;", типоразмер "&amp;G619&amp;", марка "&amp;H619&amp;". Событие: "&amp;I619&amp;". Признак: "&amp;J619&amp;". Узел: "&amp;K619&amp;". Предварительная причина: "&amp;L619&amp;". Основное осложнение: "&amp;M619&amp;IF(N619&lt;&gt;"","; сопутствующее: "&amp;N619,"")&amp;IF(O619&lt;&gt;"","; дополнительно: "&amp;O619,"")&amp;".")</f>
        <v/>
      </c>
    </row>
    <row r="620">
      <c r="A620" s="75" t="n"/>
      <c r="B620" s="75" t="n"/>
      <c r="C620" s="261" t="n"/>
      <c r="D620" s="261" t="n"/>
      <c r="E620" s="262">
        <f>IF(OR(C620="",D620=""),"",D620-C620)</f>
        <v/>
      </c>
      <c r="F620" s="75" t="n"/>
      <c r="G620" s="75" t="n"/>
      <c r="H620" s="75" t="n"/>
      <c r="I620" s="75" t="n"/>
      <c r="J620" s="75" t="n"/>
      <c r="K620" s="75" t="n"/>
      <c r="L620" s="75" t="n"/>
      <c r="M620" s="75" t="n"/>
      <c r="N620" s="75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226">
        <f>IF(AND(A620="",B620=""),"",IF(AND(A620&lt;&gt;"",B620&lt;&gt;"",C620&lt;&gt;"",D620&lt;&gt;"",F620&lt;&gt;"",G620&lt;&gt;"",H620&lt;&gt;"",ISERROR(SEARCH("по паспорту",G620)),ISERROR(SEARCH("по паспорту",H620)),I620&lt;&gt;"",J620&lt;&gt;"",K620&lt;&gt;"",L620&lt;&gt;"",M620&lt;&gt;""),"ГОТОВО","НЕ ГОТОВО"))</f>
        <v/>
      </c>
      <c r="Z620" s="226">
        <f>IF(Y620&lt;&gt;"ГОТОВО","", "Предварительное заключение: "&amp;A620&amp;", скв. "&amp;B620&amp;". МРП: "&amp;E620&amp;" сут. ГНО: "&amp;F620&amp;", типоразмер "&amp;G620&amp;", марка "&amp;H620&amp;". Событие: "&amp;I620&amp;". Признак: "&amp;J620&amp;". Узел: "&amp;K620&amp;". Предварительная причина: "&amp;L620&amp;". Основное осложнение: "&amp;M620&amp;IF(N620&lt;&gt;"","; сопутствующее: "&amp;N620,"")&amp;IF(O620&lt;&gt;"","; дополнительно: "&amp;O620,"")&amp;".")</f>
        <v/>
      </c>
    </row>
    <row r="621">
      <c r="A621" s="75" t="n"/>
      <c r="B621" s="75" t="n"/>
      <c r="C621" s="261" t="n"/>
      <c r="D621" s="261" t="n"/>
      <c r="E621" s="262">
        <f>IF(OR(C621="",D621=""),"",D621-C621)</f>
        <v/>
      </c>
      <c r="F621" s="75" t="n"/>
      <c r="G621" s="75" t="n"/>
      <c r="H621" s="75" t="n"/>
      <c r="I621" s="75" t="n"/>
      <c r="J621" s="75" t="n"/>
      <c r="K621" s="75" t="n"/>
      <c r="L621" s="75" t="n"/>
      <c r="M621" s="75" t="n"/>
      <c r="N621" s="75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226">
        <f>IF(AND(A621="",B621=""),"",IF(AND(A621&lt;&gt;"",B621&lt;&gt;"",C621&lt;&gt;"",D621&lt;&gt;"",F621&lt;&gt;"",G621&lt;&gt;"",H621&lt;&gt;"",ISERROR(SEARCH("по паспорту",G621)),ISERROR(SEARCH("по паспорту",H621)),I621&lt;&gt;"",J621&lt;&gt;"",K621&lt;&gt;"",L621&lt;&gt;"",M621&lt;&gt;""),"ГОТОВО","НЕ ГОТОВО"))</f>
        <v/>
      </c>
      <c r="Z621" s="226">
        <f>IF(Y621&lt;&gt;"ГОТОВО","", "Предварительное заключение: "&amp;A621&amp;", скв. "&amp;B621&amp;". МРП: "&amp;E621&amp;" сут. ГНО: "&amp;F621&amp;", типоразмер "&amp;G621&amp;", марка "&amp;H621&amp;". Событие: "&amp;I621&amp;". Признак: "&amp;J621&amp;". Узел: "&amp;K621&amp;". Предварительная причина: "&amp;L621&amp;". Основное осложнение: "&amp;M621&amp;IF(N621&lt;&gt;"","; сопутствующее: "&amp;N621,"")&amp;IF(O621&lt;&gt;"","; дополнительно: "&amp;O621,"")&amp;".")</f>
        <v/>
      </c>
    </row>
    <row r="622">
      <c r="A622" s="75" t="n"/>
      <c r="B622" s="75" t="n"/>
      <c r="C622" s="261" t="n"/>
      <c r="D622" s="261" t="n"/>
      <c r="E622" s="262">
        <f>IF(OR(C622="",D622=""),"",D622-C622)</f>
        <v/>
      </c>
      <c r="F622" s="75" t="n"/>
      <c r="G622" s="75" t="n"/>
      <c r="H622" s="75" t="n"/>
      <c r="I622" s="75" t="n"/>
      <c r="J622" s="75" t="n"/>
      <c r="K622" s="75" t="n"/>
      <c r="L622" s="75" t="n"/>
      <c r="M622" s="75" t="n"/>
      <c r="N622" s="75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226">
        <f>IF(AND(A622="",B622=""),"",IF(AND(A622&lt;&gt;"",B622&lt;&gt;"",C622&lt;&gt;"",D622&lt;&gt;"",F622&lt;&gt;"",G622&lt;&gt;"",H622&lt;&gt;"",ISERROR(SEARCH("по паспорту",G622)),ISERROR(SEARCH("по паспорту",H622)),I622&lt;&gt;"",J622&lt;&gt;"",K622&lt;&gt;"",L622&lt;&gt;"",M622&lt;&gt;""),"ГОТОВО","НЕ ГОТОВО"))</f>
        <v/>
      </c>
      <c r="Z622" s="226">
        <f>IF(Y622&lt;&gt;"ГОТОВО","", "Предварительное заключение: "&amp;A622&amp;", скв. "&amp;B622&amp;". МРП: "&amp;E622&amp;" сут. ГНО: "&amp;F622&amp;", типоразмер "&amp;G622&amp;", марка "&amp;H622&amp;". Событие: "&amp;I622&amp;". Признак: "&amp;J622&amp;". Узел: "&amp;K622&amp;". Предварительная причина: "&amp;L622&amp;". Основное осложнение: "&amp;M622&amp;IF(N622&lt;&gt;"","; сопутствующее: "&amp;N622,"")&amp;IF(O622&lt;&gt;"","; дополнительно: "&amp;O622,"")&amp;".")</f>
        <v/>
      </c>
    </row>
    <row r="623">
      <c r="A623" s="75" t="n"/>
      <c r="B623" s="75" t="n"/>
      <c r="C623" s="261" t="n"/>
      <c r="D623" s="261" t="n"/>
      <c r="E623" s="262">
        <f>IF(OR(C623="",D623=""),"",D623-C623)</f>
        <v/>
      </c>
      <c r="F623" s="75" t="n"/>
      <c r="G623" s="75" t="n"/>
      <c r="H623" s="75" t="n"/>
      <c r="I623" s="75" t="n"/>
      <c r="J623" s="75" t="n"/>
      <c r="K623" s="75" t="n"/>
      <c r="L623" s="75" t="n"/>
      <c r="M623" s="75" t="n"/>
      <c r="N623" s="75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226">
        <f>IF(AND(A623="",B623=""),"",IF(AND(A623&lt;&gt;"",B623&lt;&gt;"",C623&lt;&gt;"",D623&lt;&gt;"",F623&lt;&gt;"",G623&lt;&gt;"",H623&lt;&gt;"",ISERROR(SEARCH("по паспорту",G623)),ISERROR(SEARCH("по паспорту",H623)),I623&lt;&gt;"",J623&lt;&gt;"",K623&lt;&gt;"",L623&lt;&gt;"",M623&lt;&gt;""),"ГОТОВО","НЕ ГОТОВО"))</f>
        <v/>
      </c>
      <c r="Z623" s="226">
        <f>IF(Y623&lt;&gt;"ГОТОВО","", "Предварительное заключение: "&amp;A623&amp;", скв. "&amp;B623&amp;". МРП: "&amp;E623&amp;" сут. ГНО: "&amp;F623&amp;", типоразмер "&amp;G623&amp;", марка "&amp;H623&amp;". Событие: "&amp;I623&amp;". Признак: "&amp;J623&amp;". Узел: "&amp;K623&amp;". Предварительная причина: "&amp;L623&amp;". Основное осложнение: "&amp;M623&amp;IF(N623&lt;&gt;"","; сопутствующее: "&amp;N623,"")&amp;IF(O623&lt;&gt;"","; дополнительно: "&amp;O623,"")&amp;".")</f>
        <v/>
      </c>
    </row>
    <row r="624">
      <c r="A624" s="75" t="n"/>
      <c r="B624" s="75" t="n"/>
      <c r="C624" s="261" t="n"/>
      <c r="D624" s="261" t="n"/>
      <c r="E624" s="262">
        <f>IF(OR(C624="",D624=""),"",D624-C624)</f>
        <v/>
      </c>
      <c r="F624" s="75" t="n"/>
      <c r="G624" s="75" t="n"/>
      <c r="H624" s="75" t="n"/>
      <c r="I624" s="75" t="n"/>
      <c r="J624" s="75" t="n"/>
      <c r="K624" s="75" t="n"/>
      <c r="L624" s="75" t="n"/>
      <c r="M624" s="75" t="n"/>
      <c r="N624" s="75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226">
        <f>IF(AND(A624="",B624=""),"",IF(AND(A624&lt;&gt;"",B624&lt;&gt;"",C624&lt;&gt;"",D624&lt;&gt;"",F624&lt;&gt;"",G624&lt;&gt;"",H624&lt;&gt;"",ISERROR(SEARCH("по паспорту",G624)),ISERROR(SEARCH("по паспорту",H624)),I624&lt;&gt;"",J624&lt;&gt;"",K624&lt;&gt;"",L624&lt;&gt;"",M624&lt;&gt;""),"ГОТОВО","НЕ ГОТОВО"))</f>
        <v/>
      </c>
      <c r="Z624" s="226">
        <f>IF(Y624&lt;&gt;"ГОТОВО","", "Предварительное заключение: "&amp;A624&amp;", скв. "&amp;B624&amp;". МРП: "&amp;E624&amp;" сут. ГНО: "&amp;F624&amp;", типоразмер "&amp;G624&amp;", марка "&amp;H624&amp;". Событие: "&amp;I624&amp;". Признак: "&amp;J624&amp;". Узел: "&amp;K624&amp;". Предварительная причина: "&amp;L624&amp;". Основное осложнение: "&amp;M624&amp;IF(N624&lt;&gt;"","; сопутствующее: "&amp;N624,"")&amp;IF(O624&lt;&gt;"","; дополнительно: "&amp;O624,"")&amp;".")</f>
        <v/>
      </c>
    </row>
    <row r="625">
      <c r="A625" s="75" t="n"/>
      <c r="B625" s="75" t="n"/>
      <c r="C625" s="261" t="n"/>
      <c r="D625" s="261" t="n"/>
      <c r="E625" s="262">
        <f>IF(OR(C625="",D625=""),"",D625-C625)</f>
        <v/>
      </c>
      <c r="F625" s="75" t="n"/>
      <c r="G625" s="75" t="n"/>
      <c r="H625" s="75" t="n"/>
      <c r="I625" s="75" t="n"/>
      <c r="J625" s="75" t="n"/>
      <c r="K625" s="75" t="n"/>
      <c r="L625" s="75" t="n"/>
      <c r="M625" s="75" t="n"/>
      <c r="N625" s="75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226">
        <f>IF(AND(A625="",B625=""),"",IF(AND(A625&lt;&gt;"",B625&lt;&gt;"",C625&lt;&gt;"",D625&lt;&gt;"",F625&lt;&gt;"",G625&lt;&gt;"",H625&lt;&gt;"",ISERROR(SEARCH("по паспорту",G625)),ISERROR(SEARCH("по паспорту",H625)),I625&lt;&gt;"",J625&lt;&gt;"",K625&lt;&gt;"",L625&lt;&gt;"",M625&lt;&gt;""),"ГОТОВО","НЕ ГОТОВО"))</f>
        <v/>
      </c>
      <c r="Z625" s="226">
        <f>IF(Y625&lt;&gt;"ГОТОВО","", "Предварительное заключение: "&amp;A625&amp;", скв. "&amp;B625&amp;". МРП: "&amp;E625&amp;" сут. ГНО: "&amp;F625&amp;", типоразмер "&amp;G625&amp;", марка "&amp;H625&amp;". Событие: "&amp;I625&amp;". Признак: "&amp;J625&amp;". Узел: "&amp;K625&amp;". Предварительная причина: "&amp;L625&amp;". Основное осложнение: "&amp;M625&amp;IF(N625&lt;&gt;"","; сопутствующее: "&amp;N625,"")&amp;IF(O625&lt;&gt;"","; дополнительно: "&amp;O625,"")&amp;".")</f>
        <v/>
      </c>
    </row>
    <row r="626">
      <c r="A626" s="75" t="n"/>
      <c r="B626" s="75" t="n"/>
      <c r="C626" s="261" t="n"/>
      <c r="D626" s="261" t="n"/>
      <c r="E626" s="262">
        <f>IF(OR(C626="",D626=""),"",D626-C626)</f>
        <v/>
      </c>
      <c r="F626" s="75" t="n"/>
      <c r="G626" s="75" t="n"/>
      <c r="H626" s="75" t="n"/>
      <c r="I626" s="75" t="n"/>
      <c r="J626" s="75" t="n"/>
      <c r="K626" s="75" t="n"/>
      <c r="L626" s="75" t="n"/>
      <c r="M626" s="75" t="n"/>
      <c r="N626" s="75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226">
        <f>IF(AND(A626="",B626=""),"",IF(AND(A626&lt;&gt;"",B626&lt;&gt;"",C626&lt;&gt;"",D626&lt;&gt;"",F626&lt;&gt;"",G626&lt;&gt;"",H626&lt;&gt;"",ISERROR(SEARCH("по паспорту",G626)),ISERROR(SEARCH("по паспорту",H626)),I626&lt;&gt;"",J626&lt;&gt;"",K626&lt;&gt;"",L626&lt;&gt;"",M626&lt;&gt;""),"ГОТОВО","НЕ ГОТОВО"))</f>
        <v/>
      </c>
      <c r="Z626" s="226">
        <f>IF(Y626&lt;&gt;"ГОТОВО","", "Предварительное заключение: "&amp;A626&amp;", скв. "&amp;B626&amp;". МРП: "&amp;E626&amp;" сут. ГНО: "&amp;F626&amp;", типоразмер "&amp;G626&amp;", марка "&amp;H626&amp;". Событие: "&amp;I626&amp;". Признак: "&amp;J626&amp;". Узел: "&amp;K626&amp;". Предварительная причина: "&amp;L626&amp;". Основное осложнение: "&amp;M626&amp;IF(N626&lt;&gt;"","; сопутствующее: "&amp;N626,"")&amp;IF(O626&lt;&gt;"","; дополнительно: "&amp;O626,"")&amp;".")</f>
        <v/>
      </c>
    </row>
    <row r="627">
      <c r="A627" s="75" t="n"/>
      <c r="B627" s="75" t="n"/>
      <c r="C627" s="261" t="n"/>
      <c r="D627" s="261" t="n"/>
      <c r="E627" s="262">
        <f>IF(OR(C627="",D627=""),"",D627-C627)</f>
        <v/>
      </c>
      <c r="F627" s="75" t="n"/>
      <c r="G627" s="75" t="n"/>
      <c r="H627" s="75" t="n"/>
      <c r="I627" s="75" t="n"/>
      <c r="J627" s="75" t="n"/>
      <c r="K627" s="75" t="n"/>
      <c r="L627" s="75" t="n"/>
      <c r="M627" s="75" t="n"/>
      <c r="N627" s="75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226">
        <f>IF(AND(A627="",B627=""),"",IF(AND(A627&lt;&gt;"",B627&lt;&gt;"",C627&lt;&gt;"",D627&lt;&gt;"",F627&lt;&gt;"",G627&lt;&gt;"",H627&lt;&gt;"",ISERROR(SEARCH("по паспорту",G627)),ISERROR(SEARCH("по паспорту",H627)),I627&lt;&gt;"",J627&lt;&gt;"",K627&lt;&gt;"",L627&lt;&gt;"",M627&lt;&gt;""),"ГОТОВО","НЕ ГОТОВО"))</f>
        <v/>
      </c>
      <c r="Z627" s="226">
        <f>IF(Y627&lt;&gt;"ГОТОВО","", "Предварительное заключение: "&amp;A627&amp;", скв. "&amp;B627&amp;". МРП: "&amp;E627&amp;" сут. ГНО: "&amp;F627&amp;", типоразмер "&amp;G627&amp;", марка "&amp;H627&amp;". Событие: "&amp;I627&amp;". Признак: "&amp;J627&amp;". Узел: "&amp;K627&amp;". Предварительная причина: "&amp;L627&amp;". Основное осложнение: "&amp;M627&amp;IF(N627&lt;&gt;"","; сопутствующее: "&amp;N627,"")&amp;IF(O627&lt;&gt;"","; дополнительно: "&amp;O627,"")&amp;".")</f>
        <v/>
      </c>
    </row>
    <row r="628">
      <c r="A628" s="75" t="n"/>
      <c r="B628" s="75" t="n"/>
      <c r="C628" s="261" t="n"/>
      <c r="D628" s="261" t="n"/>
      <c r="E628" s="262">
        <f>IF(OR(C628="",D628=""),"",D628-C628)</f>
        <v/>
      </c>
      <c r="F628" s="75" t="n"/>
      <c r="G628" s="75" t="n"/>
      <c r="H628" s="75" t="n"/>
      <c r="I628" s="75" t="n"/>
      <c r="J628" s="75" t="n"/>
      <c r="K628" s="75" t="n"/>
      <c r="L628" s="75" t="n"/>
      <c r="M628" s="75" t="n"/>
      <c r="N628" s="75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226">
        <f>IF(AND(A628="",B628=""),"",IF(AND(A628&lt;&gt;"",B628&lt;&gt;"",C628&lt;&gt;"",D628&lt;&gt;"",F628&lt;&gt;"",G628&lt;&gt;"",H628&lt;&gt;"",ISERROR(SEARCH("по паспорту",G628)),ISERROR(SEARCH("по паспорту",H628)),I628&lt;&gt;"",J628&lt;&gt;"",K628&lt;&gt;"",L628&lt;&gt;"",M628&lt;&gt;""),"ГОТОВО","НЕ ГОТОВО"))</f>
        <v/>
      </c>
      <c r="Z628" s="226">
        <f>IF(Y628&lt;&gt;"ГОТОВО","", "Предварительное заключение: "&amp;A628&amp;", скв. "&amp;B628&amp;". МРП: "&amp;E628&amp;" сут. ГНО: "&amp;F628&amp;", типоразмер "&amp;G628&amp;", марка "&amp;H628&amp;". Событие: "&amp;I628&amp;". Признак: "&amp;J628&amp;". Узел: "&amp;K628&amp;". Предварительная причина: "&amp;L628&amp;". Основное осложнение: "&amp;M628&amp;IF(N628&lt;&gt;"","; сопутствующее: "&amp;N628,"")&amp;IF(O628&lt;&gt;"","; дополнительно: "&amp;O628,"")&amp;".")</f>
        <v/>
      </c>
    </row>
    <row r="629">
      <c r="A629" s="75" t="n"/>
      <c r="B629" s="75" t="n"/>
      <c r="C629" s="261" t="n"/>
      <c r="D629" s="261" t="n"/>
      <c r="E629" s="262">
        <f>IF(OR(C629="",D629=""),"",D629-C629)</f>
        <v/>
      </c>
      <c r="F629" s="75" t="n"/>
      <c r="G629" s="75" t="n"/>
      <c r="H629" s="75" t="n"/>
      <c r="I629" s="75" t="n"/>
      <c r="J629" s="75" t="n"/>
      <c r="K629" s="75" t="n"/>
      <c r="L629" s="75" t="n"/>
      <c r="M629" s="75" t="n"/>
      <c r="N629" s="75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226">
        <f>IF(AND(A629="",B629=""),"",IF(AND(A629&lt;&gt;"",B629&lt;&gt;"",C629&lt;&gt;"",D629&lt;&gt;"",F629&lt;&gt;"",G629&lt;&gt;"",H629&lt;&gt;"",ISERROR(SEARCH("по паспорту",G629)),ISERROR(SEARCH("по паспорту",H629)),I629&lt;&gt;"",J629&lt;&gt;"",K629&lt;&gt;"",L629&lt;&gt;"",M629&lt;&gt;""),"ГОТОВО","НЕ ГОТОВО"))</f>
        <v/>
      </c>
      <c r="Z629" s="226">
        <f>IF(Y629&lt;&gt;"ГОТОВО","", "Предварительное заключение: "&amp;A629&amp;", скв. "&amp;B629&amp;". МРП: "&amp;E629&amp;" сут. ГНО: "&amp;F629&amp;", типоразмер "&amp;G629&amp;", марка "&amp;H629&amp;". Событие: "&amp;I629&amp;". Признак: "&amp;J629&amp;". Узел: "&amp;K629&amp;". Предварительная причина: "&amp;L629&amp;". Основное осложнение: "&amp;M629&amp;IF(N629&lt;&gt;"","; сопутствующее: "&amp;N629,"")&amp;IF(O629&lt;&gt;"","; дополнительно: "&amp;O629,"")&amp;".")</f>
        <v/>
      </c>
    </row>
    <row r="630">
      <c r="A630" s="75" t="n"/>
      <c r="B630" s="75" t="n"/>
      <c r="C630" s="261" t="n"/>
      <c r="D630" s="261" t="n"/>
      <c r="E630" s="262">
        <f>IF(OR(C630="",D630=""),"",D630-C630)</f>
        <v/>
      </c>
      <c r="F630" s="75" t="n"/>
      <c r="G630" s="75" t="n"/>
      <c r="H630" s="75" t="n"/>
      <c r="I630" s="75" t="n"/>
      <c r="J630" s="75" t="n"/>
      <c r="K630" s="75" t="n"/>
      <c r="L630" s="75" t="n"/>
      <c r="M630" s="75" t="n"/>
      <c r="N630" s="75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226">
        <f>IF(AND(A630="",B630=""),"",IF(AND(A630&lt;&gt;"",B630&lt;&gt;"",C630&lt;&gt;"",D630&lt;&gt;"",F630&lt;&gt;"",G630&lt;&gt;"",H630&lt;&gt;"",ISERROR(SEARCH("по паспорту",G630)),ISERROR(SEARCH("по паспорту",H630)),I630&lt;&gt;"",J630&lt;&gt;"",K630&lt;&gt;"",L630&lt;&gt;"",M630&lt;&gt;""),"ГОТОВО","НЕ ГОТОВО"))</f>
        <v/>
      </c>
      <c r="Z630" s="226">
        <f>IF(Y630&lt;&gt;"ГОТОВО","", "Предварительное заключение: "&amp;A630&amp;", скв. "&amp;B630&amp;". МРП: "&amp;E630&amp;" сут. ГНО: "&amp;F630&amp;", типоразмер "&amp;G630&amp;", марка "&amp;H630&amp;". Событие: "&amp;I630&amp;". Признак: "&amp;J630&amp;". Узел: "&amp;K630&amp;". Предварительная причина: "&amp;L630&amp;". Основное осложнение: "&amp;M630&amp;IF(N630&lt;&gt;"","; сопутствующее: "&amp;N630,"")&amp;IF(O630&lt;&gt;"","; дополнительно: "&amp;O630,"")&amp;".")</f>
        <v/>
      </c>
    </row>
    <row r="631">
      <c r="A631" s="75" t="n"/>
      <c r="B631" s="75" t="n"/>
      <c r="C631" s="261" t="n"/>
      <c r="D631" s="261" t="n"/>
      <c r="E631" s="262">
        <f>IF(OR(C631="",D631=""),"",D631-C631)</f>
        <v/>
      </c>
      <c r="F631" s="75" t="n"/>
      <c r="G631" s="75" t="n"/>
      <c r="H631" s="75" t="n"/>
      <c r="I631" s="75" t="n"/>
      <c r="J631" s="75" t="n"/>
      <c r="K631" s="75" t="n"/>
      <c r="L631" s="75" t="n"/>
      <c r="M631" s="75" t="n"/>
      <c r="N631" s="75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226">
        <f>IF(AND(A631="",B631=""),"",IF(AND(A631&lt;&gt;"",B631&lt;&gt;"",C631&lt;&gt;"",D631&lt;&gt;"",F631&lt;&gt;"",G631&lt;&gt;"",H631&lt;&gt;"",ISERROR(SEARCH("по паспорту",G631)),ISERROR(SEARCH("по паспорту",H631)),I631&lt;&gt;"",J631&lt;&gt;"",K631&lt;&gt;"",L631&lt;&gt;"",M631&lt;&gt;""),"ГОТОВО","НЕ ГОТОВО"))</f>
        <v/>
      </c>
      <c r="Z631" s="226">
        <f>IF(Y631&lt;&gt;"ГОТОВО","", "Предварительное заключение: "&amp;A631&amp;", скв. "&amp;B631&amp;". МРП: "&amp;E631&amp;" сут. ГНО: "&amp;F631&amp;", типоразмер "&amp;G631&amp;", марка "&amp;H631&amp;". Событие: "&amp;I631&amp;". Признак: "&amp;J631&amp;". Узел: "&amp;K631&amp;". Предварительная причина: "&amp;L631&amp;". Основное осложнение: "&amp;M631&amp;IF(N631&lt;&gt;"","; сопутствующее: "&amp;N631,"")&amp;IF(O631&lt;&gt;"","; дополнительно: "&amp;O631,"")&amp;".")</f>
        <v/>
      </c>
    </row>
    <row r="632">
      <c r="A632" s="75" t="n"/>
      <c r="B632" s="75" t="n"/>
      <c r="C632" s="261" t="n"/>
      <c r="D632" s="261" t="n"/>
      <c r="E632" s="262">
        <f>IF(OR(C632="",D632=""),"",D632-C632)</f>
        <v/>
      </c>
      <c r="F632" s="75" t="n"/>
      <c r="G632" s="75" t="n"/>
      <c r="H632" s="75" t="n"/>
      <c r="I632" s="75" t="n"/>
      <c r="J632" s="75" t="n"/>
      <c r="K632" s="75" t="n"/>
      <c r="L632" s="75" t="n"/>
      <c r="M632" s="75" t="n"/>
      <c r="N632" s="75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226">
        <f>IF(AND(A632="",B632=""),"",IF(AND(A632&lt;&gt;"",B632&lt;&gt;"",C632&lt;&gt;"",D632&lt;&gt;"",F632&lt;&gt;"",G632&lt;&gt;"",H632&lt;&gt;"",ISERROR(SEARCH("по паспорту",G632)),ISERROR(SEARCH("по паспорту",H632)),I632&lt;&gt;"",J632&lt;&gt;"",K632&lt;&gt;"",L632&lt;&gt;"",M632&lt;&gt;""),"ГОТОВО","НЕ ГОТОВО"))</f>
        <v/>
      </c>
      <c r="Z632" s="226">
        <f>IF(Y632&lt;&gt;"ГОТОВО","", "Предварительное заключение: "&amp;A632&amp;", скв. "&amp;B632&amp;". МРП: "&amp;E632&amp;" сут. ГНО: "&amp;F632&amp;", типоразмер "&amp;G632&amp;", марка "&amp;H632&amp;". Событие: "&amp;I632&amp;". Признак: "&amp;J632&amp;". Узел: "&amp;K632&amp;". Предварительная причина: "&amp;L632&amp;". Основное осложнение: "&amp;M632&amp;IF(N632&lt;&gt;"","; сопутствующее: "&amp;N632,"")&amp;IF(O632&lt;&gt;"","; дополнительно: "&amp;O632,"")&amp;".")</f>
        <v/>
      </c>
    </row>
    <row r="633">
      <c r="A633" s="75" t="n"/>
      <c r="B633" s="75" t="n"/>
      <c r="C633" s="261" t="n"/>
      <c r="D633" s="261" t="n"/>
      <c r="E633" s="262">
        <f>IF(OR(C633="",D633=""),"",D633-C633)</f>
        <v/>
      </c>
      <c r="F633" s="75" t="n"/>
      <c r="G633" s="75" t="n"/>
      <c r="H633" s="75" t="n"/>
      <c r="I633" s="75" t="n"/>
      <c r="J633" s="75" t="n"/>
      <c r="K633" s="75" t="n"/>
      <c r="L633" s="75" t="n"/>
      <c r="M633" s="75" t="n"/>
      <c r="N633" s="75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226">
        <f>IF(AND(A633="",B633=""),"",IF(AND(A633&lt;&gt;"",B633&lt;&gt;"",C633&lt;&gt;"",D633&lt;&gt;"",F633&lt;&gt;"",G633&lt;&gt;"",H633&lt;&gt;"",ISERROR(SEARCH("по паспорту",G633)),ISERROR(SEARCH("по паспорту",H633)),I633&lt;&gt;"",J633&lt;&gt;"",K633&lt;&gt;"",L633&lt;&gt;"",M633&lt;&gt;""),"ГОТОВО","НЕ ГОТОВО"))</f>
        <v/>
      </c>
      <c r="Z633" s="226">
        <f>IF(Y633&lt;&gt;"ГОТОВО","", "Предварительное заключение: "&amp;A633&amp;", скв. "&amp;B633&amp;". МРП: "&amp;E633&amp;" сут. ГНО: "&amp;F633&amp;", типоразмер "&amp;G633&amp;", марка "&amp;H633&amp;". Событие: "&amp;I633&amp;". Признак: "&amp;J633&amp;". Узел: "&amp;K633&amp;". Предварительная причина: "&amp;L633&amp;". Основное осложнение: "&amp;M633&amp;IF(N633&lt;&gt;"","; сопутствующее: "&amp;N633,"")&amp;IF(O633&lt;&gt;"","; дополнительно: "&amp;O633,"")&amp;".")</f>
        <v/>
      </c>
    </row>
    <row r="634">
      <c r="A634" s="75" t="n"/>
      <c r="B634" s="75" t="n"/>
      <c r="C634" s="261" t="n"/>
      <c r="D634" s="261" t="n"/>
      <c r="E634" s="262">
        <f>IF(OR(C634="",D634=""),"",D634-C634)</f>
        <v/>
      </c>
      <c r="F634" s="75" t="n"/>
      <c r="G634" s="75" t="n"/>
      <c r="H634" s="75" t="n"/>
      <c r="I634" s="75" t="n"/>
      <c r="J634" s="75" t="n"/>
      <c r="K634" s="75" t="n"/>
      <c r="L634" s="75" t="n"/>
      <c r="M634" s="75" t="n"/>
      <c r="N634" s="75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226">
        <f>IF(AND(A634="",B634=""),"",IF(AND(A634&lt;&gt;"",B634&lt;&gt;"",C634&lt;&gt;"",D634&lt;&gt;"",F634&lt;&gt;"",G634&lt;&gt;"",H634&lt;&gt;"",ISERROR(SEARCH("по паспорту",G634)),ISERROR(SEARCH("по паспорту",H634)),I634&lt;&gt;"",J634&lt;&gt;"",K634&lt;&gt;"",L634&lt;&gt;"",M634&lt;&gt;""),"ГОТОВО","НЕ ГОТОВО"))</f>
        <v/>
      </c>
      <c r="Z634" s="226">
        <f>IF(Y634&lt;&gt;"ГОТОВО","", "Предварительное заключение: "&amp;A634&amp;", скв. "&amp;B634&amp;". МРП: "&amp;E634&amp;" сут. ГНО: "&amp;F634&amp;", типоразмер "&amp;G634&amp;", марка "&amp;H634&amp;". Событие: "&amp;I634&amp;". Признак: "&amp;J634&amp;". Узел: "&amp;K634&amp;". Предварительная причина: "&amp;L634&amp;". Основное осложнение: "&amp;M634&amp;IF(N634&lt;&gt;"","; сопутствующее: "&amp;N634,"")&amp;IF(O634&lt;&gt;"","; дополнительно: "&amp;O634,"")&amp;".")</f>
        <v/>
      </c>
    </row>
    <row r="635">
      <c r="A635" s="75" t="n"/>
      <c r="B635" s="75" t="n"/>
      <c r="C635" s="261" t="n"/>
      <c r="D635" s="261" t="n"/>
      <c r="E635" s="262">
        <f>IF(OR(C635="",D635=""),"",D635-C635)</f>
        <v/>
      </c>
      <c r="F635" s="75" t="n"/>
      <c r="G635" s="75" t="n"/>
      <c r="H635" s="75" t="n"/>
      <c r="I635" s="75" t="n"/>
      <c r="J635" s="75" t="n"/>
      <c r="K635" s="75" t="n"/>
      <c r="L635" s="75" t="n"/>
      <c r="M635" s="75" t="n"/>
      <c r="N635" s="75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226">
        <f>IF(AND(A635="",B635=""),"",IF(AND(A635&lt;&gt;"",B635&lt;&gt;"",C635&lt;&gt;"",D635&lt;&gt;"",F635&lt;&gt;"",G635&lt;&gt;"",H635&lt;&gt;"",ISERROR(SEARCH("по паспорту",G635)),ISERROR(SEARCH("по паспорту",H635)),I635&lt;&gt;"",J635&lt;&gt;"",K635&lt;&gt;"",L635&lt;&gt;"",M635&lt;&gt;""),"ГОТОВО","НЕ ГОТОВО"))</f>
        <v/>
      </c>
      <c r="Z635" s="226">
        <f>IF(Y635&lt;&gt;"ГОТОВО","", "Предварительное заключение: "&amp;A635&amp;", скв. "&amp;B635&amp;". МРП: "&amp;E635&amp;" сут. ГНО: "&amp;F635&amp;", типоразмер "&amp;G635&amp;", марка "&amp;H635&amp;". Событие: "&amp;I635&amp;". Признак: "&amp;J635&amp;". Узел: "&amp;K635&amp;". Предварительная причина: "&amp;L635&amp;". Основное осложнение: "&amp;M635&amp;IF(N635&lt;&gt;"","; сопутствующее: "&amp;N635,"")&amp;IF(O635&lt;&gt;"","; дополнительно: "&amp;O635,"")&amp;".")</f>
        <v/>
      </c>
    </row>
    <row r="636">
      <c r="A636" s="75" t="n"/>
      <c r="B636" s="75" t="n"/>
      <c r="C636" s="261" t="n"/>
      <c r="D636" s="261" t="n"/>
      <c r="E636" s="262">
        <f>IF(OR(C636="",D636=""),"",D636-C636)</f>
        <v/>
      </c>
      <c r="F636" s="75" t="n"/>
      <c r="G636" s="75" t="n"/>
      <c r="H636" s="75" t="n"/>
      <c r="I636" s="75" t="n"/>
      <c r="J636" s="75" t="n"/>
      <c r="K636" s="75" t="n"/>
      <c r="L636" s="75" t="n"/>
      <c r="M636" s="75" t="n"/>
      <c r="N636" s="75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226">
        <f>IF(AND(A636="",B636=""),"",IF(AND(A636&lt;&gt;"",B636&lt;&gt;"",C636&lt;&gt;"",D636&lt;&gt;"",F636&lt;&gt;"",G636&lt;&gt;"",H636&lt;&gt;"",ISERROR(SEARCH("по паспорту",G636)),ISERROR(SEARCH("по паспорту",H636)),I636&lt;&gt;"",J636&lt;&gt;"",K636&lt;&gt;"",L636&lt;&gt;"",M636&lt;&gt;""),"ГОТОВО","НЕ ГОТОВО"))</f>
        <v/>
      </c>
      <c r="Z636" s="226">
        <f>IF(Y636&lt;&gt;"ГОТОВО","", "Предварительное заключение: "&amp;A636&amp;", скв. "&amp;B636&amp;". МРП: "&amp;E636&amp;" сут. ГНО: "&amp;F636&amp;", типоразмер "&amp;G636&amp;", марка "&amp;H636&amp;". Событие: "&amp;I636&amp;". Признак: "&amp;J636&amp;". Узел: "&amp;K636&amp;". Предварительная причина: "&amp;L636&amp;". Основное осложнение: "&amp;M636&amp;IF(N636&lt;&gt;"","; сопутствующее: "&amp;N636,"")&amp;IF(O636&lt;&gt;"","; дополнительно: "&amp;O636,"")&amp;".")</f>
        <v/>
      </c>
    </row>
    <row r="637">
      <c r="A637" s="75" t="n"/>
      <c r="B637" s="75" t="n"/>
      <c r="C637" s="261" t="n"/>
      <c r="D637" s="261" t="n"/>
      <c r="E637" s="262">
        <f>IF(OR(C637="",D637=""),"",D637-C637)</f>
        <v/>
      </c>
      <c r="F637" s="75" t="n"/>
      <c r="G637" s="75" t="n"/>
      <c r="H637" s="75" t="n"/>
      <c r="I637" s="75" t="n"/>
      <c r="J637" s="75" t="n"/>
      <c r="K637" s="75" t="n"/>
      <c r="L637" s="75" t="n"/>
      <c r="M637" s="75" t="n"/>
      <c r="N637" s="75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226">
        <f>IF(AND(A637="",B637=""),"",IF(AND(A637&lt;&gt;"",B637&lt;&gt;"",C637&lt;&gt;"",D637&lt;&gt;"",F637&lt;&gt;"",G637&lt;&gt;"",H637&lt;&gt;"",ISERROR(SEARCH("по паспорту",G637)),ISERROR(SEARCH("по паспорту",H637)),I637&lt;&gt;"",J637&lt;&gt;"",K637&lt;&gt;"",L637&lt;&gt;"",M637&lt;&gt;""),"ГОТОВО","НЕ ГОТОВО"))</f>
        <v/>
      </c>
      <c r="Z637" s="226">
        <f>IF(Y637&lt;&gt;"ГОТОВО","", "Предварительное заключение: "&amp;A637&amp;", скв. "&amp;B637&amp;". МРП: "&amp;E637&amp;" сут. ГНО: "&amp;F637&amp;", типоразмер "&amp;G637&amp;", марка "&amp;H637&amp;". Событие: "&amp;I637&amp;". Признак: "&amp;J637&amp;". Узел: "&amp;K637&amp;". Предварительная причина: "&amp;L637&amp;". Основное осложнение: "&amp;M637&amp;IF(N637&lt;&gt;"","; сопутствующее: "&amp;N637,"")&amp;IF(O637&lt;&gt;"","; дополнительно: "&amp;O637,"")&amp;".")</f>
        <v/>
      </c>
    </row>
    <row r="638">
      <c r="A638" s="75" t="n"/>
      <c r="B638" s="75" t="n"/>
      <c r="C638" s="261" t="n"/>
      <c r="D638" s="261" t="n"/>
      <c r="E638" s="262">
        <f>IF(OR(C638="",D638=""),"",D638-C638)</f>
        <v/>
      </c>
      <c r="F638" s="75" t="n"/>
      <c r="G638" s="75" t="n"/>
      <c r="H638" s="75" t="n"/>
      <c r="I638" s="75" t="n"/>
      <c r="J638" s="75" t="n"/>
      <c r="K638" s="75" t="n"/>
      <c r="L638" s="75" t="n"/>
      <c r="M638" s="75" t="n"/>
      <c r="N638" s="75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226">
        <f>IF(AND(A638="",B638=""),"",IF(AND(A638&lt;&gt;"",B638&lt;&gt;"",C638&lt;&gt;"",D638&lt;&gt;"",F638&lt;&gt;"",G638&lt;&gt;"",H638&lt;&gt;"",ISERROR(SEARCH("по паспорту",G638)),ISERROR(SEARCH("по паспорту",H638)),I638&lt;&gt;"",J638&lt;&gt;"",K638&lt;&gt;"",L638&lt;&gt;"",M638&lt;&gt;""),"ГОТОВО","НЕ ГОТОВО"))</f>
        <v/>
      </c>
      <c r="Z638" s="226">
        <f>IF(Y638&lt;&gt;"ГОТОВО","", "Предварительное заключение: "&amp;A638&amp;", скв. "&amp;B638&amp;". МРП: "&amp;E638&amp;" сут. ГНО: "&amp;F638&amp;", типоразмер "&amp;G638&amp;", марка "&amp;H638&amp;". Событие: "&amp;I638&amp;". Признак: "&amp;J638&amp;". Узел: "&amp;K638&amp;". Предварительная причина: "&amp;L638&amp;". Основное осложнение: "&amp;M638&amp;IF(N638&lt;&gt;"","; сопутствующее: "&amp;N638,"")&amp;IF(O638&lt;&gt;"","; дополнительно: "&amp;O638,"")&amp;".")</f>
        <v/>
      </c>
    </row>
    <row r="639">
      <c r="A639" s="75" t="n"/>
      <c r="B639" s="75" t="n"/>
      <c r="C639" s="261" t="n"/>
      <c r="D639" s="261" t="n"/>
      <c r="E639" s="262">
        <f>IF(OR(C639="",D639=""),"",D639-C639)</f>
        <v/>
      </c>
      <c r="F639" s="75" t="n"/>
      <c r="G639" s="75" t="n"/>
      <c r="H639" s="75" t="n"/>
      <c r="I639" s="75" t="n"/>
      <c r="J639" s="75" t="n"/>
      <c r="K639" s="75" t="n"/>
      <c r="L639" s="75" t="n"/>
      <c r="M639" s="75" t="n"/>
      <c r="N639" s="75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226">
        <f>IF(AND(A639="",B639=""),"",IF(AND(A639&lt;&gt;"",B639&lt;&gt;"",C639&lt;&gt;"",D639&lt;&gt;"",F639&lt;&gt;"",G639&lt;&gt;"",H639&lt;&gt;"",ISERROR(SEARCH("по паспорту",G639)),ISERROR(SEARCH("по паспорту",H639)),I639&lt;&gt;"",J639&lt;&gt;"",K639&lt;&gt;"",L639&lt;&gt;"",M639&lt;&gt;""),"ГОТОВО","НЕ ГОТОВО"))</f>
        <v/>
      </c>
      <c r="Z639" s="226">
        <f>IF(Y639&lt;&gt;"ГОТОВО","", "Предварительное заключение: "&amp;A639&amp;", скв. "&amp;B639&amp;". МРП: "&amp;E639&amp;" сут. ГНО: "&amp;F639&amp;", типоразмер "&amp;G639&amp;", марка "&amp;H639&amp;". Событие: "&amp;I639&amp;". Признак: "&amp;J639&amp;". Узел: "&amp;K639&amp;". Предварительная причина: "&amp;L639&amp;". Основное осложнение: "&amp;M639&amp;IF(N639&lt;&gt;"","; сопутствующее: "&amp;N639,"")&amp;IF(O639&lt;&gt;"","; дополнительно: "&amp;O639,"")&amp;".")</f>
        <v/>
      </c>
    </row>
    <row r="640">
      <c r="A640" s="75" t="n"/>
      <c r="B640" s="75" t="n"/>
      <c r="C640" s="261" t="n"/>
      <c r="D640" s="261" t="n"/>
      <c r="E640" s="262">
        <f>IF(OR(C640="",D640=""),"",D640-C640)</f>
        <v/>
      </c>
      <c r="F640" s="75" t="n"/>
      <c r="G640" s="75" t="n"/>
      <c r="H640" s="75" t="n"/>
      <c r="I640" s="75" t="n"/>
      <c r="J640" s="75" t="n"/>
      <c r="K640" s="75" t="n"/>
      <c r="L640" s="75" t="n"/>
      <c r="M640" s="75" t="n"/>
      <c r="N640" s="75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226">
        <f>IF(AND(A640="",B640=""),"",IF(AND(A640&lt;&gt;"",B640&lt;&gt;"",C640&lt;&gt;"",D640&lt;&gt;"",F640&lt;&gt;"",G640&lt;&gt;"",H640&lt;&gt;"",ISERROR(SEARCH("по паспорту",G640)),ISERROR(SEARCH("по паспорту",H640)),I640&lt;&gt;"",J640&lt;&gt;"",K640&lt;&gt;"",L640&lt;&gt;"",M640&lt;&gt;""),"ГОТОВО","НЕ ГОТОВО"))</f>
        <v/>
      </c>
      <c r="Z640" s="226">
        <f>IF(Y640&lt;&gt;"ГОТОВО","", "Предварительное заключение: "&amp;A640&amp;", скв. "&amp;B640&amp;". МРП: "&amp;E640&amp;" сут. ГНО: "&amp;F640&amp;", типоразмер "&amp;G640&amp;", марка "&amp;H640&amp;". Событие: "&amp;I640&amp;". Признак: "&amp;J640&amp;". Узел: "&amp;K640&amp;". Предварительная причина: "&amp;L640&amp;". Основное осложнение: "&amp;M640&amp;IF(N640&lt;&gt;"","; сопутствующее: "&amp;N640,"")&amp;IF(O640&lt;&gt;"","; дополнительно: "&amp;O640,"")&amp;".")</f>
        <v/>
      </c>
    </row>
    <row r="641">
      <c r="A641" s="75" t="n"/>
      <c r="B641" s="75" t="n"/>
      <c r="C641" s="261" t="n"/>
      <c r="D641" s="261" t="n"/>
      <c r="E641" s="262">
        <f>IF(OR(C641="",D641=""),"",D641-C641)</f>
        <v/>
      </c>
      <c r="F641" s="75" t="n"/>
      <c r="G641" s="75" t="n"/>
      <c r="H641" s="75" t="n"/>
      <c r="I641" s="75" t="n"/>
      <c r="J641" s="75" t="n"/>
      <c r="K641" s="75" t="n"/>
      <c r="L641" s="75" t="n"/>
      <c r="M641" s="75" t="n"/>
      <c r="N641" s="75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226">
        <f>IF(AND(A641="",B641=""),"",IF(AND(A641&lt;&gt;"",B641&lt;&gt;"",C641&lt;&gt;"",D641&lt;&gt;"",F641&lt;&gt;"",G641&lt;&gt;"",H641&lt;&gt;"",ISERROR(SEARCH("по паспорту",G641)),ISERROR(SEARCH("по паспорту",H641)),I641&lt;&gt;"",J641&lt;&gt;"",K641&lt;&gt;"",L641&lt;&gt;"",M641&lt;&gt;""),"ГОТОВО","НЕ ГОТОВО"))</f>
        <v/>
      </c>
      <c r="Z641" s="226">
        <f>IF(Y641&lt;&gt;"ГОТОВО","", "Предварительное заключение: "&amp;A641&amp;", скв. "&amp;B641&amp;". МРП: "&amp;E641&amp;" сут. ГНО: "&amp;F641&amp;", типоразмер "&amp;G641&amp;", марка "&amp;H641&amp;". Событие: "&amp;I641&amp;". Признак: "&amp;J641&amp;". Узел: "&amp;K641&amp;". Предварительная причина: "&amp;L641&amp;". Основное осложнение: "&amp;M641&amp;IF(N641&lt;&gt;"","; сопутствующее: "&amp;N641,"")&amp;IF(O641&lt;&gt;"","; дополнительно: "&amp;O641,"")&amp;".")</f>
        <v/>
      </c>
    </row>
    <row r="642">
      <c r="A642" s="75" t="n"/>
      <c r="B642" s="75" t="n"/>
      <c r="C642" s="261" t="n"/>
      <c r="D642" s="261" t="n"/>
      <c r="E642" s="262">
        <f>IF(OR(C642="",D642=""),"",D642-C642)</f>
        <v/>
      </c>
      <c r="F642" s="75" t="n"/>
      <c r="G642" s="75" t="n"/>
      <c r="H642" s="75" t="n"/>
      <c r="I642" s="75" t="n"/>
      <c r="J642" s="75" t="n"/>
      <c r="K642" s="75" t="n"/>
      <c r="L642" s="75" t="n"/>
      <c r="M642" s="75" t="n"/>
      <c r="N642" s="75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226">
        <f>IF(AND(A642="",B642=""),"",IF(AND(A642&lt;&gt;"",B642&lt;&gt;"",C642&lt;&gt;"",D642&lt;&gt;"",F642&lt;&gt;"",G642&lt;&gt;"",H642&lt;&gt;"",ISERROR(SEARCH("по паспорту",G642)),ISERROR(SEARCH("по паспорту",H642)),I642&lt;&gt;"",J642&lt;&gt;"",K642&lt;&gt;"",L642&lt;&gt;"",M642&lt;&gt;""),"ГОТОВО","НЕ ГОТОВО"))</f>
        <v/>
      </c>
      <c r="Z642" s="226">
        <f>IF(Y642&lt;&gt;"ГОТОВО","", "Предварительное заключение: "&amp;A642&amp;", скв. "&amp;B642&amp;". МРП: "&amp;E642&amp;" сут. ГНО: "&amp;F642&amp;", типоразмер "&amp;G642&amp;", марка "&amp;H642&amp;". Событие: "&amp;I642&amp;". Признак: "&amp;J642&amp;". Узел: "&amp;K642&amp;". Предварительная причина: "&amp;L642&amp;". Основное осложнение: "&amp;M642&amp;IF(N642&lt;&gt;"","; сопутствующее: "&amp;N642,"")&amp;IF(O642&lt;&gt;"","; дополнительно: "&amp;O642,"")&amp;".")</f>
        <v/>
      </c>
    </row>
    <row r="643">
      <c r="A643" s="75" t="n"/>
      <c r="B643" s="75" t="n"/>
      <c r="C643" s="261" t="n"/>
      <c r="D643" s="261" t="n"/>
      <c r="E643" s="262">
        <f>IF(OR(C643="",D643=""),"",D643-C643)</f>
        <v/>
      </c>
      <c r="F643" s="75" t="n"/>
      <c r="G643" s="75" t="n"/>
      <c r="H643" s="75" t="n"/>
      <c r="I643" s="75" t="n"/>
      <c r="J643" s="75" t="n"/>
      <c r="K643" s="75" t="n"/>
      <c r="L643" s="75" t="n"/>
      <c r="M643" s="75" t="n"/>
      <c r="N643" s="75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226">
        <f>IF(AND(A643="",B643=""),"",IF(AND(A643&lt;&gt;"",B643&lt;&gt;"",C643&lt;&gt;"",D643&lt;&gt;"",F643&lt;&gt;"",G643&lt;&gt;"",H643&lt;&gt;"",ISERROR(SEARCH("по паспорту",G643)),ISERROR(SEARCH("по паспорту",H643)),I643&lt;&gt;"",J643&lt;&gt;"",K643&lt;&gt;"",L643&lt;&gt;"",M643&lt;&gt;""),"ГОТОВО","НЕ ГОТОВО"))</f>
        <v/>
      </c>
      <c r="Z643" s="226">
        <f>IF(Y643&lt;&gt;"ГОТОВО","", "Предварительное заключение: "&amp;A643&amp;", скв. "&amp;B643&amp;". МРП: "&amp;E643&amp;" сут. ГНО: "&amp;F643&amp;", типоразмер "&amp;G643&amp;", марка "&amp;H643&amp;". Событие: "&amp;I643&amp;". Признак: "&amp;J643&amp;". Узел: "&amp;K643&amp;". Предварительная причина: "&amp;L643&amp;". Основное осложнение: "&amp;M643&amp;IF(N643&lt;&gt;"","; сопутствующее: "&amp;N643,"")&amp;IF(O643&lt;&gt;"","; дополнительно: "&amp;O643,"")&amp;".")</f>
        <v/>
      </c>
    </row>
    <row r="644">
      <c r="A644" s="75" t="n"/>
      <c r="B644" s="75" t="n"/>
      <c r="C644" s="261" t="n"/>
      <c r="D644" s="261" t="n"/>
      <c r="E644" s="262">
        <f>IF(OR(C644="",D644=""),"",D644-C644)</f>
        <v/>
      </c>
      <c r="F644" s="75" t="n"/>
      <c r="G644" s="75" t="n"/>
      <c r="H644" s="75" t="n"/>
      <c r="I644" s="75" t="n"/>
      <c r="J644" s="75" t="n"/>
      <c r="K644" s="75" t="n"/>
      <c r="L644" s="75" t="n"/>
      <c r="M644" s="75" t="n"/>
      <c r="N644" s="75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226">
        <f>IF(AND(A644="",B644=""),"",IF(AND(A644&lt;&gt;"",B644&lt;&gt;"",C644&lt;&gt;"",D644&lt;&gt;"",F644&lt;&gt;"",G644&lt;&gt;"",H644&lt;&gt;"",ISERROR(SEARCH("по паспорту",G644)),ISERROR(SEARCH("по паспорту",H644)),I644&lt;&gt;"",J644&lt;&gt;"",K644&lt;&gt;"",L644&lt;&gt;"",M644&lt;&gt;""),"ГОТОВО","НЕ ГОТОВО"))</f>
        <v/>
      </c>
      <c r="Z644" s="226">
        <f>IF(Y644&lt;&gt;"ГОТОВО","", "Предварительное заключение: "&amp;A644&amp;", скв. "&amp;B644&amp;". МРП: "&amp;E644&amp;" сут. ГНО: "&amp;F644&amp;", типоразмер "&amp;G644&amp;", марка "&amp;H644&amp;". Событие: "&amp;I644&amp;". Признак: "&amp;J644&amp;". Узел: "&amp;K644&amp;". Предварительная причина: "&amp;L644&amp;". Основное осложнение: "&amp;M644&amp;IF(N644&lt;&gt;"","; сопутствующее: "&amp;N644,"")&amp;IF(O644&lt;&gt;"","; дополнительно: "&amp;O644,"")&amp;".")</f>
        <v/>
      </c>
    </row>
    <row r="645">
      <c r="A645" s="75" t="n"/>
      <c r="B645" s="75" t="n"/>
      <c r="C645" s="261" t="n"/>
      <c r="D645" s="261" t="n"/>
      <c r="E645" s="262">
        <f>IF(OR(C645="",D645=""),"",D645-C645)</f>
        <v/>
      </c>
      <c r="F645" s="75" t="n"/>
      <c r="G645" s="75" t="n"/>
      <c r="H645" s="75" t="n"/>
      <c r="I645" s="75" t="n"/>
      <c r="J645" s="75" t="n"/>
      <c r="K645" s="75" t="n"/>
      <c r="L645" s="75" t="n"/>
      <c r="M645" s="75" t="n"/>
      <c r="N645" s="75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226">
        <f>IF(AND(A645="",B645=""),"",IF(AND(A645&lt;&gt;"",B645&lt;&gt;"",C645&lt;&gt;"",D645&lt;&gt;"",F645&lt;&gt;"",G645&lt;&gt;"",H645&lt;&gt;"",ISERROR(SEARCH("по паспорту",G645)),ISERROR(SEARCH("по паспорту",H645)),I645&lt;&gt;"",J645&lt;&gt;"",K645&lt;&gt;"",L645&lt;&gt;"",M645&lt;&gt;""),"ГОТОВО","НЕ ГОТОВО"))</f>
        <v/>
      </c>
      <c r="Z645" s="226">
        <f>IF(Y645&lt;&gt;"ГОТОВО","", "Предварительное заключение: "&amp;A645&amp;", скв. "&amp;B645&amp;". МРП: "&amp;E645&amp;" сут. ГНО: "&amp;F645&amp;", типоразмер "&amp;G645&amp;", марка "&amp;H645&amp;". Событие: "&amp;I645&amp;". Признак: "&amp;J645&amp;". Узел: "&amp;K645&amp;". Предварительная причина: "&amp;L645&amp;". Основное осложнение: "&amp;M645&amp;IF(N645&lt;&gt;"","; сопутствующее: "&amp;N645,"")&amp;IF(O645&lt;&gt;"","; дополнительно: "&amp;O645,"")&amp;".")</f>
        <v/>
      </c>
    </row>
    <row r="646">
      <c r="A646" s="75" t="n"/>
      <c r="B646" s="75" t="n"/>
      <c r="C646" s="261" t="n"/>
      <c r="D646" s="261" t="n"/>
      <c r="E646" s="262">
        <f>IF(OR(C646="",D646=""),"",D646-C646)</f>
        <v/>
      </c>
      <c r="F646" s="75" t="n"/>
      <c r="G646" s="75" t="n"/>
      <c r="H646" s="75" t="n"/>
      <c r="I646" s="75" t="n"/>
      <c r="J646" s="75" t="n"/>
      <c r="K646" s="75" t="n"/>
      <c r="L646" s="75" t="n"/>
      <c r="M646" s="75" t="n"/>
      <c r="N646" s="75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226">
        <f>IF(AND(A646="",B646=""),"",IF(AND(A646&lt;&gt;"",B646&lt;&gt;"",C646&lt;&gt;"",D646&lt;&gt;"",F646&lt;&gt;"",G646&lt;&gt;"",H646&lt;&gt;"",ISERROR(SEARCH("по паспорту",G646)),ISERROR(SEARCH("по паспорту",H646)),I646&lt;&gt;"",J646&lt;&gt;"",K646&lt;&gt;"",L646&lt;&gt;"",M646&lt;&gt;""),"ГОТОВО","НЕ ГОТОВО"))</f>
        <v/>
      </c>
      <c r="Z646" s="226">
        <f>IF(Y646&lt;&gt;"ГОТОВО","", "Предварительное заключение: "&amp;A646&amp;", скв. "&amp;B646&amp;". МРП: "&amp;E646&amp;" сут. ГНО: "&amp;F646&amp;", типоразмер "&amp;G646&amp;", марка "&amp;H646&amp;". Событие: "&amp;I646&amp;". Признак: "&amp;J646&amp;". Узел: "&amp;K646&amp;". Предварительная причина: "&amp;L646&amp;". Основное осложнение: "&amp;M646&amp;IF(N646&lt;&gt;"","; сопутствующее: "&amp;N646,"")&amp;IF(O646&lt;&gt;"","; дополнительно: "&amp;O646,"")&amp;".")</f>
        <v/>
      </c>
    </row>
    <row r="647">
      <c r="A647" s="75" t="n"/>
      <c r="B647" s="75" t="n"/>
      <c r="C647" s="261" t="n"/>
      <c r="D647" s="261" t="n"/>
      <c r="E647" s="262">
        <f>IF(OR(C647="",D647=""),"",D647-C647)</f>
        <v/>
      </c>
      <c r="F647" s="75" t="n"/>
      <c r="G647" s="75" t="n"/>
      <c r="H647" s="75" t="n"/>
      <c r="I647" s="75" t="n"/>
      <c r="J647" s="75" t="n"/>
      <c r="K647" s="75" t="n"/>
      <c r="L647" s="75" t="n"/>
      <c r="M647" s="75" t="n"/>
      <c r="N647" s="75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226">
        <f>IF(AND(A647="",B647=""),"",IF(AND(A647&lt;&gt;"",B647&lt;&gt;"",C647&lt;&gt;"",D647&lt;&gt;"",F647&lt;&gt;"",G647&lt;&gt;"",H647&lt;&gt;"",ISERROR(SEARCH("по паспорту",G647)),ISERROR(SEARCH("по паспорту",H647)),I647&lt;&gt;"",J647&lt;&gt;"",K647&lt;&gt;"",L647&lt;&gt;"",M647&lt;&gt;""),"ГОТОВО","НЕ ГОТОВО"))</f>
        <v/>
      </c>
      <c r="Z647" s="226">
        <f>IF(Y647&lt;&gt;"ГОТОВО","", "Предварительное заключение: "&amp;A647&amp;", скв. "&amp;B647&amp;". МРП: "&amp;E647&amp;" сут. ГНО: "&amp;F647&amp;", типоразмер "&amp;G647&amp;", марка "&amp;H647&amp;". Событие: "&amp;I647&amp;". Признак: "&amp;J647&amp;". Узел: "&amp;K647&amp;". Предварительная причина: "&amp;L647&amp;". Основное осложнение: "&amp;M647&amp;IF(N647&lt;&gt;"","; сопутствующее: "&amp;N647,"")&amp;IF(O647&lt;&gt;"","; дополнительно: "&amp;O647,"")&amp;".")</f>
        <v/>
      </c>
    </row>
    <row r="648">
      <c r="A648" s="75" t="n"/>
      <c r="B648" s="75" t="n"/>
      <c r="C648" s="261" t="n"/>
      <c r="D648" s="261" t="n"/>
      <c r="E648" s="262">
        <f>IF(OR(C648="",D648=""),"",D648-C648)</f>
        <v/>
      </c>
      <c r="F648" s="75" t="n"/>
      <c r="G648" s="75" t="n"/>
      <c r="H648" s="75" t="n"/>
      <c r="I648" s="75" t="n"/>
      <c r="J648" s="75" t="n"/>
      <c r="K648" s="75" t="n"/>
      <c r="L648" s="75" t="n"/>
      <c r="M648" s="75" t="n"/>
      <c r="N648" s="75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226">
        <f>IF(AND(A648="",B648=""),"",IF(AND(A648&lt;&gt;"",B648&lt;&gt;"",C648&lt;&gt;"",D648&lt;&gt;"",F648&lt;&gt;"",G648&lt;&gt;"",H648&lt;&gt;"",ISERROR(SEARCH("по паспорту",G648)),ISERROR(SEARCH("по паспорту",H648)),I648&lt;&gt;"",J648&lt;&gt;"",K648&lt;&gt;"",L648&lt;&gt;"",M648&lt;&gt;""),"ГОТОВО","НЕ ГОТОВО"))</f>
        <v/>
      </c>
      <c r="Z648" s="226">
        <f>IF(Y648&lt;&gt;"ГОТОВО","", "Предварительное заключение: "&amp;A648&amp;", скв. "&amp;B648&amp;". МРП: "&amp;E648&amp;" сут. ГНО: "&amp;F648&amp;", типоразмер "&amp;G648&amp;", марка "&amp;H648&amp;". Событие: "&amp;I648&amp;". Признак: "&amp;J648&amp;". Узел: "&amp;K648&amp;". Предварительная причина: "&amp;L648&amp;". Основное осложнение: "&amp;M648&amp;IF(N648&lt;&gt;"","; сопутствующее: "&amp;N648,"")&amp;IF(O648&lt;&gt;"","; дополнительно: "&amp;O648,"")&amp;".")</f>
        <v/>
      </c>
    </row>
    <row r="649">
      <c r="A649" s="75" t="n"/>
      <c r="B649" s="75" t="n"/>
      <c r="C649" s="261" t="n"/>
      <c r="D649" s="261" t="n"/>
      <c r="E649" s="262">
        <f>IF(OR(C649="",D649=""),"",D649-C649)</f>
        <v/>
      </c>
      <c r="F649" s="75" t="n"/>
      <c r="G649" s="75" t="n"/>
      <c r="H649" s="75" t="n"/>
      <c r="I649" s="75" t="n"/>
      <c r="J649" s="75" t="n"/>
      <c r="K649" s="75" t="n"/>
      <c r="L649" s="75" t="n"/>
      <c r="M649" s="75" t="n"/>
      <c r="N649" s="75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226">
        <f>IF(AND(A649="",B649=""),"",IF(AND(A649&lt;&gt;"",B649&lt;&gt;"",C649&lt;&gt;"",D649&lt;&gt;"",F649&lt;&gt;"",G649&lt;&gt;"",H649&lt;&gt;"",ISERROR(SEARCH("по паспорту",G649)),ISERROR(SEARCH("по паспорту",H649)),I649&lt;&gt;"",J649&lt;&gt;"",K649&lt;&gt;"",L649&lt;&gt;"",M649&lt;&gt;""),"ГОТОВО","НЕ ГОТОВО"))</f>
        <v/>
      </c>
      <c r="Z649" s="226">
        <f>IF(Y649&lt;&gt;"ГОТОВО","", "Предварительное заключение: "&amp;A649&amp;", скв. "&amp;B649&amp;". МРП: "&amp;E649&amp;" сут. ГНО: "&amp;F649&amp;", типоразмер "&amp;G649&amp;", марка "&amp;H649&amp;". Событие: "&amp;I649&amp;". Признак: "&amp;J649&amp;". Узел: "&amp;K649&amp;". Предварительная причина: "&amp;L649&amp;". Основное осложнение: "&amp;M649&amp;IF(N649&lt;&gt;"","; сопутствующее: "&amp;N649,"")&amp;IF(O649&lt;&gt;"","; дополнительно: "&amp;O649,"")&amp;".")</f>
        <v/>
      </c>
    </row>
    <row r="650">
      <c r="A650" s="75" t="n"/>
      <c r="B650" s="75" t="n"/>
      <c r="C650" s="261" t="n"/>
      <c r="D650" s="261" t="n"/>
      <c r="E650" s="262">
        <f>IF(OR(C650="",D650=""),"",D650-C650)</f>
        <v/>
      </c>
      <c r="F650" s="75" t="n"/>
      <c r="G650" s="75" t="n"/>
      <c r="H650" s="75" t="n"/>
      <c r="I650" s="75" t="n"/>
      <c r="J650" s="75" t="n"/>
      <c r="K650" s="75" t="n"/>
      <c r="L650" s="75" t="n"/>
      <c r="M650" s="75" t="n"/>
      <c r="N650" s="75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226">
        <f>IF(AND(A650="",B650=""),"",IF(AND(A650&lt;&gt;"",B650&lt;&gt;"",C650&lt;&gt;"",D650&lt;&gt;"",F650&lt;&gt;"",G650&lt;&gt;"",H650&lt;&gt;"",ISERROR(SEARCH("по паспорту",G650)),ISERROR(SEARCH("по паспорту",H650)),I650&lt;&gt;"",J650&lt;&gt;"",K650&lt;&gt;"",L650&lt;&gt;"",M650&lt;&gt;""),"ГОТОВО","НЕ ГОТОВО"))</f>
        <v/>
      </c>
      <c r="Z650" s="226">
        <f>IF(Y650&lt;&gt;"ГОТОВО","", "Предварительное заключение: "&amp;A650&amp;", скв. "&amp;B650&amp;". МРП: "&amp;E650&amp;" сут. ГНО: "&amp;F650&amp;", типоразмер "&amp;G650&amp;", марка "&amp;H650&amp;". Событие: "&amp;I650&amp;". Признак: "&amp;J650&amp;". Узел: "&amp;K650&amp;". Предварительная причина: "&amp;L650&amp;". Основное осложнение: "&amp;M650&amp;IF(N650&lt;&gt;"","; сопутствующее: "&amp;N650,"")&amp;IF(O650&lt;&gt;"","; дополнительно: "&amp;O650,"")&amp;".")</f>
        <v/>
      </c>
    </row>
    <row r="651">
      <c r="A651" s="75" t="n"/>
      <c r="B651" s="75" t="n"/>
      <c r="C651" s="261" t="n"/>
      <c r="D651" s="261" t="n"/>
      <c r="E651" s="262">
        <f>IF(OR(C651="",D651=""),"",D651-C651)</f>
        <v/>
      </c>
      <c r="F651" s="75" t="n"/>
      <c r="G651" s="75" t="n"/>
      <c r="H651" s="75" t="n"/>
      <c r="I651" s="75" t="n"/>
      <c r="J651" s="75" t="n"/>
      <c r="K651" s="75" t="n"/>
      <c r="L651" s="75" t="n"/>
      <c r="M651" s="75" t="n"/>
      <c r="N651" s="75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226">
        <f>IF(AND(A651="",B651=""),"",IF(AND(A651&lt;&gt;"",B651&lt;&gt;"",C651&lt;&gt;"",D651&lt;&gt;"",F651&lt;&gt;"",G651&lt;&gt;"",H651&lt;&gt;"",ISERROR(SEARCH("по паспорту",G651)),ISERROR(SEARCH("по паспорту",H651)),I651&lt;&gt;"",J651&lt;&gt;"",K651&lt;&gt;"",L651&lt;&gt;"",M651&lt;&gt;""),"ГОТОВО","НЕ ГОТОВО"))</f>
        <v/>
      </c>
      <c r="Z651" s="226">
        <f>IF(Y651&lt;&gt;"ГОТОВО","", "Предварительное заключение: "&amp;A651&amp;", скв. "&amp;B651&amp;". МРП: "&amp;E651&amp;" сут. ГНО: "&amp;F651&amp;", типоразмер "&amp;G651&amp;", марка "&amp;H651&amp;". Событие: "&amp;I651&amp;". Признак: "&amp;J651&amp;". Узел: "&amp;K651&amp;". Предварительная причина: "&amp;L651&amp;". Основное осложнение: "&amp;M651&amp;IF(N651&lt;&gt;"","; сопутствующее: "&amp;N651,"")&amp;IF(O651&lt;&gt;"","; дополнительно: "&amp;O651,"")&amp;".")</f>
        <v/>
      </c>
    </row>
    <row r="652">
      <c r="A652" s="75" t="n"/>
      <c r="B652" s="75" t="n"/>
      <c r="C652" s="261" t="n"/>
      <c r="D652" s="261" t="n"/>
      <c r="E652" s="262">
        <f>IF(OR(C652="",D652=""),"",D652-C652)</f>
        <v/>
      </c>
      <c r="F652" s="75" t="n"/>
      <c r="G652" s="75" t="n"/>
      <c r="H652" s="75" t="n"/>
      <c r="I652" s="75" t="n"/>
      <c r="J652" s="75" t="n"/>
      <c r="K652" s="75" t="n"/>
      <c r="L652" s="75" t="n"/>
      <c r="M652" s="75" t="n"/>
      <c r="N652" s="75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226">
        <f>IF(AND(A652="",B652=""),"",IF(AND(A652&lt;&gt;"",B652&lt;&gt;"",C652&lt;&gt;"",D652&lt;&gt;"",F652&lt;&gt;"",G652&lt;&gt;"",H652&lt;&gt;"",ISERROR(SEARCH("по паспорту",G652)),ISERROR(SEARCH("по паспорту",H652)),I652&lt;&gt;"",J652&lt;&gt;"",K652&lt;&gt;"",L652&lt;&gt;"",M652&lt;&gt;""),"ГОТОВО","НЕ ГОТОВО"))</f>
        <v/>
      </c>
      <c r="Z652" s="226">
        <f>IF(Y652&lt;&gt;"ГОТОВО","", "Предварительное заключение: "&amp;A652&amp;", скв. "&amp;B652&amp;". МРП: "&amp;E652&amp;" сут. ГНО: "&amp;F652&amp;", типоразмер "&amp;G652&amp;", марка "&amp;H652&amp;". Событие: "&amp;I652&amp;". Признак: "&amp;J652&amp;". Узел: "&amp;K652&amp;". Предварительная причина: "&amp;L652&amp;". Основное осложнение: "&amp;M652&amp;IF(N652&lt;&gt;"","; сопутствующее: "&amp;N652,"")&amp;IF(O652&lt;&gt;"","; дополнительно: "&amp;O652,"")&amp;".")</f>
        <v/>
      </c>
    </row>
    <row r="653">
      <c r="A653" s="75" t="n"/>
      <c r="B653" s="75" t="n"/>
      <c r="C653" s="261" t="n"/>
      <c r="D653" s="261" t="n"/>
      <c r="E653" s="262">
        <f>IF(OR(C653="",D653=""),"",D653-C653)</f>
        <v/>
      </c>
      <c r="F653" s="75" t="n"/>
      <c r="G653" s="75" t="n"/>
      <c r="H653" s="75" t="n"/>
      <c r="I653" s="75" t="n"/>
      <c r="J653" s="75" t="n"/>
      <c r="K653" s="75" t="n"/>
      <c r="L653" s="75" t="n"/>
      <c r="M653" s="75" t="n"/>
      <c r="N653" s="75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226">
        <f>IF(AND(A653="",B653=""),"",IF(AND(A653&lt;&gt;"",B653&lt;&gt;"",C653&lt;&gt;"",D653&lt;&gt;"",F653&lt;&gt;"",G653&lt;&gt;"",H653&lt;&gt;"",ISERROR(SEARCH("по паспорту",G653)),ISERROR(SEARCH("по паспорту",H653)),I653&lt;&gt;"",J653&lt;&gt;"",K653&lt;&gt;"",L653&lt;&gt;"",M653&lt;&gt;""),"ГОТОВО","НЕ ГОТОВО"))</f>
        <v/>
      </c>
      <c r="Z653" s="226">
        <f>IF(Y653&lt;&gt;"ГОТОВО","", "Предварительное заключение: "&amp;A653&amp;", скв. "&amp;B653&amp;". МРП: "&amp;E653&amp;" сут. ГНО: "&amp;F653&amp;", типоразмер "&amp;G653&amp;", марка "&amp;H653&amp;". Событие: "&amp;I653&amp;". Признак: "&amp;J653&amp;". Узел: "&amp;K653&amp;". Предварительная причина: "&amp;L653&amp;". Основное осложнение: "&amp;M653&amp;IF(N653&lt;&gt;"","; сопутствующее: "&amp;N653,"")&amp;IF(O653&lt;&gt;"","; дополнительно: "&amp;O653,"")&amp;".")</f>
        <v/>
      </c>
    </row>
    <row r="654">
      <c r="A654" s="75" t="n"/>
      <c r="B654" s="75" t="n"/>
      <c r="C654" s="261" t="n"/>
      <c r="D654" s="261" t="n"/>
      <c r="E654" s="262">
        <f>IF(OR(C654="",D654=""),"",D654-C654)</f>
        <v/>
      </c>
      <c r="F654" s="75" t="n"/>
      <c r="G654" s="75" t="n"/>
      <c r="H654" s="75" t="n"/>
      <c r="I654" s="75" t="n"/>
      <c r="J654" s="75" t="n"/>
      <c r="K654" s="75" t="n"/>
      <c r="L654" s="75" t="n"/>
      <c r="M654" s="75" t="n"/>
      <c r="N654" s="75" t="n"/>
      <c r="O654" s="75" t="n"/>
      <c r="P654" s="75" t="n"/>
      <c r="Q654" s="75" t="n"/>
      <c r="R654" s="75" t="n"/>
      <c r="S654" s="75" t="n"/>
      <c r="T654" s="75" t="n"/>
      <c r="U654" s="75" t="n"/>
      <c r="V654" s="75" t="n"/>
      <c r="W654" s="75" t="n"/>
      <c r="X654" s="75" t="n"/>
      <c r="Y654" s="226">
        <f>IF(AND(A654="",B654=""),"",IF(AND(A654&lt;&gt;"",B654&lt;&gt;"",C654&lt;&gt;"",D654&lt;&gt;"",F654&lt;&gt;"",G654&lt;&gt;"",H654&lt;&gt;"",ISERROR(SEARCH("по паспорту",G654)),ISERROR(SEARCH("по паспорту",H654)),I654&lt;&gt;"",J654&lt;&gt;"",K654&lt;&gt;"",L654&lt;&gt;"",M654&lt;&gt;""),"ГОТОВО","НЕ ГОТОВО"))</f>
        <v/>
      </c>
      <c r="Z654" s="226">
        <f>IF(Y654&lt;&gt;"ГОТОВО","", "Предварительное заключение: "&amp;A654&amp;", скв. "&amp;B654&amp;". МРП: "&amp;E654&amp;" сут. ГНО: "&amp;F654&amp;", типоразмер "&amp;G654&amp;", марка "&amp;H654&amp;". Событие: "&amp;I654&amp;". Признак: "&amp;J654&amp;". Узел: "&amp;K654&amp;". Предварительная причина: "&amp;L654&amp;". Основное осложнение: "&amp;M654&amp;IF(N654&lt;&gt;"","; сопутствующее: "&amp;N654,"")&amp;IF(O654&lt;&gt;"","; дополнительно: "&amp;O654,"")&amp;".")</f>
        <v/>
      </c>
    </row>
    <row r="655">
      <c r="A655" s="75" t="n"/>
      <c r="B655" s="75" t="n"/>
      <c r="C655" s="261" t="n"/>
      <c r="D655" s="261" t="n"/>
      <c r="E655" s="262">
        <f>IF(OR(C655="",D655=""),"",D655-C655)</f>
        <v/>
      </c>
      <c r="F655" s="75" t="n"/>
      <c r="G655" s="75" t="n"/>
      <c r="H655" s="75" t="n"/>
      <c r="I655" s="75" t="n"/>
      <c r="J655" s="75" t="n"/>
      <c r="K655" s="75" t="n"/>
      <c r="L655" s="75" t="n"/>
      <c r="M655" s="75" t="n"/>
      <c r="N655" s="75" t="n"/>
      <c r="O655" s="75" t="n"/>
      <c r="P655" s="75" t="n"/>
      <c r="Q655" s="75" t="n"/>
      <c r="R655" s="75" t="n"/>
      <c r="S655" s="75" t="n"/>
      <c r="T655" s="75" t="n"/>
      <c r="U655" s="75" t="n"/>
      <c r="V655" s="75" t="n"/>
      <c r="W655" s="75" t="n"/>
      <c r="X655" s="75" t="n"/>
      <c r="Y655" s="226">
        <f>IF(AND(A655="",B655=""),"",IF(AND(A655&lt;&gt;"",B655&lt;&gt;"",C655&lt;&gt;"",D655&lt;&gt;"",F655&lt;&gt;"",G655&lt;&gt;"",H655&lt;&gt;"",ISERROR(SEARCH("по паспорту",G655)),ISERROR(SEARCH("по паспорту",H655)),I655&lt;&gt;"",J655&lt;&gt;"",K655&lt;&gt;"",L655&lt;&gt;"",M655&lt;&gt;""),"ГОТОВО","НЕ ГОТОВО"))</f>
        <v/>
      </c>
      <c r="Z655" s="226">
        <f>IF(Y655&lt;&gt;"ГОТОВО","", "Предварительное заключение: "&amp;A655&amp;", скв. "&amp;B655&amp;". МРП: "&amp;E655&amp;" сут. ГНО: "&amp;F655&amp;", типоразмер "&amp;G655&amp;", марка "&amp;H655&amp;". Событие: "&amp;I655&amp;". Признак: "&amp;J655&amp;". Узел: "&amp;K655&amp;". Предварительная причина: "&amp;L655&amp;". Основное осложнение: "&amp;M655&amp;IF(N655&lt;&gt;"","; сопутствующее: "&amp;N655,"")&amp;IF(O655&lt;&gt;"","; дополнительно: "&amp;O655,"")&amp;".")</f>
        <v/>
      </c>
    </row>
    <row r="656">
      <c r="A656" s="75" t="n"/>
      <c r="B656" s="75" t="n"/>
      <c r="C656" s="261" t="n"/>
      <c r="D656" s="261" t="n"/>
      <c r="E656" s="262">
        <f>IF(OR(C656="",D656=""),"",D656-C656)</f>
        <v/>
      </c>
      <c r="F656" s="75" t="n"/>
      <c r="G656" s="75" t="n"/>
      <c r="H656" s="75" t="n"/>
      <c r="I656" s="75" t="n"/>
      <c r="J656" s="75" t="n"/>
      <c r="K656" s="75" t="n"/>
      <c r="L656" s="75" t="n"/>
      <c r="M656" s="75" t="n"/>
      <c r="N656" s="75" t="n"/>
      <c r="O656" s="75" t="n"/>
      <c r="P656" s="75" t="n"/>
      <c r="Q656" s="75" t="n"/>
      <c r="R656" s="75" t="n"/>
      <c r="S656" s="75" t="n"/>
      <c r="T656" s="75" t="n"/>
      <c r="U656" s="75" t="n"/>
      <c r="V656" s="75" t="n"/>
      <c r="W656" s="75" t="n"/>
      <c r="X656" s="75" t="n"/>
      <c r="Y656" s="226">
        <f>IF(AND(A656="",B656=""),"",IF(AND(A656&lt;&gt;"",B656&lt;&gt;"",C656&lt;&gt;"",D656&lt;&gt;"",F656&lt;&gt;"",G656&lt;&gt;"",H656&lt;&gt;"",ISERROR(SEARCH("по паспорту",G656)),ISERROR(SEARCH("по паспорту",H656)),I656&lt;&gt;"",J656&lt;&gt;"",K656&lt;&gt;"",L656&lt;&gt;"",M656&lt;&gt;""),"ГОТОВО","НЕ ГОТОВО"))</f>
        <v/>
      </c>
      <c r="Z656" s="226">
        <f>IF(Y656&lt;&gt;"ГОТОВО","", "Предварительное заключение: "&amp;A656&amp;", скв. "&amp;B656&amp;". МРП: "&amp;E656&amp;" сут. ГНО: "&amp;F656&amp;", типоразмер "&amp;G656&amp;", марка "&amp;H656&amp;". Событие: "&amp;I656&amp;". Признак: "&amp;J656&amp;". Узел: "&amp;K656&amp;". Предварительная причина: "&amp;L656&amp;". Основное осложнение: "&amp;M656&amp;IF(N656&lt;&gt;"","; сопутствующее: "&amp;N656,"")&amp;IF(O656&lt;&gt;"","; дополнительно: "&amp;O656,"")&amp;".")</f>
        <v/>
      </c>
    </row>
    <row r="657">
      <c r="A657" s="75" t="n"/>
      <c r="B657" s="75" t="n"/>
      <c r="C657" s="261" t="n"/>
      <c r="D657" s="261" t="n"/>
      <c r="E657" s="262">
        <f>IF(OR(C657="",D657=""),"",D657-C657)</f>
        <v/>
      </c>
      <c r="F657" s="75" t="n"/>
      <c r="G657" s="75" t="n"/>
      <c r="H657" s="75" t="n"/>
      <c r="I657" s="75" t="n"/>
      <c r="J657" s="75" t="n"/>
      <c r="K657" s="75" t="n"/>
      <c r="L657" s="75" t="n"/>
      <c r="M657" s="75" t="n"/>
      <c r="N657" s="75" t="n"/>
      <c r="O657" s="75" t="n"/>
      <c r="P657" s="75" t="n"/>
      <c r="Q657" s="75" t="n"/>
      <c r="R657" s="75" t="n"/>
      <c r="S657" s="75" t="n"/>
      <c r="T657" s="75" t="n"/>
      <c r="U657" s="75" t="n"/>
      <c r="V657" s="75" t="n"/>
      <c r="W657" s="75" t="n"/>
      <c r="X657" s="75" t="n"/>
      <c r="Y657" s="226">
        <f>IF(AND(A657="",B657=""),"",IF(AND(A657&lt;&gt;"",B657&lt;&gt;"",C657&lt;&gt;"",D657&lt;&gt;"",F657&lt;&gt;"",G657&lt;&gt;"",H657&lt;&gt;"",ISERROR(SEARCH("по паспорту",G657)),ISERROR(SEARCH("по паспорту",H657)),I657&lt;&gt;"",J657&lt;&gt;"",K657&lt;&gt;"",L657&lt;&gt;"",M657&lt;&gt;""),"ГОТОВО","НЕ ГОТОВО"))</f>
        <v/>
      </c>
      <c r="Z657" s="226">
        <f>IF(Y657&lt;&gt;"ГОТОВО","", "Предварительное заключение: "&amp;A657&amp;", скв. "&amp;B657&amp;". МРП: "&amp;E657&amp;" сут. ГНО: "&amp;F657&amp;", типоразмер "&amp;G657&amp;", марка "&amp;H657&amp;". Событие: "&amp;I657&amp;". Признак: "&amp;J657&amp;". Узел: "&amp;K657&amp;". Предварительная причина: "&amp;L657&amp;". Основное осложнение: "&amp;M657&amp;IF(N657&lt;&gt;"","; сопутствующее: "&amp;N657,"")&amp;IF(O657&lt;&gt;"","; дополнительно: "&amp;O657,"")&amp;".")</f>
        <v/>
      </c>
    </row>
    <row r="658">
      <c r="A658" s="75" t="n"/>
      <c r="B658" s="75" t="n"/>
      <c r="C658" s="261" t="n"/>
      <c r="D658" s="261" t="n"/>
      <c r="E658" s="262">
        <f>IF(OR(C658="",D658=""),"",D658-C658)</f>
        <v/>
      </c>
      <c r="F658" s="75" t="n"/>
      <c r="G658" s="75" t="n"/>
      <c r="H658" s="75" t="n"/>
      <c r="I658" s="75" t="n"/>
      <c r="J658" s="75" t="n"/>
      <c r="K658" s="75" t="n"/>
      <c r="L658" s="75" t="n"/>
      <c r="M658" s="75" t="n"/>
      <c r="N658" s="75" t="n"/>
      <c r="O658" s="75" t="n"/>
      <c r="P658" s="75" t="n"/>
      <c r="Q658" s="75" t="n"/>
      <c r="R658" s="75" t="n"/>
      <c r="S658" s="75" t="n"/>
      <c r="T658" s="75" t="n"/>
      <c r="U658" s="75" t="n"/>
      <c r="V658" s="75" t="n"/>
      <c r="W658" s="75" t="n"/>
      <c r="X658" s="75" t="n"/>
      <c r="Y658" s="226">
        <f>IF(AND(A658="",B658=""),"",IF(AND(A658&lt;&gt;"",B658&lt;&gt;"",C658&lt;&gt;"",D658&lt;&gt;"",F658&lt;&gt;"",G658&lt;&gt;"",H658&lt;&gt;"",ISERROR(SEARCH("по паспорту",G658)),ISERROR(SEARCH("по паспорту",H658)),I658&lt;&gt;"",J658&lt;&gt;"",K658&lt;&gt;"",L658&lt;&gt;"",M658&lt;&gt;""),"ГОТОВО","НЕ ГОТОВО"))</f>
        <v/>
      </c>
      <c r="Z658" s="226">
        <f>IF(Y658&lt;&gt;"ГОТОВО","", "Предварительное заключение: "&amp;A658&amp;", скв. "&amp;B658&amp;". МРП: "&amp;E658&amp;" сут. ГНО: "&amp;F658&amp;", типоразмер "&amp;G658&amp;", марка "&amp;H658&amp;". Событие: "&amp;I658&amp;". Признак: "&amp;J658&amp;". Узел: "&amp;K658&amp;". Предварительная причина: "&amp;L658&amp;". Основное осложнение: "&amp;M658&amp;IF(N658&lt;&gt;"","; сопутствующее: "&amp;N658,"")&amp;IF(O658&lt;&gt;"","; дополнительно: "&amp;O658,"")&amp;".")</f>
        <v/>
      </c>
    </row>
    <row r="659">
      <c r="A659" s="75" t="n"/>
      <c r="B659" s="75" t="n"/>
      <c r="C659" s="261" t="n"/>
      <c r="D659" s="261" t="n"/>
      <c r="E659" s="262">
        <f>IF(OR(C659="",D659=""),"",D659-C659)</f>
        <v/>
      </c>
      <c r="F659" s="75" t="n"/>
      <c r="G659" s="75" t="n"/>
      <c r="H659" s="75" t="n"/>
      <c r="I659" s="75" t="n"/>
      <c r="J659" s="75" t="n"/>
      <c r="K659" s="75" t="n"/>
      <c r="L659" s="75" t="n"/>
      <c r="M659" s="75" t="n"/>
      <c r="N659" s="75" t="n"/>
      <c r="O659" s="75" t="n"/>
      <c r="P659" s="75" t="n"/>
      <c r="Q659" s="75" t="n"/>
      <c r="R659" s="75" t="n"/>
      <c r="S659" s="75" t="n"/>
      <c r="T659" s="75" t="n"/>
      <c r="U659" s="75" t="n"/>
      <c r="V659" s="75" t="n"/>
      <c r="W659" s="75" t="n"/>
      <c r="X659" s="75" t="n"/>
      <c r="Y659" s="226">
        <f>IF(AND(A659="",B659=""),"",IF(AND(A659&lt;&gt;"",B659&lt;&gt;"",C659&lt;&gt;"",D659&lt;&gt;"",F659&lt;&gt;"",G659&lt;&gt;"",H659&lt;&gt;"",ISERROR(SEARCH("по паспорту",G659)),ISERROR(SEARCH("по паспорту",H659)),I659&lt;&gt;"",J659&lt;&gt;"",K659&lt;&gt;"",L659&lt;&gt;"",M659&lt;&gt;""),"ГОТОВО","НЕ ГОТОВО"))</f>
        <v/>
      </c>
      <c r="Z659" s="226">
        <f>IF(Y659&lt;&gt;"ГОТОВО","", "Предварительное заключение: "&amp;A659&amp;", скв. "&amp;B659&amp;". МРП: "&amp;E659&amp;" сут. ГНО: "&amp;F659&amp;", типоразмер "&amp;G659&amp;", марка "&amp;H659&amp;". Событие: "&amp;I659&amp;". Признак: "&amp;J659&amp;". Узел: "&amp;K659&amp;". Предварительная причина: "&amp;L659&amp;". Основное осложнение: "&amp;M659&amp;IF(N659&lt;&gt;"","; сопутствующее: "&amp;N659,"")&amp;IF(O659&lt;&gt;"","; дополнительно: "&amp;O659,"")&amp;".")</f>
        <v/>
      </c>
    </row>
    <row r="660">
      <c r="A660" s="75" t="n"/>
      <c r="B660" s="75" t="n"/>
      <c r="C660" s="261" t="n"/>
      <c r="D660" s="261" t="n"/>
      <c r="E660" s="262">
        <f>IF(OR(C660="",D660=""),"",D660-C660)</f>
        <v/>
      </c>
      <c r="F660" s="75" t="n"/>
      <c r="G660" s="75" t="n"/>
      <c r="H660" s="75" t="n"/>
      <c r="I660" s="75" t="n"/>
      <c r="J660" s="75" t="n"/>
      <c r="K660" s="75" t="n"/>
      <c r="L660" s="75" t="n"/>
      <c r="M660" s="75" t="n"/>
      <c r="N660" s="75" t="n"/>
      <c r="O660" s="75" t="n"/>
      <c r="P660" s="75" t="n"/>
      <c r="Q660" s="75" t="n"/>
      <c r="R660" s="75" t="n"/>
      <c r="S660" s="75" t="n"/>
      <c r="T660" s="75" t="n"/>
      <c r="U660" s="75" t="n"/>
      <c r="V660" s="75" t="n"/>
      <c r="W660" s="75" t="n"/>
      <c r="X660" s="75" t="n"/>
      <c r="Y660" s="226">
        <f>IF(AND(A660="",B660=""),"",IF(AND(A660&lt;&gt;"",B660&lt;&gt;"",C660&lt;&gt;"",D660&lt;&gt;"",F660&lt;&gt;"",G660&lt;&gt;"",H660&lt;&gt;"",ISERROR(SEARCH("по паспорту",G660)),ISERROR(SEARCH("по паспорту",H660)),I660&lt;&gt;"",J660&lt;&gt;"",K660&lt;&gt;"",L660&lt;&gt;"",M660&lt;&gt;""),"ГОТОВО","НЕ ГОТОВО"))</f>
        <v/>
      </c>
      <c r="Z660" s="226">
        <f>IF(Y660&lt;&gt;"ГОТОВО","", "Предварительное заключение: "&amp;A660&amp;", скв. "&amp;B660&amp;". МРП: "&amp;E660&amp;" сут. ГНО: "&amp;F660&amp;", типоразмер "&amp;G660&amp;", марка "&amp;H660&amp;". Событие: "&amp;I660&amp;". Признак: "&amp;J660&amp;". Узел: "&amp;K660&amp;". Предварительная причина: "&amp;L660&amp;". Основное осложнение: "&amp;M660&amp;IF(N660&lt;&gt;"","; сопутствующее: "&amp;N660,"")&amp;IF(O660&lt;&gt;"","; дополнительно: "&amp;O660,"")&amp;".")</f>
        <v/>
      </c>
    </row>
    <row r="661">
      <c r="A661" s="75" t="n"/>
      <c r="B661" s="75" t="n"/>
      <c r="C661" s="261" t="n"/>
      <c r="D661" s="261" t="n"/>
      <c r="E661" s="262">
        <f>IF(OR(C661="",D661=""),"",D661-C661)</f>
        <v/>
      </c>
      <c r="F661" s="75" t="n"/>
      <c r="G661" s="75" t="n"/>
      <c r="H661" s="75" t="n"/>
      <c r="I661" s="75" t="n"/>
      <c r="J661" s="75" t="n"/>
      <c r="K661" s="75" t="n"/>
      <c r="L661" s="75" t="n"/>
      <c r="M661" s="75" t="n"/>
      <c r="N661" s="75" t="n"/>
      <c r="O661" s="75" t="n"/>
      <c r="P661" s="75" t="n"/>
      <c r="Q661" s="75" t="n"/>
      <c r="R661" s="75" t="n"/>
      <c r="S661" s="75" t="n"/>
      <c r="T661" s="75" t="n"/>
      <c r="U661" s="75" t="n"/>
      <c r="V661" s="75" t="n"/>
      <c r="W661" s="75" t="n"/>
      <c r="X661" s="75" t="n"/>
      <c r="Y661" s="226">
        <f>IF(AND(A661="",B661=""),"",IF(AND(A661&lt;&gt;"",B661&lt;&gt;"",C661&lt;&gt;"",D661&lt;&gt;"",F661&lt;&gt;"",G661&lt;&gt;"",H661&lt;&gt;"",ISERROR(SEARCH("по паспорту",G661)),ISERROR(SEARCH("по паспорту",H661)),I661&lt;&gt;"",J661&lt;&gt;"",K661&lt;&gt;"",L661&lt;&gt;"",M661&lt;&gt;""),"ГОТОВО","НЕ ГОТОВО"))</f>
        <v/>
      </c>
      <c r="Z661" s="226">
        <f>IF(Y661&lt;&gt;"ГОТОВО","", "Предварительное заключение: "&amp;A661&amp;", скв. "&amp;B661&amp;". МРП: "&amp;E661&amp;" сут. ГНО: "&amp;F661&amp;", типоразмер "&amp;G661&amp;", марка "&amp;H661&amp;". Событие: "&amp;I661&amp;". Признак: "&amp;J661&amp;". Узел: "&amp;K661&amp;". Предварительная причина: "&amp;L661&amp;". Основное осложнение: "&amp;M661&amp;IF(N661&lt;&gt;"","; сопутствующее: "&amp;N661,"")&amp;IF(O661&lt;&gt;"","; дополнительно: "&amp;O661,"")&amp;".")</f>
        <v/>
      </c>
    </row>
    <row r="662">
      <c r="A662" s="75" t="n"/>
      <c r="B662" s="75" t="n"/>
      <c r="C662" s="261" t="n"/>
      <c r="D662" s="261" t="n"/>
      <c r="E662" s="262">
        <f>IF(OR(C662="",D662=""),"",D662-C662)</f>
        <v/>
      </c>
      <c r="F662" s="75" t="n"/>
      <c r="G662" s="75" t="n"/>
      <c r="H662" s="75" t="n"/>
      <c r="I662" s="75" t="n"/>
      <c r="J662" s="75" t="n"/>
      <c r="K662" s="75" t="n"/>
      <c r="L662" s="75" t="n"/>
      <c r="M662" s="75" t="n"/>
      <c r="N662" s="75" t="n"/>
      <c r="O662" s="75" t="n"/>
      <c r="P662" s="75" t="n"/>
      <c r="Q662" s="75" t="n"/>
      <c r="R662" s="75" t="n"/>
      <c r="S662" s="75" t="n"/>
      <c r="T662" s="75" t="n"/>
      <c r="U662" s="75" t="n"/>
      <c r="V662" s="75" t="n"/>
      <c r="W662" s="75" t="n"/>
      <c r="X662" s="75" t="n"/>
      <c r="Y662" s="226">
        <f>IF(AND(A662="",B662=""),"",IF(AND(A662&lt;&gt;"",B662&lt;&gt;"",C662&lt;&gt;"",D662&lt;&gt;"",F662&lt;&gt;"",G662&lt;&gt;"",H662&lt;&gt;"",ISERROR(SEARCH("по паспорту",G662)),ISERROR(SEARCH("по паспорту",H662)),I662&lt;&gt;"",J662&lt;&gt;"",K662&lt;&gt;"",L662&lt;&gt;"",M662&lt;&gt;""),"ГОТОВО","НЕ ГОТОВО"))</f>
        <v/>
      </c>
      <c r="Z662" s="226">
        <f>IF(Y662&lt;&gt;"ГОТОВО","", "Предварительное заключение: "&amp;A662&amp;", скв. "&amp;B662&amp;". МРП: "&amp;E662&amp;" сут. ГНО: "&amp;F662&amp;", типоразмер "&amp;G662&amp;", марка "&amp;H662&amp;". Событие: "&amp;I662&amp;". Признак: "&amp;J662&amp;". Узел: "&amp;K662&amp;". Предварительная причина: "&amp;L662&amp;". Основное осложнение: "&amp;M662&amp;IF(N662&lt;&gt;"","; сопутствующее: "&amp;N662,"")&amp;IF(O662&lt;&gt;"","; дополнительно: "&amp;O662,"")&amp;".")</f>
        <v/>
      </c>
    </row>
    <row r="663">
      <c r="A663" s="75" t="n"/>
      <c r="B663" s="75" t="n"/>
      <c r="C663" s="261" t="n"/>
      <c r="D663" s="261" t="n"/>
      <c r="E663" s="262">
        <f>IF(OR(C663="",D663=""),"",D663-C663)</f>
        <v/>
      </c>
      <c r="F663" s="75" t="n"/>
      <c r="G663" s="75" t="n"/>
      <c r="H663" s="75" t="n"/>
      <c r="I663" s="75" t="n"/>
      <c r="J663" s="75" t="n"/>
      <c r="K663" s="75" t="n"/>
      <c r="L663" s="75" t="n"/>
      <c r="M663" s="75" t="n"/>
      <c r="N663" s="75" t="n"/>
      <c r="O663" s="75" t="n"/>
      <c r="P663" s="75" t="n"/>
      <c r="Q663" s="75" t="n"/>
      <c r="R663" s="75" t="n"/>
      <c r="S663" s="75" t="n"/>
      <c r="T663" s="75" t="n"/>
      <c r="U663" s="75" t="n"/>
      <c r="V663" s="75" t="n"/>
      <c r="W663" s="75" t="n"/>
      <c r="X663" s="75" t="n"/>
      <c r="Y663" s="226">
        <f>IF(AND(A663="",B663=""),"",IF(AND(A663&lt;&gt;"",B663&lt;&gt;"",C663&lt;&gt;"",D663&lt;&gt;"",F663&lt;&gt;"",G663&lt;&gt;"",H663&lt;&gt;"",ISERROR(SEARCH("по паспорту",G663)),ISERROR(SEARCH("по паспорту",H663)),I663&lt;&gt;"",J663&lt;&gt;"",K663&lt;&gt;"",L663&lt;&gt;"",M663&lt;&gt;""),"ГОТОВО","НЕ ГОТОВО"))</f>
        <v/>
      </c>
      <c r="Z663" s="226">
        <f>IF(Y663&lt;&gt;"ГОТОВО","", "Предварительное заключение: "&amp;A663&amp;", скв. "&amp;B663&amp;". МРП: "&amp;E663&amp;" сут. ГНО: "&amp;F663&amp;", типоразмер "&amp;G663&amp;", марка "&amp;H663&amp;". Событие: "&amp;I663&amp;". Признак: "&amp;J663&amp;". Узел: "&amp;K663&amp;". Предварительная причина: "&amp;L663&amp;". Основное осложнение: "&amp;M663&amp;IF(N663&lt;&gt;"","; сопутствующее: "&amp;N663,"")&amp;IF(O663&lt;&gt;"","; дополнительно: "&amp;O663,"")&amp;".")</f>
        <v/>
      </c>
    </row>
    <row r="664">
      <c r="A664" s="75" t="n"/>
      <c r="B664" s="75" t="n"/>
      <c r="C664" s="261" t="n"/>
      <c r="D664" s="261" t="n"/>
      <c r="E664" s="262">
        <f>IF(OR(C664="",D664=""),"",D664-C664)</f>
        <v/>
      </c>
      <c r="F664" s="75" t="n"/>
      <c r="G664" s="75" t="n"/>
      <c r="H664" s="75" t="n"/>
      <c r="I664" s="75" t="n"/>
      <c r="J664" s="75" t="n"/>
      <c r="K664" s="75" t="n"/>
      <c r="L664" s="75" t="n"/>
      <c r="M664" s="75" t="n"/>
      <c r="N664" s="75" t="n"/>
      <c r="O664" s="75" t="n"/>
      <c r="P664" s="75" t="n"/>
      <c r="Q664" s="75" t="n"/>
      <c r="R664" s="75" t="n"/>
      <c r="S664" s="75" t="n"/>
      <c r="T664" s="75" t="n"/>
      <c r="U664" s="75" t="n"/>
      <c r="V664" s="75" t="n"/>
      <c r="W664" s="75" t="n"/>
      <c r="X664" s="75" t="n"/>
      <c r="Y664" s="226">
        <f>IF(AND(A664="",B664=""),"",IF(AND(A664&lt;&gt;"",B664&lt;&gt;"",C664&lt;&gt;"",D664&lt;&gt;"",F664&lt;&gt;"",G664&lt;&gt;"",H664&lt;&gt;"",ISERROR(SEARCH("по паспорту",G664)),ISERROR(SEARCH("по паспорту",H664)),I664&lt;&gt;"",J664&lt;&gt;"",K664&lt;&gt;"",L664&lt;&gt;"",M664&lt;&gt;""),"ГОТОВО","НЕ ГОТОВО"))</f>
        <v/>
      </c>
      <c r="Z664" s="226">
        <f>IF(Y664&lt;&gt;"ГОТОВО","", "Предварительное заключение: "&amp;A664&amp;", скв. "&amp;B664&amp;". МРП: "&amp;E664&amp;" сут. ГНО: "&amp;F664&amp;", типоразмер "&amp;G664&amp;", марка "&amp;H664&amp;". Событие: "&amp;I664&amp;". Признак: "&amp;J664&amp;". Узел: "&amp;K664&amp;". Предварительная причина: "&amp;L664&amp;". Основное осложнение: "&amp;M664&amp;IF(N664&lt;&gt;"","; сопутствующее: "&amp;N664,"")&amp;IF(O664&lt;&gt;"","; дополнительно: "&amp;O664,"")&amp;".")</f>
        <v/>
      </c>
    </row>
    <row r="665">
      <c r="A665" s="75" t="n"/>
      <c r="B665" s="75" t="n"/>
      <c r="C665" s="261" t="n"/>
      <c r="D665" s="261" t="n"/>
      <c r="E665" s="262">
        <f>IF(OR(C665="",D665=""),"",D665-C665)</f>
        <v/>
      </c>
      <c r="F665" s="75" t="n"/>
      <c r="G665" s="75" t="n"/>
      <c r="H665" s="75" t="n"/>
      <c r="I665" s="75" t="n"/>
      <c r="J665" s="75" t="n"/>
      <c r="K665" s="75" t="n"/>
      <c r="L665" s="75" t="n"/>
      <c r="M665" s="75" t="n"/>
      <c r="N665" s="75" t="n"/>
      <c r="O665" s="75" t="n"/>
      <c r="P665" s="75" t="n"/>
      <c r="Q665" s="75" t="n"/>
      <c r="R665" s="75" t="n"/>
      <c r="S665" s="75" t="n"/>
      <c r="T665" s="75" t="n"/>
      <c r="U665" s="75" t="n"/>
      <c r="V665" s="75" t="n"/>
      <c r="W665" s="75" t="n"/>
      <c r="X665" s="75" t="n"/>
      <c r="Y665" s="226">
        <f>IF(AND(A665="",B665=""),"",IF(AND(A665&lt;&gt;"",B665&lt;&gt;"",C665&lt;&gt;"",D665&lt;&gt;"",F665&lt;&gt;"",G665&lt;&gt;"",H665&lt;&gt;"",ISERROR(SEARCH("по паспорту",G665)),ISERROR(SEARCH("по паспорту",H665)),I665&lt;&gt;"",J665&lt;&gt;"",K665&lt;&gt;"",L665&lt;&gt;"",M665&lt;&gt;""),"ГОТОВО","НЕ ГОТОВО"))</f>
        <v/>
      </c>
      <c r="Z665" s="226">
        <f>IF(Y665&lt;&gt;"ГОТОВО","", "Предварительное заключение: "&amp;A665&amp;", скв. "&amp;B665&amp;". МРП: "&amp;E665&amp;" сут. ГНО: "&amp;F665&amp;", типоразмер "&amp;G665&amp;", марка "&amp;H665&amp;". Событие: "&amp;I665&amp;". Признак: "&amp;J665&amp;". Узел: "&amp;K665&amp;". Предварительная причина: "&amp;L665&amp;". Основное осложнение: "&amp;M665&amp;IF(N665&lt;&gt;"","; сопутствующее: "&amp;N665,"")&amp;IF(O665&lt;&gt;"","; дополнительно: "&amp;O665,"")&amp;".")</f>
        <v/>
      </c>
    </row>
    <row r="666">
      <c r="A666" s="75" t="n"/>
      <c r="B666" s="75" t="n"/>
      <c r="C666" s="261" t="n"/>
      <c r="D666" s="261" t="n"/>
      <c r="E666" s="262">
        <f>IF(OR(C666="",D666=""),"",D666-C666)</f>
        <v/>
      </c>
      <c r="F666" s="75" t="n"/>
      <c r="G666" s="75" t="n"/>
      <c r="H666" s="75" t="n"/>
      <c r="I666" s="75" t="n"/>
      <c r="J666" s="75" t="n"/>
      <c r="K666" s="75" t="n"/>
      <c r="L666" s="75" t="n"/>
      <c r="M666" s="75" t="n"/>
      <c r="N666" s="75" t="n"/>
      <c r="O666" s="75" t="n"/>
      <c r="P666" s="75" t="n"/>
      <c r="Q666" s="75" t="n"/>
      <c r="R666" s="75" t="n"/>
      <c r="S666" s="75" t="n"/>
      <c r="T666" s="75" t="n"/>
      <c r="U666" s="75" t="n"/>
      <c r="V666" s="75" t="n"/>
      <c r="W666" s="75" t="n"/>
      <c r="X666" s="75" t="n"/>
      <c r="Y666" s="226">
        <f>IF(AND(A666="",B666=""),"",IF(AND(A666&lt;&gt;"",B666&lt;&gt;"",C666&lt;&gt;"",D666&lt;&gt;"",F666&lt;&gt;"",G666&lt;&gt;"",H666&lt;&gt;"",ISERROR(SEARCH("по паспорту",G666)),ISERROR(SEARCH("по паспорту",H666)),I666&lt;&gt;"",J666&lt;&gt;"",K666&lt;&gt;"",L666&lt;&gt;"",M666&lt;&gt;""),"ГОТОВО","НЕ ГОТОВО"))</f>
        <v/>
      </c>
      <c r="Z666" s="226">
        <f>IF(Y666&lt;&gt;"ГОТОВО","", "Предварительное заключение: "&amp;A666&amp;", скв. "&amp;B666&amp;". МРП: "&amp;E666&amp;" сут. ГНО: "&amp;F666&amp;", типоразмер "&amp;G666&amp;", марка "&amp;H666&amp;". Событие: "&amp;I666&amp;". Признак: "&amp;J666&amp;". Узел: "&amp;K666&amp;". Предварительная причина: "&amp;L666&amp;". Основное осложнение: "&amp;M666&amp;IF(N666&lt;&gt;"","; сопутствующее: "&amp;N666,"")&amp;IF(O666&lt;&gt;"","; дополнительно: "&amp;O666,"")&amp;".")</f>
        <v/>
      </c>
    </row>
    <row r="667">
      <c r="A667" s="75" t="n"/>
      <c r="B667" s="75" t="n"/>
      <c r="C667" s="261" t="n"/>
      <c r="D667" s="261" t="n"/>
      <c r="E667" s="262">
        <f>IF(OR(C667="",D667=""),"",D667-C667)</f>
        <v/>
      </c>
      <c r="F667" s="75" t="n"/>
      <c r="G667" s="75" t="n"/>
      <c r="H667" s="75" t="n"/>
      <c r="I667" s="75" t="n"/>
      <c r="J667" s="75" t="n"/>
      <c r="K667" s="75" t="n"/>
      <c r="L667" s="75" t="n"/>
      <c r="M667" s="75" t="n"/>
      <c r="N667" s="75" t="n"/>
      <c r="O667" s="75" t="n"/>
      <c r="P667" s="75" t="n"/>
      <c r="Q667" s="75" t="n"/>
      <c r="R667" s="75" t="n"/>
      <c r="S667" s="75" t="n"/>
      <c r="T667" s="75" t="n"/>
      <c r="U667" s="75" t="n"/>
      <c r="V667" s="75" t="n"/>
      <c r="W667" s="75" t="n"/>
      <c r="X667" s="75" t="n"/>
      <c r="Y667" s="226">
        <f>IF(AND(A667="",B667=""),"",IF(AND(A667&lt;&gt;"",B667&lt;&gt;"",C667&lt;&gt;"",D667&lt;&gt;"",F667&lt;&gt;"",G667&lt;&gt;"",H667&lt;&gt;"",ISERROR(SEARCH("по паспорту",G667)),ISERROR(SEARCH("по паспорту",H667)),I667&lt;&gt;"",J667&lt;&gt;"",K667&lt;&gt;"",L667&lt;&gt;"",M667&lt;&gt;""),"ГОТОВО","НЕ ГОТОВО"))</f>
        <v/>
      </c>
      <c r="Z667" s="226">
        <f>IF(Y667&lt;&gt;"ГОТОВО","", "Предварительное заключение: "&amp;A667&amp;", скв. "&amp;B667&amp;". МРП: "&amp;E667&amp;" сут. ГНО: "&amp;F667&amp;", типоразмер "&amp;G667&amp;", марка "&amp;H667&amp;". Событие: "&amp;I667&amp;". Признак: "&amp;J667&amp;". Узел: "&amp;K667&amp;". Предварительная причина: "&amp;L667&amp;". Основное осложнение: "&amp;M667&amp;IF(N667&lt;&gt;"","; сопутствующее: "&amp;N667,"")&amp;IF(O667&lt;&gt;"","; дополнительно: "&amp;O667,"")&amp;".")</f>
        <v/>
      </c>
    </row>
    <row r="668">
      <c r="A668" s="75" t="n"/>
      <c r="B668" s="75" t="n"/>
      <c r="C668" s="261" t="n"/>
      <c r="D668" s="261" t="n"/>
      <c r="E668" s="262">
        <f>IF(OR(C668="",D668=""),"",D668-C668)</f>
        <v/>
      </c>
      <c r="F668" s="75" t="n"/>
      <c r="G668" s="75" t="n"/>
      <c r="H668" s="75" t="n"/>
      <c r="I668" s="75" t="n"/>
      <c r="J668" s="75" t="n"/>
      <c r="K668" s="75" t="n"/>
      <c r="L668" s="75" t="n"/>
      <c r="M668" s="75" t="n"/>
      <c r="N668" s="75" t="n"/>
      <c r="O668" s="75" t="n"/>
      <c r="P668" s="75" t="n"/>
      <c r="Q668" s="75" t="n"/>
      <c r="R668" s="75" t="n"/>
      <c r="S668" s="75" t="n"/>
      <c r="T668" s="75" t="n"/>
      <c r="U668" s="75" t="n"/>
      <c r="V668" s="75" t="n"/>
      <c r="W668" s="75" t="n"/>
      <c r="X668" s="75" t="n"/>
      <c r="Y668" s="226">
        <f>IF(AND(A668="",B668=""),"",IF(AND(A668&lt;&gt;"",B668&lt;&gt;"",C668&lt;&gt;"",D668&lt;&gt;"",F668&lt;&gt;"",G668&lt;&gt;"",H668&lt;&gt;"",ISERROR(SEARCH("по паспорту",G668)),ISERROR(SEARCH("по паспорту",H668)),I668&lt;&gt;"",J668&lt;&gt;"",K668&lt;&gt;"",L668&lt;&gt;"",M668&lt;&gt;""),"ГОТОВО","НЕ ГОТОВО"))</f>
        <v/>
      </c>
      <c r="Z668" s="226">
        <f>IF(Y668&lt;&gt;"ГОТОВО","", "Предварительное заключение: "&amp;A668&amp;", скв. "&amp;B668&amp;". МРП: "&amp;E668&amp;" сут. ГНО: "&amp;F668&amp;", типоразмер "&amp;G668&amp;", марка "&amp;H668&amp;". Событие: "&amp;I668&amp;". Признак: "&amp;J668&amp;". Узел: "&amp;K668&amp;". Предварительная причина: "&amp;L668&amp;". Основное осложнение: "&amp;M668&amp;IF(N668&lt;&gt;"","; сопутствующее: "&amp;N668,"")&amp;IF(O668&lt;&gt;"","; дополнительно: "&amp;O668,"")&amp;".")</f>
        <v/>
      </c>
    </row>
    <row r="669">
      <c r="A669" s="75" t="n"/>
      <c r="B669" s="75" t="n"/>
      <c r="C669" s="261" t="n"/>
      <c r="D669" s="261" t="n"/>
      <c r="E669" s="262">
        <f>IF(OR(C669="",D669=""),"",D669-C669)</f>
        <v/>
      </c>
      <c r="F669" s="75" t="n"/>
      <c r="G669" s="75" t="n"/>
      <c r="H669" s="75" t="n"/>
      <c r="I669" s="75" t="n"/>
      <c r="J669" s="75" t="n"/>
      <c r="K669" s="75" t="n"/>
      <c r="L669" s="75" t="n"/>
      <c r="M669" s="75" t="n"/>
      <c r="N669" s="75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226">
        <f>IF(AND(A669="",B669=""),"",IF(AND(A669&lt;&gt;"",B669&lt;&gt;"",C669&lt;&gt;"",D669&lt;&gt;"",F669&lt;&gt;"",G669&lt;&gt;"",H669&lt;&gt;"",ISERROR(SEARCH("по паспорту",G669)),ISERROR(SEARCH("по паспорту",H669)),I669&lt;&gt;"",J669&lt;&gt;"",K669&lt;&gt;"",L669&lt;&gt;"",M669&lt;&gt;""),"ГОТОВО","НЕ ГОТОВО"))</f>
        <v/>
      </c>
      <c r="Z669" s="226">
        <f>IF(Y669&lt;&gt;"ГОТОВО","", "Предварительное заключение: "&amp;A669&amp;", скв. "&amp;B669&amp;". МРП: "&amp;E669&amp;" сут. ГНО: "&amp;F669&amp;", типоразмер "&amp;G669&amp;", марка "&amp;H669&amp;". Событие: "&amp;I669&amp;". Признак: "&amp;J669&amp;". Узел: "&amp;K669&amp;". Предварительная причина: "&amp;L669&amp;". Основное осложнение: "&amp;M669&amp;IF(N669&lt;&gt;"","; сопутствующее: "&amp;N669,"")&amp;IF(O669&lt;&gt;"","; дополнительно: "&amp;O669,"")&amp;".")</f>
        <v/>
      </c>
    </row>
    <row r="670">
      <c r="A670" s="75" t="n"/>
      <c r="B670" s="75" t="n"/>
      <c r="C670" s="261" t="n"/>
      <c r="D670" s="261" t="n"/>
      <c r="E670" s="262">
        <f>IF(OR(C670="",D670=""),"",D670-C670)</f>
        <v/>
      </c>
      <c r="F670" s="75" t="n"/>
      <c r="G670" s="75" t="n"/>
      <c r="H670" s="75" t="n"/>
      <c r="I670" s="75" t="n"/>
      <c r="J670" s="75" t="n"/>
      <c r="K670" s="75" t="n"/>
      <c r="L670" s="75" t="n"/>
      <c r="M670" s="75" t="n"/>
      <c r="N670" s="75" t="n"/>
      <c r="O670" s="75" t="n"/>
      <c r="P670" s="75" t="n"/>
      <c r="Q670" s="75" t="n"/>
      <c r="R670" s="75" t="n"/>
      <c r="S670" s="75" t="n"/>
      <c r="T670" s="75" t="n"/>
      <c r="U670" s="75" t="n"/>
      <c r="V670" s="75" t="n"/>
      <c r="W670" s="75" t="n"/>
      <c r="X670" s="75" t="n"/>
      <c r="Y670" s="226">
        <f>IF(AND(A670="",B670=""),"",IF(AND(A670&lt;&gt;"",B670&lt;&gt;"",C670&lt;&gt;"",D670&lt;&gt;"",F670&lt;&gt;"",G670&lt;&gt;"",H670&lt;&gt;"",ISERROR(SEARCH("по паспорту",G670)),ISERROR(SEARCH("по паспорту",H670)),I670&lt;&gt;"",J670&lt;&gt;"",K670&lt;&gt;"",L670&lt;&gt;"",M670&lt;&gt;""),"ГОТОВО","НЕ ГОТОВО"))</f>
        <v/>
      </c>
      <c r="Z670" s="226">
        <f>IF(Y670&lt;&gt;"ГОТОВО","", "Предварительное заключение: "&amp;A670&amp;", скв. "&amp;B670&amp;". МРП: "&amp;E670&amp;" сут. ГНО: "&amp;F670&amp;", типоразмер "&amp;G670&amp;", марка "&amp;H670&amp;". Событие: "&amp;I670&amp;". Признак: "&amp;J670&amp;". Узел: "&amp;K670&amp;". Предварительная причина: "&amp;L670&amp;". Основное осложнение: "&amp;M670&amp;IF(N670&lt;&gt;"","; сопутствующее: "&amp;N670,"")&amp;IF(O670&lt;&gt;"","; дополнительно: "&amp;O670,"")&amp;".")</f>
        <v/>
      </c>
    </row>
    <row r="671">
      <c r="A671" s="75" t="n"/>
      <c r="B671" s="75" t="n"/>
      <c r="C671" s="261" t="n"/>
      <c r="D671" s="261" t="n"/>
      <c r="E671" s="262">
        <f>IF(OR(C671="",D671=""),"",D671-C671)</f>
        <v/>
      </c>
      <c r="F671" s="75" t="n"/>
      <c r="G671" s="75" t="n"/>
      <c r="H671" s="75" t="n"/>
      <c r="I671" s="75" t="n"/>
      <c r="J671" s="75" t="n"/>
      <c r="K671" s="75" t="n"/>
      <c r="L671" s="75" t="n"/>
      <c r="M671" s="75" t="n"/>
      <c r="N671" s="75" t="n"/>
      <c r="O671" s="75" t="n"/>
      <c r="P671" s="75" t="n"/>
      <c r="Q671" s="75" t="n"/>
      <c r="R671" s="75" t="n"/>
      <c r="S671" s="75" t="n"/>
      <c r="T671" s="75" t="n"/>
      <c r="U671" s="75" t="n"/>
      <c r="V671" s="75" t="n"/>
      <c r="W671" s="75" t="n"/>
      <c r="X671" s="75" t="n"/>
      <c r="Y671" s="226">
        <f>IF(AND(A671="",B671=""),"",IF(AND(A671&lt;&gt;"",B671&lt;&gt;"",C671&lt;&gt;"",D671&lt;&gt;"",F671&lt;&gt;"",G671&lt;&gt;"",H671&lt;&gt;"",ISERROR(SEARCH("по паспорту",G671)),ISERROR(SEARCH("по паспорту",H671)),I671&lt;&gt;"",J671&lt;&gt;"",K671&lt;&gt;"",L671&lt;&gt;"",M671&lt;&gt;""),"ГОТОВО","НЕ ГОТОВО"))</f>
        <v/>
      </c>
      <c r="Z671" s="226">
        <f>IF(Y671&lt;&gt;"ГОТОВО","", "Предварительное заключение: "&amp;A671&amp;", скв. "&amp;B671&amp;". МРП: "&amp;E671&amp;" сут. ГНО: "&amp;F671&amp;", типоразмер "&amp;G671&amp;", марка "&amp;H671&amp;". Событие: "&amp;I671&amp;". Признак: "&amp;J671&amp;". Узел: "&amp;K671&amp;". Предварительная причина: "&amp;L671&amp;". Основное осложнение: "&amp;M671&amp;IF(N671&lt;&gt;"","; сопутствующее: "&amp;N671,"")&amp;IF(O671&lt;&gt;"","; дополнительно: "&amp;O671,"")&amp;".")</f>
        <v/>
      </c>
    </row>
    <row r="672">
      <c r="A672" s="75" t="n"/>
      <c r="B672" s="75" t="n"/>
      <c r="C672" s="261" t="n"/>
      <c r="D672" s="261" t="n"/>
      <c r="E672" s="262">
        <f>IF(OR(C672="",D672=""),"",D672-C672)</f>
        <v/>
      </c>
      <c r="F672" s="75" t="n"/>
      <c r="G672" s="75" t="n"/>
      <c r="H672" s="75" t="n"/>
      <c r="I672" s="75" t="n"/>
      <c r="J672" s="75" t="n"/>
      <c r="K672" s="75" t="n"/>
      <c r="L672" s="75" t="n"/>
      <c r="M672" s="75" t="n"/>
      <c r="N672" s="75" t="n"/>
      <c r="O672" s="75" t="n"/>
      <c r="P672" s="75" t="n"/>
      <c r="Q672" s="75" t="n"/>
      <c r="R672" s="75" t="n"/>
      <c r="S672" s="75" t="n"/>
      <c r="T672" s="75" t="n"/>
      <c r="U672" s="75" t="n"/>
      <c r="V672" s="75" t="n"/>
      <c r="W672" s="75" t="n"/>
      <c r="X672" s="75" t="n"/>
      <c r="Y672" s="226">
        <f>IF(AND(A672="",B672=""),"",IF(AND(A672&lt;&gt;"",B672&lt;&gt;"",C672&lt;&gt;"",D672&lt;&gt;"",F672&lt;&gt;"",G672&lt;&gt;"",H672&lt;&gt;"",ISERROR(SEARCH("по паспорту",G672)),ISERROR(SEARCH("по паспорту",H672)),I672&lt;&gt;"",J672&lt;&gt;"",K672&lt;&gt;"",L672&lt;&gt;"",M672&lt;&gt;""),"ГОТОВО","НЕ ГОТОВО"))</f>
        <v/>
      </c>
      <c r="Z672" s="226">
        <f>IF(Y672&lt;&gt;"ГОТОВО","", "Предварительное заключение: "&amp;A672&amp;", скв. "&amp;B672&amp;". МРП: "&amp;E672&amp;" сут. ГНО: "&amp;F672&amp;", типоразмер "&amp;G672&amp;", марка "&amp;H672&amp;". Событие: "&amp;I672&amp;". Признак: "&amp;J672&amp;". Узел: "&amp;K672&amp;". Предварительная причина: "&amp;L672&amp;". Основное осложнение: "&amp;M672&amp;IF(N672&lt;&gt;"","; сопутствующее: "&amp;N672,"")&amp;IF(O672&lt;&gt;"","; дополнительно: "&amp;O672,"")&amp;".")</f>
        <v/>
      </c>
    </row>
    <row r="673">
      <c r="A673" s="75" t="n"/>
      <c r="B673" s="75" t="n"/>
      <c r="C673" s="261" t="n"/>
      <c r="D673" s="261" t="n"/>
      <c r="E673" s="262">
        <f>IF(OR(C673="",D673=""),"",D673-C673)</f>
        <v/>
      </c>
      <c r="F673" s="75" t="n"/>
      <c r="G673" s="75" t="n"/>
      <c r="H673" s="75" t="n"/>
      <c r="I673" s="75" t="n"/>
      <c r="J673" s="75" t="n"/>
      <c r="K673" s="75" t="n"/>
      <c r="L673" s="75" t="n"/>
      <c r="M673" s="75" t="n"/>
      <c r="N673" s="75" t="n"/>
      <c r="O673" s="75" t="n"/>
      <c r="P673" s="75" t="n"/>
      <c r="Q673" s="75" t="n"/>
      <c r="R673" s="75" t="n"/>
      <c r="S673" s="75" t="n"/>
      <c r="T673" s="75" t="n"/>
      <c r="U673" s="75" t="n"/>
      <c r="V673" s="75" t="n"/>
      <c r="W673" s="75" t="n"/>
      <c r="X673" s="75" t="n"/>
      <c r="Y673" s="226">
        <f>IF(AND(A673="",B673=""),"",IF(AND(A673&lt;&gt;"",B673&lt;&gt;"",C673&lt;&gt;"",D673&lt;&gt;"",F673&lt;&gt;"",G673&lt;&gt;"",H673&lt;&gt;"",ISERROR(SEARCH("по паспорту",G673)),ISERROR(SEARCH("по паспорту",H673)),I673&lt;&gt;"",J673&lt;&gt;"",K673&lt;&gt;"",L673&lt;&gt;"",M673&lt;&gt;""),"ГОТОВО","НЕ ГОТОВО"))</f>
        <v/>
      </c>
      <c r="Z673" s="226">
        <f>IF(Y673&lt;&gt;"ГОТОВО","", "Предварительное заключение: "&amp;A673&amp;", скв. "&amp;B673&amp;". МРП: "&amp;E673&amp;" сут. ГНО: "&amp;F673&amp;", типоразмер "&amp;G673&amp;", марка "&amp;H673&amp;". Событие: "&amp;I673&amp;". Признак: "&amp;J673&amp;". Узел: "&amp;K673&amp;". Предварительная причина: "&amp;L673&amp;". Основное осложнение: "&amp;M673&amp;IF(N673&lt;&gt;"","; сопутствующее: "&amp;N673,"")&amp;IF(O673&lt;&gt;"","; дополнительно: "&amp;O673,"")&amp;".")</f>
        <v/>
      </c>
    </row>
    <row r="674">
      <c r="A674" s="75" t="n"/>
      <c r="B674" s="75" t="n"/>
      <c r="C674" s="261" t="n"/>
      <c r="D674" s="261" t="n"/>
      <c r="E674" s="262">
        <f>IF(OR(C674="",D674=""),"",D674-C674)</f>
        <v/>
      </c>
      <c r="F674" s="75" t="n"/>
      <c r="G674" s="75" t="n"/>
      <c r="H674" s="75" t="n"/>
      <c r="I674" s="75" t="n"/>
      <c r="J674" s="75" t="n"/>
      <c r="K674" s="75" t="n"/>
      <c r="L674" s="75" t="n"/>
      <c r="M674" s="75" t="n"/>
      <c r="N674" s="75" t="n"/>
      <c r="O674" s="75" t="n"/>
      <c r="P674" s="75" t="n"/>
      <c r="Q674" s="75" t="n"/>
      <c r="R674" s="75" t="n"/>
      <c r="S674" s="75" t="n"/>
      <c r="T674" s="75" t="n"/>
      <c r="U674" s="75" t="n"/>
      <c r="V674" s="75" t="n"/>
      <c r="W674" s="75" t="n"/>
      <c r="X674" s="75" t="n"/>
      <c r="Y674" s="226">
        <f>IF(AND(A674="",B674=""),"",IF(AND(A674&lt;&gt;"",B674&lt;&gt;"",C674&lt;&gt;"",D674&lt;&gt;"",F674&lt;&gt;"",G674&lt;&gt;"",H674&lt;&gt;"",ISERROR(SEARCH("по паспорту",G674)),ISERROR(SEARCH("по паспорту",H674)),I674&lt;&gt;"",J674&lt;&gt;"",K674&lt;&gt;"",L674&lt;&gt;"",M674&lt;&gt;""),"ГОТОВО","НЕ ГОТОВО"))</f>
        <v/>
      </c>
      <c r="Z674" s="226">
        <f>IF(Y674&lt;&gt;"ГОТОВО","", "Предварительное заключение: "&amp;A674&amp;", скв. "&amp;B674&amp;". МРП: "&amp;E674&amp;" сут. ГНО: "&amp;F674&amp;", типоразмер "&amp;G674&amp;", марка "&amp;H674&amp;". Событие: "&amp;I674&amp;". Признак: "&amp;J674&amp;". Узел: "&amp;K674&amp;". Предварительная причина: "&amp;L674&amp;". Основное осложнение: "&amp;M674&amp;IF(N674&lt;&gt;"","; сопутствующее: "&amp;N674,"")&amp;IF(O674&lt;&gt;"","; дополнительно: "&amp;O674,"")&amp;".")</f>
        <v/>
      </c>
    </row>
    <row r="675">
      <c r="A675" s="75" t="n"/>
      <c r="B675" s="75" t="n"/>
      <c r="C675" s="261" t="n"/>
      <c r="D675" s="261" t="n"/>
      <c r="E675" s="262">
        <f>IF(OR(C675="",D675=""),"",D675-C675)</f>
        <v/>
      </c>
      <c r="F675" s="75" t="n"/>
      <c r="G675" s="75" t="n"/>
      <c r="H675" s="75" t="n"/>
      <c r="I675" s="75" t="n"/>
      <c r="J675" s="75" t="n"/>
      <c r="K675" s="75" t="n"/>
      <c r="L675" s="75" t="n"/>
      <c r="M675" s="75" t="n"/>
      <c r="N675" s="75" t="n"/>
      <c r="O675" s="75" t="n"/>
      <c r="P675" s="75" t="n"/>
      <c r="Q675" s="75" t="n"/>
      <c r="R675" s="75" t="n"/>
      <c r="S675" s="75" t="n"/>
      <c r="T675" s="75" t="n"/>
      <c r="U675" s="75" t="n"/>
      <c r="V675" s="75" t="n"/>
      <c r="W675" s="75" t="n"/>
      <c r="X675" s="75" t="n"/>
      <c r="Y675" s="226">
        <f>IF(AND(A675="",B675=""),"",IF(AND(A675&lt;&gt;"",B675&lt;&gt;"",C675&lt;&gt;"",D675&lt;&gt;"",F675&lt;&gt;"",G675&lt;&gt;"",H675&lt;&gt;"",ISERROR(SEARCH("по паспорту",G675)),ISERROR(SEARCH("по паспорту",H675)),I675&lt;&gt;"",J675&lt;&gt;"",K675&lt;&gt;"",L675&lt;&gt;"",M675&lt;&gt;""),"ГОТОВО","НЕ ГОТОВО"))</f>
        <v/>
      </c>
      <c r="Z675" s="226">
        <f>IF(Y675&lt;&gt;"ГОТОВО","", "Предварительное заключение: "&amp;A675&amp;", скв. "&amp;B675&amp;". МРП: "&amp;E675&amp;" сут. ГНО: "&amp;F675&amp;", типоразмер "&amp;G675&amp;", марка "&amp;H675&amp;". Событие: "&amp;I675&amp;". Признак: "&amp;J675&amp;". Узел: "&amp;K675&amp;". Предварительная причина: "&amp;L675&amp;". Основное осложнение: "&amp;M675&amp;IF(N675&lt;&gt;"","; сопутствующее: "&amp;N675,"")&amp;IF(O675&lt;&gt;"","; дополнительно: "&amp;O675,"")&amp;".")</f>
        <v/>
      </c>
    </row>
    <row r="676">
      <c r="A676" s="75" t="n"/>
      <c r="B676" s="75" t="n"/>
      <c r="C676" s="261" t="n"/>
      <c r="D676" s="261" t="n"/>
      <c r="E676" s="262">
        <f>IF(OR(C676="",D676=""),"",D676-C676)</f>
        <v/>
      </c>
      <c r="F676" s="75" t="n"/>
      <c r="G676" s="75" t="n"/>
      <c r="H676" s="75" t="n"/>
      <c r="I676" s="75" t="n"/>
      <c r="J676" s="75" t="n"/>
      <c r="K676" s="75" t="n"/>
      <c r="L676" s="75" t="n"/>
      <c r="M676" s="75" t="n"/>
      <c r="N676" s="75" t="n"/>
      <c r="O676" s="75" t="n"/>
      <c r="P676" s="75" t="n"/>
      <c r="Q676" s="75" t="n"/>
      <c r="R676" s="75" t="n"/>
      <c r="S676" s="75" t="n"/>
      <c r="T676" s="75" t="n"/>
      <c r="U676" s="75" t="n"/>
      <c r="V676" s="75" t="n"/>
      <c r="W676" s="75" t="n"/>
      <c r="X676" s="75" t="n"/>
      <c r="Y676" s="226">
        <f>IF(AND(A676="",B676=""),"",IF(AND(A676&lt;&gt;"",B676&lt;&gt;"",C676&lt;&gt;"",D676&lt;&gt;"",F676&lt;&gt;"",G676&lt;&gt;"",H676&lt;&gt;"",ISERROR(SEARCH("по паспорту",G676)),ISERROR(SEARCH("по паспорту",H676)),I676&lt;&gt;"",J676&lt;&gt;"",K676&lt;&gt;"",L676&lt;&gt;"",M676&lt;&gt;""),"ГОТОВО","НЕ ГОТОВО"))</f>
        <v/>
      </c>
      <c r="Z676" s="226">
        <f>IF(Y676&lt;&gt;"ГОТОВО","", "Предварительное заключение: "&amp;A676&amp;", скв. "&amp;B676&amp;". МРП: "&amp;E676&amp;" сут. ГНО: "&amp;F676&amp;", типоразмер "&amp;G676&amp;", марка "&amp;H676&amp;". Событие: "&amp;I676&amp;". Признак: "&amp;J676&amp;". Узел: "&amp;K676&amp;". Предварительная причина: "&amp;L676&amp;". Основное осложнение: "&amp;M676&amp;IF(N676&lt;&gt;"","; сопутствующее: "&amp;N676,"")&amp;IF(O676&lt;&gt;"","; дополнительно: "&amp;O676,"")&amp;".")</f>
        <v/>
      </c>
    </row>
    <row r="677">
      <c r="A677" s="75" t="n"/>
      <c r="B677" s="75" t="n"/>
      <c r="C677" s="261" t="n"/>
      <c r="D677" s="261" t="n"/>
      <c r="E677" s="262">
        <f>IF(OR(C677="",D677=""),"",D677-C677)</f>
        <v/>
      </c>
      <c r="F677" s="75" t="n"/>
      <c r="G677" s="75" t="n"/>
      <c r="H677" s="75" t="n"/>
      <c r="I677" s="75" t="n"/>
      <c r="J677" s="75" t="n"/>
      <c r="K677" s="75" t="n"/>
      <c r="L677" s="75" t="n"/>
      <c r="M677" s="75" t="n"/>
      <c r="N677" s="75" t="n"/>
      <c r="O677" s="75" t="n"/>
      <c r="P677" s="75" t="n"/>
      <c r="Q677" s="75" t="n"/>
      <c r="R677" s="75" t="n"/>
      <c r="S677" s="75" t="n"/>
      <c r="T677" s="75" t="n"/>
      <c r="U677" s="75" t="n"/>
      <c r="V677" s="75" t="n"/>
      <c r="W677" s="75" t="n"/>
      <c r="X677" s="75" t="n"/>
      <c r="Y677" s="226">
        <f>IF(AND(A677="",B677=""),"",IF(AND(A677&lt;&gt;"",B677&lt;&gt;"",C677&lt;&gt;"",D677&lt;&gt;"",F677&lt;&gt;"",G677&lt;&gt;"",H677&lt;&gt;"",ISERROR(SEARCH("по паспорту",G677)),ISERROR(SEARCH("по паспорту",H677)),I677&lt;&gt;"",J677&lt;&gt;"",K677&lt;&gt;"",L677&lt;&gt;"",M677&lt;&gt;""),"ГОТОВО","НЕ ГОТОВО"))</f>
        <v/>
      </c>
      <c r="Z677" s="226">
        <f>IF(Y677&lt;&gt;"ГОТОВО","", "Предварительное заключение: "&amp;A677&amp;", скв. "&amp;B677&amp;". МРП: "&amp;E677&amp;" сут. ГНО: "&amp;F677&amp;", типоразмер "&amp;G677&amp;", марка "&amp;H677&amp;". Событие: "&amp;I677&amp;". Признак: "&amp;J677&amp;". Узел: "&amp;K677&amp;". Предварительная причина: "&amp;L677&amp;". Основное осложнение: "&amp;M677&amp;IF(N677&lt;&gt;"","; сопутствующее: "&amp;N677,"")&amp;IF(O677&lt;&gt;"","; дополнительно: "&amp;O677,"")&amp;".")</f>
        <v/>
      </c>
    </row>
    <row r="678">
      <c r="A678" s="75" t="n"/>
      <c r="B678" s="75" t="n"/>
      <c r="C678" s="261" t="n"/>
      <c r="D678" s="261" t="n"/>
      <c r="E678" s="262">
        <f>IF(OR(C678="",D678=""),"",D678-C678)</f>
        <v/>
      </c>
      <c r="F678" s="75" t="n"/>
      <c r="G678" s="75" t="n"/>
      <c r="H678" s="75" t="n"/>
      <c r="I678" s="75" t="n"/>
      <c r="J678" s="75" t="n"/>
      <c r="K678" s="75" t="n"/>
      <c r="L678" s="75" t="n"/>
      <c r="M678" s="75" t="n"/>
      <c r="N678" s="75" t="n"/>
      <c r="O678" s="75" t="n"/>
      <c r="P678" s="75" t="n"/>
      <c r="Q678" s="75" t="n"/>
      <c r="R678" s="75" t="n"/>
      <c r="S678" s="75" t="n"/>
      <c r="T678" s="75" t="n"/>
      <c r="U678" s="75" t="n"/>
      <c r="V678" s="75" t="n"/>
      <c r="W678" s="75" t="n"/>
      <c r="X678" s="75" t="n"/>
      <c r="Y678" s="226">
        <f>IF(AND(A678="",B678=""),"",IF(AND(A678&lt;&gt;"",B678&lt;&gt;"",C678&lt;&gt;"",D678&lt;&gt;"",F678&lt;&gt;"",G678&lt;&gt;"",H678&lt;&gt;"",ISERROR(SEARCH("по паспорту",G678)),ISERROR(SEARCH("по паспорту",H678)),I678&lt;&gt;"",J678&lt;&gt;"",K678&lt;&gt;"",L678&lt;&gt;"",M678&lt;&gt;""),"ГОТОВО","НЕ ГОТОВО"))</f>
        <v/>
      </c>
      <c r="Z678" s="226">
        <f>IF(Y678&lt;&gt;"ГОТОВО","", "Предварительное заключение: "&amp;A678&amp;", скв. "&amp;B678&amp;". МРП: "&amp;E678&amp;" сут. ГНО: "&amp;F678&amp;", типоразмер "&amp;G678&amp;", марка "&amp;H678&amp;". Событие: "&amp;I678&amp;". Признак: "&amp;J678&amp;". Узел: "&amp;K678&amp;". Предварительная причина: "&amp;L678&amp;". Основное осложнение: "&amp;M678&amp;IF(N678&lt;&gt;"","; сопутствующее: "&amp;N678,"")&amp;IF(O678&lt;&gt;"","; дополнительно: "&amp;O678,"")&amp;".")</f>
        <v/>
      </c>
    </row>
    <row r="679">
      <c r="A679" s="75" t="n"/>
      <c r="B679" s="75" t="n"/>
      <c r="C679" s="261" t="n"/>
      <c r="D679" s="261" t="n"/>
      <c r="E679" s="262">
        <f>IF(OR(C679="",D679=""),"",D679-C679)</f>
        <v/>
      </c>
      <c r="F679" s="75" t="n"/>
      <c r="G679" s="75" t="n"/>
      <c r="H679" s="75" t="n"/>
      <c r="I679" s="75" t="n"/>
      <c r="J679" s="75" t="n"/>
      <c r="K679" s="75" t="n"/>
      <c r="L679" s="75" t="n"/>
      <c r="M679" s="75" t="n"/>
      <c r="N679" s="75" t="n"/>
      <c r="O679" s="75" t="n"/>
      <c r="P679" s="75" t="n"/>
      <c r="Q679" s="75" t="n"/>
      <c r="R679" s="75" t="n"/>
      <c r="S679" s="75" t="n"/>
      <c r="T679" s="75" t="n"/>
      <c r="U679" s="75" t="n"/>
      <c r="V679" s="75" t="n"/>
      <c r="W679" s="75" t="n"/>
      <c r="X679" s="75" t="n"/>
      <c r="Y679" s="226">
        <f>IF(AND(A679="",B679=""),"",IF(AND(A679&lt;&gt;"",B679&lt;&gt;"",C679&lt;&gt;"",D679&lt;&gt;"",F679&lt;&gt;"",G679&lt;&gt;"",H679&lt;&gt;"",ISERROR(SEARCH("по паспорту",G679)),ISERROR(SEARCH("по паспорту",H679)),I679&lt;&gt;"",J679&lt;&gt;"",K679&lt;&gt;"",L679&lt;&gt;"",M679&lt;&gt;""),"ГОТОВО","НЕ ГОТОВО"))</f>
        <v/>
      </c>
      <c r="Z679" s="226">
        <f>IF(Y679&lt;&gt;"ГОТОВО","", "Предварительное заключение: "&amp;A679&amp;", скв. "&amp;B679&amp;". МРП: "&amp;E679&amp;" сут. ГНО: "&amp;F679&amp;", типоразмер "&amp;G679&amp;", марка "&amp;H679&amp;". Событие: "&amp;I679&amp;". Признак: "&amp;J679&amp;". Узел: "&amp;K679&amp;". Предварительная причина: "&amp;L679&amp;". Основное осложнение: "&amp;M679&amp;IF(N679&lt;&gt;"","; сопутствующее: "&amp;N679,"")&amp;IF(O679&lt;&gt;"","; дополнительно: "&amp;O679,"")&amp;".")</f>
        <v/>
      </c>
    </row>
    <row r="680">
      <c r="A680" s="75" t="n"/>
      <c r="B680" s="75" t="n"/>
      <c r="C680" s="261" t="n"/>
      <c r="D680" s="261" t="n"/>
      <c r="E680" s="262">
        <f>IF(OR(C680="",D680=""),"",D680-C680)</f>
        <v/>
      </c>
      <c r="F680" s="75" t="n"/>
      <c r="G680" s="75" t="n"/>
      <c r="H680" s="75" t="n"/>
      <c r="I680" s="75" t="n"/>
      <c r="J680" s="75" t="n"/>
      <c r="K680" s="75" t="n"/>
      <c r="L680" s="75" t="n"/>
      <c r="M680" s="75" t="n"/>
      <c r="N680" s="75" t="n"/>
      <c r="O680" s="75" t="n"/>
      <c r="P680" s="75" t="n"/>
      <c r="Q680" s="75" t="n"/>
      <c r="R680" s="75" t="n"/>
      <c r="S680" s="75" t="n"/>
      <c r="T680" s="75" t="n"/>
      <c r="U680" s="75" t="n"/>
      <c r="V680" s="75" t="n"/>
      <c r="W680" s="75" t="n"/>
      <c r="X680" s="75" t="n"/>
      <c r="Y680" s="226">
        <f>IF(AND(A680="",B680=""),"",IF(AND(A680&lt;&gt;"",B680&lt;&gt;"",C680&lt;&gt;"",D680&lt;&gt;"",F680&lt;&gt;"",G680&lt;&gt;"",H680&lt;&gt;"",ISERROR(SEARCH("по паспорту",G680)),ISERROR(SEARCH("по паспорту",H680)),I680&lt;&gt;"",J680&lt;&gt;"",K680&lt;&gt;"",L680&lt;&gt;"",M680&lt;&gt;""),"ГОТОВО","НЕ ГОТОВО"))</f>
        <v/>
      </c>
      <c r="Z680" s="226">
        <f>IF(Y680&lt;&gt;"ГОТОВО","", "Предварительное заключение: "&amp;A680&amp;", скв. "&amp;B680&amp;". МРП: "&amp;E680&amp;" сут. ГНО: "&amp;F680&amp;", типоразмер "&amp;G680&amp;", марка "&amp;H680&amp;". Событие: "&amp;I680&amp;". Признак: "&amp;J680&amp;". Узел: "&amp;K680&amp;". Предварительная причина: "&amp;L680&amp;". Основное осложнение: "&amp;M680&amp;IF(N680&lt;&gt;"","; сопутствующее: "&amp;N680,"")&amp;IF(O680&lt;&gt;"","; дополнительно: "&amp;O680,"")&amp;".")</f>
        <v/>
      </c>
    </row>
    <row r="681">
      <c r="A681" s="75" t="n"/>
      <c r="B681" s="75" t="n"/>
      <c r="C681" s="261" t="n"/>
      <c r="D681" s="261" t="n"/>
      <c r="E681" s="262">
        <f>IF(OR(C681="",D681=""),"",D681-C681)</f>
        <v/>
      </c>
      <c r="F681" s="75" t="n"/>
      <c r="G681" s="75" t="n"/>
      <c r="H681" s="75" t="n"/>
      <c r="I681" s="75" t="n"/>
      <c r="J681" s="75" t="n"/>
      <c r="K681" s="75" t="n"/>
      <c r="L681" s="75" t="n"/>
      <c r="M681" s="75" t="n"/>
      <c r="N681" s="75" t="n"/>
      <c r="O681" s="75" t="n"/>
      <c r="P681" s="75" t="n"/>
      <c r="Q681" s="75" t="n"/>
      <c r="R681" s="75" t="n"/>
      <c r="S681" s="75" t="n"/>
      <c r="T681" s="75" t="n"/>
      <c r="U681" s="75" t="n"/>
      <c r="V681" s="75" t="n"/>
      <c r="W681" s="75" t="n"/>
      <c r="X681" s="75" t="n"/>
      <c r="Y681" s="226">
        <f>IF(AND(A681="",B681=""),"",IF(AND(A681&lt;&gt;"",B681&lt;&gt;"",C681&lt;&gt;"",D681&lt;&gt;"",F681&lt;&gt;"",G681&lt;&gt;"",H681&lt;&gt;"",ISERROR(SEARCH("по паспорту",G681)),ISERROR(SEARCH("по паспорту",H681)),I681&lt;&gt;"",J681&lt;&gt;"",K681&lt;&gt;"",L681&lt;&gt;"",M681&lt;&gt;""),"ГОТОВО","НЕ ГОТОВО"))</f>
        <v/>
      </c>
      <c r="Z681" s="226">
        <f>IF(Y681&lt;&gt;"ГОТОВО","", "Предварительное заключение: "&amp;A681&amp;", скв. "&amp;B681&amp;". МРП: "&amp;E681&amp;" сут. ГНО: "&amp;F681&amp;", типоразмер "&amp;G681&amp;", марка "&amp;H681&amp;". Событие: "&amp;I681&amp;". Признак: "&amp;J681&amp;". Узел: "&amp;K681&amp;". Предварительная причина: "&amp;L681&amp;". Основное осложнение: "&amp;M681&amp;IF(N681&lt;&gt;"","; сопутствующее: "&amp;N681,"")&amp;IF(O681&lt;&gt;"","; дополнительно: "&amp;O681,"")&amp;".")</f>
        <v/>
      </c>
    </row>
    <row r="682">
      <c r="A682" s="75" t="n"/>
      <c r="B682" s="75" t="n"/>
      <c r="C682" s="261" t="n"/>
      <c r="D682" s="261" t="n"/>
      <c r="E682" s="262">
        <f>IF(OR(C682="",D682=""),"",D682-C682)</f>
        <v/>
      </c>
      <c r="F682" s="75" t="n"/>
      <c r="G682" s="75" t="n"/>
      <c r="H682" s="75" t="n"/>
      <c r="I682" s="75" t="n"/>
      <c r="J682" s="75" t="n"/>
      <c r="K682" s="75" t="n"/>
      <c r="L682" s="75" t="n"/>
      <c r="M682" s="75" t="n"/>
      <c r="N682" s="75" t="n"/>
      <c r="O682" s="75" t="n"/>
      <c r="P682" s="75" t="n"/>
      <c r="Q682" s="75" t="n"/>
      <c r="R682" s="75" t="n"/>
      <c r="S682" s="75" t="n"/>
      <c r="T682" s="75" t="n"/>
      <c r="U682" s="75" t="n"/>
      <c r="V682" s="75" t="n"/>
      <c r="W682" s="75" t="n"/>
      <c r="X682" s="75" t="n"/>
      <c r="Y682" s="226">
        <f>IF(AND(A682="",B682=""),"",IF(AND(A682&lt;&gt;"",B682&lt;&gt;"",C682&lt;&gt;"",D682&lt;&gt;"",F682&lt;&gt;"",G682&lt;&gt;"",H682&lt;&gt;"",ISERROR(SEARCH("по паспорту",G682)),ISERROR(SEARCH("по паспорту",H682)),I682&lt;&gt;"",J682&lt;&gt;"",K682&lt;&gt;"",L682&lt;&gt;"",M682&lt;&gt;""),"ГОТОВО","НЕ ГОТОВО"))</f>
        <v/>
      </c>
      <c r="Z682" s="226">
        <f>IF(Y682&lt;&gt;"ГОТОВО","", "Предварительное заключение: "&amp;A682&amp;", скв. "&amp;B682&amp;". МРП: "&amp;E682&amp;" сут. ГНО: "&amp;F682&amp;", типоразмер "&amp;G682&amp;", марка "&amp;H682&amp;". Событие: "&amp;I682&amp;". Признак: "&amp;J682&amp;". Узел: "&amp;K682&amp;". Предварительная причина: "&amp;L682&amp;". Основное осложнение: "&amp;M682&amp;IF(N682&lt;&gt;"","; сопутствующее: "&amp;N682,"")&amp;IF(O682&lt;&gt;"","; дополнительно: "&amp;O682,"")&amp;".")</f>
        <v/>
      </c>
    </row>
    <row r="683">
      <c r="A683" s="75" t="n"/>
      <c r="B683" s="75" t="n"/>
      <c r="C683" s="261" t="n"/>
      <c r="D683" s="261" t="n"/>
      <c r="E683" s="262">
        <f>IF(OR(C683="",D683=""),"",D683-C683)</f>
        <v/>
      </c>
      <c r="F683" s="75" t="n"/>
      <c r="G683" s="75" t="n"/>
      <c r="H683" s="75" t="n"/>
      <c r="I683" s="75" t="n"/>
      <c r="J683" s="75" t="n"/>
      <c r="K683" s="75" t="n"/>
      <c r="L683" s="75" t="n"/>
      <c r="M683" s="75" t="n"/>
      <c r="N683" s="75" t="n"/>
      <c r="O683" s="75" t="n"/>
      <c r="P683" s="75" t="n"/>
      <c r="Q683" s="75" t="n"/>
      <c r="R683" s="75" t="n"/>
      <c r="S683" s="75" t="n"/>
      <c r="T683" s="75" t="n"/>
      <c r="U683" s="75" t="n"/>
      <c r="V683" s="75" t="n"/>
      <c r="W683" s="75" t="n"/>
      <c r="X683" s="75" t="n"/>
      <c r="Y683" s="226">
        <f>IF(AND(A683="",B683=""),"",IF(AND(A683&lt;&gt;"",B683&lt;&gt;"",C683&lt;&gt;"",D683&lt;&gt;"",F683&lt;&gt;"",G683&lt;&gt;"",H683&lt;&gt;"",ISERROR(SEARCH("по паспорту",G683)),ISERROR(SEARCH("по паспорту",H683)),I683&lt;&gt;"",J683&lt;&gt;"",K683&lt;&gt;"",L683&lt;&gt;"",M683&lt;&gt;""),"ГОТОВО","НЕ ГОТОВО"))</f>
        <v/>
      </c>
      <c r="Z683" s="226">
        <f>IF(Y683&lt;&gt;"ГОТОВО","", "Предварительное заключение: "&amp;A683&amp;", скв. "&amp;B683&amp;". МРП: "&amp;E683&amp;" сут. ГНО: "&amp;F683&amp;", типоразмер "&amp;G683&amp;", марка "&amp;H683&amp;". Событие: "&amp;I683&amp;". Признак: "&amp;J683&amp;". Узел: "&amp;K683&amp;". Предварительная причина: "&amp;L683&amp;". Основное осложнение: "&amp;M683&amp;IF(N683&lt;&gt;"","; сопутствующее: "&amp;N683,"")&amp;IF(O683&lt;&gt;"","; дополнительно: "&amp;O683,"")&amp;".")</f>
        <v/>
      </c>
    </row>
    <row r="684">
      <c r="A684" s="75" t="n"/>
      <c r="B684" s="75" t="n"/>
      <c r="C684" s="261" t="n"/>
      <c r="D684" s="261" t="n"/>
      <c r="E684" s="262">
        <f>IF(OR(C684="",D684=""),"",D684-C684)</f>
        <v/>
      </c>
      <c r="F684" s="75" t="n"/>
      <c r="G684" s="75" t="n"/>
      <c r="H684" s="75" t="n"/>
      <c r="I684" s="75" t="n"/>
      <c r="J684" s="75" t="n"/>
      <c r="K684" s="75" t="n"/>
      <c r="L684" s="75" t="n"/>
      <c r="M684" s="75" t="n"/>
      <c r="N684" s="75" t="n"/>
      <c r="O684" s="75" t="n"/>
      <c r="P684" s="75" t="n"/>
      <c r="Q684" s="75" t="n"/>
      <c r="R684" s="75" t="n"/>
      <c r="S684" s="75" t="n"/>
      <c r="T684" s="75" t="n"/>
      <c r="U684" s="75" t="n"/>
      <c r="V684" s="75" t="n"/>
      <c r="W684" s="75" t="n"/>
      <c r="X684" s="75" t="n"/>
      <c r="Y684" s="226">
        <f>IF(AND(A684="",B684=""),"",IF(AND(A684&lt;&gt;"",B684&lt;&gt;"",C684&lt;&gt;"",D684&lt;&gt;"",F684&lt;&gt;"",G684&lt;&gt;"",H684&lt;&gt;"",ISERROR(SEARCH("по паспорту",G684)),ISERROR(SEARCH("по паспорту",H684)),I684&lt;&gt;"",J684&lt;&gt;"",K684&lt;&gt;"",L684&lt;&gt;"",M684&lt;&gt;""),"ГОТОВО","НЕ ГОТОВО"))</f>
        <v/>
      </c>
      <c r="Z684" s="226">
        <f>IF(Y684&lt;&gt;"ГОТОВО","", "Предварительное заключение: "&amp;A684&amp;", скв. "&amp;B684&amp;". МРП: "&amp;E684&amp;" сут. ГНО: "&amp;F684&amp;", типоразмер "&amp;G684&amp;", марка "&amp;H684&amp;". Событие: "&amp;I684&amp;". Признак: "&amp;J684&amp;". Узел: "&amp;K684&amp;". Предварительная причина: "&amp;L684&amp;". Основное осложнение: "&amp;M684&amp;IF(N684&lt;&gt;"","; сопутствующее: "&amp;N684,"")&amp;IF(O684&lt;&gt;"","; дополнительно: "&amp;O684,"")&amp;".")</f>
        <v/>
      </c>
    </row>
    <row r="685">
      <c r="A685" s="75" t="n"/>
      <c r="B685" s="75" t="n"/>
      <c r="C685" s="261" t="n"/>
      <c r="D685" s="261" t="n"/>
      <c r="E685" s="262">
        <f>IF(OR(C685="",D685=""),"",D685-C685)</f>
        <v/>
      </c>
      <c r="F685" s="75" t="n"/>
      <c r="G685" s="75" t="n"/>
      <c r="H685" s="75" t="n"/>
      <c r="I685" s="75" t="n"/>
      <c r="J685" s="75" t="n"/>
      <c r="K685" s="75" t="n"/>
      <c r="L685" s="75" t="n"/>
      <c r="M685" s="75" t="n"/>
      <c r="N685" s="75" t="n"/>
      <c r="O685" s="75" t="n"/>
      <c r="P685" s="75" t="n"/>
      <c r="Q685" s="75" t="n"/>
      <c r="R685" s="75" t="n"/>
      <c r="S685" s="75" t="n"/>
      <c r="T685" s="75" t="n"/>
      <c r="U685" s="75" t="n"/>
      <c r="V685" s="75" t="n"/>
      <c r="W685" s="75" t="n"/>
      <c r="X685" s="75" t="n"/>
      <c r="Y685" s="226">
        <f>IF(AND(A685="",B685=""),"",IF(AND(A685&lt;&gt;"",B685&lt;&gt;"",C685&lt;&gt;"",D685&lt;&gt;"",F685&lt;&gt;"",G685&lt;&gt;"",H685&lt;&gt;"",ISERROR(SEARCH("по паспорту",G685)),ISERROR(SEARCH("по паспорту",H685)),I685&lt;&gt;"",J685&lt;&gt;"",K685&lt;&gt;"",L685&lt;&gt;"",M685&lt;&gt;""),"ГОТОВО","НЕ ГОТОВО"))</f>
        <v/>
      </c>
      <c r="Z685" s="226">
        <f>IF(Y685&lt;&gt;"ГОТОВО","", "Предварительное заключение: "&amp;A685&amp;", скв. "&amp;B685&amp;". МРП: "&amp;E685&amp;" сут. ГНО: "&amp;F685&amp;", типоразмер "&amp;G685&amp;", марка "&amp;H685&amp;". Событие: "&amp;I685&amp;". Признак: "&amp;J685&amp;". Узел: "&amp;K685&amp;". Предварительная причина: "&amp;L685&amp;". Основное осложнение: "&amp;M685&amp;IF(N685&lt;&gt;"","; сопутствующее: "&amp;N685,"")&amp;IF(O685&lt;&gt;"","; дополнительно: "&amp;O685,"")&amp;".")</f>
        <v/>
      </c>
    </row>
    <row r="686">
      <c r="A686" s="75" t="n"/>
      <c r="B686" s="75" t="n"/>
      <c r="C686" s="261" t="n"/>
      <c r="D686" s="261" t="n"/>
      <c r="E686" s="262">
        <f>IF(OR(C686="",D686=""),"",D686-C686)</f>
        <v/>
      </c>
      <c r="F686" s="75" t="n"/>
      <c r="G686" s="75" t="n"/>
      <c r="H686" s="75" t="n"/>
      <c r="I686" s="75" t="n"/>
      <c r="J686" s="75" t="n"/>
      <c r="K686" s="75" t="n"/>
      <c r="L686" s="75" t="n"/>
      <c r="M686" s="75" t="n"/>
      <c r="N686" s="75" t="n"/>
      <c r="O686" s="75" t="n"/>
      <c r="P686" s="75" t="n"/>
      <c r="Q686" s="75" t="n"/>
      <c r="R686" s="75" t="n"/>
      <c r="S686" s="75" t="n"/>
      <c r="T686" s="75" t="n"/>
      <c r="U686" s="75" t="n"/>
      <c r="V686" s="75" t="n"/>
      <c r="W686" s="75" t="n"/>
      <c r="X686" s="75" t="n"/>
      <c r="Y686" s="226">
        <f>IF(AND(A686="",B686=""),"",IF(AND(A686&lt;&gt;"",B686&lt;&gt;"",C686&lt;&gt;"",D686&lt;&gt;"",F686&lt;&gt;"",G686&lt;&gt;"",H686&lt;&gt;"",ISERROR(SEARCH("по паспорту",G686)),ISERROR(SEARCH("по паспорту",H686)),I686&lt;&gt;"",J686&lt;&gt;"",K686&lt;&gt;"",L686&lt;&gt;"",M686&lt;&gt;""),"ГОТОВО","НЕ ГОТОВО"))</f>
        <v/>
      </c>
      <c r="Z686" s="226">
        <f>IF(Y686&lt;&gt;"ГОТОВО","", "Предварительное заключение: "&amp;A686&amp;", скв. "&amp;B686&amp;". МРП: "&amp;E686&amp;" сут. ГНО: "&amp;F686&amp;", типоразмер "&amp;G686&amp;", марка "&amp;H686&amp;". Событие: "&amp;I686&amp;". Признак: "&amp;J686&amp;". Узел: "&amp;K686&amp;". Предварительная причина: "&amp;L686&amp;". Основное осложнение: "&amp;M686&amp;IF(N686&lt;&gt;"","; сопутствующее: "&amp;N686,"")&amp;IF(O686&lt;&gt;"","; дополнительно: "&amp;O686,"")&amp;".")</f>
        <v/>
      </c>
    </row>
    <row r="687">
      <c r="A687" s="75" t="n"/>
      <c r="B687" s="75" t="n"/>
      <c r="C687" s="261" t="n"/>
      <c r="D687" s="261" t="n"/>
      <c r="E687" s="262">
        <f>IF(OR(C687="",D687=""),"",D687-C687)</f>
        <v/>
      </c>
      <c r="F687" s="75" t="n"/>
      <c r="G687" s="75" t="n"/>
      <c r="H687" s="75" t="n"/>
      <c r="I687" s="75" t="n"/>
      <c r="J687" s="75" t="n"/>
      <c r="K687" s="75" t="n"/>
      <c r="L687" s="75" t="n"/>
      <c r="M687" s="75" t="n"/>
      <c r="N687" s="75" t="n"/>
      <c r="O687" s="75" t="n"/>
      <c r="P687" s="75" t="n"/>
      <c r="Q687" s="75" t="n"/>
      <c r="R687" s="75" t="n"/>
      <c r="S687" s="75" t="n"/>
      <c r="T687" s="75" t="n"/>
      <c r="U687" s="75" t="n"/>
      <c r="V687" s="75" t="n"/>
      <c r="W687" s="75" t="n"/>
      <c r="X687" s="75" t="n"/>
      <c r="Y687" s="226">
        <f>IF(AND(A687="",B687=""),"",IF(AND(A687&lt;&gt;"",B687&lt;&gt;"",C687&lt;&gt;"",D687&lt;&gt;"",F687&lt;&gt;"",G687&lt;&gt;"",H687&lt;&gt;"",ISERROR(SEARCH("по паспорту",G687)),ISERROR(SEARCH("по паспорту",H687)),I687&lt;&gt;"",J687&lt;&gt;"",K687&lt;&gt;"",L687&lt;&gt;"",M687&lt;&gt;""),"ГОТОВО","НЕ ГОТОВО"))</f>
        <v/>
      </c>
      <c r="Z687" s="226">
        <f>IF(Y687&lt;&gt;"ГОТОВО","", "Предварительное заключение: "&amp;A687&amp;", скв. "&amp;B687&amp;". МРП: "&amp;E687&amp;" сут. ГНО: "&amp;F687&amp;", типоразмер "&amp;G687&amp;", марка "&amp;H687&amp;". Событие: "&amp;I687&amp;". Признак: "&amp;J687&amp;". Узел: "&amp;K687&amp;". Предварительная причина: "&amp;L687&amp;". Основное осложнение: "&amp;M687&amp;IF(N687&lt;&gt;"","; сопутствующее: "&amp;N687,"")&amp;IF(O687&lt;&gt;"","; дополнительно: "&amp;O687,"")&amp;".")</f>
        <v/>
      </c>
    </row>
    <row r="688">
      <c r="A688" s="75" t="n"/>
      <c r="B688" s="75" t="n"/>
      <c r="C688" s="261" t="n"/>
      <c r="D688" s="261" t="n"/>
      <c r="E688" s="262">
        <f>IF(OR(C688="",D688=""),"",D688-C688)</f>
        <v/>
      </c>
      <c r="F688" s="75" t="n"/>
      <c r="G688" s="75" t="n"/>
      <c r="H688" s="75" t="n"/>
      <c r="I688" s="75" t="n"/>
      <c r="J688" s="75" t="n"/>
      <c r="K688" s="75" t="n"/>
      <c r="L688" s="75" t="n"/>
      <c r="M688" s="75" t="n"/>
      <c r="N688" s="75" t="n"/>
      <c r="O688" s="75" t="n"/>
      <c r="P688" s="75" t="n"/>
      <c r="Q688" s="75" t="n"/>
      <c r="R688" s="75" t="n"/>
      <c r="S688" s="75" t="n"/>
      <c r="T688" s="75" t="n"/>
      <c r="U688" s="75" t="n"/>
      <c r="V688" s="75" t="n"/>
      <c r="W688" s="75" t="n"/>
      <c r="X688" s="75" t="n"/>
      <c r="Y688" s="226">
        <f>IF(AND(A688="",B688=""),"",IF(AND(A688&lt;&gt;"",B688&lt;&gt;"",C688&lt;&gt;"",D688&lt;&gt;"",F688&lt;&gt;"",G688&lt;&gt;"",H688&lt;&gt;"",ISERROR(SEARCH("по паспорту",G688)),ISERROR(SEARCH("по паспорту",H688)),I688&lt;&gt;"",J688&lt;&gt;"",K688&lt;&gt;"",L688&lt;&gt;"",M688&lt;&gt;""),"ГОТОВО","НЕ ГОТОВО"))</f>
        <v/>
      </c>
      <c r="Z688" s="226">
        <f>IF(Y688&lt;&gt;"ГОТОВО","", "Предварительное заключение: "&amp;A688&amp;", скв. "&amp;B688&amp;". МРП: "&amp;E688&amp;" сут. ГНО: "&amp;F688&amp;", типоразмер "&amp;G688&amp;", марка "&amp;H688&amp;". Событие: "&amp;I688&amp;". Признак: "&amp;J688&amp;". Узел: "&amp;K688&amp;". Предварительная причина: "&amp;L688&amp;". Основное осложнение: "&amp;M688&amp;IF(N688&lt;&gt;"","; сопутствующее: "&amp;N688,"")&amp;IF(O688&lt;&gt;"","; дополнительно: "&amp;O688,"")&amp;".")</f>
        <v/>
      </c>
    </row>
    <row r="689">
      <c r="A689" s="75" t="n"/>
      <c r="B689" s="75" t="n"/>
      <c r="C689" s="261" t="n"/>
      <c r="D689" s="261" t="n"/>
      <c r="E689" s="262">
        <f>IF(OR(C689="",D689=""),"",D689-C689)</f>
        <v/>
      </c>
      <c r="F689" s="75" t="n"/>
      <c r="G689" s="75" t="n"/>
      <c r="H689" s="75" t="n"/>
      <c r="I689" s="75" t="n"/>
      <c r="J689" s="75" t="n"/>
      <c r="K689" s="75" t="n"/>
      <c r="L689" s="75" t="n"/>
      <c r="M689" s="75" t="n"/>
      <c r="N689" s="75" t="n"/>
      <c r="O689" s="75" t="n"/>
      <c r="P689" s="75" t="n"/>
      <c r="Q689" s="75" t="n"/>
      <c r="R689" s="75" t="n"/>
      <c r="S689" s="75" t="n"/>
      <c r="T689" s="75" t="n"/>
      <c r="U689" s="75" t="n"/>
      <c r="V689" s="75" t="n"/>
      <c r="W689" s="75" t="n"/>
      <c r="X689" s="75" t="n"/>
      <c r="Y689" s="226">
        <f>IF(AND(A689="",B689=""),"",IF(AND(A689&lt;&gt;"",B689&lt;&gt;"",C689&lt;&gt;"",D689&lt;&gt;"",F689&lt;&gt;"",G689&lt;&gt;"",H689&lt;&gt;"",ISERROR(SEARCH("по паспорту",G689)),ISERROR(SEARCH("по паспорту",H689)),I689&lt;&gt;"",J689&lt;&gt;"",K689&lt;&gt;"",L689&lt;&gt;"",M689&lt;&gt;""),"ГОТОВО","НЕ ГОТОВО"))</f>
        <v/>
      </c>
      <c r="Z689" s="226">
        <f>IF(Y689&lt;&gt;"ГОТОВО","", "Предварительное заключение: "&amp;A689&amp;", скв. "&amp;B689&amp;". МРП: "&amp;E689&amp;" сут. ГНО: "&amp;F689&amp;", типоразмер "&amp;G689&amp;", марка "&amp;H689&amp;". Событие: "&amp;I689&amp;". Признак: "&amp;J689&amp;". Узел: "&amp;K689&amp;". Предварительная причина: "&amp;L689&amp;". Основное осложнение: "&amp;M689&amp;IF(N689&lt;&gt;"","; сопутствующее: "&amp;N689,"")&amp;IF(O689&lt;&gt;"","; дополнительно: "&amp;O689,"")&amp;".")</f>
        <v/>
      </c>
    </row>
    <row r="690">
      <c r="A690" s="75" t="n"/>
      <c r="B690" s="75" t="n"/>
      <c r="C690" s="261" t="n"/>
      <c r="D690" s="261" t="n"/>
      <c r="E690" s="262">
        <f>IF(OR(C690="",D690=""),"",D690-C690)</f>
        <v/>
      </c>
      <c r="F690" s="75" t="n"/>
      <c r="G690" s="75" t="n"/>
      <c r="H690" s="75" t="n"/>
      <c r="I690" s="75" t="n"/>
      <c r="J690" s="75" t="n"/>
      <c r="K690" s="75" t="n"/>
      <c r="L690" s="75" t="n"/>
      <c r="M690" s="75" t="n"/>
      <c r="N690" s="75" t="n"/>
      <c r="O690" s="75" t="n"/>
      <c r="P690" s="75" t="n"/>
      <c r="Q690" s="75" t="n"/>
      <c r="R690" s="75" t="n"/>
      <c r="S690" s="75" t="n"/>
      <c r="T690" s="75" t="n"/>
      <c r="U690" s="75" t="n"/>
      <c r="V690" s="75" t="n"/>
      <c r="W690" s="75" t="n"/>
      <c r="X690" s="75" t="n"/>
      <c r="Y690" s="226">
        <f>IF(AND(A690="",B690=""),"",IF(AND(A690&lt;&gt;"",B690&lt;&gt;"",C690&lt;&gt;"",D690&lt;&gt;"",F690&lt;&gt;"",G690&lt;&gt;"",H690&lt;&gt;"",ISERROR(SEARCH("по паспорту",G690)),ISERROR(SEARCH("по паспорту",H690)),I690&lt;&gt;"",J690&lt;&gt;"",K690&lt;&gt;"",L690&lt;&gt;"",M690&lt;&gt;""),"ГОТОВО","НЕ ГОТОВО"))</f>
        <v/>
      </c>
      <c r="Z690" s="226">
        <f>IF(Y690&lt;&gt;"ГОТОВО","", "Предварительное заключение: "&amp;A690&amp;", скв. "&amp;B690&amp;". МРП: "&amp;E690&amp;" сут. ГНО: "&amp;F690&amp;", типоразмер "&amp;G690&amp;", марка "&amp;H690&amp;". Событие: "&amp;I690&amp;". Признак: "&amp;J690&amp;". Узел: "&amp;K690&amp;". Предварительная причина: "&amp;L690&amp;". Основное осложнение: "&amp;M690&amp;IF(N690&lt;&gt;"","; сопутствующее: "&amp;N690,"")&amp;IF(O690&lt;&gt;"","; дополнительно: "&amp;O690,"")&amp;".")</f>
        <v/>
      </c>
    </row>
    <row r="691">
      <c r="A691" s="75" t="n"/>
      <c r="B691" s="75" t="n"/>
      <c r="C691" s="261" t="n"/>
      <c r="D691" s="261" t="n"/>
      <c r="E691" s="262">
        <f>IF(OR(C691="",D691=""),"",D691-C691)</f>
        <v/>
      </c>
      <c r="F691" s="75" t="n"/>
      <c r="G691" s="75" t="n"/>
      <c r="H691" s="75" t="n"/>
      <c r="I691" s="75" t="n"/>
      <c r="J691" s="75" t="n"/>
      <c r="K691" s="75" t="n"/>
      <c r="L691" s="75" t="n"/>
      <c r="M691" s="75" t="n"/>
      <c r="N691" s="75" t="n"/>
      <c r="O691" s="75" t="n"/>
      <c r="P691" s="75" t="n"/>
      <c r="Q691" s="75" t="n"/>
      <c r="R691" s="75" t="n"/>
      <c r="S691" s="75" t="n"/>
      <c r="T691" s="75" t="n"/>
      <c r="U691" s="75" t="n"/>
      <c r="V691" s="75" t="n"/>
      <c r="W691" s="75" t="n"/>
      <c r="X691" s="75" t="n"/>
      <c r="Y691" s="226">
        <f>IF(AND(A691="",B691=""),"",IF(AND(A691&lt;&gt;"",B691&lt;&gt;"",C691&lt;&gt;"",D691&lt;&gt;"",F691&lt;&gt;"",G691&lt;&gt;"",H691&lt;&gt;"",ISERROR(SEARCH("по паспорту",G691)),ISERROR(SEARCH("по паспорту",H691)),I691&lt;&gt;"",J691&lt;&gt;"",K691&lt;&gt;"",L691&lt;&gt;"",M691&lt;&gt;""),"ГОТОВО","НЕ ГОТОВО"))</f>
        <v/>
      </c>
      <c r="Z691" s="226">
        <f>IF(Y691&lt;&gt;"ГОТОВО","", "Предварительное заключение: "&amp;A691&amp;", скв. "&amp;B691&amp;". МРП: "&amp;E691&amp;" сут. ГНО: "&amp;F691&amp;", типоразмер "&amp;G691&amp;", марка "&amp;H691&amp;". Событие: "&amp;I691&amp;". Признак: "&amp;J691&amp;". Узел: "&amp;K691&amp;". Предварительная причина: "&amp;L691&amp;". Основное осложнение: "&amp;M691&amp;IF(N691&lt;&gt;"","; сопутствующее: "&amp;N691,"")&amp;IF(O691&lt;&gt;"","; дополнительно: "&amp;O691,"")&amp;".")</f>
        <v/>
      </c>
    </row>
    <row r="692">
      <c r="A692" s="75" t="n"/>
      <c r="B692" s="75" t="n"/>
      <c r="C692" s="261" t="n"/>
      <c r="D692" s="261" t="n"/>
      <c r="E692" s="262">
        <f>IF(OR(C692="",D692=""),"",D692-C692)</f>
        <v/>
      </c>
      <c r="F692" s="75" t="n"/>
      <c r="G692" s="75" t="n"/>
      <c r="H692" s="75" t="n"/>
      <c r="I692" s="75" t="n"/>
      <c r="J692" s="75" t="n"/>
      <c r="K692" s="75" t="n"/>
      <c r="L692" s="75" t="n"/>
      <c r="M692" s="75" t="n"/>
      <c r="N692" s="75" t="n"/>
      <c r="O692" s="75" t="n"/>
      <c r="P692" s="75" t="n"/>
      <c r="Q692" s="75" t="n"/>
      <c r="R692" s="75" t="n"/>
      <c r="S692" s="75" t="n"/>
      <c r="T692" s="75" t="n"/>
      <c r="U692" s="75" t="n"/>
      <c r="V692" s="75" t="n"/>
      <c r="W692" s="75" t="n"/>
      <c r="X692" s="75" t="n"/>
      <c r="Y692" s="226">
        <f>IF(AND(A692="",B692=""),"",IF(AND(A692&lt;&gt;"",B692&lt;&gt;"",C692&lt;&gt;"",D692&lt;&gt;"",F692&lt;&gt;"",G692&lt;&gt;"",H692&lt;&gt;"",ISERROR(SEARCH("по паспорту",G692)),ISERROR(SEARCH("по паспорту",H692)),I692&lt;&gt;"",J692&lt;&gt;"",K692&lt;&gt;"",L692&lt;&gt;"",M692&lt;&gt;""),"ГОТОВО","НЕ ГОТОВО"))</f>
        <v/>
      </c>
      <c r="Z692" s="226">
        <f>IF(Y692&lt;&gt;"ГОТОВО","", "Предварительное заключение: "&amp;A692&amp;", скв. "&amp;B692&amp;". МРП: "&amp;E692&amp;" сут. ГНО: "&amp;F692&amp;", типоразмер "&amp;G692&amp;", марка "&amp;H692&amp;". Событие: "&amp;I692&amp;". Признак: "&amp;J692&amp;". Узел: "&amp;K692&amp;". Предварительная причина: "&amp;L692&amp;". Основное осложнение: "&amp;M692&amp;IF(N692&lt;&gt;"","; сопутствующее: "&amp;N692,"")&amp;IF(O692&lt;&gt;"","; дополнительно: "&amp;O692,"")&amp;".")</f>
        <v/>
      </c>
    </row>
    <row r="693">
      <c r="A693" s="75" t="n"/>
      <c r="B693" s="75" t="n"/>
      <c r="C693" s="261" t="n"/>
      <c r="D693" s="261" t="n"/>
      <c r="E693" s="262">
        <f>IF(OR(C693="",D693=""),"",D693-C693)</f>
        <v/>
      </c>
      <c r="F693" s="75" t="n"/>
      <c r="G693" s="75" t="n"/>
      <c r="H693" s="75" t="n"/>
      <c r="I693" s="75" t="n"/>
      <c r="J693" s="75" t="n"/>
      <c r="K693" s="75" t="n"/>
      <c r="L693" s="75" t="n"/>
      <c r="M693" s="75" t="n"/>
      <c r="N693" s="75" t="n"/>
      <c r="O693" s="75" t="n"/>
      <c r="P693" s="75" t="n"/>
      <c r="Q693" s="75" t="n"/>
      <c r="R693" s="75" t="n"/>
      <c r="S693" s="75" t="n"/>
      <c r="T693" s="75" t="n"/>
      <c r="U693" s="75" t="n"/>
      <c r="V693" s="75" t="n"/>
      <c r="W693" s="75" t="n"/>
      <c r="X693" s="75" t="n"/>
      <c r="Y693" s="226">
        <f>IF(AND(A693="",B693=""),"",IF(AND(A693&lt;&gt;"",B693&lt;&gt;"",C693&lt;&gt;"",D693&lt;&gt;"",F693&lt;&gt;"",G693&lt;&gt;"",H693&lt;&gt;"",ISERROR(SEARCH("по паспорту",G693)),ISERROR(SEARCH("по паспорту",H693)),I693&lt;&gt;"",J693&lt;&gt;"",K693&lt;&gt;"",L693&lt;&gt;"",M693&lt;&gt;""),"ГОТОВО","НЕ ГОТОВО"))</f>
        <v/>
      </c>
      <c r="Z693" s="226">
        <f>IF(Y693&lt;&gt;"ГОТОВО","", "Предварительное заключение: "&amp;A693&amp;", скв. "&amp;B693&amp;". МРП: "&amp;E693&amp;" сут. ГНО: "&amp;F693&amp;", типоразмер "&amp;G693&amp;", марка "&amp;H693&amp;". Событие: "&amp;I693&amp;". Признак: "&amp;J693&amp;". Узел: "&amp;K693&amp;". Предварительная причина: "&amp;L693&amp;". Основное осложнение: "&amp;M693&amp;IF(N693&lt;&gt;"","; сопутствующее: "&amp;N693,"")&amp;IF(O693&lt;&gt;"","; дополнительно: "&amp;O693,"")&amp;".")</f>
        <v/>
      </c>
    </row>
    <row r="694">
      <c r="A694" s="75" t="n"/>
      <c r="B694" s="75" t="n"/>
      <c r="C694" s="261" t="n"/>
      <c r="D694" s="261" t="n"/>
      <c r="E694" s="262">
        <f>IF(OR(C694="",D694=""),"",D694-C694)</f>
        <v/>
      </c>
      <c r="F694" s="75" t="n"/>
      <c r="G694" s="75" t="n"/>
      <c r="H694" s="75" t="n"/>
      <c r="I694" s="75" t="n"/>
      <c r="J694" s="75" t="n"/>
      <c r="K694" s="75" t="n"/>
      <c r="L694" s="75" t="n"/>
      <c r="M694" s="75" t="n"/>
      <c r="N694" s="75" t="n"/>
      <c r="O694" s="75" t="n"/>
      <c r="P694" s="75" t="n"/>
      <c r="Q694" s="75" t="n"/>
      <c r="R694" s="75" t="n"/>
      <c r="S694" s="75" t="n"/>
      <c r="T694" s="75" t="n"/>
      <c r="U694" s="75" t="n"/>
      <c r="V694" s="75" t="n"/>
      <c r="W694" s="75" t="n"/>
      <c r="X694" s="75" t="n"/>
      <c r="Y694" s="226">
        <f>IF(AND(A694="",B694=""),"",IF(AND(A694&lt;&gt;"",B694&lt;&gt;"",C694&lt;&gt;"",D694&lt;&gt;"",F694&lt;&gt;"",G694&lt;&gt;"",H694&lt;&gt;"",ISERROR(SEARCH("по паспорту",G694)),ISERROR(SEARCH("по паспорту",H694)),I694&lt;&gt;"",J694&lt;&gt;"",K694&lt;&gt;"",L694&lt;&gt;"",M694&lt;&gt;""),"ГОТОВО","НЕ ГОТОВО"))</f>
        <v/>
      </c>
      <c r="Z694" s="226">
        <f>IF(Y694&lt;&gt;"ГОТОВО","", "Предварительное заключение: "&amp;A694&amp;", скв. "&amp;B694&amp;". МРП: "&amp;E694&amp;" сут. ГНО: "&amp;F694&amp;", типоразмер "&amp;G694&amp;", марка "&amp;H694&amp;". Событие: "&amp;I694&amp;". Признак: "&amp;J694&amp;". Узел: "&amp;K694&amp;". Предварительная причина: "&amp;L694&amp;". Основное осложнение: "&amp;M694&amp;IF(N694&lt;&gt;"","; сопутствующее: "&amp;N694,"")&amp;IF(O694&lt;&gt;"","; дополнительно: "&amp;O694,"")&amp;".")</f>
        <v/>
      </c>
    </row>
    <row r="695">
      <c r="A695" s="75" t="n"/>
      <c r="B695" s="75" t="n"/>
      <c r="C695" s="261" t="n"/>
      <c r="D695" s="261" t="n"/>
      <c r="E695" s="262">
        <f>IF(OR(C695="",D695=""),"",D695-C695)</f>
        <v/>
      </c>
      <c r="F695" s="75" t="n"/>
      <c r="G695" s="75" t="n"/>
      <c r="H695" s="75" t="n"/>
      <c r="I695" s="75" t="n"/>
      <c r="J695" s="75" t="n"/>
      <c r="K695" s="75" t="n"/>
      <c r="L695" s="75" t="n"/>
      <c r="M695" s="75" t="n"/>
      <c r="N695" s="75" t="n"/>
      <c r="O695" s="75" t="n"/>
      <c r="P695" s="75" t="n"/>
      <c r="Q695" s="75" t="n"/>
      <c r="R695" s="75" t="n"/>
      <c r="S695" s="75" t="n"/>
      <c r="T695" s="75" t="n"/>
      <c r="U695" s="75" t="n"/>
      <c r="V695" s="75" t="n"/>
      <c r="W695" s="75" t="n"/>
      <c r="X695" s="75" t="n"/>
      <c r="Y695" s="226">
        <f>IF(AND(A695="",B695=""),"",IF(AND(A695&lt;&gt;"",B695&lt;&gt;"",C695&lt;&gt;"",D695&lt;&gt;"",F695&lt;&gt;"",G695&lt;&gt;"",H695&lt;&gt;"",ISERROR(SEARCH("по паспорту",G695)),ISERROR(SEARCH("по паспорту",H695)),I695&lt;&gt;"",J695&lt;&gt;"",K695&lt;&gt;"",L695&lt;&gt;"",M695&lt;&gt;""),"ГОТОВО","НЕ ГОТОВО"))</f>
        <v/>
      </c>
      <c r="Z695" s="226">
        <f>IF(Y695&lt;&gt;"ГОТОВО","", "Предварительное заключение: "&amp;A695&amp;", скв. "&amp;B695&amp;". МРП: "&amp;E695&amp;" сут. ГНО: "&amp;F695&amp;", типоразмер "&amp;G695&amp;", марка "&amp;H695&amp;". Событие: "&amp;I695&amp;". Признак: "&amp;J695&amp;". Узел: "&amp;K695&amp;". Предварительная причина: "&amp;L695&amp;". Основное осложнение: "&amp;M695&amp;IF(N695&lt;&gt;"","; сопутствующее: "&amp;N695,"")&amp;IF(O695&lt;&gt;"","; дополнительно: "&amp;O695,"")&amp;".")</f>
        <v/>
      </c>
    </row>
    <row r="696">
      <c r="A696" s="75" t="n"/>
      <c r="B696" s="75" t="n"/>
      <c r="C696" s="261" t="n"/>
      <c r="D696" s="261" t="n"/>
      <c r="E696" s="262">
        <f>IF(OR(C696="",D696=""),"",D696-C696)</f>
        <v/>
      </c>
      <c r="F696" s="75" t="n"/>
      <c r="G696" s="75" t="n"/>
      <c r="H696" s="75" t="n"/>
      <c r="I696" s="75" t="n"/>
      <c r="J696" s="75" t="n"/>
      <c r="K696" s="75" t="n"/>
      <c r="L696" s="75" t="n"/>
      <c r="M696" s="75" t="n"/>
      <c r="N696" s="75" t="n"/>
      <c r="O696" s="75" t="n"/>
      <c r="P696" s="75" t="n"/>
      <c r="Q696" s="75" t="n"/>
      <c r="R696" s="75" t="n"/>
      <c r="S696" s="75" t="n"/>
      <c r="T696" s="75" t="n"/>
      <c r="U696" s="75" t="n"/>
      <c r="V696" s="75" t="n"/>
      <c r="W696" s="75" t="n"/>
      <c r="X696" s="75" t="n"/>
      <c r="Y696" s="226">
        <f>IF(AND(A696="",B696=""),"",IF(AND(A696&lt;&gt;"",B696&lt;&gt;"",C696&lt;&gt;"",D696&lt;&gt;"",F696&lt;&gt;"",G696&lt;&gt;"",H696&lt;&gt;"",ISERROR(SEARCH("по паспорту",G696)),ISERROR(SEARCH("по паспорту",H696)),I696&lt;&gt;"",J696&lt;&gt;"",K696&lt;&gt;"",L696&lt;&gt;"",M696&lt;&gt;""),"ГОТОВО","НЕ ГОТОВО"))</f>
        <v/>
      </c>
      <c r="Z696" s="226">
        <f>IF(Y696&lt;&gt;"ГОТОВО","", "Предварительное заключение: "&amp;A696&amp;", скв. "&amp;B696&amp;". МРП: "&amp;E696&amp;" сут. ГНО: "&amp;F696&amp;", типоразмер "&amp;G696&amp;", марка "&amp;H696&amp;". Событие: "&amp;I696&amp;". Признак: "&amp;J696&amp;". Узел: "&amp;K696&amp;". Предварительная причина: "&amp;L696&amp;". Основное осложнение: "&amp;M696&amp;IF(N696&lt;&gt;"","; сопутствующее: "&amp;N696,"")&amp;IF(O696&lt;&gt;"","; дополнительно: "&amp;O696,"")&amp;".")</f>
        <v/>
      </c>
    </row>
    <row r="697">
      <c r="A697" s="75" t="n"/>
      <c r="B697" s="75" t="n"/>
      <c r="C697" s="261" t="n"/>
      <c r="D697" s="261" t="n"/>
      <c r="E697" s="262">
        <f>IF(OR(C697="",D697=""),"",D697-C697)</f>
        <v/>
      </c>
      <c r="F697" s="75" t="n"/>
      <c r="G697" s="75" t="n"/>
      <c r="H697" s="75" t="n"/>
      <c r="I697" s="75" t="n"/>
      <c r="J697" s="75" t="n"/>
      <c r="K697" s="75" t="n"/>
      <c r="L697" s="75" t="n"/>
      <c r="M697" s="75" t="n"/>
      <c r="N697" s="75" t="n"/>
      <c r="O697" s="75" t="n"/>
      <c r="P697" s="75" t="n"/>
      <c r="Q697" s="75" t="n"/>
      <c r="R697" s="75" t="n"/>
      <c r="S697" s="75" t="n"/>
      <c r="T697" s="75" t="n"/>
      <c r="U697" s="75" t="n"/>
      <c r="V697" s="75" t="n"/>
      <c r="W697" s="75" t="n"/>
      <c r="X697" s="75" t="n"/>
      <c r="Y697" s="226">
        <f>IF(AND(A697="",B697=""),"",IF(AND(A697&lt;&gt;"",B697&lt;&gt;"",C697&lt;&gt;"",D697&lt;&gt;"",F697&lt;&gt;"",G697&lt;&gt;"",H697&lt;&gt;"",ISERROR(SEARCH("по паспорту",G697)),ISERROR(SEARCH("по паспорту",H697)),I697&lt;&gt;"",J697&lt;&gt;"",K697&lt;&gt;"",L697&lt;&gt;"",M697&lt;&gt;""),"ГОТОВО","НЕ ГОТОВО"))</f>
        <v/>
      </c>
      <c r="Z697" s="226">
        <f>IF(Y697&lt;&gt;"ГОТОВО","", "Предварительное заключение: "&amp;A697&amp;", скв. "&amp;B697&amp;". МРП: "&amp;E697&amp;" сут. ГНО: "&amp;F697&amp;", типоразмер "&amp;G697&amp;", марка "&amp;H697&amp;". Событие: "&amp;I697&amp;". Признак: "&amp;J697&amp;". Узел: "&amp;K697&amp;". Предварительная причина: "&amp;L697&amp;". Основное осложнение: "&amp;M697&amp;IF(N697&lt;&gt;"","; сопутствующее: "&amp;N697,"")&amp;IF(O697&lt;&gt;"","; дополнительно: "&amp;O697,"")&amp;".")</f>
        <v/>
      </c>
    </row>
    <row r="698">
      <c r="A698" s="75" t="n"/>
      <c r="B698" s="75" t="n"/>
      <c r="C698" s="261" t="n"/>
      <c r="D698" s="261" t="n"/>
      <c r="E698" s="262">
        <f>IF(OR(C698="",D698=""),"",D698-C698)</f>
        <v/>
      </c>
      <c r="F698" s="75" t="n"/>
      <c r="G698" s="75" t="n"/>
      <c r="H698" s="75" t="n"/>
      <c r="I698" s="75" t="n"/>
      <c r="J698" s="75" t="n"/>
      <c r="K698" s="75" t="n"/>
      <c r="L698" s="75" t="n"/>
      <c r="M698" s="75" t="n"/>
      <c r="N698" s="75" t="n"/>
      <c r="O698" s="75" t="n"/>
      <c r="P698" s="75" t="n"/>
      <c r="Q698" s="75" t="n"/>
      <c r="R698" s="75" t="n"/>
      <c r="S698" s="75" t="n"/>
      <c r="T698" s="75" t="n"/>
      <c r="U698" s="75" t="n"/>
      <c r="V698" s="75" t="n"/>
      <c r="W698" s="75" t="n"/>
      <c r="X698" s="75" t="n"/>
      <c r="Y698" s="226">
        <f>IF(AND(A698="",B698=""),"",IF(AND(A698&lt;&gt;"",B698&lt;&gt;"",C698&lt;&gt;"",D698&lt;&gt;"",F698&lt;&gt;"",G698&lt;&gt;"",H698&lt;&gt;"",ISERROR(SEARCH("по паспорту",G698)),ISERROR(SEARCH("по паспорту",H698)),I698&lt;&gt;"",J698&lt;&gt;"",K698&lt;&gt;"",L698&lt;&gt;"",M698&lt;&gt;""),"ГОТОВО","НЕ ГОТОВО"))</f>
        <v/>
      </c>
      <c r="Z698" s="226">
        <f>IF(Y698&lt;&gt;"ГОТОВО","", "Предварительное заключение: "&amp;A698&amp;", скв. "&amp;B698&amp;". МРП: "&amp;E698&amp;" сут. ГНО: "&amp;F698&amp;", типоразмер "&amp;G698&amp;", марка "&amp;H698&amp;". Событие: "&amp;I698&amp;". Признак: "&amp;J698&amp;". Узел: "&amp;K698&amp;". Предварительная причина: "&amp;L698&amp;". Основное осложнение: "&amp;M698&amp;IF(N698&lt;&gt;"","; сопутствующее: "&amp;N698,"")&amp;IF(O698&lt;&gt;"","; дополнительно: "&amp;O698,"")&amp;".")</f>
        <v/>
      </c>
    </row>
    <row r="699">
      <c r="A699" s="75" t="n"/>
      <c r="B699" s="75" t="n"/>
      <c r="C699" s="261" t="n"/>
      <c r="D699" s="261" t="n"/>
      <c r="E699" s="262">
        <f>IF(OR(C699="",D699=""),"",D699-C699)</f>
        <v/>
      </c>
      <c r="F699" s="75" t="n"/>
      <c r="G699" s="75" t="n"/>
      <c r="H699" s="75" t="n"/>
      <c r="I699" s="75" t="n"/>
      <c r="J699" s="75" t="n"/>
      <c r="K699" s="75" t="n"/>
      <c r="L699" s="75" t="n"/>
      <c r="M699" s="75" t="n"/>
      <c r="N699" s="75" t="n"/>
      <c r="O699" s="75" t="n"/>
      <c r="P699" s="75" t="n"/>
      <c r="Q699" s="75" t="n"/>
      <c r="R699" s="75" t="n"/>
      <c r="S699" s="75" t="n"/>
      <c r="T699" s="75" t="n"/>
      <c r="U699" s="75" t="n"/>
      <c r="V699" s="75" t="n"/>
      <c r="W699" s="75" t="n"/>
      <c r="X699" s="75" t="n"/>
      <c r="Y699" s="226">
        <f>IF(AND(A699="",B699=""),"",IF(AND(A699&lt;&gt;"",B699&lt;&gt;"",C699&lt;&gt;"",D699&lt;&gt;"",F699&lt;&gt;"",G699&lt;&gt;"",H699&lt;&gt;"",ISERROR(SEARCH("по паспорту",G699)),ISERROR(SEARCH("по паспорту",H699)),I699&lt;&gt;"",J699&lt;&gt;"",K699&lt;&gt;"",L699&lt;&gt;"",M699&lt;&gt;""),"ГОТОВО","НЕ ГОТОВО"))</f>
        <v/>
      </c>
      <c r="Z699" s="226">
        <f>IF(Y699&lt;&gt;"ГОТОВО","", "Предварительное заключение: "&amp;A699&amp;", скв. "&amp;B699&amp;". МРП: "&amp;E699&amp;" сут. ГНО: "&amp;F699&amp;", типоразмер "&amp;G699&amp;", марка "&amp;H699&amp;". Событие: "&amp;I699&amp;". Признак: "&amp;J699&amp;". Узел: "&amp;K699&amp;". Предварительная причина: "&amp;L699&amp;". Основное осложнение: "&amp;M699&amp;IF(N699&lt;&gt;"","; сопутствующее: "&amp;N699,"")&amp;IF(O699&lt;&gt;"","; дополнительно: "&amp;O699,"")&amp;".")</f>
        <v/>
      </c>
    </row>
    <row r="700">
      <c r="A700" s="75" t="n"/>
      <c r="B700" s="75" t="n"/>
      <c r="C700" s="261" t="n"/>
      <c r="D700" s="261" t="n"/>
      <c r="E700" s="262">
        <f>IF(OR(C700="",D700=""),"",D700-C700)</f>
        <v/>
      </c>
      <c r="F700" s="75" t="n"/>
      <c r="G700" s="75" t="n"/>
      <c r="H700" s="75" t="n"/>
      <c r="I700" s="75" t="n"/>
      <c r="J700" s="75" t="n"/>
      <c r="K700" s="75" t="n"/>
      <c r="L700" s="75" t="n"/>
      <c r="M700" s="75" t="n"/>
      <c r="N700" s="75" t="n"/>
      <c r="O700" s="75" t="n"/>
      <c r="P700" s="75" t="n"/>
      <c r="Q700" s="75" t="n"/>
      <c r="R700" s="75" t="n"/>
      <c r="S700" s="75" t="n"/>
      <c r="T700" s="75" t="n"/>
      <c r="U700" s="75" t="n"/>
      <c r="V700" s="75" t="n"/>
      <c r="W700" s="75" t="n"/>
      <c r="X700" s="75" t="n"/>
      <c r="Y700" s="226">
        <f>IF(AND(A700="",B700=""),"",IF(AND(A700&lt;&gt;"",B700&lt;&gt;"",C700&lt;&gt;"",D700&lt;&gt;"",F700&lt;&gt;"",G700&lt;&gt;"",H700&lt;&gt;"",ISERROR(SEARCH("по паспорту",G700)),ISERROR(SEARCH("по паспорту",H700)),I700&lt;&gt;"",J700&lt;&gt;"",K700&lt;&gt;"",L700&lt;&gt;"",M700&lt;&gt;""),"ГОТОВО","НЕ ГОТОВО"))</f>
        <v/>
      </c>
      <c r="Z700" s="226">
        <f>IF(Y700&lt;&gt;"ГОТОВО","", "Предварительное заключение: "&amp;A700&amp;", скв. "&amp;B700&amp;". МРП: "&amp;E700&amp;" сут. ГНО: "&amp;F700&amp;", типоразмер "&amp;G700&amp;", марка "&amp;H700&amp;". Событие: "&amp;I700&amp;". Признак: "&amp;J700&amp;". Узел: "&amp;K700&amp;". Предварительная причина: "&amp;L700&amp;". Основное осложнение: "&amp;M700&amp;IF(N700&lt;&gt;"","; сопутствующее: "&amp;N700,"")&amp;IF(O700&lt;&gt;"","; дополнительно: "&amp;O700,"")&amp;".")</f>
        <v/>
      </c>
    </row>
    <row r="701">
      <c r="A701" s="75" t="n"/>
      <c r="B701" s="75" t="n"/>
      <c r="C701" s="261" t="n"/>
      <c r="D701" s="261" t="n"/>
      <c r="E701" s="262">
        <f>IF(OR(C701="",D701=""),"",D701-C701)</f>
        <v/>
      </c>
      <c r="F701" s="75" t="n"/>
      <c r="G701" s="75" t="n"/>
      <c r="H701" s="75" t="n"/>
      <c r="I701" s="75" t="n"/>
      <c r="J701" s="75" t="n"/>
      <c r="K701" s="75" t="n"/>
      <c r="L701" s="75" t="n"/>
      <c r="M701" s="75" t="n"/>
      <c r="N701" s="75" t="n"/>
      <c r="O701" s="75" t="n"/>
      <c r="P701" s="75" t="n"/>
      <c r="Q701" s="75" t="n"/>
      <c r="R701" s="75" t="n"/>
      <c r="S701" s="75" t="n"/>
      <c r="T701" s="75" t="n"/>
      <c r="U701" s="75" t="n"/>
      <c r="V701" s="75" t="n"/>
      <c r="W701" s="75" t="n"/>
      <c r="X701" s="75" t="n"/>
      <c r="Y701" s="226">
        <f>IF(AND(A701="",B701=""),"",IF(AND(A701&lt;&gt;"",B701&lt;&gt;"",C701&lt;&gt;"",D701&lt;&gt;"",F701&lt;&gt;"",G701&lt;&gt;"",H701&lt;&gt;"",ISERROR(SEARCH("по паспорту",G701)),ISERROR(SEARCH("по паспорту",H701)),I701&lt;&gt;"",J701&lt;&gt;"",K701&lt;&gt;"",L701&lt;&gt;"",M701&lt;&gt;""),"ГОТОВО","НЕ ГОТОВО"))</f>
        <v/>
      </c>
      <c r="Z701" s="226">
        <f>IF(Y701&lt;&gt;"ГОТОВО","", "Предварительное заключение: "&amp;A701&amp;", скв. "&amp;B701&amp;". МРП: "&amp;E701&amp;" сут. ГНО: "&amp;F701&amp;", типоразмер "&amp;G701&amp;", марка "&amp;H701&amp;". Событие: "&amp;I701&amp;". Признак: "&amp;J701&amp;". Узел: "&amp;K701&amp;". Предварительная причина: "&amp;L701&amp;". Основное осложнение: "&amp;M701&amp;IF(N701&lt;&gt;"","; сопутствующее: "&amp;N701,"")&amp;IF(O701&lt;&gt;"","; дополнительно: "&amp;O701,"")&amp;".")</f>
        <v/>
      </c>
    </row>
    <row r="702">
      <c r="A702" s="75" t="n"/>
      <c r="B702" s="75" t="n"/>
      <c r="C702" s="261" t="n"/>
      <c r="D702" s="261" t="n"/>
      <c r="E702" s="262">
        <f>IF(OR(C702="",D702=""),"",D702-C702)</f>
        <v/>
      </c>
      <c r="F702" s="75" t="n"/>
      <c r="G702" s="75" t="n"/>
      <c r="H702" s="75" t="n"/>
      <c r="I702" s="75" t="n"/>
      <c r="J702" s="75" t="n"/>
      <c r="K702" s="75" t="n"/>
      <c r="L702" s="75" t="n"/>
      <c r="M702" s="75" t="n"/>
      <c r="N702" s="75" t="n"/>
      <c r="O702" s="75" t="n"/>
      <c r="P702" s="75" t="n"/>
      <c r="Q702" s="75" t="n"/>
      <c r="R702" s="75" t="n"/>
      <c r="S702" s="75" t="n"/>
      <c r="T702" s="75" t="n"/>
      <c r="U702" s="75" t="n"/>
      <c r="V702" s="75" t="n"/>
      <c r="W702" s="75" t="n"/>
      <c r="X702" s="75" t="n"/>
      <c r="Y702" s="226">
        <f>IF(AND(A702="",B702=""),"",IF(AND(A702&lt;&gt;"",B702&lt;&gt;"",C702&lt;&gt;"",D702&lt;&gt;"",F702&lt;&gt;"",G702&lt;&gt;"",H702&lt;&gt;"",ISERROR(SEARCH("по паспорту",G702)),ISERROR(SEARCH("по паспорту",H702)),I702&lt;&gt;"",J702&lt;&gt;"",K702&lt;&gt;"",L702&lt;&gt;"",M702&lt;&gt;""),"ГОТОВО","НЕ ГОТОВО"))</f>
        <v/>
      </c>
      <c r="Z702" s="226">
        <f>IF(Y702&lt;&gt;"ГОТОВО","", "Предварительное заключение: "&amp;A702&amp;", скв. "&amp;B702&amp;". МРП: "&amp;E702&amp;" сут. ГНО: "&amp;F702&amp;", типоразмер "&amp;G702&amp;", марка "&amp;H702&amp;". Событие: "&amp;I702&amp;". Признак: "&amp;J702&amp;". Узел: "&amp;K702&amp;". Предварительная причина: "&amp;L702&amp;". Основное осложнение: "&amp;M702&amp;IF(N702&lt;&gt;"","; сопутствующее: "&amp;N702,"")&amp;IF(O702&lt;&gt;"","; дополнительно: "&amp;O702,"")&amp;".")</f>
        <v/>
      </c>
    </row>
    <row r="703">
      <c r="A703" s="75" t="n"/>
      <c r="B703" s="75" t="n"/>
      <c r="C703" s="261" t="n"/>
      <c r="D703" s="261" t="n"/>
      <c r="E703" s="262">
        <f>IF(OR(C703="",D703=""),"",D703-C703)</f>
        <v/>
      </c>
      <c r="F703" s="75" t="n"/>
      <c r="G703" s="75" t="n"/>
      <c r="H703" s="75" t="n"/>
      <c r="I703" s="75" t="n"/>
      <c r="J703" s="75" t="n"/>
      <c r="K703" s="75" t="n"/>
      <c r="L703" s="75" t="n"/>
      <c r="M703" s="75" t="n"/>
      <c r="N703" s="75" t="n"/>
      <c r="O703" s="75" t="n"/>
      <c r="P703" s="75" t="n"/>
      <c r="Q703" s="75" t="n"/>
      <c r="R703" s="75" t="n"/>
      <c r="S703" s="75" t="n"/>
      <c r="T703" s="75" t="n"/>
      <c r="U703" s="75" t="n"/>
      <c r="V703" s="75" t="n"/>
      <c r="W703" s="75" t="n"/>
      <c r="X703" s="75" t="n"/>
      <c r="Y703" s="226">
        <f>IF(AND(A703="",B703=""),"",IF(AND(A703&lt;&gt;"",B703&lt;&gt;"",C703&lt;&gt;"",D703&lt;&gt;"",F703&lt;&gt;"",G703&lt;&gt;"",H703&lt;&gt;"",ISERROR(SEARCH("по паспорту",G703)),ISERROR(SEARCH("по паспорту",H703)),I703&lt;&gt;"",J703&lt;&gt;"",K703&lt;&gt;"",L703&lt;&gt;"",M703&lt;&gt;""),"ГОТОВО","НЕ ГОТОВО"))</f>
        <v/>
      </c>
      <c r="Z703" s="226">
        <f>IF(Y703&lt;&gt;"ГОТОВО","", "Предварительное заключение: "&amp;A703&amp;", скв. "&amp;B703&amp;". МРП: "&amp;E703&amp;" сут. ГНО: "&amp;F703&amp;", типоразмер "&amp;G703&amp;", марка "&amp;H703&amp;". Событие: "&amp;I703&amp;". Признак: "&amp;J703&amp;". Узел: "&amp;K703&amp;". Предварительная причина: "&amp;L703&amp;". Основное осложнение: "&amp;M703&amp;IF(N703&lt;&gt;"","; сопутствующее: "&amp;N703,"")&amp;IF(O703&lt;&gt;"","; дополнительно: "&amp;O703,"")&amp;".")</f>
        <v/>
      </c>
    </row>
    <row r="704">
      <c r="A704" s="75" t="n"/>
      <c r="B704" s="75" t="n"/>
      <c r="C704" s="261" t="n"/>
      <c r="D704" s="261" t="n"/>
      <c r="E704" s="262">
        <f>IF(OR(C704="",D704=""),"",D704-C704)</f>
        <v/>
      </c>
      <c r="F704" s="75" t="n"/>
      <c r="G704" s="75" t="n"/>
      <c r="H704" s="75" t="n"/>
      <c r="I704" s="75" t="n"/>
      <c r="J704" s="75" t="n"/>
      <c r="K704" s="75" t="n"/>
      <c r="L704" s="75" t="n"/>
      <c r="M704" s="75" t="n"/>
      <c r="N704" s="75" t="n"/>
      <c r="O704" s="75" t="n"/>
      <c r="P704" s="75" t="n"/>
      <c r="Q704" s="75" t="n"/>
      <c r="R704" s="75" t="n"/>
      <c r="S704" s="75" t="n"/>
      <c r="T704" s="75" t="n"/>
      <c r="U704" s="75" t="n"/>
      <c r="V704" s="75" t="n"/>
      <c r="W704" s="75" t="n"/>
      <c r="X704" s="75" t="n"/>
      <c r="Y704" s="226">
        <f>IF(AND(A704="",B704=""),"",IF(AND(A704&lt;&gt;"",B704&lt;&gt;"",C704&lt;&gt;"",D704&lt;&gt;"",F704&lt;&gt;"",G704&lt;&gt;"",H704&lt;&gt;"",ISERROR(SEARCH("по паспорту",G704)),ISERROR(SEARCH("по паспорту",H704)),I704&lt;&gt;"",J704&lt;&gt;"",K704&lt;&gt;"",L704&lt;&gt;"",M704&lt;&gt;""),"ГОТОВО","НЕ ГОТОВО"))</f>
        <v/>
      </c>
      <c r="Z704" s="226">
        <f>IF(Y704&lt;&gt;"ГОТОВО","", "Предварительное заключение: "&amp;A704&amp;", скв. "&amp;B704&amp;". МРП: "&amp;E704&amp;" сут. ГНО: "&amp;F704&amp;", типоразмер "&amp;G704&amp;", марка "&amp;H704&amp;". Событие: "&amp;I704&amp;". Признак: "&amp;J704&amp;". Узел: "&amp;K704&amp;". Предварительная причина: "&amp;L704&amp;". Основное осложнение: "&amp;M704&amp;IF(N704&lt;&gt;"","; сопутствующее: "&amp;N704,"")&amp;IF(O704&lt;&gt;"","; дополнительно: "&amp;O704,"")&amp;".")</f>
        <v/>
      </c>
    </row>
    <row r="705">
      <c r="A705" s="75" t="n"/>
      <c r="B705" s="75" t="n"/>
      <c r="C705" s="261" t="n"/>
      <c r="D705" s="261" t="n"/>
      <c r="E705" s="262">
        <f>IF(OR(C705="",D705=""),"",D705-C705)</f>
        <v/>
      </c>
      <c r="F705" s="75" t="n"/>
      <c r="G705" s="75" t="n"/>
      <c r="H705" s="75" t="n"/>
      <c r="I705" s="75" t="n"/>
      <c r="J705" s="75" t="n"/>
      <c r="K705" s="75" t="n"/>
      <c r="L705" s="75" t="n"/>
      <c r="M705" s="75" t="n"/>
      <c r="N705" s="75" t="n"/>
      <c r="O705" s="75" t="n"/>
      <c r="P705" s="75" t="n"/>
      <c r="Q705" s="75" t="n"/>
      <c r="R705" s="75" t="n"/>
      <c r="S705" s="75" t="n"/>
      <c r="T705" s="75" t="n"/>
      <c r="U705" s="75" t="n"/>
      <c r="V705" s="75" t="n"/>
      <c r="W705" s="75" t="n"/>
      <c r="X705" s="75" t="n"/>
      <c r="Y705" s="226">
        <f>IF(AND(A705="",B705=""),"",IF(AND(A705&lt;&gt;"",B705&lt;&gt;"",C705&lt;&gt;"",D705&lt;&gt;"",F705&lt;&gt;"",G705&lt;&gt;"",H705&lt;&gt;"",ISERROR(SEARCH("по паспорту",G705)),ISERROR(SEARCH("по паспорту",H705)),I705&lt;&gt;"",J705&lt;&gt;"",K705&lt;&gt;"",L705&lt;&gt;"",M705&lt;&gt;""),"ГОТОВО","НЕ ГОТОВО"))</f>
        <v/>
      </c>
      <c r="Z705" s="226">
        <f>IF(Y705&lt;&gt;"ГОТОВО","", "Предварительное заключение: "&amp;A705&amp;", скв. "&amp;B705&amp;". МРП: "&amp;E705&amp;" сут. ГНО: "&amp;F705&amp;", типоразмер "&amp;G705&amp;", марка "&amp;H705&amp;". Событие: "&amp;I705&amp;". Признак: "&amp;J705&amp;". Узел: "&amp;K705&amp;". Предварительная причина: "&amp;L705&amp;". Основное осложнение: "&amp;M705&amp;IF(N705&lt;&gt;"","; сопутствующее: "&amp;N705,"")&amp;IF(O705&lt;&gt;"","; дополнительно: "&amp;O705,"")&amp;".")</f>
        <v/>
      </c>
    </row>
    <row r="706">
      <c r="A706" s="75" t="n"/>
      <c r="B706" s="75" t="n"/>
      <c r="C706" s="261" t="n"/>
      <c r="D706" s="261" t="n"/>
      <c r="E706" s="262">
        <f>IF(OR(C706="",D706=""),"",D706-C706)</f>
        <v/>
      </c>
      <c r="F706" s="75" t="n"/>
      <c r="G706" s="75" t="n"/>
      <c r="H706" s="75" t="n"/>
      <c r="I706" s="75" t="n"/>
      <c r="J706" s="75" t="n"/>
      <c r="K706" s="75" t="n"/>
      <c r="L706" s="75" t="n"/>
      <c r="M706" s="75" t="n"/>
      <c r="N706" s="75" t="n"/>
      <c r="O706" s="75" t="n"/>
      <c r="P706" s="75" t="n"/>
      <c r="Q706" s="75" t="n"/>
      <c r="R706" s="75" t="n"/>
      <c r="S706" s="75" t="n"/>
      <c r="T706" s="75" t="n"/>
      <c r="U706" s="75" t="n"/>
      <c r="V706" s="75" t="n"/>
      <c r="W706" s="75" t="n"/>
      <c r="X706" s="75" t="n"/>
      <c r="Y706" s="226">
        <f>IF(AND(A706="",B706=""),"",IF(AND(A706&lt;&gt;"",B706&lt;&gt;"",C706&lt;&gt;"",D706&lt;&gt;"",F706&lt;&gt;"",G706&lt;&gt;"",H706&lt;&gt;"",ISERROR(SEARCH("по паспорту",G706)),ISERROR(SEARCH("по паспорту",H706)),I706&lt;&gt;"",J706&lt;&gt;"",K706&lt;&gt;"",L706&lt;&gt;"",M706&lt;&gt;""),"ГОТОВО","НЕ ГОТОВО"))</f>
        <v/>
      </c>
      <c r="Z706" s="226">
        <f>IF(Y706&lt;&gt;"ГОТОВО","", "Предварительное заключение: "&amp;A706&amp;", скв. "&amp;B706&amp;". МРП: "&amp;E706&amp;" сут. ГНО: "&amp;F706&amp;", типоразмер "&amp;G706&amp;", марка "&amp;H706&amp;". Событие: "&amp;I706&amp;". Признак: "&amp;J706&amp;". Узел: "&amp;K706&amp;". Предварительная причина: "&amp;L706&amp;". Основное осложнение: "&amp;M706&amp;IF(N706&lt;&gt;"","; сопутствующее: "&amp;N706,"")&amp;IF(O706&lt;&gt;"","; дополнительно: "&amp;O706,"")&amp;".")</f>
        <v/>
      </c>
    </row>
    <row r="707">
      <c r="A707" s="75" t="n"/>
      <c r="B707" s="75" t="n"/>
      <c r="C707" s="261" t="n"/>
      <c r="D707" s="261" t="n"/>
      <c r="E707" s="262">
        <f>IF(OR(C707="",D707=""),"",D707-C707)</f>
        <v/>
      </c>
      <c r="F707" s="75" t="n"/>
      <c r="G707" s="75" t="n"/>
      <c r="H707" s="75" t="n"/>
      <c r="I707" s="75" t="n"/>
      <c r="J707" s="75" t="n"/>
      <c r="K707" s="75" t="n"/>
      <c r="L707" s="75" t="n"/>
      <c r="M707" s="75" t="n"/>
      <c r="N707" s="75" t="n"/>
      <c r="O707" s="75" t="n"/>
      <c r="P707" s="75" t="n"/>
      <c r="Q707" s="75" t="n"/>
      <c r="R707" s="75" t="n"/>
      <c r="S707" s="75" t="n"/>
      <c r="T707" s="75" t="n"/>
      <c r="U707" s="75" t="n"/>
      <c r="V707" s="75" t="n"/>
      <c r="W707" s="75" t="n"/>
      <c r="X707" s="75" t="n"/>
      <c r="Y707" s="226">
        <f>IF(AND(A707="",B707=""),"",IF(AND(A707&lt;&gt;"",B707&lt;&gt;"",C707&lt;&gt;"",D707&lt;&gt;"",F707&lt;&gt;"",G707&lt;&gt;"",H707&lt;&gt;"",ISERROR(SEARCH("по паспорту",G707)),ISERROR(SEARCH("по паспорту",H707)),I707&lt;&gt;"",J707&lt;&gt;"",K707&lt;&gt;"",L707&lt;&gt;"",M707&lt;&gt;""),"ГОТОВО","НЕ ГОТОВО"))</f>
        <v/>
      </c>
      <c r="Z707" s="226">
        <f>IF(Y707&lt;&gt;"ГОТОВО","", "Предварительное заключение: "&amp;A707&amp;", скв. "&amp;B707&amp;". МРП: "&amp;E707&amp;" сут. ГНО: "&amp;F707&amp;", типоразмер "&amp;G707&amp;", марка "&amp;H707&amp;". Событие: "&amp;I707&amp;". Признак: "&amp;J707&amp;". Узел: "&amp;K707&amp;". Предварительная причина: "&amp;L707&amp;". Основное осложнение: "&amp;M707&amp;IF(N707&lt;&gt;"","; сопутствующее: "&amp;N707,"")&amp;IF(O707&lt;&gt;"","; дополнительно: "&amp;O707,"")&amp;".")</f>
        <v/>
      </c>
    </row>
    <row r="708">
      <c r="A708" s="75" t="n"/>
      <c r="B708" s="75" t="n"/>
      <c r="C708" s="261" t="n"/>
      <c r="D708" s="261" t="n"/>
      <c r="E708" s="262">
        <f>IF(OR(C708="",D708=""),"",D708-C708)</f>
        <v/>
      </c>
      <c r="F708" s="75" t="n"/>
      <c r="G708" s="75" t="n"/>
      <c r="H708" s="75" t="n"/>
      <c r="I708" s="75" t="n"/>
      <c r="J708" s="75" t="n"/>
      <c r="K708" s="75" t="n"/>
      <c r="L708" s="75" t="n"/>
      <c r="M708" s="75" t="n"/>
      <c r="N708" s="75" t="n"/>
      <c r="O708" s="75" t="n"/>
      <c r="P708" s="75" t="n"/>
      <c r="Q708" s="75" t="n"/>
      <c r="R708" s="75" t="n"/>
      <c r="S708" s="75" t="n"/>
      <c r="T708" s="75" t="n"/>
      <c r="U708" s="75" t="n"/>
      <c r="V708" s="75" t="n"/>
      <c r="W708" s="75" t="n"/>
      <c r="X708" s="75" t="n"/>
      <c r="Y708" s="226">
        <f>IF(AND(A708="",B708=""),"",IF(AND(A708&lt;&gt;"",B708&lt;&gt;"",C708&lt;&gt;"",D708&lt;&gt;"",F708&lt;&gt;"",G708&lt;&gt;"",H708&lt;&gt;"",ISERROR(SEARCH("по паспорту",G708)),ISERROR(SEARCH("по паспорту",H708)),I708&lt;&gt;"",J708&lt;&gt;"",K708&lt;&gt;"",L708&lt;&gt;"",M708&lt;&gt;""),"ГОТОВО","НЕ ГОТОВО"))</f>
        <v/>
      </c>
      <c r="Z708" s="226">
        <f>IF(Y708&lt;&gt;"ГОТОВО","", "Предварительное заключение: "&amp;A708&amp;", скв. "&amp;B708&amp;". МРП: "&amp;E708&amp;" сут. ГНО: "&amp;F708&amp;", типоразмер "&amp;G708&amp;", марка "&amp;H708&amp;". Событие: "&amp;I708&amp;". Признак: "&amp;J708&amp;". Узел: "&amp;K708&amp;". Предварительная причина: "&amp;L708&amp;". Основное осложнение: "&amp;M708&amp;IF(N708&lt;&gt;"","; сопутствующее: "&amp;N708,"")&amp;IF(O708&lt;&gt;"","; дополнительно: "&amp;O708,"")&amp;".")</f>
        <v/>
      </c>
    </row>
    <row r="709">
      <c r="A709" s="75" t="n"/>
      <c r="B709" s="75" t="n"/>
      <c r="C709" s="261" t="n"/>
      <c r="D709" s="261" t="n"/>
      <c r="E709" s="262">
        <f>IF(OR(C709="",D709=""),"",D709-C709)</f>
        <v/>
      </c>
      <c r="F709" s="75" t="n"/>
      <c r="G709" s="75" t="n"/>
      <c r="H709" s="75" t="n"/>
      <c r="I709" s="75" t="n"/>
      <c r="J709" s="75" t="n"/>
      <c r="K709" s="75" t="n"/>
      <c r="L709" s="75" t="n"/>
      <c r="M709" s="75" t="n"/>
      <c r="N709" s="75" t="n"/>
      <c r="O709" s="75" t="n"/>
      <c r="P709" s="75" t="n"/>
      <c r="Q709" s="75" t="n"/>
      <c r="R709" s="75" t="n"/>
      <c r="S709" s="75" t="n"/>
      <c r="T709" s="75" t="n"/>
      <c r="U709" s="75" t="n"/>
      <c r="V709" s="75" t="n"/>
      <c r="W709" s="75" t="n"/>
      <c r="X709" s="75" t="n"/>
      <c r="Y709" s="226">
        <f>IF(AND(A709="",B709=""),"",IF(AND(A709&lt;&gt;"",B709&lt;&gt;"",C709&lt;&gt;"",D709&lt;&gt;"",F709&lt;&gt;"",G709&lt;&gt;"",H709&lt;&gt;"",ISERROR(SEARCH("по паспорту",G709)),ISERROR(SEARCH("по паспорту",H709)),I709&lt;&gt;"",J709&lt;&gt;"",K709&lt;&gt;"",L709&lt;&gt;"",M709&lt;&gt;""),"ГОТОВО","НЕ ГОТОВО"))</f>
        <v/>
      </c>
      <c r="Z709" s="226">
        <f>IF(Y709&lt;&gt;"ГОТОВО","", "Предварительное заключение: "&amp;A709&amp;", скв. "&amp;B709&amp;". МРП: "&amp;E709&amp;" сут. ГНО: "&amp;F709&amp;", типоразмер "&amp;G709&amp;", марка "&amp;H709&amp;". Событие: "&amp;I709&amp;". Признак: "&amp;J709&amp;". Узел: "&amp;K709&amp;". Предварительная причина: "&amp;L709&amp;". Основное осложнение: "&amp;M709&amp;IF(N709&lt;&gt;"","; сопутствующее: "&amp;N709,"")&amp;IF(O709&lt;&gt;"","; дополнительно: "&amp;O709,"")&amp;".")</f>
        <v/>
      </c>
    </row>
    <row r="710">
      <c r="A710" s="75" t="n"/>
      <c r="B710" s="75" t="n"/>
      <c r="C710" s="261" t="n"/>
      <c r="D710" s="261" t="n"/>
      <c r="E710" s="262">
        <f>IF(OR(C710="",D710=""),"",D710-C710)</f>
        <v/>
      </c>
      <c r="F710" s="75" t="n"/>
      <c r="G710" s="75" t="n"/>
      <c r="H710" s="75" t="n"/>
      <c r="I710" s="75" t="n"/>
      <c r="J710" s="75" t="n"/>
      <c r="K710" s="75" t="n"/>
      <c r="L710" s="75" t="n"/>
      <c r="M710" s="75" t="n"/>
      <c r="N710" s="75" t="n"/>
      <c r="O710" s="75" t="n"/>
      <c r="P710" s="75" t="n"/>
      <c r="Q710" s="75" t="n"/>
      <c r="R710" s="75" t="n"/>
      <c r="S710" s="75" t="n"/>
      <c r="T710" s="75" t="n"/>
      <c r="U710" s="75" t="n"/>
      <c r="V710" s="75" t="n"/>
      <c r="W710" s="75" t="n"/>
      <c r="X710" s="75" t="n"/>
      <c r="Y710" s="226">
        <f>IF(AND(A710="",B710=""),"",IF(AND(A710&lt;&gt;"",B710&lt;&gt;"",C710&lt;&gt;"",D710&lt;&gt;"",F710&lt;&gt;"",G710&lt;&gt;"",H710&lt;&gt;"",ISERROR(SEARCH("по паспорту",G710)),ISERROR(SEARCH("по паспорту",H710)),I710&lt;&gt;"",J710&lt;&gt;"",K710&lt;&gt;"",L710&lt;&gt;"",M710&lt;&gt;""),"ГОТОВО","НЕ ГОТОВО"))</f>
        <v/>
      </c>
      <c r="Z710" s="226">
        <f>IF(Y710&lt;&gt;"ГОТОВО","", "Предварительное заключение: "&amp;A710&amp;", скв. "&amp;B710&amp;". МРП: "&amp;E710&amp;" сут. ГНО: "&amp;F710&amp;", типоразмер "&amp;G710&amp;", марка "&amp;H710&amp;". Событие: "&amp;I710&amp;". Признак: "&amp;J710&amp;". Узел: "&amp;K710&amp;". Предварительная причина: "&amp;L710&amp;". Основное осложнение: "&amp;M710&amp;IF(N710&lt;&gt;"","; сопутствующее: "&amp;N710,"")&amp;IF(O710&lt;&gt;"","; дополнительно: "&amp;O710,"")&amp;".")</f>
        <v/>
      </c>
    </row>
    <row r="711">
      <c r="A711" s="75" t="n"/>
      <c r="B711" s="75" t="n"/>
      <c r="C711" s="261" t="n"/>
      <c r="D711" s="261" t="n"/>
      <c r="E711" s="262">
        <f>IF(OR(C711="",D711=""),"",D711-C711)</f>
        <v/>
      </c>
      <c r="F711" s="75" t="n"/>
      <c r="G711" s="75" t="n"/>
      <c r="H711" s="75" t="n"/>
      <c r="I711" s="75" t="n"/>
      <c r="J711" s="75" t="n"/>
      <c r="K711" s="75" t="n"/>
      <c r="L711" s="75" t="n"/>
      <c r="M711" s="75" t="n"/>
      <c r="N711" s="75" t="n"/>
      <c r="O711" s="75" t="n"/>
      <c r="P711" s="75" t="n"/>
      <c r="Q711" s="75" t="n"/>
      <c r="R711" s="75" t="n"/>
      <c r="S711" s="75" t="n"/>
      <c r="T711" s="75" t="n"/>
      <c r="U711" s="75" t="n"/>
      <c r="V711" s="75" t="n"/>
      <c r="W711" s="75" t="n"/>
      <c r="X711" s="75" t="n"/>
      <c r="Y711" s="226">
        <f>IF(AND(A711="",B711=""),"",IF(AND(A711&lt;&gt;"",B711&lt;&gt;"",C711&lt;&gt;"",D711&lt;&gt;"",F711&lt;&gt;"",G711&lt;&gt;"",H711&lt;&gt;"",ISERROR(SEARCH("по паспорту",G711)),ISERROR(SEARCH("по паспорту",H711)),I711&lt;&gt;"",J711&lt;&gt;"",K711&lt;&gt;"",L711&lt;&gt;"",M711&lt;&gt;""),"ГОТОВО","НЕ ГОТОВО"))</f>
        <v/>
      </c>
      <c r="Z711" s="226">
        <f>IF(Y711&lt;&gt;"ГОТОВО","", "Предварительное заключение: "&amp;A711&amp;", скв. "&amp;B711&amp;". МРП: "&amp;E711&amp;" сут. ГНО: "&amp;F711&amp;", типоразмер "&amp;G711&amp;", марка "&amp;H711&amp;". Событие: "&amp;I711&amp;". Признак: "&amp;J711&amp;". Узел: "&amp;K711&amp;". Предварительная причина: "&amp;L711&amp;". Основное осложнение: "&amp;M711&amp;IF(N711&lt;&gt;"","; сопутствующее: "&amp;N711,"")&amp;IF(O711&lt;&gt;"","; дополнительно: "&amp;O711,"")&amp;".")</f>
        <v/>
      </c>
    </row>
    <row r="712">
      <c r="A712" s="75" t="n"/>
      <c r="B712" s="75" t="n"/>
      <c r="C712" s="261" t="n"/>
      <c r="D712" s="261" t="n"/>
      <c r="E712" s="262">
        <f>IF(OR(C712="",D712=""),"",D712-C712)</f>
        <v/>
      </c>
      <c r="F712" s="75" t="n"/>
      <c r="G712" s="75" t="n"/>
      <c r="H712" s="75" t="n"/>
      <c r="I712" s="75" t="n"/>
      <c r="J712" s="75" t="n"/>
      <c r="K712" s="75" t="n"/>
      <c r="L712" s="75" t="n"/>
      <c r="M712" s="75" t="n"/>
      <c r="N712" s="75" t="n"/>
      <c r="O712" s="75" t="n"/>
      <c r="P712" s="75" t="n"/>
      <c r="Q712" s="75" t="n"/>
      <c r="R712" s="75" t="n"/>
      <c r="S712" s="75" t="n"/>
      <c r="T712" s="75" t="n"/>
      <c r="U712" s="75" t="n"/>
      <c r="V712" s="75" t="n"/>
      <c r="W712" s="75" t="n"/>
      <c r="X712" s="75" t="n"/>
      <c r="Y712" s="226">
        <f>IF(AND(A712="",B712=""),"",IF(AND(A712&lt;&gt;"",B712&lt;&gt;"",C712&lt;&gt;"",D712&lt;&gt;"",F712&lt;&gt;"",G712&lt;&gt;"",H712&lt;&gt;"",ISERROR(SEARCH("по паспорту",G712)),ISERROR(SEARCH("по паспорту",H712)),I712&lt;&gt;"",J712&lt;&gt;"",K712&lt;&gt;"",L712&lt;&gt;"",M712&lt;&gt;""),"ГОТОВО","НЕ ГОТОВО"))</f>
        <v/>
      </c>
      <c r="Z712" s="226">
        <f>IF(Y712&lt;&gt;"ГОТОВО","", "Предварительное заключение: "&amp;A712&amp;", скв. "&amp;B712&amp;". МРП: "&amp;E712&amp;" сут. ГНО: "&amp;F712&amp;", типоразмер "&amp;G712&amp;", марка "&amp;H712&amp;". Событие: "&amp;I712&amp;". Признак: "&amp;J712&amp;". Узел: "&amp;K712&amp;". Предварительная причина: "&amp;L712&amp;". Основное осложнение: "&amp;M712&amp;IF(N712&lt;&gt;"","; сопутствующее: "&amp;N712,"")&amp;IF(O712&lt;&gt;"","; дополнительно: "&amp;O712,"")&amp;".")</f>
        <v/>
      </c>
    </row>
    <row r="713">
      <c r="A713" s="75" t="n"/>
      <c r="B713" s="75" t="n"/>
      <c r="C713" s="261" t="n"/>
      <c r="D713" s="261" t="n"/>
      <c r="E713" s="262">
        <f>IF(OR(C713="",D713=""),"",D713-C713)</f>
        <v/>
      </c>
      <c r="F713" s="75" t="n"/>
      <c r="G713" s="75" t="n"/>
      <c r="H713" s="75" t="n"/>
      <c r="I713" s="75" t="n"/>
      <c r="J713" s="75" t="n"/>
      <c r="K713" s="75" t="n"/>
      <c r="L713" s="75" t="n"/>
      <c r="M713" s="75" t="n"/>
      <c r="N713" s="75" t="n"/>
      <c r="O713" s="75" t="n"/>
      <c r="P713" s="75" t="n"/>
      <c r="Q713" s="75" t="n"/>
      <c r="R713" s="75" t="n"/>
      <c r="S713" s="75" t="n"/>
      <c r="T713" s="75" t="n"/>
      <c r="U713" s="75" t="n"/>
      <c r="V713" s="75" t="n"/>
      <c r="W713" s="75" t="n"/>
      <c r="X713" s="75" t="n"/>
      <c r="Y713" s="226">
        <f>IF(AND(A713="",B713=""),"",IF(AND(A713&lt;&gt;"",B713&lt;&gt;"",C713&lt;&gt;"",D713&lt;&gt;"",F713&lt;&gt;"",G713&lt;&gt;"",H713&lt;&gt;"",ISERROR(SEARCH("по паспорту",G713)),ISERROR(SEARCH("по паспорту",H713)),I713&lt;&gt;"",J713&lt;&gt;"",K713&lt;&gt;"",L713&lt;&gt;"",M713&lt;&gt;""),"ГОТОВО","НЕ ГОТОВО"))</f>
        <v/>
      </c>
      <c r="Z713" s="226">
        <f>IF(Y713&lt;&gt;"ГОТОВО","", "Предварительное заключение: "&amp;A713&amp;", скв. "&amp;B713&amp;". МРП: "&amp;E713&amp;" сут. ГНО: "&amp;F713&amp;", типоразмер "&amp;G713&amp;", марка "&amp;H713&amp;". Событие: "&amp;I713&amp;". Признак: "&amp;J713&amp;". Узел: "&amp;K713&amp;". Предварительная причина: "&amp;L713&amp;". Основное осложнение: "&amp;M713&amp;IF(N713&lt;&gt;"","; сопутствующее: "&amp;N713,"")&amp;IF(O713&lt;&gt;"","; дополнительно: "&amp;O713,"")&amp;".")</f>
        <v/>
      </c>
    </row>
    <row r="714">
      <c r="A714" s="75" t="n"/>
      <c r="B714" s="75" t="n"/>
      <c r="C714" s="261" t="n"/>
      <c r="D714" s="261" t="n"/>
      <c r="E714" s="262">
        <f>IF(OR(C714="",D714=""),"",D714-C714)</f>
        <v/>
      </c>
      <c r="F714" s="75" t="n"/>
      <c r="G714" s="75" t="n"/>
      <c r="H714" s="75" t="n"/>
      <c r="I714" s="75" t="n"/>
      <c r="J714" s="75" t="n"/>
      <c r="K714" s="75" t="n"/>
      <c r="L714" s="75" t="n"/>
      <c r="M714" s="75" t="n"/>
      <c r="N714" s="75" t="n"/>
      <c r="O714" s="75" t="n"/>
      <c r="P714" s="75" t="n"/>
      <c r="Q714" s="75" t="n"/>
      <c r="R714" s="75" t="n"/>
      <c r="S714" s="75" t="n"/>
      <c r="T714" s="75" t="n"/>
      <c r="U714" s="75" t="n"/>
      <c r="V714" s="75" t="n"/>
      <c r="W714" s="75" t="n"/>
      <c r="X714" s="75" t="n"/>
      <c r="Y714" s="226">
        <f>IF(AND(A714="",B714=""),"",IF(AND(A714&lt;&gt;"",B714&lt;&gt;"",C714&lt;&gt;"",D714&lt;&gt;"",F714&lt;&gt;"",G714&lt;&gt;"",H714&lt;&gt;"",ISERROR(SEARCH("по паспорту",G714)),ISERROR(SEARCH("по паспорту",H714)),I714&lt;&gt;"",J714&lt;&gt;"",K714&lt;&gt;"",L714&lt;&gt;"",M714&lt;&gt;""),"ГОТОВО","НЕ ГОТОВО"))</f>
        <v/>
      </c>
      <c r="Z714" s="226">
        <f>IF(Y714&lt;&gt;"ГОТОВО","", "Предварительное заключение: "&amp;A714&amp;", скв. "&amp;B714&amp;". МРП: "&amp;E714&amp;" сут. ГНО: "&amp;F714&amp;", типоразмер "&amp;G714&amp;", марка "&amp;H714&amp;". Событие: "&amp;I714&amp;". Признак: "&amp;J714&amp;". Узел: "&amp;K714&amp;". Предварительная причина: "&amp;L714&amp;". Основное осложнение: "&amp;M714&amp;IF(N714&lt;&gt;"","; сопутствующее: "&amp;N714,"")&amp;IF(O714&lt;&gt;"","; дополнительно: "&amp;O714,"")&amp;".")</f>
        <v/>
      </c>
    </row>
    <row r="715">
      <c r="A715" s="75" t="n"/>
      <c r="B715" s="75" t="n"/>
      <c r="C715" s="261" t="n"/>
      <c r="D715" s="261" t="n"/>
      <c r="E715" s="262">
        <f>IF(OR(C715="",D715=""),"",D715-C715)</f>
        <v/>
      </c>
      <c r="F715" s="75" t="n"/>
      <c r="G715" s="75" t="n"/>
      <c r="H715" s="75" t="n"/>
      <c r="I715" s="75" t="n"/>
      <c r="J715" s="75" t="n"/>
      <c r="K715" s="75" t="n"/>
      <c r="L715" s="75" t="n"/>
      <c r="M715" s="75" t="n"/>
      <c r="N715" s="75" t="n"/>
      <c r="O715" s="75" t="n"/>
      <c r="P715" s="75" t="n"/>
      <c r="Q715" s="75" t="n"/>
      <c r="R715" s="75" t="n"/>
      <c r="S715" s="75" t="n"/>
      <c r="T715" s="75" t="n"/>
      <c r="U715" s="75" t="n"/>
      <c r="V715" s="75" t="n"/>
      <c r="W715" s="75" t="n"/>
      <c r="X715" s="75" t="n"/>
      <c r="Y715" s="226">
        <f>IF(AND(A715="",B715=""),"",IF(AND(A715&lt;&gt;"",B715&lt;&gt;"",C715&lt;&gt;"",D715&lt;&gt;"",F715&lt;&gt;"",G715&lt;&gt;"",H715&lt;&gt;"",ISERROR(SEARCH("по паспорту",G715)),ISERROR(SEARCH("по паспорту",H715)),I715&lt;&gt;"",J715&lt;&gt;"",K715&lt;&gt;"",L715&lt;&gt;"",M715&lt;&gt;""),"ГОТОВО","НЕ ГОТОВО"))</f>
        <v/>
      </c>
      <c r="Z715" s="226">
        <f>IF(Y715&lt;&gt;"ГОТОВО","", "Предварительное заключение: "&amp;A715&amp;", скв. "&amp;B715&amp;". МРП: "&amp;E715&amp;" сут. ГНО: "&amp;F715&amp;", типоразмер "&amp;G715&amp;", марка "&amp;H715&amp;". Событие: "&amp;I715&amp;". Признак: "&amp;J715&amp;". Узел: "&amp;K715&amp;". Предварительная причина: "&amp;L715&amp;". Основное осложнение: "&amp;M715&amp;IF(N715&lt;&gt;"","; сопутствующее: "&amp;N715,"")&amp;IF(O715&lt;&gt;"","; дополнительно: "&amp;O715,"")&amp;".")</f>
        <v/>
      </c>
    </row>
    <row r="716">
      <c r="A716" s="75" t="n"/>
      <c r="B716" s="75" t="n"/>
      <c r="C716" s="261" t="n"/>
      <c r="D716" s="261" t="n"/>
      <c r="E716" s="262">
        <f>IF(OR(C716="",D716=""),"",D716-C716)</f>
        <v/>
      </c>
      <c r="F716" s="75" t="n"/>
      <c r="G716" s="75" t="n"/>
      <c r="H716" s="75" t="n"/>
      <c r="I716" s="75" t="n"/>
      <c r="J716" s="75" t="n"/>
      <c r="K716" s="75" t="n"/>
      <c r="L716" s="75" t="n"/>
      <c r="M716" s="75" t="n"/>
      <c r="N716" s="75" t="n"/>
      <c r="O716" s="75" t="n"/>
      <c r="P716" s="75" t="n"/>
      <c r="Q716" s="75" t="n"/>
      <c r="R716" s="75" t="n"/>
      <c r="S716" s="75" t="n"/>
      <c r="T716" s="75" t="n"/>
      <c r="U716" s="75" t="n"/>
      <c r="V716" s="75" t="n"/>
      <c r="W716" s="75" t="n"/>
      <c r="X716" s="75" t="n"/>
      <c r="Y716" s="226">
        <f>IF(AND(A716="",B716=""),"",IF(AND(A716&lt;&gt;"",B716&lt;&gt;"",C716&lt;&gt;"",D716&lt;&gt;"",F716&lt;&gt;"",G716&lt;&gt;"",H716&lt;&gt;"",ISERROR(SEARCH("по паспорту",G716)),ISERROR(SEARCH("по паспорту",H716)),I716&lt;&gt;"",J716&lt;&gt;"",K716&lt;&gt;"",L716&lt;&gt;"",M716&lt;&gt;""),"ГОТОВО","НЕ ГОТОВО"))</f>
        <v/>
      </c>
      <c r="Z716" s="226">
        <f>IF(Y716&lt;&gt;"ГОТОВО","", "Предварительное заключение: "&amp;A716&amp;", скв. "&amp;B716&amp;". МРП: "&amp;E716&amp;" сут. ГНО: "&amp;F716&amp;", типоразмер "&amp;G716&amp;", марка "&amp;H716&amp;". Событие: "&amp;I716&amp;". Признак: "&amp;J716&amp;". Узел: "&amp;K716&amp;". Предварительная причина: "&amp;L716&amp;". Основное осложнение: "&amp;M716&amp;IF(N716&lt;&gt;"","; сопутствующее: "&amp;N716,"")&amp;IF(O716&lt;&gt;"","; дополнительно: "&amp;O716,"")&amp;".")</f>
        <v/>
      </c>
    </row>
    <row r="717">
      <c r="A717" s="75" t="n"/>
      <c r="B717" s="75" t="n"/>
      <c r="C717" s="261" t="n"/>
      <c r="D717" s="261" t="n"/>
      <c r="E717" s="262">
        <f>IF(OR(C717="",D717=""),"",D717-C717)</f>
        <v/>
      </c>
      <c r="F717" s="75" t="n"/>
      <c r="G717" s="75" t="n"/>
      <c r="H717" s="75" t="n"/>
      <c r="I717" s="75" t="n"/>
      <c r="J717" s="75" t="n"/>
      <c r="K717" s="75" t="n"/>
      <c r="L717" s="75" t="n"/>
      <c r="M717" s="75" t="n"/>
      <c r="N717" s="75" t="n"/>
      <c r="O717" s="75" t="n"/>
      <c r="P717" s="75" t="n"/>
      <c r="Q717" s="75" t="n"/>
      <c r="R717" s="75" t="n"/>
      <c r="S717" s="75" t="n"/>
      <c r="T717" s="75" t="n"/>
      <c r="U717" s="75" t="n"/>
      <c r="V717" s="75" t="n"/>
      <c r="W717" s="75" t="n"/>
      <c r="X717" s="75" t="n"/>
      <c r="Y717" s="226">
        <f>IF(AND(A717="",B717=""),"",IF(AND(A717&lt;&gt;"",B717&lt;&gt;"",C717&lt;&gt;"",D717&lt;&gt;"",F717&lt;&gt;"",G717&lt;&gt;"",H717&lt;&gt;"",ISERROR(SEARCH("по паспорту",G717)),ISERROR(SEARCH("по паспорту",H717)),I717&lt;&gt;"",J717&lt;&gt;"",K717&lt;&gt;"",L717&lt;&gt;"",M717&lt;&gt;""),"ГОТОВО","НЕ ГОТОВО"))</f>
        <v/>
      </c>
      <c r="Z717" s="226">
        <f>IF(Y717&lt;&gt;"ГОТОВО","", "Предварительное заключение: "&amp;A717&amp;", скв. "&amp;B717&amp;". МРП: "&amp;E717&amp;" сут. ГНО: "&amp;F717&amp;", типоразмер "&amp;G717&amp;", марка "&amp;H717&amp;". Событие: "&amp;I717&amp;". Признак: "&amp;J717&amp;". Узел: "&amp;K717&amp;". Предварительная причина: "&amp;L717&amp;". Основное осложнение: "&amp;M717&amp;IF(N717&lt;&gt;"","; сопутствующее: "&amp;N717,"")&amp;IF(O717&lt;&gt;"","; дополнительно: "&amp;O717,"")&amp;".")</f>
        <v/>
      </c>
    </row>
    <row r="718">
      <c r="A718" s="75" t="n"/>
      <c r="B718" s="75" t="n"/>
      <c r="C718" s="261" t="n"/>
      <c r="D718" s="261" t="n"/>
      <c r="E718" s="262">
        <f>IF(OR(C718="",D718=""),"",D718-C718)</f>
        <v/>
      </c>
      <c r="F718" s="75" t="n"/>
      <c r="G718" s="75" t="n"/>
      <c r="H718" s="75" t="n"/>
      <c r="I718" s="75" t="n"/>
      <c r="J718" s="75" t="n"/>
      <c r="K718" s="75" t="n"/>
      <c r="L718" s="75" t="n"/>
      <c r="M718" s="75" t="n"/>
      <c r="N718" s="75" t="n"/>
      <c r="O718" s="75" t="n"/>
      <c r="P718" s="75" t="n"/>
      <c r="Q718" s="75" t="n"/>
      <c r="R718" s="75" t="n"/>
      <c r="S718" s="75" t="n"/>
      <c r="T718" s="75" t="n"/>
      <c r="U718" s="75" t="n"/>
      <c r="V718" s="75" t="n"/>
      <c r="W718" s="75" t="n"/>
      <c r="X718" s="75" t="n"/>
      <c r="Y718" s="226">
        <f>IF(AND(A718="",B718=""),"",IF(AND(A718&lt;&gt;"",B718&lt;&gt;"",C718&lt;&gt;"",D718&lt;&gt;"",F718&lt;&gt;"",G718&lt;&gt;"",H718&lt;&gt;"",ISERROR(SEARCH("по паспорту",G718)),ISERROR(SEARCH("по паспорту",H718)),I718&lt;&gt;"",J718&lt;&gt;"",K718&lt;&gt;"",L718&lt;&gt;"",M718&lt;&gt;""),"ГОТОВО","НЕ ГОТОВО"))</f>
        <v/>
      </c>
      <c r="Z718" s="226">
        <f>IF(Y718&lt;&gt;"ГОТОВО","", "Предварительное заключение: "&amp;A718&amp;", скв. "&amp;B718&amp;". МРП: "&amp;E718&amp;" сут. ГНО: "&amp;F718&amp;", типоразмер "&amp;G718&amp;", марка "&amp;H718&amp;". Событие: "&amp;I718&amp;". Признак: "&amp;J718&amp;". Узел: "&amp;K718&amp;". Предварительная причина: "&amp;L718&amp;". Основное осложнение: "&amp;M718&amp;IF(N718&lt;&gt;"","; сопутствующее: "&amp;N718,"")&amp;IF(O718&lt;&gt;"","; дополнительно: "&amp;O718,"")&amp;".")</f>
        <v/>
      </c>
    </row>
    <row r="719">
      <c r="A719" s="75" t="n"/>
      <c r="B719" s="75" t="n"/>
      <c r="C719" s="261" t="n"/>
      <c r="D719" s="261" t="n"/>
      <c r="E719" s="262">
        <f>IF(OR(C719="",D719=""),"",D719-C719)</f>
        <v/>
      </c>
      <c r="F719" s="75" t="n"/>
      <c r="G719" s="75" t="n"/>
      <c r="H719" s="75" t="n"/>
      <c r="I719" s="75" t="n"/>
      <c r="J719" s="75" t="n"/>
      <c r="K719" s="75" t="n"/>
      <c r="L719" s="75" t="n"/>
      <c r="M719" s="75" t="n"/>
      <c r="N719" s="75" t="n"/>
      <c r="O719" s="75" t="n"/>
      <c r="P719" s="75" t="n"/>
      <c r="Q719" s="75" t="n"/>
      <c r="R719" s="75" t="n"/>
      <c r="S719" s="75" t="n"/>
      <c r="T719" s="75" t="n"/>
      <c r="U719" s="75" t="n"/>
      <c r="V719" s="75" t="n"/>
      <c r="W719" s="75" t="n"/>
      <c r="X719" s="75" t="n"/>
      <c r="Y719" s="226">
        <f>IF(AND(A719="",B719=""),"",IF(AND(A719&lt;&gt;"",B719&lt;&gt;"",C719&lt;&gt;"",D719&lt;&gt;"",F719&lt;&gt;"",G719&lt;&gt;"",H719&lt;&gt;"",ISERROR(SEARCH("по паспорту",G719)),ISERROR(SEARCH("по паспорту",H719)),I719&lt;&gt;"",J719&lt;&gt;"",K719&lt;&gt;"",L719&lt;&gt;"",M719&lt;&gt;""),"ГОТОВО","НЕ ГОТОВО"))</f>
        <v/>
      </c>
      <c r="Z719" s="226">
        <f>IF(Y719&lt;&gt;"ГОТОВО","", "Предварительное заключение: "&amp;A719&amp;", скв. "&amp;B719&amp;". МРП: "&amp;E719&amp;" сут. ГНО: "&amp;F719&amp;", типоразмер "&amp;G719&amp;", марка "&amp;H719&amp;". Событие: "&amp;I719&amp;". Признак: "&amp;J719&amp;". Узел: "&amp;K719&amp;". Предварительная причина: "&amp;L719&amp;". Основное осложнение: "&amp;M719&amp;IF(N719&lt;&gt;"","; сопутствующее: "&amp;N719,"")&amp;IF(O719&lt;&gt;"","; дополнительно: "&amp;O719,"")&amp;".")</f>
        <v/>
      </c>
    </row>
    <row r="720">
      <c r="A720" s="75" t="n"/>
      <c r="B720" s="75" t="n"/>
      <c r="C720" s="261" t="n"/>
      <c r="D720" s="261" t="n"/>
      <c r="E720" s="262">
        <f>IF(OR(C720="",D720=""),"",D720-C720)</f>
        <v/>
      </c>
      <c r="F720" s="75" t="n"/>
      <c r="G720" s="75" t="n"/>
      <c r="H720" s="75" t="n"/>
      <c r="I720" s="75" t="n"/>
      <c r="J720" s="75" t="n"/>
      <c r="K720" s="75" t="n"/>
      <c r="L720" s="75" t="n"/>
      <c r="M720" s="75" t="n"/>
      <c r="N720" s="75" t="n"/>
      <c r="O720" s="75" t="n"/>
      <c r="P720" s="75" t="n"/>
      <c r="Q720" s="75" t="n"/>
      <c r="R720" s="75" t="n"/>
      <c r="S720" s="75" t="n"/>
      <c r="T720" s="75" t="n"/>
      <c r="U720" s="75" t="n"/>
      <c r="V720" s="75" t="n"/>
      <c r="W720" s="75" t="n"/>
      <c r="X720" s="75" t="n"/>
      <c r="Y720" s="226">
        <f>IF(AND(A720="",B720=""),"",IF(AND(A720&lt;&gt;"",B720&lt;&gt;"",C720&lt;&gt;"",D720&lt;&gt;"",F720&lt;&gt;"",G720&lt;&gt;"",H720&lt;&gt;"",ISERROR(SEARCH("по паспорту",G720)),ISERROR(SEARCH("по паспорту",H720)),I720&lt;&gt;"",J720&lt;&gt;"",K720&lt;&gt;"",L720&lt;&gt;"",M720&lt;&gt;""),"ГОТОВО","НЕ ГОТОВО"))</f>
        <v/>
      </c>
      <c r="Z720" s="226">
        <f>IF(Y720&lt;&gt;"ГОТОВО","", "Предварительное заключение: "&amp;A720&amp;", скв. "&amp;B720&amp;". МРП: "&amp;E720&amp;" сут. ГНО: "&amp;F720&amp;", типоразмер "&amp;G720&amp;", марка "&amp;H720&amp;". Событие: "&amp;I720&amp;". Признак: "&amp;J720&amp;". Узел: "&amp;K720&amp;". Предварительная причина: "&amp;L720&amp;". Основное осложнение: "&amp;M720&amp;IF(N720&lt;&gt;"","; сопутствующее: "&amp;N720,"")&amp;IF(O720&lt;&gt;"","; дополнительно: "&amp;O720,"")&amp;".")</f>
        <v/>
      </c>
    </row>
    <row r="721">
      <c r="A721" s="75" t="n"/>
      <c r="B721" s="75" t="n"/>
      <c r="C721" s="261" t="n"/>
      <c r="D721" s="261" t="n"/>
      <c r="E721" s="262">
        <f>IF(OR(C721="",D721=""),"",D721-C721)</f>
        <v/>
      </c>
      <c r="F721" s="75" t="n"/>
      <c r="G721" s="75" t="n"/>
      <c r="H721" s="75" t="n"/>
      <c r="I721" s="75" t="n"/>
      <c r="J721" s="75" t="n"/>
      <c r="K721" s="75" t="n"/>
      <c r="L721" s="75" t="n"/>
      <c r="M721" s="75" t="n"/>
      <c r="N721" s="75" t="n"/>
      <c r="O721" s="75" t="n"/>
      <c r="P721" s="75" t="n"/>
      <c r="Q721" s="75" t="n"/>
      <c r="R721" s="75" t="n"/>
      <c r="S721" s="75" t="n"/>
      <c r="T721" s="75" t="n"/>
      <c r="U721" s="75" t="n"/>
      <c r="V721" s="75" t="n"/>
      <c r="W721" s="75" t="n"/>
      <c r="X721" s="75" t="n"/>
      <c r="Y721" s="226">
        <f>IF(AND(A721="",B721=""),"",IF(AND(A721&lt;&gt;"",B721&lt;&gt;"",C721&lt;&gt;"",D721&lt;&gt;"",F721&lt;&gt;"",G721&lt;&gt;"",H721&lt;&gt;"",ISERROR(SEARCH("по паспорту",G721)),ISERROR(SEARCH("по паспорту",H721)),I721&lt;&gt;"",J721&lt;&gt;"",K721&lt;&gt;"",L721&lt;&gt;"",M721&lt;&gt;""),"ГОТОВО","НЕ ГОТОВО"))</f>
        <v/>
      </c>
      <c r="Z721" s="226">
        <f>IF(Y721&lt;&gt;"ГОТОВО","", "Предварительное заключение: "&amp;A721&amp;", скв. "&amp;B721&amp;". МРП: "&amp;E721&amp;" сут. ГНО: "&amp;F721&amp;", типоразмер "&amp;G721&amp;", марка "&amp;H721&amp;". Событие: "&amp;I721&amp;". Признак: "&amp;J721&amp;". Узел: "&amp;K721&amp;". Предварительная причина: "&amp;L721&amp;". Основное осложнение: "&amp;M721&amp;IF(N721&lt;&gt;"","; сопутствующее: "&amp;N721,"")&amp;IF(O721&lt;&gt;"","; дополнительно: "&amp;O721,"")&amp;".")</f>
        <v/>
      </c>
    </row>
    <row r="722">
      <c r="A722" s="75" t="n"/>
      <c r="B722" s="75" t="n"/>
      <c r="C722" s="261" t="n"/>
      <c r="D722" s="261" t="n"/>
      <c r="E722" s="262">
        <f>IF(OR(C722="",D722=""),"",D722-C722)</f>
        <v/>
      </c>
      <c r="F722" s="75" t="n"/>
      <c r="G722" s="75" t="n"/>
      <c r="H722" s="75" t="n"/>
      <c r="I722" s="75" t="n"/>
      <c r="J722" s="75" t="n"/>
      <c r="K722" s="75" t="n"/>
      <c r="L722" s="75" t="n"/>
      <c r="M722" s="75" t="n"/>
      <c r="N722" s="75" t="n"/>
      <c r="O722" s="75" t="n"/>
      <c r="P722" s="75" t="n"/>
      <c r="Q722" s="75" t="n"/>
      <c r="R722" s="75" t="n"/>
      <c r="S722" s="75" t="n"/>
      <c r="T722" s="75" t="n"/>
      <c r="U722" s="75" t="n"/>
      <c r="V722" s="75" t="n"/>
      <c r="W722" s="75" t="n"/>
      <c r="X722" s="75" t="n"/>
      <c r="Y722" s="226">
        <f>IF(AND(A722="",B722=""),"",IF(AND(A722&lt;&gt;"",B722&lt;&gt;"",C722&lt;&gt;"",D722&lt;&gt;"",F722&lt;&gt;"",G722&lt;&gt;"",H722&lt;&gt;"",ISERROR(SEARCH("по паспорту",G722)),ISERROR(SEARCH("по паспорту",H722)),I722&lt;&gt;"",J722&lt;&gt;"",K722&lt;&gt;"",L722&lt;&gt;"",M722&lt;&gt;""),"ГОТОВО","НЕ ГОТОВО"))</f>
        <v/>
      </c>
      <c r="Z722" s="226">
        <f>IF(Y722&lt;&gt;"ГОТОВО","", "Предварительное заключение: "&amp;A722&amp;", скв. "&amp;B722&amp;". МРП: "&amp;E722&amp;" сут. ГНО: "&amp;F722&amp;", типоразмер "&amp;G722&amp;", марка "&amp;H722&amp;". Событие: "&amp;I722&amp;". Признак: "&amp;J722&amp;". Узел: "&amp;K722&amp;". Предварительная причина: "&amp;L722&amp;". Основное осложнение: "&amp;M722&amp;IF(N722&lt;&gt;"","; сопутствующее: "&amp;N722,"")&amp;IF(O722&lt;&gt;"","; дополнительно: "&amp;O722,"")&amp;".")</f>
        <v/>
      </c>
    </row>
    <row r="723">
      <c r="A723" s="75" t="n"/>
      <c r="B723" s="75" t="n"/>
      <c r="C723" s="261" t="n"/>
      <c r="D723" s="261" t="n"/>
      <c r="E723" s="262">
        <f>IF(OR(C723="",D723=""),"",D723-C723)</f>
        <v/>
      </c>
      <c r="F723" s="75" t="n"/>
      <c r="G723" s="75" t="n"/>
      <c r="H723" s="75" t="n"/>
      <c r="I723" s="75" t="n"/>
      <c r="J723" s="75" t="n"/>
      <c r="K723" s="75" t="n"/>
      <c r="L723" s="75" t="n"/>
      <c r="M723" s="75" t="n"/>
      <c r="N723" s="75" t="n"/>
      <c r="O723" s="75" t="n"/>
      <c r="P723" s="75" t="n"/>
      <c r="Q723" s="75" t="n"/>
      <c r="R723" s="75" t="n"/>
      <c r="S723" s="75" t="n"/>
      <c r="T723" s="75" t="n"/>
      <c r="U723" s="75" t="n"/>
      <c r="V723" s="75" t="n"/>
      <c r="W723" s="75" t="n"/>
      <c r="X723" s="75" t="n"/>
      <c r="Y723" s="226">
        <f>IF(AND(A723="",B723=""),"",IF(AND(A723&lt;&gt;"",B723&lt;&gt;"",C723&lt;&gt;"",D723&lt;&gt;"",F723&lt;&gt;"",G723&lt;&gt;"",H723&lt;&gt;"",ISERROR(SEARCH("по паспорту",G723)),ISERROR(SEARCH("по паспорту",H723)),I723&lt;&gt;"",J723&lt;&gt;"",K723&lt;&gt;"",L723&lt;&gt;"",M723&lt;&gt;""),"ГОТОВО","НЕ ГОТОВО"))</f>
        <v/>
      </c>
      <c r="Z723" s="226">
        <f>IF(Y723&lt;&gt;"ГОТОВО","", "Предварительное заключение: "&amp;A723&amp;", скв. "&amp;B723&amp;". МРП: "&amp;E723&amp;" сут. ГНО: "&amp;F723&amp;", типоразмер "&amp;G723&amp;", марка "&amp;H723&amp;". Событие: "&amp;I723&amp;". Признак: "&amp;J723&amp;". Узел: "&amp;K723&amp;". Предварительная причина: "&amp;L723&amp;". Основное осложнение: "&amp;M723&amp;IF(N723&lt;&gt;"","; сопутствующее: "&amp;N723,"")&amp;IF(O723&lt;&gt;"","; дополнительно: "&amp;O723,"")&amp;".")</f>
        <v/>
      </c>
    </row>
    <row r="724">
      <c r="A724" s="75" t="n"/>
      <c r="B724" s="75" t="n"/>
      <c r="C724" s="261" t="n"/>
      <c r="D724" s="261" t="n"/>
      <c r="E724" s="262">
        <f>IF(OR(C724="",D724=""),"",D724-C724)</f>
        <v/>
      </c>
      <c r="F724" s="75" t="n"/>
      <c r="G724" s="75" t="n"/>
      <c r="H724" s="75" t="n"/>
      <c r="I724" s="75" t="n"/>
      <c r="J724" s="75" t="n"/>
      <c r="K724" s="75" t="n"/>
      <c r="L724" s="75" t="n"/>
      <c r="M724" s="75" t="n"/>
      <c r="N724" s="75" t="n"/>
      <c r="O724" s="75" t="n"/>
      <c r="P724" s="75" t="n"/>
      <c r="Q724" s="75" t="n"/>
      <c r="R724" s="75" t="n"/>
      <c r="S724" s="75" t="n"/>
      <c r="T724" s="75" t="n"/>
      <c r="U724" s="75" t="n"/>
      <c r="V724" s="75" t="n"/>
      <c r="W724" s="75" t="n"/>
      <c r="X724" s="75" t="n"/>
      <c r="Y724" s="226">
        <f>IF(AND(A724="",B724=""),"",IF(AND(A724&lt;&gt;"",B724&lt;&gt;"",C724&lt;&gt;"",D724&lt;&gt;"",F724&lt;&gt;"",G724&lt;&gt;"",H724&lt;&gt;"",ISERROR(SEARCH("по паспорту",G724)),ISERROR(SEARCH("по паспорту",H724)),I724&lt;&gt;"",J724&lt;&gt;"",K724&lt;&gt;"",L724&lt;&gt;"",M724&lt;&gt;""),"ГОТОВО","НЕ ГОТОВО"))</f>
        <v/>
      </c>
      <c r="Z724" s="226">
        <f>IF(Y724&lt;&gt;"ГОТОВО","", "Предварительное заключение: "&amp;A724&amp;", скв. "&amp;B724&amp;". МРП: "&amp;E724&amp;" сут. ГНО: "&amp;F724&amp;", типоразмер "&amp;G724&amp;", марка "&amp;H724&amp;". Событие: "&amp;I724&amp;". Признак: "&amp;J724&amp;". Узел: "&amp;K724&amp;". Предварительная причина: "&amp;L724&amp;". Основное осложнение: "&amp;M724&amp;IF(N724&lt;&gt;"","; сопутствующее: "&amp;N724,"")&amp;IF(O724&lt;&gt;"","; дополнительно: "&amp;O724,"")&amp;".")</f>
        <v/>
      </c>
    </row>
    <row r="725">
      <c r="A725" s="75" t="n"/>
      <c r="B725" s="75" t="n"/>
      <c r="C725" s="261" t="n"/>
      <c r="D725" s="261" t="n"/>
      <c r="E725" s="262">
        <f>IF(OR(C725="",D725=""),"",D725-C725)</f>
        <v/>
      </c>
      <c r="F725" s="75" t="n"/>
      <c r="G725" s="75" t="n"/>
      <c r="H725" s="75" t="n"/>
      <c r="I725" s="75" t="n"/>
      <c r="J725" s="75" t="n"/>
      <c r="K725" s="75" t="n"/>
      <c r="L725" s="75" t="n"/>
      <c r="M725" s="75" t="n"/>
      <c r="N725" s="75" t="n"/>
      <c r="O725" s="75" t="n"/>
      <c r="P725" s="75" t="n"/>
      <c r="Q725" s="75" t="n"/>
      <c r="R725" s="75" t="n"/>
      <c r="S725" s="75" t="n"/>
      <c r="T725" s="75" t="n"/>
      <c r="U725" s="75" t="n"/>
      <c r="V725" s="75" t="n"/>
      <c r="W725" s="75" t="n"/>
      <c r="X725" s="75" t="n"/>
      <c r="Y725" s="226">
        <f>IF(AND(A725="",B725=""),"",IF(AND(A725&lt;&gt;"",B725&lt;&gt;"",C725&lt;&gt;"",D725&lt;&gt;"",F725&lt;&gt;"",G725&lt;&gt;"",H725&lt;&gt;"",ISERROR(SEARCH("по паспорту",G725)),ISERROR(SEARCH("по паспорту",H725)),I725&lt;&gt;"",J725&lt;&gt;"",K725&lt;&gt;"",L725&lt;&gt;"",M725&lt;&gt;""),"ГОТОВО","НЕ ГОТОВО"))</f>
        <v/>
      </c>
      <c r="Z725" s="226">
        <f>IF(Y725&lt;&gt;"ГОТОВО","", "Предварительное заключение: "&amp;A725&amp;", скв. "&amp;B725&amp;". МРП: "&amp;E725&amp;" сут. ГНО: "&amp;F725&amp;", типоразмер "&amp;G725&amp;", марка "&amp;H725&amp;". Событие: "&amp;I725&amp;". Признак: "&amp;J725&amp;". Узел: "&amp;K725&amp;". Предварительная причина: "&amp;L725&amp;". Основное осложнение: "&amp;M725&amp;IF(N725&lt;&gt;"","; сопутствующее: "&amp;N725,"")&amp;IF(O725&lt;&gt;"","; дополнительно: "&amp;O725,"")&amp;".")</f>
        <v/>
      </c>
    </row>
    <row r="726">
      <c r="A726" s="75" t="n"/>
      <c r="B726" s="75" t="n"/>
      <c r="C726" s="261" t="n"/>
      <c r="D726" s="261" t="n"/>
      <c r="E726" s="262">
        <f>IF(OR(C726="",D726=""),"",D726-C726)</f>
        <v/>
      </c>
      <c r="F726" s="75" t="n"/>
      <c r="G726" s="75" t="n"/>
      <c r="H726" s="75" t="n"/>
      <c r="I726" s="75" t="n"/>
      <c r="J726" s="75" t="n"/>
      <c r="K726" s="75" t="n"/>
      <c r="L726" s="75" t="n"/>
      <c r="M726" s="75" t="n"/>
      <c r="N726" s="75" t="n"/>
      <c r="O726" s="75" t="n"/>
      <c r="P726" s="75" t="n"/>
      <c r="Q726" s="75" t="n"/>
      <c r="R726" s="75" t="n"/>
      <c r="S726" s="75" t="n"/>
      <c r="T726" s="75" t="n"/>
      <c r="U726" s="75" t="n"/>
      <c r="V726" s="75" t="n"/>
      <c r="W726" s="75" t="n"/>
      <c r="X726" s="75" t="n"/>
      <c r="Y726" s="226">
        <f>IF(AND(A726="",B726=""),"",IF(AND(A726&lt;&gt;"",B726&lt;&gt;"",C726&lt;&gt;"",D726&lt;&gt;"",F726&lt;&gt;"",G726&lt;&gt;"",H726&lt;&gt;"",ISERROR(SEARCH("по паспорту",G726)),ISERROR(SEARCH("по паспорту",H726)),I726&lt;&gt;"",J726&lt;&gt;"",K726&lt;&gt;"",L726&lt;&gt;"",M726&lt;&gt;""),"ГОТОВО","НЕ ГОТОВО"))</f>
        <v/>
      </c>
      <c r="Z726" s="226">
        <f>IF(Y726&lt;&gt;"ГОТОВО","", "Предварительное заключение: "&amp;A726&amp;", скв. "&amp;B726&amp;". МРП: "&amp;E726&amp;" сут. ГНО: "&amp;F726&amp;", типоразмер "&amp;G726&amp;", марка "&amp;H726&amp;". Событие: "&amp;I726&amp;". Признак: "&amp;J726&amp;". Узел: "&amp;K726&amp;". Предварительная причина: "&amp;L726&amp;". Основное осложнение: "&amp;M726&amp;IF(N726&lt;&gt;"","; сопутствующее: "&amp;N726,"")&amp;IF(O726&lt;&gt;"","; дополнительно: "&amp;O726,"")&amp;".")</f>
        <v/>
      </c>
    </row>
    <row r="727">
      <c r="A727" s="75" t="n"/>
      <c r="B727" s="75" t="n"/>
      <c r="C727" s="261" t="n"/>
      <c r="D727" s="261" t="n"/>
      <c r="E727" s="262">
        <f>IF(OR(C727="",D727=""),"",D727-C727)</f>
        <v/>
      </c>
      <c r="F727" s="75" t="n"/>
      <c r="G727" s="75" t="n"/>
      <c r="H727" s="75" t="n"/>
      <c r="I727" s="75" t="n"/>
      <c r="J727" s="75" t="n"/>
      <c r="K727" s="75" t="n"/>
      <c r="L727" s="75" t="n"/>
      <c r="M727" s="75" t="n"/>
      <c r="N727" s="75" t="n"/>
      <c r="O727" s="75" t="n"/>
      <c r="P727" s="75" t="n"/>
      <c r="Q727" s="75" t="n"/>
      <c r="R727" s="75" t="n"/>
      <c r="S727" s="75" t="n"/>
      <c r="T727" s="75" t="n"/>
      <c r="U727" s="75" t="n"/>
      <c r="V727" s="75" t="n"/>
      <c r="W727" s="75" t="n"/>
      <c r="X727" s="75" t="n"/>
      <c r="Y727" s="226">
        <f>IF(AND(A727="",B727=""),"",IF(AND(A727&lt;&gt;"",B727&lt;&gt;"",C727&lt;&gt;"",D727&lt;&gt;"",F727&lt;&gt;"",G727&lt;&gt;"",H727&lt;&gt;"",ISERROR(SEARCH("по паспорту",G727)),ISERROR(SEARCH("по паспорту",H727)),I727&lt;&gt;"",J727&lt;&gt;"",K727&lt;&gt;"",L727&lt;&gt;"",M727&lt;&gt;""),"ГОТОВО","НЕ ГОТОВО"))</f>
        <v/>
      </c>
      <c r="Z727" s="226">
        <f>IF(Y727&lt;&gt;"ГОТОВО","", "Предварительное заключение: "&amp;A727&amp;", скв. "&amp;B727&amp;". МРП: "&amp;E727&amp;" сут. ГНО: "&amp;F727&amp;", типоразмер "&amp;G727&amp;", марка "&amp;H727&amp;". Событие: "&amp;I727&amp;". Признак: "&amp;J727&amp;". Узел: "&amp;K727&amp;". Предварительная причина: "&amp;L727&amp;". Основное осложнение: "&amp;M727&amp;IF(N727&lt;&gt;"","; сопутствующее: "&amp;N727,"")&amp;IF(O727&lt;&gt;"","; дополнительно: "&amp;O727,"")&amp;".")</f>
        <v/>
      </c>
    </row>
    <row r="728">
      <c r="A728" s="75" t="n"/>
      <c r="B728" s="75" t="n"/>
      <c r="C728" s="261" t="n"/>
      <c r="D728" s="261" t="n"/>
      <c r="E728" s="262">
        <f>IF(OR(C728="",D728=""),"",D728-C728)</f>
        <v/>
      </c>
      <c r="F728" s="75" t="n"/>
      <c r="G728" s="75" t="n"/>
      <c r="H728" s="75" t="n"/>
      <c r="I728" s="75" t="n"/>
      <c r="J728" s="75" t="n"/>
      <c r="K728" s="75" t="n"/>
      <c r="L728" s="75" t="n"/>
      <c r="M728" s="75" t="n"/>
      <c r="N728" s="75" t="n"/>
      <c r="O728" s="75" t="n"/>
      <c r="P728" s="75" t="n"/>
      <c r="Q728" s="75" t="n"/>
      <c r="R728" s="75" t="n"/>
      <c r="S728" s="75" t="n"/>
      <c r="T728" s="75" t="n"/>
      <c r="U728" s="75" t="n"/>
      <c r="V728" s="75" t="n"/>
      <c r="W728" s="75" t="n"/>
      <c r="X728" s="75" t="n"/>
      <c r="Y728" s="226">
        <f>IF(AND(A728="",B728=""),"",IF(AND(A728&lt;&gt;"",B728&lt;&gt;"",C728&lt;&gt;"",D728&lt;&gt;"",F728&lt;&gt;"",G728&lt;&gt;"",H728&lt;&gt;"",ISERROR(SEARCH("по паспорту",G728)),ISERROR(SEARCH("по паспорту",H728)),I728&lt;&gt;"",J728&lt;&gt;"",K728&lt;&gt;"",L728&lt;&gt;"",M728&lt;&gt;""),"ГОТОВО","НЕ ГОТОВО"))</f>
        <v/>
      </c>
      <c r="Z728" s="226">
        <f>IF(Y728&lt;&gt;"ГОТОВО","", "Предварительное заключение: "&amp;A728&amp;", скв. "&amp;B728&amp;". МРП: "&amp;E728&amp;" сут. ГНО: "&amp;F728&amp;", типоразмер "&amp;G728&amp;", марка "&amp;H728&amp;". Событие: "&amp;I728&amp;". Признак: "&amp;J728&amp;". Узел: "&amp;K728&amp;". Предварительная причина: "&amp;L728&amp;". Основное осложнение: "&amp;M728&amp;IF(N728&lt;&gt;"","; сопутствующее: "&amp;N728,"")&amp;IF(O728&lt;&gt;"","; дополнительно: "&amp;O728,"")&amp;".")</f>
        <v/>
      </c>
    </row>
    <row r="729">
      <c r="A729" s="75" t="n"/>
      <c r="B729" s="75" t="n"/>
      <c r="C729" s="261" t="n"/>
      <c r="D729" s="261" t="n"/>
      <c r="E729" s="262">
        <f>IF(OR(C729="",D729=""),"",D729-C729)</f>
        <v/>
      </c>
      <c r="F729" s="75" t="n"/>
      <c r="G729" s="75" t="n"/>
      <c r="H729" s="75" t="n"/>
      <c r="I729" s="75" t="n"/>
      <c r="J729" s="75" t="n"/>
      <c r="K729" s="75" t="n"/>
      <c r="L729" s="75" t="n"/>
      <c r="M729" s="75" t="n"/>
      <c r="N729" s="75" t="n"/>
      <c r="O729" s="75" t="n"/>
      <c r="P729" s="75" t="n"/>
      <c r="Q729" s="75" t="n"/>
      <c r="R729" s="75" t="n"/>
      <c r="S729" s="75" t="n"/>
      <c r="T729" s="75" t="n"/>
      <c r="U729" s="75" t="n"/>
      <c r="V729" s="75" t="n"/>
      <c r="W729" s="75" t="n"/>
      <c r="X729" s="75" t="n"/>
      <c r="Y729" s="226">
        <f>IF(AND(A729="",B729=""),"",IF(AND(A729&lt;&gt;"",B729&lt;&gt;"",C729&lt;&gt;"",D729&lt;&gt;"",F729&lt;&gt;"",G729&lt;&gt;"",H729&lt;&gt;"",ISERROR(SEARCH("по паспорту",G729)),ISERROR(SEARCH("по паспорту",H729)),I729&lt;&gt;"",J729&lt;&gt;"",K729&lt;&gt;"",L729&lt;&gt;"",M729&lt;&gt;""),"ГОТОВО","НЕ ГОТОВО"))</f>
        <v/>
      </c>
      <c r="Z729" s="226">
        <f>IF(Y729&lt;&gt;"ГОТОВО","", "Предварительное заключение: "&amp;A729&amp;", скв. "&amp;B729&amp;". МРП: "&amp;E729&amp;" сут. ГНО: "&amp;F729&amp;", типоразмер "&amp;G729&amp;", марка "&amp;H729&amp;". Событие: "&amp;I729&amp;". Признак: "&amp;J729&amp;". Узел: "&amp;K729&amp;". Предварительная причина: "&amp;L729&amp;". Основное осложнение: "&amp;M729&amp;IF(N729&lt;&gt;"","; сопутствующее: "&amp;N729,"")&amp;IF(O729&lt;&gt;"","; дополнительно: "&amp;O729,"")&amp;".")</f>
        <v/>
      </c>
    </row>
    <row r="730">
      <c r="A730" s="75" t="n"/>
      <c r="B730" s="75" t="n"/>
      <c r="C730" s="261" t="n"/>
      <c r="D730" s="261" t="n"/>
      <c r="E730" s="262">
        <f>IF(OR(C730="",D730=""),"",D730-C730)</f>
        <v/>
      </c>
      <c r="F730" s="75" t="n"/>
      <c r="G730" s="75" t="n"/>
      <c r="H730" s="75" t="n"/>
      <c r="I730" s="75" t="n"/>
      <c r="J730" s="75" t="n"/>
      <c r="K730" s="75" t="n"/>
      <c r="L730" s="75" t="n"/>
      <c r="M730" s="75" t="n"/>
      <c r="N730" s="75" t="n"/>
      <c r="O730" s="75" t="n"/>
      <c r="P730" s="75" t="n"/>
      <c r="Q730" s="75" t="n"/>
      <c r="R730" s="75" t="n"/>
      <c r="S730" s="75" t="n"/>
      <c r="T730" s="75" t="n"/>
      <c r="U730" s="75" t="n"/>
      <c r="V730" s="75" t="n"/>
      <c r="W730" s="75" t="n"/>
      <c r="X730" s="75" t="n"/>
      <c r="Y730" s="226">
        <f>IF(AND(A730="",B730=""),"",IF(AND(A730&lt;&gt;"",B730&lt;&gt;"",C730&lt;&gt;"",D730&lt;&gt;"",F730&lt;&gt;"",G730&lt;&gt;"",H730&lt;&gt;"",ISERROR(SEARCH("по паспорту",G730)),ISERROR(SEARCH("по паспорту",H730)),I730&lt;&gt;"",J730&lt;&gt;"",K730&lt;&gt;"",L730&lt;&gt;"",M730&lt;&gt;""),"ГОТОВО","НЕ ГОТОВО"))</f>
        <v/>
      </c>
      <c r="Z730" s="226">
        <f>IF(Y730&lt;&gt;"ГОТОВО","", "Предварительное заключение: "&amp;A730&amp;", скв. "&amp;B730&amp;". МРП: "&amp;E730&amp;" сут. ГНО: "&amp;F730&amp;", типоразмер "&amp;G730&amp;", марка "&amp;H730&amp;". Событие: "&amp;I730&amp;". Признак: "&amp;J730&amp;". Узел: "&amp;K730&amp;". Предварительная причина: "&amp;L730&amp;". Основное осложнение: "&amp;M730&amp;IF(N730&lt;&gt;"","; сопутствующее: "&amp;N730,"")&amp;IF(O730&lt;&gt;"","; дополнительно: "&amp;O730,"")&amp;".")</f>
        <v/>
      </c>
    </row>
    <row r="731">
      <c r="A731" s="75" t="n"/>
      <c r="B731" s="75" t="n"/>
      <c r="C731" s="261" t="n"/>
      <c r="D731" s="261" t="n"/>
      <c r="E731" s="262">
        <f>IF(OR(C731="",D731=""),"",D731-C731)</f>
        <v/>
      </c>
      <c r="F731" s="75" t="n"/>
      <c r="G731" s="75" t="n"/>
      <c r="H731" s="75" t="n"/>
      <c r="I731" s="75" t="n"/>
      <c r="J731" s="75" t="n"/>
      <c r="K731" s="75" t="n"/>
      <c r="L731" s="75" t="n"/>
      <c r="M731" s="75" t="n"/>
      <c r="N731" s="75" t="n"/>
      <c r="O731" s="75" t="n"/>
      <c r="P731" s="75" t="n"/>
      <c r="Q731" s="75" t="n"/>
      <c r="R731" s="75" t="n"/>
      <c r="S731" s="75" t="n"/>
      <c r="T731" s="75" t="n"/>
      <c r="U731" s="75" t="n"/>
      <c r="V731" s="75" t="n"/>
      <c r="W731" s="75" t="n"/>
      <c r="X731" s="75" t="n"/>
      <c r="Y731" s="226">
        <f>IF(AND(A731="",B731=""),"",IF(AND(A731&lt;&gt;"",B731&lt;&gt;"",C731&lt;&gt;"",D731&lt;&gt;"",F731&lt;&gt;"",G731&lt;&gt;"",H731&lt;&gt;"",ISERROR(SEARCH("по паспорту",G731)),ISERROR(SEARCH("по паспорту",H731)),I731&lt;&gt;"",J731&lt;&gt;"",K731&lt;&gt;"",L731&lt;&gt;"",M731&lt;&gt;""),"ГОТОВО","НЕ ГОТОВО"))</f>
        <v/>
      </c>
      <c r="Z731" s="226">
        <f>IF(Y731&lt;&gt;"ГОТОВО","", "Предварительное заключение: "&amp;A731&amp;", скв. "&amp;B731&amp;". МРП: "&amp;E731&amp;" сут. ГНО: "&amp;F731&amp;", типоразмер "&amp;G731&amp;", марка "&amp;H731&amp;". Событие: "&amp;I731&amp;". Признак: "&amp;J731&amp;". Узел: "&amp;K731&amp;". Предварительная причина: "&amp;L731&amp;". Основное осложнение: "&amp;M731&amp;IF(N731&lt;&gt;"","; сопутствующее: "&amp;N731,"")&amp;IF(O731&lt;&gt;"","; дополнительно: "&amp;O731,"")&amp;".")</f>
        <v/>
      </c>
    </row>
    <row r="732">
      <c r="A732" s="75" t="n"/>
      <c r="B732" s="75" t="n"/>
      <c r="C732" s="261" t="n"/>
      <c r="D732" s="261" t="n"/>
      <c r="E732" s="262">
        <f>IF(OR(C732="",D732=""),"",D732-C732)</f>
        <v/>
      </c>
      <c r="F732" s="75" t="n"/>
      <c r="G732" s="75" t="n"/>
      <c r="H732" s="75" t="n"/>
      <c r="I732" s="75" t="n"/>
      <c r="J732" s="75" t="n"/>
      <c r="K732" s="75" t="n"/>
      <c r="L732" s="75" t="n"/>
      <c r="M732" s="75" t="n"/>
      <c r="N732" s="75" t="n"/>
      <c r="O732" s="75" t="n"/>
      <c r="P732" s="75" t="n"/>
      <c r="Q732" s="75" t="n"/>
      <c r="R732" s="75" t="n"/>
      <c r="S732" s="75" t="n"/>
      <c r="T732" s="75" t="n"/>
      <c r="U732" s="75" t="n"/>
      <c r="V732" s="75" t="n"/>
      <c r="W732" s="75" t="n"/>
      <c r="X732" s="75" t="n"/>
      <c r="Y732" s="226">
        <f>IF(AND(A732="",B732=""),"",IF(AND(A732&lt;&gt;"",B732&lt;&gt;"",C732&lt;&gt;"",D732&lt;&gt;"",F732&lt;&gt;"",G732&lt;&gt;"",H732&lt;&gt;"",ISERROR(SEARCH("по паспорту",G732)),ISERROR(SEARCH("по паспорту",H732)),I732&lt;&gt;"",J732&lt;&gt;"",K732&lt;&gt;"",L732&lt;&gt;"",M732&lt;&gt;""),"ГОТОВО","НЕ ГОТОВО"))</f>
        <v/>
      </c>
      <c r="Z732" s="226">
        <f>IF(Y732&lt;&gt;"ГОТОВО","", "Предварительное заключение: "&amp;A732&amp;", скв. "&amp;B732&amp;". МРП: "&amp;E732&amp;" сут. ГНО: "&amp;F732&amp;", типоразмер "&amp;G732&amp;", марка "&amp;H732&amp;". Событие: "&amp;I732&amp;". Признак: "&amp;J732&amp;". Узел: "&amp;K732&amp;". Предварительная причина: "&amp;L732&amp;". Основное осложнение: "&amp;M732&amp;IF(N732&lt;&gt;"","; сопутствующее: "&amp;N732,"")&amp;IF(O732&lt;&gt;"","; дополнительно: "&amp;O732,"")&amp;".")</f>
        <v/>
      </c>
    </row>
    <row r="733">
      <c r="A733" s="75" t="n"/>
      <c r="B733" s="75" t="n"/>
      <c r="C733" s="261" t="n"/>
      <c r="D733" s="261" t="n"/>
      <c r="E733" s="262">
        <f>IF(OR(C733="",D733=""),"",D733-C733)</f>
        <v/>
      </c>
      <c r="F733" s="75" t="n"/>
      <c r="G733" s="75" t="n"/>
      <c r="H733" s="75" t="n"/>
      <c r="I733" s="75" t="n"/>
      <c r="J733" s="75" t="n"/>
      <c r="K733" s="75" t="n"/>
      <c r="L733" s="75" t="n"/>
      <c r="M733" s="75" t="n"/>
      <c r="N733" s="75" t="n"/>
      <c r="O733" s="75" t="n"/>
      <c r="P733" s="75" t="n"/>
      <c r="Q733" s="75" t="n"/>
      <c r="R733" s="75" t="n"/>
      <c r="S733" s="75" t="n"/>
      <c r="T733" s="75" t="n"/>
      <c r="U733" s="75" t="n"/>
      <c r="V733" s="75" t="n"/>
      <c r="W733" s="75" t="n"/>
      <c r="X733" s="75" t="n"/>
      <c r="Y733" s="226">
        <f>IF(AND(A733="",B733=""),"",IF(AND(A733&lt;&gt;"",B733&lt;&gt;"",C733&lt;&gt;"",D733&lt;&gt;"",F733&lt;&gt;"",G733&lt;&gt;"",H733&lt;&gt;"",ISERROR(SEARCH("по паспорту",G733)),ISERROR(SEARCH("по паспорту",H733)),I733&lt;&gt;"",J733&lt;&gt;"",K733&lt;&gt;"",L733&lt;&gt;"",M733&lt;&gt;""),"ГОТОВО","НЕ ГОТОВО"))</f>
        <v/>
      </c>
      <c r="Z733" s="226">
        <f>IF(Y733&lt;&gt;"ГОТОВО","", "Предварительное заключение: "&amp;A733&amp;", скв. "&amp;B733&amp;". МРП: "&amp;E733&amp;" сут. ГНО: "&amp;F733&amp;", типоразмер "&amp;G733&amp;", марка "&amp;H733&amp;". Событие: "&amp;I733&amp;". Признак: "&amp;J733&amp;". Узел: "&amp;K733&amp;". Предварительная причина: "&amp;L733&amp;". Основное осложнение: "&amp;M733&amp;IF(N733&lt;&gt;"","; сопутствующее: "&amp;N733,"")&amp;IF(O733&lt;&gt;"","; дополнительно: "&amp;O733,"")&amp;".")</f>
        <v/>
      </c>
    </row>
    <row r="734">
      <c r="A734" s="75" t="n"/>
      <c r="B734" s="75" t="n"/>
      <c r="C734" s="261" t="n"/>
      <c r="D734" s="261" t="n"/>
      <c r="E734" s="262">
        <f>IF(OR(C734="",D734=""),"",D734-C734)</f>
        <v/>
      </c>
      <c r="F734" s="75" t="n"/>
      <c r="G734" s="75" t="n"/>
      <c r="H734" s="75" t="n"/>
      <c r="I734" s="75" t="n"/>
      <c r="J734" s="75" t="n"/>
      <c r="K734" s="75" t="n"/>
      <c r="L734" s="75" t="n"/>
      <c r="M734" s="75" t="n"/>
      <c r="N734" s="75" t="n"/>
      <c r="O734" s="75" t="n"/>
      <c r="P734" s="75" t="n"/>
      <c r="Q734" s="75" t="n"/>
      <c r="R734" s="75" t="n"/>
      <c r="S734" s="75" t="n"/>
      <c r="T734" s="75" t="n"/>
      <c r="U734" s="75" t="n"/>
      <c r="V734" s="75" t="n"/>
      <c r="W734" s="75" t="n"/>
      <c r="X734" s="75" t="n"/>
      <c r="Y734" s="226">
        <f>IF(AND(A734="",B734=""),"",IF(AND(A734&lt;&gt;"",B734&lt;&gt;"",C734&lt;&gt;"",D734&lt;&gt;"",F734&lt;&gt;"",G734&lt;&gt;"",H734&lt;&gt;"",ISERROR(SEARCH("по паспорту",G734)),ISERROR(SEARCH("по паспорту",H734)),I734&lt;&gt;"",J734&lt;&gt;"",K734&lt;&gt;"",L734&lt;&gt;"",M734&lt;&gt;""),"ГОТОВО","НЕ ГОТОВО"))</f>
        <v/>
      </c>
      <c r="Z734" s="226">
        <f>IF(Y734&lt;&gt;"ГОТОВО","", "Предварительное заключение: "&amp;A734&amp;", скв. "&amp;B734&amp;". МРП: "&amp;E734&amp;" сут. ГНО: "&amp;F734&amp;", типоразмер "&amp;G734&amp;", марка "&amp;H734&amp;". Событие: "&amp;I734&amp;". Признак: "&amp;J734&amp;". Узел: "&amp;K734&amp;". Предварительная причина: "&amp;L734&amp;". Основное осложнение: "&amp;M734&amp;IF(N734&lt;&gt;"","; сопутствующее: "&amp;N734,"")&amp;IF(O734&lt;&gt;"","; дополнительно: "&amp;O734,"")&amp;".")</f>
        <v/>
      </c>
    </row>
    <row r="735">
      <c r="A735" s="75" t="n"/>
      <c r="B735" s="75" t="n"/>
      <c r="C735" s="261" t="n"/>
      <c r="D735" s="261" t="n"/>
      <c r="E735" s="262">
        <f>IF(OR(C735="",D735=""),"",D735-C735)</f>
        <v/>
      </c>
      <c r="F735" s="75" t="n"/>
      <c r="G735" s="75" t="n"/>
      <c r="H735" s="75" t="n"/>
      <c r="I735" s="75" t="n"/>
      <c r="J735" s="75" t="n"/>
      <c r="K735" s="75" t="n"/>
      <c r="L735" s="75" t="n"/>
      <c r="M735" s="75" t="n"/>
      <c r="N735" s="75" t="n"/>
      <c r="O735" s="75" t="n"/>
      <c r="P735" s="75" t="n"/>
      <c r="Q735" s="75" t="n"/>
      <c r="R735" s="75" t="n"/>
      <c r="S735" s="75" t="n"/>
      <c r="T735" s="75" t="n"/>
      <c r="U735" s="75" t="n"/>
      <c r="V735" s="75" t="n"/>
      <c r="W735" s="75" t="n"/>
      <c r="X735" s="75" t="n"/>
      <c r="Y735" s="226">
        <f>IF(AND(A735="",B735=""),"",IF(AND(A735&lt;&gt;"",B735&lt;&gt;"",C735&lt;&gt;"",D735&lt;&gt;"",F735&lt;&gt;"",G735&lt;&gt;"",H735&lt;&gt;"",ISERROR(SEARCH("по паспорту",G735)),ISERROR(SEARCH("по паспорту",H735)),I735&lt;&gt;"",J735&lt;&gt;"",K735&lt;&gt;"",L735&lt;&gt;"",M735&lt;&gt;""),"ГОТОВО","НЕ ГОТОВО"))</f>
        <v/>
      </c>
      <c r="Z735" s="226">
        <f>IF(Y735&lt;&gt;"ГОТОВО","", "Предварительное заключение: "&amp;A735&amp;", скв. "&amp;B735&amp;". МРП: "&amp;E735&amp;" сут. ГНО: "&amp;F735&amp;", типоразмер "&amp;G735&amp;", марка "&amp;H735&amp;". Событие: "&amp;I735&amp;". Признак: "&amp;J735&amp;". Узел: "&amp;K735&amp;". Предварительная причина: "&amp;L735&amp;". Основное осложнение: "&amp;M735&amp;IF(N735&lt;&gt;"","; сопутствующее: "&amp;N735,"")&amp;IF(O735&lt;&gt;"","; дополнительно: "&amp;O735,"")&amp;".")</f>
        <v/>
      </c>
    </row>
    <row r="736">
      <c r="A736" s="75" t="n"/>
      <c r="B736" s="75" t="n"/>
      <c r="C736" s="261" t="n"/>
      <c r="D736" s="261" t="n"/>
      <c r="E736" s="262">
        <f>IF(OR(C736="",D736=""),"",D736-C736)</f>
        <v/>
      </c>
      <c r="F736" s="75" t="n"/>
      <c r="G736" s="75" t="n"/>
      <c r="H736" s="75" t="n"/>
      <c r="I736" s="75" t="n"/>
      <c r="J736" s="75" t="n"/>
      <c r="K736" s="75" t="n"/>
      <c r="L736" s="75" t="n"/>
      <c r="M736" s="75" t="n"/>
      <c r="N736" s="75" t="n"/>
      <c r="O736" s="75" t="n"/>
      <c r="P736" s="75" t="n"/>
      <c r="Q736" s="75" t="n"/>
      <c r="R736" s="75" t="n"/>
      <c r="S736" s="75" t="n"/>
      <c r="T736" s="75" t="n"/>
      <c r="U736" s="75" t="n"/>
      <c r="V736" s="75" t="n"/>
      <c r="W736" s="75" t="n"/>
      <c r="X736" s="75" t="n"/>
      <c r="Y736" s="226">
        <f>IF(AND(A736="",B736=""),"",IF(AND(A736&lt;&gt;"",B736&lt;&gt;"",C736&lt;&gt;"",D736&lt;&gt;"",F736&lt;&gt;"",G736&lt;&gt;"",H736&lt;&gt;"",ISERROR(SEARCH("по паспорту",G736)),ISERROR(SEARCH("по паспорту",H736)),I736&lt;&gt;"",J736&lt;&gt;"",K736&lt;&gt;"",L736&lt;&gt;"",M736&lt;&gt;""),"ГОТОВО","НЕ ГОТОВО"))</f>
        <v/>
      </c>
      <c r="Z736" s="226">
        <f>IF(Y736&lt;&gt;"ГОТОВО","", "Предварительное заключение: "&amp;A736&amp;", скв. "&amp;B736&amp;". МРП: "&amp;E736&amp;" сут. ГНО: "&amp;F736&amp;", типоразмер "&amp;G736&amp;", марка "&amp;H736&amp;". Событие: "&amp;I736&amp;". Признак: "&amp;J736&amp;". Узел: "&amp;K736&amp;". Предварительная причина: "&amp;L736&amp;". Основное осложнение: "&amp;M736&amp;IF(N736&lt;&gt;"","; сопутствующее: "&amp;N736,"")&amp;IF(O736&lt;&gt;"","; дополнительно: "&amp;O736,"")&amp;".")</f>
        <v/>
      </c>
    </row>
    <row r="737">
      <c r="A737" s="75" t="n"/>
      <c r="B737" s="75" t="n"/>
      <c r="C737" s="261" t="n"/>
      <c r="D737" s="261" t="n"/>
      <c r="E737" s="262">
        <f>IF(OR(C737="",D737=""),"",D737-C737)</f>
        <v/>
      </c>
      <c r="F737" s="75" t="n"/>
      <c r="G737" s="75" t="n"/>
      <c r="H737" s="75" t="n"/>
      <c r="I737" s="75" t="n"/>
      <c r="J737" s="75" t="n"/>
      <c r="K737" s="75" t="n"/>
      <c r="L737" s="75" t="n"/>
      <c r="M737" s="75" t="n"/>
      <c r="N737" s="75" t="n"/>
      <c r="O737" s="75" t="n"/>
      <c r="P737" s="75" t="n"/>
      <c r="Q737" s="75" t="n"/>
      <c r="R737" s="75" t="n"/>
      <c r="S737" s="75" t="n"/>
      <c r="T737" s="75" t="n"/>
      <c r="U737" s="75" t="n"/>
      <c r="V737" s="75" t="n"/>
      <c r="W737" s="75" t="n"/>
      <c r="X737" s="75" t="n"/>
      <c r="Y737" s="226">
        <f>IF(AND(A737="",B737=""),"",IF(AND(A737&lt;&gt;"",B737&lt;&gt;"",C737&lt;&gt;"",D737&lt;&gt;"",F737&lt;&gt;"",G737&lt;&gt;"",H737&lt;&gt;"",ISERROR(SEARCH("по паспорту",G737)),ISERROR(SEARCH("по паспорту",H737)),I737&lt;&gt;"",J737&lt;&gt;"",K737&lt;&gt;"",L737&lt;&gt;"",M737&lt;&gt;""),"ГОТОВО","НЕ ГОТОВО"))</f>
        <v/>
      </c>
      <c r="Z737" s="226">
        <f>IF(Y737&lt;&gt;"ГОТОВО","", "Предварительное заключение: "&amp;A737&amp;", скв. "&amp;B737&amp;". МРП: "&amp;E737&amp;" сут. ГНО: "&amp;F737&amp;", типоразмер "&amp;G737&amp;", марка "&amp;H737&amp;". Событие: "&amp;I737&amp;". Признак: "&amp;J737&amp;". Узел: "&amp;K737&amp;". Предварительная причина: "&amp;L737&amp;". Основное осложнение: "&amp;M737&amp;IF(N737&lt;&gt;"","; сопутствующее: "&amp;N737,"")&amp;IF(O737&lt;&gt;"","; дополнительно: "&amp;O737,"")&amp;".")</f>
        <v/>
      </c>
    </row>
    <row r="738">
      <c r="A738" s="75" t="n"/>
      <c r="B738" s="75" t="n"/>
      <c r="C738" s="261" t="n"/>
      <c r="D738" s="261" t="n"/>
      <c r="E738" s="262">
        <f>IF(OR(C738="",D738=""),"",D738-C738)</f>
        <v/>
      </c>
      <c r="F738" s="75" t="n"/>
      <c r="G738" s="75" t="n"/>
      <c r="H738" s="75" t="n"/>
      <c r="I738" s="75" t="n"/>
      <c r="J738" s="75" t="n"/>
      <c r="K738" s="75" t="n"/>
      <c r="L738" s="75" t="n"/>
      <c r="M738" s="75" t="n"/>
      <c r="N738" s="75" t="n"/>
      <c r="O738" s="75" t="n"/>
      <c r="P738" s="75" t="n"/>
      <c r="Q738" s="75" t="n"/>
      <c r="R738" s="75" t="n"/>
      <c r="S738" s="75" t="n"/>
      <c r="T738" s="75" t="n"/>
      <c r="U738" s="75" t="n"/>
      <c r="V738" s="75" t="n"/>
      <c r="W738" s="75" t="n"/>
      <c r="X738" s="75" t="n"/>
      <c r="Y738" s="226">
        <f>IF(AND(A738="",B738=""),"",IF(AND(A738&lt;&gt;"",B738&lt;&gt;"",C738&lt;&gt;"",D738&lt;&gt;"",F738&lt;&gt;"",G738&lt;&gt;"",H738&lt;&gt;"",ISERROR(SEARCH("по паспорту",G738)),ISERROR(SEARCH("по паспорту",H738)),I738&lt;&gt;"",J738&lt;&gt;"",K738&lt;&gt;"",L738&lt;&gt;"",M738&lt;&gt;""),"ГОТОВО","НЕ ГОТОВО"))</f>
        <v/>
      </c>
      <c r="Z738" s="226">
        <f>IF(Y738&lt;&gt;"ГОТОВО","", "Предварительное заключение: "&amp;A738&amp;", скв. "&amp;B738&amp;". МРП: "&amp;E738&amp;" сут. ГНО: "&amp;F738&amp;", типоразмер "&amp;G738&amp;", марка "&amp;H738&amp;". Событие: "&amp;I738&amp;". Признак: "&amp;J738&amp;". Узел: "&amp;K738&amp;". Предварительная причина: "&amp;L738&amp;". Основное осложнение: "&amp;M738&amp;IF(N738&lt;&gt;"","; сопутствующее: "&amp;N738,"")&amp;IF(O738&lt;&gt;"","; дополнительно: "&amp;O738,"")&amp;".")</f>
        <v/>
      </c>
    </row>
    <row r="739">
      <c r="A739" s="75" t="n"/>
      <c r="B739" s="75" t="n"/>
      <c r="C739" s="261" t="n"/>
      <c r="D739" s="261" t="n"/>
      <c r="E739" s="262">
        <f>IF(OR(C739="",D739=""),"",D739-C739)</f>
        <v/>
      </c>
      <c r="F739" s="75" t="n"/>
      <c r="G739" s="75" t="n"/>
      <c r="H739" s="75" t="n"/>
      <c r="I739" s="75" t="n"/>
      <c r="J739" s="75" t="n"/>
      <c r="K739" s="75" t="n"/>
      <c r="L739" s="75" t="n"/>
      <c r="M739" s="75" t="n"/>
      <c r="N739" s="75" t="n"/>
      <c r="O739" s="75" t="n"/>
      <c r="P739" s="75" t="n"/>
      <c r="Q739" s="75" t="n"/>
      <c r="R739" s="75" t="n"/>
      <c r="S739" s="75" t="n"/>
      <c r="T739" s="75" t="n"/>
      <c r="U739" s="75" t="n"/>
      <c r="V739" s="75" t="n"/>
      <c r="W739" s="75" t="n"/>
      <c r="X739" s="75" t="n"/>
      <c r="Y739" s="226">
        <f>IF(AND(A739="",B739=""),"",IF(AND(A739&lt;&gt;"",B739&lt;&gt;"",C739&lt;&gt;"",D739&lt;&gt;"",F739&lt;&gt;"",G739&lt;&gt;"",H739&lt;&gt;"",ISERROR(SEARCH("по паспорту",G739)),ISERROR(SEARCH("по паспорту",H739)),I739&lt;&gt;"",J739&lt;&gt;"",K739&lt;&gt;"",L739&lt;&gt;"",M739&lt;&gt;""),"ГОТОВО","НЕ ГОТОВО"))</f>
        <v/>
      </c>
      <c r="Z739" s="226">
        <f>IF(Y739&lt;&gt;"ГОТОВО","", "Предварительное заключение: "&amp;A739&amp;", скв. "&amp;B739&amp;". МРП: "&amp;E739&amp;" сут. ГНО: "&amp;F739&amp;", типоразмер "&amp;G739&amp;", марка "&amp;H739&amp;". Событие: "&amp;I739&amp;". Признак: "&amp;J739&amp;". Узел: "&amp;K739&amp;". Предварительная причина: "&amp;L739&amp;". Основное осложнение: "&amp;M739&amp;IF(N739&lt;&gt;"","; сопутствующее: "&amp;N739,"")&amp;IF(O739&lt;&gt;"","; дополнительно: "&amp;O739,"")&amp;".")</f>
        <v/>
      </c>
    </row>
    <row r="740">
      <c r="A740" s="75" t="n"/>
      <c r="B740" s="75" t="n"/>
      <c r="C740" s="261" t="n"/>
      <c r="D740" s="261" t="n"/>
      <c r="E740" s="262">
        <f>IF(OR(C740="",D740=""),"",D740-C740)</f>
        <v/>
      </c>
      <c r="F740" s="75" t="n"/>
      <c r="G740" s="75" t="n"/>
      <c r="H740" s="75" t="n"/>
      <c r="I740" s="75" t="n"/>
      <c r="J740" s="75" t="n"/>
      <c r="K740" s="75" t="n"/>
      <c r="L740" s="75" t="n"/>
      <c r="M740" s="75" t="n"/>
      <c r="N740" s="75" t="n"/>
      <c r="O740" s="75" t="n"/>
      <c r="P740" s="75" t="n"/>
      <c r="Q740" s="75" t="n"/>
      <c r="R740" s="75" t="n"/>
      <c r="S740" s="75" t="n"/>
      <c r="T740" s="75" t="n"/>
      <c r="U740" s="75" t="n"/>
      <c r="V740" s="75" t="n"/>
      <c r="W740" s="75" t="n"/>
      <c r="X740" s="75" t="n"/>
      <c r="Y740" s="226">
        <f>IF(AND(A740="",B740=""),"",IF(AND(A740&lt;&gt;"",B740&lt;&gt;"",C740&lt;&gt;"",D740&lt;&gt;"",F740&lt;&gt;"",G740&lt;&gt;"",H740&lt;&gt;"",ISERROR(SEARCH("по паспорту",G740)),ISERROR(SEARCH("по паспорту",H740)),I740&lt;&gt;"",J740&lt;&gt;"",K740&lt;&gt;"",L740&lt;&gt;"",M740&lt;&gt;""),"ГОТОВО","НЕ ГОТОВО"))</f>
        <v/>
      </c>
      <c r="Z740" s="226">
        <f>IF(Y740&lt;&gt;"ГОТОВО","", "Предварительное заключение: "&amp;A740&amp;", скв. "&amp;B740&amp;". МРП: "&amp;E740&amp;" сут. ГНО: "&amp;F740&amp;", типоразмер "&amp;G740&amp;", марка "&amp;H740&amp;". Событие: "&amp;I740&amp;". Признак: "&amp;J740&amp;". Узел: "&amp;K740&amp;". Предварительная причина: "&amp;L740&amp;". Основное осложнение: "&amp;M740&amp;IF(N740&lt;&gt;"","; сопутствующее: "&amp;N740,"")&amp;IF(O740&lt;&gt;"","; дополнительно: "&amp;O740,"")&amp;".")</f>
        <v/>
      </c>
    </row>
    <row r="741">
      <c r="A741" s="75" t="n"/>
      <c r="B741" s="75" t="n"/>
      <c r="C741" s="261" t="n"/>
      <c r="D741" s="261" t="n"/>
      <c r="E741" s="262">
        <f>IF(OR(C741="",D741=""),"",D741-C741)</f>
        <v/>
      </c>
      <c r="F741" s="75" t="n"/>
      <c r="G741" s="75" t="n"/>
      <c r="H741" s="75" t="n"/>
      <c r="I741" s="75" t="n"/>
      <c r="J741" s="75" t="n"/>
      <c r="K741" s="75" t="n"/>
      <c r="L741" s="75" t="n"/>
      <c r="M741" s="75" t="n"/>
      <c r="N741" s="75" t="n"/>
      <c r="O741" s="75" t="n"/>
      <c r="P741" s="75" t="n"/>
      <c r="Q741" s="75" t="n"/>
      <c r="R741" s="75" t="n"/>
      <c r="S741" s="75" t="n"/>
      <c r="T741" s="75" t="n"/>
      <c r="U741" s="75" t="n"/>
      <c r="V741" s="75" t="n"/>
      <c r="W741" s="75" t="n"/>
      <c r="X741" s="75" t="n"/>
      <c r="Y741" s="226">
        <f>IF(AND(A741="",B741=""),"",IF(AND(A741&lt;&gt;"",B741&lt;&gt;"",C741&lt;&gt;"",D741&lt;&gt;"",F741&lt;&gt;"",G741&lt;&gt;"",H741&lt;&gt;"",ISERROR(SEARCH("по паспорту",G741)),ISERROR(SEARCH("по паспорту",H741)),I741&lt;&gt;"",J741&lt;&gt;"",K741&lt;&gt;"",L741&lt;&gt;"",M741&lt;&gt;""),"ГОТОВО","НЕ ГОТОВО"))</f>
        <v/>
      </c>
      <c r="Z741" s="226">
        <f>IF(Y741&lt;&gt;"ГОТОВО","", "Предварительное заключение: "&amp;A741&amp;", скв. "&amp;B741&amp;". МРП: "&amp;E741&amp;" сут. ГНО: "&amp;F741&amp;", типоразмер "&amp;G741&amp;", марка "&amp;H741&amp;". Событие: "&amp;I741&amp;". Признак: "&amp;J741&amp;". Узел: "&amp;K741&amp;". Предварительная причина: "&amp;L741&amp;". Основное осложнение: "&amp;M741&amp;IF(N741&lt;&gt;"","; сопутствующее: "&amp;N741,"")&amp;IF(O741&lt;&gt;"","; дополнительно: "&amp;O741,"")&amp;".")</f>
        <v/>
      </c>
    </row>
    <row r="742">
      <c r="A742" s="75" t="n"/>
      <c r="B742" s="75" t="n"/>
      <c r="C742" s="261" t="n"/>
      <c r="D742" s="261" t="n"/>
      <c r="E742" s="262">
        <f>IF(OR(C742="",D742=""),"",D742-C742)</f>
        <v/>
      </c>
      <c r="F742" s="75" t="n"/>
      <c r="G742" s="75" t="n"/>
      <c r="H742" s="75" t="n"/>
      <c r="I742" s="75" t="n"/>
      <c r="J742" s="75" t="n"/>
      <c r="K742" s="75" t="n"/>
      <c r="L742" s="75" t="n"/>
      <c r="M742" s="75" t="n"/>
      <c r="N742" s="75" t="n"/>
      <c r="O742" s="75" t="n"/>
      <c r="P742" s="75" t="n"/>
      <c r="Q742" s="75" t="n"/>
      <c r="R742" s="75" t="n"/>
      <c r="S742" s="75" t="n"/>
      <c r="T742" s="75" t="n"/>
      <c r="U742" s="75" t="n"/>
      <c r="V742" s="75" t="n"/>
      <c r="W742" s="75" t="n"/>
      <c r="X742" s="75" t="n"/>
      <c r="Y742" s="226">
        <f>IF(AND(A742="",B742=""),"",IF(AND(A742&lt;&gt;"",B742&lt;&gt;"",C742&lt;&gt;"",D742&lt;&gt;"",F742&lt;&gt;"",G742&lt;&gt;"",H742&lt;&gt;"",ISERROR(SEARCH("по паспорту",G742)),ISERROR(SEARCH("по паспорту",H742)),I742&lt;&gt;"",J742&lt;&gt;"",K742&lt;&gt;"",L742&lt;&gt;"",M742&lt;&gt;""),"ГОТОВО","НЕ ГОТОВО"))</f>
        <v/>
      </c>
      <c r="Z742" s="226">
        <f>IF(Y742&lt;&gt;"ГОТОВО","", "Предварительное заключение: "&amp;A742&amp;", скв. "&amp;B742&amp;". МРП: "&amp;E742&amp;" сут. ГНО: "&amp;F742&amp;", типоразмер "&amp;G742&amp;", марка "&amp;H742&amp;". Событие: "&amp;I742&amp;". Признак: "&amp;J742&amp;". Узел: "&amp;K742&amp;". Предварительная причина: "&amp;L742&amp;". Основное осложнение: "&amp;M742&amp;IF(N742&lt;&gt;"","; сопутствующее: "&amp;N742,"")&amp;IF(O742&lt;&gt;"","; дополнительно: "&amp;O742,"")&amp;".")</f>
        <v/>
      </c>
    </row>
    <row r="743">
      <c r="A743" s="75" t="n"/>
      <c r="B743" s="75" t="n"/>
      <c r="C743" s="261" t="n"/>
      <c r="D743" s="261" t="n"/>
      <c r="E743" s="262">
        <f>IF(OR(C743="",D743=""),"",D743-C743)</f>
        <v/>
      </c>
      <c r="F743" s="75" t="n"/>
      <c r="G743" s="75" t="n"/>
      <c r="H743" s="75" t="n"/>
      <c r="I743" s="75" t="n"/>
      <c r="J743" s="75" t="n"/>
      <c r="K743" s="75" t="n"/>
      <c r="L743" s="75" t="n"/>
      <c r="M743" s="75" t="n"/>
      <c r="N743" s="75" t="n"/>
      <c r="O743" s="75" t="n"/>
      <c r="P743" s="75" t="n"/>
      <c r="Q743" s="75" t="n"/>
      <c r="R743" s="75" t="n"/>
      <c r="S743" s="75" t="n"/>
      <c r="T743" s="75" t="n"/>
      <c r="U743" s="75" t="n"/>
      <c r="V743" s="75" t="n"/>
      <c r="W743" s="75" t="n"/>
      <c r="X743" s="75" t="n"/>
      <c r="Y743" s="226">
        <f>IF(AND(A743="",B743=""),"",IF(AND(A743&lt;&gt;"",B743&lt;&gt;"",C743&lt;&gt;"",D743&lt;&gt;"",F743&lt;&gt;"",G743&lt;&gt;"",H743&lt;&gt;"",ISERROR(SEARCH("по паспорту",G743)),ISERROR(SEARCH("по паспорту",H743)),I743&lt;&gt;"",J743&lt;&gt;"",K743&lt;&gt;"",L743&lt;&gt;"",M743&lt;&gt;""),"ГОТОВО","НЕ ГОТОВО"))</f>
        <v/>
      </c>
      <c r="Z743" s="226">
        <f>IF(Y743&lt;&gt;"ГОТОВО","", "Предварительное заключение: "&amp;A743&amp;", скв. "&amp;B743&amp;". МРП: "&amp;E743&amp;" сут. ГНО: "&amp;F743&amp;", типоразмер "&amp;G743&amp;", марка "&amp;H743&amp;". Событие: "&amp;I743&amp;". Признак: "&amp;J743&amp;". Узел: "&amp;K743&amp;". Предварительная причина: "&amp;L743&amp;". Основное осложнение: "&amp;M743&amp;IF(N743&lt;&gt;"","; сопутствующее: "&amp;N743,"")&amp;IF(O743&lt;&gt;"","; дополнительно: "&amp;O743,"")&amp;".")</f>
        <v/>
      </c>
    </row>
    <row r="744">
      <c r="A744" s="75" t="n"/>
      <c r="B744" s="75" t="n"/>
      <c r="C744" s="261" t="n"/>
      <c r="D744" s="261" t="n"/>
      <c r="E744" s="262">
        <f>IF(OR(C744="",D744=""),"",D744-C744)</f>
        <v/>
      </c>
      <c r="F744" s="75" t="n"/>
      <c r="G744" s="75" t="n"/>
      <c r="H744" s="75" t="n"/>
      <c r="I744" s="75" t="n"/>
      <c r="J744" s="75" t="n"/>
      <c r="K744" s="75" t="n"/>
      <c r="L744" s="75" t="n"/>
      <c r="M744" s="75" t="n"/>
      <c r="N744" s="75" t="n"/>
      <c r="O744" s="75" t="n"/>
      <c r="P744" s="75" t="n"/>
      <c r="Q744" s="75" t="n"/>
      <c r="R744" s="75" t="n"/>
      <c r="S744" s="75" t="n"/>
      <c r="T744" s="75" t="n"/>
      <c r="U744" s="75" t="n"/>
      <c r="V744" s="75" t="n"/>
      <c r="W744" s="75" t="n"/>
      <c r="X744" s="75" t="n"/>
      <c r="Y744" s="226">
        <f>IF(AND(A744="",B744=""),"",IF(AND(A744&lt;&gt;"",B744&lt;&gt;"",C744&lt;&gt;"",D744&lt;&gt;"",F744&lt;&gt;"",G744&lt;&gt;"",H744&lt;&gt;"",ISERROR(SEARCH("по паспорту",G744)),ISERROR(SEARCH("по паспорту",H744)),I744&lt;&gt;"",J744&lt;&gt;"",K744&lt;&gt;"",L744&lt;&gt;"",M744&lt;&gt;""),"ГОТОВО","НЕ ГОТОВО"))</f>
        <v/>
      </c>
      <c r="Z744" s="226">
        <f>IF(Y744&lt;&gt;"ГОТОВО","", "Предварительное заключение: "&amp;A744&amp;", скв. "&amp;B744&amp;". МРП: "&amp;E744&amp;" сут. ГНО: "&amp;F744&amp;", типоразмер "&amp;G744&amp;", марка "&amp;H744&amp;". Событие: "&amp;I744&amp;". Признак: "&amp;J744&amp;". Узел: "&amp;K744&amp;". Предварительная причина: "&amp;L744&amp;". Основное осложнение: "&amp;M744&amp;IF(N744&lt;&gt;"","; сопутствующее: "&amp;N744,"")&amp;IF(O744&lt;&gt;"","; дополнительно: "&amp;O744,"")&amp;".")</f>
        <v/>
      </c>
    </row>
    <row r="745">
      <c r="A745" s="75" t="n"/>
      <c r="B745" s="75" t="n"/>
      <c r="C745" s="261" t="n"/>
      <c r="D745" s="261" t="n"/>
      <c r="E745" s="262">
        <f>IF(OR(C745="",D745=""),"",D745-C745)</f>
        <v/>
      </c>
      <c r="F745" s="75" t="n"/>
      <c r="G745" s="75" t="n"/>
      <c r="H745" s="75" t="n"/>
      <c r="I745" s="75" t="n"/>
      <c r="J745" s="75" t="n"/>
      <c r="K745" s="75" t="n"/>
      <c r="L745" s="75" t="n"/>
      <c r="M745" s="75" t="n"/>
      <c r="N745" s="75" t="n"/>
      <c r="O745" s="75" t="n"/>
      <c r="P745" s="75" t="n"/>
      <c r="Q745" s="75" t="n"/>
      <c r="R745" s="75" t="n"/>
      <c r="S745" s="75" t="n"/>
      <c r="T745" s="75" t="n"/>
      <c r="U745" s="75" t="n"/>
      <c r="V745" s="75" t="n"/>
      <c r="W745" s="75" t="n"/>
      <c r="X745" s="75" t="n"/>
      <c r="Y745" s="226">
        <f>IF(AND(A745="",B745=""),"",IF(AND(A745&lt;&gt;"",B745&lt;&gt;"",C745&lt;&gt;"",D745&lt;&gt;"",F745&lt;&gt;"",G745&lt;&gt;"",H745&lt;&gt;"",ISERROR(SEARCH("по паспорту",G745)),ISERROR(SEARCH("по паспорту",H745)),I745&lt;&gt;"",J745&lt;&gt;"",K745&lt;&gt;"",L745&lt;&gt;"",M745&lt;&gt;""),"ГОТОВО","НЕ ГОТОВО"))</f>
        <v/>
      </c>
      <c r="Z745" s="226">
        <f>IF(Y745&lt;&gt;"ГОТОВО","", "Предварительное заключение: "&amp;A745&amp;", скв. "&amp;B745&amp;". МРП: "&amp;E745&amp;" сут. ГНО: "&amp;F745&amp;", типоразмер "&amp;G745&amp;", марка "&amp;H745&amp;". Событие: "&amp;I745&amp;". Признак: "&amp;J745&amp;". Узел: "&amp;K745&amp;". Предварительная причина: "&amp;L745&amp;". Основное осложнение: "&amp;M745&amp;IF(N745&lt;&gt;"","; сопутствующее: "&amp;N745,"")&amp;IF(O745&lt;&gt;"","; дополнительно: "&amp;O745,"")&amp;".")</f>
        <v/>
      </c>
    </row>
    <row r="746">
      <c r="A746" s="75" t="n"/>
      <c r="B746" s="75" t="n"/>
      <c r="C746" s="261" t="n"/>
      <c r="D746" s="261" t="n"/>
      <c r="E746" s="262">
        <f>IF(OR(C746="",D746=""),"",D746-C746)</f>
        <v/>
      </c>
      <c r="F746" s="75" t="n"/>
      <c r="G746" s="75" t="n"/>
      <c r="H746" s="75" t="n"/>
      <c r="I746" s="75" t="n"/>
      <c r="J746" s="75" t="n"/>
      <c r="K746" s="75" t="n"/>
      <c r="L746" s="75" t="n"/>
      <c r="M746" s="75" t="n"/>
      <c r="N746" s="75" t="n"/>
      <c r="O746" s="75" t="n"/>
      <c r="P746" s="75" t="n"/>
      <c r="Q746" s="75" t="n"/>
      <c r="R746" s="75" t="n"/>
      <c r="S746" s="75" t="n"/>
      <c r="T746" s="75" t="n"/>
      <c r="U746" s="75" t="n"/>
      <c r="V746" s="75" t="n"/>
      <c r="W746" s="75" t="n"/>
      <c r="X746" s="75" t="n"/>
      <c r="Y746" s="226">
        <f>IF(AND(A746="",B746=""),"",IF(AND(A746&lt;&gt;"",B746&lt;&gt;"",C746&lt;&gt;"",D746&lt;&gt;"",F746&lt;&gt;"",G746&lt;&gt;"",H746&lt;&gt;"",ISERROR(SEARCH("по паспорту",G746)),ISERROR(SEARCH("по паспорту",H746)),I746&lt;&gt;"",J746&lt;&gt;"",K746&lt;&gt;"",L746&lt;&gt;"",M746&lt;&gt;""),"ГОТОВО","НЕ ГОТОВО"))</f>
        <v/>
      </c>
      <c r="Z746" s="226">
        <f>IF(Y746&lt;&gt;"ГОТОВО","", "Предварительное заключение: "&amp;A746&amp;", скв. "&amp;B746&amp;". МРП: "&amp;E746&amp;" сут. ГНО: "&amp;F746&amp;", типоразмер "&amp;G746&amp;", марка "&amp;H746&amp;". Событие: "&amp;I746&amp;". Признак: "&amp;J746&amp;". Узел: "&amp;K746&amp;". Предварительная причина: "&amp;L746&amp;". Основное осложнение: "&amp;M746&amp;IF(N746&lt;&gt;"","; сопутствующее: "&amp;N746,"")&amp;IF(O746&lt;&gt;"","; дополнительно: "&amp;O746,"")&amp;".")</f>
        <v/>
      </c>
    </row>
    <row r="747">
      <c r="A747" s="75" t="n"/>
      <c r="B747" s="75" t="n"/>
      <c r="C747" s="261" t="n"/>
      <c r="D747" s="261" t="n"/>
      <c r="E747" s="262">
        <f>IF(OR(C747="",D747=""),"",D747-C747)</f>
        <v/>
      </c>
      <c r="F747" s="75" t="n"/>
      <c r="G747" s="75" t="n"/>
      <c r="H747" s="75" t="n"/>
      <c r="I747" s="75" t="n"/>
      <c r="J747" s="75" t="n"/>
      <c r="K747" s="75" t="n"/>
      <c r="L747" s="75" t="n"/>
      <c r="M747" s="75" t="n"/>
      <c r="N747" s="75" t="n"/>
      <c r="O747" s="75" t="n"/>
      <c r="P747" s="75" t="n"/>
      <c r="Q747" s="75" t="n"/>
      <c r="R747" s="75" t="n"/>
      <c r="S747" s="75" t="n"/>
      <c r="T747" s="75" t="n"/>
      <c r="U747" s="75" t="n"/>
      <c r="V747" s="75" t="n"/>
      <c r="W747" s="75" t="n"/>
      <c r="X747" s="75" t="n"/>
      <c r="Y747" s="226">
        <f>IF(AND(A747="",B747=""),"",IF(AND(A747&lt;&gt;"",B747&lt;&gt;"",C747&lt;&gt;"",D747&lt;&gt;"",F747&lt;&gt;"",G747&lt;&gt;"",H747&lt;&gt;"",ISERROR(SEARCH("по паспорту",G747)),ISERROR(SEARCH("по паспорту",H747)),I747&lt;&gt;"",J747&lt;&gt;"",K747&lt;&gt;"",L747&lt;&gt;"",M747&lt;&gt;""),"ГОТОВО","НЕ ГОТОВО"))</f>
        <v/>
      </c>
      <c r="Z747" s="226">
        <f>IF(Y747&lt;&gt;"ГОТОВО","", "Предварительное заключение: "&amp;A747&amp;", скв. "&amp;B747&amp;". МРП: "&amp;E747&amp;" сут. ГНО: "&amp;F747&amp;", типоразмер "&amp;G747&amp;", марка "&amp;H747&amp;". Событие: "&amp;I747&amp;". Признак: "&amp;J747&amp;". Узел: "&amp;K747&amp;". Предварительная причина: "&amp;L747&amp;". Основное осложнение: "&amp;M747&amp;IF(N747&lt;&gt;"","; сопутствующее: "&amp;N747,"")&amp;IF(O747&lt;&gt;"","; дополнительно: "&amp;O747,"")&amp;".")</f>
        <v/>
      </c>
    </row>
    <row r="748">
      <c r="A748" s="75" t="n"/>
      <c r="B748" s="75" t="n"/>
      <c r="C748" s="261" t="n"/>
      <c r="D748" s="261" t="n"/>
      <c r="E748" s="262">
        <f>IF(OR(C748="",D748=""),"",D748-C748)</f>
        <v/>
      </c>
      <c r="F748" s="75" t="n"/>
      <c r="G748" s="75" t="n"/>
      <c r="H748" s="75" t="n"/>
      <c r="I748" s="75" t="n"/>
      <c r="J748" s="75" t="n"/>
      <c r="K748" s="75" t="n"/>
      <c r="L748" s="75" t="n"/>
      <c r="M748" s="75" t="n"/>
      <c r="N748" s="75" t="n"/>
      <c r="O748" s="75" t="n"/>
      <c r="P748" s="75" t="n"/>
      <c r="Q748" s="75" t="n"/>
      <c r="R748" s="75" t="n"/>
      <c r="S748" s="75" t="n"/>
      <c r="T748" s="75" t="n"/>
      <c r="U748" s="75" t="n"/>
      <c r="V748" s="75" t="n"/>
      <c r="W748" s="75" t="n"/>
      <c r="X748" s="75" t="n"/>
      <c r="Y748" s="226">
        <f>IF(AND(A748="",B748=""),"",IF(AND(A748&lt;&gt;"",B748&lt;&gt;"",C748&lt;&gt;"",D748&lt;&gt;"",F748&lt;&gt;"",G748&lt;&gt;"",H748&lt;&gt;"",ISERROR(SEARCH("по паспорту",G748)),ISERROR(SEARCH("по паспорту",H748)),I748&lt;&gt;"",J748&lt;&gt;"",K748&lt;&gt;"",L748&lt;&gt;"",M748&lt;&gt;""),"ГОТОВО","НЕ ГОТОВО"))</f>
        <v/>
      </c>
      <c r="Z748" s="226">
        <f>IF(Y748&lt;&gt;"ГОТОВО","", "Предварительное заключение: "&amp;A748&amp;", скв. "&amp;B748&amp;". МРП: "&amp;E748&amp;" сут. ГНО: "&amp;F748&amp;", типоразмер "&amp;G748&amp;", марка "&amp;H748&amp;". Событие: "&amp;I748&amp;". Признак: "&amp;J748&amp;". Узел: "&amp;K748&amp;". Предварительная причина: "&amp;L748&amp;". Основное осложнение: "&amp;M748&amp;IF(N748&lt;&gt;"","; сопутствующее: "&amp;N748,"")&amp;IF(O748&lt;&gt;"","; дополнительно: "&amp;O748,"")&amp;".")</f>
        <v/>
      </c>
    </row>
    <row r="749">
      <c r="A749" s="75" t="n"/>
      <c r="B749" s="75" t="n"/>
      <c r="C749" s="261" t="n"/>
      <c r="D749" s="261" t="n"/>
      <c r="E749" s="262">
        <f>IF(OR(C749="",D749=""),"",D749-C749)</f>
        <v/>
      </c>
      <c r="F749" s="75" t="n"/>
      <c r="G749" s="75" t="n"/>
      <c r="H749" s="75" t="n"/>
      <c r="I749" s="75" t="n"/>
      <c r="J749" s="75" t="n"/>
      <c r="K749" s="75" t="n"/>
      <c r="L749" s="75" t="n"/>
      <c r="M749" s="75" t="n"/>
      <c r="N749" s="75" t="n"/>
      <c r="O749" s="75" t="n"/>
      <c r="P749" s="75" t="n"/>
      <c r="Q749" s="75" t="n"/>
      <c r="R749" s="75" t="n"/>
      <c r="S749" s="75" t="n"/>
      <c r="T749" s="75" t="n"/>
      <c r="U749" s="75" t="n"/>
      <c r="V749" s="75" t="n"/>
      <c r="W749" s="75" t="n"/>
      <c r="X749" s="75" t="n"/>
      <c r="Y749" s="226">
        <f>IF(AND(A749="",B749=""),"",IF(AND(A749&lt;&gt;"",B749&lt;&gt;"",C749&lt;&gt;"",D749&lt;&gt;"",F749&lt;&gt;"",G749&lt;&gt;"",H749&lt;&gt;"",ISERROR(SEARCH("по паспорту",G749)),ISERROR(SEARCH("по паспорту",H749)),I749&lt;&gt;"",J749&lt;&gt;"",K749&lt;&gt;"",L749&lt;&gt;"",M749&lt;&gt;""),"ГОТОВО","НЕ ГОТОВО"))</f>
        <v/>
      </c>
      <c r="Z749" s="226">
        <f>IF(Y749&lt;&gt;"ГОТОВО","", "Предварительное заключение: "&amp;A749&amp;", скв. "&amp;B749&amp;". МРП: "&amp;E749&amp;" сут. ГНО: "&amp;F749&amp;", типоразмер "&amp;G749&amp;", марка "&amp;H749&amp;". Событие: "&amp;I749&amp;". Признак: "&amp;J749&amp;". Узел: "&amp;K749&amp;". Предварительная причина: "&amp;L749&amp;". Основное осложнение: "&amp;M749&amp;IF(N749&lt;&gt;"","; сопутствующее: "&amp;N749,"")&amp;IF(O749&lt;&gt;"","; дополнительно: "&amp;O749,"")&amp;".")</f>
        <v/>
      </c>
    </row>
    <row r="750">
      <c r="A750" s="75" t="n"/>
      <c r="B750" s="75" t="n"/>
      <c r="C750" s="261" t="n"/>
      <c r="D750" s="261" t="n"/>
      <c r="E750" s="262">
        <f>IF(OR(C750="",D750=""),"",D750-C750)</f>
        <v/>
      </c>
      <c r="F750" s="75" t="n"/>
      <c r="G750" s="75" t="n"/>
      <c r="H750" s="75" t="n"/>
      <c r="I750" s="75" t="n"/>
      <c r="J750" s="75" t="n"/>
      <c r="K750" s="75" t="n"/>
      <c r="L750" s="75" t="n"/>
      <c r="M750" s="75" t="n"/>
      <c r="N750" s="75" t="n"/>
      <c r="O750" s="75" t="n"/>
      <c r="P750" s="75" t="n"/>
      <c r="Q750" s="75" t="n"/>
      <c r="R750" s="75" t="n"/>
      <c r="S750" s="75" t="n"/>
      <c r="T750" s="75" t="n"/>
      <c r="U750" s="75" t="n"/>
      <c r="V750" s="75" t="n"/>
      <c r="W750" s="75" t="n"/>
      <c r="X750" s="75" t="n"/>
      <c r="Y750" s="226">
        <f>IF(AND(A750="",B750=""),"",IF(AND(A750&lt;&gt;"",B750&lt;&gt;"",C750&lt;&gt;"",D750&lt;&gt;"",F750&lt;&gt;"",G750&lt;&gt;"",H750&lt;&gt;"",ISERROR(SEARCH("по паспорту",G750)),ISERROR(SEARCH("по паспорту",H750)),I750&lt;&gt;"",J750&lt;&gt;"",K750&lt;&gt;"",L750&lt;&gt;"",M750&lt;&gt;""),"ГОТОВО","НЕ ГОТОВО"))</f>
        <v/>
      </c>
      <c r="Z750" s="226">
        <f>IF(Y750&lt;&gt;"ГОТОВО","", "Предварительное заключение: "&amp;A750&amp;", скв. "&amp;B750&amp;". МРП: "&amp;E750&amp;" сут. ГНО: "&amp;F750&amp;", типоразмер "&amp;G750&amp;", марка "&amp;H750&amp;". Событие: "&amp;I750&amp;". Признак: "&amp;J750&amp;". Узел: "&amp;K750&amp;". Предварительная причина: "&amp;L750&amp;". Основное осложнение: "&amp;M750&amp;IF(N750&lt;&gt;"","; сопутствующее: "&amp;N750,"")&amp;IF(O750&lt;&gt;"","; дополнительно: "&amp;O750,"")&amp;".")</f>
        <v/>
      </c>
    </row>
    <row r="751">
      <c r="A751" s="75" t="n"/>
      <c r="B751" s="75" t="n"/>
      <c r="C751" s="261" t="n"/>
      <c r="D751" s="261" t="n"/>
      <c r="E751" s="262">
        <f>IF(OR(C751="",D751=""),"",D751-C751)</f>
        <v/>
      </c>
      <c r="F751" s="75" t="n"/>
      <c r="G751" s="75" t="n"/>
      <c r="H751" s="75" t="n"/>
      <c r="I751" s="75" t="n"/>
      <c r="J751" s="75" t="n"/>
      <c r="K751" s="75" t="n"/>
      <c r="L751" s="75" t="n"/>
      <c r="M751" s="75" t="n"/>
      <c r="N751" s="75" t="n"/>
      <c r="O751" s="75" t="n"/>
      <c r="P751" s="75" t="n"/>
      <c r="Q751" s="75" t="n"/>
      <c r="R751" s="75" t="n"/>
      <c r="S751" s="75" t="n"/>
      <c r="T751" s="75" t="n"/>
      <c r="U751" s="75" t="n"/>
      <c r="V751" s="75" t="n"/>
      <c r="W751" s="75" t="n"/>
      <c r="X751" s="75" t="n"/>
      <c r="Y751" s="226">
        <f>IF(AND(A751="",B751=""),"",IF(AND(A751&lt;&gt;"",B751&lt;&gt;"",C751&lt;&gt;"",D751&lt;&gt;"",F751&lt;&gt;"",G751&lt;&gt;"",H751&lt;&gt;"",ISERROR(SEARCH("по паспорту",G751)),ISERROR(SEARCH("по паспорту",H751)),I751&lt;&gt;"",J751&lt;&gt;"",K751&lt;&gt;"",L751&lt;&gt;"",M751&lt;&gt;""),"ГОТОВО","НЕ ГОТОВО"))</f>
        <v/>
      </c>
      <c r="Z751" s="226">
        <f>IF(Y751&lt;&gt;"ГОТОВО","", "Предварительное заключение: "&amp;A751&amp;", скв. "&amp;B751&amp;". МРП: "&amp;E751&amp;" сут. ГНО: "&amp;F751&amp;", типоразмер "&amp;G751&amp;", марка "&amp;H751&amp;". Событие: "&amp;I751&amp;". Признак: "&amp;J751&amp;". Узел: "&amp;K751&amp;". Предварительная причина: "&amp;L751&amp;". Основное осложнение: "&amp;M751&amp;IF(N751&lt;&gt;"","; сопутствующее: "&amp;N751,"")&amp;IF(O751&lt;&gt;"","; дополнительно: "&amp;O751,"")&amp;".")</f>
        <v/>
      </c>
    </row>
    <row r="752">
      <c r="A752" s="75" t="n"/>
      <c r="B752" s="75" t="n"/>
      <c r="C752" s="261" t="n"/>
      <c r="D752" s="261" t="n"/>
      <c r="E752" s="262">
        <f>IF(OR(C752="",D752=""),"",D752-C752)</f>
        <v/>
      </c>
      <c r="F752" s="75" t="n"/>
      <c r="G752" s="75" t="n"/>
      <c r="H752" s="75" t="n"/>
      <c r="I752" s="75" t="n"/>
      <c r="J752" s="75" t="n"/>
      <c r="K752" s="75" t="n"/>
      <c r="L752" s="75" t="n"/>
      <c r="M752" s="75" t="n"/>
      <c r="N752" s="75" t="n"/>
      <c r="O752" s="75" t="n"/>
      <c r="P752" s="75" t="n"/>
      <c r="Q752" s="75" t="n"/>
      <c r="R752" s="75" t="n"/>
      <c r="S752" s="75" t="n"/>
      <c r="T752" s="75" t="n"/>
      <c r="U752" s="75" t="n"/>
      <c r="V752" s="75" t="n"/>
      <c r="W752" s="75" t="n"/>
      <c r="X752" s="75" t="n"/>
      <c r="Y752" s="226">
        <f>IF(AND(A752="",B752=""),"",IF(AND(A752&lt;&gt;"",B752&lt;&gt;"",C752&lt;&gt;"",D752&lt;&gt;"",F752&lt;&gt;"",G752&lt;&gt;"",H752&lt;&gt;"",ISERROR(SEARCH("по паспорту",G752)),ISERROR(SEARCH("по паспорту",H752)),I752&lt;&gt;"",J752&lt;&gt;"",K752&lt;&gt;"",L752&lt;&gt;"",M752&lt;&gt;""),"ГОТОВО","НЕ ГОТОВО"))</f>
        <v/>
      </c>
      <c r="Z752" s="226">
        <f>IF(Y752&lt;&gt;"ГОТОВО","", "Предварительное заключение: "&amp;A752&amp;", скв. "&amp;B752&amp;". МРП: "&amp;E752&amp;" сут. ГНО: "&amp;F752&amp;", типоразмер "&amp;G752&amp;", марка "&amp;H752&amp;". Событие: "&amp;I752&amp;". Признак: "&amp;J752&amp;". Узел: "&amp;K752&amp;". Предварительная причина: "&amp;L752&amp;". Основное осложнение: "&amp;M752&amp;IF(N752&lt;&gt;"","; сопутствующее: "&amp;N752,"")&amp;IF(O752&lt;&gt;"","; дополнительно: "&amp;O752,"")&amp;".")</f>
        <v/>
      </c>
    </row>
    <row r="753">
      <c r="A753" s="75" t="n"/>
      <c r="B753" s="75" t="n"/>
      <c r="C753" s="261" t="n"/>
      <c r="D753" s="261" t="n"/>
      <c r="E753" s="262">
        <f>IF(OR(C753="",D753=""),"",D753-C753)</f>
        <v/>
      </c>
      <c r="F753" s="75" t="n"/>
      <c r="G753" s="75" t="n"/>
      <c r="H753" s="75" t="n"/>
      <c r="I753" s="75" t="n"/>
      <c r="J753" s="75" t="n"/>
      <c r="K753" s="75" t="n"/>
      <c r="L753" s="75" t="n"/>
      <c r="M753" s="75" t="n"/>
      <c r="N753" s="75" t="n"/>
      <c r="O753" s="75" t="n"/>
      <c r="P753" s="75" t="n"/>
      <c r="Q753" s="75" t="n"/>
      <c r="R753" s="75" t="n"/>
      <c r="S753" s="75" t="n"/>
      <c r="T753" s="75" t="n"/>
      <c r="U753" s="75" t="n"/>
      <c r="V753" s="75" t="n"/>
      <c r="W753" s="75" t="n"/>
      <c r="X753" s="75" t="n"/>
      <c r="Y753" s="226">
        <f>IF(AND(A753="",B753=""),"",IF(AND(A753&lt;&gt;"",B753&lt;&gt;"",C753&lt;&gt;"",D753&lt;&gt;"",F753&lt;&gt;"",G753&lt;&gt;"",H753&lt;&gt;"",ISERROR(SEARCH("по паспорту",G753)),ISERROR(SEARCH("по паспорту",H753)),I753&lt;&gt;"",J753&lt;&gt;"",K753&lt;&gt;"",L753&lt;&gt;"",M753&lt;&gt;""),"ГОТОВО","НЕ ГОТОВО"))</f>
        <v/>
      </c>
      <c r="Z753" s="226">
        <f>IF(Y753&lt;&gt;"ГОТОВО","", "Предварительное заключение: "&amp;A753&amp;", скв. "&amp;B753&amp;". МРП: "&amp;E753&amp;" сут. ГНО: "&amp;F753&amp;", типоразмер "&amp;G753&amp;", марка "&amp;H753&amp;". Событие: "&amp;I753&amp;". Признак: "&amp;J753&amp;". Узел: "&amp;K753&amp;". Предварительная причина: "&amp;L753&amp;". Основное осложнение: "&amp;M753&amp;IF(N753&lt;&gt;"","; сопутствующее: "&amp;N753,"")&amp;IF(O753&lt;&gt;"","; дополнительно: "&amp;O753,"")&amp;".")</f>
        <v/>
      </c>
    </row>
    <row r="754">
      <c r="A754" s="75" t="n"/>
      <c r="B754" s="75" t="n"/>
      <c r="C754" s="261" t="n"/>
      <c r="D754" s="261" t="n"/>
      <c r="E754" s="262">
        <f>IF(OR(C754="",D754=""),"",D754-C754)</f>
        <v/>
      </c>
      <c r="F754" s="75" t="n"/>
      <c r="G754" s="75" t="n"/>
      <c r="H754" s="75" t="n"/>
      <c r="I754" s="75" t="n"/>
      <c r="J754" s="75" t="n"/>
      <c r="K754" s="75" t="n"/>
      <c r="L754" s="75" t="n"/>
      <c r="M754" s="75" t="n"/>
      <c r="N754" s="75" t="n"/>
      <c r="O754" s="75" t="n"/>
      <c r="P754" s="75" t="n"/>
      <c r="Q754" s="75" t="n"/>
      <c r="R754" s="75" t="n"/>
      <c r="S754" s="75" t="n"/>
      <c r="T754" s="75" t="n"/>
      <c r="U754" s="75" t="n"/>
      <c r="V754" s="75" t="n"/>
      <c r="W754" s="75" t="n"/>
      <c r="X754" s="75" t="n"/>
      <c r="Y754" s="226">
        <f>IF(AND(A754="",B754=""),"",IF(AND(A754&lt;&gt;"",B754&lt;&gt;"",C754&lt;&gt;"",D754&lt;&gt;"",F754&lt;&gt;"",G754&lt;&gt;"",H754&lt;&gt;"",ISERROR(SEARCH("по паспорту",G754)),ISERROR(SEARCH("по паспорту",H754)),I754&lt;&gt;"",J754&lt;&gt;"",K754&lt;&gt;"",L754&lt;&gt;"",M754&lt;&gt;""),"ГОТОВО","НЕ ГОТОВО"))</f>
        <v/>
      </c>
      <c r="Z754" s="226">
        <f>IF(Y754&lt;&gt;"ГОТОВО","", "Предварительное заключение: "&amp;A754&amp;", скв. "&amp;B754&amp;". МРП: "&amp;E754&amp;" сут. ГНО: "&amp;F754&amp;", типоразмер "&amp;G754&amp;", марка "&amp;H754&amp;". Событие: "&amp;I754&amp;". Признак: "&amp;J754&amp;". Узел: "&amp;K754&amp;". Предварительная причина: "&amp;L754&amp;". Основное осложнение: "&amp;M754&amp;IF(N754&lt;&gt;"","; сопутствующее: "&amp;N754,"")&amp;IF(O754&lt;&gt;"","; дополнительно: "&amp;O754,"")&amp;".")</f>
        <v/>
      </c>
    </row>
    <row r="755">
      <c r="A755" s="75" t="n"/>
      <c r="B755" s="75" t="n"/>
      <c r="C755" s="261" t="n"/>
      <c r="D755" s="261" t="n"/>
      <c r="E755" s="262">
        <f>IF(OR(C755="",D755=""),"",D755-C755)</f>
        <v/>
      </c>
      <c r="F755" s="75" t="n"/>
      <c r="G755" s="75" t="n"/>
      <c r="H755" s="75" t="n"/>
      <c r="I755" s="75" t="n"/>
      <c r="J755" s="75" t="n"/>
      <c r="K755" s="75" t="n"/>
      <c r="L755" s="75" t="n"/>
      <c r="M755" s="75" t="n"/>
      <c r="N755" s="75" t="n"/>
      <c r="O755" s="75" t="n"/>
      <c r="P755" s="75" t="n"/>
      <c r="Q755" s="75" t="n"/>
      <c r="R755" s="75" t="n"/>
      <c r="S755" s="75" t="n"/>
      <c r="T755" s="75" t="n"/>
      <c r="U755" s="75" t="n"/>
      <c r="V755" s="75" t="n"/>
      <c r="W755" s="75" t="n"/>
      <c r="X755" s="75" t="n"/>
      <c r="Y755" s="226">
        <f>IF(AND(A755="",B755=""),"",IF(AND(A755&lt;&gt;"",B755&lt;&gt;"",C755&lt;&gt;"",D755&lt;&gt;"",F755&lt;&gt;"",G755&lt;&gt;"",H755&lt;&gt;"",ISERROR(SEARCH("по паспорту",G755)),ISERROR(SEARCH("по паспорту",H755)),I755&lt;&gt;"",J755&lt;&gt;"",K755&lt;&gt;"",L755&lt;&gt;"",M755&lt;&gt;""),"ГОТОВО","НЕ ГОТОВО"))</f>
        <v/>
      </c>
      <c r="Z755" s="226">
        <f>IF(Y755&lt;&gt;"ГОТОВО","", "Предварительное заключение: "&amp;A755&amp;", скв. "&amp;B755&amp;". МРП: "&amp;E755&amp;" сут. ГНО: "&amp;F755&amp;", типоразмер "&amp;G755&amp;", марка "&amp;H755&amp;". Событие: "&amp;I755&amp;". Признак: "&amp;J755&amp;". Узел: "&amp;K755&amp;". Предварительная причина: "&amp;L755&amp;". Основное осложнение: "&amp;M755&amp;IF(N755&lt;&gt;"","; сопутствующее: "&amp;N755,"")&amp;IF(O755&lt;&gt;"","; дополнительно: "&amp;O755,"")&amp;".")</f>
        <v/>
      </c>
    </row>
    <row r="756">
      <c r="A756" s="75" t="n"/>
      <c r="B756" s="75" t="n"/>
      <c r="C756" s="261" t="n"/>
      <c r="D756" s="261" t="n"/>
      <c r="E756" s="262">
        <f>IF(OR(C756="",D756=""),"",D756-C756)</f>
        <v/>
      </c>
      <c r="F756" s="75" t="n"/>
      <c r="G756" s="75" t="n"/>
      <c r="H756" s="75" t="n"/>
      <c r="I756" s="75" t="n"/>
      <c r="J756" s="75" t="n"/>
      <c r="K756" s="75" t="n"/>
      <c r="L756" s="75" t="n"/>
      <c r="M756" s="75" t="n"/>
      <c r="N756" s="75" t="n"/>
      <c r="O756" s="75" t="n"/>
      <c r="P756" s="75" t="n"/>
      <c r="Q756" s="75" t="n"/>
      <c r="R756" s="75" t="n"/>
      <c r="S756" s="75" t="n"/>
      <c r="T756" s="75" t="n"/>
      <c r="U756" s="75" t="n"/>
      <c r="V756" s="75" t="n"/>
      <c r="W756" s="75" t="n"/>
      <c r="X756" s="75" t="n"/>
      <c r="Y756" s="226">
        <f>IF(AND(A756="",B756=""),"",IF(AND(A756&lt;&gt;"",B756&lt;&gt;"",C756&lt;&gt;"",D756&lt;&gt;"",F756&lt;&gt;"",G756&lt;&gt;"",H756&lt;&gt;"",ISERROR(SEARCH("по паспорту",G756)),ISERROR(SEARCH("по паспорту",H756)),I756&lt;&gt;"",J756&lt;&gt;"",K756&lt;&gt;"",L756&lt;&gt;"",M756&lt;&gt;""),"ГОТОВО","НЕ ГОТОВО"))</f>
        <v/>
      </c>
      <c r="Z756" s="226">
        <f>IF(Y756&lt;&gt;"ГОТОВО","", "Предварительное заключение: "&amp;A756&amp;", скв. "&amp;B756&amp;". МРП: "&amp;E756&amp;" сут. ГНО: "&amp;F756&amp;", типоразмер "&amp;G756&amp;", марка "&amp;H756&amp;". Событие: "&amp;I756&amp;". Признак: "&amp;J756&amp;". Узел: "&amp;K756&amp;". Предварительная причина: "&amp;L756&amp;". Основное осложнение: "&amp;M756&amp;IF(N756&lt;&gt;"","; сопутствующее: "&amp;N756,"")&amp;IF(O756&lt;&gt;"","; дополнительно: "&amp;O756,"")&amp;".")</f>
        <v/>
      </c>
    </row>
    <row r="757">
      <c r="A757" s="75" t="n"/>
      <c r="B757" s="75" t="n"/>
      <c r="C757" s="261" t="n"/>
      <c r="D757" s="261" t="n"/>
      <c r="E757" s="262">
        <f>IF(OR(C757="",D757=""),"",D757-C757)</f>
        <v/>
      </c>
      <c r="F757" s="75" t="n"/>
      <c r="G757" s="75" t="n"/>
      <c r="H757" s="75" t="n"/>
      <c r="I757" s="75" t="n"/>
      <c r="J757" s="75" t="n"/>
      <c r="K757" s="75" t="n"/>
      <c r="L757" s="75" t="n"/>
      <c r="M757" s="75" t="n"/>
      <c r="N757" s="75" t="n"/>
      <c r="O757" s="75" t="n"/>
      <c r="P757" s="75" t="n"/>
      <c r="Q757" s="75" t="n"/>
      <c r="R757" s="75" t="n"/>
      <c r="S757" s="75" t="n"/>
      <c r="T757" s="75" t="n"/>
      <c r="U757" s="75" t="n"/>
      <c r="V757" s="75" t="n"/>
      <c r="W757" s="75" t="n"/>
      <c r="X757" s="75" t="n"/>
      <c r="Y757" s="226">
        <f>IF(AND(A757="",B757=""),"",IF(AND(A757&lt;&gt;"",B757&lt;&gt;"",C757&lt;&gt;"",D757&lt;&gt;"",F757&lt;&gt;"",G757&lt;&gt;"",H757&lt;&gt;"",ISERROR(SEARCH("по паспорту",G757)),ISERROR(SEARCH("по паспорту",H757)),I757&lt;&gt;"",J757&lt;&gt;"",K757&lt;&gt;"",L757&lt;&gt;"",M757&lt;&gt;""),"ГОТОВО","НЕ ГОТОВО"))</f>
        <v/>
      </c>
      <c r="Z757" s="226">
        <f>IF(Y757&lt;&gt;"ГОТОВО","", "Предварительное заключение: "&amp;A757&amp;", скв. "&amp;B757&amp;". МРП: "&amp;E757&amp;" сут. ГНО: "&amp;F757&amp;", типоразмер "&amp;G757&amp;", марка "&amp;H757&amp;". Событие: "&amp;I757&amp;". Признак: "&amp;J757&amp;". Узел: "&amp;K757&amp;". Предварительная причина: "&amp;L757&amp;". Основное осложнение: "&amp;M757&amp;IF(N757&lt;&gt;"","; сопутствующее: "&amp;N757,"")&amp;IF(O757&lt;&gt;"","; дополнительно: "&amp;O757,"")&amp;".")</f>
        <v/>
      </c>
    </row>
    <row r="758">
      <c r="A758" s="75" t="n"/>
      <c r="B758" s="75" t="n"/>
      <c r="C758" s="261" t="n"/>
      <c r="D758" s="261" t="n"/>
      <c r="E758" s="262">
        <f>IF(OR(C758="",D758=""),"",D758-C758)</f>
        <v/>
      </c>
      <c r="F758" s="75" t="n"/>
      <c r="G758" s="75" t="n"/>
      <c r="H758" s="75" t="n"/>
      <c r="I758" s="75" t="n"/>
      <c r="J758" s="75" t="n"/>
      <c r="K758" s="75" t="n"/>
      <c r="L758" s="75" t="n"/>
      <c r="M758" s="75" t="n"/>
      <c r="N758" s="75" t="n"/>
      <c r="O758" s="75" t="n"/>
      <c r="P758" s="75" t="n"/>
      <c r="Q758" s="75" t="n"/>
      <c r="R758" s="75" t="n"/>
      <c r="S758" s="75" t="n"/>
      <c r="T758" s="75" t="n"/>
      <c r="U758" s="75" t="n"/>
      <c r="V758" s="75" t="n"/>
      <c r="W758" s="75" t="n"/>
      <c r="X758" s="75" t="n"/>
      <c r="Y758" s="226">
        <f>IF(AND(A758="",B758=""),"",IF(AND(A758&lt;&gt;"",B758&lt;&gt;"",C758&lt;&gt;"",D758&lt;&gt;"",F758&lt;&gt;"",G758&lt;&gt;"",H758&lt;&gt;"",ISERROR(SEARCH("по паспорту",G758)),ISERROR(SEARCH("по паспорту",H758)),I758&lt;&gt;"",J758&lt;&gt;"",K758&lt;&gt;"",L758&lt;&gt;"",M758&lt;&gt;""),"ГОТОВО","НЕ ГОТОВО"))</f>
        <v/>
      </c>
      <c r="Z758" s="226">
        <f>IF(Y758&lt;&gt;"ГОТОВО","", "Предварительное заключение: "&amp;A758&amp;", скв. "&amp;B758&amp;". МРП: "&amp;E758&amp;" сут. ГНО: "&amp;F758&amp;", типоразмер "&amp;G758&amp;", марка "&amp;H758&amp;". Событие: "&amp;I758&amp;". Признак: "&amp;J758&amp;". Узел: "&amp;K758&amp;". Предварительная причина: "&amp;L758&amp;". Основное осложнение: "&amp;M758&amp;IF(N758&lt;&gt;"","; сопутствующее: "&amp;N758,"")&amp;IF(O758&lt;&gt;"","; дополнительно: "&amp;O758,"")&amp;".")</f>
        <v/>
      </c>
    </row>
    <row r="759">
      <c r="A759" s="75" t="n"/>
      <c r="B759" s="75" t="n"/>
      <c r="C759" s="261" t="n"/>
      <c r="D759" s="261" t="n"/>
      <c r="E759" s="262">
        <f>IF(OR(C759="",D759=""),"",D759-C759)</f>
        <v/>
      </c>
      <c r="F759" s="75" t="n"/>
      <c r="G759" s="75" t="n"/>
      <c r="H759" s="75" t="n"/>
      <c r="I759" s="75" t="n"/>
      <c r="J759" s="75" t="n"/>
      <c r="K759" s="75" t="n"/>
      <c r="L759" s="75" t="n"/>
      <c r="M759" s="75" t="n"/>
      <c r="N759" s="75" t="n"/>
      <c r="O759" s="75" t="n"/>
      <c r="P759" s="75" t="n"/>
      <c r="Q759" s="75" t="n"/>
      <c r="R759" s="75" t="n"/>
      <c r="S759" s="75" t="n"/>
      <c r="T759" s="75" t="n"/>
      <c r="U759" s="75" t="n"/>
      <c r="V759" s="75" t="n"/>
      <c r="W759" s="75" t="n"/>
      <c r="X759" s="75" t="n"/>
      <c r="Y759" s="226">
        <f>IF(AND(A759="",B759=""),"",IF(AND(A759&lt;&gt;"",B759&lt;&gt;"",C759&lt;&gt;"",D759&lt;&gt;"",F759&lt;&gt;"",G759&lt;&gt;"",H759&lt;&gt;"",ISERROR(SEARCH("по паспорту",G759)),ISERROR(SEARCH("по паспорту",H759)),I759&lt;&gt;"",J759&lt;&gt;"",K759&lt;&gt;"",L759&lt;&gt;"",M759&lt;&gt;""),"ГОТОВО","НЕ ГОТОВО"))</f>
        <v/>
      </c>
      <c r="Z759" s="226">
        <f>IF(Y759&lt;&gt;"ГОТОВО","", "Предварительное заключение: "&amp;A759&amp;", скв. "&amp;B759&amp;". МРП: "&amp;E759&amp;" сут. ГНО: "&amp;F759&amp;", типоразмер "&amp;G759&amp;", марка "&amp;H759&amp;". Событие: "&amp;I759&amp;". Признак: "&amp;J759&amp;". Узел: "&amp;K759&amp;". Предварительная причина: "&amp;L759&amp;". Основное осложнение: "&amp;M759&amp;IF(N759&lt;&gt;"","; сопутствующее: "&amp;N759,"")&amp;IF(O759&lt;&gt;"","; дополнительно: "&amp;O759,"")&amp;".")</f>
        <v/>
      </c>
    </row>
    <row r="760">
      <c r="A760" s="75" t="n"/>
      <c r="B760" s="75" t="n"/>
      <c r="C760" s="261" t="n"/>
      <c r="D760" s="261" t="n"/>
      <c r="E760" s="262">
        <f>IF(OR(C760="",D760=""),"",D760-C760)</f>
        <v/>
      </c>
      <c r="F760" s="75" t="n"/>
      <c r="G760" s="75" t="n"/>
      <c r="H760" s="75" t="n"/>
      <c r="I760" s="75" t="n"/>
      <c r="J760" s="75" t="n"/>
      <c r="K760" s="75" t="n"/>
      <c r="L760" s="75" t="n"/>
      <c r="M760" s="75" t="n"/>
      <c r="N760" s="75" t="n"/>
      <c r="O760" s="75" t="n"/>
      <c r="P760" s="75" t="n"/>
      <c r="Q760" s="75" t="n"/>
      <c r="R760" s="75" t="n"/>
      <c r="S760" s="75" t="n"/>
      <c r="T760" s="75" t="n"/>
      <c r="U760" s="75" t="n"/>
      <c r="V760" s="75" t="n"/>
      <c r="W760" s="75" t="n"/>
      <c r="X760" s="75" t="n"/>
      <c r="Y760" s="226">
        <f>IF(AND(A760="",B760=""),"",IF(AND(A760&lt;&gt;"",B760&lt;&gt;"",C760&lt;&gt;"",D760&lt;&gt;"",F760&lt;&gt;"",G760&lt;&gt;"",H760&lt;&gt;"",ISERROR(SEARCH("по паспорту",G760)),ISERROR(SEARCH("по паспорту",H760)),I760&lt;&gt;"",J760&lt;&gt;"",K760&lt;&gt;"",L760&lt;&gt;"",M760&lt;&gt;""),"ГОТОВО","НЕ ГОТОВО"))</f>
        <v/>
      </c>
      <c r="Z760" s="226">
        <f>IF(Y760&lt;&gt;"ГОТОВО","", "Предварительное заключение: "&amp;A760&amp;", скв. "&amp;B760&amp;". МРП: "&amp;E760&amp;" сут. ГНО: "&amp;F760&amp;", типоразмер "&amp;G760&amp;", марка "&amp;H760&amp;". Событие: "&amp;I760&amp;". Признак: "&amp;J760&amp;". Узел: "&amp;K760&amp;". Предварительная причина: "&amp;L760&amp;". Основное осложнение: "&amp;M760&amp;IF(N760&lt;&gt;"","; сопутствующее: "&amp;N760,"")&amp;IF(O760&lt;&gt;"","; дополнительно: "&amp;O760,"")&amp;".")</f>
        <v/>
      </c>
    </row>
    <row r="761">
      <c r="A761" s="75" t="n"/>
      <c r="B761" s="75" t="n"/>
      <c r="C761" s="261" t="n"/>
      <c r="D761" s="261" t="n"/>
      <c r="E761" s="262">
        <f>IF(OR(C761="",D761=""),"",D761-C761)</f>
        <v/>
      </c>
      <c r="F761" s="75" t="n"/>
      <c r="G761" s="75" t="n"/>
      <c r="H761" s="75" t="n"/>
      <c r="I761" s="75" t="n"/>
      <c r="J761" s="75" t="n"/>
      <c r="K761" s="75" t="n"/>
      <c r="L761" s="75" t="n"/>
      <c r="M761" s="75" t="n"/>
      <c r="N761" s="75" t="n"/>
      <c r="O761" s="75" t="n"/>
      <c r="P761" s="75" t="n"/>
      <c r="Q761" s="75" t="n"/>
      <c r="R761" s="75" t="n"/>
      <c r="S761" s="75" t="n"/>
      <c r="T761" s="75" t="n"/>
      <c r="U761" s="75" t="n"/>
      <c r="V761" s="75" t="n"/>
      <c r="W761" s="75" t="n"/>
      <c r="X761" s="75" t="n"/>
      <c r="Y761" s="226">
        <f>IF(AND(A761="",B761=""),"",IF(AND(A761&lt;&gt;"",B761&lt;&gt;"",C761&lt;&gt;"",D761&lt;&gt;"",F761&lt;&gt;"",G761&lt;&gt;"",H761&lt;&gt;"",ISERROR(SEARCH("по паспорту",G761)),ISERROR(SEARCH("по паспорту",H761)),I761&lt;&gt;"",J761&lt;&gt;"",K761&lt;&gt;"",L761&lt;&gt;"",M761&lt;&gt;""),"ГОТОВО","НЕ ГОТОВО"))</f>
        <v/>
      </c>
      <c r="Z761" s="226">
        <f>IF(Y761&lt;&gt;"ГОТОВО","", "Предварительное заключение: "&amp;A761&amp;", скв. "&amp;B761&amp;". МРП: "&amp;E761&amp;" сут. ГНО: "&amp;F761&amp;", типоразмер "&amp;G761&amp;", марка "&amp;H761&amp;". Событие: "&amp;I761&amp;". Признак: "&amp;J761&amp;". Узел: "&amp;K761&amp;". Предварительная причина: "&amp;L761&amp;". Основное осложнение: "&amp;M761&amp;IF(N761&lt;&gt;"","; сопутствующее: "&amp;N761,"")&amp;IF(O761&lt;&gt;"","; дополнительно: "&amp;O761,"")&amp;".")</f>
        <v/>
      </c>
    </row>
    <row r="762">
      <c r="A762" s="75" t="n"/>
      <c r="B762" s="75" t="n"/>
      <c r="C762" s="261" t="n"/>
      <c r="D762" s="261" t="n"/>
      <c r="E762" s="262">
        <f>IF(OR(C762="",D762=""),"",D762-C762)</f>
        <v/>
      </c>
      <c r="F762" s="75" t="n"/>
      <c r="G762" s="75" t="n"/>
      <c r="H762" s="75" t="n"/>
      <c r="I762" s="75" t="n"/>
      <c r="J762" s="75" t="n"/>
      <c r="K762" s="75" t="n"/>
      <c r="L762" s="75" t="n"/>
      <c r="M762" s="75" t="n"/>
      <c r="N762" s="75" t="n"/>
      <c r="O762" s="75" t="n"/>
      <c r="P762" s="75" t="n"/>
      <c r="Q762" s="75" t="n"/>
      <c r="R762" s="75" t="n"/>
      <c r="S762" s="75" t="n"/>
      <c r="T762" s="75" t="n"/>
      <c r="U762" s="75" t="n"/>
      <c r="V762" s="75" t="n"/>
      <c r="W762" s="75" t="n"/>
      <c r="X762" s="75" t="n"/>
      <c r="Y762" s="226">
        <f>IF(AND(A762="",B762=""),"",IF(AND(A762&lt;&gt;"",B762&lt;&gt;"",C762&lt;&gt;"",D762&lt;&gt;"",F762&lt;&gt;"",G762&lt;&gt;"",H762&lt;&gt;"",ISERROR(SEARCH("по паспорту",G762)),ISERROR(SEARCH("по паспорту",H762)),I762&lt;&gt;"",J762&lt;&gt;"",K762&lt;&gt;"",L762&lt;&gt;"",M762&lt;&gt;""),"ГОТОВО","НЕ ГОТОВО"))</f>
        <v/>
      </c>
      <c r="Z762" s="226">
        <f>IF(Y762&lt;&gt;"ГОТОВО","", "Предварительное заключение: "&amp;A762&amp;", скв. "&amp;B762&amp;". МРП: "&amp;E762&amp;" сут. ГНО: "&amp;F762&amp;", типоразмер "&amp;G762&amp;", марка "&amp;H762&amp;". Событие: "&amp;I762&amp;". Признак: "&amp;J762&amp;". Узел: "&amp;K762&amp;". Предварительная причина: "&amp;L762&amp;". Основное осложнение: "&amp;M762&amp;IF(N762&lt;&gt;"","; сопутствующее: "&amp;N762,"")&amp;IF(O762&lt;&gt;"","; дополнительно: "&amp;O762,"")&amp;".")</f>
        <v/>
      </c>
    </row>
    <row r="763">
      <c r="A763" s="75" t="n"/>
      <c r="B763" s="75" t="n"/>
      <c r="C763" s="261" t="n"/>
      <c r="D763" s="261" t="n"/>
      <c r="E763" s="262">
        <f>IF(OR(C763="",D763=""),"",D763-C763)</f>
        <v/>
      </c>
      <c r="F763" s="75" t="n"/>
      <c r="G763" s="75" t="n"/>
      <c r="H763" s="75" t="n"/>
      <c r="I763" s="75" t="n"/>
      <c r="J763" s="75" t="n"/>
      <c r="K763" s="75" t="n"/>
      <c r="L763" s="75" t="n"/>
      <c r="M763" s="75" t="n"/>
      <c r="N763" s="75" t="n"/>
      <c r="O763" s="75" t="n"/>
      <c r="P763" s="75" t="n"/>
      <c r="Q763" s="75" t="n"/>
      <c r="R763" s="75" t="n"/>
      <c r="S763" s="75" t="n"/>
      <c r="T763" s="75" t="n"/>
      <c r="U763" s="75" t="n"/>
      <c r="V763" s="75" t="n"/>
      <c r="W763" s="75" t="n"/>
      <c r="X763" s="75" t="n"/>
      <c r="Y763" s="226">
        <f>IF(AND(A763="",B763=""),"",IF(AND(A763&lt;&gt;"",B763&lt;&gt;"",C763&lt;&gt;"",D763&lt;&gt;"",F763&lt;&gt;"",G763&lt;&gt;"",H763&lt;&gt;"",ISERROR(SEARCH("по паспорту",G763)),ISERROR(SEARCH("по паспорту",H763)),I763&lt;&gt;"",J763&lt;&gt;"",K763&lt;&gt;"",L763&lt;&gt;"",M763&lt;&gt;""),"ГОТОВО","НЕ ГОТОВО"))</f>
        <v/>
      </c>
      <c r="Z763" s="226">
        <f>IF(Y763&lt;&gt;"ГОТОВО","", "Предварительное заключение: "&amp;A763&amp;", скв. "&amp;B763&amp;". МРП: "&amp;E763&amp;" сут. ГНО: "&amp;F763&amp;", типоразмер "&amp;G763&amp;", марка "&amp;H763&amp;". Событие: "&amp;I763&amp;". Признак: "&amp;J763&amp;". Узел: "&amp;K763&amp;". Предварительная причина: "&amp;L763&amp;". Основное осложнение: "&amp;M763&amp;IF(N763&lt;&gt;"","; сопутствующее: "&amp;N763,"")&amp;IF(O763&lt;&gt;"","; дополнительно: "&amp;O763,"")&amp;".")</f>
        <v/>
      </c>
    </row>
    <row r="764">
      <c r="A764" s="75" t="n"/>
      <c r="B764" s="75" t="n"/>
      <c r="C764" s="261" t="n"/>
      <c r="D764" s="261" t="n"/>
      <c r="E764" s="262">
        <f>IF(OR(C764="",D764=""),"",D764-C764)</f>
        <v/>
      </c>
      <c r="F764" s="75" t="n"/>
      <c r="G764" s="75" t="n"/>
      <c r="H764" s="75" t="n"/>
      <c r="I764" s="75" t="n"/>
      <c r="J764" s="75" t="n"/>
      <c r="K764" s="75" t="n"/>
      <c r="L764" s="75" t="n"/>
      <c r="M764" s="75" t="n"/>
      <c r="N764" s="75" t="n"/>
      <c r="O764" s="75" t="n"/>
      <c r="P764" s="75" t="n"/>
      <c r="Q764" s="75" t="n"/>
      <c r="R764" s="75" t="n"/>
      <c r="S764" s="75" t="n"/>
      <c r="T764" s="75" t="n"/>
      <c r="U764" s="75" t="n"/>
      <c r="V764" s="75" t="n"/>
      <c r="W764" s="75" t="n"/>
      <c r="X764" s="75" t="n"/>
      <c r="Y764" s="226">
        <f>IF(AND(A764="",B764=""),"",IF(AND(A764&lt;&gt;"",B764&lt;&gt;"",C764&lt;&gt;"",D764&lt;&gt;"",F764&lt;&gt;"",G764&lt;&gt;"",H764&lt;&gt;"",ISERROR(SEARCH("по паспорту",G764)),ISERROR(SEARCH("по паспорту",H764)),I764&lt;&gt;"",J764&lt;&gt;"",K764&lt;&gt;"",L764&lt;&gt;"",M764&lt;&gt;""),"ГОТОВО","НЕ ГОТОВО"))</f>
        <v/>
      </c>
      <c r="Z764" s="226">
        <f>IF(Y764&lt;&gt;"ГОТОВО","", "Предварительное заключение: "&amp;A764&amp;", скв. "&amp;B764&amp;". МРП: "&amp;E764&amp;" сут. ГНО: "&amp;F764&amp;", типоразмер "&amp;G764&amp;", марка "&amp;H764&amp;". Событие: "&amp;I764&amp;". Признак: "&amp;J764&amp;". Узел: "&amp;K764&amp;". Предварительная причина: "&amp;L764&amp;". Основное осложнение: "&amp;M764&amp;IF(N764&lt;&gt;"","; сопутствующее: "&amp;N764,"")&amp;IF(O764&lt;&gt;"","; дополнительно: "&amp;O764,"")&amp;".")</f>
        <v/>
      </c>
    </row>
    <row r="765">
      <c r="A765" s="75" t="n"/>
      <c r="B765" s="75" t="n"/>
      <c r="C765" s="261" t="n"/>
      <c r="D765" s="261" t="n"/>
      <c r="E765" s="262">
        <f>IF(OR(C765="",D765=""),"",D765-C765)</f>
        <v/>
      </c>
      <c r="F765" s="75" t="n"/>
      <c r="G765" s="75" t="n"/>
      <c r="H765" s="75" t="n"/>
      <c r="I765" s="75" t="n"/>
      <c r="J765" s="75" t="n"/>
      <c r="K765" s="75" t="n"/>
      <c r="L765" s="75" t="n"/>
      <c r="M765" s="75" t="n"/>
      <c r="N765" s="75" t="n"/>
      <c r="O765" s="75" t="n"/>
      <c r="P765" s="75" t="n"/>
      <c r="Q765" s="75" t="n"/>
      <c r="R765" s="75" t="n"/>
      <c r="S765" s="75" t="n"/>
      <c r="T765" s="75" t="n"/>
      <c r="U765" s="75" t="n"/>
      <c r="V765" s="75" t="n"/>
      <c r="W765" s="75" t="n"/>
      <c r="X765" s="75" t="n"/>
      <c r="Y765" s="226">
        <f>IF(AND(A765="",B765=""),"",IF(AND(A765&lt;&gt;"",B765&lt;&gt;"",C765&lt;&gt;"",D765&lt;&gt;"",F765&lt;&gt;"",G765&lt;&gt;"",H765&lt;&gt;"",ISERROR(SEARCH("по паспорту",G765)),ISERROR(SEARCH("по паспорту",H765)),I765&lt;&gt;"",J765&lt;&gt;"",K765&lt;&gt;"",L765&lt;&gt;"",M765&lt;&gt;""),"ГОТОВО","НЕ ГОТОВО"))</f>
        <v/>
      </c>
      <c r="Z765" s="226">
        <f>IF(Y765&lt;&gt;"ГОТОВО","", "Предварительное заключение: "&amp;A765&amp;", скв. "&amp;B765&amp;". МРП: "&amp;E765&amp;" сут. ГНО: "&amp;F765&amp;", типоразмер "&amp;G765&amp;", марка "&amp;H765&amp;". Событие: "&amp;I765&amp;". Признак: "&amp;J765&amp;". Узел: "&amp;K765&amp;". Предварительная причина: "&amp;L765&amp;". Основное осложнение: "&amp;M765&amp;IF(N765&lt;&gt;"","; сопутствующее: "&amp;N765,"")&amp;IF(O765&lt;&gt;"","; дополнительно: "&amp;O765,"")&amp;".")</f>
        <v/>
      </c>
    </row>
    <row r="766">
      <c r="A766" s="75" t="n"/>
      <c r="B766" s="75" t="n"/>
      <c r="C766" s="261" t="n"/>
      <c r="D766" s="261" t="n"/>
      <c r="E766" s="262">
        <f>IF(OR(C766="",D766=""),"",D766-C766)</f>
        <v/>
      </c>
      <c r="F766" s="75" t="n"/>
      <c r="G766" s="75" t="n"/>
      <c r="H766" s="75" t="n"/>
      <c r="I766" s="75" t="n"/>
      <c r="J766" s="75" t="n"/>
      <c r="K766" s="75" t="n"/>
      <c r="L766" s="75" t="n"/>
      <c r="M766" s="75" t="n"/>
      <c r="N766" s="75" t="n"/>
      <c r="O766" s="75" t="n"/>
      <c r="P766" s="75" t="n"/>
      <c r="Q766" s="75" t="n"/>
      <c r="R766" s="75" t="n"/>
      <c r="S766" s="75" t="n"/>
      <c r="T766" s="75" t="n"/>
      <c r="U766" s="75" t="n"/>
      <c r="V766" s="75" t="n"/>
      <c r="W766" s="75" t="n"/>
      <c r="X766" s="75" t="n"/>
      <c r="Y766" s="226">
        <f>IF(AND(A766="",B766=""),"",IF(AND(A766&lt;&gt;"",B766&lt;&gt;"",C766&lt;&gt;"",D766&lt;&gt;"",F766&lt;&gt;"",G766&lt;&gt;"",H766&lt;&gt;"",ISERROR(SEARCH("по паспорту",G766)),ISERROR(SEARCH("по паспорту",H766)),I766&lt;&gt;"",J766&lt;&gt;"",K766&lt;&gt;"",L766&lt;&gt;"",M766&lt;&gt;""),"ГОТОВО","НЕ ГОТОВО"))</f>
        <v/>
      </c>
      <c r="Z766" s="226">
        <f>IF(Y766&lt;&gt;"ГОТОВО","", "Предварительное заключение: "&amp;A766&amp;", скв. "&amp;B766&amp;". МРП: "&amp;E766&amp;" сут. ГНО: "&amp;F766&amp;", типоразмер "&amp;G766&amp;", марка "&amp;H766&amp;". Событие: "&amp;I766&amp;". Признак: "&amp;J766&amp;". Узел: "&amp;K766&amp;". Предварительная причина: "&amp;L766&amp;". Основное осложнение: "&amp;M766&amp;IF(N766&lt;&gt;"","; сопутствующее: "&amp;N766,"")&amp;IF(O766&lt;&gt;"","; дополнительно: "&amp;O766,"")&amp;".")</f>
        <v/>
      </c>
    </row>
    <row r="767">
      <c r="A767" s="75" t="n"/>
      <c r="B767" s="75" t="n"/>
      <c r="C767" s="261" t="n"/>
      <c r="D767" s="261" t="n"/>
      <c r="E767" s="262">
        <f>IF(OR(C767="",D767=""),"",D767-C767)</f>
        <v/>
      </c>
      <c r="F767" s="75" t="n"/>
      <c r="G767" s="75" t="n"/>
      <c r="H767" s="75" t="n"/>
      <c r="I767" s="75" t="n"/>
      <c r="J767" s="75" t="n"/>
      <c r="K767" s="75" t="n"/>
      <c r="L767" s="75" t="n"/>
      <c r="M767" s="75" t="n"/>
      <c r="N767" s="75" t="n"/>
      <c r="O767" s="75" t="n"/>
      <c r="P767" s="75" t="n"/>
      <c r="Q767" s="75" t="n"/>
      <c r="R767" s="75" t="n"/>
      <c r="S767" s="75" t="n"/>
      <c r="T767" s="75" t="n"/>
      <c r="U767" s="75" t="n"/>
      <c r="V767" s="75" t="n"/>
      <c r="W767" s="75" t="n"/>
      <c r="X767" s="75" t="n"/>
      <c r="Y767" s="226">
        <f>IF(AND(A767="",B767=""),"",IF(AND(A767&lt;&gt;"",B767&lt;&gt;"",C767&lt;&gt;"",D767&lt;&gt;"",F767&lt;&gt;"",G767&lt;&gt;"",H767&lt;&gt;"",ISERROR(SEARCH("по паспорту",G767)),ISERROR(SEARCH("по паспорту",H767)),I767&lt;&gt;"",J767&lt;&gt;"",K767&lt;&gt;"",L767&lt;&gt;"",M767&lt;&gt;""),"ГОТОВО","НЕ ГОТОВО"))</f>
        <v/>
      </c>
      <c r="Z767" s="226">
        <f>IF(Y767&lt;&gt;"ГОТОВО","", "Предварительное заключение: "&amp;A767&amp;", скв. "&amp;B767&amp;". МРП: "&amp;E767&amp;" сут. ГНО: "&amp;F767&amp;", типоразмер "&amp;G767&amp;", марка "&amp;H767&amp;". Событие: "&amp;I767&amp;". Признак: "&amp;J767&amp;". Узел: "&amp;K767&amp;". Предварительная причина: "&amp;L767&amp;". Основное осложнение: "&amp;M767&amp;IF(N767&lt;&gt;"","; сопутствующее: "&amp;N767,"")&amp;IF(O767&lt;&gt;"","; дополнительно: "&amp;O767,"")&amp;".")</f>
        <v/>
      </c>
    </row>
    <row r="768">
      <c r="A768" s="75" t="n"/>
      <c r="B768" s="75" t="n"/>
      <c r="C768" s="261" t="n"/>
      <c r="D768" s="261" t="n"/>
      <c r="E768" s="262">
        <f>IF(OR(C768="",D768=""),"",D768-C768)</f>
        <v/>
      </c>
      <c r="F768" s="75" t="n"/>
      <c r="G768" s="75" t="n"/>
      <c r="H768" s="75" t="n"/>
      <c r="I768" s="75" t="n"/>
      <c r="J768" s="75" t="n"/>
      <c r="K768" s="75" t="n"/>
      <c r="L768" s="75" t="n"/>
      <c r="M768" s="75" t="n"/>
      <c r="N768" s="75" t="n"/>
      <c r="O768" s="75" t="n"/>
      <c r="P768" s="75" t="n"/>
      <c r="Q768" s="75" t="n"/>
      <c r="R768" s="75" t="n"/>
      <c r="S768" s="75" t="n"/>
      <c r="T768" s="75" t="n"/>
      <c r="U768" s="75" t="n"/>
      <c r="V768" s="75" t="n"/>
      <c r="W768" s="75" t="n"/>
      <c r="X768" s="75" t="n"/>
      <c r="Y768" s="226">
        <f>IF(AND(A768="",B768=""),"",IF(AND(A768&lt;&gt;"",B768&lt;&gt;"",C768&lt;&gt;"",D768&lt;&gt;"",F768&lt;&gt;"",G768&lt;&gt;"",H768&lt;&gt;"",ISERROR(SEARCH("по паспорту",G768)),ISERROR(SEARCH("по паспорту",H768)),I768&lt;&gt;"",J768&lt;&gt;"",K768&lt;&gt;"",L768&lt;&gt;"",M768&lt;&gt;""),"ГОТОВО","НЕ ГОТОВО"))</f>
        <v/>
      </c>
      <c r="Z768" s="226">
        <f>IF(Y768&lt;&gt;"ГОТОВО","", "Предварительное заключение: "&amp;A768&amp;", скв. "&amp;B768&amp;". МРП: "&amp;E768&amp;" сут. ГНО: "&amp;F768&amp;", типоразмер "&amp;G768&amp;", марка "&amp;H768&amp;". Событие: "&amp;I768&amp;". Признак: "&amp;J768&amp;". Узел: "&amp;K768&amp;". Предварительная причина: "&amp;L768&amp;". Основное осложнение: "&amp;M768&amp;IF(N768&lt;&gt;"","; сопутствующее: "&amp;N768,"")&amp;IF(O768&lt;&gt;"","; дополнительно: "&amp;O768,"")&amp;".")</f>
        <v/>
      </c>
    </row>
    <row r="769">
      <c r="A769" s="75" t="n"/>
      <c r="B769" s="75" t="n"/>
      <c r="C769" s="261" t="n"/>
      <c r="D769" s="261" t="n"/>
      <c r="E769" s="262">
        <f>IF(OR(C769="",D769=""),"",D769-C769)</f>
        <v/>
      </c>
      <c r="F769" s="75" t="n"/>
      <c r="G769" s="75" t="n"/>
      <c r="H769" s="75" t="n"/>
      <c r="I769" s="75" t="n"/>
      <c r="J769" s="75" t="n"/>
      <c r="K769" s="75" t="n"/>
      <c r="L769" s="75" t="n"/>
      <c r="M769" s="75" t="n"/>
      <c r="N769" s="75" t="n"/>
      <c r="O769" s="75" t="n"/>
      <c r="P769" s="75" t="n"/>
      <c r="Q769" s="75" t="n"/>
      <c r="R769" s="75" t="n"/>
      <c r="S769" s="75" t="n"/>
      <c r="T769" s="75" t="n"/>
      <c r="U769" s="75" t="n"/>
      <c r="V769" s="75" t="n"/>
      <c r="W769" s="75" t="n"/>
      <c r="X769" s="75" t="n"/>
      <c r="Y769" s="226">
        <f>IF(AND(A769="",B769=""),"",IF(AND(A769&lt;&gt;"",B769&lt;&gt;"",C769&lt;&gt;"",D769&lt;&gt;"",F769&lt;&gt;"",G769&lt;&gt;"",H769&lt;&gt;"",ISERROR(SEARCH("по паспорту",G769)),ISERROR(SEARCH("по паспорту",H769)),I769&lt;&gt;"",J769&lt;&gt;"",K769&lt;&gt;"",L769&lt;&gt;"",M769&lt;&gt;""),"ГОТОВО","НЕ ГОТОВО"))</f>
        <v/>
      </c>
      <c r="Z769" s="226">
        <f>IF(Y769&lt;&gt;"ГОТОВО","", "Предварительное заключение: "&amp;A769&amp;", скв. "&amp;B769&amp;". МРП: "&amp;E769&amp;" сут. ГНО: "&amp;F769&amp;", типоразмер "&amp;G769&amp;", марка "&amp;H769&amp;". Событие: "&amp;I769&amp;". Признак: "&amp;J769&amp;". Узел: "&amp;K769&amp;". Предварительная причина: "&amp;L769&amp;". Основное осложнение: "&amp;M769&amp;IF(N769&lt;&gt;"","; сопутствующее: "&amp;N769,"")&amp;IF(O769&lt;&gt;"","; дополнительно: "&amp;O769,"")&amp;".")</f>
        <v/>
      </c>
    </row>
    <row r="770">
      <c r="A770" s="75" t="n"/>
      <c r="B770" s="75" t="n"/>
      <c r="C770" s="261" t="n"/>
      <c r="D770" s="261" t="n"/>
      <c r="E770" s="262">
        <f>IF(OR(C770="",D770=""),"",D770-C770)</f>
        <v/>
      </c>
      <c r="F770" s="75" t="n"/>
      <c r="G770" s="75" t="n"/>
      <c r="H770" s="75" t="n"/>
      <c r="I770" s="75" t="n"/>
      <c r="J770" s="75" t="n"/>
      <c r="K770" s="75" t="n"/>
      <c r="L770" s="75" t="n"/>
      <c r="M770" s="75" t="n"/>
      <c r="N770" s="75" t="n"/>
      <c r="O770" s="75" t="n"/>
      <c r="P770" s="75" t="n"/>
      <c r="Q770" s="75" t="n"/>
      <c r="R770" s="75" t="n"/>
      <c r="S770" s="75" t="n"/>
      <c r="T770" s="75" t="n"/>
      <c r="U770" s="75" t="n"/>
      <c r="V770" s="75" t="n"/>
      <c r="W770" s="75" t="n"/>
      <c r="X770" s="75" t="n"/>
      <c r="Y770" s="226">
        <f>IF(AND(A770="",B770=""),"",IF(AND(A770&lt;&gt;"",B770&lt;&gt;"",C770&lt;&gt;"",D770&lt;&gt;"",F770&lt;&gt;"",G770&lt;&gt;"",H770&lt;&gt;"",ISERROR(SEARCH("по паспорту",G770)),ISERROR(SEARCH("по паспорту",H770)),I770&lt;&gt;"",J770&lt;&gt;"",K770&lt;&gt;"",L770&lt;&gt;"",M770&lt;&gt;""),"ГОТОВО","НЕ ГОТОВО"))</f>
        <v/>
      </c>
      <c r="Z770" s="226">
        <f>IF(Y770&lt;&gt;"ГОТОВО","", "Предварительное заключение: "&amp;A770&amp;", скв. "&amp;B770&amp;". МРП: "&amp;E770&amp;" сут. ГНО: "&amp;F770&amp;", типоразмер "&amp;G770&amp;", марка "&amp;H770&amp;". Событие: "&amp;I770&amp;". Признак: "&amp;J770&amp;". Узел: "&amp;K770&amp;". Предварительная причина: "&amp;L770&amp;". Основное осложнение: "&amp;M770&amp;IF(N770&lt;&gt;"","; сопутствующее: "&amp;N770,"")&amp;IF(O770&lt;&gt;"","; дополнительно: "&amp;O770,"")&amp;".")</f>
        <v/>
      </c>
    </row>
    <row r="771">
      <c r="A771" s="75" t="n"/>
      <c r="B771" s="75" t="n"/>
      <c r="C771" s="261" t="n"/>
      <c r="D771" s="261" t="n"/>
      <c r="E771" s="262">
        <f>IF(OR(C771="",D771=""),"",D771-C771)</f>
        <v/>
      </c>
      <c r="F771" s="75" t="n"/>
      <c r="G771" s="75" t="n"/>
      <c r="H771" s="75" t="n"/>
      <c r="I771" s="75" t="n"/>
      <c r="J771" s="75" t="n"/>
      <c r="K771" s="75" t="n"/>
      <c r="L771" s="75" t="n"/>
      <c r="M771" s="75" t="n"/>
      <c r="N771" s="75" t="n"/>
      <c r="O771" s="75" t="n"/>
      <c r="P771" s="75" t="n"/>
      <c r="Q771" s="75" t="n"/>
      <c r="R771" s="75" t="n"/>
      <c r="S771" s="75" t="n"/>
      <c r="T771" s="75" t="n"/>
      <c r="U771" s="75" t="n"/>
      <c r="V771" s="75" t="n"/>
      <c r="W771" s="75" t="n"/>
      <c r="X771" s="75" t="n"/>
      <c r="Y771" s="226">
        <f>IF(AND(A771="",B771=""),"",IF(AND(A771&lt;&gt;"",B771&lt;&gt;"",C771&lt;&gt;"",D771&lt;&gt;"",F771&lt;&gt;"",G771&lt;&gt;"",H771&lt;&gt;"",ISERROR(SEARCH("по паспорту",G771)),ISERROR(SEARCH("по паспорту",H771)),I771&lt;&gt;"",J771&lt;&gt;"",K771&lt;&gt;"",L771&lt;&gt;"",M771&lt;&gt;""),"ГОТОВО","НЕ ГОТОВО"))</f>
        <v/>
      </c>
      <c r="Z771" s="226">
        <f>IF(Y771&lt;&gt;"ГОТОВО","", "Предварительное заключение: "&amp;A771&amp;", скв. "&amp;B771&amp;". МРП: "&amp;E771&amp;" сут. ГНО: "&amp;F771&amp;", типоразмер "&amp;G771&amp;", марка "&amp;H771&amp;". Событие: "&amp;I771&amp;". Признак: "&amp;J771&amp;". Узел: "&amp;K771&amp;". Предварительная причина: "&amp;L771&amp;". Основное осложнение: "&amp;M771&amp;IF(N771&lt;&gt;"","; сопутствующее: "&amp;N771,"")&amp;IF(O771&lt;&gt;"","; дополнительно: "&amp;O771,"")&amp;".")</f>
        <v/>
      </c>
    </row>
    <row r="772">
      <c r="A772" s="75" t="n"/>
      <c r="B772" s="75" t="n"/>
      <c r="C772" s="261" t="n"/>
      <c r="D772" s="261" t="n"/>
      <c r="E772" s="262">
        <f>IF(OR(C772="",D772=""),"",D772-C772)</f>
        <v/>
      </c>
      <c r="F772" s="75" t="n"/>
      <c r="G772" s="75" t="n"/>
      <c r="H772" s="75" t="n"/>
      <c r="I772" s="75" t="n"/>
      <c r="J772" s="75" t="n"/>
      <c r="K772" s="75" t="n"/>
      <c r="L772" s="75" t="n"/>
      <c r="M772" s="75" t="n"/>
      <c r="N772" s="75" t="n"/>
      <c r="O772" s="75" t="n"/>
      <c r="P772" s="75" t="n"/>
      <c r="Q772" s="75" t="n"/>
      <c r="R772" s="75" t="n"/>
      <c r="S772" s="75" t="n"/>
      <c r="T772" s="75" t="n"/>
      <c r="U772" s="75" t="n"/>
      <c r="V772" s="75" t="n"/>
      <c r="W772" s="75" t="n"/>
      <c r="X772" s="75" t="n"/>
      <c r="Y772" s="226">
        <f>IF(AND(A772="",B772=""),"",IF(AND(A772&lt;&gt;"",B772&lt;&gt;"",C772&lt;&gt;"",D772&lt;&gt;"",F772&lt;&gt;"",G772&lt;&gt;"",H772&lt;&gt;"",ISERROR(SEARCH("по паспорту",G772)),ISERROR(SEARCH("по паспорту",H772)),I772&lt;&gt;"",J772&lt;&gt;"",K772&lt;&gt;"",L772&lt;&gt;"",M772&lt;&gt;""),"ГОТОВО","НЕ ГОТОВО"))</f>
        <v/>
      </c>
      <c r="Z772" s="226">
        <f>IF(Y772&lt;&gt;"ГОТОВО","", "Предварительное заключение: "&amp;A772&amp;", скв. "&amp;B772&amp;". МРП: "&amp;E772&amp;" сут. ГНО: "&amp;F772&amp;", типоразмер "&amp;G772&amp;", марка "&amp;H772&amp;". Событие: "&amp;I772&amp;". Признак: "&amp;J772&amp;". Узел: "&amp;K772&amp;". Предварительная причина: "&amp;L772&amp;". Основное осложнение: "&amp;M772&amp;IF(N772&lt;&gt;"","; сопутствующее: "&amp;N772,"")&amp;IF(O772&lt;&gt;"","; дополнительно: "&amp;O772,"")&amp;".")</f>
        <v/>
      </c>
    </row>
    <row r="773">
      <c r="A773" s="75" t="n"/>
      <c r="B773" s="75" t="n"/>
      <c r="C773" s="261" t="n"/>
      <c r="D773" s="261" t="n"/>
      <c r="E773" s="262">
        <f>IF(OR(C773="",D773=""),"",D773-C773)</f>
        <v/>
      </c>
      <c r="F773" s="75" t="n"/>
      <c r="G773" s="75" t="n"/>
      <c r="H773" s="75" t="n"/>
      <c r="I773" s="75" t="n"/>
      <c r="J773" s="75" t="n"/>
      <c r="K773" s="75" t="n"/>
      <c r="L773" s="75" t="n"/>
      <c r="M773" s="75" t="n"/>
      <c r="N773" s="75" t="n"/>
      <c r="O773" s="75" t="n"/>
      <c r="P773" s="75" t="n"/>
      <c r="Q773" s="75" t="n"/>
      <c r="R773" s="75" t="n"/>
      <c r="S773" s="75" t="n"/>
      <c r="T773" s="75" t="n"/>
      <c r="U773" s="75" t="n"/>
      <c r="V773" s="75" t="n"/>
      <c r="W773" s="75" t="n"/>
      <c r="X773" s="75" t="n"/>
      <c r="Y773" s="226">
        <f>IF(AND(A773="",B773=""),"",IF(AND(A773&lt;&gt;"",B773&lt;&gt;"",C773&lt;&gt;"",D773&lt;&gt;"",F773&lt;&gt;"",G773&lt;&gt;"",H773&lt;&gt;"",ISERROR(SEARCH("по паспорту",G773)),ISERROR(SEARCH("по паспорту",H773)),I773&lt;&gt;"",J773&lt;&gt;"",K773&lt;&gt;"",L773&lt;&gt;"",M773&lt;&gt;""),"ГОТОВО","НЕ ГОТОВО"))</f>
        <v/>
      </c>
      <c r="Z773" s="226">
        <f>IF(Y773&lt;&gt;"ГОТОВО","", "Предварительное заключение: "&amp;A773&amp;", скв. "&amp;B773&amp;". МРП: "&amp;E773&amp;" сут. ГНО: "&amp;F773&amp;", типоразмер "&amp;G773&amp;", марка "&amp;H773&amp;". Событие: "&amp;I773&amp;". Признак: "&amp;J773&amp;". Узел: "&amp;K773&amp;". Предварительная причина: "&amp;L773&amp;". Основное осложнение: "&amp;M773&amp;IF(N773&lt;&gt;"","; сопутствующее: "&amp;N773,"")&amp;IF(O773&lt;&gt;"","; дополнительно: "&amp;O773,"")&amp;".")</f>
        <v/>
      </c>
    </row>
    <row r="774">
      <c r="A774" s="75" t="n"/>
      <c r="B774" s="75" t="n"/>
      <c r="C774" s="261" t="n"/>
      <c r="D774" s="261" t="n"/>
      <c r="E774" s="262">
        <f>IF(OR(C774="",D774=""),"",D774-C774)</f>
        <v/>
      </c>
      <c r="F774" s="75" t="n"/>
      <c r="G774" s="75" t="n"/>
      <c r="H774" s="75" t="n"/>
      <c r="I774" s="75" t="n"/>
      <c r="J774" s="75" t="n"/>
      <c r="K774" s="75" t="n"/>
      <c r="L774" s="75" t="n"/>
      <c r="M774" s="75" t="n"/>
      <c r="N774" s="75" t="n"/>
      <c r="O774" s="75" t="n"/>
      <c r="P774" s="75" t="n"/>
      <c r="Q774" s="75" t="n"/>
      <c r="R774" s="75" t="n"/>
      <c r="S774" s="75" t="n"/>
      <c r="T774" s="75" t="n"/>
      <c r="U774" s="75" t="n"/>
      <c r="V774" s="75" t="n"/>
      <c r="W774" s="75" t="n"/>
      <c r="X774" s="75" t="n"/>
      <c r="Y774" s="226">
        <f>IF(AND(A774="",B774=""),"",IF(AND(A774&lt;&gt;"",B774&lt;&gt;"",C774&lt;&gt;"",D774&lt;&gt;"",F774&lt;&gt;"",G774&lt;&gt;"",H774&lt;&gt;"",ISERROR(SEARCH("по паспорту",G774)),ISERROR(SEARCH("по паспорту",H774)),I774&lt;&gt;"",J774&lt;&gt;"",K774&lt;&gt;"",L774&lt;&gt;"",M774&lt;&gt;""),"ГОТОВО","НЕ ГОТОВО"))</f>
        <v/>
      </c>
      <c r="Z774" s="226">
        <f>IF(Y774&lt;&gt;"ГОТОВО","", "Предварительное заключение: "&amp;A774&amp;", скв. "&amp;B774&amp;". МРП: "&amp;E774&amp;" сут. ГНО: "&amp;F774&amp;", типоразмер "&amp;G774&amp;", марка "&amp;H774&amp;". Событие: "&amp;I774&amp;". Признак: "&amp;J774&amp;". Узел: "&amp;K774&amp;". Предварительная причина: "&amp;L774&amp;". Основное осложнение: "&amp;M774&amp;IF(N774&lt;&gt;"","; сопутствующее: "&amp;N774,"")&amp;IF(O774&lt;&gt;"","; дополнительно: "&amp;O774,"")&amp;".")</f>
        <v/>
      </c>
    </row>
    <row r="775">
      <c r="A775" s="75" t="n"/>
      <c r="B775" s="75" t="n"/>
      <c r="C775" s="261" t="n"/>
      <c r="D775" s="261" t="n"/>
      <c r="E775" s="262">
        <f>IF(OR(C775="",D775=""),"",D775-C775)</f>
        <v/>
      </c>
      <c r="F775" s="75" t="n"/>
      <c r="G775" s="75" t="n"/>
      <c r="H775" s="75" t="n"/>
      <c r="I775" s="75" t="n"/>
      <c r="J775" s="75" t="n"/>
      <c r="K775" s="75" t="n"/>
      <c r="L775" s="75" t="n"/>
      <c r="M775" s="75" t="n"/>
      <c r="N775" s="75" t="n"/>
      <c r="O775" s="75" t="n"/>
      <c r="P775" s="75" t="n"/>
      <c r="Q775" s="75" t="n"/>
      <c r="R775" s="75" t="n"/>
      <c r="S775" s="75" t="n"/>
      <c r="T775" s="75" t="n"/>
      <c r="U775" s="75" t="n"/>
      <c r="V775" s="75" t="n"/>
      <c r="W775" s="75" t="n"/>
      <c r="X775" s="75" t="n"/>
      <c r="Y775" s="226">
        <f>IF(AND(A775="",B775=""),"",IF(AND(A775&lt;&gt;"",B775&lt;&gt;"",C775&lt;&gt;"",D775&lt;&gt;"",F775&lt;&gt;"",G775&lt;&gt;"",H775&lt;&gt;"",ISERROR(SEARCH("по паспорту",G775)),ISERROR(SEARCH("по паспорту",H775)),I775&lt;&gt;"",J775&lt;&gt;"",K775&lt;&gt;"",L775&lt;&gt;"",M775&lt;&gt;""),"ГОТОВО","НЕ ГОТОВО"))</f>
        <v/>
      </c>
      <c r="Z775" s="226">
        <f>IF(Y775&lt;&gt;"ГОТОВО","", "Предварительное заключение: "&amp;A775&amp;", скв. "&amp;B775&amp;". МРП: "&amp;E775&amp;" сут. ГНО: "&amp;F775&amp;", типоразмер "&amp;G775&amp;", марка "&amp;H775&amp;". Событие: "&amp;I775&amp;". Признак: "&amp;J775&amp;". Узел: "&amp;K775&amp;". Предварительная причина: "&amp;L775&amp;". Основное осложнение: "&amp;M775&amp;IF(N775&lt;&gt;"","; сопутствующее: "&amp;N775,"")&amp;IF(O775&lt;&gt;"","; дополнительно: "&amp;O775,"")&amp;".")</f>
        <v/>
      </c>
    </row>
    <row r="776">
      <c r="A776" s="75" t="n"/>
      <c r="B776" s="75" t="n"/>
      <c r="C776" s="261" t="n"/>
      <c r="D776" s="261" t="n"/>
      <c r="E776" s="262">
        <f>IF(OR(C776="",D776=""),"",D776-C776)</f>
        <v/>
      </c>
      <c r="F776" s="75" t="n"/>
      <c r="G776" s="75" t="n"/>
      <c r="H776" s="75" t="n"/>
      <c r="I776" s="75" t="n"/>
      <c r="J776" s="75" t="n"/>
      <c r="K776" s="75" t="n"/>
      <c r="L776" s="75" t="n"/>
      <c r="M776" s="75" t="n"/>
      <c r="N776" s="75" t="n"/>
      <c r="O776" s="75" t="n"/>
      <c r="P776" s="75" t="n"/>
      <c r="Q776" s="75" t="n"/>
      <c r="R776" s="75" t="n"/>
      <c r="S776" s="75" t="n"/>
      <c r="T776" s="75" t="n"/>
      <c r="U776" s="75" t="n"/>
      <c r="V776" s="75" t="n"/>
      <c r="W776" s="75" t="n"/>
      <c r="X776" s="75" t="n"/>
      <c r="Y776" s="226">
        <f>IF(AND(A776="",B776=""),"",IF(AND(A776&lt;&gt;"",B776&lt;&gt;"",C776&lt;&gt;"",D776&lt;&gt;"",F776&lt;&gt;"",G776&lt;&gt;"",H776&lt;&gt;"",ISERROR(SEARCH("по паспорту",G776)),ISERROR(SEARCH("по паспорту",H776)),I776&lt;&gt;"",J776&lt;&gt;"",K776&lt;&gt;"",L776&lt;&gt;"",M776&lt;&gt;""),"ГОТОВО","НЕ ГОТОВО"))</f>
        <v/>
      </c>
      <c r="Z776" s="226">
        <f>IF(Y776&lt;&gt;"ГОТОВО","", "Предварительное заключение: "&amp;A776&amp;", скв. "&amp;B776&amp;". МРП: "&amp;E776&amp;" сут. ГНО: "&amp;F776&amp;", типоразмер "&amp;G776&amp;", марка "&amp;H776&amp;". Событие: "&amp;I776&amp;". Признак: "&amp;J776&amp;". Узел: "&amp;K776&amp;". Предварительная причина: "&amp;L776&amp;". Основное осложнение: "&amp;M776&amp;IF(N776&lt;&gt;"","; сопутствующее: "&amp;N776,"")&amp;IF(O776&lt;&gt;"","; дополнительно: "&amp;O776,"")&amp;".")</f>
        <v/>
      </c>
    </row>
    <row r="777">
      <c r="A777" s="75" t="n"/>
      <c r="B777" s="75" t="n"/>
      <c r="C777" s="261" t="n"/>
      <c r="D777" s="261" t="n"/>
      <c r="E777" s="262">
        <f>IF(OR(C777="",D777=""),"",D777-C777)</f>
        <v/>
      </c>
      <c r="F777" s="75" t="n"/>
      <c r="G777" s="75" t="n"/>
      <c r="H777" s="75" t="n"/>
      <c r="I777" s="75" t="n"/>
      <c r="J777" s="75" t="n"/>
      <c r="K777" s="75" t="n"/>
      <c r="L777" s="75" t="n"/>
      <c r="M777" s="75" t="n"/>
      <c r="N777" s="75" t="n"/>
      <c r="O777" s="75" t="n"/>
      <c r="P777" s="75" t="n"/>
      <c r="Q777" s="75" t="n"/>
      <c r="R777" s="75" t="n"/>
      <c r="S777" s="75" t="n"/>
      <c r="T777" s="75" t="n"/>
      <c r="U777" s="75" t="n"/>
      <c r="V777" s="75" t="n"/>
      <c r="W777" s="75" t="n"/>
      <c r="X777" s="75" t="n"/>
      <c r="Y777" s="226">
        <f>IF(AND(A777="",B777=""),"",IF(AND(A777&lt;&gt;"",B777&lt;&gt;"",C777&lt;&gt;"",D777&lt;&gt;"",F777&lt;&gt;"",G777&lt;&gt;"",H777&lt;&gt;"",ISERROR(SEARCH("по паспорту",G777)),ISERROR(SEARCH("по паспорту",H777)),I777&lt;&gt;"",J777&lt;&gt;"",K777&lt;&gt;"",L777&lt;&gt;"",M777&lt;&gt;""),"ГОТОВО","НЕ ГОТОВО"))</f>
        <v/>
      </c>
      <c r="Z777" s="226">
        <f>IF(Y777&lt;&gt;"ГОТОВО","", "Предварительное заключение: "&amp;A777&amp;", скв. "&amp;B777&amp;". МРП: "&amp;E777&amp;" сут. ГНО: "&amp;F777&amp;", типоразмер "&amp;G777&amp;", марка "&amp;H777&amp;". Событие: "&amp;I777&amp;". Признак: "&amp;J777&amp;". Узел: "&amp;K777&amp;". Предварительная причина: "&amp;L777&amp;". Основное осложнение: "&amp;M777&amp;IF(N777&lt;&gt;"","; сопутствующее: "&amp;N777,"")&amp;IF(O777&lt;&gt;"","; дополнительно: "&amp;O777,"")&amp;".")</f>
        <v/>
      </c>
    </row>
    <row r="778">
      <c r="A778" s="75" t="n"/>
      <c r="B778" s="75" t="n"/>
      <c r="C778" s="261" t="n"/>
      <c r="D778" s="261" t="n"/>
      <c r="E778" s="262">
        <f>IF(OR(C778="",D778=""),"",D778-C778)</f>
        <v/>
      </c>
      <c r="F778" s="75" t="n"/>
      <c r="G778" s="75" t="n"/>
      <c r="H778" s="75" t="n"/>
      <c r="I778" s="75" t="n"/>
      <c r="J778" s="75" t="n"/>
      <c r="K778" s="75" t="n"/>
      <c r="L778" s="75" t="n"/>
      <c r="M778" s="75" t="n"/>
      <c r="N778" s="75" t="n"/>
      <c r="O778" s="75" t="n"/>
      <c r="P778" s="75" t="n"/>
      <c r="Q778" s="75" t="n"/>
      <c r="R778" s="75" t="n"/>
      <c r="S778" s="75" t="n"/>
      <c r="T778" s="75" t="n"/>
      <c r="U778" s="75" t="n"/>
      <c r="V778" s="75" t="n"/>
      <c r="W778" s="75" t="n"/>
      <c r="X778" s="75" t="n"/>
      <c r="Y778" s="226">
        <f>IF(AND(A778="",B778=""),"",IF(AND(A778&lt;&gt;"",B778&lt;&gt;"",C778&lt;&gt;"",D778&lt;&gt;"",F778&lt;&gt;"",G778&lt;&gt;"",H778&lt;&gt;"",ISERROR(SEARCH("по паспорту",G778)),ISERROR(SEARCH("по паспорту",H778)),I778&lt;&gt;"",J778&lt;&gt;"",K778&lt;&gt;"",L778&lt;&gt;"",M778&lt;&gt;""),"ГОТОВО","НЕ ГОТОВО"))</f>
        <v/>
      </c>
      <c r="Z778" s="226">
        <f>IF(Y778&lt;&gt;"ГОТОВО","", "Предварительное заключение: "&amp;A778&amp;", скв. "&amp;B778&amp;". МРП: "&amp;E778&amp;" сут. ГНО: "&amp;F778&amp;", типоразмер "&amp;G778&amp;", марка "&amp;H778&amp;". Событие: "&amp;I778&amp;". Признак: "&amp;J778&amp;". Узел: "&amp;K778&amp;". Предварительная причина: "&amp;L778&amp;". Основное осложнение: "&amp;M778&amp;IF(N778&lt;&gt;"","; сопутствующее: "&amp;N778,"")&amp;IF(O778&lt;&gt;"","; дополнительно: "&amp;O778,"")&amp;".")</f>
        <v/>
      </c>
    </row>
    <row r="779">
      <c r="A779" s="75" t="n"/>
      <c r="B779" s="75" t="n"/>
      <c r="C779" s="261" t="n"/>
      <c r="D779" s="261" t="n"/>
      <c r="E779" s="262">
        <f>IF(OR(C779="",D779=""),"",D779-C779)</f>
        <v/>
      </c>
      <c r="F779" s="75" t="n"/>
      <c r="G779" s="75" t="n"/>
      <c r="H779" s="75" t="n"/>
      <c r="I779" s="75" t="n"/>
      <c r="J779" s="75" t="n"/>
      <c r="K779" s="75" t="n"/>
      <c r="L779" s="75" t="n"/>
      <c r="M779" s="75" t="n"/>
      <c r="N779" s="75" t="n"/>
      <c r="O779" s="75" t="n"/>
      <c r="P779" s="75" t="n"/>
      <c r="Q779" s="75" t="n"/>
      <c r="R779" s="75" t="n"/>
      <c r="S779" s="75" t="n"/>
      <c r="T779" s="75" t="n"/>
      <c r="U779" s="75" t="n"/>
      <c r="V779" s="75" t="n"/>
      <c r="W779" s="75" t="n"/>
      <c r="X779" s="75" t="n"/>
      <c r="Y779" s="226">
        <f>IF(AND(A779="",B779=""),"",IF(AND(A779&lt;&gt;"",B779&lt;&gt;"",C779&lt;&gt;"",D779&lt;&gt;"",F779&lt;&gt;"",G779&lt;&gt;"",H779&lt;&gt;"",ISERROR(SEARCH("по паспорту",G779)),ISERROR(SEARCH("по паспорту",H779)),I779&lt;&gt;"",J779&lt;&gt;"",K779&lt;&gt;"",L779&lt;&gt;"",M779&lt;&gt;""),"ГОТОВО","НЕ ГОТОВО"))</f>
        <v/>
      </c>
      <c r="Z779" s="226">
        <f>IF(Y779&lt;&gt;"ГОТОВО","", "Предварительное заключение: "&amp;A779&amp;", скв. "&amp;B779&amp;". МРП: "&amp;E779&amp;" сут. ГНО: "&amp;F779&amp;", типоразмер "&amp;G779&amp;", марка "&amp;H779&amp;". Событие: "&amp;I779&amp;". Признак: "&amp;J779&amp;". Узел: "&amp;K779&amp;". Предварительная причина: "&amp;L779&amp;". Основное осложнение: "&amp;M779&amp;IF(N779&lt;&gt;"","; сопутствующее: "&amp;N779,"")&amp;IF(O779&lt;&gt;"","; дополнительно: "&amp;O779,"")&amp;".")</f>
        <v/>
      </c>
    </row>
    <row r="780">
      <c r="A780" s="75" t="n"/>
      <c r="B780" s="75" t="n"/>
      <c r="C780" s="261" t="n"/>
      <c r="D780" s="261" t="n"/>
      <c r="E780" s="262">
        <f>IF(OR(C780="",D780=""),"",D780-C780)</f>
        <v/>
      </c>
      <c r="F780" s="75" t="n"/>
      <c r="G780" s="75" t="n"/>
      <c r="H780" s="75" t="n"/>
      <c r="I780" s="75" t="n"/>
      <c r="J780" s="75" t="n"/>
      <c r="K780" s="75" t="n"/>
      <c r="L780" s="75" t="n"/>
      <c r="M780" s="75" t="n"/>
      <c r="N780" s="75" t="n"/>
      <c r="O780" s="75" t="n"/>
      <c r="P780" s="75" t="n"/>
      <c r="Q780" s="75" t="n"/>
      <c r="R780" s="75" t="n"/>
      <c r="S780" s="75" t="n"/>
      <c r="T780" s="75" t="n"/>
      <c r="U780" s="75" t="n"/>
      <c r="V780" s="75" t="n"/>
      <c r="W780" s="75" t="n"/>
      <c r="X780" s="75" t="n"/>
      <c r="Y780" s="226">
        <f>IF(AND(A780="",B780=""),"",IF(AND(A780&lt;&gt;"",B780&lt;&gt;"",C780&lt;&gt;"",D780&lt;&gt;"",F780&lt;&gt;"",G780&lt;&gt;"",H780&lt;&gt;"",ISERROR(SEARCH("по паспорту",G780)),ISERROR(SEARCH("по паспорту",H780)),I780&lt;&gt;"",J780&lt;&gt;"",K780&lt;&gt;"",L780&lt;&gt;"",M780&lt;&gt;""),"ГОТОВО","НЕ ГОТОВО"))</f>
        <v/>
      </c>
      <c r="Z780" s="226">
        <f>IF(Y780&lt;&gt;"ГОТОВО","", "Предварительное заключение: "&amp;A780&amp;", скв. "&amp;B780&amp;". МРП: "&amp;E780&amp;" сут. ГНО: "&amp;F780&amp;", типоразмер "&amp;G780&amp;", марка "&amp;H780&amp;". Событие: "&amp;I780&amp;". Признак: "&amp;J780&amp;". Узел: "&amp;K780&amp;". Предварительная причина: "&amp;L780&amp;". Основное осложнение: "&amp;M780&amp;IF(N780&lt;&gt;"","; сопутствующее: "&amp;N780,"")&amp;IF(O780&lt;&gt;"","; дополнительно: "&amp;O780,"")&amp;".")</f>
        <v/>
      </c>
    </row>
    <row r="781">
      <c r="A781" s="75" t="n"/>
      <c r="B781" s="75" t="n"/>
      <c r="C781" s="261" t="n"/>
      <c r="D781" s="261" t="n"/>
      <c r="E781" s="262">
        <f>IF(OR(C781="",D781=""),"",D781-C781)</f>
        <v/>
      </c>
      <c r="F781" s="75" t="n"/>
      <c r="G781" s="75" t="n"/>
      <c r="H781" s="75" t="n"/>
      <c r="I781" s="75" t="n"/>
      <c r="J781" s="75" t="n"/>
      <c r="K781" s="75" t="n"/>
      <c r="L781" s="75" t="n"/>
      <c r="M781" s="75" t="n"/>
      <c r="N781" s="75" t="n"/>
      <c r="O781" s="75" t="n"/>
      <c r="P781" s="75" t="n"/>
      <c r="Q781" s="75" t="n"/>
      <c r="R781" s="75" t="n"/>
      <c r="S781" s="75" t="n"/>
      <c r="T781" s="75" t="n"/>
      <c r="U781" s="75" t="n"/>
      <c r="V781" s="75" t="n"/>
      <c r="W781" s="75" t="n"/>
      <c r="X781" s="75" t="n"/>
      <c r="Y781" s="226">
        <f>IF(AND(A781="",B781=""),"",IF(AND(A781&lt;&gt;"",B781&lt;&gt;"",C781&lt;&gt;"",D781&lt;&gt;"",F781&lt;&gt;"",G781&lt;&gt;"",H781&lt;&gt;"",ISERROR(SEARCH("по паспорту",G781)),ISERROR(SEARCH("по паспорту",H781)),I781&lt;&gt;"",J781&lt;&gt;"",K781&lt;&gt;"",L781&lt;&gt;"",M781&lt;&gt;""),"ГОТОВО","НЕ ГОТОВО"))</f>
        <v/>
      </c>
      <c r="Z781" s="226">
        <f>IF(Y781&lt;&gt;"ГОТОВО","", "Предварительное заключение: "&amp;A781&amp;", скв. "&amp;B781&amp;". МРП: "&amp;E781&amp;" сут. ГНО: "&amp;F781&amp;", типоразмер "&amp;G781&amp;", марка "&amp;H781&amp;". Событие: "&amp;I781&amp;". Признак: "&amp;J781&amp;". Узел: "&amp;K781&amp;". Предварительная причина: "&amp;L781&amp;". Основное осложнение: "&amp;M781&amp;IF(N781&lt;&gt;"","; сопутствующее: "&amp;N781,"")&amp;IF(O781&lt;&gt;"","; дополнительно: "&amp;O781,"")&amp;".")</f>
        <v/>
      </c>
    </row>
    <row r="782">
      <c r="A782" s="75" t="n"/>
      <c r="B782" s="75" t="n"/>
      <c r="C782" s="261" t="n"/>
      <c r="D782" s="261" t="n"/>
      <c r="E782" s="262">
        <f>IF(OR(C782="",D782=""),"",D782-C782)</f>
        <v/>
      </c>
      <c r="F782" s="75" t="n"/>
      <c r="G782" s="75" t="n"/>
      <c r="H782" s="75" t="n"/>
      <c r="I782" s="75" t="n"/>
      <c r="J782" s="75" t="n"/>
      <c r="K782" s="75" t="n"/>
      <c r="L782" s="75" t="n"/>
      <c r="M782" s="75" t="n"/>
      <c r="N782" s="75" t="n"/>
      <c r="O782" s="75" t="n"/>
      <c r="P782" s="75" t="n"/>
      <c r="Q782" s="75" t="n"/>
      <c r="R782" s="75" t="n"/>
      <c r="S782" s="75" t="n"/>
      <c r="T782" s="75" t="n"/>
      <c r="U782" s="75" t="n"/>
      <c r="V782" s="75" t="n"/>
      <c r="W782" s="75" t="n"/>
      <c r="X782" s="75" t="n"/>
      <c r="Y782" s="226">
        <f>IF(AND(A782="",B782=""),"",IF(AND(A782&lt;&gt;"",B782&lt;&gt;"",C782&lt;&gt;"",D782&lt;&gt;"",F782&lt;&gt;"",G782&lt;&gt;"",H782&lt;&gt;"",ISERROR(SEARCH("по паспорту",G782)),ISERROR(SEARCH("по паспорту",H782)),I782&lt;&gt;"",J782&lt;&gt;"",K782&lt;&gt;"",L782&lt;&gt;"",M782&lt;&gt;""),"ГОТОВО","НЕ ГОТОВО"))</f>
        <v/>
      </c>
      <c r="Z782" s="226">
        <f>IF(Y782&lt;&gt;"ГОТОВО","", "Предварительное заключение: "&amp;A782&amp;", скв. "&amp;B782&amp;". МРП: "&amp;E782&amp;" сут. ГНО: "&amp;F782&amp;", типоразмер "&amp;G782&amp;", марка "&amp;H782&amp;". Событие: "&amp;I782&amp;". Признак: "&amp;J782&amp;". Узел: "&amp;K782&amp;". Предварительная причина: "&amp;L782&amp;". Основное осложнение: "&amp;M782&amp;IF(N782&lt;&gt;"","; сопутствующее: "&amp;N782,"")&amp;IF(O782&lt;&gt;"","; дополнительно: "&amp;O782,"")&amp;".")</f>
        <v/>
      </c>
    </row>
    <row r="783">
      <c r="A783" s="75" t="n"/>
      <c r="B783" s="75" t="n"/>
      <c r="C783" s="261" t="n"/>
      <c r="D783" s="261" t="n"/>
      <c r="E783" s="262">
        <f>IF(OR(C783="",D783=""),"",D783-C783)</f>
        <v/>
      </c>
      <c r="F783" s="75" t="n"/>
      <c r="G783" s="75" t="n"/>
      <c r="H783" s="75" t="n"/>
      <c r="I783" s="75" t="n"/>
      <c r="J783" s="75" t="n"/>
      <c r="K783" s="75" t="n"/>
      <c r="L783" s="75" t="n"/>
      <c r="M783" s="75" t="n"/>
      <c r="N783" s="75" t="n"/>
      <c r="O783" s="75" t="n"/>
      <c r="P783" s="75" t="n"/>
      <c r="Q783" s="75" t="n"/>
      <c r="R783" s="75" t="n"/>
      <c r="S783" s="75" t="n"/>
      <c r="T783" s="75" t="n"/>
      <c r="U783" s="75" t="n"/>
      <c r="V783" s="75" t="n"/>
      <c r="W783" s="75" t="n"/>
      <c r="X783" s="75" t="n"/>
      <c r="Y783" s="226">
        <f>IF(AND(A783="",B783=""),"",IF(AND(A783&lt;&gt;"",B783&lt;&gt;"",C783&lt;&gt;"",D783&lt;&gt;"",F783&lt;&gt;"",G783&lt;&gt;"",H783&lt;&gt;"",ISERROR(SEARCH("по паспорту",G783)),ISERROR(SEARCH("по паспорту",H783)),I783&lt;&gt;"",J783&lt;&gt;"",K783&lt;&gt;"",L783&lt;&gt;"",M783&lt;&gt;""),"ГОТОВО","НЕ ГОТОВО"))</f>
        <v/>
      </c>
      <c r="Z783" s="226">
        <f>IF(Y783&lt;&gt;"ГОТОВО","", "Предварительное заключение: "&amp;A783&amp;", скв. "&amp;B783&amp;". МРП: "&amp;E783&amp;" сут. ГНО: "&amp;F783&amp;", типоразмер "&amp;G783&amp;", марка "&amp;H783&amp;". Событие: "&amp;I783&amp;". Признак: "&amp;J783&amp;". Узел: "&amp;K783&amp;". Предварительная причина: "&amp;L783&amp;". Основное осложнение: "&amp;M783&amp;IF(N783&lt;&gt;"","; сопутствующее: "&amp;N783,"")&amp;IF(O783&lt;&gt;"","; дополнительно: "&amp;O783,"")&amp;".")</f>
        <v/>
      </c>
    </row>
    <row r="784">
      <c r="A784" s="75" t="n"/>
      <c r="B784" s="75" t="n"/>
      <c r="C784" s="261" t="n"/>
      <c r="D784" s="261" t="n"/>
      <c r="E784" s="262">
        <f>IF(OR(C784="",D784=""),"",D784-C784)</f>
        <v/>
      </c>
      <c r="F784" s="75" t="n"/>
      <c r="G784" s="75" t="n"/>
      <c r="H784" s="75" t="n"/>
      <c r="I784" s="75" t="n"/>
      <c r="J784" s="75" t="n"/>
      <c r="K784" s="75" t="n"/>
      <c r="L784" s="75" t="n"/>
      <c r="M784" s="75" t="n"/>
      <c r="N784" s="75" t="n"/>
      <c r="O784" s="75" t="n"/>
      <c r="P784" s="75" t="n"/>
      <c r="Q784" s="75" t="n"/>
      <c r="R784" s="75" t="n"/>
      <c r="S784" s="75" t="n"/>
      <c r="T784" s="75" t="n"/>
      <c r="U784" s="75" t="n"/>
      <c r="V784" s="75" t="n"/>
      <c r="W784" s="75" t="n"/>
      <c r="X784" s="75" t="n"/>
      <c r="Y784" s="226">
        <f>IF(AND(A784="",B784=""),"",IF(AND(A784&lt;&gt;"",B784&lt;&gt;"",C784&lt;&gt;"",D784&lt;&gt;"",F784&lt;&gt;"",G784&lt;&gt;"",H784&lt;&gt;"",ISERROR(SEARCH("по паспорту",G784)),ISERROR(SEARCH("по паспорту",H784)),I784&lt;&gt;"",J784&lt;&gt;"",K784&lt;&gt;"",L784&lt;&gt;"",M784&lt;&gt;""),"ГОТОВО","НЕ ГОТОВО"))</f>
        <v/>
      </c>
      <c r="Z784" s="226">
        <f>IF(Y784&lt;&gt;"ГОТОВО","", "Предварительное заключение: "&amp;A784&amp;", скв. "&amp;B784&amp;". МРП: "&amp;E784&amp;" сут. ГНО: "&amp;F784&amp;", типоразмер "&amp;G784&amp;", марка "&amp;H784&amp;". Событие: "&amp;I784&amp;". Признак: "&amp;J784&amp;". Узел: "&amp;K784&amp;". Предварительная причина: "&amp;L784&amp;". Основное осложнение: "&amp;M784&amp;IF(N784&lt;&gt;"","; сопутствующее: "&amp;N784,"")&amp;IF(O784&lt;&gt;"","; дополнительно: "&amp;O784,"")&amp;".")</f>
        <v/>
      </c>
    </row>
    <row r="785">
      <c r="A785" s="75" t="n"/>
      <c r="B785" s="75" t="n"/>
      <c r="C785" s="261" t="n"/>
      <c r="D785" s="261" t="n"/>
      <c r="E785" s="262">
        <f>IF(OR(C785="",D785=""),"",D785-C785)</f>
        <v/>
      </c>
      <c r="F785" s="75" t="n"/>
      <c r="G785" s="75" t="n"/>
      <c r="H785" s="75" t="n"/>
      <c r="I785" s="75" t="n"/>
      <c r="J785" s="75" t="n"/>
      <c r="K785" s="75" t="n"/>
      <c r="L785" s="75" t="n"/>
      <c r="M785" s="75" t="n"/>
      <c r="N785" s="75" t="n"/>
      <c r="O785" s="75" t="n"/>
      <c r="P785" s="75" t="n"/>
      <c r="Q785" s="75" t="n"/>
      <c r="R785" s="75" t="n"/>
      <c r="S785" s="75" t="n"/>
      <c r="T785" s="75" t="n"/>
      <c r="U785" s="75" t="n"/>
      <c r="V785" s="75" t="n"/>
      <c r="W785" s="75" t="n"/>
      <c r="X785" s="75" t="n"/>
      <c r="Y785" s="226">
        <f>IF(AND(A785="",B785=""),"",IF(AND(A785&lt;&gt;"",B785&lt;&gt;"",C785&lt;&gt;"",D785&lt;&gt;"",F785&lt;&gt;"",G785&lt;&gt;"",H785&lt;&gt;"",ISERROR(SEARCH("по паспорту",G785)),ISERROR(SEARCH("по паспорту",H785)),I785&lt;&gt;"",J785&lt;&gt;"",K785&lt;&gt;"",L785&lt;&gt;"",M785&lt;&gt;""),"ГОТОВО","НЕ ГОТОВО"))</f>
        <v/>
      </c>
      <c r="Z785" s="226">
        <f>IF(Y785&lt;&gt;"ГОТОВО","", "Предварительное заключение: "&amp;A785&amp;", скв. "&amp;B785&amp;". МРП: "&amp;E785&amp;" сут. ГНО: "&amp;F785&amp;", типоразмер "&amp;G785&amp;", марка "&amp;H785&amp;". Событие: "&amp;I785&amp;". Признак: "&amp;J785&amp;". Узел: "&amp;K785&amp;". Предварительная причина: "&amp;L785&amp;". Основное осложнение: "&amp;M785&amp;IF(N785&lt;&gt;"","; сопутствующее: "&amp;N785,"")&amp;IF(O785&lt;&gt;"","; дополнительно: "&amp;O785,"")&amp;".")</f>
        <v/>
      </c>
    </row>
    <row r="786">
      <c r="A786" s="75" t="n"/>
      <c r="B786" s="75" t="n"/>
      <c r="C786" s="261" t="n"/>
      <c r="D786" s="261" t="n"/>
      <c r="E786" s="262">
        <f>IF(OR(C786="",D786=""),"",D786-C786)</f>
        <v/>
      </c>
      <c r="F786" s="75" t="n"/>
      <c r="G786" s="75" t="n"/>
      <c r="H786" s="75" t="n"/>
      <c r="I786" s="75" t="n"/>
      <c r="J786" s="75" t="n"/>
      <c r="K786" s="75" t="n"/>
      <c r="L786" s="75" t="n"/>
      <c r="M786" s="75" t="n"/>
      <c r="N786" s="75" t="n"/>
      <c r="O786" s="75" t="n"/>
      <c r="P786" s="75" t="n"/>
      <c r="Q786" s="75" t="n"/>
      <c r="R786" s="75" t="n"/>
      <c r="S786" s="75" t="n"/>
      <c r="T786" s="75" t="n"/>
      <c r="U786" s="75" t="n"/>
      <c r="V786" s="75" t="n"/>
      <c r="W786" s="75" t="n"/>
      <c r="X786" s="75" t="n"/>
      <c r="Y786" s="226">
        <f>IF(AND(A786="",B786=""),"",IF(AND(A786&lt;&gt;"",B786&lt;&gt;"",C786&lt;&gt;"",D786&lt;&gt;"",F786&lt;&gt;"",G786&lt;&gt;"",H786&lt;&gt;"",ISERROR(SEARCH("по паспорту",G786)),ISERROR(SEARCH("по паспорту",H786)),I786&lt;&gt;"",J786&lt;&gt;"",K786&lt;&gt;"",L786&lt;&gt;"",M786&lt;&gt;""),"ГОТОВО","НЕ ГОТОВО"))</f>
        <v/>
      </c>
      <c r="Z786" s="226">
        <f>IF(Y786&lt;&gt;"ГОТОВО","", "Предварительное заключение: "&amp;A786&amp;", скв. "&amp;B786&amp;". МРП: "&amp;E786&amp;" сут. ГНО: "&amp;F786&amp;", типоразмер "&amp;G786&amp;", марка "&amp;H786&amp;". Событие: "&amp;I786&amp;". Признак: "&amp;J786&amp;". Узел: "&amp;K786&amp;". Предварительная причина: "&amp;L786&amp;". Основное осложнение: "&amp;M786&amp;IF(N786&lt;&gt;"","; сопутствующее: "&amp;N786,"")&amp;IF(O786&lt;&gt;"","; дополнительно: "&amp;O786,"")&amp;".")</f>
        <v/>
      </c>
    </row>
    <row r="787">
      <c r="A787" s="75" t="n"/>
      <c r="B787" s="75" t="n"/>
      <c r="C787" s="261" t="n"/>
      <c r="D787" s="261" t="n"/>
      <c r="E787" s="262">
        <f>IF(OR(C787="",D787=""),"",D787-C787)</f>
        <v/>
      </c>
      <c r="F787" s="75" t="n"/>
      <c r="G787" s="75" t="n"/>
      <c r="H787" s="75" t="n"/>
      <c r="I787" s="75" t="n"/>
      <c r="J787" s="75" t="n"/>
      <c r="K787" s="75" t="n"/>
      <c r="L787" s="75" t="n"/>
      <c r="M787" s="75" t="n"/>
      <c r="N787" s="75" t="n"/>
      <c r="O787" s="75" t="n"/>
      <c r="P787" s="75" t="n"/>
      <c r="Q787" s="75" t="n"/>
      <c r="R787" s="75" t="n"/>
      <c r="S787" s="75" t="n"/>
      <c r="T787" s="75" t="n"/>
      <c r="U787" s="75" t="n"/>
      <c r="V787" s="75" t="n"/>
      <c r="W787" s="75" t="n"/>
      <c r="X787" s="75" t="n"/>
      <c r="Y787" s="226">
        <f>IF(AND(A787="",B787=""),"",IF(AND(A787&lt;&gt;"",B787&lt;&gt;"",C787&lt;&gt;"",D787&lt;&gt;"",F787&lt;&gt;"",G787&lt;&gt;"",H787&lt;&gt;"",ISERROR(SEARCH("по паспорту",G787)),ISERROR(SEARCH("по паспорту",H787)),I787&lt;&gt;"",J787&lt;&gt;"",K787&lt;&gt;"",L787&lt;&gt;"",M787&lt;&gt;""),"ГОТОВО","НЕ ГОТОВО"))</f>
        <v/>
      </c>
      <c r="Z787" s="226">
        <f>IF(Y787&lt;&gt;"ГОТОВО","", "Предварительное заключение: "&amp;A787&amp;", скв. "&amp;B787&amp;". МРП: "&amp;E787&amp;" сут. ГНО: "&amp;F787&amp;", типоразмер "&amp;G787&amp;", марка "&amp;H787&amp;". Событие: "&amp;I787&amp;". Признак: "&amp;J787&amp;". Узел: "&amp;K787&amp;". Предварительная причина: "&amp;L787&amp;". Основное осложнение: "&amp;M787&amp;IF(N787&lt;&gt;"","; сопутствующее: "&amp;N787,"")&amp;IF(O787&lt;&gt;"","; дополнительно: "&amp;O787,"")&amp;".")</f>
        <v/>
      </c>
    </row>
    <row r="788">
      <c r="A788" s="75" t="n"/>
      <c r="B788" s="75" t="n"/>
      <c r="C788" s="261" t="n"/>
      <c r="D788" s="261" t="n"/>
      <c r="E788" s="262">
        <f>IF(OR(C788="",D788=""),"",D788-C788)</f>
        <v/>
      </c>
      <c r="F788" s="75" t="n"/>
      <c r="G788" s="75" t="n"/>
      <c r="H788" s="75" t="n"/>
      <c r="I788" s="75" t="n"/>
      <c r="J788" s="75" t="n"/>
      <c r="K788" s="75" t="n"/>
      <c r="L788" s="75" t="n"/>
      <c r="M788" s="75" t="n"/>
      <c r="N788" s="75" t="n"/>
      <c r="O788" s="75" t="n"/>
      <c r="P788" s="75" t="n"/>
      <c r="Q788" s="75" t="n"/>
      <c r="R788" s="75" t="n"/>
      <c r="S788" s="75" t="n"/>
      <c r="T788" s="75" t="n"/>
      <c r="U788" s="75" t="n"/>
      <c r="V788" s="75" t="n"/>
      <c r="W788" s="75" t="n"/>
      <c r="X788" s="75" t="n"/>
      <c r="Y788" s="226">
        <f>IF(AND(A788="",B788=""),"",IF(AND(A788&lt;&gt;"",B788&lt;&gt;"",C788&lt;&gt;"",D788&lt;&gt;"",F788&lt;&gt;"",G788&lt;&gt;"",H788&lt;&gt;"",ISERROR(SEARCH("по паспорту",G788)),ISERROR(SEARCH("по паспорту",H788)),I788&lt;&gt;"",J788&lt;&gt;"",K788&lt;&gt;"",L788&lt;&gt;"",M788&lt;&gt;""),"ГОТОВО","НЕ ГОТОВО"))</f>
        <v/>
      </c>
      <c r="Z788" s="226">
        <f>IF(Y788&lt;&gt;"ГОТОВО","", "Предварительное заключение: "&amp;A788&amp;", скв. "&amp;B788&amp;". МРП: "&amp;E788&amp;" сут. ГНО: "&amp;F788&amp;", типоразмер "&amp;G788&amp;", марка "&amp;H788&amp;". Событие: "&amp;I788&amp;". Признак: "&amp;J788&amp;". Узел: "&amp;K788&amp;". Предварительная причина: "&amp;L788&amp;". Основное осложнение: "&amp;M788&amp;IF(N788&lt;&gt;"","; сопутствующее: "&amp;N788,"")&amp;IF(O788&lt;&gt;"","; дополнительно: "&amp;O788,"")&amp;".")</f>
        <v/>
      </c>
    </row>
    <row r="789">
      <c r="A789" s="75" t="n"/>
      <c r="B789" s="75" t="n"/>
      <c r="C789" s="261" t="n"/>
      <c r="D789" s="261" t="n"/>
      <c r="E789" s="262">
        <f>IF(OR(C789="",D789=""),"",D789-C789)</f>
        <v/>
      </c>
      <c r="F789" s="75" t="n"/>
      <c r="G789" s="75" t="n"/>
      <c r="H789" s="75" t="n"/>
      <c r="I789" s="75" t="n"/>
      <c r="J789" s="75" t="n"/>
      <c r="K789" s="75" t="n"/>
      <c r="L789" s="75" t="n"/>
      <c r="M789" s="75" t="n"/>
      <c r="N789" s="75" t="n"/>
      <c r="O789" s="75" t="n"/>
      <c r="P789" s="75" t="n"/>
      <c r="Q789" s="75" t="n"/>
      <c r="R789" s="75" t="n"/>
      <c r="S789" s="75" t="n"/>
      <c r="T789" s="75" t="n"/>
      <c r="U789" s="75" t="n"/>
      <c r="V789" s="75" t="n"/>
      <c r="W789" s="75" t="n"/>
      <c r="X789" s="75" t="n"/>
      <c r="Y789" s="226">
        <f>IF(AND(A789="",B789=""),"",IF(AND(A789&lt;&gt;"",B789&lt;&gt;"",C789&lt;&gt;"",D789&lt;&gt;"",F789&lt;&gt;"",G789&lt;&gt;"",H789&lt;&gt;"",ISERROR(SEARCH("по паспорту",G789)),ISERROR(SEARCH("по паспорту",H789)),I789&lt;&gt;"",J789&lt;&gt;"",K789&lt;&gt;"",L789&lt;&gt;"",M789&lt;&gt;""),"ГОТОВО","НЕ ГОТОВО"))</f>
        <v/>
      </c>
      <c r="Z789" s="226">
        <f>IF(Y789&lt;&gt;"ГОТОВО","", "Предварительное заключение: "&amp;A789&amp;", скв. "&amp;B789&amp;". МРП: "&amp;E789&amp;" сут. ГНО: "&amp;F789&amp;", типоразмер "&amp;G789&amp;", марка "&amp;H789&amp;". Событие: "&amp;I789&amp;". Признак: "&amp;J789&amp;". Узел: "&amp;K789&amp;". Предварительная причина: "&amp;L789&amp;". Основное осложнение: "&amp;M789&amp;IF(N789&lt;&gt;"","; сопутствующее: "&amp;N789,"")&amp;IF(O789&lt;&gt;"","; дополнительно: "&amp;O789,"")&amp;".")</f>
        <v/>
      </c>
    </row>
    <row r="790">
      <c r="A790" s="75" t="n"/>
      <c r="B790" s="75" t="n"/>
      <c r="C790" s="261" t="n"/>
      <c r="D790" s="261" t="n"/>
      <c r="E790" s="262">
        <f>IF(OR(C790="",D790=""),"",D790-C790)</f>
        <v/>
      </c>
      <c r="F790" s="75" t="n"/>
      <c r="G790" s="75" t="n"/>
      <c r="H790" s="75" t="n"/>
      <c r="I790" s="75" t="n"/>
      <c r="J790" s="75" t="n"/>
      <c r="K790" s="75" t="n"/>
      <c r="L790" s="75" t="n"/>
      <c r="M790" s="75" t="n"/>
      <c r="N790" s="75" t="n"/>
      <c r="O790" s="75" t="n"/>
      <c r="P790" s="75" t="n"/>
      <c r="Q790" s="75" t="n"/>
      <c r="R790" s="75" t="n"/>
      <c r="S790" s="75" t="n"/>
      <c r="T790" s="75" t="n"/>
      <c r="U790" s="75" t="n"/>
      <c r="V790" s="75" t="n"/>
      <c r="W790" s="75" t="n"/>
      <c r="X790" s="75" t="n"/>
      <c r="Y790" s="226">
        <f>IF(AND(A790="",B790=""),"",IF(AND(A790&lt;&gt;"",B790&lt;&gt;"",C790&lt;&gt;"",D790&lt;&gt;"",F790&lt;&gt;"",G790&lt;&gt;"",H790&lt;&gt;"",ISERROR(SEARCH("по паспорту",G790)),ISERROR(SEARCH("по паспорту",H790)),I790&lt;&gt;"",J790&lt;&gt;"",K790&lt;&gt;"",L790&lt;&gt;"",M790&lt;&gt;""),"ГОТОВО","НЕ ГОТОВО"))</f>
        <v/>
      </c>
      <c r="Z790" s="226">
        <f>IF(Y790&lt;&gt;"ГОТОВО","", "Предварительное заключение: "&amp;A790&amp;", скв. "&amp;B790&amp;". МРП: "&amp;E790&amp;" сут. ГНО: "&amp;F790&amp;", типоразмер "&amp;G790&amp;", марка "&amp;H790&amp;". Событие: "&amp;I790&amp;". Признак: "&amp;J790&amp;". Узел: "&amp;K790&amp;". Предварительная причина: "&amp;L790&amp;". Основное осложнение: "&amp;M790&amp;IF(N790&lt;&gt;"","; сопутствующее: "&amp;N790,"")&amp;IF(O790&lt;&gt;"","; дополнительно: "&amp;O790,"")&amp;".")</f>
        <v/>
      </c>
    </row>
    <row r="791">
      <c r="A791" s="75" t="n"/>
      <c r="B791" s="75" t="n"/>
      <c r="C791" s="261" t="n"/>
      <c r="D791" s="261" t="n"/>
      <c r="E791" s="262">
        <f>IF(OR(C791="",D791=""),"",D791-C791)</f>
        <v/>
      </c>
      <c r="F791" s="75" t="n"/>
      <c r="G791" s="75" t="n"/>
      <c r="H791" s="75" t="n"/>
      <c r="I791" s="75" t="n"/>
      <c r="J791" s="75" t="n"/>
      <c r="K791" s="75" t="n"/>
      <c r="L791" s="75" t="n"/>
      <c r="M791" s="75" t="n"/>
      <c r="N791" s="75" t="n"/>
      <c r="O791" s="75" t="n"/>
      <c r="P791" s="75" t="n"/>
      <c r="Q791" s="75" t="n"/>
      <c r="R791" s="75" t="n"/>
      <c r="S791" s="75" t="n"/>
      <c r="T791" s="75" t="n"/>
      <c r="U791" s="75" t="n"/>
      <c r="V791" s="75" t="n"/>
      <c r="W791" s="75" t="n"/>
      <c r="X791" s="75" t="n"/>
      <c r="Y791" s="226">
        <f>IF(AND(A791="",B791=""),"",IF(AND(A791&lt;&gt;"",B791&lt;&gt;"",C791&lt;&gt;"",D791&lt;&gt;"",F791&lt;&gt;"",G791&lt;&gt;"",H791&lt;&gt;"",ISERROR(SEARCH("по паспорту",G791)),ISERROR(SEARCH("по паспорту",H791)),I791&lt;&gt;"",J791&lt;&gt;"",K791&lt;&gt;"",L791&lt;&gt;"",M791&lt;&gt;""),"ГОТОВО","НЕ ГОТОВО"))</f>
        <v/>
      </c>
      <c r="Z791" s="226">
        <f>IF(Y791&lt;&gt;"ГОТОВО","", "Предварительное заключение: "&amp;A791&amp;", скв. "&amp;B791&amp;". МРП: "&amp;E791&amp;" сут. ГНО: "&amp;F791&amp;", типоразмер "&amp;G791&amp;", марка "&amp;H791&amp;". Событие: "&amp;I791&amp;". Признак: "&amp;J791&amp;". Узел: "&amp;K791&amp;". Предварительная причина: "&amp;L791&amp;". Основное осложнение: "&amp;M791&amp;IF(N791&lt;&gt;"","; сопутствующее: "&amp;N791,"")&amp;IF(O791&lt;&gt;"","; дополнительно: "&amp;O791,"")&amp;".")</f>
        <v/>
      </c>
    </row>
    <row r="792">
      <c r="A792" s="75" t="n"/>
      <c r="B792" s="75" t="n"/>
      <c r="C792" s="261" t="n"/>
      <c r="D792" s="261" t="n"/>
      <c r="E792" s="262">
        <f>IF(OR(C792="",D792=""),"",D792-C792)</f>
        <v/>
      </c>
      <c r="F792" s="75" t="n"/>
      <c r="G792" s="75" t="n"/>
      <c r="H792" s="75" t="n"/>
      <c r="I792" s="75" t="n"/>
      <c r="J792" s="75" t="n"/>
      <c r="K792" s="75" t="n"/>
      <c r="L792" s="75" t="n"/>
      <c r="M792" s="75" t="n"/>
      <c r="N792" s="75" t="n"/>
      <c r="O792" s="75" t="n"/>
      <c r="P792" s="75" t="n"/>
      <c r="Q792" s="75" t="n"/>
      <c r="R792" s="75" t="n"/>
      <c r="S792" s="75" t="n"/>
      <c r="T792" s="75" t="n"/>
      <c r="U792" s="75" t="n"/>
      <c r="V792" s="75" t="n"/>
      <c r="W792" s="75" t="n"/>
      <c r="X792" s="75" t="n"/>
      <c r="Y792" s="226">
        <f>IF(AND(A792="",B792=""),"",IF(AND(A792&lt;&gt;"",B792&lt;&gt;"",C792&lt;&gt;"",D792&lt;&gt;"",F792&lt;&gt;"",G792&lt;&gt;"",H792&lt;&gt;"",ISERROR(SEARCH("по паспорту",G792)),ISERROR(SEARCH("по паспорту",H792)),I792&lt;&gt;"",J792&lt;&gt;"",K792&lt;&gt;"",L792&lt;&gt;"",M792&lt;&gt;""),"ГОТОВО","НЕ ГОТОВО"))</f>
        <v/>
      </c>
      <c r="Z792" s="226">
        <f>IF(Y792&lt;&gt;"ГОТОВО","", "Предварительное заключение: "&amp;A792&amp;", скв. "&amp;B792&amp;". МРП: "&amp;E792&amp;" сут. ГНО: "&amp;F792&amp;", типоразмер "&amp;G792&amp;", марка "&amp;H792&amp;". Событие: "&amp;I792&amp;". Признак: "&amp;J792&amp;". Узел: "&amp;K792&amp;". Предварительная причина: "&amp;L792&amp;". Основное осложнение: "&amp;M792&amp;IF(N792&lt;&gt;"","; сопутствующее: "&amp;N792,"")&amp;IF(O792&lt;&gt;"","; дополнительно: "&amp;O792,"")&amp;".")</f>
        <v/>
      </c>
    </row>
    <row r="793">
      <c r="A793" s="75" t="n"/>
      <c r="B793" s="75" t="n"/>
      <c r="C793" s="261" t="n"/>
      <c r="D793" s="261" t="n"/>
      <c r="E793" s="262">
        <f>IF(OR(C793="",D793=""),"",D793-C793)</f>
        <v/>
      </c>
      <c r="F793" s="75" t="n"/>
      <c r="G793" s="75" t="n"/>
      <c r="H793" s="75" t="n"/>
      <c r="I793" s="75" t="n"/>
      <c r="J793" s="75" t="n"/>
      <c r="K793" s="75" t="n"/>
      <c r="L793" s="75" t="n"/>
      <c r="M793" s="75" t="n"/>
      <c r="N793" s="75" t="n"/>
      <c r="O793" s="75" t="n"/>
      <c r="P793" s="75" t="n"/>
      <c r="Q793" s="75" t="n"/>
      <c r="R793" s="75" t="n"/>
      <c r="S793" s="75" t="n"/>
      <c r="T793" s="75" t="n"/>
      <c r="U793" s="75" t="n"/>
      <c r="V793" s="75" t="n"/>
      <c r="W793" s="75" t="n"/>
      <c r="X793" s="75" t="n"/>
      <c r="Y793" s="226">
        <f>IF(AND(A793="",B793=""),"",IF(AND(A793&lt;&gt;"",B793&lt;&gt;"",C793&lt;&gt;"",D793&lt;&gt;"",F793&lt;&gt;"",G793&lt;&gt;"",H793&lt;&gt;"",ISERROR(SEARCH("по паспорту",G793)),ISERROR(SEARCH("по паспорту",H793)),I793&lt;&gt;"",J793&lt;&gt;"",K793&lt;&gt;"",L793&lt;&gt;"",M793&lt;&gt;""),"ГОТОВО","НЕ ГОТОВО"))</f>
        <v/>
      </c>
      <c r="Z793" s="226">
        <f>IF(Y793&lt;&gt;"ГОТОВО","", "Предварительное заключение: "&amp;A793&amp;", скв. "&amp;B793&amp;". МРП: "&amp;E793&amp;" сут. ГНО: "&amp;F793&amp;", типоразмер "&amp;G793&amp;", марка "&amp;H793&amp;". Событие: "&amp;I793&amp;". Признак: "&amp;J793&amp;". Узел: "&amp;K793&amp;". Предварительная причина: "&amp;L793&amp;". Основное осложнение: "&amp;M793&amp;IF(N793&lt;&gt;"","; сопутствующее: "&amp;N793,"")&amp;IF(O793&lt;&gt;"","; дополнительно: "&amp;O793,"")&amp;".")</f>
        <v/>
      </c>
    </row>
    <row r="794">
      <c r="A794" s="75" t="n"/>
      <c r="B794" s="75" t="n"/>
      <c r="C794" s="261" t="n"/>
      <c r="D794" s="261" t="n"/>
      <c r="E794" s="262">
        <f>IF(OR(C794="",D794=""),"",D794-C794)</f>
        <v/>
      </c>
      <c r="F794" s="75" t="n"/>
      <c r="G794" s="75" t="n"/>
      <c r="H794" s="75" t="n"/>
      <c r="I794" s="75" t="n"/>
      <c r="J794" s="75" t="n"/>
      <c r="K794" s="75" t="n"/>
      <c r="L794" s="75" t="n"/>
      <c r="M794" s="75" t="n"/>
      <c r="N794" s="75" t="n"/>
      <c r="O794" s="75" t="n"/>
      <c r="P794" s="75" t="n"/>
      <c r="Q794" s="75" t="n"/>
      <c r="R794" s="75" t="n"/>
      <c r="S794" s="75" t="n"/>
      <c r="T794" s="75" t="n"/>
      <c r="U794" s="75" t="n"/>
      <c r="V794" s="75" t="n"/>
      <c r="W794" s="75" t="n"/>
      <c r="X794" s="75" t="n"/>
      <c r="Y794" s="226">
        <f>IF(AND(A794="",B794=""),"",IF(AND(A794&lt;&gt;"",B794&lt;&gt;"",C794&lt;&gt;"",D794&lt;&gt;"",F794&lt;&gt;"",G794&lt;&gt;"",H794&lt;&gt;"",ISERROR(SEARCH("по паспорту",G794)),ISERROR(SEARCH("по паспорту",H794)),I794&lt;&gt;"",J794&lt;&gt;"",K794&lt;&gt;"",L794&lt;&gt;"",M794&lt;&gt;""),"ГОТОВО","НЕ ГОТОВО"))</f>
        <v/>
      </c>
      <c r="Z794" s="226">
        <f>IF(Y794&lt;&gt;"ГОТОВО","", "Предварительное заключение: "&amp;A794&amp;", скв. "&amp;B794&amp;". МРП: "&amp;E794&amp;" сут. ГНО: "&amp;F794&amp;", типоразмер "&amp;G794&amp;", марка "&amp;H794&amp;". Событие: "&amp;I794&amp;". Признак: "&amp;J794&amp;". Узел: "&amp;K794&amp;". Предварительная причина: "&amp;L794&amp;". Основное осложнение: "&amp;M794&amp;IF(N794&lt;&gt;"","; сопутствующее: "&amp;N794,"")&amp;IF(O794&lt;&gt;"","; дополнительно: "&amp;O794,"")&amp;".")</f>
        <v/>
      </c>
    </row>
    <row r="795">
      <c r="A795" s="75" t="n"/>
      <c r="B795" s="75" t="n"/>
      <c r="C795" s="261" t="n"/>
      <c r="D795" s="261" t="n"/>
      <c r="E795" s="262">
        <f>IF(OR(C795="",D795=""),"",D795-C795)</f>
        <v/>
      </c>
      <c r="F795" s="75" t="n"/>
      <c r="G795" s="75" t="n"/>
      <c r="H795" s="75" t="n"/>
      <c r="I795" s="75" t="n"/>
      <c r="J795" s="75" t="n"/>
      <c r="K795" s="75" t="n"/>
      <c r="L795" s="75" t="n"/>
      <c r="M795" s="75" t="n"/>
      <c r="N795" s="75" t="n"/>
      <c r="O795" s="75" t="n"/>
      <c r="P795" s="75" t="n"/>
      <c r="Q795" s="75" t="n"/>
      <c r="R795" s="75" t="n"/>
      <c r="S795" s="75" t="n"/>
      <c r="T795" s="75" t="n"/>
      <c r="U795" s="75" t="n"/>
      <c r="V795" s="75" t="n"/>
      <c r="W795" s="75" t="n"/>
      <c r="X795" s="75" t="n"/>
      <c r="Y795" s="226">
        <f>IF(AND(A795="",B795=""),"",IF(AND(A795&lt;&gt;"",B795&lt;&gt;"",C795&lt;&gt;"",D795&lt;&gt;"",F795&lt;&gt;"",G795&lt;&gt;"",H795&lt;&gt;"",ISERROR(SEARCH("по паспорту",G795)),ISERROR(SEARCH("по паспорту",H795)),I795&lt;&gt;"",J795&lt;&gt;"",K795&lt;&gt;"",L795&lt;&gt;"",M795&lt;&gt;""),"ГОТОВО","НЕ ГОТОВО"))</f>
        <v/>
      </c>
      <c r="Z795" s="226">
        <f>IF(Y795&lt;&gt;"ГОТОВО","", "Предварительное заключение: "&amp;A795&amp;", скв. "&amp;B795&amp;". МРП: "&amp;E795&amp;" сут. ГНО: "&amp;F795&amp;", типоразмер "&amp;G795&amp;", марка "&amp;H795&amp;". Событие: "&amp;I795&amp;". Признак: "&amp;J795&amp;". Узел: "&amp;K795&amp;". Предварительная причина: "&amp;L795&amp;". Основное осложнение: "&amp;M795&amp;IF(N795&lt;&gt;"","; сопутствующее: "&amp;N795,"")&amp;IF(O795&lt;&gt;"","; дополнительно: "&amp;O795,"")&amp;".")</f>
        <v/>
      </c>
    </row>
    <row r="796">
      <c r="A796" s="75" t="n"/>
      <c r="B796" s="75" t="n"/>
      <c r="C796" s="261" t="n"/>
      <c r="D796" s="261" t="n"/>
      <c r="E796" s="262">
        <f>IF(OR(C796="",D796=""),"",D796-C796)</f>
        <v/>
      </c>
      <c r="F796" s="75" t="n"/>
      <c r="G796" s="75" t="n"/>
      <c r="H796" s="75" t="n"/>
      <c r="I796" s="75" t="n"/>
      <c r="J796" s="75" t="n"/>
      <c r="K796" s="75" t="n"/>
      <c r="L796" s="75" t="n"/>
      <c r="M796" s="75" t="n"/>
      <c r="N796" s="75" t="n"/>
      <c r="O796" s="75" t="n"/>
      <c r="P796" s="75" t="n"/>
      <c r="Q796" s="75" t="n"/>
      <c r="R796" s="75" t="n"/>
      <c r="S796" s="75" t="n"/>
      <c r="T796" s="75" t="n"/>
      <c r="U796" s="75" t="n"/>
      <c r="V796" s="75" t="n"/>
      <c r="W796" s="75" t="n"/>
      <c r="X796" s="75" t="n"/>
      <c r="Y796" s="226">
        <f>IF(AND(A796="",B796=""),"",IF(AND(A796&lt;&gt;"",B796&lt;&gt;"",C796&lt;&gt;"",D796&lt;&gt;"",F796&lt;&gt;"",G796&lt;&gt;"",H796&lt;&gt;"",ISERROR(SEARCH("по паспорту",G796)),ISERROR(SEARCH("по паспорту",H796)),I796&lt;&gt;"",J796&lt;&gt;"",K796&lt;&gt;"",L796&lt;&gt;"",M796&lt;&gt;""),"ГОТОВО","НЕ ГОТОВО"))</f>
        <v/>
      </c>
      <c r="Z796" s="226">
        <f>IF(Y796&lt;&gt;"ГОТОВО","", "Предварительное заключение: "&amp;A796&amp;", скв. "&amp;B796&amp;". МРП: "&amp;E796&amp;" сут. ГНО: "&amp;F796&amp;", типоразмер "&amp;G796&amp;", марка "&amp;H796&amp;". Событие: "&amp;I796&amp;". Признак: "&amp;J796&amp;". Узел: "&amp;K796&amp;". Предварительная причина: "&amp;L796&amp;". Основное осложнение: "&amp;M796&amp;IF(N796&lt;&gt;"","; сопутствующее: "&amp;N796,"")&amp;IF(O796&lt;&gt;"","; дополнительно: "&amp;O796,"")&amp;".")</f>
        <v/>
      </c>
    </row>
    <row r="797">
      <c r="A797" s="75" t="n"/>
      <c r="B797" s="75" t="n"/>
      <c r="C797" s="261" t="n"/>
      <c r="D797" s="261" t="n"/>
      <c r="E797" s="262">
        <f>IF(OR(C797="",D797=""),"",D797-C797)</f>
        <v/>
      </c>
      <c r="F797" s="75" t="n"/>
      <c r="G797" s="75" t="n"/>
      <c r="H797" s="75" t="n"/>
      <c r="I797" s="75" t="n"/>
      <c r="J797" s="75" t="n"/>
      <c r="K797" s="75" t="n"/>
      <c r="L797" s="75" t="n"/>
      <c r="M797" s="75" t="n"/>
      <c r="N797" s="75" t="n"/>
      <c r="O797" s="75" t="n"/>
      <c r="P797" s="75" t="n"/>
      <c r="Q797" s="75" t="n"/>
      <c r="R797" s="75" t="n"/>
      <c r="S797" s="75" t="n"/>
      <c r="T797" s="75" t="n"/>
      <c r="U797" s="75" t="n"/>
      <c r="V797" s="75" t="n"/>
      <c r="W797" s="75" t="n"/>
      <c r="X797" s="75" t="n"/>
      <c r="Y797" s="226">
        <f>IF(AND(A797="",B797=""),"",IF(AND(A797&lt;&gt;"",B797&lt;&gt;"",C797&lt;&gt;"",D797&lt;&gt;"",F797&lt;&gt;"",G797&lt;&gt;"",H797&lt;&gt;"",ISERROR(SEARCH("по паспорту",G797)),ISERROR(SEARCH("по паспорту",H797)),I797&lt;&gt;"",J797&lt;&gt;"",K797&lt;&gt;"",L797&lt;&gt;"",M797&lt;&gt;""),"ГОТОВО","НЕ ГОТОВО"))</f>
        <v/>
      </c>
      <c r="Z797" s="226">
        <f>IF(Y797&lt;&gt;"ГОТОВО","", "Предварительное заключение: "&amp;A797&amp;", скв. "&amp;B797&amp;". МРП: "&amp;E797&amp;" сут. ГНО: "&amp;F797&amp;", типоразмер "&amp;G797&amp;", марка "&amp;H797&amp;". Событие: "&amp;I797&amp;". Признак: "&amp;J797&amp;". Узел: "&amp;K797&amp;". Предварительная причина: "&amp;L797&amp;". Основное осложнение: "&amp;M797&amp;IF(N797&lt;&gt;"","; сопутствующее: "&amp;N797,"")&amp;IF(O797&lt;&gt;"","; дополнительно: "&amp;O797,"")&amp;".")</f>
        <v/>
      </c>
    </row>
    <row r="798">
      <c r="A798" s="75" t="n"/>
      <c r="B798" s="75" t="n"/>
      <c r="C798" s="261" t="n"/>
      <c r="D798" s="261" t="n"/>
      <c r="E798" s="262">
        <f>IF(OR(C798="",D798=""),"",D798-C798)</f>
        <v/>
      </c>
      <c r="F798" s="75" t="n"/>
      <c r="G798" s="75" t="n"/>
      <c r="H798" s="75" t="n"/>
      <c r="I798" s="75" t="n"/>
      <c r="J798" s="75" t="n"/>
      <c r="K798" s="75" t="n"/>
      <c r="L798" s="75" t="n"/>
      <c r="M798" s="75" t="n"/>
      <c r="N798" s="75" t="n"/>
      <c r="O798" s="75" t="n"/>
      <c r="P798" s="75" t="n"/>
      <c r="Q798" s="75" t="n"/>
      <c r="R798" s="75" t="n"/>
      <c r="S798" s="75" t="n"/>
      <c r="T798" s="75" t="n"/>
      <c r="U798" s="75" t="n"/>
      <c r="V798" s="75" t="n"/>
      <c r="W798" s="75" t="n"/>
      <c r="X798" s="75" t="n"/>
      <c r="Y798" s="226">
        <f>IF(AND(A798="",B798=""),"",IF(AND(A798&lt;&gt;"",B798&lt;&gt;"",C798&lt;&gt;"",D798&lt;&gt;"",F798&lt;&gt;"",G798&lt;&gt;"",H798&lt;&gt;"",ISERROR(SEARCH("по паспорту",G798)),ISERROR(SEARCH("по паспорту",H798)),I798&lt;&gt;"",J798&lt;&gt;"",K798&lt;&gt;"",L798&lt;&gt;"",M798&lt;&gt;""),"ГОТОВО","НЕ ГОТОВО"))</f>
        <v/>
      </c>
      <c r="Z798" s="226">
        <f>IF(Y798&lt;&gt;"ГОТОВО","", "Предварительное заключение: "&amp;A798&amp;", скв. "&amp;B798&amp;". МРП: "&amp;E798&amp;" сут. ГНО: "&amp;F798&amp;", типоразмер "&amp;G798&amp;", марка "&amp;H798&amp;". Событие: "&amp;I798&amp;". Признак: "&amp;J798&amp;". Узел: "&amp;K798&amp;". Предварительная причина: "&amp;L798&amp;". Основное осложнение: "&amp;M798&amp;IF(N798&lt;&gt;"","; сопутствующее: "&amp;N798,"")&amp;IF(O798&lt;&gt;"","; дополнительно: "&amp;O798,"")&amp;".")</f>
        <v/>
      </c>
    </row>
    <row r="799">
      <c r="A799" s="75" t="n"/>
      <c r="B799" s="75" t="n"/>
      <c r="C799" s="261" t="n"/>
      <c r="D799" s="261" t="n"/>
      <c r="E799" s="262">
        <f>IF(OR(C799="",D799=""),"",D799-C799)</f>
        <v/>
      </c>
      <c r="F799" s="75" t="n"/>
      <c r="G799" s="75" t="n"/>
      <c r="H799" s="75" t="n"/>
      <c r="I799" s="75" t="n"/>
      <c r="J799" s="75" t="n"/>
      <c r="K799" s="75" t="n"/>
      <c r="L799" s="75" t="n"/>
      <c r="M799" s="75" t="n"/>
      <c r="N799" s="75" t="n"/>
      <c r="O799" s="75" t="n"/>
      <c r="P799" s="75" t="n"/>
      <c r="Q799" s="75" t="n"/>
      <c r="R799" s="75" t="n"/>
      <c r="S799" s="75" t="n"/>
      <c r="T799" s="75" t="n"/>
      <c r="U799" s="75" t="n"/>
      <c r="V799" s="75" t="n"/>
      <c r="W799" s="75" t="n"/>
      <c r="X799" s="75" t="n"/>
      <c r="Y799" s="226">
        <f>IF(AND(A799="",B799=""),"",IF(AND(A799&lt;&gt;"",B799&lt;&gt;"",C799&lt;&gt;"",D799&lt;&gt;"",F799&lt;&gt;"",G799&lt;&gt;"",H799&lt;&gt;"",ISERROR(SEARCH("по паспорту",G799)),ISERROR(SEARCH("по паспорту",H799)),I799&lt;&gt;"",J799&lt;&gt;"",K799&lt;&gt;"",L799&lt;&gt;"",M799&lt;&gt;""),"ГОТОВО","НЕ ГОТОВО"))</f>
        <v/>
      </c>
      <c r="Z799" s="226">
        <f>IF(Y799&lt;&gt;"ГОТОВО","", "Предварительное заключение: "&amp;A799&amp;", скв. "&amp;B799&amp;". МРП: "&amp;E799&amp;" сут. ГНО: "&amp;F799&amp;", типоразмер "&amp;G799&amp;", марка "&amp;H799&amp;". Событие: "&amp;I799&amp;". Признак: "&amp;J799&amp;". Узел: "&amp;K799&amp;". Предварительная причина: "&amp;L799&amp;". Основное осложнение: "&amp;M799&amp;IF(N799&lt;&gt;"","; сопутствующее: "&amp;N799,"")&amp;IF(O799&lt;&gt;"","; дополнительно: "&amp;O799,"")&amp;".")</f>
        <v/>
      </c>
    </row>
    <row r="800">
      <c r="A800" s="75" t="n"/>
      <c r="B800" s="75" t="n"/>
      <c r="C800" s="261" t="n"/>
      <c r="D800" s="261" t="n"/>
      <c r="E800" s="262">
        <f>IF(OR(C800="",D800=""),"",D800-C800)</f>
        <v/>
      </c>
      <c r="F800" s="75" t="n"/>
      <c r="G800" s="75" t="n"/>
      <c r="H800" s="75" t="n"/>
      <c r="I800" s="75" t="n"/>
      <c r="J800" s="75" t="n"/>
      <c r="K800" s="75" t="n"/>
      <c r="L800" s="75" t="n"/>
      <c r="M800" s="75" t="n"/>
      <c r="N800" s="75" t="n"/>
      <c r="O800" s="75" t="n"/>
      <c r="P800" s="75" t="n"/>
      <c r="Q800" s="75" t="n"/>
      <c r="R800" s="75" t="n"/>
      <c r="S800" s="75" t="n"/>
      <c r="T800" s="75" t="n"/>
      <c r="U800" s="75" t="n"/>
      <c r="V800" s="75" t="n"/>
      <c r="W800" s="75" t="n"/>
      <c r="X800" s="75" t="n"/>
      <c r="Y800" s="226">
        <f>IF(AND(A800="",B800=""),"",IF(AND(A800&lt;&gt;"",B800&lt;&gt;"",C800&lt;&gt;"",D800&lt;&gt;"",F800&lt;&gt;"",G800&lt;&gt;"",H800&lt;&gt;"",ISERROR(SEARCH("по паспорту",G800)),ISERROR(SEARCH("по паспорту",H800)),I800&lt;&gt;"",J800&lt;&gt;"",K800&lt;&gt;"",L800&lt;&gt;"",M800&lt;&gt;""),"ГОТОВО","НЕ ГОТОВО"))</f>
        <v/>
      </c>
      <c r="Z800" s="226">
        <f>IF(Y800&lt;&gt;"ГОТОВО","", "Предварительное заключение: "&amp;A800&amp;", скв. "&amp;B800&amp;". МРП: "&amp;E800&amp;" сут. ГНО: "&amp;F800&amp;", типоразмер "&amp;G800&amp;", марка "&amp;H800&amp;". Событие: "&amp;I800&amp;". Признак: "&amp;J800&amp;". Узел: "&amp;K800&amp;". Предварительная причина: "&amp;L800&amp;". Основное осложнение: "&amp;M800&amp;IF(N800&lt;&gt;"","; сопутствующее: "&amp;N800,"")&amp;IF(O800&lt;&gt;"","; дополнительно: "&amp;O800,"")&amp;".")</f>
        <v/>
      </c>
    </row>
    <row r="801">
      <c r="A801" s="75" t="n"/>
      <c r="B801" s="75" t="n"/>
      <c r="C801" s="261" t="n"/>
      <c r="D801" s="261" t="n"/>
      <c r="E801" s="262">
        <f>IF(OR(C801="",D801=""),"",D801-C801)</f>
        <v/>
      </c>
      <c r="F801" s="75" t="n"/>
      <c r="G801" s="75" t="n"/>
      <c r="H801" s="75" t="n"/>
      <c r="I801" s="75" t="n"/>
      <c r="J801" s="75" t="n"/>
      <c r="K801" s="75" t="n"/>
      <c r="L801" s="75" t="n"/>
      <c r="M801" s="75" t="n"/>
      <c r="N801" s="75" t="n"/>
      <c r="O801" s="75" t="n"/>
      <c r="P801" s="75" t="n"/>
      <c r="Q801" s="75" t="n"/>
      <c r="R801" s="75" t="n"/>
      <c r="S801" s="75" t="n"/>
      <c r="T801" s="75" t="n"/>
      <c r="U801" s="75" t="n"/>
      <c r="V801" s="75" t="n"/>
      <c r="W801" s="75" t="n"/>
      <c r="X801" s="75" t="n"/>
      <c r="Y801" s="226">
        <f>IF(AND(A801="",B801=""),"",IF(AND(A801&lt;&gt;"",B801&lt;&gt;"",C801&lt;&gt;"",D801&lt;&gt;"",F801&lt;&gt;"",G801&lt;&gt;"",H801&lt;&gt;"",ISERROR(SEARCH("по паспорту",G801)),ISERROR(SEARCH("по паспорту",H801)),I801&lt;&gt;"",J801&lt;&gt;"",K801&lt;&gt;"",L801&lt;&gt;"",M801&lt;&gt;""),"ГОТОВО","НЕ ГОТОВО"))</f>
        <v/>
      </c>
      <c r="Z801" s="226">
        <f>IF(Y801&lt;&gt;"ГОТОВО","", "Предварительное заключение: "&amp;A801&amp;", скв. "&amp;B801&amp;". МРП: "&amp;E801&amp;" сут. ГНО: "&amp;F801&amp;", типоразмер "&amp;G801&amp;", марка "&amp;H801&amp;". Событие: "&amp;I801&amp;". Признак: "&amp;J801&amp;". Узел: "&amp;K801&amp;". Предварительная причина: "&amp;L801&amp;". Основное осложнение: "&amp;M801&amp;IF(N801&lt;&gt;"","; сопутствующее: "&amp;N801,"")&amp;IF(O801&lt;&gt;"","; дополнительно: "&amp;O801,"")&amp;".")</f>
        <v/>
      </c>
    </row>
    <row r="802">
      <c r="A802" s="75" t="n"/>
      <c r="B802" s="75" t="n"/>
      <c r="C802" s="261" t="n"/>
      <c r="D802" s="261" t="n"/>
      <c r="E802" s="262">
        <f>IF(OR(C802="",D802=""),"",D802-C802)</f>
        <v/>
      </c>
      <c r="F802" s="75" t="n"/>
      <c r="G802" s="75" t="n"/>
      <c r="H802" s="75" t="n"/>
      <c r="I802" s="75" t="n"/>
      <c r="J802" s="75" t="n"/>
      <c r="K802" s="75" t="n"/>
      <c r="L802" s="75" t="n"/>
      <c r="M802" s="75" t="n"/>
      <c r="N802" s="75" t="n"/>
      <c r="O802" s="75" t="n"/>
      <c r="P802" s="75" t="n"/>
      <c r="Q802" s="75" t="n"/>
      <c r="R802" s="75" t="n"/>
      <c r="S802" s="75" t="n"/>
      <c r="T802" s="75" t="n"/>
      <c r="U802" s="75" t="n"/>
      <c r="V802" s="75" t="n"/>
      <c r="W802" s="75" t="n"/>
      <c r="X802" s="75" t="n"/>
      <c r="Y802" s="226">
        <f>IF(AND(A802="",B802=""),"",IF(AND(A802&lt;&gt;"",B802&lt;&gt;"",C802&lt;&gt;"",D802&lt;&gt;"",F802&lt;&gt;"",G802&lt;&gt;"",H802&lt;&gt;"",ISERROR(SEARCH("по паспорту",G802)),ISERROR(SEARCH("по паспорту",H802)),I802&lt;&gt;"",J802&lt;&gt;"",K802&lt;&gt;"",L802&lt;&gt;"",M802&lt;&gt;""),"ГОТОВО","НЕ ГОТОВО"))</f>
        <v/>
      </c>
      <c r="Z802" s="226">
        <f>IF(Y802&lt;&gt;"ГОТОВО","", "Предварительное заключение: "&amp;A802&amp;", скв. "&amp;B802&amp;". МРП: "&amp;E802&amp;" сут. ГНО: "&amp;F802&amp;", типоразмер "&amp;G802&amp;", марка "&amp;H802&amp;". Событие: "&amp;I802&amp;". Признак: "&amp;J802&amp;". Узел: "&amp;K802&amp;". Предварительная причина: "&amp;L802&amp;". Основное осложнение: "&amp;M802&amp;IF(N802&lt;&gt;"","; сопутствующее: "&amp;N802,"")&amp;IF(O802&lt;&gt;"","; дополнительно: "&amp;O802,"")&amp;".")</f>
        <v/>
      </c>
    </row>
    <row r="803">
      <c r="A803" s="75" t="n"/>
      <c r="B803" s="75" t="n"/>
      <c r="C803" s="261" t="n"/>
      <c r="D803" s="261" t="n"/>
      <c r="E803" s="262">
        <f>IF(OR(C803="",D803=""),"",D803-C803)</f>
        <v/>
      </c>
      <c r="F803" s="75" t="n"/>
      <c r="G803" s="75" t="n"/>
      <c r="H803" s="75" t="n"/>
      <c r="I803" s="75" t="n"/>
      <c r="J803" s="75" t="n"/>
      <c r="K803" s="75" t="n"/>
      <c r="L803" s="75" t="n"/>
      <c r="M803" s="75" t="n"/>
      <c r="N803" s="75" t="n"/>
      <c r="O803" s="75" t="n"/>
      <c r="P803" s="75" t="n"/>
      <c r="Q803" s="75" t="n"/>
      <c r="R803" s="75" t="n"/>
      <c r="S803" s="75" t="n"/>
      <c r="T803" s="75" t="n"/>
      <c r="U803" s="75" t="n"/>
      <c r="V803" s="75" t="n"/>
      <c r="W803" s="75" t="n"/>
      <c r="X803" s="75" t="n"/>
      <c r="Y803" s="226">
        <f>IF(AND(A803="",B803=""),"",IF(AND(A803&lt;&gt;"",B803&lt;&gt;"",C803&lt;&gt;"",D803&lt;&gt;"",F803&lt;&gt;"",G803&lt;&gt;"",H803&lt;&gt;"",ISERROR(SEARCH("по паспорту",G803)),ISERROR(SEARCH("по паспорту",H803)),I803&lt;&gt;"",J803&lt;&gt;"",K803&lt;&gt;"",L803&lt;&gt;"",M803&lt;&gt;""),"ГОТОВО","НЕ ГОТОВО"))</f>
        <v/>
      </c>
      <c r="Z803" s="226">
        <f>IF(Y803&lt;&gt;"ГОТОВО","", "Предварительное заключение: "&amp;A803&amp;", скв. "&amp;B803&amp;". МРП: "&amp;E803&amp;" сут. ГНО: "&amp;F803&amp;", типоразмер "&amp;G803&amp;", марка "&amp;H803&amp;". Событие: "&amp;I803&amp;". Признак: "&amp;J803&amp;". Узел: "&amp;K803&amp;". Предварительная причина: "&amp;L803&amp;". Основное осложнение: "&amp;M803&amp;IF(N803&lt;&gt;"","; сопутствующее: "&amp;N803,"")&amp;IF(O803&lt;&gt;"","; дополнительно: "&amp;O803,"")&amp;".")</f>
        <v/>
      </c>
    </row>
    <row r="804">
      <c r="A804" s="75" t="n"/>
      <c r="B804" s="75" t="n"/>
      <c r="C804" s="261" t="n"/>
      <c r="D804" s="261" t="n"/>
      <c r="E804" s="262">
        <f>IF(OR(C804="",D804=""),"",D804-C804)</f>
        <v/>
      </c>
      <c r="F804" s="75" t="n"/>
      <c r="G804" s="75" t="n"/>
      <c r="H804" s="75" t="n"/>
      <c r="I804" s="75" t="n"/>
      <c r="J804" s="75" t="n"/>
      <c r="K804" s="75" t="n"/>
      <c r="L804" s="75" t="n"/>
      <c r="M804" s="75" t="n"/>
      <c r="N804" s="75" t="n"/>
      <c r="O804" s="75" t="n"/>
      <c r="P804" s="75" t="n"/>
      <c r="Q804" s="75" t="n"/>
      <c r="R804" s="75" t="n"/>
      <c r="S804" s="75" t="n"/>
      <c r="T804" s="75" t="n"/>
      <c r="U804" s="75" t="n"/>
      <c r="V804" s="75" t="n"/>
      <c r="W804" s="75" t="n"/>
      <c r="X804" s="75" t="n"/>
      <c r="Y804" s="226">
        <f>IF(AND(A804="",B804=""),"",IF(AND(A804&lt;&gt;"",B804&lt;&gt;"",C804&lt;&gt;"",D804&lt;&gt;"",F804&lt;&gt;"",G804&lt;&gt;"",H804&lt;&gt;"",ISERROR(SEARCH("по паспорту",G804)),ISERROR(SEARCH("по паспорту",H804)),I804&lt;&gt;"",J804&lt;&gt;"",K804&lt;&gt;"",L804&lt;&gt;"",M804&lt;&gt;""),"ГОТОВО","НЕ ГОТОВО"))</f>
        <v/>
      </c>
      <c r="Z804" s="226">
        <f>IF(Y804&lt;&gt;"ГОТОВО","", "Предварительное заключение: "&amp;A804&amp;", скв. "&amp;B804&amp;". МРП: "&amp;E804&amp;" сут. ГНО: "&amp;F804&amp;", типоразмер "&amp;G804&amp;", марка "&amp;H804&amp;". Событие: "&amp;I804&amp;". Признак: "&amp;J804&amp;". Узел: "&amp;K804&amp;". Предварительная причина: "&amp;L804&amp;". Основное осложнение: "&amp;M804&amp;IF(N804&lt;&gt;"","; сопутствующее: "&amp;N804,"")&amp;IF(O804&lt;&gt;"","; дополнительно: "&amp;O804,"")&amp;".")</f>
        <v/>
      </c>
    </row>
    <row r="805">
      <c r="A805" s="75" t="n"/>
      <c r="B805" s="75" t="n"/>
      <c r="C805" s="261" t="n"/>
      <c r="D805" s="261" t="n"/>
      <c r="E805" s="262">
        <f>IF(OR(C805="",D805=""),"",D805-C805)</f>
        <v/>
      </c>
      <c r="F805" s="75" t="n"/>
      <c r="G805" s="75" t="n"/>
      <c r="H805" s="75" t="n"/>
      <c r="I805" s="75" t="n"/>
      <c r="J805" s="75" t="n"/>
      <c r="K805" s="75" t="n"/>
      <c r="L805" s="75" t="n"/>
      <c r="M805" s="75" t="n"/>
      <c r="N805" s="75" t="n"/>
      <c r="O805" s="75" t="n"/>
      <c r="P805" s="75" t="n"/>
      <c r="Q805" s="75" t="n"/>
      <c r="R805" s="75" t="n"/>
      <c r="S805" s="75" t="n"/>
      <c r="T805" s="75" t="n"/>
      <c r="U805" s="75" t="n"/>
      <c r="V805" s="75" t="n"/>
      <c r="W805" s="75" t="n"/>
      <c r="X805" s="75" t="n"/>
      <c r="Y805" s="226">
        <f>IF(AND(A805="",B805=""),"",IF(AND(A805&lt;&gt;"",B805&lt;&gt;"",C805&lt;&gt;"",D805&lt;&gt;"",F805&lt;&gt;"",G805&lt;&gt;"",H805&lt;&gt;"",ISERROR(SEARCH("по паспорту",G805)),ISERROR(SEARCH("по паспорту",H805)),I805&lt;&gt;"",J805&lt;&gt;"",K805&lt;&gt;"",L805&lt;&gt;"",M805&lt;&gt;""),"ГОТОВО","НЕ ГОТОВО"))</f>
        <v/>
      </c>
      <c r="Z805" s="226">
        <f>IF(Y805&lt;&gt;"ГОТОВО","", "Предварительное заключение: "&amp;A805&amp;", скв. "&amp;B805&amp;". МРП: "&amp;E805&amp;" сут. ГНО: "&amp;F805&amp;", типоразмер "&amp;G805&amp;", марка "&amp;H805&amp;". Событие: "&amp;I805&amp;". Признак: "&amp;J805&amp;". Узел: "&amp;K805&amp;". Предварительная причина: "&amp;L805&amp;". Основное осложнение: "&amp;M805&amp;IF(N805&lt;&gt;"","; сопутствующее: "&amp;N805,"")&amp;IF(O805&lt;&gt;"","; дополнительно: "&amp;O805,"")&amp;".")</f>
        <v/>
      </c>
    </row>
    <row r="806">
      <c r="A806" s="75" t="n"/>
      <c r="B806" s="75" t="n"/>
      <c r="C806" s="261" t="n"/>
      <c r="D806" s="261" t="n"/>
      <c r="E806" s="262">
        <f>IF(OR(C806="",D806=""),"",D806-C806)</f>
        <v/>
      </c>
      <c r="F806" s="75" t="n"/>
      <c r="G806" s="75" t="n"/>
      <c r="H806" s="75" t="n"/>
      <c r="I806" s="75" t="n"/>
      <c r="J806" s="75" t="n"/>
      <c r="K806" s="75" t="n"/>
      <c r="L806" s="75" t="n"/>
      <c r="M806" s="75" t="n"/>
      <c r="N806" s="75" t="n"/>
      <c r="O806" s="75" t="n"/>
      <c r="P806" s="75" t="n"/>
      <c r="Q806" s="75" t="n"/>
      <c r="R806" s="75" t="n"/>
      <c r="S806" s="75" t="n"/>
      <c r="T806" s="75" t="n"/>
      <c r="U806" s="75" t="n"/>
      <c r="V806" s="75" t="n"/>
      <c r="W806" s="75" t="n"/>
      <c r="X806" s="75" t="n"/>
      <c r="Y806" s="226">
        <f>IF(AND(A806="",B806=""),"",IF(AND(A806&lt;&gt;"",B806&lt;&gt;"",C806&lt;&gt;"",D806&lt;&gt;"",F806&lt;&gt;"",G806&lt;&gt;"",H806&lt;&gt;"",ISERROR(SEARCH("по паспорту",G806)),ISERROR(SEARCH("по паспорту",H806)),I806&lt;&gt;"",J806&lt;&gt;"",K806&lt;&gt;"",L806&lt;&gt;"",M806&lt;&gt;""),"ГОТОВО","НЕ ГОТОВО"))</f>
        <v/>
      </c>
      <c r="Z806" s="226">
        <f>IF(Y806&lt;&gt;"ГОТОВО","", "Предварительное заключение: "&amp;A806&amp;", скв. "&amp;B806&amp;". МРП: "&amp;E806&amp;" сут. ГНО: "&amp;F806&amp;", типоразмер "&amp;G806&amp;", марка "&amp;H806&amp;". Событие: "&amp;I806&amp;". Признак: "&amp;J806&amp;". Узел: "&amp;K806&amp;". Предварительная причина: "&amp;L806&amp;". Основное осложнение: "&amp;M806&amp;IF(N806&lt;&gt;"","; сопутствующее: "&amp;N806,"")&amp;IF(O806&lt;&gt;"","; дополнительно: "&amp;O806,"")&amp;".")</f>
        <v/>
      </c>
    </row>
    <row r="807">
      <c r="A807" s="75" t="n"/>
      <c r="B807" s="75" t="n"/>
      <c r="C807" s="261" t="n"/>
      <c r="D807" s="261" t="n"/>
      <c r="E807" s="262">
        <f>IF(OR(C807="",D807=""),"",D807-C807)</f>
        <v/>
      </c>
      <c r="F807" s="75" t="n"/>
      <c r="G807" s="75" t="n"/>
      <c r="H807" s="75" t="n"/>
      <c r="I807" s="75" t="n"/>
      <c r="J807" s="75" t="n"/>
      <c r="K807" s="75" t="n"/>
      <c r="L807" s="75" t="n"/>
      <c r="M807" s="75" t="n"/>
      <c r="N807" s="75" t="n"/>
      <c r="O807" s="75" t="n"/>
      <c r="P807" s="75" t="n"/>
      <c r="Q807" s="75" t="n"/>
      <c r="R807" s="75" t="n"/>
      <c r="S807" s="75" t="n"/>
      <c r="T807" s="75" t="n"/>
      <c r="U807" s="75" t="n"/>
      <c r="V807" s="75" t="n"/>
      <c r="W807" s="75" t="n"/>
      <c r="X807" s="75" t="n"/>
      <c r="Y807" s="226">
        <f>IF(AND(A807="",B807=""),"",IF(AND(A807&lt;&gt;"",B807&lt;&gt;"",C807&lt;&gt;"",D807&lt;&gt;"",F807&lt;&gt;"",G807&lt;&gt;"",H807&lt;&gt;"",ISERROR(SEARCH("по паспорту",G807)),ISERROR(SEARCH("по паспорту",H807)),I807&lt;&gt;"",J807&lt;&gt;"",K807&lt;&gt;"",L807&lt;&gt;"",M807&lt;&gt;""),"ГОТОВО","НЕ ГОТОВО"))</f>
        <v/>
      </c>
      <c r="Z807" s="226">
        <f>IF(Y807&lt;&gt;"ГОТОВО","", "Предварительное заключение: "&amp;A807&amp;", скв. "&amp;B807&amp;". МРП: "&amp;E807&amp;" сут. ГНО: "&amp;F807&amp;", типоразмер "&amp;G807&amp;", марка "&amp;H807&amp;". Событие: "&amp;I807&amp;". Признак: "&amp;J807&amp;". Узел: "&amp;K807&amp;". Предварительная причина: "&amp;L807&amp;". Основное осложнение: "&amp;M807&amp;IF(N807&lt;&gt;"","; сопутствующее: "&amp;N807,"")&amp;IF(O807&lt;&gt;"","; дополнительно: "&amp;O807,"")&amp;".")</f>
        <v/>
      </c>
    </row>
    <row r="808">
      <c r="A808" s="75" t="n"/>
      <c r="B808" s="75" t="n"/>
      <c r="C808" s="261" t="n"/>
      <c r="D808" s="261" t="n"/>
      <c r="E808" s="262">
        <f>IF(OR(C808="",D808=""),"",D808-C808)</f>
        <v/>
      </c>
      <c r="F808" s="75" t="n"/>
      <c r="G808" s="75" t="n"/>
      <c r="H808" s="75" t="n"/>
      <c r="I808" s="75" t="n"/>
      <c r="J808" s="75" t="n"/>
      <c r="K808" s="75" t="n"/>
      <c r="L808" s="75" t="n"/>
      <c r="M808" s="75" t="n"/>
      <c r="N808" s="75" t="n"/>
      <c r="O808" s="75" t="n"/>
      <c r="P808" s="75" t="n"/>
      <c r="Q808" s="75" t="n"/>
      <c r="R808" s="75" t="n"/>
      <c r="S808" s="75" t="n"/>
      <c r="T808" s="75" t="n"/>
      <c r="U808" s="75" t="n"/>
      <c r="V808" s="75" t="n"/>
      <c r="W808" s="75" t="n"/>
      <c r="X808" s="75" t="n"/>
      <c r="Y808" s="226">
        <f>IF(AND(A808="",B808=""),"",IF(AND(A808&lt;&gt;"",B808&lt;&gt;"",C808&lt;&gt;"",D808&lt;&gt;"",F808&lt;&gt;"",G808&lt;&gt;"",H808&lt;&gt;"",ISERROR(SEARCH("по паспорту",G808)),ISERROR(SEARCH("по паспорту",H808)),I808&lt;&gt;"",J808&lt;&gt;"",K808&lt;&gt;"",L808&lt;&gt;"",M808&lt;&gt;""),"ГОТОВО","НЕ ГОТОВО"))</f>
        <v/>
      </c>
      <c r="Z808" s="226">
        <f>IF(Y808&lt;&gt;"ГОТОВО","", "Предварительное заключение: "&amp;A808&amp;", скв. "&amp;B808&amp;". МРП: "&amp;E808&amp;" сут. ГНО: "&amp;F808&amp;", типоразмер "&amp;G808&amp;", марка "&amp;H808&amp;". Событие: "&amp;I808&amp;". Признак: "&amp;J808&amp;". Узел: "&amp;K808&amp;". Предварительная причина: "&amp;L808&amp;". Основное осложнение: "&amp;M808&amp;IF(N808&lt;&gt;"","; сопутствующее: "&amp;N808,"")&amp;IF(O808&lt;&gt;"","; дополнительно: "&amp;O808,"")&amp;".")</f>
        <v/>
      </c>
    </row>
    <row r="809">
      <c r="A809" s="75" t="n"/>
      <c r="B809" s="75" t="n"/>
      <c r="C809" s="261" t="n"/>
      <c r="D809" s="261" t="n"/>
      <c r="E809" s="262">
        <f>IF(OR(C809="",D809=""),"",D809-C809)</f>
        <v/>
      </c>
      <c r="F809" s="75" t="n"/>
      <c r="G809" s="75" t="n"/>
      <c r="H809" s="75" t="n"/>
      <c r="I809" s="75" t="n"/>
      <c r="J809" s="75" t="n"/>
      <c r="K809" s="75" t="n"/>
      <c r="L809" s="75" t="n"/>
      <c r="M809" s="75" t="n"/>
      <c r="N809" s="75" t="n"/>
      <c r="O809" s="75" t="n"/>
      <c r="P809" s="75" t="n"/>
      <c r="Q809" s="75" t="n"/>
      <c r="R809" s="75" t="n"/>
      <c r="S809" s="75" t="n"/>
      <c r="T809" s="75" t="n"/>
      <c r="U809" s="75" t="n"/>
      <c r="V809" s="75" t="n"/>
      <c r="W809" s="75" t="n"/>
      <c r="X809" s="75" t="n"/>
      <c r="Y809" s="226">
        <f>IF(AND(A809="",B809=""),"",IF(AND(A809&lt;&gt;"",B809&lt;&gt;"",C809&lt;&gt;"",D809&lt;&gt;"",F809&lt;&gt;"",G809&lt;&gt;"",H809&lt;&gt;"",ISERROR(SEARCH("по паспорту",G809)),ISERROR(SEARCH("по паспорту",H809)),I809&lt;&gt;"",J809&lt;&gt;"",K809&lt;&gt;"",L809&lt;&gt;"",M809&lt;&gt;""),"ГОТОВО","НЕ ГОТОВО"))</f>
        <v/>
      </c>
      <c r="Z809" s="226">
        <f>IF(Y809&lt;&gt;"ГОТОВО","", "Предварительное заключение: "&amp;A809&amp;", скв. "&amp;B809&amp;". МРП: "&amp;E809&amp;" сут. ГНО: "&amp;F809&amp;", типоразмер "&amp;G809&amp;", марка "&amp;H809&amp;". Событие: "&amp;I809&amp;". Признак: "&amp;J809&amp;". Узел: "&amp;K809&amp;". Предварительная причина: "&amp;L809&amp;". Основное осложнение: "&amp;M809&amp;IF(N809&lt;&gt;"","; сопутствующее: "&amp;N809,"")&amp;IF(O809&lt;&gt;"","; дополнительно: "&amp;O809,"")&amp;".")</f>
        <v/>
      </c>
    </row>
    <row r="810">
      <c r="A810" s="75" t="n"/>
      <c r="B810" s="75" t="n"/>
      <c r="C810" s="261" t="n"/>
      <c r="D810" s="261" t="n"/>
      <c r="E810" s="262">
        <f>IF(OR(C810="",D810=""),"",D810-C810)</f>
        <v/>
      </c>
      <c r="F810" s="75" t="n"/>
      <c r="G810" s="75" t="n"/>
      <c r="H810" s="75" t="n"/>
      <c r="I810" s="75" t="n"/>
      <c r="J810" s="75" t="n"/>
      <c r="K810" s="75" t="n"/>
      <c r="L810" s="75" t="n"/>
      <c r="M810" s="75" t="n"/>
      <c r="N810" s="75" t="n"/>
      <c r="O810" s="75" t="n"/>
      <c r="P810" s="75" t="n"/>
      <c r="Q810" s="75" t="n"/>
      <c r="R810" s="75" t="n"/>
      <c r="S810" s="75" t="n"/>
      <c r="T810" s="75" t="n"/>
      <c r="U810" s="75" t="n"/>
      <c r="V810" s="75" t="n"/>
      <c r="W810" s="75" t="n"/>
      <c r="X810" s="75" t="n"/>
      <c r="Y810" s="226">
        <f>IF(AND(A810="",B810=""),"",IF(AND(A810&lt;&gt;"",B810&lt;&gt;"",C810&lt;&gt;"",D810&lt;&gt;"",F810&lt;&gt;"",G810&lt;&gt;"",H810&lt;&gt;"",ISERROR(SEARCH("по паспорту",G810)),ISERROR(SEARCH("по паспорту",H810)),I810&lt;&gt;"",J810&lt;&gt;"",K810&lt;&gt;"",L810&lt;&gt;"",M810&lt;&gt;""),"ГОТОВО","НЕ ГОТОВО"))</f>
        <v/>
      </c>
      <c r="Z810" s="226">
        <f>IF(Y810&lt;&gt;"ГОТОВО","", "Предварительное заключение: "&amp;A810&amp;", скв. "&amp;B810&amp;". МРП: "&amp;E810&amp;" сут. ГНО: "&amp;F810&amp;", типоразмер "&amp;G810&amp;", марка "&amp;H810&amp;". Событие: "&amp;I810&amp;". Признак: "&amp;J810&amp;". Узел: "&amp;K810&amp;". Предварительная причина: "&amp;L810&amp;". Основное осложнение: "&amp;M810&amp;IF(N810&lt;&gt;"","; сопутствующее: "&amp;N810,"")&amp;IF(O810&lt;&gt;"","; дополнительно: "&amp;O810,"")&amp;".")</f>
        <v/>
      </c>
    </row>
    <row r="811">
      <c r="A811" s="75" t="n"/>
      <c r="B811" s="75" t="n"/>
      <c r="C811" s="261" t="n"/>
      <c r="D811" s="261" t="n"/>
      <c r="E811" s="262">
        <f>IF(OR(C811="",D811=""),"",D811-C811)</f>
        <v/>
      </c>
      <c r="F811" s="75" t="n"/>
      <c r="G811" s="75" t="n"/>
      <c r="H811" s="75" t="n"/>
      <c r="I811" s="75" t="n"/>
      <c r="J811" s="75" t="n"/>
      <c r="K811" s="75" t="n"/>
      <c r="L811" s="75" t="n"/>
      <c r="M811" s="75" t="n"/>
      <c r="N811" s="75" t="n"/>
      <c r="O811" s="75" t="n"/>
      <c r="P811" s="75" t="n"/>
      <c r="Q811" s="75" t="n"/>
      <c r="R811" s="75" t="n"/>
      <c r="S811" s="75" t="n"/>
      <c r="T811" s="75" t="n"/>
      <c r="U811" s="75" t="n"/>
      <c r="V811" s="75" t="n"/>
      <c r="W811" s="75" t="n"/>
      <c r="X811" s="75" t="n"/>
      <c r="Y811" s="226">
        <f>IF(AND(A811="",B811=""),"",IF(AND(A811&lt;&gt;"",B811&lt;&gt;"",C811&lt;&gt;"",D811&lt;&gt;"",F811&lt;&gt;"",G811&lt;&gt;"",H811&lt;&gt;"",ISERROR(SEARCH("по паспорту",G811)),ISERROR(SEARCH("по паспорту",H811)),I811&lt;&gt;"",J811&lt;&gt;"",K811&lt;&gt;"",L811&lt;&gt;"",M811&lt;&gt;""),"ГОТОВО","НЕ ГОТОВО"))</f>
        <v/>
      </c>
      <c r="Z811" s="226">
        <f>IF(Y811&lt;&gt;"ГОТОВО","", "Предварительное заключение: "&amp;A811&amp;", скв. "&amp;B811&amp;". МРП: "&amp;E811&amp;" сут. ГНО: "&amp;F811&amp;", типоразмер "&amp;G811&amp;", марка "&amp;H811&amp;". Событие: "&amp;I811&amp;". Признак: "&amp;J811&amp;". Узел: "&amp;K811&amp;". Предварительная причина: "&amp;L811&amp;". Основное осложнение: "&amp;M811&amp;IF(N811&lt;&gt;"","; сопутствующее: "&amp;N811,"")&amp;IF(O811&lt;&gt;"","; дополнительно: "&amp;O811,"")&amp;".")</f>
        <v/>
      </c>
    </row>
    <row r="812">
      <c r="A812" s="75" t="n"/>
      <c r="B812" s="75" t="n"/>
      <c r="C812" s="261" t="n"/>
      <c r="D812" s="261" t="n"/>
      <c r="E812" s="262">
        <f>IF(OR(C812="",D812=""),"",D812-C812)</f>
        <v/>
      </c>
      <c r="F812" s="75" t="n"/>
      <c r="G812" s="75" t="n"/>
      <c r="H812" s="75" t="n"/>
      <c r="I812" s="75" t="n"/>
      <c r="J812" s="75" t="n"/>
      <c r="K812" s="75" t="n"/>
      <c r="L812" s="75" t="n"/>
      <c r="M812" s="75" t="n"/>
      <c r="N812" s="75" t="n"/>
      <c r="O812" s="75" t="n"/>
      <c r="P812" s="75" t="n"/>
      <c r="Q812" s="75" t="n"/>
      <c r="R812" s="75" t="n"/>
      <c r="S812" s="75" t="n"/>
      <c r="T812" s="75" t="n"/>
      <c r="U812" s="75" t="n"/>
      <c r="V812" s="75" t="n"/>
      <c r="W812" s="75" t="n"/>
      <c r="X812" s="75" t="n"/>
      <c r="Y812" s="226">
        <f>IF(AND(A812="",B812=""),"",IF(AND(A812&lt;&gt;"",B812&lt;&gt;"",C812&lt;&gt;"",D812&lt;&gt;"",F812&lt;&gt;"",G812&lt;&gt;"",H812&lt;&gt;"",ISERROR(SEARCH("по паспорту",G812)),ISERROR(SEARCH("по паспорту",H812)),I812&lt;&gt;"",J812&lt;&gt;"",K812&lt;&gt;"",L812&lt;&gt;"",M812&lt;&gt;""),"ГОТОВО","НЕ ГОТОВО"))</f>
        <v/>
      </c>
      <c r="Z812" s="226">
        <f>IF(Y812&lt;&gt;"ГОТОВО","", "Предварительное заключение: "&amp;A812&amp;", скв. "&amp;B812&amp;". МРП: "&amp;E812&amp;" сут. ГНО: "&amp;F812&amp;", типоразмер "&amp;G812&amp;", марка "&amp;H812&amp;". Событие: "&amp;I812&amp;". Признак: "&amp;J812&amp;". Узел: "&amp;K812&amp;". Предварительная причина: "&amp;L812&amp;". Основное осложнение: "&amp;M812&amp;IF(N812&lt;&gt;"","; сопутствующее: "&amp;N812,"")&amp;IF(O812&lt;&gt;"","; дополнительно: "&amp;O812,"")&amp;".")</f>
        <v/>
      </c>
    </row>
    <row r="813">
      <c r="A813" s="75" t="n"/>
      <c r="B813" s="75" t="n"/>
      <c r="C813" s="261" t="n"/>
      <c r="D813" s="261" t="n"/>
      <c r="E813" s="262">
        <f>IF(OR(C813="",D813=""),"",D813-C813)</f>
        <v/>
      </c>
      <c r="F813" s="75" t="n"/>
      <c r="G813" s="75" t="n"/>
      <c r="H813" s="75" t="n"/>
      <c r="I813" s="75" t="n"/>
      <c r="J813" s="75" t="n"/>
      <c r="K813" s="75" t="n"/>
      <c r="L813" s="75" t="n"/>
      <c r="M813" s="75" t="n"/>
      <c r="N813" s="75" t="n"/>
      <c r="O813" s="75" t="n"/>
      <c r="P813" s="75" t="n"/>
      <c r="Q813" s="75" t="n"/>
      <c r="R813" s="75" t="n"/>
      <c r="S813" s="75" t="n"/>
      <c r="T813" s="75" t="n"/>
      <c r="U813" s="75" t="n"/>
      <c r="V813" s="75" t="n"/>
      <c r="W813" s="75" t="n"/>
      <c r="X813" s="75" t="n"/>
      <c r="Y813" s="226">
        <f>IF(AND(A813="",B813=""),"",IF(AND(A813&lt;&gt;"",B813&lt;&gt;"",C813&lt;&gt;"",D813&lt;&gt;"",F813&lt;&gt;"",G813&lt;&gt;"",H813&lt;&gt;"",ISERROR(SEARCH("по паспорту",G813)),ISERROR(SEARCH("по паспорту",H813)),I813&lt;&gt;"",J813&lt;&gt;"",K813&lt;&gt;"",L813&lt;&gt;"",M813&lt;&gt;""),"ГОТОВО","НЕ ГОТОВО"))</f>
        <v/>
      </c>
      <c r="Z813" s="226">
        <f>IF(Y813&lt;&gt;"ГОТОВО","", "Предварительное заключение: "&amp;A813&amp;", скв. "&amp;B813&amp;". МРП: "&amp;E813&amp;" сут. ГНО: "&amp;F813&amp;", типоразмер "&amp;G813&amp;", марка "&amp;H813&amp;". Событие: "&amp;I813&amp;". Признак: "&amp;J813&amp;". Узел: "&amp;K813&amp;". Предварительная причина: "&amp;L813&amp;". Основное осложнение: "&amp;M813&amp;IF(N813&lt;&gt;"","; сопутствующее: "&amp;N813,"")&amp;IF(O813&lt;&gt;"","; дополнительно: "&amp;O813,"")&amp;".")</f>
        <v/>
      </c>
    </row>
    <row r="814">
      <c r="A814" s="75" t="n"/>
      <c r="B814" s="75" t="n"/>
      <c r="C814" s="261" t="n"/>
      <c r="D814" s="261" t="n"/>
      <c r="E814" s="262">
        <f>IF(OR(C814="",D814=""),"",D814-C814)</f>
        <v/>
      </c>
      <c r="F814" s="75" t="n"/>
      <c r="G814" s="75" t="n"/>
      <c r="H814" s="75" t="n"/>
      <c r="I814" s="75" t="n"/>
      <c r="J814" s="75" t="n"/>
      <c r="K814" s="75" t="n"/>
      <c r="L814" s="75" t="n"/>
      <c r="M814" s="75" t="n"/>
      <c r="N814" s="75" t="n"/>
      <c r="O814" s="75" t="n"/>
      <c r="P814" s="75" t="n"/>
      <c r="Q814" s="75" t="n"/>
      <c r="R814" s="75" t="n"/>
      <c r="S814" s="75" t="n"/>
      <c r="T814" s="75" t="n"/>
      <c r="U814" s="75" t="n"/>
      <c r="V814" s="75" t="n"/>
      <c r="W814" s="75" t="n"/>
      <c r="X814" s="75" t="n"/>
      <c r="Y814" s="226">
        <f>IF(AND(A814="",B814=""),"",IF(AND(A814&lt;&gt;"",B814&lt;&gt;"",C814&lt;&gt;"",D814&lt;&gt;"",F814&lt;&gt;"",G814&lt;&gt;"",H814&lt;&gt;"",ISERROR(SEARCH("по паспорту",G814)),ISERROR(SEARCH("по паспорту",H814)),I814&lt;&gt;"",J814&lt;&gt;"",K814&lt;&gt;"",L814&lt;&gt;"",M814&lt;&gt;""),"ГОТОВО","НЕ ГОТОВО"))</f>
        <v/>
      </c>
      <c r="Z814" s="226">
        <f>IF(Y814&lt;&gt;"ГОТОВО","", "Предварительное заключение: "&amp;A814&amp;", скв. "&amp;B814&amp;". МРП: "&amp;E814&amp;" сут. ГНО: "&amp;F814&amp;", типоразмер "&amp;G814&amp;", марка "&amp;H814&amp;". Событие: "&amp;I814&amp;". Признак: "&amp;J814&amp;". Узел: "&amp;K814&amp;". Предварительная причина: "&amp;L814&amp;". Основное осложнение: "&amp;M814&amp;IF(N814&lt;&gt;"","; сопутствующее: "&amp;N814,"")&amp;IF(O814&lt;&gt;"","; дополнительно: "&amp;O814,"")&amp;".")</f>
        <v/>
      </c>
    </row>
    <row r="815">
      <c r="A815" s="75" t="n"/>
      <c r="B815" s="75" t="n"/>
      <c r="C815" s="261" t="n"/>
      <c r="D815" s="261" t="n"/>
      <c r="E815" s="262">
        <f>IF(OR(C815="",D815=""),"",D815-C815)</f>
        <v/>
      </c>
      <c r="F815" s="75" t="n"/>
      <c r="G815" s="75" t="n"/>
      <c r="H815" s="75" t="n"/>
      <c r="I815" s="75" t="n"/>
      <c r="J815" s="75" t="n"/>
      <c r="K815" s="75" t="n"/>
      <c r="L815" s="75" t="n"/>
      <c r="M815" s="75" t="n"/>
      <c r="N815" s="75" t="n"/>
      <c r="O815" s="75" t="n"/>
      <c r="P815" s="75" t="n"/>
      <c r="Q815" s="75" t="n"/>
      <c r="R815" s="75" t="n"/>
      <c r="S815" s="75" t="n"/>
      <c r="T815" s="75" t="n"/>
      <c r="U815" s="75" t="n"/>
      <c r="V815" s="75" t="n"/>
      <c r="W815" s="75" t="n"/>
      <c r="X815" s="75" t="n"/>
      <c r="Y815" s="226">
        <f>IF(AND(A815="",B815=""),"",IF(AND(A815&lt;&gt;"",B815&lt;&gt;"",C815&lt;&gt;"",D815&lt;&gt;"",F815&lt;&gt;"",G815&lt;&gt;"",H815&lt;&gt;"",ISERROR(SEARCH("по паспорту",G815)),ISERROR(SEARCH("по паспорту",H815)),I815&lt;&gt;"",J815&lt;&gt;"",K815&lt;&gt;"",L815&lt;&gt;"",M815&lt;&gt;""),"ГОТОВО","НЕ ГОТОВО"))</f>
        <v/>
      </c>
      <c r="Z815" s="226">
        <f>IF(Y815&lt;&gt;"ГОТОВО","", "Предварительное заключение: "&amp;A815&amp;", скв. "&amp;B815&amp;". МРП: "&amp;E815&amp;" сут. ГНО: "&amp;F815&amp;", типоразмер "&amp;G815&amp;", марка "&amp;H815&amp;". Событие: "&amp;I815&amp;". Признак: "&amp;J815&amp;". Узел: "&amp;K815&amp;". Предварительная причина: "&amp;L815&amp;". Основное осложнение: "&amp;M815&amp;IF(N815&lt;&gt;"","; сопутствующее: "&amp;N815,"")&amp;IF(O815&lt;&gt;"","; дополнительно: "&amp;O815,"")&amp;".")</f>
        <v/>
      </c>
    </row>
    <row r="816">
      <c r="A816" s="75" t="n"/>
      <c r="B816" s="75" t="n"/>
      <c r="C816" s="261" t="n"/>
      <c r="D816" s="261" t="n"/>
      <c r="E816" s="262">
        <f>IF(OR(C816="",D816=""),"",D816-C816)</f>
        <v/>
      </c>
      <c r="F816" s="75" t="n"/>
      <c r="G816" s="75" t="n"/>
      <c r="H816" s="75" t="n"/>
      <c r="I816" s="75" t="n"/>
      <c r="J816" s="75" t="n"/>
      <c r="K816" s="75" t="n"/>
      <c r="L816" s="75" t="n"/>
      <c r="M816" s="75" t="n"/>
      <c r="N816" s="75" t="n"/>
      <c r="O816" s="75" t="n"/>
      <c r="P816" s="75" t="n"/>
      <c r="Q816" s="75" t="n"/>
      <c r="R816" s="75" t="n"/>
      <c r="S816" s="75" t="n"/>
      <c r="T816" s="75" t="n"/>
      <c r="U816" s="75" t="n"/>
      <c r="V816" s="75" t="n"/>
      <c r="W816" s="75" t="n"/>
      <c r="X816" s="75" t="n"/>
      <c r="Y816" s="226">
        <f>IF(AND(A816="",B816=""),"",IF(AND(A816&lt;&gt;"",B816&lt;&gt;"",C816&lt;&gt;"",D816&lt;&gt;"",F816&lt;&gt;"",G816&lt;&gt;"",H816&lt;&gt;"",ISERROR(SEARCH("по паспорту",G816)),ISERROR(SEARCH("по паспорту",H816)),I816&lt;&gt;"",J816&lt;&gt;"",K816&lt;&gt;"",L816&lt;&gt;"",M816&lt;&gt;""),"ГОТОВО","НЕ ГОТОВО"))</f>
        <v/>
      </c>
      <c r="Z816" s="226">
        <f>IF(Y816&lt;&gt;"ГОТОВО","", "Предварительное заключение: "&amp;A816&amp;", скв. "&amp;B816&amp;". МРП: "&amp;E816&amp;" сут. ГНО: "&amp;F816&amp;", типоразмер "&amp;G816&amp;", марка "&amp;H816&amp;". Событие: "&amp;I816&amp;". Признак: "&amp;J816&amp;". Узел: "&amp;K816&amp;". Предварительная причина: "&amp;L816&amp;". Основное осложнение: "&amp;M816&amp;IF(N816&lt;&gt;"","; сопутствующее: "&amp;N816,"")&amp;IF(O816&lt;&gt;"","; дополнительно: "&amp;O816,"")&amp;".")</f>
        <v/>
      </c>
    </row>
    <row r="817">
      <c r="A817" s="75" t="n"/>
      <c r="B817" s="75" t="n"/>
      <c r="C817" s="261" t="n"/>
      <c r="D817" s="261" t="n"/>
      <c r="E817" s="262">
        <f>IF(OR(C817="",D817=""),"",D817-C817)</f>
        <v/>
      </c>
      <c r="F817" s="75" t="n"/>
      <c r="G817" s="75" t="n"/>
      <c r="H817" s="75" t="n"/>
      <c r="I817" s="75" t="n"/>
      <c r="J817" s="75" t="n"/>
      <c r="K817" s="75" t="n"/>
      <c r="L817" s="75" t="n"/>
      <c r="M817" s="75" t="n"/>
      <c r="N817" s="75" t="n"/>
      <c r="O817" s="75" t="n"/>
      <c r="P817" s="75" t="n"/>
      <c r="Q817" s="75" t="n"/>
      <c r="R817" s="75" t="n"/>
      <c r="S817" s="75" t="n"/>
      <c r="T817" s="75" t="n"/>
      <c r="U817" s="75" t="n"/>
      <c r="V817" s="75" t="n"/>
      <c r="W817" s="75" t="n"/>
      <c r="X817" s="75" t="n"/>
      <c r="Y817" s="226">
        <f>IF(AND(A817="",B817=""),"",IF(AND(A817&lt;&gt;"",B817&lt;&gt;"",C817&lt;&gt;"",D817&lt;&gt;"",F817&lt;&gt;"",G817&lt;&gt;"",H817&lt;&gt;"",ISERROR(SEARCH("по паспорту",G817)),ISERROR(SEARCH("по паспорту",H817)),I817&lt;&gt;"",J817&lt;&gt;"",K817&lt;&gt;"",L817&lt;&gt;"",M817&lt;&gt;""),"ГОТОВО","НЕ ГОТОВО"))</f>
        <v/>
      </c>
      <c r="Z817" s="226">
        <f>IF(Y817&lt;&gt;"ГОТОВО","", "Предварительное заключение: "&amp;A817&amp;", скв. "&amp;B817&amp;". МРП: "&amp;E817&amp;" сут. ГНО: "&amp;F817&amp;", типоразмер "&amp;G817&amp;", марка "&amp;H817&amp;". Событие: "&amp;I817&amp;". Признак: "&amp;J817&amp;". Узел: "&amp;K817&amp;". Предварительная причина: "&amp;L817&amp;". Основное осложнение: "&amp;M817&amp;IF(N817&lt;&gt;"","; сопутствующее: "&amp;N817,"")&amp;IF(O817&lt;&gt;"","; дополнительно: "&amp;O817,"")&amp;".")</f>
        <v/>
      </c>
    </row>
    <row r="818">
      <c r="A818" s="75" t="n"/>
      <c r="B818" s="75" t="n"/>
      <c r="C818" s="261" t="n"/>
      <c r="D818" s="261" t="n"/>
      <c r="E818" s="262">
        <f>IF(OR(C818="",D818=""),"",D818-C818)</f>
        <v/>
      </c>
      <c r="F818" s="75" t="n"/>
      <c r="G818" s="75" t="n"/>
      <c r="H818" s="75" t="n"/>
      <c r="I818" s="75" t="n"/>
      <c r="J818" s="75" t="n"/>
      <c r="K818" s="75" t="n"/>
      <c r="L818" s="75" t="n"/>
      <c r="M818" s="75" t="n"/>
      <c r="N818" s="75" t="n"/>
      <c r="O818" s="75" t="n"/>
      <c r="P818" s="75" t="n"/>
      <c r="Q818" s="75" t="n"/>
      <c r="R818" s="75" t="n"/>
      <c r="S818" s="75" t="n"/>
      <c r="T818" s="75" t="n"/>
      <c r="U818" s="75" t="n"/>
      <c r="V818" s="75" t="n"/>
      <c r="W818" s="75" t="n"/>
      <c r="X818" s="75" t="n"/>
      <c r="Y818" s="226">
        <f>IF(AND(A818="",B818=""),"",IF(AND(A818&lt;&gt;"",B818&lt;&gt;"",C818&lt;&gt;"",D818&lt;&gt;"",F818&lt;&gt;"",G818&lt;&gt;"",H818&lt;&gt;"",ISERROR(SEARCH("по паспорту",G818)),ISERROR(SEARCH("по паспорту",H818)),I818&lt;&gt;"",J818&lt;&gt;"",K818&lt;&gt;"",L818&lt;&gt;"",M818&lt;&gt;""),"ГОТОВО","НЕ ГОТОВО"))</f>
        <v/>
      </c>
      <c r="Z818" s="226">
        <f>IF(Y818&lt;&gt;"ГОТОВО","", "Предварительное заключение: "&amp;A818&amp;", скв. "&amp;B818&amp;". МРП: "&amp;E818&amp;" сут. ГНО: "&amp;F818&amp;", типоразмер "&amp;G818&amp;", марка "&amp;H818&amp;". Событие: "&amp;I818&amp;". Признак: "&amp;J818&amp;". Узел: "&amp;K818&amp;". Предварительная причина: "&amp;L818&amp;". Основное осложнение: "&amp;M818&amp;IF(N818&lt;&gt;"","; сопутствующее: "&amp;N818,"")&amp;IF(O818&lt;&gt;"","; дополнительно: "&amp;O818,"")&amp;".")</f>
        <v/>
      </c>
    </row>
    <row r="819">
      <c r="A819" s="75" t="n"/>
      <c r="B819" s="75" t="n"/>
      <c r="C819" s="261" t="n"/>
      <c r="D819" s="261" t="n"/>
      <c r="E819" s="262">
        <f>IF(OR(C819="",D819=""),"",D819-C819)</f>
        <v/>
      </c>
      <c r="F819" s="75" t="n"/>
      <c r="G819" s="75" t="n"/>
      <c r="H819" s="75" t="n"/>
      <c r="I819" s="75" t="n"/>
      <c r="J819" s="75" t="n"/>
      <c r="K819" s="75" t="n"/>
      <c r="L819" s="75" t="n"/>
      <c r="M819" s="75" t="n"/>
      <c r="N819" s="75" t="n"/>
      <c r="O819" s="75" t="n"/>
      <c r="P819" s="75" t="n"/>
      <c r="Q819" s="75" t="n"/>
      <c r="R819" s="75" t="n"/>
      <c r="S819" s="75" t="n"/>
      <c r="T819" s="75" t="n"/>
      <c r="U819" s="75" t="n"/>
      <c r="V819" s="75" t="n"/>
      <c r="W819" s="75" t="n"/>
      <c r="X819" s="75" t="n"/>
      <c r="Y819" s="226">
        <f>IF(AND(A819="",B819=""),"",IF(AND(A819&lt;&gt;"",B819&lt;&gt;"",C819&lt;&gt;"",D819&lt;&gt;"",F819&lt;&gt;"",G819&lt;&gt;"",H819&lt;&gt;"",ISERROR(SEARCH("по паспорту",G819)),ISERROR(SEARCH("по паспорту",H819)),I819&lt;&gt;"",J819&lt;&gt;"",K819&lt;&gt;"",L819&lt;&gt;"",M819&lt;&gt;""),"ГОТОВО","НЕ ГОТОВО"))</f>
        <v/>
      </c>
      <c r="Z819" s="226">
        <f>IF(Y819&lt;&gt;"ГОТОВО","", "Предварительное заключение: "&amp;A819&amp;", скв. "&amp;B819&amp;". МРП: "&amp;E819&amp;" сут. ГНО: "&amp;F819&amp;", типоразмер "&amp;G819&amp;", марка "&amp;H819&amp;". Событие: "&amp;I819&amp;". Признак: "&amp;J819&amp;". Узел: "&amp;K819&amp;". Предварительная причина: "&amp;L819&amp;". Основное осложнение: "&amp;M819&amp;IF(N819&lt;&gt;"","; сопутствующее: "&amp;N819,"")&amp;IF(O819&lt;&gt;"","; дополнительно: "&amp;O819,"")&amp;".")</f>
        <v/>
      </c>
    </row>
    <row r="820">
      <c r="A820" s="75" t="n"/>
      <c r="B820" s="75" t="n"/>
      <c r="C820" s="261" t="n"/>
      <c r="D820" s="261" t="n"/>
      <c r="E820" s="262">
        <f>IF(OR(C820="",D820=""),"",D820-C820)</f>
        <v/>
      </c>
      <c r="F820" s="75" t="n"/>
      <c r="G820" s="75" t="n"/>
      <c r="H820" s="75" t="n"/>
      <c r="I820" s="75" t="n"/>
      <c r="J820" s="75" t="n"/>
      <c r="K820" s="75" t="n"/>
      <c r="L820" s="75" t="n"/>
      <c r="M820" s="75" t="n"/>
      <c r="N820" s="75" t="n"/>
      <c r="O820" s="75" t="n"/>
      <c r="P820" s="75" t="n"/>
      <c r="Q820" s="75" t="n"/>
      <c r="R820" s="75" t="n"/>
      <c r="S820" s="75" t="n"/>
      <c r="T820" s="75" t="n"/>
      <c r="U820" s="75" t="n"/>
      <c r="V820" s="75" t="n"/>
      <c r="W820" s="75" t="n"/>
      <c r="X820" s="75" t="n"/>
      <c r="Y820" s="226">
        <f>IF(AND(A820="",B820=""),"",IF(AND(A820&lt;&gt;"",B820&lt;&gt;"",C820&lt;&gt;"",D820&lt;&gt;"",F820&lt;&gt;"",G820&lt;&gt;"",H820&lt;&gt;"",ISERROR(SEARCH("по паспорту",G820)),ISERROR(SEARCH("по паспорту",H820)),I820&lt;&gt;"",J820&lt;&gt;"",K820&lt;&gt;"",L820&lt;&gt;"",M820&lt;&gt;""),"ГОТОВО","НЕ ГОТОВО"))</f>
        <v/>
      </c>
      <c r="Z820" s="226">
        <f>IF(Y820&lt;&gt;"ГОТОВО","", "Предварительное заключение: "&amp;A820&amp;", скв. "&amp;B820&amp;". МРП: "&amp;E820&amp;" сут. ГНО: "&amp;F820&amp;", типоразмер "&amp;G820&amp;", марка "&amp;H820&amp;". Событие: "&amp;I820&amp;". Признак: "&amp;J820&amp;". Узел: "&amp;K820&amp;". Предварительная причина: "&amp;L820&amp;". Основное осложнение: "&amp;M820&amp;IF(N820&lt;&gt;"","; сопутствующее: "&amp;N820,"")&amp;IF(O820&lt;&gt;"","; дополнительно: "&amp;O820,"")&amp;".")</f>
        <v/>
      </c>
    </row>
    <row r="821">
      <c r="A821" s="75" t="n"/>
      <c r="B821" s="75" t="n"/>
      <c r="C821" s="261" t="n"/>
      <c r="D821" s="261" t="n"/>
      <c r="E821" s="262">
        <f>IF(OR(C821="",D821=""),"",D821-C821)</f>
        <v/>
      </c>
      <c r="F821" s="75" t="n"/>
      <c r="G821" s="75" t="n"/>
      <c r="H821" s="75" t="n"/>
      <c r="I821" s="75" t="n"/>
      <c r="J821" s="75" t="n"/>
      <c r="K821" s="75" t="n"/>
      <c r="L821" s="75" t="n"/>
      <c r="M821" s="75" t="n"/>
      <c r="N821" s="75" t="n"/>
      <c r="O821" s="75" t="n"/>
      <c r="P821" s="75" t="n"/>
      <c r="Q821" s="75" t="n"/>
      <c r="R821" s="75" t="n"/>
      <c r="S821" s="75" t="n"/>
      <c r="T821" s="75" t="n"/>
      <c r="U821" s="75" t="n"/>
      <c r="V821" s="75" t="n"/>
      <c r="W821" s="75" t="n"/>
      <c r="X821" s="75" t="n"/>
      <c r="Y821" s="226">
        <f>IF(AND(A821="",B821=""),"",IF(AND(A821&lt;&gt;"",B821&lt;&gt;"",C821&lt;&gt;"",D821&lt;&gt;"",F821&lt;&gt;"",G821&lt;&gt;"",H821&lt;&gt;"",ISERROR(SEARCH("по паспорту",G821)),ISERROR(SEARCH("по паспорту",H821)),I821&lt;&gt;"",J821&lt;&gt;"",K821&lt;&gt;"",L821&lt;&gt;"",M821&lt;&gt;""),"ГОТОВО","НЕ ГОТОВО"))</f>
        <v/>
      </c>
      <c r="Z821" s="226">
        <f>IF(Y821&lt;&gt;"ГОТОВО","", "Предварительное заключение: "&amp;A821&amp;", скв. "&amp;B821&amp;". МРП: "&amp;E821&amp;" сут. ГНО: "&amp;F821&amp;", типоразмер "&amp;G821&amp;", марка "&amp;H821&amp;". Событие: "&amp;I821&amp;". Признак: "&amp;J821&amp;". Узел: "&amp;K821&amp;". Предварительная причина: "&amp;L821&amp;". Основное осложнение: "&amp;M821&amp;IF(N821&lt;&gt;"","; сопутствующее: "&amp;N821,"")&amp;IF(O821&lt;&gt;"","; дополнительно: "&amp;O821,"")&amp;".")</f>
        <v/>
      </c>
    </row>
    <row r="822">
      <c r="A822" s="75" t="n"/>
      <c r="B822" s="75" t="n"/>
      <c r="C822" s="261" t="n"/>
      <c r="D822" s="261" t="n"/>
      <c r="E822" s="262">
        <f>IF(OR(C822="",D822=""),"",D822-C822)</f>
        <v/>
      </c>
      <c r="F822" s="75" t="n"/>
      <c r="G822" s="75" t="n"/>
      <c r="H822" s="75" t="n"/>
      <c r="I822" s="75" t="n"/>
      <c r="J822" s="75" t="n"/>
      <c r="K822" s="75" t="n"/>
      <c r="L822" s="75" t="n"/>
      <c r="M822" s="75" t="n"/>
      <c r="N822" s="75" t="n"/>
      <c r="O822" s="75" t="n"/>
      <c r="P822" s="75" t="n"/>
      <c r="Q822" s="75" t="n"/>
      <c r="R822" s="75" t="n"/>
      <c r="S822" s="75" t="n"/>
      <c r="T822" s="75" t="n"/>
      <c r="U822" s="75" t="n"/>
      <c r="V822" s="75" t="n"/>
      <c r="W822" s="75" t="n"/>
      <c r="X822" s="75" t="n"/>
      <c r="Y822" s="226">
        <f>IF(AND(A822="",B822=""),"",IF(AND(A822&lt;&gt;"",B822&lt;&gt;"",C822&lt;&gt;"",D822&lt;&gt;"",F822&lt;&gt;"",G822&lt;&gt;"",H822&lt;&gt;"",ISERROR(SEARCH("по паспорту",G822)),ISERROR(SEARCH("по паспорту",H822)),I822&lt;&gt;"",J822&lt;&gt;"",K822&lt;&gt;"",L822&lt;&gt;"",M822&lt;&gt;""),"ГОТОВО","НЕ ГОТОВО"))</f>
        <v/>
      </c>
      <c r="Z822" s="226">
        <f>IF(Y822&lt;&gt;"ГОТОВО","", "Предварительное заключение: "&amp;A822&amp;", скв. "&amp;B822&amp;". МРП: "&amp;E822&amp;" сут. ГНО: "&amp;F822&amp;", типоразмер "&amp;G822&amp;", марка "&amp;H822&amp;". Событие: "&amp;I822&amp;". Признак: "&amp;J822&amp;". Узел: "&amp;K822&amp;". Предварительная причина: "&amp;L822&amp;". Основное осложнение: "&amp;M822&amp;IF(N822&lt;&gt;"","; сопутствующее: "&amp;N822,"")&amp;IF(O822&lt;&gt;"","; дополнительно: "&amp;O822,"")&amp;".")</f>
        <v/>
      </c>
    </row>
    <row r="823">
      <c r="A823" s="75" t="n"/>
      <c r="B823" s="75" t="n"/>
      <c r="C823" s="261" t="n"/>
      <c r="D823" s="261" t="n"/>
      <c r="E823" s="262">
        <f>IF(OR(C823="",D823=""),"",D823-C823)</f>
        <v/>
      </c>
      <c r="F823" s="75" t="n"/>
      <c r="G823" s="75" t="n"/>
      <c r="H823" s="75" t="n"/>
      <c r="I823" s="75" t="n"/>
      <c r="J823" s="75" t="n"/>
      <c r="K823" s="75" t="n"/>
      <c r="L823" s="75" t="n"/>
      <c r="M823" s="75" t="n"/>
      <c r="N823" s="75" t="n"/>
      <c r="O823" s="75" t="n"/>
      <c r="P823" s="75" t="n"/>
      <c r="Q823" s="75" t="n"/>
      <c r="R823" s="75" t="n"/>
      <c r="S823" s="75" t="n"/>
      <c r="T823" s="75" t="n"/>
      <c r="U823" s="75" t="n"/>
      <c r="V823" s="75" t="n"/>
      <c r="W823" s="75" t="n"/>
      <c r="X823" s="75" t="n"/>
      <c r="Y823" s="226">
        <f>IF(AND(A823="",B823=""),"",IF(AND(A823&lt;&gt;"",B823&lt;&gt;"",C823&lt;&gt;"",D823&lt;&gt;"",F823&lt;&gt;"",G823&lt;&gt;"",H823&lt;&gt;"",ISERROR(SEARCH("по паспорту",G823)),ISERROR(SEARCH("по паспорту",H823)),I823&lt;&gt;"",J823&lt;&gt;"",K823&lt;&gt;"",L823&lt;&gt;"",M823&lt;&gt;""),"ГОТОВО","НЕ ГОТОВО"))</f>
        <v/>
      </c>
      <c r="Z823" s="226">
        <f>IF(Y823&lt;&gt;"ГОТОВО","", "Предварительное заключение: "&amp;A823&amp;", скв. "&amp;B823&amp;". МРП: "&amp;E823&amp;" сут. ГНО: "&amp;F823&amp;", типоразмер "&amp;G823&amp;", марка "&amp;H823&amp;". Событие: "&amp;I823&amp;". Признак: "&amp;J823&amp;". Узел: "&amp;K823&amp;". Предварительная причина: "&amp;L823&amp;". Основное осложнение: "&amp;M823&amp;IF(N823&lt;&gt;"","; сопутствующее: "&amp;N823,"")&amp;IF(O823&lt;&gt;"","; дополнительно: "&amp;O823,"")&amp;".")</f>
        <v/>
      </c>
    </row>
    <row r="824">
      <c r="A824" s="75" t="n"/>
      <c r="B824" s="75" t="n"/>
      <c r="C824" s="261" t="n"/>
      <c r="D824" s="261" t="n"/>
      <c r="E824" s="262">
        <f>IF(OR(C824="",D824=""),"",D824-C824)</f>
        <v/>
      </c>
      <c r="F824" s="75" t="n"/>
      <c r="G824" s="75" t="n"/>
      <c r="H824" s="75" t="n"/>
      <c r="I824" s="75" t="n"/>
      <c r="J824" s="75" t="n"/>
      <c r="K824" s="75" t="n"/>
      <c r="L824" s="75" t="n"/>
      <c r="M824" s="75" t="n"/>
      <c r="N824" s="75" t="n"/>
      <c r="O824" s="75" t="n"/>
      <c r="P824" s="75" t="n"/>
      <c r="Q824" s="75" t="n"/>
      <c r="R824" s="75" t="n"/>
      <c r="S824" s="75" t="n"/>
      <c r="T824" s="75" t="n"/>
      <c r="U824" s="75" t="n"/>
      <c r="V824" s="75" t="n"/>
      <c r="W824" s="75" t="n"/>
      <c r="X824" s="75" t="n"/>
      <c r="Y824" s="226">
        <f>IF(AND(A824="",B824=""),"",IF(AND(A824&lt;&gt;"",B824&lt;&gt;"",C824&lt;&gt;"",D824&lt;&gt;"",F824&lt;&gt;"",G824&lt;&gt;"",H824&lt;&gt;"",ISERROR(SEARCH("по паспорту",G824)),ISERROR(SEARCH("по паспорту",H824)),I824&lt;&gt;"",J824&lt;&gt;"",K824&lt;&gt;"",L824&lt;&gt;"",M824&lt;&gt;""),"ГОТОВО","НЕ ГОТОВО"))</f>
        <v/>
      </c>
      <c r="Z824" s="226">
        <f>IF(Y824&lt;&gt;"ГОТОВО","", "Предварительное заключение: "&amp;A824&amp;", скв. "&amp;B824&amp;". МРП: "&amp;E824&amp;" сут. ГНО: "&amp;F824&amp;", типоразмер "&amp;G824&amp;", марка "&amp;H824&amp;". Событие: "&amp;I824&amp;". Признак: "&amp;J824&amp;". Узел: "&amp;K824&amp;". Предварительная причина: "&amp;L824&amp;". Основное осложнение: "&amp;M824&amp;IF(N824&lt;&gt;"","; сопутствующее: "&amp;N824,"")&amp;IF(O824&lt;&gt;"","; дополнительно: "&amp;O824,"")&amp;".")</f>
        <v/>
      </c>
    </row>
    <row r="825">
      <c r="A825" s="75" t="n"/>
      <c r="B825" s="75" t="n"/>
      <c r="C825" s="261" t="n"/>
      <c r="D825" s="261" t="n"/>
      <c r="E825" s="262">
        <f>IF(OR(C825="",D825=""),"",D825-C825)</f>
        <v/>
      </c>
      <c r="F825" s="75" t="n"/>
      <c r="G825" s="75" t="n"/>
      <c r="H825" s="75" t="n"/>
      <c r="I825" s="75" t="n"/>
      <c r="J825" s="75" t="n"/>
      <c r="K825" s="75" t="n"/>
      <c r="L825" s="75" t="n"/>
      <c r="M825" s="75" t="n"/>
      <c r="N825" s="75" t="n"/>
      <c r="O825" s="75" t="n"/>
      <c r="P825" s="75" t="n"/>
      <c r="Q825" s="75" t="n"/>
      <c r="R825" s="75" t="n"/>
      <c r="S825" s="75" t="n"/>
      <c r="T825" s="75" t="n"/>
      <c r="U825" s="75" t="n"/>
      <c r="V825" s="75" t="n"/>
      <c r="W825" s="75" t="n"/>
      <c r="X825" s="75" t="n"/>
      <c r="Y825" s="226">
        <f>IF(AND(A825="",B825=""),"",IF(AND(A825&lt;&gt;"",B825&lt;&gt;"",C825&lt;&gt;"",D825&lt;&gt;"",F825&lt;&gt;"",G825&lt;&gt;"",H825&lt;&gt;"",ISERROR(SEARCH("по паспорту",G825)),ISERROR(SEARCH("по паспорту",H825)),I825&lt;&gt;"",J825&lt;&gt;"",K825&lt;&gt;"",L825&lt;&gt;"",M825&lt;&gt;""),"ГОТОВО","НЕ ГОТОВО"))</f>
        <v/>
      </c>
      <c r="Z825" s="226">
        <f>IF(Y825&lt;&gt;"ГОТОВО","", "Предварительное заключение: "&amp;A825&amp;", скв. "&amp;B825&amp;". МРП: "&amp;E825&amp;" сут. ГНО: "&amp;F825&amp;", типоразмер "&amp;G825&amp;", марка "&amp;H825&amp;". Событие: "&amp;I825&amp;". Признак: "&amp;J825&amp;". Узел: "&amp;K825&amp;". Предварительная причина: "&amp;L825&amp;". Основное осложнение: "&amp;M825&amp;IF(N825&lt;&gt;"","; сопутствующее: "&amp;N825,"")&amp;IF(O825&lt;&gt;"","; дополнительно: "&amp;O825,"")&amp;".")</f>
        <v/>
      </c>
    </row>
    <row r="826">
      <c r="A826" s="75" t="n"/>
      <c r="B826" s="75" t="n"/>
      <c r="C826" s="261" t="n"/>
      <c r="D826" s="261" t="n"/>
      <c r="E826" s="262">
        <f>IF(OR(C826="",D826=""),"",D826-C826)</f>
        <v/>
      </c>
      <c r="F826" s="75" t="n"/>
      <c r="G826" s="75" t="n"/>
      <c r="H826" s="75" t="n"/>
      <c r="I826" s="75" t="n"/>
      <c r="J826" s="75" t="n"/>
      <c r="K826" s="75" t="n"/>
      <c r="L826" s="75" t="n"/>
      <c r="M826" s="75" t="n"/>
      <c r="N826" s="75" t="n"/>
      <c r="O826" s="75" t="n"/>
      <c r="P826" s="75" t="n"/>
      <c r="Q826" s="75" t="n"/>
      <c r="R826" s="75" t="n"/>
      <c r="S826" s="75" t="n"/>
      <c r="T826" s="75" t="n"/>
      <c r="U826" s="75" t="n"/>
      <c r="V826" s="75" t="n"/>
      <c r="W826" s="75" t="n"/>
      <c r="X826" s="75" t="n"/>
      <c r="Y826" s="226">
        <f>IF(AND(A826="",B826=""),"",IF(AND(A826&lt;&gt;"",B826&lt;&gt;"",C826&lt;&gt;"",D826&lt;&gt;"",F826&lt;&gt;"",G826&lt;&gt;"",H826&lt;&gt;"",ISERROR(SEARCH("по паспорту",G826)),ISERROR(SEARCH("по паспорту",H826)),I826&lt;&gt;"",J826&lt;&gt;"",K826&lt;&gt;"",L826&lt;&gt;"",M826&lt;&gt;""),"ГОТОВО","НЕ ГОТОВО"))</f>
        <v/>
      </c>
      <c r="Z826" s="226">
        <f>IF(Y826&lt;&gt;"ГОТОВО","", "Предварительное заключение: "&amp;A826&amp;", скв. "&amp;B826&amp;". МРП: "&amp;E826&amp;" сут. ГНО: "&amp;F826&amp;", типоразмер "&amp;G826&amp;", марка "&amp;H826&amp;". Событие: "&amp;I826&amp;". Признак: "&amp;J826&amp;". Узел: "&amp;K826&amp;". Предварительная причина: "&amp;L826&amp;". Основное осложнение: "&amp;M826&amp;IF(N826&lt;&gt;"","; сопутствующее: "&amp;N826,"")&amp;IF(O826&lt;&gt;"","; дополнительно: "&amp;O826,"")&amp;".")</f>
        <v/>
      </c>
    </row>
    <row r="827">
      <c r="A827" s="75" t="n"/>
      <c r="B827" s="75" t="n"/>
      <c r="C827" s="261" t="n"/>
      <c r="D827" s="261" t="n"/>
      <c r="E827" s="262">
        <f>IF(OR(C827="",D827=""),"",D827-C827)</f>
        <v/>
      </c>
      <c r="F827" s="75" t="n"/>
      <c r="G827" s="75" t="n"/>
      <c r="H827" s="75" t="n"/>
      <c r="I827" s="75" t="n"/>
      <c r="J827" s="75" t="n"/>
      <c r="K827" s="75" t="n"/>
      <c r="L827" s="75" t="n"/>
      <c r="M827" s="75" t="n"/>
      <c r="N827" s="75" t="n"/>
      <c r="O827" s="75" t="n"/>
      <c r="P827" s="75" t="n"/>
      <c r="Q827" s="75" t="n"/>
      <c r="R827" s="75" t="n"/>
      <c r="S827" s="75" t="n"/>
      <c r="T827" s="75" t="n"/>
      <c r="U827" s="75" t="n"/>
      <c r="V827" s="75" t="n"/>
      <c r="W827" s="75" t="n"/>
      <c r="X827" s="75" t="n"/>
      <c r="Y827" s="226">
        <f>IF(AND(A827="",B827=""),"",IF(AND(A827&lt;&gt;"",B827&lt;&gt;"",C827&lt;&gt;"",D827&lt;&gt;"",F827&lt;&gt;"",G827&lt;&gt;"",H827&lt;&gt;"",ISERROR(SEARCH("по паспорту",G827)),ISERROR(SEARCH("по паспорту",H827)),I827&lt;&gt;"",J827&lt;&gt;"",K827&lt;&gt;"",L827&lt;&gt;"",M827&lt;&gt;""),"ГОТОВО","НЕ ГОТОВО"))</f>
        <v/>
      </c>
      <c r="Z827" s="226">
        <f>IF(Y827&lt;&gt;"ГОТОВО","", "Предварительное заключение: "&amp;A827&amp;", скв. "&amp;B827&amp;". МРП: "&amp;E827&amp;" сут. ГНО: "&amp;F827&amp;", типоразмер "&amp;G827&amp;", марка "&amp;H827&amp;". Событие: "&amp;I827&amp;". Признак: "&amp;J827&amp;". Узел: "&amp;K827&amp;". Предварительная причина: "&amp;L827&amp;". Основное осложнение: "&amp;M827&amp;IF(N827&lt;&gt;"","; сопутствующее: "&amp;N827,"")&amp;IF(O827&lt;&gt;"","; дополнительно: "&amp;O827,"")&amp;".")</f>
        <v/>
      </c>
    </row>
    <row r="828">
      <c r="A828" s="75" t="n"/>
      <c r="B828" s="75" t="n"/>
      <c r="C828" s="261" t="n"/>
      <c r="D828" s="261" t="n"/>
      <c r="E828" s="262">
        <f>IF(OR(C828="",D828=""),"",D828-C828)</f>
        <v/>
      </c>
      <c r="F828" s="75" t="n"/>
      <c r="G828" s="75" t="n"/>
      <c r="H828" s="75" t="n"/>
      <c r="I828" s="75" t="n"/>
      <c r="J828" s="75" t="n"/>
      <c r="K828" s="75" t="n"/>
      <c r="L828" s="75" t="n"/>
      <c r="M828" s="75" t="n"/>
      <c r="N828" s="75" t="n"/>
      <c r="O828" s="75" t="n"/>
      <c r="P828" s="75" t="n"/>
      <c r="Q828" s="75" t="n"/>
      <c r="R828" s="75" t="n"/>
      <c r="S828" s="75" t="n"/>
      <c r="T828" s="75" t="n"/>
      <c r="U828" s="75" t="n"/>
      <c r="V828" s="75" t="n"/>
      <c r="W828" s="75" t="n"/>
      <c r="X828" s="75" t="n"/>
      <c r="Y828" s="226">
        <f>IF(AND(A828="",B828=""),"",IF(AND(A828&lt;&gt;"",B828&lt;&gt;"",C828&lt;&gt;"",D828&lt;&gt;"",F828&lt;&gt;"",G828&lt;&gt;"",H828&lt;&gt;"",ISERROR(SEARCH("по паспорту",G828)),ISERROR(SEARCH("по паспорту",H828)),I828&lt;&gt;"",J828&lt;&gt;"",K828&lt;&gt;"",L828&lt;&gt;"",M828&lt;&gt;""),"ГОТОВО","НЕ ГОТОВО"))</f>
        <v/>
      </c>
      <c r="Z828" s="226">
        <f>IF(Y828&lt;&gt;"ГОТОВО","", "Предварительное заключение: "&amp;A828&amp;", скв. "&amp;B828&amp;". МРП: "&amp;E828&amp;" сут. ГНО: "&amp;F828&amp;", типоразмер "&amp;G828&amp;", марка "&amp;H828&amp;". Событие: "&amp;I828&amp;". Признак: "&amp;J828&amp;". Узел: "&amp;K828&amp;". Предварительная причина: "&amp;L828&amp;". Основное осложнение: "&amp;M828&amp;IF(N828&lt;&gt;"","; сопутствующее: "&amp;N828,"")&amp;IF(O828&lt;&gt;"","; дополнительно: "&amp;O828,"")&amp;".")</f>
        <v/>
      </c>
    </row>
    <row r="829">
      <c r="A829" s="75" t="n"/>
      <c r="B829" s="75" t="n"/>
      <c r="C829" s="261" t="n"/>
      <c r="D829" s="261" t="n"/>
      <c r="E829" s="262">
        <f>IF(OR(C829="",D829=""),"",D829-C829)</f>
        <v/>
      </c>
      <c r="F829" s="75" t="n"/>
      <c r="G829" s="75" t="n"/>
      <c r="H829" s="75" t="n"/>
      <c r="I829" s="75" t="n"/>
      <c r="J829" s="75" t="n"/>
      <c r="K829" s="75" t="n"/>
      <c r="L829" s="75" t="n"/>
      <c r="M829" s="75" t="n"/>
      <c r="N829" s="75" t="n"/>
      <c r="O829" s="75" t="n"/>
      <c r="P829" s="75" t="n"/>
      <c r="Q829" s="75" t="n"/>
      <c r="R829" s="75" t="n"/>
      <c r="S829" s="75" t="n"/>
      <c r="T829" s="75" t="n"/>
      <c r="U829" s="75" t="n"/>
      <c r="V829" s="75" t="n"/>
      <c r="W829" s="75" t="n"/>
      <c r="X829" s="75" t="n"/>
      <c r="Y829" s="226">
        <f>IF(AND(A829="",B829=""),"",IF(AND(A829&lt;&gt;"",B829&lt;&gt;"",C829&lt;&gt;"",D829&lt;&gt;"",F829&lt;&gt;"",G829&lt;&gt;"",H829&lt;&gt;"",ISERROR(SEARCH("по паспорту",G829)),ISERROR(SEARCH("по паспорту",H829)),I829&lt;&gt;"",J829&lt;&gt;"",K829&lt;&gt;"",L829&lt;&gt;"",M829&lt;&gt;""),"ГОТОВО","НЕ ГОТОВО"))</f>
        <v/>
      </c>
      <c r="Z829" s="226">
        <f>IF(Y829&lt;&gt;"ГОТОВО","", "Предварительное заключение: "&amp;A829&amp;", скв. "&amp;B829&amp;". МРП: "&amp;E829&amp;" сут. ГНО: "&amp;F829&amp;", типоразмер "&amp;G829&amp;", марка "&amp;H829&amp;". Событие: "&amp;I829&amp;". Признак: "&amp;J829&amp;". Узел: "&amp;K829&amp;". Предварительная причина: "&amp;L829&amp;". Основное осложнение: "&amp;M829&amp;IF(N829&lt;&gt;"","; сопутствующее: "&amp;N829,"")&amp;IF(O829&lt;&gt;"","; дополнительно: "&amp;O829,"")&amp;".")</f>
        <v/>
      </c>
    </row>
    <row r="830">
      <c r="A830" s="75" t="n"/>
      <c r="B830" s="75" t="n"/>
      <c r="C830" s="261" t="n"/>
      <c r="D830" s="261" t="n"/>
      <c r="E830" s="262">
        <f>IF(OR(C830="",D830=""),"",D830-C830)</f>
        <v/>
      </c>
      <c r="F830" s="75" t="n"/>
      <c r="G830" s="75" t="n"/>
      <c r="H830" s="75" t="n"/>
      <c r="I830" s="75" t="n"/>
      <c r="J830" s="75" t="n"/>
      <c r="K830" s="75" t="n"/>
      <c r="L830" s="75" t="n"/>
      <c r="M830" s="75" t="n"/>
      <c r="N830" s="75" t="n"/>
      <c r="O830" s="75" t="n"/>
      <c r="P830" s="75" t="n"/>
      <c r="Q830" s="75" t="n"/>
      <c r="R830" s="75" t="n"/>
      <c r="S830" s="75" t="n"/>
      <c r="T830" s="75" t="n"/>
      <c r="U830" s="75" t="n"/>
      <c r="V830" s="75" t="n"/>
      <c r="W830" s="75" t="n"/>
      <c r="X830" s="75" t="n"/>
      <c r="Y830" s="226">
        <f>IF(AND(A830="",B830=""),"",IF(AND(A830&lt;&gt;"",B830&lt;&gt;"",C830&lt;&gt;"",D830&lt;&gt;"",F830&lt;&gt;"",G830&lt;&gt;"",H830&lt;&gt;"",ISERROR(SEARCH("по паспорту",G830)),ISERROR(SEARCH("по паспорту",H830)),I830&lt;&gt;"",J830&lt;&gt;"",K830&lt;&gt;"",L830&lt;&gt;"",M830&lt;&gt;""),"ГОТОВО","НЕ ГОТОВО"))</f>
        <v/>
      </c>
      <c r="Z830" s="226">
        <f>IF(Y830&lt;&gt;"ГОТОВО","", "Предварительное заключение: "&amp;A830&amp;", скв. "&amp;B830&amp;". МРП: "&amp;E830&amp;" сут. ГНО: "&amp;F830&amp;", типоразмер "&amp;G830&amp;", марка "&amp;H830&amp;". Событие: "&amp;I830&amp;". Признак: "&amp;J830&amp;". Узел: "&amp;K830&amp;". Предварительная причина: "&amp;L830&amp;". Основное осложнение: "&amp;M830&amp;IF(N830&lt;&gt;"","; сопутствующее: "&amp;N830,"")&amp;IF(O830&lt;&gt;"","; дополнительно: "&amp;O830,"")&amp;".")</f>
        <v/>
      </c>
    </row>
    <row r="831">
      <c r="A831" s="75" t="n"/>
      <c r="B831" s="75" t="n"/>
      <c r="C831" s="261" t="n"/>
      <c r="D831" s="261" t="n"/>
      <c r="E831" s="262">
        <f>IF(OR(C831="",D831=""),"",D831-C831)</f>
        <v/>
      </c>
      <c r="F831" s="75" t="n"/>
      <c r="G831" s="75" t="n"/>
      <c r="H831" s="75" t="n"/>
      <c r="I831" s="75" t="n"/>
      <c r="J831" s="75" t="n"/>
      <c r="K831" s="75" t="n"/>
      <c r="L831" s="75" t="n"/>
      <c r="M831" s="75" t="n"/>
      <c r="N831" s="75" t="n"/>
      <c r="O831" s="75" t="n"/>
      <c r="P831" s="75" t="n"/>
      <c r="Q831" s="75" t="n"/>
      <c r="R831" s="75" t="n"/>
      <c r="S831" s="75" t="n"/>
      <c r="T831" s="75" t="n"/>
      <c r="U831" s="75" t="n"/>
      <c r="V831" s="75" t="n"/>
      <c r="W831" s="75" t="n"/>
      <c r="X831" s="75" t="n"/>
      <c r="Y831" s="226">
        <f>IF(AND(A831="",B831=""),"",IF(AND(A831&lt;&gt;"",B831&lt;&gt;"",C831&lt;&gt;"",D831&lt;&gt;"",F831&lt;&gt;"",G831&lt;&gt;"",H831&lt;&gt;"",ISERROR(SEARCH("по паспорту",G831)),ISERROR(SEARCH("по паспорту",H831)),I831&lt;&gt;"",J831&lt;&gt;"",K831&lt;&gt;"",L831&lt;&gt;"",M831&lt;&gt;""),"ГОТОВО","НЕ ГОТОВО"))</f>
        <v/>
      </c>
      <c r="Z831" s="226">
        <f>IF(Y831&lt;&gt;"ГОТОВО","", "Предварительное заключение: "&amp;A831&amp;", скв. "&amp;B831&amp;". МРП: "&amp;E831&amp;" сут. ГНО: "&amp;F831&amp;", типоразмер "&amp;G831&amp;", марка "&amp;H831&amp;". Событие: "&amp;I831&amp;". Признак: "&amp;J831&amp;". Узел: "&amp;K831&amp;". Предварительная причина: "&amp;L831&amp;". Основное осложнение: "&amp;M831&amp;IF(N831&lt;&gt;"","; сопутствующее: "&amp;N831,"")&amp;IF(O831&lt;&gt;"","; дополнительно: "&amp;O831,"")&amp;".")</f>
        <v/>
      </c>
    </row>
    <row r="832">
      <c r="A832" s="75" t="n"/>
      <c r="B832" s="75" t="n"/>
      <c r="C832" s="261" t="n"/>
      <c r="D832" s="261" t="n"/>
      <c r="E832" s="262">
        <f>IF(OR(C832="",D832=""),"",D832-C832)</f>
        <v/>
      </c>
      <c r="F832" s="75" t="n"/>
      <c r="G832" s="75" t="n"/>
      <c r="H832" s="75" t="n"/>
      <c r="I832" s="75" t="n"/>
      <c r="J832" s="75" t="n"/>
      <c r="K832" s="75" t="n"/>
      <c r="L832" s="75" t="n"/>
      <c r="M832" s="75" t="n"/>
      <c r="N832" s="75" t="n"/>
      <c r="O832" s="75" t="n"/>
      <c r="P832" s="75" t="n"/>
      <c r="Q832" s="75" t="n"/>
      <c r="R832" s="75" t="n"/>
      <c r="S832" s="75" t="n"/>
      <c r="T832" s="75" t="n"/>
      <c r="U832" s="75" t="n"/>
      <c r="V832" s="75" t="n"/>
      <c r="W832" s="75" t="n"/>
      <c r="X832" s="75" t="n"/>
      <c r="Y832" s="226">
        <f>IF(AND(A832="",B832=""),"",IF(AND(A832&lt;&gt;"",B832&lt;&gt;"",C832&lt;&gt;"",D832&lt;&gt;"",F832&lt;&gt;"",G832&lt;&gt;"",H832&lt;&gt;"",ISERROR(SEARCH("по паспорту",G832)),ISERROR(SEARCH("по паспорту",H832)),I832&lt;&gt;"",J832&lt;&gt;"",K832&lt;&gt;"",L832&lt;&gt;"",M832&lt;&gt;""),"ГОТОВО","НЕ ГОТОВО"))</f>
        <v/>
      </c>
      <c r="Z832" s="226">
        <f>IF(Y832&lt;&gt;"ГОТОВО","", "Предварительное заключение: "&amp;A832&amp;", скв. "&amp;B832&amp;". МРП: "&amp;E832&amp;" сут. ГНО: "&amp;F832&amp;", типоразмер "&amp;G832&amp;", марка "&amp;H832&amp;". Событие: "&amp;I832&amp;". Признак: "&amp;J832&amp;". Узел: "&amp;K832&amp;". Предварительная причина: "&amp;L832&amp;". Основное осложнение: "&amp;M832&amp;IF(N832&lt;&gt;"","; сопутствующее: "&amp;N832,"")&amp;IF(O832&lt;&gt;"","; дополнительно: "&amp;O832,"")&amp;".")</f>
        <v/>
      </c>
    </row>
    <row r="833">
      <c r="A833" s="75" t="n"/>
      <c r="B833" s="75" t="n"/>
      <c r="C833" s="261" t="n"/>
      <c r="D833" s="261" t="n"/>
      <c r="E833" s="262">
        <f>IF(OR(C833="",D833=""),"",D833-C833)</f>
        <v/>
      </c>
      <c r="F833" s="75" t="n"/>
      <c r="G833" s="75" t="n"/>
      <c r="H833" s="75" t="n"/>
      <c r="I833" s="75" t="n"/>
      <c r="J833" s="75" t="n"/>
      <c r="K833" s="75" t="n"/>
      <c r="L833" s="75" t="n"/>
      <c r="M833" s="75" t="n"/>
      <c r="N833" s="75" t="n"/>
      <c r="O833" s="75" t="n"/>
      <c r="P833" s="75" t="n"/>
      <c r="Q833" s="75" t="n"/>
      <c r="R833" s="75" t="n"/>
      <c r="S833" s="75" t="n"/>
      <c r="T833" s="75" t="n"/>
      <c r="U833" s="75" t="n"/>
      <c r="V833" s="75" t="n"/>
      <c r="W833" s="75" t="n"/>
      <c r="X833" s="75" t="n"/>
      <c r="Y833" s="226">
        <f>IF(AND(A833="",B833=""),"",IF(AND(A833&lt;&gt;"",B833&lt;&gt;"",C833&lt;&gt;"",D833&lt;&gt;"",F833&lt;&gt;"",G833&lt;&gt;"",H833&lt;&gt;"",ISERROR(SEARCH("по паспорту",G833)),ISERROR(SEARCH("по паспорту",H833)),I833&lt;&gt;"",J833&lt;&gt;"",K833&lt;&gt;"",L833&lt;&gt;"",M833&lt;&gt;""),"ГОТОВО","НЕ ГОТОВО"))</f>
        <v/>
      </c>
      <c r="Z833" s="226">
        <f>IF(Y833&lt;&gt;"ГОТОВО","", "Предварительное заключение: "&amp;A833&amp;", скв. "&amp;B833&amp;". МРП: "&amp;E833&amp;" сут. ГНО: "&amp;F833&amp;", типоразмер "&amp;G833&amp;", марка "&amp;H833&amp;". Событие: "&amp;I833&amp;". Признак: "&amp;J833&amp;". Узел: "&amp;K833&amp;". Предварительная причина: "&amp;L833&amp;". Основное осложнение: "&amp;M833&amp;IF(N833&lt;&gt;"","; сопутствующее: "&amp;N833,"")&amp;IF(O833&lt;&gt;"","; дополнительно: "&amp;O833,"")&amp;".")</f>
        <v/>
      </c>
    </row>
    <row r="834">
      <c r="A834" s="75" t="n"/>
      <c r="B834" s="75" t="n"/>
      <c r="C834" s="261" t="n"/>
      <c r="D834" s="261" t="n"/>
      <c r="E834" s="262">
        <f>IF(OR(C834="",D834=""),"",D834-C834)</f>
        <v/>
      </c>
      <c r="F834" s="75" t="n"/>
      <c r="G834" s="75" t="n"/>
      <c r="H834" s="75" t="n"/>
      <c r="I834" s="75" t="n"/>
      <c r="J834" s="75" t="n"/>
      <c r="K834" s="75" t="n"/>
      <c r="L834" s="75" t="n"/>
      <c r="M834" s="75" t="n"/>
      <c r="N834" s="75" t="n"/>
      <c r="O834" s="75" t="n"/>
      <c r="P834" s="75" t="n"/>
      <c r="Q834" s="75" t="n"/>
      <c r="R834" s="75" t="n"/>
      <c r="S834" s="75" t="n"/>
      <c r="T834" s="75" t="n"/>
      <c r="U834" s="75" t="n"/>
      <c r="V834" s="75" t="n"/>
      <c r="W834" s="75" t="n"/>
      <c r="X834" s="75" t="n"/>
      <c r="Y834" s="226">
        <f>IF(AND(A834="",B834=""),"",IF(AND(A834&lt;&gt;"",B834&lt;&gt;"",C834&lt;&gt;"",D834&lt;&gt;"",F834&lt;&gt;"",G834&lt;&gt;"",H834&lt;&gt;"",ISERROR(SEARCH("по паспорту",G834)),ISERROR(SEARCH("по паспорту",H834)),I834&lt;&gt;"",J834&lt;&gt;"",K834&lt;&gt;"",L834&lt;&gt;"",M834&lt;&gt;""),"ГОТОВО","НЕ ГОТОВО"))</f>
        <v/>
      </c>
      <c r="Z834" s="226">
        <f>IF(Y834&lt;&gt;"ГОТОВО","", "Предварительное заключение: "&amp;A834&amp;", скв. "&amp;B834&amp;". МРП: "&amp;E834&amp;" сут. ГНО: "&amp;F834&amp;", типоразмер "&amp;G834&amp;", марка "&amp;H834&amp;". Событие: "&amp;I834&amp;". Признак: "&amp;J834&amp;". Узел: "&amp;K834&amp;". Предварительная причина: "&amp;L834&amp;". Основное осложнение: "&amp;M834&amp;IF(N834&lt;&gt;"","; сопутствующее: "&amp;N834,"")&amp;IF(O834&lt;&gt;"","; дополнительно: "&amp;O834,"")&amp;".")</f>
        <v/>
      </c>
    </row>
    <row r="835">
      <c r="A835" s="75" t="n"/>
      <c r="B835" s="75" t="n"/>
      <c r="C835" s="261" t="n"/>
      <c r="D835" s="261" t="n"/>
      <c r="E835" s="262">
        <f>IF(OR(C835="",D835=""),"",D835-C835)</f>
        <v/>
      </c>
      <c r="F835" s="75" t="n"/>
      <c r="G835" s="75" t="n"/>
      <c r="H835" s="75" t="n"/>
      <c r="I835" s="75" t="n"/>
      <c r="J835" s="75" t="n"/>
      <c r="K835" s="75" t="n"/>
      <c r="L835" s="75" t="n"/>
      <c r="M835" s="75" t="n"/>
      <c r="N835" s="75" t="n"/>
      <c r="O835" s="75" t="n"/>
      <c r="P835" s="75" t="n"/>
      <c r="Q835" s="75" t="n"/>
      <c r="R835" s="75" t="n"/>
      <c r="S835" s="75" t="n"/>
      <c r="T835" s="75" t="n"/>
      <c r="U835" s="75" t="n"/>
      <c r="V835" s="75" t="n"/>
      <c r="W835" s="75" t="n"/>
      <c r="X835" s="75" t="n"/>
      <c r="Y835" s="226">
        <f>IF(AND(A835="",B835=""),"",IF(AND(A835&lt;&gt;"",B835&lt;&gt;"",C835&lt;&gt;"",D835&lt;&gt;"",F835&lt;&gt;"",G835&lt;&gt;"",H835&lt;&gt;"",ISERROR(SEARCH("по паспорту",G835)),ISERROR(SEARCH("по паспорту",H835)),I835&lt;&gt;"",J835&lt;&gt;"",K835&lt;&gt;"",L835&lt;&gt;"",M835&lt;&gt;""),"ГОТОВО","НЕ ГОТОВО"))</f>
        <v/>
      </c>
      <c r="Z835" s="226">
        <f>IF(Y835&lt;&gt;"ГОТОВО","", "Предварительное заключение: "&amp;A835&amp;", скв. "&amp;B835&amp;". МРП: "&amp;E835&amp;" сут. ГНО: "&amp;F835&amp;", типоразмер "&amp;G835&amp;", марка "&amp;H835&amp;". Событие: "&amp;I835&amp;". Признак: "&amp;J835&amp;". Узел: "&amp;K835&amp;". Предварительная причина: "&amp;L835&amp;". Основное осложнение: "&amp;M835&amp;IF(N835&lt;&gt;"","; сопутствующее: "&amp;N835,"")&amp;IF(O835&lt;&gt;"","; дополнительно: "&amp;O835,"")&amp;".")</f>
        <v/>
      </c>
    </row>
    <row r="836">
      <c r="A836" s="75" t="n"/>
      <c r="B836" s="75" t="n"/>
      <c r="C836" s="261" t="n"/>
      <c r="D836" s="261" t="n"/>
      <c r="E836" s="262">
        <f>IF(OR(C836="",D836=""),"",D836-C836)</f>
        <v/>
      </c>
      <c r="F836" s="75" t="n"/>
      <c r="G836" s="75" t="n"/>
      <c r="H836" s="75" t="n"/>
      <c r="I836" s="75" t="n"/>
      <c r="J836" s="75" t="n"/>
      <c r="K836" s="75" t="n"/>
      <c r="L836" s="75" t="n"/>
      <c r="M836" s="75" t="n"/>
      <c r="N836" s="75" t="n"/>
      <c r="O836" s="75" t="n"/>
      <c r="P836" s="75" t="n"/>
      <c r="Q836" s="75" t="n"/>
      <c r="R836" s="75" t="n"/>
      <c r="S836" s="75" t="n"/>
      <c r="T836" s="75" t="n"/>
      <c r="U836" s="75" t="n"/>
      <c r="V836" s="75" t="n"/>
      <c r="W836" s="75" t="n"/>
      <c r="X836" s="75" t="n"/>
      <c r="Y836" s="226">
        <f>IF(AND(A836="",B836=""),"",IF(AND(A836&lt;&gt;"",B836&lt;&gt;"",C836&lt;&gt;"",D836&lt;&gt;"",F836&lt;&gt;"",G836&lt;&gt;"",H836&lt;&gt;"",ISERROR(SEARCH("по паспорту",G836)),ISERROR(SEARCH("по паспорту",H836)),I836&lt;&gt;"",J836&lt;&gt;"",K836&lt;&gt;"",L836&lt;&gt;"",M836&lt;&gt;""),"ГОТОВО","НЕ ГОТОВО"))</f>
        <v/>
      </c>
      <c r="Z836" s="226">
        <f>IF(Y836&lt;&gt;"ГОТОВО","", "Предварительное заключение: "&amp;A836&amp;", скв. "&amp;B836&amp;". МРП: "&amp;E836&amp;" сут. ГНО: "&amp;F836&amp;", типоразмер "&amp;G836&amp;", марка "&amp;H836&amp;". Событие: "&amp;I836&amp;". Признак: "&amp;J836&amp;". Узел: "&amp;K836&amp;". Предварительная причина: "&amp;L836&amp;". Основное осложнение: "&amp;M836&amp;IF(N836&lt;&gt;"","; сопутствующее: "&amp;N836,"")&amp;IF(O836&lt;&gt;"","; дополнительно: "&amp;O836,"")&amp;".")</f>
        <v/>
      </c>
    </row>
    <row r="837">
      <c r="A837" s="75" t="n"/>
      <c r="B837" s="75" t="n"/>
      <c r="C837" s="261" t="n"/>
      <c r="D837" s="261" t="n"/>
      <c r="E837" s="262">
        <f>IF(OR(C837="",D837=""),"",D837-C837)</f>
        <v/>
      </c>
      <c r="F837" s="75" t="n"/>
      <c r="G837" s="75" t="n"/>
      <c r="H837" s="75" t="n"/>
      <c r="I837" s="75" t="n"/>
      <c r="J837" s="75" t="n"/>
      <c r="K837" s="75" t="n"/>
      <c r="L837" s="75" t="n"/>
      <c r="M837" s="75" t="n"/>
      <c r="N837" s="75" t="n"/>
      <c r="O837" s="75" t="n"/>
      <c r="P837" s="75" t="n"/>
      <c r="Q837" s="75" t="n"/>
      <c r="R837" s="75" t="n"/>
      <c r="S837" s="75" t="n"/>
      <c r="T837" s="75" t="n"/>
      <c r="U837" s="75" t="n"/>
      <c r="V837" s="75" t="n"/>
      <c r="W837" s="75" t="n"/>
      <c r="X837" s="75" t="n"/>
      <c r="Y837" s="226">
        <f>IF(AND(A837="",B837=""),"",IF(AND(A837&lt;&gt;"",B837&lt;&gt;"",C837&lt;&gt;"",D837&lt;&gt;"",F837&lt;&gt;"",G837&lt;&gt;"",H837&lt;&gt;"",ISERROR(SEARCH("по паспорту",G837)),ISERROR(SEARCH("по паспорту",H837)),I837&lt;&gt;"",J837&lt;&gt;"",K837&lt;&gt;"",L837&lt;&gt;"",M837&lt;&gt;""),"ГОТОВО","НЕ ГОТОВО"))</f>
        <v/>
      </c>
      <c r="Z837" s="226">
        <f>IF(Y837&lt;&gt;"ГОТОВО","", "Предварительное заключение: "&amp;A837&amp;", скв. "&amp;B837&amp;". МРП: "&amp;E837&amp;" сут. ГНО: "&amp;F837&amp;", типоразмер "&amp;G837&amp;", марка "&amp;H837&amp;". Событие: "&amp;I837&amp;". Признак: "&amp;J837&amp;". Узел: "&amp;K837&amp;". Предварительная причина: "&amp;L837&amp;". Основное осложнение: "&amp;M837&amp;IF(N837&lt;&gt;"","; сопутствующее: "&amp;N837,"")&amp;IF(O837&lt;&gt;"","; дополнительно: "&amp;O837,"")&amp;".")</f>
        <v/>
      </c>
    </row>
    <row r="838">
      <c r="A838" s="75" t="n"/>
      <c r="B838" s="75" t="n"/>
      <c r="C838" s="261" t="n"/>
      <c r="D838" s="261" t="n"/>
      <c r="E838" s="262">
        <f>IF(OR(C838="",D838=""),"",D838-C838)</f>
        <v/>
      </c>
      <c r="F838" s="75" t="n"/>
      <c r="G838" s="75" t="n"/>
      <c r="H838" s="75" t="n"/>
      <c r="I838" s="75" t="n"/>
      <c r="J838" s="75" t="n"/>
      <c r="K838" s="75" t="n"/>
      <c r="L838" s="75" t="n"/>
      <c r="M838" s="75" t="n"/>
      <c r="N838" s="75" t="n"/>
      <c r="O838" s="75" t="n"/>
      <c r="P838" s="75" t="n"/>
      <c r="Q838" s="75" t="n"/>
      <c r="R838" s="75" t="n"/>
      <c r="S838" s="75" t="n"/>
      <c r="T838" s="75" t="n"/>
      <c r="U838" s="75" t="n"/>
      <c r="V838" s="75" t="n"/>
      <c r="W838" s="75" t="n"/>
      <c r="X838" s="75" t="n"/>
      <c r="Y838" s="226">
        <f>IF(AND(A838="",B838=""),"",IF(AND(A838&lt;&gt;"",B838&lt;&gt;"",C838&lt;&gt;"",D838&lt;&gt;"",F838&lt;&gt;"",G838&lt;&gt;"",H838&lt;&gt;"",ISERROR(SEARCH("по паспорту",G838)),ISERROR(SEARCH("по паспорту",H838)),I838&lt;&gt;"",J838&lt;&gt;"",K838&lt;&gt;"",L838&lt;&gt;"",M838&lt;&gt;""),"ГОТОВО","НЕ ГОТОВО"))</f>
        <v/>
      </c>
      <c r="Z838" s="226">
        <f>IF(Y838&lt;&gt;"ГОТОВО","", "Предварительное заключение: "&amp;A838&amp;", скв. "&amp;B838&amp;". МРП: "&amp;E838&amp;" сут. ГНО: "&amp;F838&amp;", типоразмер "&amp;G838&amp;", марка "&amp;H838&amp;". Событие: "&amp;I838&amp;". Признак: "&amp;J838&amp;". Узел: "&amp;K838&amp;". Предварительная причина: "&amp;L838&amp;". Основное осложнение: "&amp;M838&amp;IF(N838&lt;&gt;"","; сопутствующее: "&amp;N838,"")&amp;IF(O838&lt;&gt;"","; дополнительно: "&amp;O838,"")&amp;".")</f>
        <v/>
      </c>
    </row>
    <row r="839">
      <c r="A839" s="75" t="n"/>
      <c r="B839" s="75" t="n"/>
      <c r="C839" s="261" t="n"/>
      <c r="D839" s="261" t="n"/>
      <c r="E839" s="262">
        <f>IF(OR(C839="",D839=""),"",D839-C839)</f>
        <v/>
      </c>
      <c r="F839" s="75" t="n"/>
      <c r="G839" s="75" t="n"/>
      <c r="H839" s="75" t="n"/>
      <c r="I839" s="75" t="n"/>
      <c r="J839" s="75" t="n"/>
      <c r="K839" s="75" t="n"/>
      <c r="L839" s="75" t="n"/>
      <c r="M839" s="75" t="n"/>
      <c r="N839" s="75" t="n"/>
      <c r="O839" s="75" t="n"/>
      <c r="P839" s="75" t="n"/>
      <c r="Q839" s="75" t="n"/>
      <c r="R839" s="75" t="n"/>
      <c r="S839" s="75" t="n"/>
      <c r="T839" s="75" t="n"/>
      <c r="U839" s="75" t="n"/>
      <c r="V839" s="75" t="n"/>
      <c r="W839" s="75" t="n"/>
      <c r="X839" s="75" t="n"/>
      <c r="Y839" s="226">
        <f>IF(AND(A839="",B839=""),"",IF(AND(A839&lt;&gt;"",B839&lt;&gt;"",C839&lt;&gt;"",D839&lt;&gt;"",F839&lt;&gt;"",G839&lt;&gt;"",H839&lt;&gt;"",ISERROR(SEARCH("по паспорту",G839)),ISERROR(SEARCH("по паспорту",H839)),I839&lt;&gt;"",J839&lt;&gt;"",K839&lt;&gt;"",L839&lt;&gt;"",M839&lt;&gt;""),"ГОТОВО","НЕ ГОТОВО"))</f>
        <v/>
      </c>
      <c r="Z839" s="226">
        <f>IF(Y839&lt;&gt;"ГОТОВО","", "Предварительное заключение: "&amp;A839&amp;", скв. "&amp;B839&amp;". МРП: "&amp;E839&amp;" сут. ГНО: "&amp;F839&amp;", типоразмер "&amp;G839&amp;", марка "&amp;H839&amp;". Событие: "&amp;I839&amp;". Признак: "&amp;J839&amp;". Узел: "&amp;K839&amp;". Предварительная причина: "&amp;L839&amp;". Основное осложнение: "&amp;M839&amp;IF(N839&lt;&gt;"","; сопутствующее: "&amp;N839,"")&amp;IF(O839&lt;&gt;"","; дополнительно: "&amp;O839,"")&amp;".")</f>
        <v/>
      </c>
    </row>
    <row r="840">
      <c r="A840" s="75" t="n"/>
      <c r="B840" s="75" t="n"/>
      <c r="C840" s="261" t="n"/>
      <c r="D840" s="261" t="n"/>
      <c r="E840" s="262">
        <f>IF(OR(C840="",D840=""),"",D840-C840)</f>
        <v/>
      </c>
      <c r="F840" s="75" t="n"/>
      <c r="G840" s="75" t="n"/>
      <c r="H840" s="75" t="n"/>
      <c r="I840" s="75" t="n"/>
      <c r="J840" s="75" t="n"/>
      <c r="K840" s="75" t="n"/>
      <c r="L840" s="75" t="n"/>
      <c r="M840" s="75" t="n"/>
      <c r="N840" s="75" t="n"/>
      <c r="O840" s="75" t="n"/>
      <c r="P840" s="75" t="n"/>
      <c r="Q840" s="75" t="n"/>
      <c r="R840" s="75" t="n"/>
      <c r="S840" s="75" t="n"/>
      <c r="T840" s="75" t="n"/>
      <c r="U840" s="75" t="n"/>
      <c r="V840" s="75" t="n"/>
      <c r="W840" s="75" t="n"/>
      <c r="X840" s="75" t="n"/>
      <c r="Y840" s="226">
        <f>IF(AND(A840="",B840=""),"",IF(AND(A840&lt;&gt;"",B840&lt;&gt;"",C840&lt;&gt;"",D840&lt;&gt;"",F840&lt;&gt;"",G840&lt;&gt;"",H840&lt;&gt;"",ISERROR(SEARCH("по паспорту",G840)),ISERROR(SEARCH("по паспорту",H840)),I840&lt;&gt;"",J840&lt;&gt;"",K840&lt;&gt;"",L840&lt;&gt;"",M840&lt;&gt;""),"ГОТОВО","НЕ ГОТОВО"))</f>
        <v/>
      </c>
      <c r="Z840" s="226">
        <f>IF(Y840&lt;&gt;"ГОТОВО","", "Предварительное заключение: "&amp;A840&amp;", скв. "&amp;B840&amp;". МРП: "&amp;E840&amp;" сут. ГНО: "&amp;F840&amp;", типоразмер "&amp;G840&amp;", марка "&amp;H840&amp;". Событие: "&amp;I840&amp;". Признак: "&amp;J840&amp;". Узел: "&amp;K840&amp;". Предварительная причина: "&amp;L840&amp;". Основное осложнение: "&amp;M840&amp;IF(N840&lt;&gt;"","; сопутствующее: "&amp;N840,"")&amp;IF(O840&lt;&gt;"","; дополнительно: "&amp;O840,"")&amp;".")</f>
        <v/>
      </c>
    </row>
    <row r="841">
      <c r="A841" s="75" t="n"/>
      <c r="B841" s="75" t="n"/>
      <c r="C841" s="261" t="n"/>
      <c r="D841" s="261" t="n"/>
      <c r="E841" s="262">
        <f>IF(OR(C841="",D841=""),"",D841-C841)</f>
        <v/>
      </c>
      <c r="F841" s="75" t="n"/>
      <c r="G841" s="75" t="n"/>
      <c r="H841" s="75" t="n"/>
      <c r="I841" s="75" t="n"/>
      <c r="J841" s="75" t="n"/>
      <c r="K841" s="75" t="n"/>
      <c r="L841" s="75" t="n"/>
      <c r="M841" s="75" t="n"/>
      <c r="N841" s="75" t="n"/>
      <c r="O841" s="75" t="n"/>
      <c r="P841" s="75" t="n"/>
      <c r="Q841" s="75" t="n"/>
      <c r="R841" s="75" t="n"/>
      <c r="S841" s="75" t="n"/>
      <c r="T841" s="75" t="n"/>
      <c r="U841" s="75" t="n"/>
      <c r="V841" s="75" t="n"/>
      <c r="W841" s="75" t="n"/>
      <c r="X841" s="75" t="n"/>
      <c r="Y841" s="226">
        <f>IF(AND(A841="",B841=""),"",IF(AND(A841&lt;&gt;"",B841&lt;&gt;"",C841&lt;&gt;"",D841&lt;&gt;"",F841&lt;&gt;"",G841&lt;&gt;"",H841&lt;&gt;"",ISERROR(SEARCH("по паспорту",G841)),ISERROR(SEARCH("по паспорту",H841)),I841&lt;&gt;"",J841&lt;&gt;"",K841&lt;&gt;"",L841&lt;&gt;"",M841&lt;&gt;""),"ГОТОВО","НЕ ГОТОВО"))</f>
        <v/>
      </c>
      <c r="Z841" s="226">
        <f>IF(Y841&lt;&gt;"ГОТОВО","", "Предварительное заключение: "&amp;A841&amp;", скв. "&amp;B841&amp;". МРП: "&amp;E841&amp;" сут. ГНО: "&amp;F841&amp;", типоразмер "&amp;G841&amp;", марка "&amp;H841&amp;". Событие: "&amp;I841&amp;". Признак: "&amp;J841&amp;". Узел: "&amp;K841&amp;". Предварительная причина: "&amp;L841&amp;". Основное осложнение: "&amp;M841&amp;IF(N841&lt;&gt;"","; сопутствующее: "&amp;N841,"")&amp;IF(O841&lt;&gt;"","; дополнительно: "&amp;O841,"")&amp;".")</f>
        <v/>
      </c>
    </row>
    <row r="842">
      <c r="A842" s="75" t="n"/>
      <c r="B842" s="75" t="n"/>
      <c r="C842" s="261" t="n"/>
      <c r="D842" s="261" t="n"/>
      <c r="E842" s="262">
        <f>IF(OR(C842="",D842=""),"",D842-C842)</f>
        <v/>
      </c>
      <c r="F842" s="75" t="n"/>
      <c r="G842" s="75" t="n"/>
      <c r="H842" s="75" t="n"/>
      <c r="I842" s="75" t="n"/>
      <c r="J842" s="75" t="n"/>
      <c r="K842" s="75" t="n"/>
      <c r="L842" s="75" t="n"/>
      <c r="M842" s="75" t="n"/>
      <c r="N842" s="75" t="n"/>
      <c r="O842" s="75" t="n"/>
      <c r="P842" s="75" t="n"/>
      <c r="Q842" s="75" t="n"/>
      <c r="R842" s="75" t="n"/>
      <c r="S842" s="75" t="n"/>
      <c r="T842" s="75" t="n"/>
      <c r="U842" s="75" t="n"/>
      <c r="V842" s="75" t="n"/>
      <c r="W842" s="75" t="n"/>
      <c r="X842" s="75" t="n"/>
      <c r="Y842" s="226">
        <f>IF(AND(A842="",B842=""),"",IF(AND(A842&lt;&gt;"",B842&lt;&gt;"",C842&lt;&gt;"",D842&lt;&gt;"",F842&lt;&gt;"",G842&lt;&gt;"",H842&lt;&gt;"",ISERROR(SEARCH("по паспорту",G842)),ISERROR(SEARCH("по паспорту",H842)),I842&lt;&gt;"",J842&lt;&gt;"",K842&lt;&gt;"",L842&lt;&gt;"",M842&lt;&gt;""),"ГОТОВО","НЕ ГОТОВО"))</f>
        <v/>
      </c>
      <c r="Z842" s="226">
        <f>IF(Y842&lt;&gt;"ГОТОВО","", "Предварительное заключение: "&amp;A842&amp;", скв. "&amp;B842&amp;". МРП: "&amp;E842&amp;" сут. ГНО: "&amp;F842&amp;", типоразмер "&amp;G842&amp;", марка "&amp;H842&amp;". Событие: "&amp;I842&amp;". Признак: "&amp;J842&amp;". Узел: "&amp;K842&amp;". Предварительная причина: "&amp;L842&amp;". Основное осложнение: "&amp;M842&amp;IF(N842&lt;&gt;"","; сопутствующее: "&amp;N842,"")&amp;IF(O842&lt;&gt;"","; дополнительно: "&amp;O842,"")&amp;".")</f>
        <v/>
      </c>
    </row>
    <row r="843">
      <c r="A843" s="75" t="n"/>
      <c r="B843" s="75" t="n"/>
      <c r="C843" s="261" t="n"/>
      <c r="D843" s="261" t="n"/>
      <c r="E843" s="262">
        <f>IF(OR(C843="",D843=""),"",D843-C843)</f>
        <v/>
      </c>
      <c r="F843" s="75" t="n"/>
      <c r="G843" s="75" t="n"/>
      <c r="H843" s="75" t="n"/>
      <c r="I843" s="75" t="n"/>
      <c r="J843" s="75" t="n"/>
      <c r="K843" s="75" t="n"/>
      <c r="L843" s="75" t="n"/>
      <c r="M843" s="75" t="n"/>
      <c r="N843" s="75" t="n"/>
      <c r="O843" s="75" t="n"/>
      <c r="P843" s="75" t="n"/>
      <c r="Q843" s="75" t="n"/>
      <c r="R843" s="75" t="n"/>
      <c r="S843" s="75" t="n"/>
      <c r="T843" s="75" t="n"/>
      <c r="U843" s="75" t="n"/>
      <c r="V843" s="75" t="n"/>
      <c r="W843" s="75" t="n"/>
      <c r="X843" s="75" t="n"/>
      <c r="Y843" s="226">
        <f>IF(AND(A843="",B843=""),"",IF(AND(A843&lt;&gt;"",B843&lt;&gt;"",C843&lt;&gt;"",D843&lt;&gt;"",F843&lt;&gt;"",G843&lt;&gt;"",H843&lt;&gt;"",ISERROR(SEARCH("по паспорту",G843)),ISERROR(SEARCH("по паспорту",H843)),I843&lt;&gt;"",J843&lt;&gt;"",K843&lt;&gt;"",L843&lt;&gt;"",M843&lt;&gt;""),"ГОТОВО","НЕ ГОТОВО"))</f>
        <v/>
      </c>
      <c r="Z843" s="226">
        <f>IF(Y843&lt;&gt;"ГОТОВО","", "Предварительное заключение: "&amp;A843&amp;", скв. "&amp;B843&amp;". МРП: "&amp;E843&amp;" сут. ГНО: "&amp;F843&amp;", типоразмер "&amp;G843&amp;", марка "&amp;H843&amp;". Событие: "&amp;I843&amp;". Признак: "&amp;J843&amp;". Узел: "&amp;K843&amp;". Предварительная причина: "&amp;L843&amp;". Основное осложнение: "&amp;M843&amp;IF(N843&lt;&gt;"","; сопутствующее: "&amp;N843,"")&amp;IF(O843&lt;&gt;"","; дополнительно: "&amp;O843,"")&amp;".")</f>
        <v/>
      </c>
    </row>
    <row r="844">
      <c r="A844" s="75" t="n"/>
      <c r="B844" s="75" t="n"/>
      <c r="C844" s="261" t="n"/>
      <c r="D844" s="261" t="n"/>
      <c r="E844" s="262">
        <f>IF(OR(C844="",D844=""),"",D844-C844)</f>
        <v/>
      </c>
      <c r="F844" s="75" t="n"/>
      <c r="G844" s="75" t="n"/>
      <c r="H844" s="75" t="n"/>
      <c r="I844" s="75" t="n"/>
      <c r="J844" s="75" t="n"/>
      <c r="K844" s="75" t="n"/>
      <c r="L844" s="75" t="n"/>
      <c r="M844" s="75" t="n"/>
      <c r="N844" s="75" t="n"/>
      <c r="O844" s="75" t="n"/>
      <c r="P844" s="75" t="n"/>
      <c r="Q844" s="75" t="n"/>
      <c r="R844" s="75" t="n"/>
      <c r="S844" s="75" t="n"/>
      <c r="T844" s="75" t="n"/>
      <c r="U844" s="75" t="n"/>
      <c r="V844" s="75" t="n"/>
      <c r="W844" s="75" t="n"/>
      <c r="X844" s="75" t="n"/>
      <c r="Y844" s="226">
        <f>IF(AND(A844="",B844=""),"",IF(AND(A844&lt;&gt;"",B844&lt;&gt;"",C844&lt;&gt;"",D844&lt;&gt;"",F844&lt;&gt;"",G844&lt;&gt;"",H844&lt;&gt;"",ISERROR(SEARCH("по паспорту",G844)),ISERROR(SEARCH("по паспорту",H844)),I844&lt;&gt;"",J844&lt;&gt;"",K844&lt;&gt;"",L844&lt;&gt;"",M844&lt;&gt;""),"ГОТОВО","НЕ ГОТОВО"))</f>
        <v/>
      </c>
      <c r="Z844" s="226">
        <f>IF(Y844&lt;&gt;"ГОТОВО","", "Предварительное заключение: "&amp;A844&amp;", скв. "&amp;B844&amp;". МРП: "&amp;E844&amp;" сут. ГНО: "&amp;F844&amp;", типоразмер "&amp;G844&amp;", марка "&amp;H844&amp;". Событие: "&amp;I844&amp;". Признак: "&amp;J844&amp;". Узел: "&amp;K844&amp;". Предварительная причина: "&amp;L844&amp;". Основное осложнение: "&amp;M844&amp;IF(N844&lt;&gt;"","; сопутствующее: "&amp;N844,"")&amp;IF(O844&lt;&gt;"","; дополнительно: "&amp;O844,"")&amp;".")</f>
        <v/>
      </c>
    </row>
    <row r="845">
      <c r="A845" s="75" t="n"/>
      <c r="B845" s="75" t="n"/>
      <c r="C845" s="261" t="n"/>
      <c r="D845" s="261" t="n"/>
      <c r="E845" s="262">
        <f>IF(OR(C845="",D845=""),"",D845-C845)</f>
        <v/>
      </c>
      <c r="F845" s="75" t="n"/>
      <c r="G845" s="75" t="n"/>
      <c r="H845" s="75" t="n"/>
      <c r="I845" s="75" t="n"/>
      <c r="J845" s="75" t="n"/>
      <c r="K845" s="75" t="n"/>
      <c r="L845" s="75" t="n"/>
      <c r="M845" s="75" t="n"/>
      <c r="N845" s="75" t="n"/>
      <c r="O845" s="75" t="n"/>
      <c r="P845" s="75" t="n"/>
      <c r="Q845" s="75" t="n"/>
      <c r="R845" s="75" t="n"/>
      <c r="S845" s="75" t="n"/>
      <c r="T845" s="75" t="n"/>
      <c r="U845" s="75" t="n"/>
      <c r="V845" s="75" t="n"/>
      <c r="W845" s="75" t="n"/>
      <c r="X845" s="75" t="n"/>
      <c r="Y845" s="226">
        <f>IF(AND(A845="",B845=""),"",IF(AND(A845&lt;&gt;"",B845&lt;&gt;"",C845&lt;&gt;"",D845&lt;&gt;"",F845&lt;&gt;"",G845&lt;&gt;"",H845&lt;&gt;"",ISERROR(SEARCH("по паспорту",G845)),ISERROR(SEARCH("по паспорту",H845)),I845&lt;&gt;"",J845&lt;&gt;"",K845&lt;&gt;"",L845&lt;&gt;"",M845&lt;&gt;""),"ГОТОВО","НЕ ГОТОВО"))</f>
        <v/>
      </c>
      <c r="Z845" s="226">
        <f>IF(Y845&lt;&gt;"ГОТОВО","", "Предварительное заключение: "&amp;A845&amp;", скв. "&amp;B845&amp;". МРП: "&amp;E845&amp;" сут. ГНО: "&amp;F845&amp;", типоразмер "&amp;G845&amp;", марка "&amp;H845&amp;". Событие: "&amp;I845&amp;". Признак: "&amp;J845&amp;". Узел: "&amp;K845&amp;". Предварительная причина: "&amp;L845&amp;". Основное осложнение: "&amp;M845&amp;IF(N845&lt;&gt;"","; сопутствующее: "&amp;N845,"")&amp;IF(O845&lt;&gt;"","; дополнительно: "&amp;O845,"")&amp;".")</f>
        <v/>
      </c>
    </row>
    <row r="846">
      <c r="A846" s="75" t="n"/>
      <c r="B846" s="75" t="n"/>
      <c r="C846" s="261" t="n"/>
      <c r="D846" s="261" t="n"/>
      <c r="E846" s="262">
        <f>IF(OR(C846="",D846=""),"",D846-C846)</f>
        <v/>
      </c>
      <c r="F846" s="75" t="n"/>
      <c r="G846" s="75" t="n"/>
      <c r="H846" s="75" t="n"/>
      <c r="I846" s="75" t="n"/>
      <c r="J846" s="75" t="n"/>
      <c r="K846" s="75" t="n"/>
      <c r="L846" s="75" t="n"/>
      <c r="M846" s="75" t="n"/>
      <c r="N846" s="75" t="n"/>
      <c r="O846" s="75" t="n"/>
      <c r="P846" s="75" t="n"/>
      <c r="Q846" s="75" t="n"/>
      <c r="R846" s="75" t="n"/>
      <c r="S846" s="75" t="n"/>
      <c r="T846" s="75" t="n"/>
      <c r="U846" s="75" t="n"/>
      <c r="V846" s="75" t="n"/>
      <c r="W846" s="75" t="n"/>
      <c r="X846" s="75" t="n"/>
      <c r="Y846" s="226">
        <f>IF(AND(A846="",B846=""),"",IF(AND(A846&lt;&gt;"",B846&lt;&gt;"",C846&lt;&gt;"",D846&lt;&gt;"",F846&lt;&gt;"",G846&lt;&gt;"",H846&lt;&gt;"",ISERROR(SEARCH("по паспорту",G846)),ISERROR(SEARCH("по паспорту",H846)),I846&lt;&gt;"",J846&lt;&gt;"",K846&lt;&gt;"",L846&lt;&gt;"",M846&lt;&gt;""),"ГОТОВО","НЕ ГОТОВО"))</f>
        <v/>
      </c>
      <c r="Z846" s="226">
        <f>IF(Y846&lt;&gt;"ГОТОВО","", "Предварительное заключение: "&amp;A846&amp;", скв. "&amp;B846&amp;". МРП: "&amp;E846&amp;" сут. ГНО: "&amp;F846&amp;", типоразмер "&amp;G846&amp;", марка "&amp;H846&amp;". Событие: "&amp;I846&amp;". Признак: "&amp;J846&amp;". Узел: "&amp;K846&amp;". Предварительная причина: "&amp;L846&amp;". Основное осложнение: "&amp;M846&amp;IF(N846&lt;&gt;"","; сопутствующее: "&amp;N846,"")&amp;IF(O846&lt;&gt;"","; дополнительно: "&amp;O846,"")&amp;".")</f>
        <v/>
      </c>
    </row>
    <row r="847">
      <c r="A847" s="75" t="n"/>
      <c r="B847" s="75" t="n"/>
      <c r="C847" s="261" t="n"/>
      <c r="D847" s="261" t="n"/>
      <c r="E847" s="262">
        <f>IF(OR(C847="",D847=""),"",D847-C847)</f>
        <v/>
      </c>
      <c r="F847" s="75" t="n"/>
      <c r="G847" s="75" t="n"/>
      <c r="H847" s="75" t="n"/>
      <c r="I847" s="75" t="n"/>
      <c r="J847" s="75" t="n"/>
      <c r="K847" s="75" t="n"/>
      <c r="L847" s="75" t="n"/>
      <c r="M847" s="75" t="n"/>
      <c r="N847" s="75" t="n"/>
      <c r="O847" s="75" t="n"/>
      <c r="P847" s="75" t="n"/>
      <c r="Q847" s="75" t="n"/>
      <c r="R847" s="75" t="n"/>
      <c r="S847" s="75" t="n"/>
      <c r="T847" s="75" t="n"/>
      <c r="U847" s="75" t="n"/>
      <c r="V847" s="75" t="n"/>
      <c r="W847" s="75" t="n"/>
      <c r="X847" s="75" t="n"/>
      <c r="Y847" s="226">
        <f>IF(AND(A847="",B847=""),"",IF(AND(A847&lt;&gt;"",B847&lt;&gt;"",C847&lt;&gt;"",D847&lt;&gt;"",F847&lt;&gt;"",G847&lt;&gt;"",H847&lt;&gt;"",ISERROR(SEARCH("по паспорту",G847)),ISERROR(SEARCH("по паспорту",H847)),I847&lt;&gt;"",J847&lt;&gt;"",K847&lt;&gt;"",L847&lt;&gt;"",M847&lt;&gt;""),"ГОТОВО","НЕ ГОТОВО"))</f>
        <v/>
      </c>
      <c r="Z847" s="226">
        <f>IF(Y847&lt;&gt;"ГОТОВО","", "Предварительное заключение: "&amp;A847&amp;", скв. "&amp;B847&amp;". МРП: "&amp;E847&amp;" сут. ГНО: "&amp;F847&amp;", типоразмер "&amp;G847&amp;", марка "&amp;H847&amp;". Событие: "&amp;I847&amp;". Признак: "&amp;J847&amp;". Узел: "&amp;K847&amp;". Предварительная причина: "&amp;L847&amp;". Основное осложнение: "&amp;M847&amp;IF(N847&lt;&gt;"","; сопутствующее: "&amp;N847,"")&amp;IF(O847&lt;&gt;"","; дополнительно: "&amp;O847,"")&amp;".")</f>
        <v/>
      </c>
    </row>
    <row r="848">
      <c r="A848" s="75" t="n"/>
      <c r="B848" s="75" t="n"/>
      <c r="C848" s="261" t="n"/>
      <c r="D848" s="261" t="n"/>
      <c r="E848" s="262">
        <f>IF(OR(C848="",D848=""),"",D848-C848)</f>
        <v/>
      </c>
      <c r="F848" s="75" t="n"/>
      <c r="G848" s="75" t="n"/>
      <c r="H848" s="75" t="n"/>
      <c r="I848" s="75" t="n"/>
      <c r="J848" s="75" t="n"/>
      <c r="K848" s="75" t="n"/>
      <c r="L848" s="75" t="n"/>
      <c r="M848" s="75" t="n"/>
      <c r="N848" s="75" t="n"/>
      <c r="O848" s="75" t="n"/>
      <c r="P848" s="75" t="n"/>
      <c r="Q848" s="75" t="n"/>
      <c r="R848" s="75" t="n"/>
      <c r="S848" s="75" t="n"/>
      <c r="T848" s="75" t="n"/>
      <c r="U848" s="75" t="n"/>
      <c r="V848" s="75" t="n"/>
      <c r="W848" s="75" t="n"/>
      <c r="X848" s="75" t="n"/>
      <c r="Y848" s="226">
        <f>IF(AND(A848="",B848=""),"",IF(AND(A848&lt;&gt;"",B848&lt;&gt;"",C848&lt;&gt;"",D848&lt;&gt;"",F848&lt;&gt;"",G848&lt;&gt;"",H848&lt;&gt;"",ISERROR(SEARCH("по паспорту",G848)),ISERROR(SEARCH("по паспорту",H848)),I848&lt;&gt;"",J848&lt;&gt;"",K848&lt;&gt;"",L848&lt;&gt;"",M848&lt;&gt;""),"ГОТОВО","НЕ ГОТОВО"))</f>
        <v/>
      </c>
      <c r="Z848" s="226">
        <f>IF(Y848&lt;&gt;"ГОТОВО","", "Предварительное заключение: "&amp;A848&amp;", скв. "&amp;B848&amp;". МРП: "&amp;E848&amp;" сут. ГНО: "&amp;F848&amp;", типоразмер "&amp;G848&amp;", марка "&amp;H848&amp;". Событие: "&amp;I848&amp;". Признак: "&amp;J848&amp;". Узел: "&amp;K848&amp;". Предварительная причина: "&amp;L848&amp;". Основное осложнение: "&amp;M848&amp;IF(N848&lt;&gt;"","; сопутствующее: "&amp;N848,"")&amp;IF(O848&lt;&gt;"","; дополнительно: "&amp;O848,"")&amp;".")</f>
        <v/>
      </c>
    </row>
    <row r="849">
      <c r="A849" s="75" t="n"/>
      <c r="B849" s="75" t="n"/>
      <c r="C849" s="261" t="n"/>
      <c r="D849" s="261" t="n"/>
      <c r="E849" s="262">
        <f>IF(OR(C849="",D849=""),"",D849-C849)</f>
        <v/>
      </c>
      <c r="F849" s="75" t="n"/>
      <c r="G849" s="75" t="n"/>
      <c r="H849" s="75" t="n"/>
      <c r="I849" s="75" t="n"/>
      <c r="J849" s="75" t="n"/>
      <c r="K849" s="75" t="n"/>
      <c r="L849" s="75" t="n"/>
      <c r="M849" s="75" t="n"/>
      <c r="N849" s="75" t="n"/>
      <c r="O849" s="75" t="n"/>
      <c r="P849" s="75" t="n"/>
      <c r="Q849" s="75" t="n"/>
      <c r="R849" s="75" t="n"/>
      <c r="S849" s="75" t="n"/>
      <c r="T849" s="75" t="n"/>
      <c r="U849" s="75" t="n"/>
      <c r="V849" s="75" t="n"/>
      <c r="W849" s="75" t="n"/>
      <c r="X849" s="75" t="n"/>
      <c r="Y849" s="226">
        <f>IF(AND(A849="",B849=""),"",IF(AND(A849&lt;&gt;"",B849&lt;&gt;"",C849&lt;&gt;"",D849&lt;&gt;"",F849&lt;&gt;"",G849&lt;&gt;"",H849&lt;&gt;"",ISERROR(SEARCH("по паспорту",G849)),ISERROR(SEARCH("по паспорту",H849)),I849&lt;&gt;"",J849&lt;&gt;"",K849&lt;&gt;"",L849&lt;&gt;"",M849&lt;&gt;""),"ГОТОВО","НЕ ГОТОВО"))</f>
        <v/>
      </c>
      <c r="Z849" s="226">
        <f>IF(Y849&lt;&gt;"ГОТОВО","", "Предварительное заключение: "&amp;A849&amp;", скв. "&amp;B849&amp;". МРП: "&amp;E849&amp;" сут. ГНО: "&amp;F849&amp;", типоразмер "&amp;G849&amp;", марка "&amp;H849&amp;". Событие: "&amp;I849&amp;". Признак: "&amp;J849&amp;". Узел: "&amp;K849&amp;". Предварительная причина: "&amp;L849&amp;". Основное осложнение: "&amp;M849&amp;IF(N849&lt;&gt;"","; сопутствующее: "&amp;N849,"")&amp;IF(O849&lt;&gt;"","; дополнительно: "&amp;O849,"")&amp;".")</f>
        <v/>
      </c>
    </row>
    <row r="850">
      <c r="A850" s="75" t="n"/>
      <c r="B850" s="75" t="n"/>
      <c r="C850" s="261" t="n"/>
      <c r="D850" s="261" t="n"/>
      <c r="E850" s="262">
        <f>IF(OR(C850="",D850=""),"",D850-C850)</f>
        <v/>
      </c>
      <c r="F850" s="75" t="n"/>
      <c r="G850" s="75" t="n"/>
      <c r="H850" s="75" t="n"/>
      <c r="I850" s="75" t="n"/>
      <c r="J850" s="75" t="n"/>
      <c r="K850" s="75" t="n"/>
      <c r="L850" s="75" t="n"/>
      <c r="M850" s="75" t="n"/>
      <c r="N850" s="75" t="n"/>
      <c r="O850" s="75" t="n"/>
      <c r="P850" s="75" t="n"/>
      <c r="Q850" s="75" t="n"/>
      <c r="R850" s="75" t="n"/>
      <c r="S850" s="75" t="n"/>
      <c r="T850" s="75" t="n"/>
      <c r="U850" s="75" t="n"/>
      <c r="V850" s="75" t="n"/>
      <c r="W850" s="75" t="n"/>
      <c r="X850" s="75" t="n"/>
      <c r="Y850" s="226">
        <f>IF(AND(A850="",B850=""),"",IF(AND(A850&lt;&gt;"",B850&lt;&gt;"",C850&lt;&gt;"",D850&lt;&gt;"",F850&lt;&gt;"",G850&lt;&gt;"",H850&lt;&gt;"",ISERROR(SEARCH("по паспорту",G850)),ISERROR(SEARCH("по паспорту",H850)),I850&lt;&gt;"",J850&lt;&gt;"",K850&lt;&gt;"",L850&lt;&gt;"",M850&lt;&gt;""),"ГОТОВО","НЕ ГОТОВО"))</f>
        <v/>
      </c>
      <c r="Z850" s="226">
        <f>IF(Y850&lt;&gt;"ГОТОВО","", "Предварительное заключение: "&amp;A850&amp;", скв. "&amp;B850&amp;". МРП: "&amp;E850&amp;" сут. ГНО: "&amp;F850&amp;", типоразмер "&amp;G850&amp;", марка "&amp;H850&amp;". Событие: "&amp;I850&amp;". Признак: "&amp;J850&amp;". Узел: "&amp;K850&amp;". Предварительная причина: "&amp;L850&amp;". Основное осложнение: "&amp;M850&amp;IF(N850&lt;&gt;"","; сопутствующее: "&amp;N850,"")&amp;IF(O850&lt;&gt;"","; дополнительно: "&amp;O850,"")&amp;".")</f>
        <v/>
      </c>
    </row>
    <row r="851">
      <c r="A851" s="75" t="n"/>
      <c r="B851" s="75" t="n"/>
      <c r="C851" s="261" t="n"/>
      <c r="D851" s="261" t="n"/>
      <c r="E851" s="262">
        <f>IF(OR(C851="",D851=""),"",D851-C851)</f>
        <v/>
      </c>
      <c r="F851" s="75" t="n"/>
      <c r="G851" s="75" t="n"/>
      <c r="H851" s="75" t="n"/>
      <c r="I851" s="75" t="n"/>
      <c r="J851" s="75" t="n"/>
      <c r="K851" s="75" t="n"/>
      <c r="L851" s="75" t="n"/>
      <c r="M851" s="75" t="n"/>
      <c r="N851" s="75" t="n"/>
      <c r="O851" s="75" t="n"/>
      <c r="P851" s="75" t="n"/>
      <c r="Q851" s="75" t="n"/>
      <c r="R851" s="75" t="n"/>
      <c r="S851" s="75" t="n"/>
      <c r="T851" s="75" t="n"/>
      <c r="U851" s="75" t="n"/>
      <c r="V851" s="75" t="n"/>
      <c r="W851" s="75" t="n"/>
      <c r="X851" s="75" t="n"/>
      <c r="Y851" s="226">
        <f>IF(AND(A851="",B851=""),"",IF(AND(A851&lt;&gt;"",B851&lt;&gt;"",C851&lt;&gt;"",D851&lt;&gt;"",F851&lt;&gt;"",G851&lt;&gt;"",H851&lt;&gt;"",ISERROR(SEARCH("по паспорту",G851)),ISERROR(SEARCH("по паспорту",H851)),I851&lt;&gt;"",J851&lt;&gt;"",K851&lt;&gt;"",L851&lt;&gt;"",M851&lt;&gt;""),"ГОТОВО","НЕ ГОТОВО"))</f>
        <v/>
      </c>
      <c r="Z851" s="226">
        <f>IF(Y851&lt;&gt;"ГОТОВО","", "Предварительное заключение: "&amp;A851&amp;", скв. "&amp;B851&amp;". МРП: "&amp;E851&amp;" сут. ГНО: "&amp;F851&amp;", типоразмер "&amp;G851&amp;", марка "&amp;H851&amp;". Событие: "&amp;I851&amp;". Признак: "&amp;J851&amp;". Узел: "&amp;K851&amp;". Предварительная причина: "&amp;L851&amp;". Основное осложнение: "&amp;M851&amp;IF(N851&lt;&gt;"","; сопутствующее: "&amp;N851,"")&amp;IF(O851&lt;&gt;"","; дополнительно: "&amp;O851,"")&amp;".")</f>
        <v/>
      </c>
    </row>
    <row r="852">
      <c r="A852" s="75" t="n"/>
      <c r="B852" s="75" t="n"/>
      <c r="C852" s="261" t="n"/>
      <c r="D852" s="261" t="n"/>
      <c r="E852" s="262">
        <f>IF(OR(C852="",D852=""),"",D852-C852)</f>
        <v/>
      </c>
      <c r="F852" s="75" t="n"/>
      <c r="G852" s="75" t="n"/>
      <c r="H852" s="75" t="n"/>
      <c r="I852" s="75" t="n"/>
      <c r="J852" s="75" t="n"/>
      <c r="K852" s="75" t="n"/>
      <c r="L852" s="75" t="n"/>
      <c r="M852" s="75" t="n"/>
      <c r="N852" s="75" t="n"/>
      <c r="O852" s="75" t="n"/>
      <c r="P852" s="75" t="n"/>
      <c r="Q852" s="75" t="n"/>
      <c r="R852" s="75" t="n"/>
      <c r="S852" s="75" t="n"/>
      <c r="T852" s="75" t="n"/>
      <c r="U852" s="75" t="n"/>
      <c r="V852" s="75" t="n"/>
      <c r="W852" s="75" t="n"/>
      <c r="X852" s="75" t="n"/>
      <c r="Y852" s="226">
        <f>IF(AND(A852="",B852=""),"",IF(AND(A852&lt;&gt;"",B852&lt;&gt;"",C852&lt;&gt;"",D852&lt;&gt;"",F852&lt;&gt;"",G852&lt;&gt;"",H852&lt;&gt;"",ISERROR(SEARCH("по паспорту",G852)),ISERROR(SEARCH("по паспорту",H852)),I852&lt;&gt;"",J852&lt;&gt;"",K852&lt;&gt;"",L852&lt;&gt;"",M852&lt;&gt;""),"ГОТОВО","НЕ ГОТОВО"))</f>
        <v/>
      </c>
      <c r="Z852" s="226">
        <f>IF(Y852&lt;&gt;"ГОТОВО","", "Предварительное заключение: "&amp;A852&amp;", скв. "&amp;B852&amp;". МРП: "&amp;E852&amp;" сут. ГНО: "&amp;F852&amp;", типоразмер "&amp;G852&amp;", марка "&amp;H852&amp;". Событие: "&amp;I852&amp;". Признак: "&amp;J852&amp;". Узел: "&amp;K852&amp;". Предварительная причина: "&amp;L852&amp;". Основное осложнение: "&amp;M852&amp;IF(N852&lt;&gt;"","; сопутствующее: "&amp;N852,"")&amp;IF(O852&lt;&gt;"","; дополнительно: "&amp;O852,"")&amp;".")</f>
        <v/>
      </c>
    </row>
    <row r="853">
      <c r="A853" s="75" t="n"/>
      <c r="B853" s="75" t="n"/>
      <c r="C853" s="261" t="n"/>
      <c r="D853" s="261" t="n"/>
      <c r="E853" s="262">
        <f>IF(OR(C853="",D853=""),"",D853-C853)</f>
        <v/>
      </c>
      <c r="F853" s="75" t="n"/>
      <c r="G853" s="75" t="n"/>
      <c r="H853" s="75" t="n"/>
      <c r="I853" s="75" t="n"/>
      <c r="J853" s="75" t="n"/>
      <c r="K853" s="75" t="n"/>
      <c r="L853" s="75" t="n"/>
      <c r="M853" s="75" t="n"/>
      <c r="N853" s="75" t="n"/>
      <c r="O853" s="75" t="n"/>
      <c r="P853" s="75" t="n"/>
      <c r="Q853" s="75" t="n"/>
      <c r="R853" s="75" t="n"/>
      <c r="S853" s="75" t="n"/>
      <c r="T853" s="75" t="n"/>
      <c r="U853" s="75" t="n"/>
      <c r="V853" s="75" t="n"/>
      <c r="W853" s="75" t="n"/>
      <c r="X853" s="75" t="n"/>
      <c r="Y853" s="226">
        <f>IF(AND(A853="",B853=""),"",IF(AND(A853&lt;&gt;"",B853&lt;&gt;"",C853&lt;&gt;"",D853&lt;&gt;"",F853&lt;&gt;"",G853&lt;&gt;"",H853&lt;&gt;"",ISERROR(SEARCH("по паспорту",G853)),ISERROR(SEARCH("по паспорту",H853)),I853&lt;&gt;"",J853&lt;&gt;"",K853&lt;&gt;"",L853&lt;&gt;"",M853&lt;&gt;""),"ГОТОВО","НЕ ГОТОВО"))</f>
        <v/>
      </c>
      <c r="Z853" s="226">
        <f>IF(Y853&lt;&gt;"ГОТОВО","", "Предварительное заключение: "&amp;A853&amp;", скв. "&amp;B853&amp;". МРП: "&amp;E853&amp;" сут. ГНО: "&amp;F853&amp;", типоразмер "&amp;G853&amp;", марка "&amp;H853&amp;". Событие: "&amp;I853&amp;". Признак: "&amp;J853&amp;". Узел: "&amp;K853&amp;". Предварительная причина: "&amp;L853&amp;". Основное осложнение: "&amp;M853&amp;IF(N853&lt;&gt;"","; сопутствующее: "&amp;N853,"")&amp;IF(O853&lt;&gt;"","; дополнительно: "&amp;O853,"")&amp;".")</f>
        <v/>
      </c>
    </row>
    <row r="854">
      <c r="A854" s="75" t="n"/>
      <c r="B854" s="75" t="n"/>
      <c r="C854" s="261" t="n"/>
      <c r="D854" s="261" t="n"/>
      <c r="E854" s="262">
        <f>IF(OR(C854="",D854=""),"",D854-C854)</f>
        <v/>
      </c>
      <c r="F854" s="75" t="n"/>
      <c r="G854" s="75" t="n"/>
      <c r="H854" s="75" t="n"/>
      <c r="I854" s="75" t="n"/>
      <c r="J854" s="75" t="n"/>
      <c r="K854" s="75" t="n"/>
      <c r="L854" s="75" t="n"/>
      <c r="M854" s="75" t="n"/>
      <c r="N854" s="75" t="n"/>
      <c r="O854" s="75" t="n"/>
      <c r="P854" s="75" t="n"/>
      <c r="Q854" s="75" t="n"/>
      <c r="R854" s="75" t="n"/>
      <c r="S854" s="75" t="n"/>
      <c r="T854" s="75" t="n"/>
      <c r="U854" s="75" t="n"/>
      <c r="V854" s="75" t="n"/>
      <c r="W854" s="75" t="n"/>
      <c r="X854" s="75" t="n"/>
      <c r="Y854" s="226">
        <f>IF(AND(A854="",B854=""),"",IF(AND(A854&lt;&gt;"",B854&lt;&gt;"",C854&lt;&gt;"",D854&lt;&gt;"",F854&lt;&gt;"",G854&lt;&gt;"",H854&lt;&gt;"",ISERROR(SEARCH("по паспорту",G854)),ISERROR(SEARCH("по паспорту",H854)),I854&lt;&gt;"",J854&lt;&gt;"",K854&lt;&gt;"",L854&lt;&gt;"",M854&lt;&gt;""),"ГОТОВО","НЕ ГОТОВО"))</f>
        <v/>
      </c>
      <c r="Z854" s="226">
        <f>IF(Y854&lt;&gt;"ГОТОВО","", "Предварительное заключение: "&amp;A854&amp;", скв. "&amp;B854&amp;". МРП: "&amp;E854&amp;" сут. ГНО: "&amp;F854&amp;", типоразмер "&amp;G854&amp;", марка "&amp;H854&amp;". Событие: "&amp;I854&amp;". Признак: "&amp;J854&amp;". Узел: "&amp;K854&amp;". Предварительная причина: "&amp;L854&amp;". Основное осложнение: "&amp;M854&amp;IF(N854&lt;&gt;"","; сопутствующее: "&amp;N854,"")&amp;IF(O854&lt;&gt;"","; дополнительно: "&amp;O854,"")&amp;".")</f>
        <v/>
      </c>
    </row>
    <row r="855">
      <c r="A855" s="75" t="n"/>
      <c r="B855" s="75" t="n"/>
      <c r="C855" s="261" t="n"/>
      <c r="D855" s="261" t="n"/>
      <c r="E855" s="262">
        <f>IF(OR(C855="",D855=""),"",D855-C855)</f>
        <v/>
      </c>
      <c r="F855" s="75" t="n"/>
      <c r="G855" s="75" t="n"/>
      <c r="H855" s="75" t="n"/>
      <c r="I855" s="75" t="n"/>
      <c r="J855" s="75" t="n"/>
      <c r="K855" s="75" t="n"/>
      <c r="L855" s="75" t="n"/>
      <c r="M855" s="75" t="n"/>
      <c r="N855" s="75" t="n"/>
      <c r="O855" s="75" t="n"/>
      <c r="P855" s="75" t="n"/>
      <c r="Q855" s="75" t="n"/>
      <c r="R855" s="75" t="n"/>
      <c r="S855" s="75" t="n"/>
      <c r="T855" s="75" t="n"/>
      <c r="U855" s="75" t="n"/>
      <c r="V855" s="75" t="n"/>
      <c r="W855" s="75" t="n"/>
      <c r="X855" s="75" t="n"/>
      <c r="Y855" s="226">
        <f>IF(AND(A855="",B855=""),"",IF(AND(A855&lt;&gt;"",B855&lt;&gt;"",C855&lt;&gt;"",D855&lt;&gt;"",F855&lt;&gt;"",G855&lt;&gt;"",H855&lt;&gt;"",ISERROR(SEARCH("по паспорту",G855)),ISERROR(SEARCH("по паспорту",H855)),I855&lt;&gt;"",J855&lt;&gt;"",K855&lt;&gt;"",L855&lt;&gt;"",M855&lt;&gt;""),"ГОТОВО","НЕ ГОТОВО"))</f>
        <v/>
      </c>
      <c r="Z855" s="226">
        <f>IF(Y855&lt;&gt;"ГОТОВО","", "Предварительное заключение: "&amp;A855&amp;", скв. "&amp;B855&amp;". МРП: "&amp;E855&amp;" сут. ГНО: "&amp;F855&amp;", типоразмер "&amp;G855&amp;", марка "&amp;H855&amp;". Событие: "&amp;I855&amp;". Признак: "&amp;J855&amp;". Узел: "&amp;K855&amp;". Предварительная причина: "&amp;L855&amp;". Основное осложнение: "&amp;M855&amp;IF(N855&lt;&gt;"","; сопутствующее: "&amp;N855,"")&amp;IF(O855&lt;&gt;"","; дополнительно: "&amp;O855,"")&amp;".")</f>
        <v/>
      </c>
    </row>
    <row r="856">
      <c r="A856" s="75" t="n"/>
      <c r="B856" s="75" t="n"/>
      <c r="C856" s="261" t="n"/>
      <c r="D856" s="261" t="n"/>
      <c r="E856" s="262">
        <f>IF(OR(C856="",D856=""),"",D856-C856)</f>
        <v/>
      </c>
      <c r="F856" s="75" t="n"/>
      <c r="G856" s="75" t="n"/>
      <c r="H856" s="75" t="n"/>
      <c r="I856" s="75" t="n"/>
      <c r="J856" s="75" t="n"/>
      <c r="K856" s="75" t="n"/>
      <c r="L856" s="75" t="n"/>
      <c r="M856" s="75" t="n"/>
      <c r="N856" s="75" t="n"/>
      <c r="O856" s="75" t="n"/>
      <c r="P856" s="75" t="n"/>
      <c r="Q856" s="75" t="n"/>
      <c r="R856" s="75" t="n"/>
      <c r="S856" s="75" t="n"/>
      <c r="T856" s="75" t="n"/>
      <c r="U856" s="75" t="n"/>
      <c r="V856" s="75" t="n"/>
      <c r="W856" s="75" t="n"/>
      <c r="X856" s="75" t="n"/>
      <c r="Y856" s="226">
        <f>IF(AND(A856="",B856=""),"",IF(AND(A856&lt;&gt;"",B856&lt;&gt;"",C856&lt;&gt;"",D856&lt;&gt;"",F856&lt;&gt;"",G856&lt;&gt;"",H856&lt;&gt;"",ISERROR(SEARCH("по паспорту",G856)),ISERROR(SEARCH("по паспорту",H856)),I856&lt;&gt;"",J856&lt;&gt;"",K856&lt;&gt;"",L856&lt;&gt;"",M856&lt;&gt;""),"ГОТОВО","НЕ ГОТОВО"))</f>
        <v/>
      </c>
      <c r="Z856" s="226">
        <f>IF(Y856&lt;&gt;"ГОТОВО","", "Предварительное заключение: "&amp;A856&amp;", скв. "&amp;B856&amp;". МРП: "&amp;E856&amp;" сут. ГНО: "&amp;F856&amp;", типоразмер "&amp;G856&amp;", марка "&amp;H856&amp;". Событие: "&amp;I856&amp;". Признак: "&amp;J856&amp;". Узел: "&amp;K856&amp;". Предварительная причина: "&amp;L856&amp;". Основное осложнение: "&amp;M856&amp;IF(N856&lt;&gt;"","; сопутствующее: "&amp;N856,"")&amp;IF(O856&lt;&gt;"","; дополнительно: "&amp;O856,"")&amp;".")</f>
        <v/>
      </c>
    </row>
    <row r="857">
      <c r="A857" s="75" t="n"/>
      <c r="B857" s="75" t="n"/>
      <c r="C857" s="261" t="n"/>
      <c r="D857" s="261" t="n"/>
      <c r="E857" s="262">
        <f>IF(OR(C857="",D857=""),"",D857-C857)</f>
        <v/>
      </c>
      <c r="F857" s="75" t="n"/>
      <c r="G857" s="75" t="n"/>
      <c r="H857" s="75" t="n"/>
      <c r="I857" s="75" t="n"/>
      <c r="J857" s="75" t="n"/>
      <c r="K857" s="75" t="n"/>
      <c r="L857" s="75" t="n"/>
      <c r="M857" s="75" t="n"/>
      <c r="N857" s="75" t="n"/>
      <c r="O857" s="75" t="n"/>
      <c r="P857" s="75" t="n"/>
      <c r="Q857" s="75" t="n"/>
      <c r="R857" s="75" t="n"/>
      <c r="S857" s="75" t="n"/>
      <c r="T857" s="75" t="n"/>
      <c r="U857" s="75" t="n"/>
      <c r="V857" s="75" t="n"/>
      <c r="W857" s="75" t="n"/>
      <c r="X857" s="75" t="n"/>
      <c r="Y857" s="226">
        <f>IF(AND(A857="",B857=""),"",IF(AND(A857&lt;&gt;"",B857&lt;&gt;"",C857&lt;&gt;"",D857&lt;&gt;"",F857&lt;&gt;"",G857&lt;&gt;"",H857&lt;&gt;"",ISERROR(SEARCH("по паспорту",G857)),ISERROR(SEARCH("по паспорту",H857)),I857&lt;&gt;"",J857&lt;&gt;"",K857&lt;&gt;"",L857&lt;&gt;"",M857&lt;&gt;""),"ГОТОВО","НЕ ГОТОВО"))</f>
        <v/>
      </c>
      <c r="Z857" s="226">
        <f>IF(Y857&lt;&gt;"ГОТОВО","", "Предварительное заключение: "&amp;A857&amp;", скв. "&amp;B857&amp;". МРП: "&amp;E857&amp;" сут. ГНО: "&amp;F857&amp;", типоразмер "&amp;G857&amp;", марка "&amp;H857&amp;". Событие: "&amp;I857&amp;". Признак: "&amp;J857&amp;". Узел: "&amp;K857&amp;". Предварительная причина: "&amp;L857&amp;". Основное осложнение: "&amp;M857&amp;IF(N857&lt;&gt;"","; сопутствующее: "&amp;N857,"")&amp;IF(O857&lt;&gt;"","; дополнительно: "&amp;O857,"")&amp;".")</f>
        <v/>
      </c>
    </row>
    <row r="858">
      <c r="A858" s="75" t="n"/>
      <c r="B858" s="75" t="n"/>
      <c r="C858" s="261" t="n"/>
      <c r="D858" s="261" t="n"/>
      <c r="E858" s="262">
        <f>IF(OR(C858="",D858=""),"",D858-C858)</f>
        <v/>
      </c>
      <c r="F858" s="75" t="n"/>
      <c r="G858" s="75" t="n"/>
      <c r="H858" s="75" t="n"/>
      <c r="I858" s="75" t="n"/>
      <c r="J858" s="75" t="n"/>
      <c r="K858" s="75" t="n"/>
      <c r="L858" s="75" t="n"/>
      <c r="M858" s="75" t="n"/>
      <c r="N858" s="75" t="n"/>
      <c r="O858" s="75" t="n"/>
      <c r="P858" s="75" t="n"/>
      <c r="Q858" s="75" t="n"/>
      <c r="R858" s="75" t="n"/>
      <c r="S858" s="75" t="n"/>
      <c r="T858" s="75" t="n"/>
      <c r="U858" s="75" t="n"/>
      <c r="V858" s="75" t="n"/>
      <c r="W858" s="75" t="n"/>
      <c r="X858" s="75" t="n"/>
      <c r="Y858" s="226">
        <f>IF(AND(A858="",B858=""),"",IF(AND(A858&lt;&gt;"",B858&lt;&gt;"",C858&lt;&gt;"",D858&lt;&gt;"",F858&lt;&gt;"",G858&lt;&gt;"",H858&lt;&gt;"",ISERROR(SEARCH("по паспорту",G858)),ISERROR(SEARCH("по паспорту",H858)),I858&lt;&gt;"",J858&lt;&gt;"",K858&lt;&gt;"",L858&lt;&gt;"",M858&lt;&gt;""),"ГОТОВО","НЕ ГОТОВО"))</f>
        <v/>
      </c>
      <c r="Z858" s="226">
        <f>IF(Y858&lt;&gt;"ГОТОВО","", "Предварительное заключение: "&amp;A858&amp;", скв. "&amp;B858&amp;". МРП: "&amp;E858&amp;" сут. ГНО: "&amp;F858&amp;", типоразмер "&amp;G858&amp;", марка "&amp;H858&amp;". Событие: "&amp;I858&amp;". Признак: "&amp;J858&amp;". Узел: "&amp;K858&amp;". Предварительная причина: "&amp;L858&amp;". Основное осложнение: "&amp;M858&amp;IF(N858&lt;&gt;"","; сопутствующее: "&amp;N858,"")&amp;IF(O858&lt;&gt;"","; дополнительно: "&amp;O858,"")&amp;".")</f>
        <v/>
      </c>
    </row>
    <row r="859">
      <c r="A859" s="75" t="n"/>
      <c r="B859" s="75" t="n"/>
      <c r="C859" s="261" t="n"/>
      <c r="D859" s="261" t="n"/>
      <c r="E859" s="262">
        <f>IF(OR(C859="",D859=""),"",D859-C859)</f>
        <v/>
      </c>
      <c r="F859" s="75" t="n"/>
      <c r="G859" s="75" t="n"/>
      <c r="H859" s="75" t="n"/>
      <c r="I859" s="75" t="n"/>
      <c r="J859" s="75" t="n"/>
      <c r="K859" s="75" t="n"/>
      <c r="L859" s="75" t="n"/>
      <c r="M859" s="75" t="n"/>
      <c r="N859" s="75" t="n"/>
      <c r="O859" s="75" t="n"/>
      <c r="P859" s="75" t="n"/>
      <c r="Q859" s="75" t="n"/>
      <c r="R859" s="75" t="n"/>
      <c r="S859" s="75" t="n"/>
      <c r="T859" s="75" t="n"/>
      <c r="U859" s="75" t="n"/>
      <c r="V859" s="75" t="n"/>
      <c r="W859" s="75" t="n"/>
      <c r="X859" s="75" t="n"/>
      <c r="Y859" s="226">
        <f>IF(AND(A859="",B859=""),"",IF(AND(A859&lt;&gt;"",B859&lt;&gt;"",C859&lt;&gt;"",D859&lt;&gt;"",F859&lt;&gt;"",G859&lt;&gt;"",H859&lt;&gt;"",ISERROR(SEARCH("по паспорту",G859)),ISERROR(SEARCH("по паспорту",H859)),I859&lt;&gt;"",J859&lt;&gt;"",K859&lt;&gt;"",L859&lt;&gt;"",M859&lt;&gt;""),"ГОТОВО","НЕ ГОТОВО"))</f>
        <v/>
      </c>
      <c r="Z859" s="226">
        <f>IF(Y859&lt;&gt;"ГОТОВО","", "Предварительное заключение: "&amp;A859&amp;", скв. "&amp;B859&amp;". МРП: "&amp;E859&amp;" сут. ГНО: "&amp;F859&amp;", типоразмер "&amp;G859&amp;", марка "&amp;H859&amp;". Событие: "&amp;I859&amp;". Признак: "&amp;J859&amp;". Узел: "&amp;K859&amp;". Предварительная причина: "&amp;L859&amp;". Основное осложнение: "&amp;M859&amp;IF(N859&lt;&gt;"","; сопутствующее: "&amp;N859,"")&amp;IF(O859&lt;&gt;"","; дополнительно: "&amp;O859,"")&amp;".")</f>
        <v/>
      </c>
    </row>
    <row r="860">
      <c r="A860" s="75" t="n"/>
      <c r="B860" s="75" t="n"/>
      <c r="C860" s="261" t="n"/>
      <c r="D860" s="261" t="n"/>
      <c r="E860" s="262">
        <f>IF(OR(C860="",D860=""),"",D860-C860)</f>
        <v/>
      </c>
      <c r="F860" s="75" t="n"/>
      <c r="G860" s="75" t="n"/>
      <c r="H860" s="75" t="n"/>
      <c r="I860" s="75" t="n"/>
      <c r="J860" s="75" t="n"/>
      <c r="K860" s="75" t="n"/>
      <c r="L860" s="75" t="n"/>
      <c r="M860" s="75" t="n"/>
      <c r="N860" s="75" t="n"/>
      <c r="O860" s="75" t="n"/>
      <c r="P860" s="75" t="n"/>
      <c r="Q860" s="75" t="n"/>
      <c r="R860" s="75" t="n"/>
      <c r="S860" s="75" t="n"/>
      <c r="T860" s="75" t="n"/>
      <c r="U860" s="75" t="n"/>
      <c r="V860" s="75" t="n"/>
      <c r="W860" s="75" t="n"/>
      <c r="X860" s="75" t="n"/>
      <c r="Y860" s="226">
        <f>IF(AND(A860="",B860=""),"",IF(AND(A860&lt;&gt;"",B860&lt;&gt;"",C860&lt;&gt;"",D860&lt;&gt;"",F860&lt;&gt;"",G860&lt;&gt;"",H860&lt;&gt;"",ISERROR(SEARCH("по паспорту",G860)),ISERROR(SEARCH("по паспорту",H860)),I860&lt;&gt;"",J860&lt;&gt;"",K860&lt;&gt;"",L860&lt;&gt;"",M860&lt;&gt;""),"ГОТОВО","НЕ ГОТОВО"))</f>
        <v/>
      </c>
      <c r="Z860" s="226">
        <f>IF(Y860&lt;&gt;"ГОТОВО","", "Предварительное заключение: "&amp;A860&amp;", скв. "&amp;B860&amp;". МРП: "&amp;E860&amp;" сут. ГНО: "&amp;F860&amp;", типоразмер "&amp;G860&amp;", марка "&amp;H860&amp;". Событие: "&amp;I860&amp;". Признак: "&amp;J860&amp;". Узел: "&amp;K860&amp;". Предварительная причина: "&amp;L860&amp;". Основное осложнение: "&amp;M860&amp;IF(N860&lt;&gt;"","; сопутствующее: "&amp;N860,"")&amp;IF(O860&lt;&gt;"","; дополнительно: "&amp;O860,"")&amp;".")</f>
        <v/>
      </c>
    </row>
    <row r="861">
      <c r="A861" s="75" t="n"/>
      <c r="B861" s="75" t="n"/>
      <c r="C861" s="261" t="n"/>
      <c r="D861" s="261" t="n"/>
      <c r="E861" s="262">
        <f>IF(OR(C861="",D861=""),"",D861-C861)</f>
        <v/>
      </c>
      <c r="F861" s="75" t="n"/>
      <c r="G861" s="75" t="n"/>
      <c r="H861" s="75" t="n"/>
      <c r="I861" s="75" t="n"/>
      <c r="J861" s="75" t="n"/>
      <c r="K861" s="75" t="n"/>
      <c r="L861" s="75" t="n"/>
      <c r="M861" s="75" t="n"/>
      <c r="N861" s="75" t="n"/>
      <c r="O861" s="75" t="n"/>
      <c r="P861" s="75" t="n"/>
      <c r="Q861" s="75" t="n"/>
      <c r="R861" s="75" t="n"/>
      <c r="S861" s="75" t="n"/>
      <c r="T861" s="75" t="n"/>
      <c r="U861" s="75" t="n"/>
      <c r="V861" s="75" t="n"/>
      <c r="W861" s="75" t="n"/>
      <c r="X861" s="75" t="n"/>
      <c r="Y861" s="226">
        <f>IF(AND(A861="",B861=""),"",IF(AND(A861&lt;&gt;"",B861&lt;&gt;"",C861&lt;&gt;"",D861&lt;&gt;"",F861&lt;&gt;"",G861&lt;&gt;"",H861&lt;&gt;"",ISERROR(SEARCH("по паспорту",G861)),ISERROR(SEARCH("по паспорту",H861)),I861&lt;&gt;"",J861&lt;&gt;"",K861&lt;&gt;"",L861&lt;&gt;"",M861&lt;&gt;""),"ГОТОВО","НЕ ГОТОВО"))</f>
        <v/>
      </c>
      <c r="Z861" s="226">
        <f>IF(Y861&lt;&gt;"ГОТОВО","", "Предварительное заключение: "&amp;A861&amp;", скв. "&amp;B861&amp;". МРП: "&amp;E861&amp;" сут. ГНО: "&amp;F861&amp;", типоразмер "&amp;G861&amp;", марка "&amp;H861&amp;". Событие: "&amp;I861&amp;". Признак: "&amp;J861&amp;". Узел: "&amp;K861&amp;". Предварительная причина: "&amp;L861&amp;". Основное осложнение: "&amp;M861&amp;IF(N861&lt;&gt;"","; сопутствующее: "&amp;N861,"")&amp;IF(O861&lt;&gt;"","; дополнительно: "&amp;O861,"")&amp;".")</f>
        <v/>
      </c>
    </row>
    <row r="862">
      <c r="A862" s="75" t="n"/>
      <c r="B862" s="75" t="n"/>
      <c r="C862" s="261" t="n"/>
      <c r="D862" s="261" t="n"/>
      <c r="E862" s="262">
        <f>IF(OR(C862="",D862=""),"",D862-C862)</f>
        <v/>
      </c>
      <c r="F862" s="75" t="n"/>
      <c r="G862" s="75" t="n"/>
      <c r="H862" s="75" t="n"/>
      <c r="I862" s="75" t="n"/>
      <c r="J862" s="75" t="n"/>
      <c r="K862" s="75" t="n"/>
      <c r="L862" s="75" t="n"/>
      <c r="M862" s="75" t="n"/>
      <c r="N862" s="75" t="n"/>
      <c r="O862" s="75" t="n"/>
      <c r="P862" s="75" t="n"/>
      <c r="Q862" s="75" t="n"/>
      <c r="R862" s="75" t="n"/>
      <c r="S862" s="75" t="n"/>
      <c r="T862" s="75" t="n"/>
      <c r="U862" s="75" t="n"/>
      <c r="V862" s="75" t="n"/>
      <c r="W862" s="75" t="n"/>
      <c r="X862" s="75" t="n"/>
      <c r="Y862" s="226">
        <f>IF(AND(A862="",B862=""),"",IF(AND(A862&lt;&gt;"",B862&lt;&gt;"",C862&lt;&gt;"",D862&lt;&gt;"",F862&lt;&gt;"",G862&lt;&gt;"",H862&lt;&gt;"",ISERROR(SEARCH("по паспорту",G862)),ISERROR(SEARCH("по паспорту",H862)),I862&lt;&gt;"",J862&lt;&gt;"",K862&lt;&gt;"",L862&lt;&gt;"",M862&lt;&gt;""),"ГОТОВО","НЕ ГОТОВО"))</f>
        <v/>
      </c>
      <c r="Z862" s="226">
        <f>IF(Y862&lt;&gt;"ГОТОВО","", "Предварительное заключение: "&amp;A862&amp;", скв. "&amp;B862&amp;". МРП: "&amp;E862&amp;" сут. ГНО: "&amp;F862&amp;", типоразмер "&amp;G862&amp;", марка "&amp;H862&amp;". Событие: "&amp;I862&amp;". Признак: "&amp;J862&amp;". Узел: "&amp;K862&amp;". Предварительная причина: "&amp;L862&amp;". Основное осложнение: "&amp;M862&amp;IF(N862&lt;&gt;"","; сопутствующее: "&amp;N862,"")&amp;IF(O862&lt;&gt;"","; дополнительно: "&amp;O862,"")&amp;".")</f>
        <v/>
      </c>
    </row>
    <row r="863">
      <c r="A863" s="75" t="n"/>
      <c r="B863" s="75" t="n"/>
      <c r="C863" s="261" t="n"/>
      <c r="D863" s="261" t="n"/>
      <c r="E863" s="262">
        <f>IF(OR(C863="",D863=""),"",D863-C863)</f>
        <v/>
      </c>
      <c r="F863" s="75" t="n"/>
      <c r="G863" s="75" t="n"/>
      <c r="H863" s="75" t="n"/>
      <c r="I863" s="75" t="n"/>
      <c r="J863" s="75" t="n"/>
      <c r="K863" s="75" t="n"/>
      <c r="L863" s="75" t="n"/>
      <c r="M863" s="75" t="n"/>
      <c r="N863" s="75" t="n"/>
      <c r="O863" s="75" t="n"/>
      <c r="P863" s="75" t="n"/>
      <c r="Q863" s="75" t="n"/>
      <c r="R863" s="75" t="n"/>
      <c r="S863" s="75" t="n"/>
      <c r="T863" s="75" t="n"/>
      <c r="U863" s="75" t="n"/>
      <c r="V863" s="75" t="n"/>
      <c r="W863" s="75" t="n"/>
      <c r="X863" s="75" t="n"/>
      <c r="Y863" s="226">
        <f>IF(AND(A863="",B863=""),"",IF(AND(A863&lt;&gt;"",B863&lt;&gt;"",C863&lt;&gt;"",D863&lt;&gt;"",F863&lt;&gt;"",G863&lt;&gt;"",H863&lt;&gt;"",ISERROR(SEARCH("по паспорту",G863)),ISERROR(SEARCH("по паспорту",H863)),I863&lt;&gt;"",J863&lt;&gt;"",K863&lt;&gt;"",L863&lt;&gt;"",M863&lt;&gt;""),"ГОТОВО","НЕ ГОТОВО"))</f>
        <v/>
      </c>
      <c r="Z863" s="226">
        <f>IF(Y863&lt;&gt;"ГОТОВО","", "Предварительное заключение: "&amp;A863&amp;", скв. "&amp;B863&amp;". МРП: "&amp;E863&amp;" сут. ГНО: "&amp;F863&amp;", типоразмер "&amp;G863&amp;", марка "&amp;H863&amp;". Событие: "&amp;I863&amp;". Признак: "&amp;J863&amp;". Узел: "&amp;K863&amp;". Предварительная причина: "&amp;L863&amp;". Основное осложнение: "&amp;M863&amp;IF(N863&lt;&gt;"","; сопутствующее: "&amp;N863,"")&amp;IF(O863&lt;&gt;"","; дополнительно: "&amp;O863,"")&amp;".")</f>
        <v/>
      </c>
    </row>
    <row r="864">
      <c r="A864" s="75" t="n"/>
      <c r="B864" s="75" t="n"/>
      <c r="C864" s="261" t="n"/>
      <c r="D864" s="261" t="n"/>
      <c r="E864" s="262">
        <f>IF(OR(C864="",D864=""),"",D864-C864)</f>
        <v/>
      </c>
      <c r="F864" s="75" t="n"/>
      <c r="G864" s="75" t="n"/>
      <c r="H864" s="75" t="n"/>
      <c r="I864" s="75" t="n"/>
      <c r="J864" s="75" t="n"/>
      <c r="K864" s="75" t="n"/>
      <c r="L864" s="75" t="n"/>
      <c r="M864" s="75" t="n"/>
      <c r="N864" s="75" t="n"/>
      <c r="O864" s="75" t="n"/>
      <c r="P864" s="75" t="n"/>
      <c r="Q864" s="75" t="n"/>
      <c r="R864" s="75" t="n"/>
      <c r="S864" s="75" t="n"/>
      <c r="T864" s="75" t="n"/>
      <c r="U864" s="75" t="n"/>
      <c r="V864" s="75" t="n"/>
      <c r="W864" s="75" t="n"/>
      <c r="X864" s="75" t="n"/>
      <c r="Y864" s="226">
        <f>IF(AND(A864="",B864=""),"",IF(AND(A864&lt;&gt;"",B864&lt;&gt;"",C864&lt;&gt;"",D864&lt;&gt;"",F864&lt;&gt;"",G864&lt;&gt;"",H864&lt;&gt;"",ISERROR(SEARCH("по паспорту",G864)),ISERROR(SEARCH("по паспорту",H864)),I864&lt;&gt;"",J864&lt;&gt;"",K864&lt;&gt;"",L864&lt;&gt;"",M864&lt;&gt;""),"ГОТОВО","НЕ ГОТОВО"))</f>
        <v/>
      </c>
      <c r="Z864" s="226">
        <f>IF(Y864&lt;&gt;"ГОТОВО","", "Предварительное заключение: "&amp;A864&amp;", скв. "&amp;B864&amp;". МРП: "&amp;E864&amp;" сут. ГНО: "&amp;F864&amp;", типоразмер "&amp;G864&amp;", марка "&amp;H864&amp;". Событие: "&amp;I864&amp;". Признак: "&amp;J864&amp;". Узел: "&amp;K864&amp;". Предварительная причина: "&amp;L864&amp;". Основное осложнение: "&amp;M864&amp;IF(N864&lt;&gt;"","; сопутствующее: "&amp;N864,"")&amp;IF(O864&lt;&gt;"","; дополнительно: "&amp;O864,"")&amp;".")</f>
        <v/>
      </c>
    </row>
    <row r="865">
      <c r="A865" s="75" t="n"/>
      <c r="B865" s="75" t="n"/>
      <c r="C865" s="261" t="n"/>
      <c r="D865" s="261" t="n"/>
      <c r="E865" s="262">
        <f>IF(OR(C865="",D865=""),"",D865-C865)</f>
        <v/>
      </c>
      <c r="F865" s="75" t="n"/>
      <c r="G865" s="75" t="n"/>
      <c r="H865" s="75" t="n"/>
      <c r="I865" s="75" t="n"/>
      <c r="J865" s="75" t="n"/>
      <c r="K865" s="75" t="n"/>
      <c r="L865" s="75" t="n"/>
      <c r="M865" s="75" t="n"/>
      <c r="N865" s="75" t="n"/>
      <c r="O865" s="75" t="n"/>
      <c r="P865" s="75" t="n"/>
      <c r="Q865" s="75" t="n"/>
      <c r="R865" s="75" t="n"/>
      <c r="S865" s="75" t="n"/>
      <c r="T865" s="75" t="n"/>
      <c r="U865" s="75" t="n"/>
      <c r="V865" s="75" t="n"/>
      <c r="W865" s="75" t="n"/>
      <c r="X865" s="75" t="n"/>
      <c r="Y865" s="226">
        <f>IF(AND(A865="",B865=""),"",IF(AND(A865&lt;&gt;"",B865&lt;&gt;"",C865&lt;&gt;"",D865&lt;&gt;"",F865&lt;&gt;"",G865&lt;&gt;"",H865&lt;&gt;"",ISERROR(SEARCH("по паспорту",G865)),ISERROR(SEARCH("по паспорту",H865)),I865&lt;&gt;"",J865&lt;&gt;"",K865&lt;&gt;"",L865&lt;&gt;"",M865&lt;&gt;""),"ГОТОВО","НЕ ГОТОВО"))</f>
        <v/>
      </c>
      <c r="Z865" s="226">
        <f>IF(Y865&lt;&gt;"ГОТОВО","", "Предварительное заключение: "&amp;A865&amp;", скв. "&amp;B865&amp;". МРП: "&amp;E865&amp;" сут. ГНО: "&amp;F865&amp;", типоразмер "&amp;G865&amp;", марка "&amp;H865&amp;". Событие: "&amp;I865&amp;". Признак: "&amp;J865&amp;". Узел: "&amp;K865&amp;". Предварительная причина: "&amp;L865&amp;". Основное осложнение: "&amp;M865&amp;IF(N865&lt;&gt;"","; сопутствующее: "&amp;N865,"")&amp;IF(O865&lt;&gt;"","; дополнительно: "&amp;O865,"")&amp;".")</f>
        <v/>
      </c>
    </row>
    <row r="866">
      <c r="A866" s="75" t="n"/>
      <c r="B866" s="75" t="n"/>
      <c r="C866" s="261" t="n"/>
      <c r="D866" s="261" t="n"/>
      <c r="E866" s="262">
        <f>IF(OR(C866="",D866=""),"",D866-C866)</f>
        <v/>
      </c>
      <c r="F866" s="75" t="n"/>
      <c r="G866" s="75" t="n"/>
      <c r="H866" s="75" t="n"/>
      <c r="I866" s="75" t="n"/>
      <c r="J866" s="75" t="n"/>
      <c r="K866" s="75" t="n"/>
      <c r="L866" s="75" t="n"/>
      <c r="M866" s="75" t="n"/>
      <c r="N866" s="75" t="n"/>
      <c r="O866" s="75" t="n"/>
      <c r="P866" s="75" t="n"/>
      <c r="Q866" s="75" t="n"/>
      <c r="R866" s="75" t="n"/>
      <c r="S866" s="75" t="n"/>
      <c r="T866" s="75" t="n"/>
      <c r="U866" s="75" t="n"/>
      <c r="V866" s="75" t="n"/>
      <c r="W866" s="75" t="n"/>
      <c r="X866" s="75" t="n"/>
      <c r="Y866" s="226">
        <f>IF(AND(A866="",B866=""),"",IF(AND(A866&lt;&gt;"",B866&lt;&gt;"",C866&lt;&gt;"",D866&lt;&gt;"",F866&lt;&gt;"",G866&lt;&gt;"",H866&lt;&gt;"",ISERROR(SEARCH("по паспорту",G866)),ISERROR(SEARCH("по паспорту",H866)),I866&lt;&gt;"",J866&lt;&gt;"",K866&lt;&gt;"",L866&lt;&gt;"",M866&lt;&gt;""),"ГОТОВО","НЕ ГОТОВО"))</f>
        <v/>
      </c>
      <c r="Z866" s="226">
        <f>IF(Y866&lt;&gt;"ГОТОВО","", "Предварительное заключение: "&amp;A866&amp;", скв. "&amp;B866&amp;". МРП: "&amp;E866&amp;" сут. ГНО: "&amp;F866&amp;", типоразмер "&amp;G866&amp;", марка "&amp;H866&amp;". Событие: "&amp;I866&amp;". Признак: "&amp;J866&amp;". Узел: "&amp;K866&amp;". Предварительная причина: "&amp;L866&amp;". Основное осложнение: "&amp;M866&amp;IF(N866&lt;&gt;"","; сопутствующее: "&amp;N866,"")&amp;IF(O866&lt;&gt;"","; дополнительно: "&amp;O866,"")&amp;".")</f>
        <v/>
      </c>
    </row>
    <row r="867">
      <c r="A867" s="75" t="n"/>
      <c r="B867" s="75" t="n"/>
      <c r="C867" s="261" t="n"/>
      <c r="D867" s="261" t="n"/>
      <c r="E867" s="262">
        <f>IF(OR(C867="",D867=""),"",D867-C867)</f>
        <v/>
      </c>
      <c r="F867" s="75" t="n"/>
      <c r="G867" s="75" t="n"/>
      <c r="H867" s="75" t="n"/>
      <c r="I867" s="75" t="n"/>
      <c r="J867" s="75" t="n"/>
      <c r="K867" s="75" t="n"/>
      <c r="L867" s="75" t="n"/>
      <c r="M867" s="75" t="n"/>
      <c r="N867" s="75" t="n"/>
      <c r="O867" s="75" t="n"/>
      <c r="P867" s="75" t="n"/>
      <c r="Q867" s="75" t="n"/>
      <c r="R867" s="75" t="n"/>
      <c r="S867" s="75" t="n"/>
      <c r="T867" s="75" t="n"/>
      <c r="U867" s="75" t="n"/>
      <c r="V867" s="75" t="n"/>
      <c r="W867" s="75" t="n"/>
      <c r="X867" s="75" t="n"/>
      <c r="Y867" s="226">
        <f>IF(AND(A867="",B867=""),"",IF(AND(A867&lt;&gt;"",B867&lt;&gt;"",C867&lt;&gt;"",D867&lt;&gt;"",F867&lt;&gt;"",G867&lt;&gt;"",H867&lt;&gt;"",ISERROR(SEARCH("по паспорту",G867)),ISERROR(SEARCH("по паспорту",H867)),I867&lt;&gt;"",J867&lt;&gt;"",K867&lt;&gt;"",L867&lt;&gt;"",M867&lt;&gt;""),"ГОТОВО","НЕ ГОТОВО"))</f>
        <v/>
      </c>
      <c r="Z867" s="226">
        <f>IF(Y867&lt;&gt;"ГОТОВО","", "Предварительное заключение: "&amp;A867&amp;", скв. "&amp;B867&amp;". МРП: "&amp;E867&amp;" сут. ГНО: "&amp;F867&amp;", типоразмер "&amp;G867&amp;", марка "&amp;H867&amp;". Событие: "&amp;I867&amp;". Признак: "&amp;J867&amp;". Узел: "&amp;K867&amp;". Предварительная причина: "&amp;L867&amp;". Основное осложнение: "&amp;M867&amp;IF(N867&lt;&gt;"","; сопутствующее: "&amp;N867,"")&amp;IF(O867&lt;&gt;"","; дополнительно: "&amp;O867,"")&amp;".")</f>
        <v/>
      </c>
    </row>
    <row r="868">
      <c r="A868" s="75" t="n"/>
      <c r="B868" s="75" t="n"/>
      <c r="C868" s="261" t="n"/>
      <c r="D868" s="261" t="n"/>
      <c r="E868" s="262">
        <f>IF(OR(C868="",D868=""),"",D868-C868)</f>
        <v/>
      </c>
      <c r="F868" s="75" t="n"/>
      <c r="G868" s="75" t="n"/>
      <c r="H868" s="75" t="n"/>
      <c r="I868" s="75" t="n"/>
      <c r="J868" s="75" t="n"/>
      <c r="K868" s="75" t="n"/>
      <c r="L868" s="75" t="n"/>
      <c r="M868" s="75" t="n"/>
      <c r="N868" s="75" t="n"/>
      <c r="O868" s="75" t="n"/>
      <c r="P868" s="75" t="n"/>
      <c r="Q868" s="75" t="n"/>
      <c r="R868" s="75" t="n"/>
      <c r="S868" s="75" t="n"/>
      <c r="T868" s="75" t="n"/>
      <c r="U868" s="75" t="n"/>
      <c r="V868" s="75" t="n"/>
      <c r="W868" s="75" t="n"/>
      <c r="X868" s="75" t="n"/>
      <c r="Y868" s="226">
        <f>IF(AND(A868="",B868=""),"",IF(AND(A868&lt;&gt;"",B868&lt;&gt;"",C868&lt;&gt;"",D868&lt;&gt;"",F868&lt;&gt;"",G868&lt;&gt;"",H868&lt;&gt;"",ISERROR(SEARCH("по паспорту",G868)),ISERROR(SEARCH("по паспорту",H868)),I868&lt;&gt;"",J868&lt;&gt;"",K868&lt;&gt;"",L868&lt;&gt;"",M868&lt;&gt;""),"ГОТОВО","НЕ ГОТОВО"))</f>
        <v/>
      </c>
      <c r="Z868" s="226">
        <f>IF(Y868&lt;&gt;"ГОТОВО","", "Предварительное заключение: "&amp;A868&amp;", скв. "&amp;B868&amp;". МРП: "&amp;E868&amp;" сут. ГНО: "&amp;F868&amp;", типоразмер "&amp;G868&amp;", марка "&amp;H868&amp;". Событие: "&amp;I868&amp;". Признак: "&amp;J868&amp;". Узел: "&amp;K868&amp;". Предварительная причина: "&amp;L868&amp;". Основное осложнение: "&amp;M868&amp;IF(N868&lt;&gt;"","; сопутствующее: "&amp;N868,"")&amp;IF(O868&lt;&gt;"","; дополнительно: "&amp;O868,"")&amp;".")</f>
        <v/>
      </c>
    </row>
    <row r="869">
      <c r="A869" s="75" t="n"/>
      <c r="B869" s="75" t="n"/>
      <c r="C869" s="261" t="n"/>
      <c r="D869" s="261" t="n"/>
      <c r="E869" s="262">
        <f>IF(OR(C869="",D869=""),"",D869-C869)</f>
        <v/>
      </c>
      <c r="F869" s="75" t="n"/>
      <c r="G869" s="75" t="n"/>
      <c r="H869" s="75" t="n"/>
      <c r="I869" s="75" t="n"/>
      <c r="J869" s="75" t="n"/>
      <c r="K869" s="75" t="n"/>
      <c r="L869" s="75" t="n"/>
      <c r="M869" s="75" t="n"/>
      <c r="N869" s="75" t="n"/>
      <c r="O869" s="75" t="n"/>
      <c r="P869" s="75" t="n"/>
      <c r="Q869" s="75" t="n"/>
      <c r="R869" s="75" t="n"/>
      <c r="S869" s="75" t="n"/>
      <c r="T869" s="75" t="n"/>
      <c r="U869" s="75" t="n"/>
      <c r="V869" s="75" t="n"/>
      <c r="W869" s="75" t="n"/>
      <c r="X869" s="75" t="n"/>
      <c r="Y869" s="226">
        <f>IF(AND(A869="",B869=""),"",IF(AND(A869&lt;&gt;"",B869&lt;&gt;"",C869&lt;&gt;"",D869&lt;&gt;"",F869&lt;&gt;"",G869&lt;&gt;"",H869&lt;&gt;"",ISERROR(SEARCH("по паспорту",G869)),ISERROR(SEARCH("по паспорту",H869)),I869&lt;&gt;"",J869&lt;&gt;"",K869&lt;&gt;"",L869&lt;&gt;"",M869&lt;&gt;""),"ГОТОВО","НЕ ГОТОВО"))</f>
        <v/>
      </c>
      <c r="Z869" s="226">
        <f>IF(Y869&lt;&gt;"ГОТОВО","", "Предварительное заключение: "&amp;A869&amp;", скв. "&amp;B869&amp;". МРП: "&amp;E869&amp;" сут. ГНО: "&amp;F869&amp;", типоразмер "&amp;G869&amp;", марка "&amp;H869&amp;". Событие: "&amp;I869&amp;". Признак: "&amp;J869&amp;". Узел: "&amp;K869&amp;". Предварительная причина: "&amp;L869&amp;". Основное осложнение: "&amp;M869&amp;IF(N869&lt;&gt;"","; сопутствующее: "&amp;N869,"")&amp;IF(O869&lt;&gt;"","; дополнительно: "&amp;O869,"")&amp;".")</f>
        <v/>
      </c>
    </row>
    <row r="870">
      <c r="A870" s="75" t="n"/>
      <c r="B870" s="75" t="n"/>
      <c r="C870" s="261" t="n"/>
      <c r="D870" s="261" t="n"/>
      <c r="E870" s="262">
        <f>IF(OR(C870="",D870=""),"",D870-C870)</f>
        <v/>
      </c>
      <c r="F870" s="75" t="n"/>
      <c r="G870" s="75" t="n"/>
      <c r="H870" s="75" t="n"/>
      <c r="I870" s="75" t="n"/>
      <c r="J870" s="75" t="n"/>
      <c r="K870" s="75" t="n"/>
      <c r="L870" s="75" t="n"/>
      <c r="M870" s="75" t="n"/>
      <c r="N870" s="75" t="n"/>
      <c r="O870" s="75" t="n"/>
      <c r="P870" s="75" t="n"/>
      <c r="Q870" s="75" t="n"/>
      <c r="R870" s="75" t="n"/>
      <c r="S870" s="75" t="n"/>
      <c r="T870" s="75" t="n"/>
      <c r="U870" s="75" t="n"/>
      <c r="V870" s="75" t="n"/>
      <c r="W870" s="75" t="n"/>
      <c r="X870" s="75" t="n"/>
      <c r="Y870" s="226">
        <f>IF(AND(A870="",B870=""),"",IF(AND(A870&lt;&gt;"",B870&lt;&gt;"",C870&lt;&gt;"",D870&lt;&gt;"",F870&lt;&gt;"",G870&lt;&gt;"",H870&lt;&gt;"",ISERROR(SEARCH("по паспорту",G870)),ISERROR(SEARCH("по паспорту",H870)),I870&lt;&gt;"",J870&lt;&gt;"",K870&lt;&gt;"",L870&lt;&gt;"",M870&lt;&gt;""),"ГОТОВО","НЕ ГОТОВО"))</f>
        <v/>
      </c>
      <c r="Z870" s="226">
        <f>IF(Y870&lt;&gt;"ГОТОВО","", "Предварительное заключение: "&amp;A870&amp;", скв. "&amp;B870&amp;". МРП: "&amp;E870&amp;" сут. ГНО: "&amp;F870&amp;", типоразмер "&amp;G870&amp;", марка "&amp;H870&amp;". Событие: "&amp;I870&amp;". Признак: "&amp;J870&amp;". Узел: "&amp;K870&amp;". Предварительная причина: "&amp;L870&amp;". Основное осложнение: "&amp;M870&amp;IF(N870&lt;&gt;"","; сопутствующее: "&amp;N870,"")&amp;IF(O870&lt;&gt;"","; дополнительно: "&amp;O870,"")&amp;".")</f>
        <v/>
      </c>
    </row>
    <row r="871">
      <c r="A871" s="75" t="n"/>
      <c r="B871" s="75" t="n"/>
      <c r="C871" s="261" t="n"/>
      <c r="D871" s="261" t="n"/>
      <c r="E871" s="262">
        <f>IF(OR(C871="",D871=""),"",D871-C871)</f>
        <v/>
      </c>
      <c r="F871" s="75" t="n"/>
      <c r="G871" s="75" t="n"/>
      <c r="H871" s="75" t="n"/>
      <c r="I871" s="75" t="n"/>
      <c r="J871" s="75" t="n"/>
      <c r="K871" s="75" t="n"/>
      <c r="L871" s="75" t="n"/>
      <c r="M871" s="75" t="n"/>
      <c r="N871" s="75" t="n"/>
      <c r="O871" s="75" t="n"/>
      <c r="P871" s="75" t="n"/>
      <c r="Q871" s="75" t="n"/>
      <c r="R871" s="75" t="n"/>
      <c r="S871" s="75" t="n"/>
      <c r="T871" s="75" t="n"/>
      <c r="U871" s="75" t="n"/>
      <c r="V871" s="75" t="n"/>
      <c r="W871" s="75" t="n"/>
      <c r="X871" s="75" t="n"/>
      <c r="Y871" s="226">
        <f>IF(AND(A871="",B871=""),"",IF(AND(A871&lt;&gt;"",B871&lt;&gt;"",C871&lt;&gt;"",D871&lt;&gt;"",F871&lt;&gt;"",G871&lt;&gt;"",H871&lt;&gt;"",ISERROR(SEARCH("по паспорту",G871)),ISERROR(SEARCH("по паспорту",H871)),I871&lt;&gt;"",J871&lt;&gt;"",K871&lt;&gt;"",L871&lt;&gt;"",M871&lt;&gt;""),"ГОТОВО","НЕ ГОТОВО"))</f>
        <v/>
      </c>
      <c r="Z871" s="226">
        <f>IF(Y871&lt;&gt;"ГОТОВО","", "Предварительное заключение: "&amp;A871&amp;", скв. "&amp;B871&amp;". МРП: "&amp;E871&amp;" сут. ГНО: "&amp;F871&amp;", типоразмер "&amp;G871&amp;", марка "&amp;H871&amp;". Событие: "&amp;I871&amp;". Признак: "&amp;J871&amp;". Узел: "&amp;K871&amp;". Предварительная причина: "&amp;L871&amp;". Основное осложнение: "&amp;M871&amp;IF(N871&lt;&gt;"","; сопутствующее: "&amp;N871,"")&amp;IF(O871&lt;&gt;"","; дополнительно: "&amp;O871,"")&amp;".")</f>
        <v/>
      </c>
    </row>
    <row r="872">
      <c r="A872" s="75" t="n"/>
      <c r="B872" s="75" t="n"/>
      <c r="C872" s="261" t="n"/>
      <c r="D872" s="261" t="n"/>
      <c r="E872" s="262">
        <f>IF(OR(C872="",D872=""),"",D872-C872)</f>
        <v/>
      </c>
      <c r="F872" s="75" t="n"/>
      <c r="G872" s="75" t="n"/>
      <c r="H872" s="75" t="n"/>
      <c r="I872" s="75" t="n"/>
      <c r="J872" s="75" t="n"/>
      <c r="K872" s="75" t="n"/>
      <c r="L872" s="75" t="n"/>
      <c r="M872" s="75" t="n"/>
      <c r="N872" s="75" t="n"/>
      <c r="O872" s="75" t="n"/>
      <c r="P872" s="75" t="n"/>
      <c r="Q872" s="75" t="n"/>
      <c r="R872" s="75" t="n"/>
      <c r="S872" s="75" t="n"/>
      <c r="T872" s="75" t="n"/>
      <c r="U872" s="75" t="n"/>
      <c r="V872" s="75" t="n"/>
      <c r="W872" s="75" t="n"/>
      <c r="X872" s="75" t="n"/>
      <c r="Y872" s="226">
        <f>IF(AND(A872="",B872=""),"",IF(AND(A872&lt;&gt;"",B872&lt;&gt;"",C872&lt;&gt;"",D872&lt;&gt;"",F872&lt;&gt;"",G872&lt;&gt;"",H872&lt;&gt;"",ISERROR(SEARCH("по паспорту",G872)),ISERROR(SEARCH("по паспорту",H872)),I872&lt;&gt;"",J872&lt;&gt;"",K872&lt;&gt;"",L872&lt;&gt;"",M872&lt;&gt;""),"ГОТОВО","НЕ ГОТОВО"))</f>
        <v/>
      </c>
      <c r="Z872" s="226">
        <f>IF(Y872&lt;&gt;"ГОТОВО","", "Предварительное заключение: "&amp;A872&amp;", скв. "&amp;B872&amp;". МРП: "&amp;E872&amp;" сут. ГНО: "&amp;F872&amp;", типоразмер "&amp;G872&amp;", марка "&amp;H872&amp;". Событие: "&amp;I872&amp;". Признак: "&amp;J872&amp;". Узел: "&amp;K872&amp;". Предварительная причина: "&amp;L872&amp;". Основное осложнение: "&amp;M872&amp;IF(N872&lt;&gt;"","; сопутствующее: "&amp;N872,"")&amp;IF(O872&lt;&gt;"","; дополнительно: "&amp;O872,"")&amp;".")</f>
        <v/>
      </c>
    </row>
    <row r="873">
      <c r="A873" s="75" t="n"/>
      <c r="B873" s="75" t="n"/>
      <c r="C873" s="261" t="n"/>
      <c r="D873" s="261" t="n"/>
      <c r="E873" s="262">
        <f>IF(OR(C873="",D873=""),"",D873-C873)</f>
        <v/>
      </c>
      <c r="F873" s="75" t="n"/>
      <c r="G873" s="75" t="n"/>
      <c r="H873" s="75" t="n"/>
      <c r="I873" s="75" t="n"/>
      <c r="J873" s="75" t="n"/>
      <c r="K873" s="75" t="n"/>
      <c r="L873" s="75" t="n"/>
      <c r="M873" s="75" t="n"/>
      <c r="N873" s="75" t="n"/>
      <c r="O873" s="75" t="n"/>
      <c r="P873" s="75" t="n"/>
      <c r="Q873" s="75" t="n"/>
      <c r="R873" s="75" t="n"/>
      <c r="S873" s="75" t="n"/>
      <c r="T873" s="75" t="n"/>
      <c r="U873" s="75" t="n"/>
      <c r="V873" s="75" t="n"/>
      <c r="W873" s="75" t="n"/>
      <c r="X873" s="75" t="n"/>
      <c r="Y873" s="226">
        <f>IF(AND(A873="",B873=""),"",IF(AND(A873&lt;&gt;"",B873&lt;&gt;"",C873&lt;&gt;"",D873&lt;&gt;"",F873&lt;&gt;"",G873&lt;&gt;"",H873&lt;&gt;"",ISERROR(SEARCH("по паспорту",G873)),ISERROR(SEARCH("по паспорту",H873)),I873&lt;&gt;"",J873&lt;&gt;"",K873&lt;&gt;"",L873&lt;&gt;"",M873&lt;&gt;""),"ГОТОВО","НЕ ГОТОВО"))</f>
        <v/>
      </c>
      <c r="Z873" s="226">
        <f>IF(Y873&lt;&gt;"ГОТОВО","", "Предварительное заключение: "&amp;A873&amp;", скв. "&amp;B873&amp;". МРП: "&amp;E873&amp;" сут. ГНО: "&amp;F873&amp;", типоразмер "&amp;G873&amp;", марка "&amp;H873&amp;". Событие: "&amp;I873&amp;". Признак: "&amp;J873&amp;". Узел: "&amp;K873&amp;". Предварительная причина: "&amp;L873&amp;". Основное осложнение: "&amp;M873&amp;IF(N873&lt;&gt;"","; сопутствующее: "&amp;N873,"")&amp;IF(O873&lt;&gt;"","; дополнительно: "&amp;O873,"")&amp;".")</f>
        <v/>
      </c>
    </row>
    <row r="874">
      <c r="A874" s="75" t="n"/>
      <c r="B874" s="75" t="n"/>
      <c r="C874" s="261" t="n"/>
      <c r="D874" s="261" t="n"/>
      <c r="E874" s="262">
        <f>IF(OR(C874="",D874=""),"",D874-C874)</f>
        <v/>
      </c>
      <c r="F874" s="75" t="n"/>
      <c r="G874" s="75" t="n"/>
      <c r="H874" s="75" t="n"/>
      <c r="I874" s="75" t="n"/>
      <c r="J874" s="75" t="n"/>
      <c r="K874" s="75" t="n"/>
      <c r="L874" s="75" t="n"/>
      <c r="M874" s="75" t="n"/>
      <c r="N874" s="75" t="n"/>
      <c r="O874" s="75" t="n"/>
      <c r="P874" s="75" t="n"/>
      <c r="Q874" s="75" t="n"/>
      <c r="R874" s="75" t="n"/>
      <c r="S874" s="75" t="n"/>
      <c r="T874" s="75" t="n"/>
      <c r="U874" s="75" t="n"/>
      <c r="V874" s="75" t="n"/>
      <c r="W874" s="75" t="n"/>
      <c r="X874" s="75" t="n"/>
      <c r="Y874" s="226">
        <f>IF(AND(A874="",B874=""),"",IF(AND(A874&lt;&gt;"",B874&lt;&gt;"",C874&lt;&gt;"",D874&lt;&gt;"",F874&lt;&gt;"",G874&lt;&gt;"",H874&lt;&gt;"",ISERROR(SEARCH("по паспорту",G874)),ISERROR(SEARCH("по паспорту",H874)),I874&lt;&gt;"",J874&lt;&gt;"",K874&lt;&gt;"",L874&lt;&gt;"",M874&lt;&gt;""),"ГОТОВО","НЕ ГОТОВО"))</f>
        <v/>
      </c>
      <c r="Z874" s="226">
        <f>IF(Y874&lt;&gt;"ГОТОВО","", "Предварительное заключение: "&amp;A874&amp;", скв. "&amp;B874&amp;". МРП: "&amp;E874&amp;" сут. ГНО: "&amp;F874&amp;", типоразмер "&amp;G874&amp;", марка "&amp;H874&amp;". Событие: "&amp;I874&amp;". Признак: "&amp;J874&amp;". Узел: "&amp;K874&amp;". Предварительная причина: "&amp;L874&amp;". Основное осложнение: "&amp;M874&amp;IF(N874&lt;&gt;"","; сопутствующее: "&amp;N874,"")&amp;IF(O874&lt;&gt;"","; дополнительно: "&amp;O874,"")&amp;".")</f>
        <v/>
      </c>
    </row>
    <row r="875">
      <c r="A875" s="75" t="n"/>
      <c r="B875" s="75" t="n"/>
      <c r="C875" s="261" t="n"/>
      <c r="D875" s="261" t="n"/>
      <c r="E875" s="262">
        <f>IF(OR(C875="",D875=""),"",D875-C875)</f>
        <v/>
      </c>
      <c r="F875" s="75" t="n"/>
      <c r="G875" s="75" t="n"/>
      <c r="H875" s="75" t="n"/>
      <c r="I875" s="75" t="n"/>
      <c r="J875" s="75" t="n"/>
      <c r="K875" s="75" t="n"/>
      <c r="L875" s="75" t="n"/>
      <c r="M875" s="75" t="n"/>
      <c r="N875" s="75" t="n"/>
      <c r="O875" s="75" t="n"/>
      <c r="P875" s="75" t="n"/>
      <c r="Q875" s="75" t="n"/>
      <c r="R875" s="75" t="n"/>
      <c r="S875" s="75" t="n"/>
      <c r="T875" s="75" t="n"/>
      <c r="U875" s="75" t="n"/>
      <c r="V875" s="75" t="n"/>
      <c r="W875" s="75" t="n"/>
      <c r="X875" s="75" t="n"/>
      <c r="Y875" s="226">
        <f>IF(AND(A875="",B875=""),"",IF(AND(A875&lt;&gt;"",B875&lt;&gt;"",C875&lt;&gt;"",D875&lt;&gt;"",F875&lt;&gt;"",G875&lt;&gt;"",H875&lt;&gt;"",ISERROR(SEARCH("по паспорту",G875)),ISERROR(SEARCH("по паспорту",H875)),I875&lt;&gt;"",J875&lt;&gt;"",K875&lt;&gt;"",L875&lt;&gt;"",M875&lt;&gt;""),"ГОТОВО","НЕ ГОТОВО"))</f>
        <v/>
      </c>
      <c r="Z875" s="226">
        <f>IF(Y875&lt;&gt;"ГОТОВО","", "Предварительное заключение: "&amp;A875&amp;", скв. "&amp;B875&amp;". МРП: "&amp;E875&amp;" сут. ГНО: "&amp;F875&amp;", типоразмер "&amp;G875&amp;", марка "&amp;H875&amp;". Событие: "&amp;I875&amp;". Признак: "&amp;J875&amp;". Узел: "&amp;K875&amp;". Предварительная причина: "&amp;L875&amp;". Основное осложнение: "&amp;M875&amp;IF(N875&lt;&gt;"","; сопутствующее: "&amp;N875,"")&amp;IF(O875&lt;&gt;"","; дополнительно: "&amp;O875,"")&amp;".")</f>
        <v/>
      </c>
    </row>
    <row r="876">
      <c r="A876" s="75" t="n"/>
      <c r="B876" s="75" t="n"/>
      <c r="C876" s="261" t="n"/>
      <c r="D876" s="261" t="n"/>
      <c r="E876" s="262">
        <f>IF(OR(C876="",D876=""),"",D876-C876)</f>
        <v/>
      </c>
      <c r="F876" s="75" t="n"/>
      <c r="G876" s="75" t="n"/>
      <c r="H876" s="75" t="n"/>
      <c r="I876" s="75" t="n"/>
      <c r="J876" s="75" t="n"/>
      <c r="K876" s="75" t="n"/>
      <c r="L876" s="75" t="n"/>
      <c r="M876" s="75" t="n"/>
      <c r="N876" s="75" t="n"/>
      <c r="O876" s="75" t="n"/>
      <c r="P876" s="75" t="n"/>
      <c r="Q876" s="75" t="n"/>
      <c r="R876" s="75" t="n"/>
      <c r="S876" s="75" t="n"/>
      <c r="T876" s="75" t="n"/>
      <c r="U876" s="75" t="n"/>
      <c r="V876" s="75" t="n"/>
      <c r="W876" s="75" t="n"/>
      <c r="X876" s="75" t="n"/>
      <c r="Y876" s="226">
        <f>IF(AND(A876="",B876=""),"",IF(AND(A876&lt;&gt;"",B876&lt;&gt;"",C876&lt;&gt;"",D876&lt;&gt;"",F876&lt;&gt;"",G876&lt;&gt;"",H876&lt;&gt;"",ISERROR(SEARCH("по паспорту",G876)),ISERROR(SEARCH("по паспорту",H876)),I876&lt;&gt;"",J876&lt;&gt;"",K876&lt;&gt;"",L876&lt;&gt;"",M876&lt;&gt;""),"ГОТОВО","НЕ ГОТОВО"))</f>
        <v/>
      </c>
      <c r="Z876" s="226">
        <f>IF(Y876&lt;&gt;"ГОТОВО","", "Предварительное заключение: "&amp;A876&amp;", скв. "&amp;B876&amp;". МРП: "&amp;E876&amp;" сут. ГНО: "&amp;F876&amp;", типоразмер "&amp;G876&amp;", марка "&amp;H876&amp;". Событие: "&amp;I876&amp;". Признак: "&amp;J876&amp;". Узел: "&amp;K876&amp;". Предварительная причина: "&amp;L876&amp;". Основное осложнение: "&amp;M876&amp;IF(N876&lt;&gt;"","; сопутствующее: "&amp;N876,"")&amp;IF(O876&lt;&gt;"","; дополнительно: "&amp;O876,"")&amp;".")</f>
        <v/>
      </c>
    </row>
    <row r="877">
      <c r="A877" s="75" t="n"/>
      <c r="B877" s="75" t="n"/>
      <c r="C877" s="261" t="n"/>
      <c r="D877" s="261" t="n"/>
      <c r="E877" s="262">
        <f>IF(OR(C877="",D877=""),"",D877-C877)</f>
        <v/>
      </c>
      <c r="F877" s="75" t="n"/>
      <c r="G877" s="75" t="n"/>
      <c r="H877" s="75" t="n"/>
      <c r="I877" s="75" t="n"/>
      <c r="J877" s="75" t="n"/>
      <c r="K877" s="75" t="n"/>
      <c r="L877" s="75" t="n"/>
      <c r="M877" s="75" t="n"/>
      <c r="N877" s="75" t="n"/>
      <c r="O877" s="75" t="n"/>
      <c r="P877" s="75" t="n"/>
      <c r="Q877" s="75" t="n"/>
      <c r="R877" s="75" t="n"/>
      <c r="S877" s="75" t="n"/>
      <c r="T877" s="75" t="n"/>
      <c r="U877" s="75" t="n"/>
      <c r="V877" s="75" t="n"/>
      <c r="W877" s="75" t="n"/>
      <c r="X877" s="75" t="n"/>
      <c r="Y877" s="226">
        <f>IF(AND(A877="",B877=""),"",IF(AND(A877&lt;&gt;"",B877&lt;&gt;"",C877&lt;&gt;"",D877&lt;&gt;"",F877&lt;&gt;"",G877&lt;&gt;"",H877&lt;&gt;"",ISERROR(SEARCH("по паспорту",G877)),ISERROR(SEARCH("по паспорту",H877)),I877&lt;&gt;"",J877&lt;&gt;"",K877&lt;&gt;"",L877&lt;&gt;"",M877&lt;&gt;""),"ГОТОВО","НЕ ГОТОВО"))</f>
        <v/>
      </c>
      <c r="Z877" s="226">
        <f>IF(Y877&lt;&gt;"ГОТОВО","", "Предварительное заключение: "&amp;A877&amp;", скв. "&amp;B877&amp;". МРП: "&amp;E877&amp;" сут. ГНО: "&amp;F877&amp;", типоразмер "&amp;G877&amp;", марка "&amp;H877&amp;". Событие: "&amp;I877&amp;". Признак: "&amp;J877&amp;". Узел: "&amp;K877&amp;". Предварительная причина: "&amp;L877&amp;". Основное осложнение: "&amp;M877&amp;IF(N877&lt;&gt;"","; сопутствующее: "&amp;N877,"")&amp;IF(O877&lt;&gt;"","; дополнительно: "&amp;O877,"")&amp;".")</f>
        <v/>
      </c>
    </row>
    <row r="878">
      <c r="A878" s="75" t="n"/>
      <c r="B878" s="75" t="n"/>
      <c r="C878" s="261" t="n"/>
      <c r="D878" s="261" t="n"/>
      <c r="E878" s="262">
        <f>IF(OR(C878="",D878=""),"",D878-C878)</f>
        <v/>
      </c>
      <c r="F878" s="75" t="n"/>
      <c r="G878" s="75" t="n"/>
      <c r="H878" s="75" t="n"/>
      <c r="I878" s="75" t="n"/>
      <c r="J878" s="75" t="n"/>
      <c r="K878" s="75" t="n"/>
      <c r="L878" s="75" t="n"/>
      <c r="M878" s="75" t="n"/>
      <c r="N878" s="75" t="n"/>
      <c r="O878" s="75" t="n"/>
      <c r="P878" s="75" t="n"/>
      <c r="Q878" s="75" t="n"/>
      <c r="R878" s="75" t="n"/>
      <c r="S878" s="75" t="n"/>
      <c r="T878" s="75" t="n"/>
      <c r="U878" s="75" t="n"/>
      <c r="V878" s="75" t="n"/>
      <c r="W878" s="75" t="n"/>
      <c r="X878" s="75" t="n"/>
      <c r="Y878" s="226">
        <f>IF(AND(A878="",B878=""),"",IF(AND(A878&lt;&gt;"",B878&lt;&gt;"",C878&lt;&gt;"",D878&lt;&gt;"",F878&lt;&gt;"",G878&lt;&gt;"",H878&lt;&gt;"",ISERROR(SEARCH("по паспорту",G878)),ISERROR(SEARCH("по паспорту",H878)),I878&lt;&gt;"",J878&lt;&gt;"",K878&lt;&gt;"",L878&lt;&gt;"",M878&lt;&gt;""),"ГОТОВО","НЕ ГОТОВО"))</f>
        <v/>
      </c>
      <c r="Z878" s="226">
        <f>IF(Y878&lt;&gt;"ГОТОВО","", "Предварительное заключение: "&amp;A878&amp;", скв. "&amp;B878&amp;". МРП: "&amp;E878&amp;" сут. ГНО: "&amp;F878&amp;", типоразмер "&amp;G878&amp;", марка "&amp;H878&amp;". Событие: "&amp;I878&amp;". Признак: "&amp;J878&amp;". Узел: "&amp;K878&amp;". Предварительная причина: "&amp;L878&amp;". Основное осложнение: "&amp;M878&amp;IF(N878&lt;&gt;"","; сопутствующее: "&amp;N878,"")&amp;IF(O878&lt;&gt;"","; дополнительно: "&amp;O878,"")&amp;".")</f>
        <v/>
      </c>
    </row>
    <row r="879">
      <c r="A879" s="75" t="n"/>
      <c r="B879" s="75" t="n"/>
      <c r="C879" s="261" t="n"/>
      <c r="D879" s="261" t="n"/>
      <c r="E879" s="262">
        <f>IF(OR(C879="",D879=""),"",D879-C879)</f>
        <v/>
      </c>
      <c r="F879" s="75" t="n"/>
      <c r="G879" s="75" t="n"/>
      <c r="H879" s="75" t="n"/>
      <c r="I879" s="75" t="n"/>
      <c r="J879" s="75" t="n"/>
      <c r="K879" s="75" t="n"/>
      <c r="L879" s="75" t="n"/>
      <c r="M879" s="75" t="n"/>
      <c r="N879" s="75" t="n"/>
      <c r="O879" s="75" t="n"/>
      <c r="P879" s="75" t="n"/>
      <c r="Q879" s="75" t="n"/>
      <c r="R879" s="75" t="n"/>
      <c r="S879" s="75" t="n"/>
      <c r="T879" s="75" t="n"/>
      <c r="U879" s="75" t="n"/>
      <c r="V879" s="75" t="n"/>
      <c r="W879" s="75" t="n"/>
      <c r="X879" s="75" t="n"/>
      <c r="Y879" s="226">
        <f>IF(AND(A879="",B879=""),"",IF(AND(A879&lt;&gt;"",B879&lt;&gt;"",C879&lt;&gt;"",D879&lt;&gt;"",F879&lt;&gt;"",G879&lt;&gt;"",H879&lt;&gt;"",ISERROR(SEARCH("по паспорту",G879)),ISERROR(SEARCH("по паспорту",H879)),I879&lt;&gt;"",J879&lt;&gt;"",K879&lt;&gt;"",L879&lt;&gt;"",M879&lt;&gt;""),"ГОТОВО","НЕ ГОТОВО"))</f>
        <v/>
      </c>
      <c r="Z879" s="226">
        <f>IF(Y879&lt;&gt;"ГОТОВО","", "Предварительное заключение: "&amp;A879&amp;", скв. "&amp;B879&amp;". МРП: "&amp;E879&amp;" сут. ГНО: "&amp;F879&amp;", типоразмер "&amp;G879&amp;", марка "&amp;H879&amp;". Событие: "&amp;I879&amp;". Признак: "&amp;J879&amp;". Узел: "&amp;K879&amp;". Предварительная причина: "&amp;L879&amp;". Основное осложнение: "&amp;M879&amp;IF(N879&lt;&gt;"","; сопутствующее: "&amp;N879,"")&amp;IF(O879&lt;&gt;"","; дополнительно: "&amp;O879,"")&amp;".")</f>
        <v/>
      </c>
    </row>
    <row r="880">
      <c r="A880" s="75" t="n"/>
      <c r="B880" s="75" t="n"/>
      <c r="C880" s="261" t="n"/>
      <c r="D880" s="261" t="n"/>
      <c r="E880" s="262">
        <f>IF(OR(C880="",D880=""),"",D880-C880)</f>
        <v/>
      </c>
      <c r="F880" s="75" t="n"/>
      <c r="G880" s="75" t="n"/>
      <c r="H880" s="75" t="n"/>
      <c r="I880" s="75" t="n"/>
      <c r="J880" s="75" t="n"/>
      <c r="K880" s="75" t="n"/>
      <c r="L880" s="75" t="n"/>
      <c r="M880" s="75" t="n"/>
      <c r="N880" s="75" t="n"/>
      <c r="O880" s="75" t="n"/>
      <c r="P880" s="75" t="n"/>
      <c r="Q880" s="75" t="n"/>
      <c r="R880" s="75" t="n"/>
      <c r="S880" s="75" t="n"/>
      <c r="T880" s="75" t="n"/>
      <c r="U880" s="75" t="n"/>
      <c r="V880" s="75" t="n"/>
      <c r="W880" s="75" t="n"/>
      <c r="X880" s="75" t="n"/>
      <c r="Y880" s="226">
        <f>IF(AND(A880="",B880=""),"",IF(AND(A880&lt;&gt;"",B880&lt;&gt;"",C880&lt;&gt;"",D880&lt;&gt;"",F880&lt;&gt;"",G880&lt;&gt;"",H880&lt;&gt;"",ISERROR(SEARCH("по паспорту",G880)),ISERROR(SEARCH("по паспорту",H880)),I880&lt;&gt;"",J880&lt;&gt;"",K880&lt;&gt;"",L880&lt;&gt;"",M880&lt;&gt;""),"ГОТОВО","НЕ ГОТОВО"))</f>
        <v/>
      </c>
      <c r="Z880" s="226">
        <f>IF(Y880&lt;&gt;"ГОТОВО","", "Предварительное заключение: "&amp;A880&amp;", скв. "&amp;B880&amp;". МРП: "&amp;E880&amp;" сут. ГНО: "&amp;F880&amp;", типоразмер "&amp;G880&amp;", марка "&amp;H880&amp;". Событие: "&amp;I880&amp;". Признак: "&amp;J880&amp;". Узел: "&amp;K880&amp;". Предварительная причина: "&amp;L880&amp;". Основное осложнение: "&amp;M880&amp;IF(N880&lt;&gt;"","; сопутствующее: "&amp;N880,"")&amp;IF(O880&lt;&gt;"","; дополнительно: "&amp;O880,"")&amp;".")</f>
        <v/>
      </c>
    </row>
    <row r="881">
      <c r="A881" s="75" t="n"/>
      <c r="B881" s="75" t="n"/>
      <c r="C881" s="261" t="n"/>
      <c r="D881" s="261" t="n"/>
      <c r="E881" s="262">
        <f>IF(OR(C881="",D881=""),"",D881-C881)</f>
        <v/>
      </c>
      <c r="F881" s="75" t="n"/>
      <c r="G881" s="75" t="n"/>
      <c r="H881" s="75" t="n"/>
      <c r="I881" s="75" t="n"/>
      <c r="J881" s="75" t="n"/>
      <c r="K881" s="75" t="n"/>
      <c r="L881" s="75" t="n"/>
      <c r="M881" s="75" t="n"/>
      <c r="N881" s="75" t="n"/>
      <c r="O881" s="75" t="n"/>
      <c r="P881" s="75" t="n"/>
      <c r="Q881" s="75" t="n"/>
      <c r="R881" s="75" t="n"/>
      <c r="S881" s="75" t="n"/>
      <c r="T881" s="75" t="n"/>
      <c r="U881" s="75" t="n"/>
      <c r="V881" s="75" t="n"/>
      <c r="W881" s="75" t="n"/>
      <c r="X881" s="75" t="n"/>
      <c r="Y881" s="226">
        <f>IF(AND(A881="",B881=""),"",IF(AND(A881&lt;&gt;"",B881&lt;&gt;"",C881&lt;&gt;"",D881&lt;&gt;"",F881&lt;&gt;"",G881&lt;&gt;"",H881&lt;&gt;"",ISERROR(SEARCH("по паспорту",G881)),ISERROR(SEARCH("по паспорту",H881)),I881&lt;&gt;"",J881&lt;&gt;"",K881&lt;&gt;"",L881&lt;&gt;"",M881&lt;&gt;""),"ГОТОВО","НЕ ГОТОВО"))</f>
        <v/>
      </c>
      <c r="Z881" s="226">
        <f>IF(Y881&lt;&gt;"ГОТОВО","", "Предварительное заключение: "&amp;A881&amp;", скв. "&amp;B881&amp;". МРП: "&amp;E881&amp;" сут. ГНО: "&amp;F881&amp;", типоразмер "&amp;G881&amp;", марка "&amp;H881&amp;". Событие: "&amp;I881&amp;". Признак: "&amp;J881&amp;". Узел: "&amp;K881&amp;". Предварительная причина: "&amp;L881&amp;". Основное осложнение: "&amp;M881&amp;IF(N881&lt;&gt;"","; сопутствующее: "&amp;N881,"")&amp;IF(O881&lt;&gt;"","; дополнительно: "&amp;O881,"")&amp;".")</f>
        <v/>
      </c>
    </row>
    <row r="882">
      <c r="A882" s="75" t="n"/>
      <c r="B882" s="75" t="n"/>
      <c r="C882" s="261" t="n"/>
      <c r="D882" s="261" t="n"/>
      <c r="E882" s="262">
        <f>IF(OR(C882="",D882=""),"",D882-C882)</f>
        <v/>
      </c>
      <c r="F882" s="75" t="n"/>
      <c r="G882" s="75" t="n"/>
      <c r="H882" s="75" t="n"/>
      <c r="I882" s="75" t="n"/>
      <c r="J882" s="75" t="n"/>
      <c r="K882" s="75" t="n"/>
      <c r="L882" s="75" t="n"/>
      <c r="M882" s="75" t="n"/>
      <c r="N882" s="75" t="n"/>
      <c r="O882" s="75" t="n"/>
      <c r="P882" s="75" t="n"/>
      <c r="Q882" s="75" t="n"/>
      <c r="R882" s="75" t="n"/>
      <c r="S882" s="75" t="n"/>
      <c r="T882" s="75" t="n"/>
      <c r="U882" s="75" t="n"/>
      <c r="V882" s="75" t="n"/>
      <c r="W882" s="75" t="n"/>
      <c r="X882" s="75" t="n"/>
      <c r="Y882" s="226">
        <f>IF(AND(A882="",B882=""),"",IF(AND(A882&lt;&gt;"",B882&lt;&gt;"",C882&lt;&gt;"",D882&lt;&gt;"",F882&lt;&gt;"",G882&lt;&gt;"",H882&lt;&gt;"",ISERROR(SEARCH("по паспорту",G882)),ISERROR(SEARCH("по паспорту",H882)),I882&lt;&gt;"",J882&lt;&gt;"",K882&lt;&gt;"",L882&lt;&gt;"",M882&lt;&gt;""),"ГОТОВО","НЕ ГОТОВО"))</f>
        <v/>
      </c>
      <c r="Z882" s="226">
        <f>IF(Y882&lt;&gt;"ГОТОВО","", "Предварительное заключение: "&amp;A882&amp;", скв. "&amp;B882&amp;". МРП: "&amp;E882&amp;" сут. ГНО: "&amp;F882&amp;", типоразмер "&amp;G882&amp;", марка "&amp;H882&amp;". Событие: "&amp;I882&amp;". Признак: "&amp;J882&amp;". Узел: "&amp;K882&amp;". Предварительная причина: "&amp;L882&amp;". Основное осложнение: "&amp;M882&amp;IF(N882&lt;&gt;"","; сопутствующее: "&amp;N882,"")&amp;IF(O882&lt;&gt;"","; дополнительно: "&amp;O882,"")&amp;".")</f>
        <v/>
      </c>
    </row>
    <row r="883">
      <c r="A883" s="75" t="n"/>
      <c r="B883" s="75" t="n"/>
      <c r="C883" s="261" t="n"/>
      <c r="D883" s="261" t="n"/>
      <c r="E883" s="262">
        <f>IF(OR(C883="",D883=""),"",D883-C883)</f>
        <v/>
      </c>
      <c r="F883" s="75" t="n"/>
      <c r="G883" s="75" t="n"/>
      <c r="H883" s="75" t="n"/>
      <c r="I883" s="75" t="n"/>
      <c r="J883" s="75" t="n"/>
      <c r="K883" s="75" t="n"/>
      <c r="L883" s="75" t="n"/>
      <c r="M883" s="75" t="n"/>
      <c r="N883" s="75" t="n"/>
      <c r="O883" s="75" t="n"/>
      <c r="P883" s="75" t="n"/>
      <c r="Q883" s="75" t="n"/>
      <c r="R883" s="75" t="n"/>
      <c r="S883" s="75" t="n"/>
      <c r="T883" s="75" t="n"/>
      <c r="U883" s="75" t="n"/>
      <c r="V883" s="75" t="n"/>
      <c r="W883" s="75" t="n"/>
      <c r="X883" s="75" t="n"/>
      <c r="Y883" s="226">
        <f>IF(AND(A883="",B883=""),"",IF(AND(A883&lt;&gt;"",B883&lt;&gt;"",C883&lt;&gt;"",D883&lt;&gt;"",F883&lt;&gt;"",G883&lt;&gt;"",H883&lt;&gt;"",ISERROR(SEARCH("по паспорту",G883)),ISERROR(SEARCH("по паспорту",H883)),I883&lt;&gt;"",J883&lt;&gt;"",K883&lt;&gt;"",L883&lt;&gt;"",M883&lt;&gt;""),"ГОТОВО","НЕ ГОТОВО"))</f>
        <v/>
      </c>
      <c r="Z883" s="226">
        <f>IF(Y883&lt;&gt;"ГОТОВО","", "Предварительное заключение: "&amp;A883&amp;", скв. "&amp;B883&amp;". МРП: "&amp;E883&amp;" сут. ГНО: "&amp;F883&amp;", типоразмер "&amp;G883&amp;", марка "&amp;H883&amp;". Событие: "&amp;I883&amp;". Признак: "&amp;J883&amp;". Узел: "&amp;K883&amp;". Предварительная причина: "&amp;L883&amp;". Основное осложнение: "&amp;M883&amp;IF(N883&lt;&gt;"","; сопутствующее: "&amp;N883,"")&amp;IF(O883&lt;&gt;"","; дополнительно: "&amp;O883,"")&amp;".")</f>
        <v/>
      </c>
    </row>
    <row r="884">
      <c r="A884" s="75" t="n"/>
      <c r="B884" s="75" t="n"/>
      <c r="C884" s="261" t="n"/>
      <c r="D884" s="261" t="n"/>
      <c r="E884" s="262">
        <f>IF(OR(C884="",D884=""),"",D884-C884)</f>
        <v/>
      </c>
      <c r="F884" s="75" t="n"/>
      <c r="G884" s="75" t="n"/>
      <c r="H884" s="75" t="n"/>
      <c r="I884" s="75" t="n"/>
      <c r="J884" s="75" t="n"/>
      <c r="K884" s="75" t="n"/>
      <c r="L884" s="75" t="n"/>
      <c r="M884" s="75" t="n"/>
      <c r="N884" s="75" t="n"/>
      <c r="O884" s="75" t="n"/>
      <c r="P884" s="75" t="n"/>
      <c r="Q884" s="75" t="n"/>
      <c r="R884" s="75" t="n"/>
      <c r="S884" s="75" t="n"/>
      <c r="T884" s="75" t="n"/>
      <c r="U884" s="75" t="n"/>
      <c r="V884" s="75" t="n"/>
      <c r="W884" s="75" t="n"/>
      <c r="X884" s="75" t="n"/>
      <c r="Y884" s="226">
        <f>IF(AND(A884="",B884=""),"",IF(AND(A884&lt;&gt;"",B884&lt;&gt;"",C884&lt;&gt;"",D884&lt;&gt;"",F884&lt;&gt;"",G884&lt;&gt;"",H884&lt;&gt;"",ISERROR(SEARCH("по паспорту",G884)),ISERROR(SEARCH("по паспорту",H884)),I884&lt;&gt;"",J884&lt;&gt;"",K884&lt;&gt;"",L884&lt;&gt;"",M884&lt;&gt;""),"ГОТОВО","НЕ ГОТОВО"))</f>
        <v/>
      </c>
      <c r="Z884" s="226">
        <f>IF(Y884&lt;&gt;"ГОТОВО","", "Предварительное заключение: "&amp;A884&amp;", скв. "&amp;B884&amp;". МРП: "&amp;E884&amp;" сут. ГНО: "&amp;F884&amp;", типоразмер "&amp;G884&amp;", марка "&amp;H884&amp;". Событие: "&amp;I884&amp;". Признак: "&amp;J884&amp;". Узел: "&amp;K884&amp;". Предварительная причина: "&amp;L884&amp;". Основное осложнение: "&amp;M884&amp;IF(N884&lt;&gt;"","; сопутствующее: "&amp;N884,"")&amp;IF(O884&lt;&gt;"","; дополнительно: "&amp;O884,"")&amp;".")</f>
        <v/>
      </c>
    </row>
    <row r="885">
      <c r="A885" s="75" t="n"/>
      <c r="B885" s="75" t="n"/>
      <c r="C885" s="261" t="n"/>
      <c r="D885" s="261" t="n"/>
      <c r="E885" s="262">
        <f>IF(OR(C885="",D885=""),"",D885-C885)</f>
        <v/>
      </c>
      <c r="F885" s="75" t="n"/>
      <c r="G885" s="75" t="n"/>
      <c r="H885" s="75" t="n"/>
      <c r="I885" s="75" t="n"/>
      <c r="J885" s="75" t="n"/>
      <c r="K885" s="75" t="n"/>
      <c r="L885" s="75" t="n"/>
      <c r="M885" s="75" t="n"/>
      <c r="N885" s="75" t="n"/>
      <c r="O885" s="75" t="n"/>
      <c r="P885" s="75" t="n"/>
      <c r="Q885" s="75" t="n"/>
      <c r="R885" s="75" t="n"/>
      <c r="S885" s="75" t="n"/>
      <c r="T885" s="75" t="n"/>
      <c r="U885" s="75" t="n"/>
      <c r="V885" s="75" t="n"/>
      <c r="W885" s="75" t="n"/>
      <c r="X885" s="75" t="n"/>
      <c r="Y885" s="226">
        <f>IF(AND(A885="",B885=""),"",IF(AND(A885&lt;&gt;"",B885&lt;&gt;"",C885&lt;&gt;"",D885&lt;&gt;"",F885&lt;&gt;"",G885&lt;&gt;"",H885&lt;&gt;"",ISERROR(SEARCH("по паспорту",G885)),ISERROR(SEARCH("по паспорту",H885)),I885&lt;&gt;"",J885&lt;&gt;"",K885&lt;&gt;"",L885&lt;&gt;"",M885&lt;&gt;""),"ГОТОВО","НЕ ГОТОВО"))</f>
        <v/>
      </c>
      <c r="Z885" s="226">
        <f>IF(Y885&lt;&gt;"ГОТОВО","", "Предварительное заключение: "&amp;A885&amp;", скв. "&amp;B885&amp;". МРП: "&amp;E885&amp;" сут. ГНО: "&amp;F885&amp;", типоразмер "&amp;G885&amp;", марка "&amp;H885&amp;". Событие: "&amp;I885&amp;". Признак: "&amp;J885&amp;". Узел: "&amp;K885&amp;". Предварительная причина: "&amp;L885&amp;". Основное осложнение: "&amp;M885&amp;IF(N885&lt;&gt;"","; сопутствующее: "&amp;N885,"")&amp;IF(O885&lt;&gt;"","; дополнительно: "&amp;O885,"")&amp;".")</f>
        <v/>
      </c>
    </row>
    <row r="886">
      <c r="A886" s="75" t="n"/>
      <c r="B886" s="75" t="n"/>
      <c r="C886" s="261" t="n"/>
      <c r="D886" s="261" t="n"/>
      <c r="E886" s="262">
        <f>IF(OR(C886="",D886=""),"",D886-C886)</f>
        <v/>
      </c>
      <c r="F886" s="75" t="n"/>
      <c r="G886" s="75" t="n"/>
      <c r="H886" s="75" t="n"/>
      <c r="I886" s="75" t="n"/>
      <c r="J886" s="75" t="n"/>
      <c r="K886" s="75" t="n"/>
      <c r="L886" s="75" t="n"/>
      <c r="M886" s="75" t="n"/>
      <c r="N886" s="75" t="n"/>
      <c r="O886" s="75" t="n"/>
      <c r="P886" s="75" t="n"/>
      <c r="Q886" s="75" t="n"/>
      <c r="R886" s="75" t="n"/>
      <c r="S886" s="75" t="n"/>
      <c r="T886" s="75" t="n"/>
      <c r="U886" s="75" t="n"/>
      <c r="V886" s="75" t="n"/>
      <c r="W886" s="75" t="n"/>
      <c r="X886" s="75" t="n"/>
      <c r="Y886" s="226">
        <f>IF(AND(A886="",B886=""),"",IF(AND(A886&lt;&gt;"",B886&lt;&gt;"",C886&lt;&gt;"",D886&lt;&gt;"",F886&lt;&gt;"",G886&lt;&gt;"",H886&lt;&gt;"",ISERROR(SEARCH("по паспорту",G886)),ISERROR(SEARCH("по паспорту",H886)),I886&lt;&gt;"",J886&lt;&gt;"",K886&lt;&gt;"",L886&lt;&gt;"",M886&lt;&gt;""),"ГОТОВО","НЕ ГОТОВО"))</f>
        <v/>
      </c>
      <c r="Z886" s="226">
        <f>IF(Y886&lt;&gt;"ГОТОВО","", "Предварительное заключение: "&amp;A886&amp;", скв. "&amp;B886&amp;". МРП: "&amp;E886&amp;" сут. ГНО: "&amp;F886&amp;", типоразмер "&amp;G886&amp;", марка "&amp;H886&amp;". Событие: "&amp;I886&amp;". Признак: "&amp;J886&amp;". Узел: "&amp;K886&amp;". Предварительная причина: "&amp;L886&amp;". Основное осложнение: "&amp;M886&amp;IF(N886&lt;&gt;"","; сопутствующее: "&amp;N886,"")&amp;IF(O886&lt;&gt;"","; дополнительно: "&amp;O886,"")&amp;".")</f>
        <v/>
      </c>
    </row>
    <row r="887">
      <c r="A887" s="75" t="n"/>
      <c r="B887" s="75" t="n"/>
      <c r="C887" s="261" t="n"/>
      <c r="D887" s="261" t="n"/>
      <c r="E887" s="262">
        <f>IF(OR(C887="",D887=""),"",D887-C887)</f>
        <v/>
      </c>
      <c r="F887" s="75" t="n"/>
      <c r="G887" s="75" t="n"/>
      <c r="H887" s="75" t="n"/>
      <c r="I887" s="75" t="n"/>
      <c r="J887" s="75" t="n"/>
      <c r="K887" s="75" t="n"/>
      <c r="L887" s="75" t="n"/>
      <c r="M887" s="75" t="n"/>
      <c r="N887" s="75" t="n"/>
      <c r="O887" s="75" t="n"/>
      <c r="P887" s="75" t="n"/>
      <c r="Q887" s="75" t="n"/>
      <c r="R887" s="75" t="n"/>
      <c r="S887" s="75" t="n"/>
      <c r="T887" s="75" t="n"/>
      <c r="U887" s="75" t="n"/>
      <c r="V887" s="75" t="n"/>
      <c r="W887" s="75" t="n"/>
      <c r="X887" s="75" t="n"/>
      <c r="Y887" s="226">
        <f>IF(AND(A887="",B887=""),"",IF(AND(A887&lt;&gt;"",B887&lt;&gt;"",C887&lt;&gt;"",D887&lt;&gt;"",F887&lt;&gt;"",G887&lt;&gt;"",H887&lt;&gt;"",ISERROR(SEARCH("по паспорту",G887)),ISERROR(SEARCH("по паспорту",H887)),I887&lt;&gt;"",J887&lt;&gt;"",K887&lt;&gt;"",L887&lt;&gt;"",M887&lt;&gt;""),"ГОТОВО","НЕ ГОТОВО"))</f>
        <v/>
      </c>
      <c r="Z887" s="226">
        <f>IF(Y887&lt;&gt;"ГОТОВО","", "Предварительное заключение: "&amp;A887&amp;", скв. "&amp;B887&amp;". МРП: "&amp;E887&amp;" сут. ГНО: "&amp;F887&amp;", типоразмер "&amp;G887&amp;", марка "&amp;H887&amp;". Событие: "&amp;I887&amp;". Признак: "&amp;J887&amp;". Узел: "&amp;K887&amp;". Предварительная причина: "&amp;L887&amp;". Основное осложнение: "&amp;M887&amp;IF(N887&lt;&gt;"","; сопутствующее: "&amp;N887,"")&amp;IF(O887&lt;&gt;"","; дополнительно: "&amp;O887,"")&amp;".")</f>
        <v/>
      </c>
    </row>
    <row r="888">
      <c r="A888" s="75" t="n"/>
      <c r="B888" s="75" t="n"/>
      <c r="C888" s="261" t="n"/>
      <c r="D888" s="261" t="n"/>
      <c r="E888" s="262">
        <f>IF(OR(C888="",D888=""),"",D888-C888)</f>
        <v/>
      </c>
      <c r="F888" s="75" t="n"/>
      <c r="G888" s="75" t="n"/>
      <c r="H888" s="75" t="n"/>
      <c r="I888" s="75" t="n"/>
      <c r="J888" s="75" t="n"/>
      <c r="K888" s="75" t="n"/>
      <c r="L888" s="75" t="n"/>
      <c r="M888" s="75" t="n"/>
      <c r="N888" s="75" t="n"/>
      <c r="O888" s="75" t="n"/>
      <c r="P888" s="75" t="n"/>
      <c r="Q888" s="75" t="n"/>
      <c r="R888" s="75" t="n"/>
      <c r="S888" s="75" t="n"/>
      <c r="T888" s="75" t="n"/>
      <c r="U888" s="75" t="n"/>
      <c r="V888" s="75" t="n"/>
      <c r="W888" s="75" t="n"/>
      <c r="X888" s="75" t="n"/>
      <c r="Y888" s="226">
        <f>IF(AND(A888="",B888=""),"",IF(AND(A888&lt;&gt;"",B888&lt;&gt;"",C888&lt;&gt;"",D888&lt;&gt;"",F888&lt;&gt;"",G888&lt;&gt;"",H888&lt;&gt;"",ISERROR(SEARCH("по паспорту",G888)),ISERROR(SEARCH("по паспорту",H888)),I888&lt;&gt;"",J888&lt;&gt;"",K888&lt;&gt;"",L888&lt;&gt;"",M888&lt;&gt;""),"ГОТОВО","НЕ ГОТОВО"))</f>
        <v/>
      </c>
      <c r="Z888" s="226">
        <f>IF(Y888&lt;&gt;"ГОТОВО","", "Предварительное заключение: "&amp;A888&amp;", скв. "&amp;B888&amp;". МРП: "&amp;E888&amp;" сут. ГНО: "&amp;F888&amp;", типоразмер "&amp;G888&amp;", марка "&amp;H888&amp;". Событие: "&amp;I888&amp;". Признак: "&amp;J888&amp;". Узел: "&amp;K888&amp;". Предварительная причина: "&amp;L888&amp;". Основное осложнение: "&amp;M888&amp;IF(N888&lt;&gt;"","; сопутствующее: "&amp;N888,"")&amp;IF(O888&lt;&gt;"","; дополнительно: "&amp;O888,"")&amp;".")</f>
        <v/>
      </c>
    </row>
    <row r="889">
      <c r="A889" s="75" t="n"/>
      <c r="B889" s="75" t="n"/>
      <c r="C889" s="261" t="n"/>
      <c r="D889" s="261" t="n"/>
      <c r="E889" s="262">
        <f>IF(OR(C889="",D889=""),"",D889-C889)</f>
        <v/>
      </c>
      <c r="F889" s="75" t="n"/>
      <c r="G889" s="75" t="n"/>
      <c r="H889" s="75" t="n"/>
      <c r="I889" s="75" t="n"/>
      <c r="J889" s="75" t="n"/>
      <c r="K889" s="75" t="n"/>
      <c r="L889" s="75" t="n"/>
      <c r="M889" s="75" t="n"/>
      <c r="N889" s="75" t="n"/>
      <c r="O889" s="75" t="n"/>
      <c r="P889" s="75" t="n"/>
      <c r="Q889" s="75" t="n"/>
      <c r="R889" s="75" t="n"/>
      <c r="S889" s="75" t="n"/>
      <c r="T889" s="75" t="n"/>
      <c r="U889" s="75" t="n"/>
      <c r="V889" s="75" t="n"/>
      <c r="W889" s="75" t="n"/>
      <c r="X889" s="75" t="n"/>
      <c r="Y889" s="226">
        <f>IF(AND(A889="",B889=""),"",IF(AND(A889&lt;&gt;"",B889&lt;&gt;"",C889&lt;&gt;"",D889&lt;&gt;"",F889&lt;&gt;"",G889&lt;&gt;"",H889&lt;&gt;"",ISERROR(SEARCH("по паспорту",G889)),ISERROR(SEARCH("по паспорту",H889)),I889&lt;&gt;"",J889&lt;&gt;"",K889&lt;&gt;"",L889&lt;&gt;"",M889&lt;&gt;""),"ГОТОВО","НЕ ГОТОВО"))</f>
        <v/>
      </c>
      <c r="Z889" s="226">
        <f>IF(Y889&lt;&gt;"ГОТОВО","", "Предварительное заключение: "&amp;A889&amp;", скв. "&amp;B889&amp;". МРП: "&amp;E889&amp;" сут. ГНО: "&amp;F889&amp;", типоразмер "&amp;G889&amp;", марка "&amp;H889&amp;". Событие: "&amp;I889&amp;". Признак: "&amp;J889&amp;". Узел: "&amp;K889&amp;". Предварительная причина: "&amp;L889&amp;". Основное осложнение: "&amp;M889&amp;IF(N889&lt;&gt;"","; сопутствующее: "&amp;N889,"")&amp;IF(O889&lt;&gt;"","; дополнительно: "&amp;O889,"")&amp;".")</f>
        <v/>
      </c>
    </row>
    <row r="890">
      <c r="A890" s="75" t="n"/>
      <c r="B890" s="75" t="n"/>
      <c r="C890" s="261" t="n"/>
      <c r="D890" s="261" t="n"/>
      <c r="E890" s="262">
        <f>IF(OR(C890="",D890=""),"",D890-C890)</f>
        <v/>
      </c>
      <c r="F890" s="75" t="n"/>
      <c r="G890" s="75" t="n"/>
      <c r="H890" s="75" t="n"/>
      <c r="I890" s="75" t="n"/>
      <c r="J890" s="75" t="n"/>
      <c r="K890" s="75" t="n"/>
      <c r="L890" s="75" t="n"/>
      <c r="M890" s="75" t="n"/>
      <c r="N890" s="75" t="n"/>
      <c r="O890" s="75" t="n"/>
      <c r="P890" s="75" t="n"/>
      <c r="Q890" s="75" t="n"/>
      <c r="R890" s="75" t="n"/>
      <c r="S890" s="75" t="n"/>
      <c r="T890" s="75" t="n"/>
      <c r="U890" s="75" t="n"/>
      <c r="V890" s="75" t="n"/>
      <c r="W890" s="75" t="n"/>
      <c r="X890" s="75" t="n"/>
      <c r="Y890" s="226">
        <f>IF(AND(A890="",B890=""),"",IF(AND(A890&lt;&gt;"",B890&lt;&gt;"",C890&lt;&gt;"",D890&lt;&gt;"",F890&lt;&gt;"",G890&lt;&gt;"",H890&lt;&gt;"",ISERROR(SEARCH("по паспорту",G890)),ISERROR(SEARCH("по паспорту",H890)),I890&lt;&gt;"",J890&lt;&gt;"",K890&lt;&gt;"",L890&lt;&gt;"",M890&lt;&gt;""),"ГОТОВО","НЕ ГОТОВО"))</f>
        <v/>
      </c>
      <c r="Z890" s="226">
        <f>IF(Y890&lt;&gt;"ГОТОВО","", "Предварительное заключение: "&amp;A890&amp;", скв. "&amp;B890&amp;". МРП: "&amp;E890&amp;" сут. ГНО: "&amp;F890&amp;", типоразмер "&amp;G890&amp;", марка "&amp;H890&amp;". Событие: "&amp;I890&amp;". Признак: "&amp;J890&amp;". Узел: "&amp;K890&amp;". Предварительная причина: "&amp;L890&amp;". Основное осложнение: "&amp;M890&amp;IF(N890&lt;&gt;"","; сопутствующее: "&amp;N890,"")&amp;IF(O890&lt;&gt;"","; дополнительно: "&amp;O890,"")&amp;".")</f>
        <v/>
      </c>
    </row>
    <row r="891">
      <c r="A891" s="75" t="n"/>
      <c r="B891" s="75" t="n"/>
      <c r="C891" s="261" t="n"/>
      <c r="D891" s="261" t="n"/>
      <c r="E891" s="262">
        <f>IF(OR(C891="",D891=""),"",D891-C891)</f>
        <v/>
      </c>
      <c r="F891" s="75" t="n"/>
      <c r="G891" s="75" t="n"/>
      <c r="H891" s="75" t="n"/>
      <c r="I891" s="75" t="n"/>
      <c r="J891" s="75" t="n"/>
      <c r="K891" s="75" t="n"/>
      <c r="L891" s="75" t="n"/>
      <c r="M891" s="75" t="n"/>
      <c r="N891" s="75" t="n"/>
      <c r="O891" s="75" t="n"/>
      <c r="P891" s="75" t="n"/>
      <c r="Q891" s="75" t="n"/>
      <c r="R891" s="75" t="n"/>
      <c r="S891" s="75" t="n"/>
      <c r="T891" s="75" t="n"/>
      <c r="U891" s="75" t="n"/>
      <c r="V891" s="75" t="n"/>
      <c r="W891" s="75" t="n"/>
      <c r="X891" s="75" t="n"/>
      <c r="Y891" s="226">
        <f>IF(AND(A891="",B891=""),"",IF(AND(A891&lt;&gt;"",B891&lt;&gt;"",C891&lt;&gt;"",D891&lt;&gt;"",F891&lt;&gt;"",G891&lt;&gt;"",H891&lt;&gt;"",ISERROR(SEARCH("по паспорту",G891)),ISERROR(SEARCH("по паспорту",H891)),I891&lt;&gt;"",J891&lt;&gt;"",K891&lt;&gt;"",L891&lt;&gt;"",M891&lt;&gt;""),"ГОТОВО","НЕ ГОТОВО"))</f>
        <v/>
      </c>
      <c r="Z891" s="226">
        <f>IF(Y891&lt;&gt;"ГОТОВО","", "Предварительное заключение: "&amp;A891&amp;", скв. "&amp;B891&amp;". МРП: "&amp;E891&amp;" сут. ГНО: "&amp;F891&amp;", типоразмер "&amp;G891&amp;", марка "&amp;H891&amp;". Событие: "&amp;I891&amp;". Признак: "&amp;J891&amp;". Узел: "&amp;K891&amp;". Предварительная причина: "&amp;L891&amp;". Основное осложнение: "&amp;M891&amp;IF(N891&lt;&gt;"","; сопутствующее: "&amp;N891,"")&amp;IF(O891&lt;&gt;"","; дополнительно: "&amp;O891,"")&amp;".")</f>
        <v/>
      </c>
    </row>
    <row r="892">
      <c r="A892" s="75" t="n"/>
      <c r="B892" s="75" t="n"/>
      <c r="C892" s="261" t="n"/>
      <c r="D892" s="261" t="n"/>
      <c r="E892" s="262">
        <f>IF(OR(C892="",D892=""),"",D892-C892)</f>
        <v/>
      </c>
      <c r="F892" s="75" t="n"/>
      <c r="G892" s="75" t="n"/>
      <c r="H892" s="75" t="n"/>
      <c r="I892" s="75" t="n"/>
      <c r="J892" s="75" t="n"/>
      <c r="K892" s="75" t="n"/>
      <c r="L892" s="75" t="n"/>
      <c r="M892" s="75" t="n"/>
      <c r="N892" s="75" t="n"/>
      <c r="O892" s="75" t="n"/>
      <c r="P892" s="75" t="n"/>
      <c r="Q892" s="75" t="n"/>
      <c r="R892" s="75" t="n"/>
      <c r="S892" s="75" t="n"/>
      <c r="T892" s="75" t="n"/>
      <c r="U892" s="75" t="n"/>
      <c r="V892" s="75" t="n"/>
      <c r="W892" s="75" t="n"/>
      <c r="X892" s="75" t="n"/>
      <c r="Y892" s="226">
        <f>IF(AND(A892="",B892=""),"",IF(AND(A892&lt;&gt;"",B892&lt;&gt;"",C892&lt;&gt;"",D892&lt;&gt;"",F892&lt;&gt;"",G892&lt;&gt;"",H892&lt;&gt;"",ISERROR(SEARCH("по паспорту",G892)),ISERROR(SEARCH("по паспорту",H892)),I892&lt;&gt;"",J892&lt;&gt;"",K892&lt;&gt;"",L892&lt;&gt;"",M892&lt;&gt;""),"ГОТОВО","НЕ ГОТОВО"))</f>
        <v/>
      </c>
      <c r="Z892" s="226">
        <f>IF(Y892&lt;&gt;"ГОТОВО","", "Предварительное заключение: "&amp;A892&amp;", скв. "&amp;B892&amp;". МРП: "&amp;E892&amp;" сут. ГНО: "&amp;F892&amp;", типоразмер "&amp;G892&amp;", марка "&amp;H892&amp;". Событие: "&amp;I892&amp;". Признак: "&amp;J892&amp;". Узел: "&amp;K892&amp;". Предварительная причина: "&amp;L892&amp;". Основное осложнение: "&amp;M892&amp;IF(N892&lt;&gt;"","; сопутствующее: "&amp;N892,"")&amp;IF(O892&lt;&gt;"","; дополнительно: "&amp;O892,"")&amp;".")</f>
        <v/>
      </c>
    </row>
    <row r="893">
      <c r="A893" s="75" t="n"/>
      <c r="B893" s="75" t="n"/>
      <c r="C893" s="261" t="n"/>
      <c r="D893" s="261" t="n"/>
      <c r="E893" s="262">
        <f>IF(OR(C893="",D893=""),"",D893-C893)</f>
        <v/>
      </c>
      <c r="F893" s="75" t="n"/>
      <c r="G893" s="75" t="n"/>
      <c r="H893" s="75" t="n"/>
      <c r="I893" s="75" t="n"/>
      <c r="J893" s="75" t="n"/>
      <c r="K893" s="75" t="n"/>
      <c r="L893" s="75" t="n"/>
      <c r="M893" s="75" t="n"/>
      <c r="N893" s="75" t="n"/>
      <c r="O893" s="75" t="n"/>
      <c r="P893" s="75" t="n"/>
      <c r="Q893" s="75" t="n"/>
      <c r="R893" s="75" t="n"/>
      <c r="S893" s="75" t="n"/>
      <c r="T893" s="75" t="n"/>
      <c r="U893" s="75" t="n"/>
      <c r="V893" s="75" t="n"/>
      <c r="W893" s="75" t="n"/>
      <c r="X893" s="75" t="n"/>
      <c r="Y893" s="226">
        <f>IF(AND(A893="",B893=""),"",IF(AND(A893&lt;&gt;"",B893&lt;&gt;"",C893&lt;&gt;"",D893&lt;&gt;"",F893&lt;&gt;"",G893&lt;&gt;"",H893&lt;&gt;"",ISERROR(SEARCH("по паспорту",G893)),ISERROR(SEARCH("по паспорту",H893)),I893&lt;&gt;"",J893&lt;&gt;"",K893&lt;&gt;"",L893&lt;&gt;"",M893&lt;&gt;""),"ГОТОВО","НЕ ГОТОВО"))</f>
        <v/>
      </c>
      <c r="Z893" s="226">
        <f>IF(Y893&lt;&gt;"ГОТОВО","", "Предварительное заключение: "&amp;A893&amp;", скв. "&amp;B893&amp;". МРП: "&amp;E893&amp;" сут. ГНО: "&amp;F893&amp;", типоразмер "&amp;G893&amp;", марка "&amp;H893&amp;". Событие: "&amp;I893&amp;". Признак: "&amp;J893&amp;". Узел: "&amp;K893&amp;". Предварительная причина: "&amp;L893&amp;". Основное осложнение: "&amp;M893&amp;IF(N893&lt;&gt;"","; сопутствующее: "&amp;N893,"")&amp;IF(O893&lt;&gt;"","; дополнительно: "&amp;O893,"")&amp;".")</f>
        <v/>
      </c>
    </row>
    <row r="894">
      <c r="A894" s="75" t="n"/>
      <c r="B894" s="75" t="n"/>
      <c r="C894" s="261" t="n"/>
      <c r="D894" s="261" t="n"/>
      <c r="E894" s="262">
        <f>IF(OR(C894="",D894=""),"",D894-C894)</f>
        <v/>
      </c>
      <c r="F894" s="75" t="n"/>
      <c r="G894" s="75" t="n"/>
      <c r="H894" s="75" t="n"/>
      <c r="I894" s="75" t="n"/>
      <c r="J894" s="75" t="n"/>
      <c r="K894" s="75" t="n"/>
      <c r="L894" s="75" t="n"/>
      <c r="M894" s="75" t="n"/>
      <c r="N894" s="75" t="n"/>
      <c r="O894" s="75" t="n"/>
      <c r="P894" s="75" t="n"/>
      <c r="Q894" s="75" t="n"/>
      <c r="R894" s="75" t="n"/>
      <c r="S894" s="75" t="n"/>
      <c r="T894" s="75" t="n"/>
      <c r="U894" s="75" t="n"/>
      <c r="V894" s="75" t="n"/>
      <c r="W894" s="75" t="n"/>
      <c r="X894" s="75" t="n"/>
      <c r="Y894" s="226">
        <f>IF(AND(A894="",B894=""),"",IF(AND(A894&lt;&gt;"",B894&lt;&gt;"",C894&lt;&gt;"",D894&lt;&gt;"",F894&lt;&gt;"",G894&lt;&gt;"",H894&lt;&gt;"",ISERROR(SEARCH("по паспорту",G894)),ISERROR(SEARCH("по паспорту",H894)),I894&lt;&gt;"",J894&lt;&gt;"",K894&lt;&gt;"",L894&lt;&gt;"",M894&lt;&gt;""),"ГОТОВО","НЕ ГОТОВО"))</f>
        <v/>
      </c>
      <c r="Z894" s="226">
        <f>IF(Y894&lt;&gt;"ГОТОВО","", "Предварительное заключение: "&amp;A894&amp;", скв. "&amp;B894&amp;". МРП: "&amp;E894&amp;" сут. ГНО: "&amp;F894&amp;", типоразмер "&amp;G894&amp;", марка "&amp;H894&amp;". Событие: "&amp;I894&amp;". Признак: "&amp;J894&amp;". Узел: "&amp;K894&amp;". Предварительная причина: "&amp;L894&amp;". Основное осложнение: "&amp;M894&amp;IF(N894&lt;&gt;"","; сопутствующее: "&amp;N894,"")&amp;IF(O894&lt;&gt;"","; дополнительно: "&amp;O894,"")&amp;".")</f>
        <v/>
      </c>
    </row>
    <row r="895">
      <c r="A895" s="75" t="n"/>
      <c r="B895" s="75" t="n"/>
      <c r="C895" s="261" t="n"/>
      <c r="D895" s="261" t="n"/>
      <c r="E895" s="262">
        <f>IF(OR(C895="",D895=""),"",D895-C895)</f>
        <v/>
      </c>
      <c r="F895" s="75" t="n"/>
      <c r="G895" s="75" t="n"/>
      <c r="H895" s="75" t="n"/>
      <c r="I895" s="75" t="n"/>
      <c r="J895" s="75" t="n"/>
      <c r="K895" s="75" t="n"/>
      <c r="L895" s="75" t="n"/>
      <c r="M895" s="75" t="n"/>
      <c r="N895" s="75" t="n"/>
      <c r="O895" s="75" t="n"/>
      <c r="P895" s="75" t="n"/>
      <c r="Q895" s="75" t="n"/>
      <c r="R895" s="75" t="n"/>
      <c r="S895" s="75" t="n"/>
      <c r="T895" s="75" t="n"/>
      <c r="U895" s="75" t="n"/>
      <c r="V895" s="75" t="n"/>
      <c r="W895" s="75" t="n"/>
      <c r="X895" s="75" t="n"/>
      <c r="Y895" s="226">
        <f>IF(AND(A895="",B895=""),"",IF(AND(A895&lt;&gt;"",B895&lt;&gt;"",C895&lt;&gt;"",D895&lt;&gt;"",F895&lt;&gt;"",G895&lt;&gt;"",H895&lt;&gt;"",ISERROR(SEARCH("по паспорту",G895)),ISERROR(SEARCH("по паспорту",H895)),I895&lt;&gt;"",J895&lt;&gt;"",K895&lt;&gt;"",L895&lt;&gt;"",M895&lt;&gt;""),"ГОТОВО","НЕ ГОТОВО"))</f>
        <v/>
      </c>
      <c r="Z895" s="226">
        <f>IF(Y895&lt;&gt;"ГОТОВО","", "Предварительное заключение: "&amp;A895&amp;", скв. "&amp;B895&amp;". МРП: "&amp;E895&amp;" сут. ГНО: "&amp;F895&amp;", типоразмер "&amp;G895&amp;", марка "&amp;H895&amp;". Событие: "&amp;I895&amp;". Признак: "&amp;J895&amp;". Узел: "&amp;K895&amp;". Предварительная причина: "&amp;L895&amp;". Основное осложнение: "&amp;M895&amp;IF(N895&lt;&gt;"","; сопутствующее: "&amp;N895,"")&amp;IF(O895&lt;&gt;"","; дополнительно: "&amp;O895,"")&amp;".")</f>
        <v/>
      </c>
    </row>
    <row r="896">
      <c r="A896" s="75" t="n"/>
      <c r="B896" s="75" t="n"/>
      <c r="C896" s="261" t="n"/>
      <c r="D896" s="261" t="n"/>
      <c r="E896" s="262">
        <f>IF(OR(C896="",D896=""),"",D896-C896)</f>
        <v/>
      </c>
      <c r="F896" s="75" t="n"/>
      <c r="G896" s="75" t="n"/>
      <c r="H896" s="75" t="n"/>
      <c r="I896" s="75" t="n"/>
      <c r="J896" s="75" t="n"/>
      <c r="K896" s="75" t="n"/>
      <c r="L896" s="75" t="n"/>
      <c r="M896" s="75" t="n"/>
      <c r="N896" s="75" t="n"/>
      <c r="O896" s="75" t="n"/>
      <c r="P896" s="75" t="n"/>
      <c r="Q896" s="75" t="n"/>
      <c r="R896" s="75" t="n"/>
      <c r="S896" s="75" t="n"/>
      <c r="T896" s="75" t="n"/>
      <c r="U896" s="75" t="n"/>
      <c r="V896" s="75" t="n"/>
      <c r="W896" s="75" t="n"/>
      <c r="X896" s="75" t="n"/>
      <c r="Y896" s="226">
        <f>IF(AND(A896="",B896=""),"",IF(AND(A896&lt;&gt;"",B896&lt;&gt;"",C896&lt;&gt;"",D896&lt;&gt;"",F896&lt;&gt;"",G896&lt;&gt;"",H896&lt;&gt;"",ISERROR(SEARCH("по паспорту",G896)),ISERROR(SEARCH("по паспорту",H896)),I896&lt;&gt;"",J896&lt;&gt;"",K896&lt;&gt;"",L896&lt;&gt;"",M896&lt;&gt;""),"ГОТОВО","НЕ ГОТОВО"))</f>
        <v/>
      </c>
      <c r="Z896" s="226">
        <f>IF(Y896&lt;&gt;"ГОТОВО","", "Предварительное заключение: "&amp;A896&amp;", скв. "&amp;B896&amp;". МРП: "&amp;E896&amp;" сут. ГНО: "&amp;F896&amp;", типоразмер "&amp;G896&amp;", марка "&amp;H896&amp;". Событие: "&amp;I896&amp;". Признак: "&amp;J896&amp;". Узел: "&amp;K896&amp;". Предварительная причина: "&amp;L896&amp;". Основное осложнение: "&amp;M896&amp;IF(N896&lt;&gt;"","; сопутствующее: "&amp;N896,"")&amp;IF(O896&lt;&gt;"","; дополнительно: "&amp;O896,"")&amp;".")</f>
        <v/>
      </c>
    </row>
    <row r="897">
      <c r="A897" s="75" t="n"/>
      <c r="B897" s="75" t="n"/>
      <c r="C897" s="261" t="n"/>
      <c r="D897" s="261" t="n"/>
      <c r="E897" s="262">
        <f>IF(OR(C897="",D897=""),"",D897-C897)</f>
        <v/>
      </c>
      <c r="F897" s="75" t="n"/>
      <c r="G897" s="75" t="n"/>
      <c r="H897" s="75" t="n"/>
      <c r="I897" s="75" t="n"/>
      <c r="J897" s="75" t="n"/>
      <c r="K897" s="75" t="n"/>
      <c r="L897" s="75" t="n"/>
      <c r="M897" s="75" t="n"/>
      <c r="N897" s="75" t="n"/>
      <c r="O897" s="75" t="n"/>
      <c r="P897" s="75" t="n"/>
      <c r="Q897" s="75" t="n"/>
      <c r="R897" s="75" t="n"/>
      <c r="S897" s="75" t="n"/>
      <c r="T897" s="75" t="n"/>
      <c r="U897" s="75" t="n"/>
      <c r="V897" s="75" t="n"/>
      <c r="W897" s="75" t="n"/>
      <c r="X897" s="75" t="n"/>
      <c r="Y897" s="226">
        <f>IF(AND(A897="",B897=""),"",IF(AND(A897&lt;&gt;"",B897&lt;&gt;"",C897&lt;&gt;"",D897&lt;&gt;"",F897&lt;&gt;"",G897&lt;&gt;"",H897&lt;&gt;"",ISERROR(SEARCH("по паспорту",G897)),ISERROR(SEARCH("по паспорту",H897)),I897&lt;&gt;"",J897&lt;&gt;"",K897&lt;&gt;"",L897&lt;&gt;"",M897&lt;&gt;""),"ГОТОВО","НЕ ГОТОВО"))</f>
        <v/>
      </c>
      <c r="Z897" s="226">
        <f>IF(Y897&lt;&gt;"ГОТОВО","", "Предварительное заключение: "&amp;A897&amp;", скв. "&amp;B897&amp;". МРП: "&amp;E897&amp;" сут. ГНО: "&amp;F897&amp;", типоразмер "&amp;G897&amp;", марка "&amp;H897&amp;". Событие: "&amp;I897&amp;". Признак: "&amp;J897&amp;". Узел: "&amp;K897&amp;". Предварительная причина: "&amp;L897&amp;". Основное осложнение: "&amp;M897&amp;IF(N897&lt;&gt;"","; сопутствующее: "&amp;N897,"")&amp;IF(O897&lt;&gt;"","; дополнительно: "&amp;O897,"")&amp;".")</f>
        <v/>
      </c>
    </row>
    <row r="898">
      <c r="A898" s="75" t="n"/>
      <c r="B898" s="75" t="n"/>
      <c r="C898" s="261" t="n"/>
      <c r="D898" s="261" t="n"/>
      <c r="E898" s="262">
        <f>IF(OR(C898="",D898=""),"",D898-C898)</f>
        <v/>
      </c>
      <c r="F898" s="75" t="n"/>
      <c r="G898" s="75" t="n"/>
      <c r="H898" s="75" t="n"/>
      <c r="I898" s="75" t="n"/>
      <c r="J898" s="75" t="n"/>
      <c r="K898" s="75" t="n"/>
      <c r="L898" s="75" t="n"/>
      <c r="M898" s="75" t="n"/>
      <c r="N898" s="75" t="n"/>
      <c r="O898" s="75" t="n"/>
      <c r="P898" s="75" t="n"/>
      <c r="Q898" s="75" t="n"/>
      <c r="R898" s="75" t="n"/>
      <c r="S898" s="75" t="n"/>
      <c r="T898" s="75" t="n"/>
      <c r="U898" s="75" t="n"/>
      <c r="V898" s="75" t="n"/>
      <c r="W898" s="75" t="n"/>
      <c r="X898" s="75" t="n"/>
      <c r="Y898" s="226">
        <f>IF(AND(A898="",B898=""),"",IF(AND(A898&lt;&gt;"",B898&lt;&gt;"",C898&lt;&gt;"",D898&lt;&gt;"",F898&lt;&gt;"",G898&lt;&gt;"",H898&lt;&gt;"",ISERROR(SEARCH("по паспорту",G898)),ISERROR(SEARCH("по паспорту",H898)),I898&lt;&gt;"",J898&lt;&gt;"",K898&lt;&gt;"",L898&lt;&gt;"",M898&lt;&gt;""),"ГОТОВО","НЕ ГОТОВО"))</f>
        <v/>
      </c>
      <c r="Z898" s="226">
        <f>IF(Y898&lt;&gt;"ГОТОВО","", "Предварительное заключение: "&amp;A898&amp;", скв. "&amp;B898&amp;". МРП: "&amp;E898&amp;" сут. ГНО: "&amp;F898&amp;", типоразмер "&amp;G898&amp;", марка "&amp;H898&amp;". Событие: "&amp;I898&amp;". Признак: "&amp;J898&amp;". Узел: "&amp;K898&amp;". Предварительная причина: "&amp;L898&amp;". Основное осложнение: "&amp;M898&amp;IF(N898&lt;&gt;"","; сопутствующее: "&amp;N898,"")&amp;IF(O898&lt;&gt;"","; дополнительно: "&amp;O898,"")&amp;".")</f>
        <v/>
      </c>
    </row>
    <row r="899">
      <c r="A899" s="75" t="n"/>
      <c r="B899" s="75" t="n"/>
      <c r="C899" s="261" t="n"/>
      <c r="D899" s="261" t="n"/>
      <c r="E899" s="262">
        <f>IF(OR(C899="",D899=""),"",D899-C899)</f>
        <v/>
      </c>
      <c r="F899" s="75" t="n"/>
      <c r="G899" s="75" t="n"/>
      <c r="H899" s="75" t="n"/>
      <c r="I899" s="75" t="n"/>
      <c r="J899" s="75" t="n"/>
      <c r="K899" s="75" t="n"/>
      <c r="L899" s="75" t="n"/>
      <c r="M899" s="75" t="n"/>
      <c r="N899" s="75" t="n"/>
      <c r="O899" s="75" t="n"/>
      <c r="P899" s="75" t="n"/>
      <c r="Q899" s="75" t="n"/>
      <c r="R899" s="75" t="n"/>
      <c r="S899" s="75" t="n"/>
      <c r="T899" s="75" t="n"/>
      <c r="U899" s="75" t="n"/>
      <c r="V899" s="75" t="n"/>
      <c r="W899" s="75" t="n"/>
      <c r="X899" s="75" t="n"/>
      <c r="Y899" s="226">
        <f>IF(AND(A899="",B899=""),"",IF(AND(A899&lt;&gt;"",B899&lt;&gt;"",C899&lt;&gt;"",D899&lt;&gt;"",F899&lt;&gt;"",G899&lt;&gt;"",H899&lt;&gt;"",ISERROR(SEARCH("по паспорту",G899)),ISERROR(SEARCH("по паспорту",H899)),I899&lt;&gt;"",J899&lt;&gt;"",K899&lt;&gt;"",L899&lt;&gt;"",M899&lt;&gt;""),"ГОТОВО","НЕ ГОТОВО"))</f>
        <v/>
      </c>
      <c r="Z899" s="226">
        <f>IF(Y899&lt;&gt;"ГОТОВО","", "Предварительное заключение: "&amp;A899&amp;", скв. "&amp;B899&amp;". МРП: "&amp;E899&amp;" сут. ГНО: "&amp;F899&amp;", типоразмер "&amp;G899&amp;", марка "&amp;H899&amp;". Событие: "&amp;I899&amp;". Признак: "&amp;J899&amp;". Узел: "&amp;K899&amp;". Предварительная причина: "&amp;L899&amp;". Основное осложнение: "&amp;M899&amp;IF(N899&lt;&gt;"","; сопутствующее: "&amp;N899,"")&amp;IF(O899&lt;&gt;"","; дополнительно: "&amp;O899,"")&amp;".")</f>
        <v/>
      </c>
    </row>
    <row r="900">
      <c r="A900" s="75" t="n"/>
      <c r="B900" s="75" t="n"/>
      <c r="C900" s="261" t="n"/>
      <c r="D900" s="261" t="n"/>
      <c r="E900" s="262">
        <f>IF(OR(C900="",D900=""),"",D900-C900)</f>
        <v/>
      </c>
      <c r="F900" s="75" t="n"/>
      <c r="G900" s="75" t="n"/>
      <c r="H900" s="75" t="n"/>
      <c r="I900" s="75" t="n"/>
      <c r="J900" s="75" t="n"/>
      <c r="K900" s="75" t="n"/>
      <c r="L900" s="75" t="n"/>
      <c r="M900" s="75" t="n"/>
      <c r="N900" s="75" t="n"/>
      <c r="O900" s="75" t="n"/>
      <c r="P900" s="75" t="n"/>
      <c r="Q900" s="75" t="n"/>
      <c r="R900" s="75" t="n"/>
      <c r="S900" s="75" t="n"/>
      <c r="T900" s="75" t="n"/>
      <c r="U900" s="75" t="n"/>
      <c r="V900" s="75" t="n"/>
      <c r="W900" s="75" t="n"/>
      <c r="X900" s="75" t="n"/>
      <c r="Y900" s="226">
        <f>IF(AND(A900="",B900=""),"",IF(AND(A900&lt;&gt;"",B900&lt;&gt;"",C900&lt;&gt;"",D900&lt;&gt;"",F900&lt;&gt;"",G900&lt;&gt;"",H900&lt;&gt;"",ISERROR(SEARCH("по паспорту",G900)),ISERROR(SEARCH("по паспорту",H900)),I900&lt;&gt;"",J900&lt;&gt;"",K900&lt;&gt;"",L900&lt;&gt;"",M900&lt;&gt;""),"ГОТОВО","НЕ ГОТОВО"))</f>
        <v/>
      </c>
      <c r="Z900" s="226">
        <f>IF(Y900&lt;&gt;"ГОТОВО","", "Предварительное заключение: "&amp;A900&amp;", скв. "&amp;B900&amp;". МРП: "&amp;E900&amp;" сут. ГНО: "&amp;F900&amp;", типоразмер "&amp;G900&amp;", марка "&amp;H900&amp;". Событие: "&amp;I900&amp;". Признак: "&amp;J900&amp;". Узел: "&amp;K900&amp;". Предварительная причина: "&amp;L900&amp;". Основное осложнение: "&amp;M900&amp;IF(N900&lt;&gt;"","; сопутствующее: "&amp;N900,"")&amp;IF(O900&lt;&gt;"","; дополнительно: "&amp;O900,"")&amp;".")</f>
        <v/>
      </c>
    </row>
    <row r="901">
      <c r="A901" s="75" t="n"/>
      <c r="B901" s="75" t="n"/>
      <c r="C901" s="261" t="n"/>
      <c r="D901" s="261" t="n"/>
      <c r="E901" s="262">
        <f>IF(OR(C901="",D901=""),"",D901-C901)</f>
        <v/>
      </c>
      <c r="F901" s="75" t="n"/>
      <c r="G901" s="75" t="n"/>
      <c r="H901" s="75" t="n"/>
      <c r="I901" s="75" t="n"/>
      <c r="J901" s="75" t="n"/>
      <c r="K901" s="75" t="n"/>
      <c r="L901" s="75" t="n"/>
      <c r="M901" s="75" t="n"/>
      <c r="N901" s="75" t="n"/>
      <c r="O901" s="75" t="n"/>
      <c r="P901" s="75" t="n"/>
      <c r="Q901" s="75" t="n"/>
      <c r="R901" s="75" t="n"/>
      <c r="S901" s="75" t="n"/>
      <c r="T901" s="75" t="n"/>
      <c r="U901" s="75" t="n"/>
      <c r="V901" s="75" t="n"/>
      <c r="W901" s="75" t="n"/>
      <c r="X901" s="75" t="n"/>
      <c r="Y901" s="226">
        <f>IF(AND(A901="",B901=""),"",IF(AND(A901&lt;&gt;"",B901&lt;&gt;"",C901&lt;&gt;"",D901&lt;&gt;"",F901&lt;&gt;"",G901&lt;&gt;"",H901&lt;&gt;"",ISERROR(SEARCH("по паспорту",G901)),ISERROR(SEARCH("по паспорту",H901)),I901&lt;&gt;"",J901&lt;&gt;"",K901&lt;&gt;"",L901&lt;&gt;"",M901&lt;&gt;""),"ГОТОВО","НЕ ГОТОВО"))</f>
        <v/>
      </c>
      <c r="Z901" s="226">
        <f>IF(Y901&lt;&gt;"ГОТОВО","", "Предварительное заключение: "&amp;A901&amp;", скв. "&amp;B901&amp;". МРП: "&amp;E901&amp;" сут. ГНО: "&amp;F901&amp;", типоразмер "&amp;G901&amp;", марка "&amp;H901&amp;". Событие: "&amp;I901&amp;". Признак: "&amp;J901&amp;". Узел: "&amp;K901&amp;". Предварительная причина: "&amp;L901&amp;". Основное осложнение: "&amp;M901&amp;IF(N901&lt;&gt;"","; сопутствующее: "&amp;N901,"")&amp;IF(O901&lt;&gt;"","; дополнительно: "&amp;O901,"")&amp;".")</f>
        <v/>
      </c>
    </row>
    <row r="902">
      <c r="A902" s="75" t="n"/>
      <c r="B902" s="75" t="n"/>
      <c r="C902" s="261" t="n"/>
      <c r="D902" s="261" t="n"/>
      <c r="E902" s="262">
        <f>IF(OR(C902="",D902=""),"",D902-C902)</f>
        <v/>
      </c>
      <c r="F902" s="75" t="n"/>
      <c r="G902" s="75" t="n"/>
      <c r="H902" s="75" t="n"/>
      <c r="I902" s="75" t="n"/>
      <c r="J902" s="75" t="n"/>
      <c r="K902" s="75" t="n"/>
      <c r="L902" s="75" t="n"/>
      <c r="M902" s="75" t="n"/>
      <c r="N902" s="75" t="n"/>
      <c r="O902" s="75" t="n"/>
      <c r="P902" s="75" t="n"/>
      <c r="Q902" s="75" t="n"/>
      <c r="R902" s="75" t="n"/>
      <c r="S902" s="75" t="n"/>
      <c r="T902" s="75" t="n"/>
      <c r="U902" s="75" t="n"/>
      <c r="V902" s="75" t="n"/>
      <c r="W902" s="75" t="n"/>
      <c r="X902" s="75" t="n"/>
      <c r="Y902" s="226">
        <f>IF(AND(A902="",B902=""),"",IF(AND(A902&lt;&gt;"",B902&lt;&gt;"",C902&lt;&gt;"",D902&lt;&gt;"",F902&lt;&gt;"",G902&lt;&gt;"",H902&lt;&gt;"",ISERROR(SEARCH("по паспорту",G902)),ISERROR(SEARCH("по паспорту",H902)),I902&lt;&gt;"",J902&lt;&gt;"",K902&lt;&gt;"",L902&lt;&gt;"",M902&lt;&gt;""),"ГОТОВО","НЕ ГОТОВО"))</f>
        <v/>
      </c>
      <c r="Z902" s="226">
        <f>IF(Y902&lt;&gt;"ГОТОВО","", "Предварительное заключение: "&amp;A902&amp;", скв. "&amp;B902&amp;". МРП: "&amp;E902&amp;" сут. ГНО: "&amp;F902&amp;", типоразмер "&amp;G902&amp;", марка "&amp;H902&amp;". Событие: "&amp;I902&amp;". Признак: "&amp;J902&amp;". Узел: "&amp;K902&amp;". Предварительная причина: "&amp;L902&amp;". Основное осложнение: "&amp;M902&amp;IF(N902&lt;&gt;"","; сопутствующее: "&amp;N902,"")&amp;IF(O902&lt;&gt;"","; дополнительно: "&amp;O902,"")&amp;".")</f>
        <v/>
      </c>
    </row>
    <row r="903">
      <c r="A903" s="75" t="n"/>
      <c r="B903" s="75" t="n"/>
      <c r="C903" s="261" t="n"/>
      <c r="D903" s="261" t="n"/>
      <c r="E903" s="262">
        <f>IF(OR(C903="",D903=""),"",D903-C903)</f>
        <v/>
      </c>
      <c r="F903" s="75" t="n"/>
      <c r="G903" s="75" t="n"/>
      <c r="H903" s="75" t="n"/>
      <c r="I903" s="75" t="n"/>
      <c r="J903" s="75" t="n"/>
      <c r="K903" s="75" t="n"/>
      <c r="L903" s="75" t="n"/>
      <c r="M903" s="75" t="n"/>
      <c r="N903" s="75" t="n"/>
      <c r="O903" s="75" t="n"/>
      <c r="P903" s="75" t="n"/>
      <c r="Q903" s="75" t="n"/>
      <c r="R903" s="75" t="n"/>
      <c r="S903" s="75" t="n"/>
      <c r="T903" s="75" t="n"/>
      <c r="U903" s="75" t="n"/>
      <c r="V903" s="75" t="n"/>
      <c r="W903" s="75" t="n"/>
      <c r="X903" s="75" t="n"/>
      <c r="Y903" s="226">
        <f>IF(AND(A903="",B903=""),"",IF(AND(A903&lt;&gt;"",B903&lt;&gt;"",C903&lt;&gt;"",D903&lt;&gt;"",F903&lt;&gt;"",G903&lt;&gt;"",H903&lt;&gt;"",ISERROR(SEARCH("по паспорту",G903)),ISERROR(SEARCH("по паспорту",H903)),I903&lt;&gt;"",J903&lt;&gt;"",K903&lt;&gt;"",L903&lt;&gt;"",M903&lt;&gt;""),"ГОТОВО","НЕ ГОТОВО"))</f>
        <v/>
      </c>
      <c r="Z903" s="226">
        <f>IF(Y903&lt;&gt;"ГОТОВО","", "Предварительное заключение: "&amp;A903&amp;", скв. "&amp;B903&amp;". МРП: "&amp;E903&amp;" сут. ГНО: "&amp;F903&amp;", типоразмер "&amp;G903&amp;", марка "&amp;H903&amp;". Событие: "&amp;I903&amp;". Признак: "&amp;J903&amp;". Узел: "&amp;K903&amp;". Предварительная причина: "&amp;L903&amp;". Основное осложнение: "&amp;M903&amp;IF(N903&lt;&gt;"","; сопутствующее: "&amp;N903,"")&amp;IF(O903&lt;&gt;"","; дополнительно: "&amp;O903,"")&amp;".")</f>
        <v/>
      </c>
    </row>
    <row r="904">
      <c r="A904" s="75" t="n"/>
      <c r="B904" s="75" t="n"/>
      <c r="C904" s="261" t="n"/>
      <c r="D904" s="261" t="n"/>
      <c r="E904" s="262">
        <f>IF(OR(C904="",D904=""),"",D904-C904)</f>
        <v/>
      </c>
      <c r="F904" s="75" t="n"/>
      <c r="G904" s="75" t="n"/>
      <c r="H904" s="75" t="n"/>
      <c r="I904" s="75" t="n"/>
      <c r="J904" s="75" t="n"/>
      <c r="K904" s="75" t="n"/>
      <c r="L904" s="75" t="n"/>
      <c r="M904" s="75" t="n"/>
      <c r="N904" s="75" t="n"/>
      <c r="O904" s="75" t="n"/>
      <c r="P904" s="75" t="n"/>
      <c r="Q904" s="75" t="n"/>
      <c r="R904" s="75" t="n"/>
      <c r="S904" s="75" t="n"/>
      <c r="T904" s="75" t="n"/>
      <c r="U904" s="75" t="n"/>
      <c r="V904" s="75" t="n"/>
      <c r="W904" s="75" t="n"/>
      <c r="X904" s="75" t="n"/>
      <c r="Y904" s="226">
        <f>IF(AND(A904="",B904=""),"",IF(AND(A904&lt;&gt;"",B904&lt;&gt;"",C904&lt;&gt;"",D904&lt;&gt;"",F904&lt;&gt;"",G904&lt;&gt;"",H904&lt;&gt;"",ISERROR(SEARCH("по паспорту",G904)),ISERROR(SEARCH("по паспорту",H904)),I904&lt;&gt;"",J904&lt;&gt;"",K904&lt;&gt;"",L904&lt;&gt;"",M904&lt;&gt;""),"ГОТОВО","НЕ ГОТОВО"))</f>
        <v/>
      </c>
      <c r="Z904" s="226">
        <f>IF(Y904&lt;&gt;"ГОТОВО","", "Предварительное заключение: "&amp;A904&amp;", скв. "&amp;B904&amp;". МРП: "&amp;E904&amp;" сут. ГНО: "&amp;F904&amp;", типоразмер "&amp;G904&amp;", марка "&amp;H904&amp;". Событие: "&amp;I904&amp;". Признак: "&amp;J904&amp;". Узел: "&amp;K904&amp;". Предварительная причина: "&amp;L904&amp;". Основное осложнение: "&amp;M904&amp;IF(N904&lt;&gt;"","; сопутствующее: "&amp;N904,"")&amp;IF(O904&lt;&gt;"","; дополнительно: "&amp;O904,"")&amp;".")</f>
        <v/>
      </c>
    </row>
    <row r="905">
      <c r="A905" s="75" t="n"/>
      <c r="B905" s="75" t="n"/>
      <c r="C905" s="261" t="n"/>
      <c r="D905" s="261" t="n"/>
      <c r="E905" s="262">
        <f>IF(OR(C905="",D905=""),"",D905-C905)</f>
        <v/>
      </c>
      <c r="F905" s="75" t="n"/>
      <c r="G905" s="75" t="n"/>
      <c r="H905" s="75" t="n"/>
      <c r="I905" s="75" t="n"/>
      <c r="J905" s="75" t="n"/>
      <c r="K905" s="75" t="n"/>
      <c r="L905" s="75" t="n"/>
      <c r="M905" s="75" t="n"/>
      <c r="N905" s="75" t="n"/>
      <c r="O905" s="75" t="n"/>
      <c r="P905" s="75" t="n"/>
      <c r="Q905" s="75" t="n"/>
      <c r="R905" s="75" t="n"/>
      <c r="S905" s="75" t="n"/>
      <c r="T905" s="75" t="n"/>
      <c r="U905" s="75" t="n"/>
      <c r="V905" s="75" t="n"/>
      <c r="W905" s="75" t="n"/>
      <c r="X905" s="75" t="n"/>
      <c r="Y905" s="226">
        <f>IF(AND(A905="",B905=""),"",IF(AND(A905&lt;&gt;"",B905&lt;&gt;"",C905&lt;&gt;"",D905&lt;&gt;"",F905&lt;&gt;"",G905&lt;&gt;"",H905&lt;&gt;"",ISERROR(SEARCH("по паспорту",G905)),ISERROR(SEARCH("по паспорту",H905)),I905&lt;&gt;"",J905&lt;&gt;"",K905&lt;&gt;"",L905&lt;&gt;"",M905&lt;&gt;""),"ГОТОВО","НЕ ГОТОВО"))</f>
        <v/>
      </c>
      <c r="Z905" s="226">
        <f>IF(Y905&lt;&gt;"ГОТОВО","", "Предварительное заключение: "&amp;A905&amp;", скв. "&amp;B905&amp;". МРП: "&amp;E905&amp;" сут. ГНО: "&amp;F905&amp;", типоразмер "&amp;G905&amp;", марка "&amp;H905&amp;". Событие: "&amp;I905&amp;". Признак: "&amp;J905&amp;". Узел: "&amp;K905&amp;". Предварительная причина: "&amp;L905&amp;". Основное осложнение: "&amp;M905&amp;IF(N905&lt;&gt;"","; сопутствующее: "&amp;N905,"")&amp;IF(O905&lt;&gt;"","; дополнительно: "&amp;O905,"")&amp;".")</f>
        <v/>
      </c>
    </row>
    <row r="906">
      <c r="A906" s="75" t="n"/>
      <c r="B906" s="75" t="n"/>
      <c r="C906" s="261" t="n"/>
      <c r="D906" s="261" t="n"/>
      <c r="E906" s="262">
        <f>IF(OR(C906="",D906=""),"",D906-C906)</f>
        <v/>
      </c>
      <c r="F906" s="75" t="n"/>
      <c r="G906" s="75" t="n"/>
      <c r="H906" s="75" t="n"/>
      <c r="I906" s="75" t="n"/>
      <c r="J906" s="75" t="n"/>
      <c r="K906" s="75" t="n"/>
      <c r="L906" s="75" t="n"/>
      <c r="M906" s="75" t="n"/>
      <c r="N906" s="75" t="n"/>
      <c r="O906" s="75" t="n"/>
      <c r="P906" s="75" t="n"/>
      <c r="Q906" s="75" t="n"/>
      <c r="R906" s="75" t="n"/>
      <c r="S906" s="75" t="n"/>
      <c r="T906" s="75" t="n"/>
      <c r="U906" s="75" t="n"/>
      <c r="V906" s="75" t="n"/>
      <c r="W906" s="75" t="n"/>
      <c r="X906" s="75" t="n"/>
      <c r="Y906" s="226">
        <f>IF(AND(A906="",B906=""),"",IF(AND(A906&lt;&gt;"",B906&lt;&gt;"",C906&lt;&gt;"",D906&lt;&gt;"",F906&lt;&gt;"",G906&lt;&gt;"",H906&lt;&gt;"",ISERROR(SEARCH("по паспорту",G906)),ISERROR(SEARCH("по паспорту",H906)),I906&lt;&gt;"",J906&lt;&gt;"",K906&lt;&gt;"",L906&lt;&gt;"",M906&lt;&gt;""),"ГОТОВО","НЕ ГОТОВО"))</f>
        <v/>
      </c>
      <c r="Z906" s="226">
        <f>IF(Y906&lt;&gt;"ГОТОВО","", "Предварительное заключение: "&amp;A906&amp;", скв. "&amp;B906&amp;". МРП: "&amp;E906&amp;" сут. ГНО: "&amp;F906&amp;", типоразмер "&amp;G906&amp;", марка "&amp;H906&amp;". Событие: "&amp;I906&amp;". Признак: "&amp;J906&amp;". Узел: "&amp;K906&amp;". Предварительная причина: "&amp;L906&amp;". Основное осложнение: "&amp;M906&amp;IF(N906&lt;&gt;"","; сопутствующее: "&amp;N906,"")&amp;IF(O906&lt;&gt;"","; дополнительно: "&amp;O906,"")&amp;".")</f>
        <v/>
      </c>
    </row>
    <row r="907">
      <c r="A907" s="75" t="n"/>
      <c r="B907" s="75" t="n"/>
      <c r="C907" s="261" t="n"/>
      <c r="D907" s="261" t="n"/>
      <c r="E907" s="262">
        <f>IF(OR(C907="",D907=""),"",D907-C907)</f>
        <v/>
      </c>
      <c r="F907" s="75" t="n"/>
      <c r="G907" s="75" t="n"/>
      <c r="H907" s="75" t="n"/>
      <c r="I907" s="75" t="n"/>
      <c r="J907" s="75" t="n"/>
      <c r="K907" s="75" t="n"/>
      <c r="L907" s="75" t="n"/>
      <c r="M907" s="75" t="n"/>
      <c r="N907" s="75" t="n"/>
      <c r="O907" s="75" t="n"/>
      <c r="P907" s="75" t="n"/>
      <c r="Q907" s="75" t="n"/>
      <c r="R907" s="75" t="n"/>
      <c r="S907" s="75" t="n"/>
      <c r="T907" s="75" t="n"/>
      <c r="U907" s="75" t="n"/>
      <c r="V907" s="75" t="n"/>
      <c r="W907" s="75" t="n"/>
      <c r="X907" s="75" t="n"/>
      <c r="Y907" s="226">
        <f>IF(AND(A907="",B907=""),"",IF(AND(A907&lt;&gt;"",B907&lt;&gt;"",C907&lt;&gt;"",D907&lt;&gt;"",F907&lt;&gt;"",G907&lt;&gt;"",H907&lt;&gt;"",ISERROR(SEARCH("по паспорту",G907)),ISERROR(SEARCH("по паспорту",H907)),I907&lt;&gt;"",J907&lt;&gt;"",K907&lt;&gt;"",L907&lt;&gt;"",M907&lt;&gt;""),"ГОТОВО","НЕ ГОТОВО"))</f>
        <v/>
      </c>
      <c r="Z907" s="226">
        <f>IF(Y907&lt;&gt;"ГОТОВО","", "Предварительное заключение: "&amp;A907&amp;", скв. "&amp;B907&amp;". МРП: "&amp;E907&amp;" сут. ГНО: "&amp;F907&amp;", типоразмер "&amp;G907&amp;", марка "&amp;H907&amp;". Событие: "&amp;I907&amp;". Признак: "&amp;J907&amp;". Узел: "&amp;K907&amp;". Предварительная причина: "&amp;L907&amp;". Основное осложнение: "&amp;M907&amp;IF(N907&lt;&gt;"","; сопутствующее: "&amp;N907,"")&amp;IF(O907&lt;&gt;"","; дополнительно: "&amp;O907,"")&amp;".")</f>
        <v/>
      </c>
    </row>
    <row r="908">
      <c r="A908" s="75" t="n"/>
      <c r="B908" s="75" t="n"/>
      <c r="C908" s="261" t="n"/>
      <c r="D908" s="261" t="n"/>
      <c r="E908" s="262">
        <f>IF(OR(C908="",D908=""),"",D908-C908)</f>
        <v/>
      </c>
      <c r="F908" s="75" t="n"/>
      <c r="G908" s="75" t="n"/>
      <c r="H908" s="75" t="n"/>
      <c r="I908" s="75" t="n"/>
      <c r="J908" s="75" t="n"/>
      <c r="K908" s="75" t="n"/>
      <c r="L908" s="75" t="n"/>
      <c r="M908" s="75" t="n"/>
      <c r="N908" s="75" t="n"/>
      <c r="O908" s="75" t="n"/>
      <c r="P908" s="75" t="n"/>
      <c r="Q908" s="75" t="n"/>
      <c r="R908" s="75" t="n"/>
      <c r="S908" s="75" t="n"/>
      <c r="T908" s="75" t="n"/>
      <c r="U908" s="75" t="n"/>
      <c r="V908" s="75" t="n"/>
      <c r="W908" s="75" t="n"/>
      <c r="X908" s="75" t="n"/>
      <c r="Y908" s="226">
        <f>IF(AND(A908="",B908=""),"",IF(AND(A908&lt;&gt;"",B908&lt;&gt;"",C908&lt;&gt;"",D908&lt;&gt;"",F908&lt;&gt;"",G908&lt;&gt;"",H908&lt;&gt;"",ISERROR(SEARCH("по паспорту",G908)),ISERROR(SEARCH("по паспорту",H908)),I908&lt;&gt;"",J908&lt;&gt;"",K908&lt;&gt;"",L908&lt;&gt;"",M908&lt;&gt;""),"ГОТОВО","НЕ ГОТОВО"))</f>
        <v/>
      </c>
      <c r="Z908" s="226">
        <f>IF(Y908&lt;&gt;"ГОТОВО","", "Предварительное заключение: "&amp;A908&amp;", скв. "&amp;B908&amp;". МРП: "&amp;E908&amp;" сут. ГНО: "&amp;F908&amp;", типоразмер "&amp;G908&amp;", марка "&amp;H908&amp;". Событие: "&amp;I908&amp;". Признак: "&amp;J908&amp;". Узел: "&amp;K908&amp;". Предварительная причина: "&amp;L908&amp;". Основное осложнение: "&amp;M908&amp;IF(N908&lt;&gt;"","; сопутствующее: "&amp;N908,"")&amp;IF(O908&lt;&gt;"","; дополнительно: "&amp;O908,"")&amp;".")</f>
        <v/>
      </c>
    </row>
    <row r="909">
      <c r="A909" s="75" t="n"/>
      <c r="B909" s="75" t="n"/>
      <c r="C909" s="261" t="n"/>
      <c r="D909" s="261" t="n"/>
      <c r="E909" s="262">
        <f>IF(OR(C909="",D909=""),"",D909-C909)</f>
        <v/>
      </c>
      <c r="F909" s="75" t="n"/>
      <c r="G909" s="75" t="n"/>
      <c r="H909" s="75" t="n"/>
      <c r="I909" s="75" t="n"/>
      <c r="J909" s="75" t="n"/>
      <c r="K909" s="75" t="n"/>
      <c r="L909" s="75" t="n"/>
      <c r="M909" s="75" t="n"/>
      <c r="N909" s="75" t="n"/>
      <c r="O909" s="75" t="n"/>
      <c r="P909" s="75" t="n"/>
      <c r="Q909" s="75" t="n"/>
      <c r="R909" s="75" t="n"/>
      <c r="S909" s="75" t="n"/>
      <c r="T909" s="75" t="n"/>
      <c r="U909" s="75" t="n"/>
      <c r="V909" s="75" t="n"/>
      <c r="W909" s="75" t="n"/>
      <c r="X909" s="75" t="n"/>
      <c r="Y909" s="226">
        <f>IF(AND(A909="",B909=""),"",IF(AND(A909&lt;&gt;"",B909&lt;&gt;"",C909&lt;&gt;"",D909&lt;&gt;"",F909&lt;&gt;"",G909&lt;&gt;"",H909&lt;&gt;"",ISERROR(SEARCH("по паспорту",G909)),ISERROR(SEARCH("по паспорту",H909)),I909&lt;&gt;"",J909&lt;&gt;"",K909&lt;&gt;"",L909&lt;&gt;"",M909&lt;&gt;""),"ГОТОВО","НЕ ГОТОВО"))</f>
        <v/>
      </c>
      <c r="Z909" s="226">
        <f>IF(Y909&lt;&gt;"ГОТОВО","", "Предварительное заключение: "&amp;A909&amp;", скв. "&amp;B909&amp;". МРП: "&amp;E909&amp;" сут. ГНО: "&amp;F909&amp;", типоразмер "&amp;G909&amp;", марка "&amp;H909&amp;". Событие: "&amp;I909&amp;". Признак: "&amp;J909&amp;". Узел: "&amp;K909&amp;". Предварительная причина: "&amp;L909&amp;". Основное осложнение: "&amp;M909&amp;IF(N909&lt;&gt;"","; сопутствующее: "&amp;N909,"")&amp;IF(O909&lt;&gt;"","; дополнительно: "&amp;O909,"")&amp;".")</f>
        <v/>
      </c>
    </row>
    <row r="910">
      <c r="A910" s="75" t="n"/>
      <c r="B910" s="75" t="n"/>
      <c r="C910" s="261" t="n"/>
      <c r="D910" s="261" t="n"/>
      <c r="E910" s="262">
        <f>IF(OR(C910="",D910=""),"",D910-C910)</f>
        <v/>
      </c>
      <c r="F910" s="75" t="n"/>
      <c r="G910" s="75" t="n"/>
      <c r="H910" s="75" t="n"/>
      <c r="I910" s="75" t="n"/>
      <c r="J910" s="75" t="n"/>
      <c r="K910" s="75" t="n"/>
      <c r="L910" s="75" t="n"/>
      <c r="M910" s="75" t="n"/>
      <c r="N910" s="75" t="n"/>
      <c r="O910" s="75" t="n"/>
      <c r="P910" s="75" t="n"/>
      <c r="Q910" s="75" t="n"/>
      <c r="R910" s="75" t="n"/>
      <c r="S910" s="75" t="n"/>
      <c r="T910" s="75" t="n"/>
      <c r="U910" s="75" t="n"/>
      <c r="V910" s="75" t="n"/>
      <c r="W910" s="75" t="n"/>
      <c r="X910" s="75" t="n"/>
      <c r="Y910" s="226">
        <f>IF(AND(A910="",B910=""),"",IF(AND(A910&lt;&gt;"",B910&lt;&gt;"",C910&lt;&gt;"",D910&lt;&gt;"",F910&lt;&gt;"",G910&lt;&gt;"",H910&lt;&gt;"",ISERROR(SEARCH("по паспорту",G910)),ISERROR(SEARCH("по паспорту",H910)),I910&lt;&gt;"",J910&lt;&gt;"",K910&lt;&gt;"",L910&lt;&gt;"",M910&lt;&gt;""),"ГОТОВО","НЕ ГОТОВО"))</f>
        <v/>
      </c>
      <c r="Z910" s="226">
        <f>IF(Y910&lt;&gt;"ГОТОВО","", "Предварительное заключение: "&amp;A910&amp;", скв. "&amp;B910&amp;". МРП: "&amp;E910&amp;" сут. ГНО: "&amp;F910&amp;", типоразмер "&amp;G910&amp;", марка "&amp;H910&amp;". Событие: "&amp;I910&amp;". Признак: "&amp;J910&amp;". Узел: "&amp;K910&amp;". Предварительная причина: "&amp;L910&amp;". Основное осложнение: "&amp;M910&amp;IF(N910&lt;&gt;"","; сопутствующее: "&amp;N910,"")&amp;IF(O910&lt;&gt;"","; дополнительно: "&amp;O910,"")&amp;".")</f>
        <v/>
      </c>
    </row>
    <row r="911">
      <c r="A911" s="75" t="n"/>
      <c r="B911" s="75" t="n"/>
      <c r="C911" s="261" t="n"/>
      <c r="D911" s="261" t="n"/>
      <c r="E911" s="262">
        <f>IF(OR(C911="",D911=""),"",D911-C911)</f>
        <v/>
      </c>
      <c r="F911" s="75" t="n"/>
      <c r="G911" s="75" t="n"/>
      <c r="H911" s="75" t="n"/>
      <c r="I911" s="75" t="n"/>
      <c r="J911" s="75" t="n"/>
      <c r="K911" s="75" t="n"/>
      <c r="L911" s="75" t="n"/>
      <c r="M911" s="75" t="n"/>
      <c r="N911" s="75" t="n"/>
      <c r="O911" s="75" t="n"/>
      <c r="P911" s="75" t="n"/>
      <c r="Q911" s="75" t="n"/>
      <c r="R911" s="75" t="n"/>
      <c r="S911" s="75" t="n"/>
      <c r="T911" s="75" t="n"/>
      <c r="U911" s="75" t="n"/>
      <c r="V911" s="75" t="n"/>
      <c r="W911" s="75" t="n"/>
      <c r="X911" s="75" t="n"/>
      <c r="Y911" s="226">
        <f>IF(AND(A911="",B911=""),"",IF(AND(A911&lt;&gt;"",B911&lt;&gt;"",C911&lt;&gt;"",D911&lt;&gt;"",F911&lt;&gt;"",G911&lt;&gt;"",H911&lt;&gt;"",ISERROR(SEARCH("по паспорту",G911)),ISERROR(SEARCH("по паспорту",H911)),I911&lt;&gt;"",J911&lt;&gt;"",K911&lt;&gt;"",L911&lt;&gt;"",M911&lt;&gt;""),"ГОТОВО","НЕ ГОТОВО"))</f>
        <v/>
      </c>
      <c r="Z911" s="226">
        <f>IF(Y911&lt;&gt;"ГОТОВО","", "Предварительное заключение: "&amp;A911&amp;", скв. "&amp;B911&amp;". МРП: "&amp;E911&amp;" сут. ГНО: "&amp;F911&amp;", типоразмер "&amp;G911&amp;", марка "&amp;H911&amp;". Событие: "&amp;I911&amp;". Признак: "&amp;J911&amp;". Узел: "&amp;K911&amp;". Предварительная причина: "&amp;L911&amp;". Основное осложнение: "&amp;M911&amp;IF(N911&lt;&gt;"","; сопутствующее: "&amp;N911,"")&amp;IF(O911&lt;&gt;"","; дополнительно: "&amp;O911,"")&amp;".")</f>
        <v/>
      </c>
    </row>
    <row r="912">
      <c r="A912" s="75" t="n"/>
      <c r="B912" s="75" t="n"/>
      <c r="C912" s="261" t="n"/>
      <c r="D912" s="261" t="n"/>
      <c r="E912" s="262">
        <f>IF(OR(C912="",D912=""),"",D912-C912)</f>
        <v/>
      </c>
      <c r="F912" s="75" t="n"/>
      <c r="G912" s="75" t="n"/>
      <c r="H912" s="75" t="n"/>
      <c r="I912" s="75" t="n"/>
      <c r="J912" s="75" t="n"/>
      <c r="K912" s="75" t="n"/>
      <c r="L912" s="75" t="n"/>
      <c r="M912" s="75" t="n"/>
      <c r="N912" s="75" t="n"/>
      <c r="O912" s="75" t="n"/>
      <c r="P912" s="75" t="n"/>
      <c r="Q912" s="75" t="n"/>
      <c r="R912" s="75" t="n"/>
      <c r="S912" s="75" t="n"/>
      <c r="T912" s="75" t="n"/>
      <c r="U912" s="75" t="n"/>
      <c r="V912" s="75" t="n"/>
      <c r="W912" s="75" t="n"/>
      <c r="X912" s="75" t="n"/>
      <c r="Y912" s="226">
        <f>IF(AND(A912="",B912=""),"",IF(AND(A912&lt;&gt;"",B912&lt;&gt;"",C912&lt;&gt;"",D912&lt;&gt;"",F912&lt;&gt;"",G912&lt;&gt;"",H912&lt;&gt;"",ISERROR(SEARCH("по паспорту",G912)),ISERROR(SEARCH("по паспорту",H912)),I912&lt;&gt;"",J912&lt;&gt;"",K912&lt;&gt;"",L912&lt;&gt;"",M912&lt;&gt;""),"ГОТОВО","НЕ ГОТОВО"))</f>
        <v/>
      </c>
      <c r="Z912" s="226">
        <f>IF(Y912&lt;&gt;"ГОТОВО","", "Предварительное заключение: "&amp;A912&amp;", скв. "&amp;B912&amp;". МРП: "&amp;E912&amp;" сут. ГНО: "&amp;F912&amp;", типоразмер "&amp;G912&amp;", марка "&amp;H912&amp;". Событие: "&amp;I912&amp;". Признак: "&amp;J912&amp;". Узел: "&amp;K912&amp;". Предварительная причина: "&amp;L912&amp;". Основное осложнение: "&amp;M912&amp;IF(N912&lt;&gt;"","; сопутствующее: "&amp;N912,"")&amp;IF(O912&lt;&gt;"","; дополнительно: "&amp;O912,"")&amp;".")</f>
        <v/>
      </c>
    </row>
    <row r="913">
      <c r="A913" s="75" t="n"/>
      <c r="B913" s="75" t="n"/>
      <c r="C913" s="261" t="n"/>
      <c r="D913" s="261" t="n"/>
      <c r="E913" s="262">
        <f>IF(OR(C913="",D913=""),"",D913-C913)</f>
        <v/>
      </c>
      <c r="F913" s="75" t="n"/>
      <c r="G913" s="75" t="n"/>
      <c r="H913" s="75" t="n"/>
      <c r="I913" s="75" t="n"/>
      <c r="J913" s="75" t="n"/>
      <c r="K913" s="75" t="n"/>
      <c r="L913" s="75" t="n"/>
      <c r="M913" s="75" t="n"/>
      <c r="N913" s="75" t="n"/>
      <c r="O913" s="75" t="n"/>
      <c r="P913" s="75" t="n"/>
      <c r="Q913" s="75" t="n"/>
      <c r="R913" s="75" t="n"/>
      <c r="S913" s="75" t="n"/>
      <c r="T913" s="75" t="n"/>
      <c r="U913" s="75" t="n"/>
      <c r="V913" s="75" t="n"/>
      <c r="W913" s="75" t="n"/>
      <c r="X913" s="75" t="n"/>
      <c r="Y913" s="226">
        <f>IF(AND(A913="",B913=""),"",IF(AND(A913&lt;&gt;"",B913&lt;&gt;"",C913&lt;&gt;"",D913&lt;&gt;"",F913&lt;&gt;"",G913&lt;&gt;"",H913&lt;&gt;"",ISERROR(SEARCH("по паспорту",G913)),ISERROR(SEARCH("по паспорту",H913)),I913&lt;&gt;"",J913&lt;&gt;"",K913&lt;&gt;"",L913&lt;&gt;"",M913&lt;&gt;""),"ГОТОВО","НЕ ГОТОВО"))</f>
        <v/>
      </c>
      <c r="Z913" s="226">
        <f>IF(Y913&lt;&gt;"ГОТОВО","", "Предварительное заключение: "&amp;A913&amp;", скв. "&amp;B913&amp;". МРП: "&amp;E913&amp;" сут. ГНО: "&amp;F913&amp;", типоразмер "&amp;G913&amp;", марка "&amp;H913&amp;". Событие: "&amp;I913&amp;". Признак: "&amp;J913&amp;". Узел: "&amp;K913&amp;". Предварительная причина: "&amp;L913&amp;". Основное осложнение: "&amp;M913&amp;IF(N913&lt;&gt;"","; сопутствующее: "&amp;N913,"")&amp;IF(O913&lt;&gt;"","; дополнительно: "&amp;O913,"")&amp;".")</f>
        <v/>
      </c>
    </row>
    <row r="914">
      <c r="A914" s="75" t="n"/>
      <c r="B914" s="75" t="n"/>
      <c r="C914" s="261" t="n"/>
      <c r="D914" s="261" t="n"/>
      <c r="E914" s="262">
        <f>IF(OR(C914="",D914=""),"",D914-C914)</f>
        <v/>
      </c>
      <c r="F914" s="75" t="n"/>
      <c r="G914" s="75" t="n"/>
      <c r="H914" s="75" t="n"/>
      <c r="I914" s="75" t="n"/>
      <c r="J914" s="75" t="n"/>
      <c r="K914" s="75" t="n"/>
      <c r="L914" s="75" t="n"/>
      <c r="M914" s="75" t="n"/>
      <c r="N914" s="75" t="n"/>
      <c r="O914" s="75" t="n"/>
      <c r="P914" s="75" t="n"/>
      <c r="Q914" s="75" t="n"/>
      <c r="R914" s="75" t="n"/>
      <c r="S914" s="75" t="n"/>
      <c r="T914" s="75" t="n"/>
      <c r="U914" s="75" t="n"/>
      <c r="V914" s="75" t="n"/>
      <c r="W914" s="75" t="n"/>
      <c r="X914" s="75" t="n"/>
      <c r="Y914" s="226">
        <f>IF(AND(A914="",B914=""),"",IF(AND(A914&lt;&gt;"",B914&lt;&gt;"",C914&lt;&gt;"",D914&lt;&gt;"",F914&lt;&gt;"",G914&lt;&gt;"",H914&lt;&gt;"",ISERROR(SEARCH("по паспорту",G914)),ISERROR(SEARCH("по паспорту",H914)),I914&lt;&gt;"",J914&lt;&gt;"",K914&lt;&gt;"",L914&lt;&gt;"",M914&lt;&gt;""),"ГОТОВО","НЕ ГОТОВО"))</f>
        <v/>
      </c>
      <c r="Z914" s="226">
        <f>IF(Y914&lt;&gt;"ГОТОВО","", "Предварительное заключение: "&amp;A914&amp;", скв. "&amp;B914&amp;". МРП: "&amp;E914&amp;" сут. ГНО: "&amp;F914&amp;", типоразмер "&amp;G914&amp;", марка "&amp;H914&amp;". Событие: "&amp;I914&amp;". Признак: "&amp;J914&amp;". Узел: "&amp;K914&amp;". Предварительная причина: "&amp;L914&amp;". Основное осложнение: "&amp;M914&amp;IF(N914&lt;&gt;"","; сопутствующее: "&amp;N914,"")&amp;IF(O914&lt;&gt;"","; дополнительно: "&amp;O914,"")&amp;".")</f>
        <v/>
      </c>
    </row>
    <row r="915">
      <c r="A915" s="75" t="n"/>
      <c r="B915" s="75" t="n"/>
      <c r="C915" s="261" t="n"/>
      <c r="D915" s="261" t="n"/>
      <c r="E915" s="262">
        <f>IF(OR(C915="",D915=""),"",D915-C915)</f>
        <v/>
      </c>
      <c r="F915" s="75" t="n"/>
      <c r="G915" s="75" t="n"/>
      <c r="H915" s="75" t="n"/>
      <c r="I915" s="75" t="n"/>
      <c r="J915" s="75" t="n"/>
      <c r="K915" s="75" t="n"/>
      <c r="L915" s="75" t="n"/>
      <c r="M915" s="75" t="n"/>
      <c r="N915" s="75" t="n"/>
      <c r="O915" s="75" t="n"/>
      <c r="P915" s="75" t="n"/>
      <c r="Q915" s="75" t="n"/>
      <c r="R915" s="75" t="n"/>
      <c r="S915" s="75" t="n"/>
      <c r="T915" s="75" t="n"/>
      <c r="U915" s="75" t="n"/>
      <c r="V915" s="75" t="n"/>
      <c r="W915" s="75" t="n"/>
      <c r="X915" s="75" t="n"/>
      <c r="Y915" s="226">
        <f>IF(AND(A915="",B915=""),"",IF(AND(A915&lt;&gt;"",B915&lt;&gt;"",C915&lt;&gt;"",D915&lt;&gt;"",F915&lt;&gt;"",G915&lt;&gt;"",H915&lt;&gt;"",ISERROR(SEARCH("по паспорту",G915)),ISERROR(SEARCH("по паспорту",H915)),I915&lt;&gt;"",J915&lt;&gt;"",K915&lt;&gt;"",L915&lt;&gt;"",M915&lt;&gt;""),"ГОТОВО","НЕ ГОТОВО"))</f>
        <v/>
      </c>
      <c r="Z915" s="226">
        <f>IF(Y915&lt;&gt;"ГОТОВО","", "Предварительное заключение: "&amp;A915&amp;", скв. "&amp;B915&amp;". МРП: "&amp;E915&amp;" сут. ГНО: "&amp;F915&amp;", типоразмер "&amp;G915&amp;", марка "&amp;H915&amp;". Событие: "&amp;I915&amp;". Признак: "&amp;J915&amp;". Узел: "&amp;K915&amp;". Предварительная причина: "&amp;L915&amp;". Основное осложнение: "&amp;M915&amp;IF(N915&lt;&gt;"","; сопутствующее: "&amp;N915,"")&amp;IF(O915&lt;&gt;"","; дополнительно: "&amp;O915,"")&amp;".")</f>
        <v/>
      </c>
    </row>
    <row r="916">
      <c r="A916" s="75" t="n"/>
      <c r="B916" s="75" t="n"/>
      <c r="C916" s="261" t="n"/>
      <c r="D916" s="261" t="n"/>
      <c r="E916" s="262">
        <f>IF(OR(C916="",D916=""),"",D916-C916)</f>
        <v/>
      </c>
      <c r="F916" s="75" t="n"/>
      <c r="G916" s="75" t="n"/>
      <c r="H916" s="75" t="n"/>
      <c r="I916" s="75" t="n"/>
      <c r="J916" s="75" t="n"/>
      <c r="K916" s="75" t="n"/>
      <c r="L916" s="75" t="n"/>
      <c r="M916" s="75" t="n"/>
      <c r="N916" s="75" t="n"/>
      <c r="O916" s="75" t="n"/>
      <c r="P916" s="75" t="n"/>
      <c r="Q916" s="75" t="n"/>
      <c r="R916" s="75" t="n"/>
      <c r="S916" s="75" t="n"/>
      <c r="T916" s="75" t="n"/>
      <c r="U916" s="75" t="n"/>
      <c r="V916" s="75" t="n"/>
      <c r="W916" s="75" t="n"/>
      <c r="X916" s="75" t="n"/>
      <c r="Y916" s="226">
        <f>IF(AND(A916="",B916=""),"",IF(AND(A916&lt;&gt;"",B916&lt;&gt;"",C916&lt;&gt;"",D916&lt;&gt;"",F916&lt;&gt;"",G916&lt;&gt;"",H916&lt;&gt;"",ISERROR(SEARCH("по паспорту",G916)),ISERROR(SEARCH("по паспорту",H916)),I916&lt;&gt;"",J916&lt;&gt;"",K916&lt;&gt;"",L916&lt;&gt;"",M916&lt;&gt;""),"ГОТОВО","НЕ ГОТОВО"))</f>
        <v/>
      </c>
      <c r="Z916" s="226">
        <f>IF(Y916&lt;&gt;"ГОТОВО","", "Предварительное заключение: "&amp;A916&amp;", скв. "&amp;B916&amp;". МРП: "&amp;E916&amp;" сут. ГНО: "&amp;F916&amp;", типоразмер "&amp;G916&amp;", марка "&amp;H916&amp;". Событие: "&amp;I916&amp;". Признак: "&amp;J916&amp;". Узел: "&amp;K916&amp;". Предварительная причина: "&amp;L916&amp;". Основное осложнение: "&amp;M916&amp;IF(N916&lt;&gt;"","; сопутствующее: "&amp;N916,"")&amp;IF(O916&lt;&gt;"","; дополнительно: "&amp;O916,"")&amp;".")</f>
        <v/>
      </c>
    </row>
    <row r="917">
      <c r="A917" s="75" t="n"/>
      <c r="B917" s="75" t="n"/>
      <c r="C917" s="261" t="n"/>
      <c r="D917" s="261" t="n"/>
      <c r="E917" s="262">
        <f>IF(OR(C917="",D917=""),"",D917-C917)</f>
        <v/>
      </c>
      <c r="F917" s="75" t="n"/>
      <c r="G917" s="75" t="n"/>
      <c r="H917" s="75" t="n"/>
      <c r="I917" s="75" t="n"/>
      <c r="J917" s="75" t="n"/>
      <c r="K917" s="75" t="n"/>
      <c r="L917" s="75" t="n"/>
      <c r="M917" s="75" t="n"/>
      <c r="N917" s="75" t="n"/>
      <c r="O917" s="75" t="n"/>
      <c r="P917" s="75" t="n"/>
      <c r="Q917" s="75" t="n"/>
      <c r="R917" s="75" t="n"/>
      <c r="S917" s="75" t="n"/>
      <c r="T917" s="75" t="n"/>
      <c r="U917" s="75" t="n"/>
      <c r="V917" s="75" t="n"/>
      <c r="W917" s="75" t="n"/>
      <c r="X917" s="75" t="n"/>
      <c r="Y917" s="226">
        <f>IF(AND(A917="",B917=""),"",IF(AND(A917&lt;&gt;"",B917&lt;&gt;"",C917&lt;&gt;"",D917&lt;&gt;"",F917&lt;&gt;"",G917&lt;&gt;"",H917&lt;&gt;"",ISERROR(SEARCH("по паспорту",G917)),ISERROR(SEARCH("по паспорту",H917)),I917&lt;&gt;"",J917&lt;&gt;"",K917&lt;&gt;"",L917&lt;&gt;"",M917&lt;&gt;""),"ГОТОВО","НЕ ГОТОВО"))</f>
        <v/>
      </c>
      <c r="Z917" s="226">
        <f>IF(Y917&lt;&gt;"ГОТОВО","", "Предварительное заключение: "&amp;A917&amp;", скв. "&amp;B917&amp;". МРП: "&amp;E917&amp;" сут. ГНО: "&amp;F917&amp;", типоразмер "&amp;G917&amp;", марка "&amp;H917&amp;". Событие: "&amp;I917&amp;". Признак: "&amp;J917&amp;". Узел: "&amp;K917&amp;". Предварительная причина: "&amp;L917&amp;". Основное осложнение: "&amp;M917&amp;IF(N917&lt;&gt;"","; сопутствующее: "&amp;N917,"")&amp;IF(O917&lt;&gt;"","; дополнительно: "&amp;O917,"")&amp;".")</f>
        <v/>
      </c>
    </row>
    <row r="918">
      <c r="A918" s="75" t="n"/>
      <c r="B918" s="75" t="n"/>
      <c r="C918" s="261" t="n"/>
      <c r="D918" s="261" t="n"/>
      <c r="E918" s="262">
        <f>IF(OR(C918="",D918=""),"",D918-C918)</f>
        <v/>
      </c>
      <c r="F918" s="75" t="n"/>
      <c r="G918" s="75" t="n"/>
      <c r="H918" s="75" t="n"/>
      <c r="I918" s="75" t="n"/>
      <c r="J918" s="75" t="n"/>
      <c r="K918" s="75" t="n"/>
      <c r="L918" s="75" t="n"/>
      <c r="M918" s="75" t="n"/>
      <c r="N918" s="75" t="n"/>
      <c r="O918" s="75" t="n"/>
      <c r="P918" s="75" t="n"/>
      <c r="Q918" s="75" t="n"/>
      <c r="R918" s="75" t="n"/>
      <c r="S918" s="75" t="n"/>
      <c r="T918" s="75" t="n"/>
      <c r="U918" s="75" t="n"/>
      <c r="V918" s="75" t="n"/>
      <c r="W918" s="75" t="n"/>
      <c r="X918" s="75" t="n"/>
      <c r="Y918" s="226">
        <f>IF(AND(A918="",B918=""),"",IF(AND(A918&lt;&gt;"",B918&lt;&gt;"",C918&lt;&gt;"",D918&lt;&gt;"",F918&lt;&gt;"",G918&lt;&gt;"",H918&lt;&gt;"",ISERROR(SEARCH("по паспорту",G918)),ISERROR(SEARCH("по паспорту",H918)),I918&lt;&gt;"",J918&lt;&gt;"",K918&lt;&gt;"",L918&lt;&gt;"",M918&lt;&gt;""),"ГОТОВО","НЕ ГОТОВО"))</f>
        <v/>
      </c>
      <c r="Z918" s="226">
        <f>IF(Y918&lt;&gt;"ГОТОВО","", "Предварительное заключение: "&amp;A918&amp;", скв. "&amp;B918&amp;". МРП: "&amp;E918&amp;" сут. ГНО: "&amp;F918&amp;", типоразмер "&amp;G918&amp;", марка "&amp;H918&amp;". Событие: "&amp;I918&amp;". Признак: "&amp;J918&amp;". Узел: "&amp;K918&amp;". Предварительная причина: "&amp;L918&amp;". Основное осложнение: "&amp;M918&amp;IF(N918&lt;&gt;"","; сопутствующее: "&amp;N918,"")&amp;IF(O918&lt;&gt;"","; дополнительно: "&amp;O918,"")&amp;".")</f>
        <v/>
      </c>
    </row>
    <row r="919">
      <c r="A919" s="75" t="n"/>
      <c r="B919" s="75" t="n"/>
      <c r="C919" s="261" t="n"/>
      <c r="D919" s="261" t="n"/>
      <c r="E919" s="262">
        <f>IF(OR(C919="",D919=""),"",D919-C919)</f>
        <v/>
      </c>
      <c r="F919" s="75" t="n"/>
      <c r="G919" s="75" t="n"/>
      <c r="H919" s="75" t="n"/>
      <c r="I919" s="75" t="n"/>
      <c r="J919" s="75" t="n"/>
      <c r="K919" s="75" t="n"/>
      <c r="L919" s="75" t="n"/>
      <c r="M919" s="75" t="n"/>
      <c r="N919" s="75" t="n"/>
      <c r="O919" s="75" t="n"/>
      <c r="P919" s="75" t="n"/>
      <c r="Q919" s="75" t="n"/>
      <c r="R919" s="75" t="n"/>
      <c r="S919" s="75" t="n"/>
      <c r="T919" s="75" t="n"/>
      <c r="U919" s="75" t="n"/>
      <c r="V919" s="75" t="n"/>
      <c r="W919" s="75" t="n"/>
      <c r="X919" s="75" t="n"/>
      <c r="Y919" s="226">
        <f>IF(AND(A919="",B919=""),"",IF(AND(A919&lt;&gt;"",B919&lt;&gt;"",C919&lt;&gt;"",D919&lt;&gt;"",F919&lt;&gt;"",G919&lt;&gt;"",H919&lt;&gt;"",ISERROR(SEARCH("по паспорту",G919)),ISERROR(SEARCH("по паспорту",H919)),I919&lt;&gt;"",J919&lt;&gt;"",K919&lt;&gt;"",L919&lt;&gt;"",M919&lt;&gt;""),"ГОТОВО","НЕ ГОТОВО"))</f>
        <v/>
      </c>
      <c r="Z919" s="226">
        <f>IF(Y919&lt;&gt;"ГОТОВО","", "Предварительное заключение: "&amp;A919&amp;", скв. "&amp;B919&amp;". МРП: "&amp;E919&amp;" сут. ГНО: "&amp;F919&amp;", типоразмер "&amp;G919&amp;", марка "&amp;H919&amp;". Событие: "&amp;I919&amp;". Признак: "&amp;J919&amp;". Узел: "&amp;K919&amp;". Предварительная причина: "&amp;L919&amp;". Основное осложнение: "&amp;M919&amp;IF(N919&lt;&gt;"","; сопутствующее: "&amp;N919,"")&amp;IF(O919&lt;&gt;"","; дополнительно: "&amp;O919,"")&amp;".")</f>
        <v/>
      </c>
    </row>
    <row r="920">
      <c r="A920" s="75" t="n"/>
      <c r="B920" s="75" t="n"/>
      <c r="C920" s="261" t="n"/>
      <c r="D920" s="261" t="n"/>
      <c r="E920" s="262">
        <f>IF(OR(C920="",D920=""),"",D920-C920)</f>
        <v/>
      </c>
      <c r="F920" s="75" t="n"/>
      <c r="G920" s="75" t="n"/>
      <c r="H920" s="75" t="n"/>
      <c r="I920" s="75" t="n"/>
      <c r="J920" s="75" t="n"/>
      <c r="K920" s="75" t="n"/>
      <c r="L920" s="75" t="n"/>
      <c r="M920" s="75" t="n"/>
      <c r="N920" s="75" t="n"/>
      <c r="O920" s="75" t="n"/>
      <c r="P920" s="75" t="n"/>
      <c r="Q920" s="75" t="n"/>
      <c r="R920" s="75" t="n"/>
      <c r="S920" s="75" t="n"/>
      <c r="T920" s="75" t="n"/>
      <c r="U920" s="75" t="n"/>
      <c r="V920" s="75" t="n"/>
      <c r="W920" s="75" t="n"/>
      <c r="X920" s="75" t="n"/>
      <c r="Y920" s="226">
        <f>IF(AND(A920="",B920=""),"",IF(AND(A920&lt;&gt;"",B920&lt;&gt;"",C920&lt;&gt;"",D920&lt;&gt;"",F920&lt;&gt;"",G920&lt;&gt;"",H920&lt;&gt;"",ISERROR(SEARCH("по паспорту",G920)),ISERROR(SEARCH("по паспорту",H920)),I920&lt;&gt;"",J920&lt;&gt;"",K920&lt;&gt;"",L920&lt;&gt;"",M920&lt;&gt;""),"ГОТОВО","НЕ ГОТОВО"))</f>
        <v/>
      </c>
      <c r="Z920" s="226">
        <f>IF(Y920&lt;&gt;"ГОТОВО","", "Предварительное заключение: "&amp;A920&amp;", скв. "&amp;B920&amp;". МРП: "&amp;E920&amp;" сут. ГНО: "&amp;F920&amp;", типоразмер "&amp;G920&amp;", марка "&amp;H920&amp;". Событие: "&amp;I920&amp;". Признак: "&amp;J920&amp;". Узел: "&amp;K920&amp;". Предварительная причина: "&amp;L920&amp;". Основное осложнение: "&amp;M920&amp;IF(N920&lt;&gt;"","; сопутствующее: "&amp;N920,"")&amp;IF(O920&lt;&gt;"","; дополнительно: "&amp;O920,"")&amp;".")</f>
        <v/>
      </c>
    </row>
    <row r="921">
      <c r="A921" s="75" t="n"/>
      <c r="B921" s="75" t="n"/>
      <c r="C921" s="261" t="n"/>
      <c r="D921" s="261" t="n"/>
      <c r="E921" s="262">
        <f>IF(OR(C921="",D921=""),"",D921-C921)</f>
        <v/>
      </c>
      <c r="F921" s="75" t="n"/>
      <c r="G921" s="75" t="n"/>
      <c r="H921" s="75" t="n"/>
      <c r="I921" s="75" t="n"/>
      <c r="J921" s="75" t="n"/>
      <c r="K921" s="75" t="n"/>
      <c r="L921" s="75" t="n"/>
      <c r="M921" s="75" t="n"/>
      <c r="N921" s="75" t="n"/>
      <c r="O921" s="75" t="n"/>
      <c r="P921" s="75" t="n"/>
      <c r="Q921" s="75" t="n"/>
      <c r="R921" s="75" t="n"/>
      <c r="S921" s="75" t="n"/>
      <c r="T921" s="75" t="n"/>
      <c r="U921" s="75" t="n"/>
      <c r="V921" s="75" t="n"/>
      <c r="W921" s="75" t="n"/>
      <c r="X921" s="75" t="n"/>
      <c r="Y921" s="226">
        <f>IF(AND(A921="",B921=""),"",IF(AND(A921&lt;&gt;"",B921&lt;&gt;"",C921&lt;&gt;"",D921&lt;&gt;"",F921&lt;&gt;"",G921&lt;&gt;"",H921&lt;&gt;"",ISERROR(SEARCH("по паспорту",G921)),ISERROR(SEARCH("по паспорту",H921)),I921&lt;&gt;"",J921&lt;&gt;"",K921&lt;&gt;"",L921&lt;&gt;"",M921&lt;&gt;""),"ГОТОВО","НЕ ГОТОВО"))</f>
        <v/>
      </c>
      <c r="Z921" s="226">
        <f>IF(Y921&lt;&gt;"ГОТОВО","", "Предварительное заключение: "&amp;A921&amp;", скв. "&amp;B921&amp;". МРП: "&amp;E921&amp;" сут. ГНО: "&amp;F921&amp;", типоразмер "&amp;G921&amp;", марка "&amp;H921&amp;". Событие: "&amp;I921&amp;". Признак: "&amp;J921&amp;". Узел: "&amp;K921&amp;". Предварительная причина: "&amp;L921&amp;". Основное осложнение: "&amp;M921&amp;IF(N921&lt;&gt;"","; сопутствующее: "&amp;N921,"")&amp;IF(O921&lt;&gt;"","; дополнительно: "&amp;O921,"")&amp;".")</f>
        <v/>
      </c>
    </row>
    <row r="922">
      <c r="A922" s="75" t="n"/>
      <c r="B922" s="75" t="n"/>
      <c r="C922" s="261" t="n"/>
      <c r="D922" s="261" t="n"/>
      <c r="E922" s="262">
        <f>IF(OR(C922="",D922=""),"",D922-C922)</f>
        <v/>
      </c>
      <c r="F922" s="75" t="n"/>
      <c r="G922" s="75" t="n"/>
      <c r="H922" s="75" t="n"/>
      <c r="I922" s="75" t="n"/>
      <c r="J922" s="75" t="n"/>
      <c r="K922" s="75" t="n"/>
      <c r="L922" s="75" t="n"/>
      <c r="M922" s="75" t="n"/>
      <c r="N922" s="75" t="n"/>
      <c r="O922" s="75" t="n"/>
      <c r="P922" s="75" t="n"/>
      <c r="Q922" s="75" t="n"/>
      <c r="R922" s="75" t="n"/>
      <c r="S922" s="75" t="n"/>
      <c r="T922" s="75" t="n"/>
      <c r="U922" s="75" t="n"/>
      <c r="V922" s="75" t="n"/>
      <c r="W922" s="75" t="n"/>
      <c r="X922" s="75" t="n"/>
      <c r="Y922" s="226">
        <f>IF(AND(A922="",B922=""),"",IF(AND(A922&lt;&gt;"",B922&lt;&gt;"",C922&lt;&gt;"",D922&lt;&gt;"",F922&lt;&gt;"",G922&lt;&gt;"",H922&lt;&gt;"",ISERROR(SEARCH("по паспорту",G922)),ISERROR(SEARCH("по паспорту",H922)),I922&lt;&gt;"",J922&lt;&gt;"",K922&lt;&gt;"",L922&lt;&gt;"",M922&lt;&gt;""),"ГОТОВО","НЕ ГОТОВО"))</f>
        <v/>
      </c>
      <c r="Z922" s="226">
        <f>IF(Y922&lt;&gt;"ГОТОВО","", "Предварительное заключение: "&amp;A922&amp;", скв. "&amp;B922&amp;". МРП: "&amp;E922&amp;" сут. ГНО: "&amp;F922&amp;", типоразмер "&amp;G922&amp;", марка "&amp;H922&amp;". Событие: "&amp;I922&amp;". Признак: "&amp;J922&amp;". Узел: "&amp;K922&amp;". Предварительная причина: "&amp;L922&amp;". Основное осложнение: "&amp;M922&amp;IF(N922&lt;&gt;"","; сопутствующее: "&amp;N922,"")&amp;IF(O922&lt;&gt;"","; дополнительно: "&amp;O922,"")&amp;".")</f>
        <v/>
      </c>
    </row>
    <row r="923">
      <c r="A923" s="75" t="n"/>
      <c r="B923" s="75" t="n"/>
      <c r="C923" s="261" t="n"/>
      <c r="D923" s="261" t="n"/>
      <c r="E923" s="262">
        <f>IF(OR(C923="",D923=""),"",D923-C923)</f>
        <v/>
      </c>
      <c r="F923" s="75" t="n"/>
      <c r="G923" s="75" t="n"/>
      <c r="H923" s="75" t="n"/>
      <c r="I923" s="75" t="n"/>
      <c r="J923" s="75" t="n"/>
      <c r="K923" s="75" t="n"/>
      <c r="L923" s="75" t="n"/>
      <c r="M923" s="75" t="n"/>
      <c r="N923" s="75" t="n"/>
      <c r="O923" s="75" t="n"/>
      <c r="P923" s="75" t="n"/>
      <c r="Q923" s="75" t="n"/>
      <c r="R923" s="75" t="n"/>
      <c r="S923" s="75" t="n"/>
      <c r="T923" s="75" t="n"/>
      <c r="U923" s="75" t="n"/>
      <c r="V923" s="75" t="n"/>
      <c r="W923" s="75" t="n"/>
      <c r="X923" s="75" t="n"/>
      <c r="Y923" s="226">
        <f>IF(AND(A923="",B923=""),"",IF(AND(A923&lt;&gt;"",B923&lt;&gt;"",C923&lt;&gt;"",D923&lt;&gt;"",F923&lt;&gt;"",G923&lt;&gt;"",H923&lt;&gt;"",ISERROR(SEARCH("по паспорту",G923)),ISERROR(SEARCH("по паспорту",H923)),I923&lt;&gt;"",J923&lt;&gt;"",K923&lt;&gt;"",L923&lt;&gt;"",M923&lt;&gt;""),"ГОТОВО","НЕ ГОТОВО"))</f>
        <v/>
      </c>
      <c r="Z923" s="226">
        <f>IF(Y923&lt;&gt;"ГОТОВО","", "Предварительное заключение: "&amp;A923&amp;", скв. "&amp;B923&amp;". МРП: "&amp;E923&amp;" сут. ГНО: "&amp;F923&amp;", типоразмер "&amp;G923&amp;", марка "&amp;H923&amp;". Событие: "&amp;I923&amp;". Признак: "&amp;J923&amp;". Узел: "&amp;K923&amp;". Предварительная причина: "&amp;L923&amp;". Основное осложнение: "&amp;M923&amp;IF(N923&lt;&gt;"","; сопутствующее: "&amp;N923,"")&amp;IF(O923&lt;&gt;"","; дополнительно: "&amp;O923,"")&amp;".")</f>
        <v/>
      </c>
    </row>
    <row r="924">
      <c r="A924" s="75" t="n"/>
      <c r="B924" s="75" t="n"/>
      <c r="C924" s="261" t="n"/>
      <c r="D924" s="261" t="n"/>
      <c r="E924" s="262">
        <f>IF(OR(C924="",D924=""),"",D924-C924)</f>
        <v/>
      </c>
      <c r="F924" s="75" t="n"/>
      <c r="G924" s="75" t="n"/>
      <c r="H924" s="75" t="n"/>
      <c r="I924" s="75" t="n"/>
      <c r="J924" s="75" t="n"/>
      <c r="K924" s="75" t="n"/>
      <c r="L924" s="75" t="n"/>
      <c r="M924" s="75" t="n"/>
      <c r="N924" s="75" t="n"/>
      <c r="O924" s="75" t="n"/>
      <c r="P924" s="75" t="n"/>
      <c r="Q924" s="75" t="n"/>
      <c r="R924" s="75" t="n"/>
      <c r="S924" s="75" t="n"/>
      <c r="T924" s="75" t="n"/>
      <c r="U924" s="75" t="n"/>
      <c r="V924" s="75" t="n"/>
      <c r="W924" s="75" t="n"/>
      <c r="X924" s="75" t="n"/>
      <c r="Y924" s="226">
        <f>IF(AND(A924="",B924=""),"",IF(AND(A924&lt;&gt;"",B924&lt;&gt;"",C924&lt;&gt;"",D924&lt;&gt;"",F924&lt;&gt;"",G924&lt;&gt;"",H924&lt;&gt;"",ISERROR(SEARCH("по паспорту",G924)),ISERROR(SEARCH("по паспорту",H924)),I924&lt;&gt;"",J924&lt;&gt;"",K924&lt;&gt;"",L924&lt;&gt;"",M924&lt;&gt;""),"ГОТОВО","НЕ ГОТОВО"))</f>
        <v/>
      </c>
      <c r="Z924" s="226">
        <f>IF(Y924&lt;&gt;"ГОТОВО","", "Предварительное заключение: "&amp;A924&amp;", скв. "&amp;B924&amp;". МРП: "&amp;E924&amp;" сут. ГНО: "&amp;F924&amp;", типоразмер "&amp;G924&amp;", марка "&amp;H924&amp;". Событие: "&amp;I924&amp;". Признак: "&amp;J924&amp;". Узел: "&amp;K924&amp;". Предварительная причина: "&amp;L924&amp;". Основное осложнение: "&amp;M924&amp;IF(N924&lt;&gt;"","; сопутствующее: "&amp;N924,"")&amp;IF(O924&lt;&gt;"","; дополнительно: "&amp;O924,"")&amp;".")</f>
        <v/>
      </c>
    </row>
    <row r="925">
      <c r="A925" s="75" t="n"/>
      <c r="B925" s="75" t="n"/>
      <c r="C925" s="261" t="n"/>
      <c r="D925" s="261" t="n"/>
      <c r="E925" s="262">
        <f>IF(OR(C925="",D925=""),"",D925-C925)</f>
        <v/>
      </c>
      <c r="F925" s="75" t="n"/>
      <c r="G925" s="75" t="n"/>
      <c r="H925" s="75" t="n"/>
      <c r="I925" s="75" t="n"/>
      <c r="J925" s="75" t="n"/>
      <c r="K925" s="75" t="n"/>
      <c r="L925" s="75" t="n"/>
      <c r="M925" s="75" t="n"/>
      <c r="N925" s="75" t="n"/>
      <c r="O925" s="75" t="n"/>
      <c r="P925" s="75" t="n"/>
      <c r="Q925" s="75" t="n"/>
      <c r="R925" s="75" t="n"/>
      <c r="S925" s="75" t="n"/>
      <c r="T925" s="75" t="n"/>
      <c r="U925" s="75" t="n"/>
      <c r="V925" s="75" t="n"/>
      <c r="W925" s="75" t="n"/>
      <c r="X925" s="75" t="n"/>
      <c r="Y925" s="226">
        <f>IF(AND(A925="",B925=""),"",IF(AND(A925&lt;&gt;"",B925&lt;&gt;"",C925&lt;&gt;"",D925&lt;&gt;"",F925&lt;&gt;"",G925&lt;&gt;"",H925&lt;&gt;"",ISERROR(SEARCH("по паспорту",G925)),ISERROR(SEARCH("по паспорту",H925)),I925&lt;&gt;"",J925&lt;&gt;"",K925&lt;&gt;"",L925&lt;&gt;"",M925&lt;&gt;""),"ГОТОВО","НЕ ГОТОВО"))</f>
        <v/>
      </c>
      <c r="Z925" s="226">
        <f>IF(Y925&lt;&gt;"ГОТОВО","", "Предварительное заключение: "&amp;A925&amp;", скв. "&amp;B925&amp;". МРП: "&amp;E925&amp;" сут. ГНО: "&amp;F925&amp;", типоразмер "&amp;G925&amp;", марка "&amp;H925&amp;". Событие: "&amp;I925&amp;". Признак: "&amp;J925&amp;". Узел: "&amp;K925&amp;". Предварительная причина: "&amp;L925&amp;". Основное осложнение: "&amp;M925&amp;IF(N925&lt;&gt;"","; сопутствующее: "&amp;N925,"")&amp;IF(O925&lt;&gt;"","; дополнительно: "&amp;O925,"")&amp;".")</f>
        <v/>
      </c>
    </row>
    <row r="926">
      <c r="A926" s="75" t="n"/>
      <c r="B926" s="75" t="n"/>
      <c r="C926" s="261" t="n"/>
      <c r="D926" s="261" t="n"/>
      <c r="E926" s="262">
        <f>IF(OR(C926="",D926=""),"",D926-C926)</f>
        <v/>
      </c>
      <c r="F926" s="75" t="n"/>
      <c r="G926" s="75" t="n"/>
      <c r="H926" s="75" t="n"/>
      <c r="I926" s="75" t="n"/>
      <c r="J926" s="75" t="n"/>
      <c r="K926" s="75" t="n"/>
      <c r="L926" s="75" t="n"/>
      <c r="M926" s="75" t="n"/>
      <c r="N926" s="75" t="n"/>
      <c r="O926" s="75" t="n"/>
      <c r="P926" s="75" t="n"/>
      <c r="Q926" s="75" t="n"/>
      <c r="R926" s="75" t="n"/>
      <c r="S926" s="75" t="n"/>
      <c r="T926" s="75" t="n"/>
      <c r="U926" s="75" t="n"/>
      <c r="V926" s="75" t="n"/>
      <c r="W926" s="75" t="n"/>
      <c r="X926" s="75" t="n"/>
      <c r="Y926" s="226">
        <f>IF(AND(A926="",B926=""),"",IF(AND(A926&lt;&gt;"",B926&lt;&gt;"",C926&lt;&gt;"",D926&lt;&gt;"",F926&lt;&gt;"",G926&lt;&gt;"",H926&lt;&gt;"",ISERROR(SEARCH("по паспорту",G926)),ISERROR(SEARCH("по паспорту",H926)),I926&lt;&gt;"",J926&lt;&gt;"",K926&lt;&gt;"",L926&lt;&gt;"",M926&lt;&gt;""),"ГОТОВО","НЕ ГОТОВО"))</f>
        <v/>
      </c>
      <c r="Z926" s="226">
        <f>IF(Y926&lt;&gt;"ГОТОВО","", "Предварительное заключение: "&amp;A926&amp;", скв. "&amp;B926&amp;". МРП: "&amp;E926&amp;" сут. ГНО: "&amp;F926&amp;", типоразмер "&amp;G926&amp;", марка "&amp;H926&amp;". Событие: "&amp;I926&amp;". Признак: "&amp;J926&amp;". Узел: "&amp;K926&amp;". Предварительная причина: "&amp;L926&amp;". Основное осложнение: "&amp;M926&amp;IF(N926&lt;&gt;"","; сопутствующее: "&amp;N926,"")&amp;IF(O926&lt;&gt;"","; дополнительно: "&amp;O926,"")&amp;".")</f>
        <v/>
      </c>
    </row>
    <row r="927">
      <c r="A927" s="75" t="n"/>
      <c r="B927" s="75" t="n"/>
      <c r="C927" s="261" t="n"/>
      <c r="D927" s="261" t="n"/>
      <c r="E927" s="262">
        <f>IF(OR(C927="",D927=""),"",D927-C927)</f>
        <v/>
      </c>
      <c r="F927" s="75" t="n"/>
      <c r="G927" s="75" t="n"/>
      <c r="H927" s="75" t="n"/>
      <c r="I927" s="75" t="n"/>
      <c r="J927" s="75" t="n"/>
      <c r="K927" s="75" t="n"/>
      <c r="L927" s="75" t="n"/>
      <c r="M927" s="75" t="n"/>
      <c r="N927" s="75" t="n"/>
      <c r="O927" s="75" t="n"/>
      <c r="P927" s="75" t="n"/>
      <c r="Q927" s="75" t="n"/>
      <c r="R927" s="75" t="n"/>
      <c r="S927" s="75" t="n"/>
      <c r="T927" s="75" t="n"/>
      <c r="U927" s="75" t="n"/>
      <c r="V927" s="75" t="n"/>
      <c r="W927" s="75" t="n"/>
      <c r="X927" s="75" t="n"/>
      <c r="Y927" s="226">
        <f>IF(AND(A927="",B927=""),"",IF(AND(A927&lt;&gt;"",B927&lt;&gt;"",C927&lt;&gt;"",D927&lt;&gt;"",F927&lt;&gt;"",G927&lt;&gt;"",H927&lt;&gt;"",ISERROR(SEARCH("по паспорту",G927)),ISERROR(SEARCH("по паспорту",H927)),I927&lt;&gt;"",J927&lt;&gt;"",K927&lt;&gt;"",L927&lt;&gt;"",M927&lt;&gt;""),"ГОТОВО","НЕ ГОТОВО"))</f>
        <v/>
      </c>
      <c r="Z927" s="226">
        <f>IF(Y927&lt;&gt;"ГОТОВО","", "Предварительное заключение: "&amp;A927&amp;", скв. "&amp;B927&amp;". МРП: "&amp;E927&amp;" сут. ГНО: "&amp;F927&amp;", типоразмер "&amp;G927&amp;", марка "&amp;H927&amp;". Событие: "&amp;I927&amp;". Признак: "&amp;J927&amp;". Узел: "&amp;K927&amp;". Предварительная причина: "&amp;L927&amp;". Основное осложнение: "&amp;M927&amp;IF(N927&lt;&gt;"","; сопутствующее: "&amp;N927,"")&amp;IF(O927&lt;&gt;"","; дополнительно: "&amp;O927,"")&amp;".")</f>
        <v/>
      </c>
    </row>
    <row r="928">
      <c r="A928" s="75" t="n"/>
      <c r="B928" s="75" t="n"/>
      <c r="C928" s="261" t="n"/>
      <c r="D928" s="261" t="n"/>
      <c r="E928" s="262">
        <f>IF(OR(C928="",D928=""),"",D928-C928)</f>
        <v/>
      </c>
      <c r="F928" s="75" t="n"/>
      <c r="G928" s="75" t="n"/>
      <c r="H928" s="75" t="n"/>
      <c r="I928" s="75" t="n"/>
      <c r="J928" s="75" t="n"/>
      <c r="K928" s="75" t="n"/>
      <c r="L928" s="75" t="n"/>
      <c r="M928" s="75" t="n"/>
      <c r="N928" s="75" t="n"/>
      <c r="O928" s="75" t="n"/>
      <c r="P928" s="75" t="n"/>
      <c r="Q928" s="75" t="n"/>
      <c r="R928" s="75" t="n"/>
      <c r="S928" s="75" t="n"/>
      <c r="T928" s="75" t="n"/>
      <c r="U928" s="75" t="n"/>
      <c r="V928" s="75" t="n"/>
      <c r="W928" s="75" t="n"/>
      <c r="X928" s="75" t="n"/>
      <c r="Y928" s="226">
        <f>IF(AND(A928="",B928=""),"",IF(AND(A928&lt;&gt;"",B928&lt;&gt;"",C928&lt;&gt;"",D928&lt;&gt;"",F928&lt;&gt;"",G928&lt;&gt;"",H928&lt;&gt;"",ISERROR(SEARCH("по паспорту",G928)),ISERROR(SEARCH("по паспорту",H928)),I928&lt;&gt;"",J928&lt;&gt;"",K928&lt;&gt;"",L928&lt;&gt;"",M928&lt;&gt;""),"ГОТОВО","НЕ ГОТОВО"))</f>
        <v/>
      </c>
      <c r="Z928" s="226">
        <f>IF(Y928&lt;&gt;"ГОТОВО","", "Предварительное заключение: "&amp;A928&amp;", скв. "&amp;B928&amp;". МРП: "&amp;E928&amp;" сут. ГНО: "&amp;F928&amp;", типоразмер "&amp;G928&amp;", марка "&amp;H928&amp;". Событие: "&amp;I928&amp;". Признак: "&amp;J928&amp;". Узел: "&amp;K928&amp;". Предварительная причина: "&amp;L928&amp;". Основное осложнение: "&amp;M928&amp;IF(N928&lt;&gt;"","; сопутствующее: "&amp;N928,"")&amp;IF(O928&lt;&gt;"","; дополнительно: "&amp;O928,"")&amp;".")</f>
        <v/>
      </c>
    </row>
    <row r="929">
      <c r="A929" s="75" t="n"/>
      <c r="B929" s="75" t="n"/>
      <c r="C929" s="261" t="n"/>
      <c r="D929" s="261" t="n"/>
      <c r="E929" s="262">
        <f>IF(OR(C929="",D929=""),"",D929-C929)</f>
        <v/>
      </c>
      <c r="F929" s="75" t="n"/>
      <c r="G929" s="75" t="n"/>
      <c r="H929" s="75" t="n"/>
      <c r="I929" s="75" t="n"/>
      <c r="J929" s="75" t="n"/>
      <c r="K929" s="75" t="n"/>
      <c r="L929" s="75" t="n"/>
      <c r="M929" s="75" t="n"/>
      <c r="N929" s="75" t="n"/>
      <c r="O929" s="75" t="n"/>
      <c r="P929" s="75" t="n"/>
      <c r="Q929" s="75" t="n"/>
      <c r="R929" s="75" t="n"/>
      <c r="S929" s="75" t="n"/>
      <c r="T929" s="75" t="n"/>
      <c r="U929" s="75" t="n"/>
      <c r="V929" s="75" t="n"/>
      <c r="W929" s="75" t="n"/>
      <c r="X929" s="75" t="n"/>
      <c r="Y929" s="226">
        <f>IF(AND(A929="",B929=""),"",IF(AND(A929&lt;&gt;"",B929&lt;&gt;"",C929&lt;&gt;"",D929&lt;&gt;"",F929&lt;&gt;"",G929&lt;&gt;"",H929&lt;&gt;"",ISERROR(SEARCH("по паспорту",G929)),ISERROR(SEARCH("по паспорту",H929)),I929&lt;&gt;"",J929&lt;&gt;"",K929&lt;&gt;"",L929&lt;&gt;"",M929&lt;&gt;""),"ГОТОВО","НЕ ГОТОВО"))</f>
        <v/>
      </c>
      <c r="Z929" s="226">
        <f>IF(Y929&lt;&gt;"ГОТОВО","", "Предварительное заключение: "&amp;A929&amp;", скв. "&amp;B929&amp;". МРП: "&amp;E929&amp;" сут. ГНО: "&amp;F929&amp;", типоразмер "&amp;G929&amp;", марка "&amp;H929&amp;". Событие: "&amp;I929&amp;". Признак: "&amp;J929&amp;". Узел: "&amp;K929&amp;". Предварительная причина: "&amp;L929&amp;". Основное осложнение: "&amp;M929&amp;IF(N929&lt;&gt;"","; сопутствующее: "&amp;N929,"")&amp;IF(O929&lt;&gt;"","; дополнительно: "&amp;O929,"")&amp;".")</f>
        <v/>
      </c>
    </row>
    <row r="930">
      <c r="A930" s="75" t="n"/>
      <c r="B930" s="75" t="n"/>
      <c r="C930" s="261" t="n"/>
      <c r="D930" s="261" t="n"/>
      <c r="E930" s="262">
        <f>IF(OR(C930="",D930=""),"",D930-C930)</f>
        <v/>
      </c>
      <c r="F930" s="75" t="n"/>
      <c r="G930" s="75" t="n"/>
      <c r="H930" s="75" t="n"/>
      <c r="I930" s="75" t="n"/>
      <c r="J930" s="75" t="n"/>
      <c r="K930" s="75" t="n"/>
      <c r="L930" s="75" t="n"/>
      <c r="M930" s="75" t="n"/>
      <c r="N930" s="75" t="n"/>
      <c r="O930" s="75" t="n"/>
      <c r="P930" s="75" t="n"/>
      <c r="Q930" s="75" t="n"/>
      <c r="R930" s="75" t="n"/>
      <c r="S930" s="75" t="n"/>
      <c r="T930" s="75" t="n"/>
      <c r="U930" s="75" t="n"/>
      <c r="V930" s="75" t="n"/>
      <c r="W930" s="75" t="n"/>
      <c r="X930" s="75" t="n"/>
      <c r="Y930" s="226">
        <f>IF(AND(A930="",B930=""),"",IF(AND(A930&lt;&gt;"",B930&lt;&gt;"",C930&lt;&gt;"",D930&lt;&gt;"",F930&lt;&gt;"",G930&lt;&gt;"",H930&lt;&gt;"",ISERROR(SEARCH("по паспорту",G930)),ISERROR(SEARCH("по паспорту",H930)),I930&lt;&gt;"",J930&lt;&gt;"",K930&lt;&gt;"",L930&lt;&gt;"",M930&lt;&gt;""),"ГОТОВО","НЕ ГОТОВО"))</f>
        <v/>
      </c>
      <c r="Z930" s="226">
        <f>IF(Y930&lt;&gt;"ГОТОВО","", "Предварительное заключение: "&amp;A930&amp;", скв. "&amp;B930&amp;". МРП: "&amp;E930&amp;" сут. ГНО: "&amp;F930&amp;", типоразмер "&amp;G930&amp;", марка "&amp;H930&amp;". Событие: "&amp;I930&amp;". Признак: "&amp;J930&amp;". Узел: "&amp;K930&amp;". Предварительная причина: "&amp;L930&amp;". Основное осложнение: "&amp;M930&amp;IF(N930&lt;&gt;"","; сопутствующее: "&amp;N930,"")&amp;IF(O930&lt;&gt;"","; дополнительно: "&amp;O930,"")&amp;".")</f>
        <v/>
      </c>
    </row>
    <row r="931">
      <c r="A931" s="75" t="n"/>
      <c r="B931" s="75" t="n"/>
      <c r="C931" s="261" t="n"/>
      <c r="D931" s="261" t="n"/>
      <c r="E931" s="262">
        <f>IF(OR(C931="",D931=""),"",D931-C931)</f>
        <v/>
      </c>
      <c r="F931" s="75" t="n"/>
      <c r="G931" s="75" t="n"/>
      <c r="H931" s="75" t="n"/>
      <c r="I931" s="75" t="n"/>
      <c r="J931" s="75" t="n"/>
      <c r="K931" s="75" t="n"/>
      <c r="L931" s="75" t="n"/>
      <c r="M931" s="75" t="n"/>
      <c r="N931" s="75" t="n"/>
      <c r="O931" s="75" t="n"/>
      <c r="P931" s="75" t="n"/>
      <c r="Q931" s="75" t="n"/>
      <c r="R931" s="75" t="n"/>
      <c r="S931" s="75" t="n"/>
      <c r="T931" s="75" t="n"/>
      <c r="U931" s="75" t="n"/>
      <c r="V931" s="75" t="n"/>
      <c r="W931" s="75" t="n"/>
      <c r="X931" s="75" t="n"/>
      <c r="Y931" s="226">
        <f>IF(AND(A931="",B931=""),"",IF(AND(A931&lt;&gt;"",B931&lt;&gt;"",C931&lt;&gt;"",D931&lt;&gt;"",F931&lt;&gt;"",G931&lt;&gt;"",H931&lt;&gt;"",ISERROR(SEARCH("по паспорту",G931)),ISERROR(SEARCH("по паспорту",H931)),I931&lt;&gt;"",J931&lt;&gt;"",K931&lt;&gt;"",L931&lt;&gt;"",M931&lt;&gt;""),"ГОТОВО","НЕ ГОТОВО"))</f>
        <v/>
      </c>
      <c r="Z931" s="226">
        <f>IF(Y931&lt;&gt;"ГОТОВО","", "Предварительное заключение: "&amp;A931&amp;", скв. "&amp;B931&amp;". МРП: "&amp;E931&amp;" сут. ГНО: "&amp;F931&amp;", типоразмер "&amp;G931&amp;", марка "&amp;H931&amp;". Событие: "&amp;I931&amp;". Признак: "&amp;J931&amp;". Узел: "&amp;K931&amp;". Предварительная причина: "&amp;L931&amp;". Основное осложнение: "&amp;M931&amp;IF(N931&lt;&gt;"","; сопутствующее: "&amp;N931,"")&amp;IF(O931&lt;&gt;"","; дополнительно: "&amp;O931,"")&amp;".")</f>
        <v/>
      </c>
    </row>
    <row r="932">
      <c r="A932" s="75" t="n"/>
      <c r="B932" s="75" t="n"/>
      <c r="C932" s="261" t="n"/>
      <c r="D932" s="261" t="n"/>
      <c r="E932" s="262">
        <f>IF(OR(C932="",D932=""),"",D932-C932)</f>
        <v/>
      </c>
      <c r="F932" s="75" t="n"/>
      <c r="G932" s="75" t="n"/>
      <c r="H932" s="75" t="n"/>
      <c r="I932" s="75" t="n"/>
      <c r="J932" s="75" t="n"/>
      <c r="K932" s="75" t="n"/>
      <c r="L932" s="75" t="n"/>
      <c r="M932" s="75" t="n"/>
      <c r="N932" s="75" t="n"/>
      <c r="O932" s="75" t="n"/>
      <c r="P932" s="75" t="n"/>
      <c r="Q932" s="75" t="n"/>
      <c r="R932" s="75" t="n"/>
      <c r="S932" s="75" t="n"/>
      <c r="T932" s="75" t="n"/>
      <c r="U932" s="75" t="n"/>
      <c r="V932" s="75" t="n"/>
      <c r="W932" s="75" t="n"/>
      <c r="X932" s="75" t="n"/>
      <c r="Y932" s="226">
        <f>IF(AND(A932="",B932=""),"",IF(AND(A932&lt;&gt;"",B932&lt;&gt;"",C932&lt;&gt;"",D932&lt;&gt;"",F932&lt;&gt;"",G932&lt;&gt;"",H932&lt;&gt;"",ISERROR(SEARCH("по паспорту",G932)),ISERROR(SEARCH("по паспорту",H932)),I932&lt;&gt;"",J932&lt;&gt;"",K932&lt;&gt;"",L932&lt;&gt;"",M932&lt;&gt;""),"ГОТОВО","НЕ ГОТОВО"))</f>
        <v/>
      </c>
      <c r="Z932" s="226">
        <f>IF(Y932&lt;&gt;"ГОТОВО","", "Предварительное заключение: "&amp;A932&amp;", скв. "&amp;B932&amp;". МРП: "&amp;E932&amp;" сут. ГНО: "&amp;F932&amp;", типоразмер "&amp;G932&amp;", марка "&amp;H932&amp;". Событие: "&amp;I932&amp;". Признак: "&amp;J932&amp;". Узел: "&amp;K932&amp;". Предварительная причина: "&amp;L932&amp;". Основное осложнение: "&amp;M932&amp;IF(N932&lt;&gt;"","; сопутствующее: "&amp;N932,"")&amp;IF(O932&lt;&gt;"","; дополнительно: "&amp;O932,"")&amp;".")</f>
        <v/>
      </c>
    </row>
    <row r="933">
      <c r="A933" s="75" t="n"/>
      <c r="B933" s="75" t="n"/>
      <c r="C933" s="261" t="n"/>
      <c r="D933" s="261" t="n"/>
      <c r="E933" s="262">
        <f>IF(OR(C933="",D933=""),"",D933-C933)</f>
        <v/>
      </c>
      <c r="F933" s="75" t="n"/>
      <c r="G933" s="75" t="n"/>
      <c r="H933" s="75" t="n"/>
      <c r="I933" s="75" t="n"/>
      <c r="J933" s="75" t="n"/>
      <c r="K933" s="75" t="n"/>
      <c r="L933" s="75" t="n"/>
      <c r="M933" s="75" t="n"/>
      <c r="N933" s="75" t="n"/>
      <c r="O933" s="75" t="n"/>
      <c r="P933" s="75" t="n"/>
      <c r="Q933" s="75" t="n"/>
      <c r="R933" s="75" t="n"/>
      <c r="S933" s="75" t="n"/>
      <c r="T933" s="75" t="n"/>
      <c r="U933" s="75" t="n"/>
      <c r="V933" s="75" t="n"/>
      <c r="W933" s="75" t="n"/>
      <c r="X933" s="75" t="n"/>
      <c r="Y933" s="226">
        <f>IF(AND(A933="",B933=""),"",IF(AND(A933&lt;&gt;"",B933&lt;&gt;"",C933&lt;&gt;"",D933&lt;&gt;"",F933&lt;&gt;"",G933&lt;&gt;"",H933&lt;&gt;"",ISERROR(SEARCH("по паспорту",G933)),ISERROR(SEARCH("по паспорту",H933)),I933&lt;&gt;"",J933&lt;&gt;"",K933&lt;&gt;"",L933&lt;&gt;"",M933&lt;&gt;""),"ГОТОВО","НЕ ГОТОВО"))</f>
        <v/>
      </c>
      <c r="Z933" s="226">
        <f>IF(Y933&lt;&gt;"ГОТОВО","", "Предварительное заключение: "&amp;A933&amp;", скв. "&amp;B933&amp;". МРП: "&amp;E933&amp;" сут. ГНО: "&amp;F933&amp;", типоразмер "&amp;G933&amp;", марка "&amp;H933&amp;". Событие: "&amp;I933&amp;". Признак: "&amp;J933&amp;". Узел: "&amp;K933&amp;". Предварительная причина: "&amp;L933&amp;". Основное осложнение: "&amp;M933&amp;IF(N933&lt;&gt;"","; сопутствующее: "&amp;N933,"")&amp;IF(O933&lt;&gt;"","; дополнительно: "&amp;O933,"")&amp;".")</f>
        <v/>
      </c>
    </row>
    <row r="934">
      <c r="A934" s="75" t="n"/>
      <c r="B934" s="75" t="n"/>
      <c r="C934" s="261" t="n"/>
      <c r="D934" s="261" t="n"/>
      <c r="E934" s="262">
        <f>IF(OR(C934="",D934=""),"",D934-C934)</f>
        <v/>
      </c>
      <c r="F934" s="75" t="n"/>
      <c r="G934" s="75" t="n"/>
      <c r="H934" s="75" t="n"/>
      <c r="I934" s="75" t="n"/>
      <c r="J934" s="75" t="n"/>
      <c r="K934" s="75" t="n"/>
      <c r="L934" s="75" t="n"/>
      <c r="M934" s="75" t="n"/>
      <c r="N934" s="75" t="n"/>
      <c r="O934" s="75" t="n"/>
      <c r="P934" s="75" t="n"/>
      <c r="Q934" s="75" t="n"/>
      <c r="R934" s="75" t="n"/>
      <c r="S934" s="75" t="n"/>
      <c r="T934" s="75" t="n"/>
      <c r="U934" s="75" t="n"/>
      <c r="V934" s="75" t="n"/>
      <c r="W934" s="75" t="n"/>
      <c r="X934" s="75" t="n"/>
      <c r="Y934" s="226">
        <f>IF(AND(A934="",B934=""),"",IF(AND(A934&lt;&gt;"",B934&lt;&gt;"",C934&lt;&gt;"",D934&lt;&gt;"",F934&lt;&gt;"",G934&lt;&gt;"",H934&lt;&gt;"",ISERROR(SEARCH("по паспорту",G934)),ISERROR(SEARCH("по паспорту",H934)),I934&lt;&gt;"",J934&lt;&gt;"",K934&lt;&gt;"",L934&lt;&gt;"",M934&lt;&gt;""),"ГОТОВО","НЕ ГОТОВО"))</f>
        <v/>
      </c>
      <c r="Z934" s="226">
        <f>IF(Y934&lt;&gt;"ГОТОВО","", "Предварительное заключение: "&amp;A934&amp;", скв. "&amp;B934&amp;". МРП: "&amp;E934&amp;" сут. ГНО: "&amp;F934&amp;", типоразмер "&amp;G934&amp;", марка "&amp;H934&amp;". Событие: "&amp;I934&amp;". Признак: "&amp;J934&amp;". Узел: "&amp;K934&amp;". Предварительная причина: "&amp;L934&amp;". Основное осложнение: "&amp;M934&amp;IF(N934&lt;&gt;"","; сопутствующее: "&amp;N934,"")&amp;IF(O934&lt;&gt;"","; дополнительно: "&amp;O934,"")&amp;".")</f>
        <v/>
      </c>
    </row>
    <row r="935">
      <c r="A935" s="75" t="n"/>
      <c r="B935" s="75" t="n"/>
      <c r="C935" s="261" t="n"/>
      <c r="D935" s="261" t="n"/>
      <c r="E935" s="262">
        <f>IF(OR(C935="",D935=""),"",D935-C935)</f>
        <v/>
      </c>
      <c r="F935" s="75" t="n"/>
      <c r="G935" s="75" t="n"/>
      <c r="H935" s="75" t="n"/>
      <c r="I935" s="75" t="n"/>
      <c r="J935" s="75" t="n"/>
      <c r="K935" s="75" t="n"/>
      <c r="L935" s="75" t="n"/>
      <c r="M935" s="75" t="n"/>
      <c r="N935" s="75" t="n"/>
      <c r="O935" s="75" t="n"/>
      <c r="P935" s="75" t="n"/>
      <c r="Q935" s="75" t="n"/>
      <c r="R935" s="75" t="n"/>
      <c r="S935" s="75" t="n"/>
      <c r="T935" s="75" t="n"/>
      <c r="U935" s="75" t="n"/>
      <c r="V935" s="75" t="n"/>
      <c r="W935" s="75" t="n"/>
      <c r="X935" s="75" t="n"/>
      <c r="Y935" s="226">
        <f>IF(AND(A935="",B935=""),"",IF(AND(A935&lt;&gt;"",B935&lt;&gt;"",C935&lt;&gt;"",D935&lt;&gt;"",F935&lt;&gt;"",G935&lt;&gt;"",H935&lt;&gt;"",ISERROR(SEARCH("по паспорту",G935)),ISERROR(SEARCH("по паспорту",H935)),I935&lt;&gt;"",J935&lt;&gt;"",K935&lt;&gt;"",L935&lt;&gt;"",M935&lt;&gt;""),"ГОТОВО","НЕ ГОТОВО"))</f>
        <v/>
      </c>
      <c r="Z935" s="226">
        <f>IF(Y935&lt;&gt;"ГОТОВО","", "Предварительное заключение: "&amp;A935&amp;", скв. "&amp;B935&amp;". МРП: "&amp;E935&amp;" сут. ГНО: "&amp;F935&amp;", типоразмер "&amp;G935&amp;", марка "&amp;H935&amp;". Событие: "&amp;I935&amp;". Признак: "&amp;J935&amp;". Узел: "&amp;K935&amp;". Предварительная причина: "&amp;L935&amp;". Основное осложнение: "&amp;M935&amp;IF(N935&lt;&gt;"","; сопутствующее: "&amp;N935,"")&amp;IF(O935&lt;&gt;"","; дополнительно: "&amp;O935,"")&amp;".")</f>
        <v/>
      </c>
    </row>
    <row r="936">
      <c r="A936" s="75" t="n"/>
      <c r="B936" s="75" t="n"/>
      <c r="C936" s="261" t="n"/>
      <c r="D936" s="261" t="n"/>
      <c r="E936" s="262">
        <f>IF(OR(C936="",D936=""),"",D936-C936)</f>
        <v/>
      </c>
      <c r="F936" s="75" t="n"/>
      <c r="G936" s="75" t="n"/>
      <c r="H936" s="75" t="n"/>
      <c r="I936" s="75" t="n"/>
      <c r="J936" s="75" t="n"/>
      <c r="K936" s="75" t="n"/>
      <c r="L936" s="75" t="n"/>
      <c r="M936" s="75" t="n"/>
      <c r="N936" s="75" t="n"/>
      <c r="O936" s="75" t="n"/>
      <c r="P936" s="75" t="n"/>
      <c r="Q936" s="75" t="n"/>
      <c r="R936" s="75" t="n"/>
      <c r="S936" s="75" t="n"/>
      <c r="T936" s="75" t="n"/>
      <c r="U936" s="75" t="n"/>
      <c r="V936" s="75" t="n"/>
      <c r="W936" s="75" t="n"/>
      <c r="X936" s="75" t="n"/>
      <c r="Y936" s="226">
        <f>IF(AND(A936="",B936=""),"",IF(AND(A936&lt;&gt;"",B936&lt;&gt;"",C936&lt;&gt;"",D936&lt;&gt;"",F936&lt;&gt;"",G936&lt;&gt;"",H936&lt;&gt;"",ISERROR(SEARCH("по паспорту",G936)),ISERROR(SEARCH("по паспорту",H936)),I936&lt;&gt;"",J936&lt;&gt;"",K936&lt;&gt;"",L936&lt;&gt;"",M936&lt;&gt;""),"ГОТОВО","НЕ ГОТОВО"))</f>
        <v/>
      </c>
      <c r="Z936" s="226">
        <f>IF(Y936&lt;&gt;"ГОТОВО","", "Предварительное заключение: "&amp;A936&amp;", скв. "&amp;B936&amp;". МРП: "&amp;E936&amp;" сут. ГНО: "&amp;F936&amp;", типоразмер "&amp;G936&amp;", марка "&amp;H936&amp;". Событие: "&amp;I936&amp;". Признак: "&amp;J936&amp;". Узел: "&amp;K936&amp;". Предварительная причина: "&amp;L936&amp;". Основное осложнение: "&amp;M936&amp;IF(N936&lt;&gt;"","; сопутствующее: "&amp;N936,"")&amp;IF(O936&lt;&gt;"","; дополнительно: "&amp;O936,"")&amp;".")</f>
        <v/>
      </c>
    </row>
    <row r="937">
      <c r="A937" s="75" t="n"/>
      <c r="B937" s="75" t="n"/>
      <c r="C937" s="261" t="n"/>
      <c r="D937" s="261" t="n"/>
      <c r="E937" s="262">
        <f>IF(OR(C937="",D937=""),"",D937-C937)</f>
        <v/>
      </c>
      <c r="F937" s="75" t="n"/>
      <c r="G937" s="75" t="n"/>
      <c r="H937" s="75" t="n"/>
      <c r="I937" s="75" t="n"/>
      <c r="J937" s="75" t="n"/>
      <c r="K937" s="75" t="n"/>
      <c r="L937" s="75" t="n"/>
      <c r="M937" s="75" t="n"/>
      <c r="N937" s="75" t="n"/>
      <c r="O937" s="75" t="n"/>
      <c r="P937" s="75" t="n"/>
      <c r="Q937" s="75" t="n"/>
      <c r="R937" s="75" t="n"/>
      <c r="S937" s="75" t="n"/>
      <c r="T937" s="75" t="n"/>
      <c r="U937" s="75" t="n"/>
      <c r="V937" s="75" t="n"/>
      <c r="W937" s="75" t="n"/>
      <c r="X937" s="75" t="n"/>
      <c r="Y937" s="226">
        <f>IF(AND(A937="",B937=""),"",IF(AND(A937&lt;&gt;"",B937&lt;&gt;"",C937&lt;&gt;"",D937&lt;&gt;"",F937&lt;&gt;"",G937&lt;&gt;"",H937&lt;&gt;"",ISERROR(SEARCH("по паспорту",G937)),ISERROR(SEARCH("по паспорту",H937)),I937&lt;&gt;"",J937&lt;&gt;"",K937&lt;&gt;"",L937&lt;&gt;"",M937&lt;&gt;""),"ГОТОВО","НЕ ГОТОВО"))</f>
        <v/>
      </c>
      <c r="Z937" s="226">
        <f>IF(Y937&lt;&gt;"ГОТОВО","", "Предварительное заключение: "&amp;A937&amp;", скв. "&amp;B937&amp;". МРП: "&amp;E937&amp;" сут. ГНО: "&amp;F937&amp;", типоразмер "&amp;G937&amp;", марка "&amp;H937&amp;". Событие: "&amp;I937&amp;". Признак: "&amp;J937&amp;". Узел: "&amp;K937&amp;". Предварительная причина: "&amp;L937&amp;". Основное осложнение: "&amp;M937&amp;IF(N937&lt;&gt;"","; сопутствующее: "&amp;N937,"")&amp;IF(O937&lt;&gt;"","; дополнительно: "&amp;O937,"")&amp;".")</f>
        <v/>
      </c>
    </row>
    <row r="938">
      <c r="A938" s="75" t="n"/>
      <c r="B938" s="75" t="n"/>
      <c r="C938" s="261" t="n"/>
      <c r="D938" s="261" t="n"/>
      <c r="E938" s="262">
        <f>IF(OR(C938="",D938=""),"",D938-C938)</f>
        <v/>
      </c>
      <c r="F938" s="75" t="n"/>
      <c r="G938" s="75" t="n"/>
      <c r="H938" s="75" t="n"/>
      <c r="I938" s="75" t="n"/>
      <c r="J938" s="75" t="n"/>
      <c r="K938" s="75" t="n"/>
      <c r="L938" s="75" t="n"/>
      <c r="M938" s="75" t="n"/>
      <c r="N938" s="75" t="n"/>
      <c r="O938" s="75" t="n"/>
      <c r="P938" s="75" t="n"/>
      <c r="Q938" s="75" t="n"/>
      <c r="R938" s="75" t="n"/>
      <c r="S938" s="75" t="n"/>
      <c r="T938" s="75" t="n"/>
      <c r="U938" s="75" t="n"/>
      <c r="V938" s="75" t="n"/>
      <c r="W938" s="75" t="n"/>
      <c r="X938" s="75" t="n"/>
      <c r="Y938" s="226">
        <f>IF(AND(A938="",B938=""),"",IF(AND(A938&lt;&gt;"",B938&lt;&gt;"",C938&lt;&gt;"",D938&lt;&gt;"",F938&lt;&gt;"",G938&lt;&gt;"",H938&lt;&gt;"",ISERROR(SEARCH("по паспорту",G938)),ISERROR(SEARCH("по паспорту",H938)),I938&lt;&gt;"",J938&lt;&gt;"",K938&lt;&gt;"",L938&lt;&gt;"",M938&lt;&gt;""),"ГОТОВО","НЕ ГОТОВО"))</f>
        <v/>
      </c>
      <c r="Z938" s="226">
        <f>IF(Y938&lt;&gt;"ГОТОВО","", "Предварительное заключение: "&amp;A938&amp;", скв. "&amp;B938&amp;". МРП: "&amp;E938&amp;" сут. ГНО: "&amp;F938&amp;", типоразмер "&amp;G938&amp;", марка "&amp;H938&amp;". Событие: "&amp;I938&amp;". Признак: "&amp;J938&amp;". Узел: "&amp;K938&amp;". Предварительная причина: "&amp;L938&amp;". Основное осложнение: "&amp;M938&amp;IF(N938&lt;&gt;"","; сопутствующее: "&amp;N938,"")&amp;IF(O938&lt;&gt;"","; дополнительно: "&amp;O938,"")&amp;".")</f>
        <v/>
      </c>
    </row>
    <row r="939">
      <c r="A939" s="75" t="n"/>
      <c r="B939" s="75" t="n"/>
      <c r="C939" s="261" t="n"/>
      <c r="D939" s="261" t="n"/>
      <c r="E939" s="262">
        <f>IF(OR(C939="",D939=""),"",D939-C939)</f>
        <v/>
      </c>
      <c r="F939" s="75" t="n"/>
      <c r="G939" s="75" t="n"/>
      <c r="H939" s="75" t="n"/>
      <c r="I939" s="75" t="n"/>
      <c r="J939" s="75" t="n"/>
      <c r="K939" s="75" t="n"/>
      <c r="L939" s="75" t="n"/>
      <c r="M939" s="75" t="n"/>
      <c r="N939" s="75" t="n"/>
      <c r="O939" s="75" t="n"/>
      <c r="P939" s="75" t="n"/>
      <c r="Q939" s="75" t="n"/>
      <c r="R939" s="75" t="n"/>
      <c r="S939" s="75" t="n"/>
      <c r="T939" s="75" t="n"/>
      <c r="U939" s="75" t="n"/>
      <c r="V939" s="75" t="n"/>
      <c r="W939" s="75" t="n"/>
      <c r="X939" s="75" t="n"/>
      <c r="Y939" s="226">
        <f>IF(AND(A939="",B939=""),"",IF(AND(A939&lt;&gt;"",B939&lt;&gt;"",C939&lt;&gt;"",D939&lt;&gt;"",F939&lt;&gt;"",G939&lt;&gt;"",H939&lt;&gt;"",ISERROR(SEARCH("по паспорту",G939)),ISERROR(SEARCH("по паспорту",H939)),I939&lt;&gt;"",J939&lt;&gt;"",K939&lt;&gt;"",L939&lt;&gt;"",M939&lt;&gt;""),"ГОТОВО","НЕ ГОТОВО"))</f>
        <v/>
      </c>
      <c r="Z939" s="226">
        <f>IF(Y939&lt;&gt;"ГОТОВО","", "Предварительное заключение: "&amp;A939&amp;", скв. "&amp;B939&amp;". МРП: "&amp;E939&amp;" сут. ГНО: "&amp;F939&amp;", типоразмер "&amp;G939&amp;", марка "&amp;H939&amp;". Событие: "&amp;I939&amp;". Признак: "&amp;J939&amp;". Узел: "&amp;K939&amp;". Предварительная причина: "&amp;L939&amp;". Основное осложнение: "&amp;M939&amp;IF(N939&lt;&gt;"","; сопутствующее: "&amp;N939,"")&amp;IF(O939&lt;&gt;"","; дополнительно: "&amp;O939,"")&amp;".")</f>
        <v/>
      </c>
    </row>
    <row r="940">
      <c r="A940" s="75" t="n"/>
      <c r="B940" s="75" t="n"/>
      <c r="C940" s="261" t="n"/>
      <c r="D940" s="261" t="n"/>
      <c r="E940" s="262">
        <f>IF(OR(C940="",D940=""),"",D940-C940)</f>
        <v/>
      </c>
      <c r="F940" s="75" t="n"/>
      <c r="G940" s="75" t="n"/>
      <c r="H940" s="75" t="n"/>
      <c r="I940" s="75" t="n"/>
      <c r="J940" s="75" t="n"/>
      <c r="K940" s="75" t="n"/>
      <c r="L940" s="75" t="n"/>
      <c r="M940" s="75" t="n"/>
      <c r="N940" s="75" t="n"/>
      <c r="O940" s="75" t="n"/>
      <c r="P940" s="75" t="n"/>
      <c r="Q940" s="75" t="n"/>
      <c r="R940" s="75" t="n"/>
      <c r="S940" s="75" t="n"/>
      <c r="T940" s="75" t="n"/>
      <c r="U940" s="75" t="n"/>
      <c r="V940" s="75" t="n"/>
      <c r="W940" s="75" t="n"/>
      <c r="X940" s="75" t="n"/>
      <c r="Y940" s="226">
        <f>IF(AND(A940="",B940=""),"",IF(AND(A940&lt;&gt;"",B940&lt;&gt;"",C940&lt;&gt;"",D940&lt;&gt;"",F940&lt;&gt;"",G940&lt;&gt;"",H940&lt;&gt;"",ISERROR(SEARCH("по паспорту",G940)),ISERROR(SEARCH("по паспорту",H940)),I940&lt;&gt;"",J940&lt;&gt;"",K940&lt;&gt;"",L940&lt;&gt;"",M940&lt;&gt;""),"ГОТОВО","НЕ ГОТОВО"))</f>
        <v/>
      </c>
      <c r="Z940" s="226">
        <f>IF(Y940&lt;&gt;"ГОТОВО","", "Предварительное заключение: "&amp;A940&amp;", скв. "&amp;B940&amp;". МРП: "&amp;E940&amp;" сут. ГНО: "&amp;F940&amp;", типоразмер "&amp;G940&amp;", марка "&amp;H940&amp;". Событие: "&amp;I940&amp;". Признак: "&amp;J940&amp;". Узел: "&amp;K940&amp;". Предварительная причина: "&amp;L940&amp;". Основное осложнение: "&amp;M940&amp;IF(N940&lt;&gt;"","; сопутствующее: "&amp;N940,"")&amp;IF(O940&lt;&gt;"","; дополнительно: "&amp;O940,"")&amp;".")</f>
        <v/>
      </c>
    </row>
    <row r="941">
      <c r="A941" s="75" t="n"/>
      <c r="B941" s="75" t="n"/>
      <c r="C941" s="261" t="n"/>
      <c r="D941" s="261" t="n"/>
      <c r="E941" s="262">
        <f>IF(OR(C941="",D941=""),"",D941-C941)</f>
        <v/>
      </c>
      <c r="F941" s="75" t="n"/>
      <c r="G941" s="75" t="n"/>
      <c r="H941" s="75" t="n"/>
      <c r="I941" s="75" t="n"/>
      <c r="J941" s="75" t="n"/>
      <c r="K941" s="75" t="n"/>
      <c r="L941" s="75" t="n"/>
      <c r="M941" s="75" t="n"/>
      <c r="N941" s="75" t="n"/>
      <c r="O941" s="75" t="n"/>
      <c r="P941" s="75" t="n"/>
      <c r="Q941" s="75" t="n"/>
      <c r="R941" s="75" t="n"/>
      <c r="S941" s="75" t="n"/>
      <c r="T941" s="75" t="n"/>
      <c r="U941" s="75" t="n"/>
      <c r="V941" s="75" t="n"/>
      <c r="W941" s="75" t="n"/>
      <c r="X941" s="75" t="n"/>
      <c r="Y941" s="226">
        <f>IF(AND(A941="",B941=""),"",IF(AND(A941&lt;&gt;"",B941&lt;&gt;"",C941&lt;&gt;"",D941&lt;&gt;"",F941&lt;&gt;"",G941&lt;&gt;"",H941&lt;&gt;"",ISERROR(SEARCH("по паспорту",G941)),ISERROR(SEARCH("по паспорту",H941)),I941&lt;&gt;"",J941&lt;&gt;"",K941&lt;&gt;"",L941&lt;&gt;"",M941&lt;&gt;""),"ГОТОВО","НЕ ГОТОВО"))</f>
        <v/>
      </c>
      <c r="Z941" s="226">
        <f>IF(Y941&lt;&gt;"ГОТОВО","", "Предварительное заключение: "&amp;A941&amp;", скв. "&amp;B941&amp;". МРП: "&amp;E941&amp;" сут. ГНО: "&amp;F941&amp;", типоразмер "&amp;G941&amp;", марка "&amp;H941&amp;". Событие: "&amp;I941&amp;". Признак: "&amp;J941&amp;". Узел: "&amp;K941&amp;". Предварительная причина: "&amp;L941&amp;". Основное осложнение: "&amp;M941&amp;IF(N941&lt;&gt;"","; сопутствующее: "&amp;N941,"")&amp;IF(O941&lt;&gt;"","; дополнительно: "&amp;O941,"")&amp;".")</f>
        <v/>
      </c>
    </row>
    <row r="942">
      <c r="A942" s="75" t="n"/>
      <c r="B942" s="75" t="n"/>
      <c r="C942" s="261" t="n"/>
      <c r="D942" s="261" t="n"/>
      <c r="E942" s="262">
        <f>IF(OR(C942="",D942=""),"",D942-C942)</f>
        <v/>
      </c>
      <c r="F942" s="75" t="n"/>
      <c r="G942" s="75" t="n"/>
      <c r="H942" s="75" t="n"/>
      <c r="I942" s="75" t="n"/>
      <c r="J942" s="75" t="n"/>
      <c r="K942" s="75" t="n"/>
      <c r="L942" s="75" t="n"/>
      <c r="M942" s="75" t="n"/>
      <c r="N942" s="75" t="n"/>
      <c r="O942" s="75" t="n"/>
      <c r="P942" s="75" t="n"/>
      <c r="Q942" s="75" t="n"/>
      <c r="R942" s="75" t="n"/>
      <c r="S942" s="75" t="n"/>
      <c r="T942" s="75" t="n"/>
      <c r="U942" s="75" t="n"/>
      <c r="V942" s="75" t="n"/>
      <c r="W942" s="75" t="n"/>
      <c r="X942" s="75" t="n"/>
      <c r="Y942" s="226">
        <f>IF(AND(A942="",B942=""),"",IF(AND(A942&lt;&gt;"",B942&lt;&gt;"",C942&lt;&gt;"",D942&lt;&gt;"",F942&lt;&gt;"",G942&lt;&gt;"",H942&lt;&gt;"",ISERROR(SEARCH("по паспорту",G942)),ISERROR(SEARCH("по паспорту",H942)),I942&lt;&gt;"",J942&lt;&gt;"",K942&lt;&gt;"",L942&lt;&gt;"",M942&lt;&gt;""),"ГОТОВО","НЕ ГОТОВО"))</f>
        <v/>
      </c>
      <c r="Z942" s="226">
        <f>IF(Y942&lt;&gt;"ГОТОВО","", "Предварительное заключение: "&amp;A942&amp;", скв. "&amp;B942&amp;". МРП: "&amp;E942&amp;" сут. ГНО: "&amp;F942&amp;", типоразмер "&amp;G942&amp;", марка "&amp;H942&amp;". Событие: "&amp;I942&amp;". Признак: "&amp;J942&amp;". Узел: "&amp;K942&amp;". Предварительная причина: "&amp;L942&amp;". Основное осложнение: "&amp;M942&amp;IF(N942&lt;&gt;"","; сопутствующее: "&amp;N942,"")&amp;IF(O942&lt;&gt;"","; дополнительно: "&amp;O942,"")&amp;".")</f>
        <v/>
      </c>
    </row>
    <row r="943">
      <c r="A943" s="75" t="n"/>
      <c r="B943" s="75" t="n"/>
      <c r="C943" s="261" t="n"/>
      <c r="D943" s="261" t="n"/>
      <c r="E943" s="262">
        <f>IF(OR(C943="",D943=""),"",D943-C943)</f>
        <v/>
      </c>
      <c r="F943" s="75" t="n"/>
      <c r="G943" s="75" t="n"/>
      <c r="H943" s="75" t="n"/>
      <c r="I943" s="75" t="n"/>
      <c r="J943" s="75" t="n"/>
      <c r="K943" s="75" t="n"/>
      <c r="L943" s="75" t="n"/>
      <c r="M943" s="75" t="n"/>
      <c r="N943" s="75" t="n"/>
      <c r="O943" s="75" t="n"/>
      <c r="P943" s="75" t="n"/>
      <c r="Q943" s="75" t="n"/>
      <c r="R943" s="75" t="n"/>
      <c r="S943" s="75" t="n"/>
      <c r="T943" s="75" t="n"/>
      <c r="U943" s="75" t="n"/>
      <c r="V943" s="75" t="n"/>
      <c r="W943" s="75" t="n"/>
      <c r="X943" s="75" t="n"/>
      <c r="Y943" s="226">
        <f>IF(AND(A943="",B943=""),"",IF(AND(A943&lt;&gt;"",B943&lt;&gt;"",C943&lt;&gt;"",D943&lt;&gt;"",F943&lt;&gt;"",G943&lt;&gt;"",H943&lt;&gt;"",ISERROR(SEARCH("по паспорту",G943)),ISERROR(SEARCH("по паспорту",H943)),I943&lt;&gt;"",J943&lt;&gt;"",K943&lt;&gt;"",L943&lt;&gt;"",M943&lt;&gt;""),"ГОТОВО","НЕ ГОТОВО"))</f>
        <v/>
      </c>
      <c r="Z943" s="226">
        <f>IF(Y943&lt;&gt;"ГОТОВО","", "Предварительное заключение: "&amp;A943&amp;", скв. "&amp;B943&amp;". МРП: "&amp;E943&amp;" сут. ГНО: "&amp;F943&amp;", типоразмер "&amp;G943&amp;", марка "&amp;H943&amp;". Событие: "&amp;I943&amp;". Признак: "&amp;J943&amp;". Узел: "&amp;K943&amp;". Предварительная причина: "&amp;L943&amp;". Основное осложнение: "&amp;M943&amp;IF(N943&lt;&gt;"","; сопутствующее: "&amp;N943,"")&amp;IF(O943&lt;&gt;"","; дополнительно: "&amp;O943,"")&amp;".")</f>
        <v/>
      </c>
    </row>
    <row r="944">
      <c r="A944" s="75" t="n"/>
      <c r="B944" s="75" t="n"/>
      <c r="C944" s="261" t="n"/>
      <c r="D944" s="261" t="n"/>
      <c r="E944" s="262">
        <f>IF(OR(C944="",D944=""),"",D944-C944)</f>
        <v/>
      </c>
      <c r="F944" s="75" t="n"/>
      <c r="G944" s="75" t="n"/>
      <c r="H944" s="75" t="n"/>
      <c r="I944" s="75" t="n"/>
      <c r="J944" s="75" t="n"/>
      <c r="K944" s="75" t="n"/>
      <c r="L944" s="75" t="n"/>
      <c r="M944" s="75" t="n"/>
      <c r="N944" s="75" t="n"/>
      <c r="O944" s="75" t="n"/>
      <c r="P944" s="75" t="n"/>
      <c r="Q944" s="75" t="n"/>
      <c r="R944" s="75" t="n"/>
      <c r="S944" s="75" t="n"/>
      <c r="T944" s="75" t="n"/>
      <c r="U944" s="75" t="n"/>
      <c r="V944" s="75" t="n"/>
      <c r="W944" s="75" t="n"/>
      <c r="X944" s="75" t="n"/>
      <c r="Y944" s="226">
        <f>IF(AND(A944="",B944=""),"",IF(AND(A944&lt;&gt;"",B944&lt;&gt;"",C944&lt;&gt;"",D944&lt;&gt;"",F944&lt;&gt;"",G944&lt;&gt;"",H944&lt;&gt;"",ISERROR(SEARCH("по паспорту",G944)),ISERROR(SEARCH("по паспорту",H944)),I944&lt;&gt;"",J944&lt;&gt;"",K944&lt;&gt;"",L944&lt;&gt;"",M944&lt;&gt;""),"ГОТОВО","НЕ ГОТОВО"))</f>
        <v/>
      </c>
      <c r="Z944" s="226">
        <f>IF(Y944&lt;&gt;"ГОТОВО","", "Предварительное заключение: "&amp;A944&amp;", скв. "&amp;B944&amp;". МРП: "&amp;E944&amp;" сут. ГНО: "&amp;F944&amp;", типоразмер "&amp;G944&amp;", марка "&amp;H944&amp;". Событие: "&amp;I944&amp;". Признак: "&amp;J944&amp;". Узел: "&amp;K944&amp;". Предварительная причина: "&amp;L944&amp;". Основное осложнение: "&amp;M944&amp;IF(N944&lt;&gt;"","; сопутствующее: "&amp;N944,"")&amp;IF(O944&lt;&gt;"","; дополнительно: "&amp;O944,"")&amp;".")</f>
        <v/>
      </c>
    </row>
    <row r="945">
      <c r="A945" s="75" t="n"/>
      <c r="B945" s="75" t="n"/>
      <c r="C945" s="261" t="n"/>
      <c r="D945" s="261" t="n"/>
      <c r="E945" s="262">
        <f>IF(OR(C945="",D945=""),"",D945-C945)</f>
        <v/>
      </c>
      <c r="F945" s="75" t="n"/>
      <c r="G945" s="75" t="n"/>
      <c r="H945" s="75" t="n"/>
      <c r="I945" s="75" t="n"/>
      <c r="J945" s="75" t="n"/>
      <c r="K945" s="75" t="n"/>
      <c r="L945" s="75" t="n"/>
      <c r="M945" s="75" t="n"/>
      <c r="N945" s="75" t="n"/>
      <c r="O945" s="75" t="n"/>
      <c r="P945" s="75" t="n"/>
      <c r="Q945" s="75" t="n"/>
      <c r="R945" s="75" t="n"/>
      <c r="S945" s="75" t="n"/>
      <c r="T945" s="75" t="n"/>
      <c r="U945" s="75" t="n"/>
      <c r="V945" s="75" t="n"/>
      <c r="W945" s="75" t="n"/>
      <c r="X945" s="75" t="n"/>
      <c r="Y945" s="226">
        <f>IF(AND(A945="",B945=""),"",IF(AND(A945&lt;&gt;"",B945&lt;&gt;"",C945&lt;&gt;"",D945&lt;&gt;"",F945&lt;&gt;"",G945&lt;&gt;"",H945&lt;&gt;"",ISERROR(SEARCH("по паспорту",G945)),ISERROR(SEARCH("по паспорту",H945)),I945&lt;&gt;"",J945&lt;&gt;"",K945&lt;&gt;"",L945&lt;&gt;"",M945&lt;&gt;""),"ГОТОВО","НЕ ГОТОВО"))</f>
        <v/>
      </c>
      <c r="Z945" s="226">
        <f>IF(Y945&lt;&gt;"ГОТОВО","", "Предварительное заключение: "&amp;A945&amp;", скв. "&amp;B945&amp;". МРП: "&amp;E945&amp;" сут. ГНО: "&amp;F945&amp;", типоразмер "&amp;G945&amp;", марка "&amp;H945&amp;". Событие: "&amp;I945&amp;". Признак: "&amp;J945&amp;". Узел: "&amp;K945&amp;". Предварительная причина: "&amp;L945&amp;". Основное осложнение: "&amp;M945&amp;IF(N945&lt;&gt;"","; сопутствующее: "&amp;N945,"")&amp;IF(O945&lt;&gt;"","; дополнительно: "&amp;O945,"")&amp;".")</f>
        <v/>
      </c>
    </row>
    <row r="946">
      <c r="A946" s="75" t="n"/>
      <c r="B946" s="75" t="n"/>
      <c r="C946" s="261" t="n"/>
      <c r="D946" s="261" t="n"/>
      <c r="E946" s="262">
        <f>IF(OR(C946="",D946=""),"",D946-C946)</f>
        <v/>
      </c>
      <c r="F946" s="75" t="n"/>
      <c r="G946" s="75" t="n"/>
      <c r="H946" s="75" t="n"/>
      <c r="I946" s="75" t="n"/>
      <c r="J946" s="75" t="n"/>
      <c r="K946" s="75" t="n"/>
      <c r="L946" s="75" t="n"/>
      <c r="M946" s="75" t="n"/>
      <c r="N946" s="75" t="n"/>
      <c r="O946" s="75" t="n"/>
      <c r="P946" s="75" t="n"/>
      <c r="Q946" s="75" t="n"/>
      <c r="R946" s="75" t="n"/>
      <c r="S946" s="75" t="n"/>
      <c r="T946" s="75" t="n"/>
      <c r="U946" s="75" t="n"/>
      <c r="V946" s="75" t="n"/>
      <c r="W946" s="75" t="n"/>
      <c r="X946" s="75" t="n"/>
      <c r="Y946" s="226">
        <f>IF(AND(A946="",B946=""),"",IF(AND(A946&lt;&gt;"",B946&lt;&gt;"",C946&lt;&gt;"",D946&lt;&gt;"",F946&lt;&gt;"",G946&lt;&gt;"",H946&lt;&gt;"",ISERROR(SEARCH("по паспорту",G946)),ISERROR(SEARCH("по паспорту",H946)),I946&lt;&gt;"",J946&lt;&gt;"",K946&lt;&gt;"",L946&lt;&gt;"",M946&lt;&gt;""),"ГОТОВО","НЕ ГОТОВО"))</f>
        <v/>
      </c>
      <c r="Z946" s="226">
        <f>IF(Y946&lt;&gt;"ГОТОВО","", "Предварительное заключение: "&amp;A946&amp;", скв. "&amp;B946&amp;". МРП: "&amp;E946&amp;" сут. ГНО: "&amp;F946&amp;", типоразмер "&amp;G946&amp;", марка "&amp;H946&amp;". Событие: "&amp;I946&amp;". Признак: "&amp;J946&amp;". Узел: "&amp;K946&amp;". Предварительная причина: "&amp;L946&amp;". Основное осложнение: "&amp;M946&amp;IF(N946&lt;&gt;"","; сопутствующее: "&amp;N946,"")&amp;IF(O946&lt;&gt;"","; дополнительно: "&amp;O946,"")&amp;".")</f>
        <v/>
      </c>
    </row>
    <row r="947">
      <c r="A947" s="75" t="n"/>
      <c r="B947" s="75" t="n"/>
      <c r="C947" s="261" t="n"/>
      <c r="D947" s="261" t="n"/>
      <c r="E947" s="262">
        <f>IF(OR(C947="",D947=""),"",D947-C947)</f>
        <v/>
      </c>
      <c r="F947" s="75" t="n"/>
      <c r="G947" s="75" t="n"/>
      <c r="H947" s="75" t="n"/>
      <c r="I947" s="75" t="n"/>
      <c r="J947" s="75" t="n"/>
      <c r="K947" s="75" t="n"/>
      <c r="L947" s="75" t="n"/>
      <c r="M947" s="75" t="n"/>
      <c r="N947" s="75" t="n"/>
      <c r="O947" s="75" t="n"/>
      <c r="P947" s="75" t="n"/>
      <c r="Q947" s="75" t="n"/>
      <c r="R947" s="75" t="n"/>
      <c r="S947" s="75" t="n"/>
      <c r="T947" s="75" t="n"/>
      <c r="U947" s="75" t="n"/>
      <c r="V947" s="75" t="n"/>
      <c r="W947" s="75" t="n"/>
      <c r="X947" s="75" t="n"/>
      <c r="Y947" s="226">
        <f>IF(AND(A947="",B947=""),"",IF(AND(A947&lt;&gt;"",B947&lt;&gt;"",C947&lt;&gt;"",D947&lt;&gt;"",F947&lt;&gt;"",G947&lt;&gt;"",H947&lt;&gt;"",ISERROR(SEARCH("по паспорту",G947)),ISERROR(SEARCH("по паспорту",H947)),I947&lt;&gt;"",J947&lt;&gt;"",K947&lt;&gt;"",L947&lt;&gt;"",M947&lt;&gt;""),"ГОТОВО","НЕ ГОТОВО"))</f>
        <v/>
      </c>
      <c r="Z947" s="226">
        <f>IF(Y947&lt;&gt;"ГОТОВО","", "Предварительное заключение: "&amp;A947&amp;", скв. "&amp;B947&amp;". МРП: "&amp;E947&amp;" сут. ГНО: "&amp;F947&amp;", типоразмер "&amp;G947&amp;", марка "&amp;H947&amp;". Событие: "&amp;I947&amp;". Признак: "&amp;J947&amp;". Узел: "&amp;K947&amp;". Предварительная причина: "&amp;L947&amp;". Основное осложнение: "&amp;M947&amp;IF(N947&lt;&gt;"","; сопутствующее: "&amp;N947,"")&amp;IF(O947&lt;&gt;"","; дополнительно: "&amp;O947,"")&amp;".")</f>
        <v/>
      </c>
    </row>
    <row r="948">
      <c r="A948" s="75" t="n"/>
      <c r="B948" s="75" t="n"/>
      <c r="C948" s="261" t="n"/>
      <c r="D948" s="261" t="n"/>
      <c r="E948" s="262">
        <f>IF(OR(C948="",D948=""),"",D948-C948)</f>
        <v/>
      </c>
      <c r="F948" s="75" t="n"/>
      <c r="G948" s="75" t="n"/>
      <c r="H948" s="75" t="n"/>
      <c r="I948" s="75" t="n"/>
      <c r="J948" s="75" t="n"/>
      <c r="K948" s="75" t="n"/>
      <c r="L948" s="75" t="n"/>
      <c r="M948" s="75" t="n"/>
      <c r="N948" s="75" t="n"/>
      <c r="O948" s="75" t="n"/>
      <c r="P948" s="75" t="n"/>
      <c r="Q948" s="75" t="n"/>
      <c r="R948" s="75" t="n"/>
      <c r="S948" s="75" t="n"/>
      <c r="T948" s="75" t="n"/>
      <c r="U948" s="75" t="n"/>
      <c r="V948" s="75" t="n"/>
      <c r="W948" s="75" t="n"/>
      <c r="X948" s="75" t="n"/>
      <c r="Y948" s="226">
        <f>IF(AND(A948="",B948=""),"",IF(AND(A948&lt;&gt;"",B948&lt;&gt;"",C948&lt;&gt;"",D948&lt;&gt;"",F948&lt;&gt;"",G948&lt;&gt;"",H948&lt;&gt;"",ISERROR(SEARCH("по паспорту",G948)),ISERROR(SEARCH("по паспорту",H948)),I948&lt;&gt;"",J948&lt;&gt;"",K948&lt;&gt;"",L948&lt;&gt;"",M948&lt;&gt;""),"ГОТОВО","НЕ ГОТОВО"))</f>
        <v/>
      </c>
      <c r="Z948" s="226">
        <f>IF(Y948&lt;&gt;"ГОТОВО","", "Предварительное заключение: "&amp;A948&amp;", скв. "&amp;B948&amp;". МРП: "&amp;E948&amp;" сут. ГНО: "&amp;F948&amp;", типоразмер "&amp;G948&amp;", марка "&amp;H948&amp;". Событие: "&amp;I948&amp;". Признак: "&amp;J948&amp;". Узел: "&amp;K948&amp;". Предварительная причина: "&amp;L948&amp;". Основное осложнение: "&amp;M948&amp;IF(N948&lt;&gt;"","; сопутствующее: "&amp;N948,"")&amp;IF(O948&lt;&gt;"","; дополнительно: "&amp;O948,"")&amp;".")</f>
        <v/>
      </c>
    </row>
    <row r="949">
      <c r="A949" s="75" t="n"/>
      <c r="B949" s="75" t="n"/>
      <c r="C949" s="261" t="n"/>
      <c r="D949" s="261" t="n"/>
      <c r="E949" s="262">
        <f>IF(OR(C949="",D949=""),"",D949-C949)</f>
        <v/>
      </c>
      <c r="F949" s="75" t="n"/>
      <c r="G949" s="75" t="n"/>
      <c r="H949" s="75" t="n"/>
      <c r="I949" s="75" t="n"/>
      <c r="J949" s="75" t="n"/>
      <c r="K949" s="75" t="n"/>
      <c r="L949" s="75" t="n"/>
      <c r="M949" s="75" t="n"/>
      <c r="N949" s="75" t="n"/>
      <c r="O949" s="75" t="n"/>
      <c r="P949" s="75" t="n"/>
      <c r="Q949" s="75" t="n"/>
      <c r="R949" s="75" t="n"/>
      <c r="S949" s="75" t="n"/>
      <c r="T949" s="75" t="n"/>
      <c r="U949" s="75" t="n"/>
      <c r="V949" s="75" t="n"/>
      <c r="W949" s="75" t="n"/>
      <c r="X949" s="75" t="n"/>
      <c r="Y949" s="226">
        <f>IF(AND(A949="",B949=""),"",IF(AND(A949&lt;&gt;"",B949&lt;&gt;"",C949&lt;&gt;"",D949&lt;&gt;"",F949&lt;&gt;"",G949&lt;&gt;"",H949&lt;&gt;"",ISERROR(SEARCH("по паспорту",G949)),ISERROR(SEARCH("по паспорту",H949)),I949&lt;&gt;"",J949&lt;&gt;"",K949&lt;&gt;"",L949&lt;&gt;"",M949&lt;&gt;""),"ГОТОВО","НЕ ГОТОВО"))</f>
        <v/>
      </c>
      <c r="Z949" s="226">
        <f>IF(Y949&lt;&gt;"ГОТОВО","", "Предварительное заключение: "&amp;A949&amp;", скв. "&amp;B949&amp;". МРП: "&amp;E949&amp;" сут. ГНО: "&amp;F949&amp;", типоразмер "&amp;G949&amp;", марка "&amp;H949&amp;". Событие: "&amp;I949&amp;". Признак: "&amp;J949&amp;". Узел: "&amp;K949&amp;". Предварительная причина: "&amp;L949&amp;". Основное осложнение: "&amp;M949&amp;IF(N949&lt;&gt;"","; сопутствующее: "&amp;N949,"")&amp;IF(O949&lt;&gt;"","; дополнительно: "&amp;O949,"")&amp;".")</f>
        <v/>
      </c>
    </row>
    <row r="950">
      <c r="A950" s="75" t="n"/>
      <c r="B950" s="75" t="n"/>
      <c r="C950" s="261" t="n"/>
      <c r="D950" s="261" t="n"/>
      <c r="E950" s="262">
        <f>IF(OR(C950="",D950=""),"",D950-C950)</f>
        <v/>
      </c>
      <c r="F950" s="75" t="n"/>
      <c r="G950" s="75" t="n"/>
      <c r="H950" s="75" t="n"/>
      <c r="I950" s="75" t="n"/>
      <c r="J950" s="75" t="n"/>
      <c r="K950" s="75" t="n"/>
      <c r="L950" s="75" t="n"/>
      <c r="M950" s="75" t="n"/>
      <c r="N950" s="75" t="n"/>
      <c r="O950" s="75" t="n"/>
      <c r="P950" s="75" t="n"/>
      <c r="Q950" s="75" t="n"/>
      <c r="R950" s="75" t="n"/>
      <c r="S950" s="75" t="n"/>
      <c r="T950" s="75" t="n"/>
      <c r="U950" s="75" t="n"/>
      <c r="V950" s="75" t="n"/>
      <c r="W950" s="75" t="n"/>
      <c r="X950" s="75" t="n"/>
      <c r="Y950" s="226">
        <f>IF(AND(A950="",B950=""),"",IF(AND(A950&lt;&gt;"",B950&lt;&gt;"",C950&lt;&gt;"",D950&lt;&gt;"",F950&lt;&gt;"",G950&lt;&gt;"",H950&lt;&gt;"",ISERROR(SEARCH("по паспорту",G950)),ISERROR(SEARCH("по паспорту",H950)),I950&lt;&gt;"",J950&lt;&gt;"",K950&lt;&gt;"",L950&lt;&gt;"",M950&lt;&gt;""),"ГОТОВО","НЕ ГОТОВО"))</f>
        <v/>
      </c>
      <c r="Z950" s="226">
        <f>IF(Y950&lt;&gt;"ГОТОВО","", "Предварительное заключение: "&amp;A950&amp;", скв. "&amp;B950&amp;". МРП: "&amp;E950&amp;" сут. ГНО: "&amp;F950&amp;", типоразмер "&amp;G950&amp;", марка "&amp;H950&amp;". Событие: "&amp;I950&amp;". Признак: "&amp;J950&amp;". Узел: "&amp;K950&amp;". Предварительная причина: "&amp;L950&amp;". Основное осложнение: "&amp;M950&amp;IF(N950&lt;&gt;"","; сопутствующее: "&amp;N950,"")&amp;IF(O950&lt;&gt;"","; дополнительно: "&amp;O950,"")&amp;".")</f>
        <v/>
      </c>
    </row>
    <row r="951">
      <c r="A951" s="75" t="n"/>
      <c r="B951" s="75" t="n"/>
      <c r="C951" s="261" t="n"/>
      <c r="D951" s="261" t="n"/>
      <c r="E951" s="262">
        <f>IF(OR(C951="",D951=""),"",D951-C951)</f>
        <v/>
      </c>
      <c r="F951" s="75" t="n"/>
      <c r="G951" s="75" t="n"/>
      <c r="H951" s="75" t="n"/>
      <c r="I951" s="75" t="n"/>
      <c r="J951" s="75" t="n"/>
      <c r="K951" s="75" t="n"/>
      <c r="L951" s="75" t="n"/>
      <c r="M951" s="75" t="n"/>
      <c r="N951" s="75" t="n"/>
      <c r="O951" s="75" t="n"/>
      <c r="P951" s="75" t="n"/>
      <c r="Q951" s="75" t="n"/>
      <c r="R951" s="75" t="n"/>
      <c r="S951" s="75" t="n"/>
      <c r="T951" s="75" t="n"/>
      <c r="U951" s="75" t="n"/>
      <c r="V951" s="75" t="n"/>
      <c r="W951" s="75" t="n"/>
      <c r="X951" s="75" t="n"/>
      <c r="Y951" s="226">
        <f>IF(AND(A951="",B951=""),"",IF(AND(A951&lt;&gt;"",B951&lt;&gt;"",C951&lt;&gt;"",D951&lt;&gt;"",F951&lt;&gt;"",G951&lt;&gt;"",H951&lt;&gt;"",ISERROR(SEARCH("по паспорту",G951)),ISERROR(SEARCH("по паспорту",H951)),I951&lt;&gt;"",J951&lt;&gt;"",K951&lt;&gt;"",L951&lt;&gt;"",M951&lt;&gt;""),"ГОТОВО","НЕ ГОТОВО"))</f>
        <v/>
      </c>
      <c r="Z951" s="226">
        <f>IF(Y951&lt;&gt;"ГОТОВО","", "Предварительное заключение: "&amp;A951&amp;", скв. "&amp;B951&amp;". МРП: "&amp;E951&amp;" сут. ГНО: "&amp;F951&amp;", типоразмер "&amp;G951&amp;", марка "&amp;H951&amp;". Событие: "&amp;I951&amp;". Признак: "&amp;J951&amp;". Узел: "&amp;K951&amp;". Предварительная причина: "&amp;L951&amp;". Основное осложнение: "&amp;M951&amp;IF(N951&lt;&gt;"","; сопутствующее: "&amp;N951,"")&amp;IF(O951&lt;&gt;"","; дополнительно: "&amp;O951,"")&amp;".")</f>
        <v/>
      </c>
    </row>
    <row r="952">
      <c r="A952" s="75" t="n"/>
      <c r="B952" s="75" t="n"/>
      <c r="C952" s="261" t="n"/>
      <c r="D952" s="261" t="n"/>
      <c r="E952" s="262">
        <f>IF(OR(C952="",D952=""),"",D952-C952)</f>
        <v/>
      </c>
      <c r="F952" s="75" t="n"/>
      <c r="G952" s="75" t="n"/>
      <c r="H952" s="75" t="n"/>
      <c r="I952" s="75" t="n"/>
      <c r="J952" s="75" t="n"/>
      <c r="K952" s="75" t="n"/>
      <c r="L952" s="75" t="n"/>
      <c r="M952" s="75" t="n"/>
      <c r="N952" s="75" t="n"/>
      <c r="O952" s="75" t="n"/>
      <c r="P952" s="75" t="n"/>
      <c r="Q952" s="75" t="n"/>
      <c r="R952" s="75" t="n"/>
      <c r="S952" s="75" t="n"/>
      <c r="T952" s="75" t="n"/>
      <c r="U952" s="75" t="n"/>
      <c r="V952" s="75" t="n"/>
      <c r="W952" s="75" t="n"/>
      <c r="X952" s="75" t="n"/>
      <c r="Y952" s="226">
        <f>IF(AND(A952="",B952=""),"",IF(AND(A952&lt;&gt;"",B952&lt;&gt;"",C952&lt;&gt;"",D952&lt;&gt;"",F952&lt;&gt;"",G952&lt;&gt;"",H952&lt;&gt;"",ISERROR(SEARCH("по паспорту",G952)),ISERROR(SEARCH("по паспорту",H952)),I952&lt;&gt;"",J952&lt;&gt;"",K952&lt;&gt;"",L952&lt;&gt;"",M952&lt;&gt;""),"ГОТОВО","НЕ ГОТОВО"))</f>
        <v/>
      </c>
      <c r="Z952" s="226">
        <f>IF(Y952&lt;&gt;"ГОТОВО","", "Предварительное заключение: "&amp;A952&amp;", скв. "&amp;B952&amp;". МРП: "&amp;E952&amp;" сут. ГНО: "&amp;F952&amp;", типоразмер "&amp;G952&amp;", марка "&amp;H952&amp;". Событие: "&amp;I952&amp;". Признак: "&amp;J952&amp;". Узел: "&amp;K952&amp;". Предварительная причина: "&amp;L952&amp;". Основное осложнение: "&amp;M952&amp;IF(N952&lt;&gt;"","; сопутствующее: "&amp;N952,"")&amp;IF(O952&lt;&gt;"","; дополнительно: "&amp;O952,"")&amp;".")</f>
        <v/>
      </c>
    </row>
    <row r="953">
      <c r="A953" s="75" t="n"/>
      <c r="B953" s="75" t="n"/>
      <c r="C953" s="261" t="n"/>
      <c r="D953" s="261" t="n"/>
      <c r="E953" s="262">
        <f>IF(OR(C953="",D953=""),"",D953-C953)</f>
        <v/>
      </c>
      <c r="F953" s="75" t="n"/>
      <c r="G953" s="75" t="n"/>
      <c r="H953" s="75" t="n"/>
      <c r="I953" s="75" t="n"/>
      <c r="J953" s="75" t="n"/>
      <c r="K953" s="75" t="n"/>
      <c r="L953" s="75" t="n"/>
      <c r="M953" s="75" t="n"/>
      <c r="N953" s="75" t="n"/>
      <c r="O953" s="75" t="n"/>
      <c r="P953" s="75" t="n"/>
      <c r="Q953" s="75" t="n"/>
      <c r="R953" s="75" t="n"/>
      <c r="S953" s="75" t="n"/>
      <c r="T953" s="75" t="n"/>
      <c r="U953" s="75" t="n"/>
      <c r="V953" s="75" t="n"/>
      <c r="W953" s="75" t="n"/>
      <c r="X953" s="75" t="n"/>
      <c r="Y953" s="226">
        <f>IF(AND(A953="",B953=""),"",IF(AND(A953&lt;&gt;"",B953&lt;&gt;"",C953&lt;&gt;"",D953&lt;&gt;"",F953&lt;&gt;"",G953&lt;&gt;"",H953&lt;&gt;"",ISERROR(SEARCH("по паспорту",G953)),ISERROR(SEARCH("по паспорту",H953)),I953&lt;&gt;"",J953&lt;&gt;"",K953&lt;&gt;"",L953&lt;&gt;"",M953&lt;&gt;""),"ГОТОВО","НЕ ГОТОВО"))</f>
        <v/>
      </c>
      <c r="Z953" s="226">
        <f>IF(Y953&lt;&gt;"ГОТОВО","", "Предварительное заключение: "&amp;A953&amp;", скв. "&amp;B953&amp;". МРП: "&amp;E953&amp;" сут. ГНО: "&amp;F953&amp;", типоразмер "&amp;G953&amp;", марка "&amp;H953&amp;". Событие: "&amp;I953&amp;". Признак: "&amp;J953&amp;". Узел: "&amp;K953&amp;". Предварительная причина: "&amp;L953&amp;". Основное осложнение: "&amp;M953&amp;IF(N953&lt;&gt;"","; сопутствующее: "&amp;N953,"")&amp;IF(O953&lt;&gt;"","; дополнительно: "&amp;O953,"")&amp;".")</f>
        <v/>
      </c>
    </row>
    <row r="954">
      <c r="A954" s="75" t="n"/>
      <c r="B954" s="75" t="n"/>
      <c r="C954" s="261" t="n"/>
      <c r="D954" s="261" t="n"/>
      <c r="E954" s="262">
        <f>IF(OR(C954="",D954=""),"",D954-C954)</f>
        <v/>
      </c>
      <c r="F954" s="75" t="n"/>
      <c r="G954" s="75" t="n"/>
      <c r="H954" s="75" t="n"/>
      <c r="I954" s="75" t="n"/>
      <c r="J954" s="75" t="n"/>
      <c r="K954" s="75" t="n"/>
      <c r="L954" s="75" t="n"/>
      <c r="M954" s="75" t="n"/>
      <c r="N954" s="75" t="n"/>
      <c r="O954" s="75" t="n"/>
      <c r="P954" s="75" t="n"/>
      <c r="Q954" s="75" t="n"/>
      <c r="R954" s="75" t="n"/>
      <c r="S954" s="75" t="n"/>
      <c r="T954" s="75" t="n"/>
      <c r="U954" s="75" t="n"/>
      <c r="V954" s="75" t="n"/>
      <c r="W954" s="75" t="n"/>
      <c r="X954" s="75" t="n"/>
      <c r="Y954" s="226">
        <f>IF(AND(A954="",B954=""),"",IF(AND(A954&lt;&gt;"",B954&lt;&gt;"",C954&lt;&gt;"",D954&lt;&gt;"",F954&lt;&gt;"",G954&lt;&gt;"",H954&lt;&gt;"",ISERROR(SEARCH("по паспорту",G954)),ISERROR(SEARCH("по паспорту",H954)),I954&lt;&gt;"",J954&lt;&gt;"",K954&lt;&gt;"",L954&lt;&gt;"",M954&lt;&gt;""),"ГОТОВО","НЕ ГОТОВО"))</f>
        <v/>
      </c>
      <c r="Z954" s="226">
        <f>IF(Y954&lt;&gt;"ГОТОВО","", "Предварительное заключение: "&amp;A954&amp;", скв. "&amp;B954&amp;". МРП: "&amp;E954&amp;" сут. ГНО: "&amp;F954&amp;", типоразмер "&amp;G954&amp;", марка "&amp;H954&amp;". Событие: "&amp;I954&amp;". Признак: "&amp;J954&amp;". Узел: "&amp;K954&amp;". Предварительная причина: "&amp;L954&amp;". Основное осложнение: "&amp;M954&amp;IF(N954&lt;&gt;"","; сопутствующее: "&amp;N954,"")&amp;IF(O954&lt;&gt;"","; дополнительно: "&amp;O954,"")&amp;".")</f>
        <v/>
      </c>
    </row>
    <row r="955">
      <c r="A955" s="75" t="n"/>
      <c r="B955" s="75" t="n"/>
      <c r="C955" s="261" t="n"/>
      <c r="D955" s="261" t="n"/>
      <c r="E955" s="262">
        <f>IF(OR(C955="",D955=""),"",D955-C955)</f>
        <v/>
      </c>
      <c r="F955" s="75" t="n"/>
      <c r="G955" s="75" t="n"/>
      <c r="H955" s="75" t="n"/>
      <c r="I955" s="75" t="n"/>
      <c r="J955" s="75" t="n"/>
      <c r="K955" s="75" t="n"/>
      <c r="L955" s="75" t="n"/>
      <c r="M955" s="75" t="n"/>
      <c r="N955" s="75" t="n"/>
      <c r="O955" s="75" t="n"/>
      <c r="P955" s="75" t="n"/>
      <c r="Q955" s="75" t="n"/>
      <c r="R955" s="75" t="n"/>
      <c r="S955" s="75" t="n"/>
      <c r="T955" s="75" t="n"/>
      <c r="U955" s="75" t="n"/>
      <c r="V955" s="75" t="n"/>
      <c r="W955" s="75" t="n"/>
      <c r="X955" s="75" t="n"/>
      <c r="Y955" s="226">
        <f>IF(AND(A955="",B955=""),"",IF(AND(A955&lt;&gt;"",B955&lt;&gt;"",C955&lt;&gt;"",D955&lt;&gt;"",F955&lt;&gt;"",G955&lt;&gt;"",H955&lt;&gt;"",ISERROR(SEARCH("по паспорту",G955)),ISERROR(SEARCH("по паспорту",H955)),I955&lt;&gt;"",J955&lt;&gt;"",K955&lt;&gt;"",L955&lt;&gt;"",M955&lt;&gt;""),"ГОТОВО","НЕ ГОТОВО"))</f>
        <v/>
      </c>
      <c r="Z955" s="226">
        <f>IF(Y955&lt;&gt;"ГОТОВО","", "Предварительное заключение: "&amp;A955&amp;", скв. "&amp;B955&amp;". МРП: "&amp;E955&amp;" сут. ГНО: "&amp;F955&amp;", типоразмер "&amp;G955&amp;", марка "&amp;H955&amp;". Событие: "&amp;I955&amp;". Признак: "&amp;J955&amp;". Узел: "&amp;K955&amp;". Предварительная причина: "&amp;L955&amp;". Основное осложнение: "&amp;M955&amp;IF(N955&lt;&gt;"","; сопутствующее: "&amp;N955,"")&amp;IF(O955&lt;&gt;"","; дополнительно: "&amp;O955,"")&amp;".")</f>
        <v/>
      </c>
    </row>
    <row r="956">
      <c r="A956" s="75" t="n"/>
      <c r="B956" s="75" t="n"/>
      <c r="C956" s="261" t="n"/>
      <c r="D956" s="261" t="n"/>
      <c r="E956" s="262">
        <f>IF(OR(C956="",D956=""),"",D956-C956)</f>
        <v/>
      </c>
      <c r="F956" s="75" t="n"/>
      <c r="G956" s="75" t="n"/>
      <c r="H956" s="75" t="n"/>
      <c r="I956" s="75" t="n"/>
      <c r="J956" s="75" t="n"/>
      <c r="K956" s="75" t="n"/>
      <c r="L956" s="75" t="n"/>
      <c r="M956" s="75" t="n"/>
      <c r="N956" s="75" t="n"/>
      <c r="O956" s="75" t="n"/>
      <c r="P956" s="75" t="n"/>
      <c r="Q956" s="75" t="n"/>
      <c r="R956" s="75" t="n"/>
      <c r="S956" s="75" t="n"/>
      <c r="T956" s="75" t="n"/>
      <c r="U956" s="75" t="n"/>
      <c r="V956" s="75" t="n"/>
      <c r="W956" s="75" t="n"/>
      <c r="X956" s="75" t="n"/>
      <c r="Y956" s="226">
        <f>IF(AND(A956="",B956=""),"",IF(AND(A956&lt;&gt;"",B956&lt;&gt;"",C956&lt;&gt;"",D956&lt;&gt;"",F956&lt;&gt;"",G956&lt;&gt;"",H956&lt;&gt;"",ISERROR(SEARCH("по паспорту",G956)),ISERROR(SEARCH("по паспорту",H956)),I956&lt;&gt;"",J956&lt;&gt;"",K956&lt;&gt;"",L956&lt;&gt;"",M956&lt;&gt;""),"ГОТОВО","НЕ ГОТОВО"))</f>
        <v/>
      </c>
      <c r="Z956" s="226">
        <f>IF(Y956&lt;&gt;"ГОТОВО","", "Предварительное заключение: "&amp;A956&amp;", скв. "&amp;B956&amp;". МРП: "&amp;E956&amp;" сут. ГНО: "&amp;F956&amp;", типоразмер "&amp;G956&amp;", марка "&amp;H956&amp;". Событие: "&amp;I956&amp;". Признак: "&amp;J956&amp;". Узел: "&amp;K956&amp;". Предварительная причина: "&amp;L956&amp;". Основное осложнение: "&amp;M956&amp;IF(N956&lt;&gt;"","; сопутствующее: "&amp;N956,"")&amp;IF(O956&lt;&gt;"","; дополнительно: "&amp;O956,"")&amp;".")</f>
        <v/>
      </c>
    </row>
    <row r="957">
      <c r="A957" s="75" t="n"/>
      <c r="B957" s="75" t="n"/>
      <c r="C957" s="261" t="n"/>
      <c r="D957" s="261" t="n"/>
      <c r="E957" s="262">
        <f>IF(OR(C957="",D957=""),"",D957-C957)</f>
        <v/>
      </c>
      <c r="F957" s="75" t="n"/>
      <c r="G957" s="75" t="n"/>
      <c r="H957" s="75" t="n"/>
      <c r="I957" s="75" t="n"/>
      <c r="J957" s="75" t="n"/>
      <c r="K957" s="75" t="n"/>
      <c r="L957" s="75" t="n"/>
      <c r="M957" s="75" t="n"/>
      <c r="N957" s="75" t="n"/>
      <c r="O957" s="75" t="n"/>
      <c r="P957" s="75" t="n"/>
      <c r="Q957" s="75" t="n"/>
      <c r="R957" s="75" t="n"/>
      <c r="S957" s="75" t="n"/>
      <c r="T957" s="75" t="n"/>
      <c r="U957" s="75" t="n"/>
      <c r="V957" s="75" t="n"/>
      <c r="W957" s="75" t="n"/>
      <c r="X957" s="75" t="n"/>
      <c r="Y957" s="226">
        <f>IF(AND(A957="",B957=""),"",IF(AND(A957&lt;&gt;"",B957&lt;&gt;"",C957&lt;&gt;"",D957&lt;&gt;"",F957&lt;&gt;"",G957&lt;&gt;"",H957&lt;&gt;"",ISERROR(SEARCH("по паспорту",G957)),ISERROR(SEARCH("по паспорту",H957)),I957&lt;&gt;"",J957&lt;&gt;"",K957&lt;&gt;"",L957&lt;&gt;"",M957&lt;&gt;""),"ГОТОВО","НЕ ГОТОВО"))</f>
        <v/>
      </c>
      <c r="Z957" s="226">
        <f>IF(Y957&lt;&gt;"ГОТОВО","", "Предварительное заключение: "&amp;A957&amp;", скв. "&amp;B957&amp;". МРП: "&amp;E957&amp;" сут. ГНО: "&amp;F957&amp;", типоразмер "&amp;G957&amp;", марка "&amp;H957&amp;". Событие: "&amp;I957&amp;". Признак: "&amp;J957&amp;". Узел: "&amp;K957&amp;". Предварительная причина: "&amp;L957&amp;". Основное осложнение: "&amp;M957&amp;IF(N957&lt;&gt;"","; сопутствующее: "&amp;N957,"")&amp;IF(O957&lt;&gt;"","; дополнительно: "&amp;O957,"")&amp;".")</f>
        <v/>
      </c>
    </row>
    <row r="958">
      <c r="A958" s="75" t="n"/>
      <c r="B958" s="75" t="n"/>
      <c r="C958" s="261" t="n"/>
      <c r="D958" s="261" t="n"/>
      <c r="E958" s="262">
        <f>IF(OR(C958="",D958=""),"",D958-C958)</f>
        <v/>
      </c>
      <c r="F958" s="75" t="n"/>
      <c r="G958" s="75" t="n"/>
      <c r="H958" s="75" t="n"/>
      <c r="I958" s="75" t="n"/>
      <c r="J958" s="75" t="n"/>
      <c r="K958" s="75" t="n"/>
      <c r="L958" s="75" t="n"/>
      <c r="M958" s="75" t="n"/>
      <c r="N958" s="75" t="n"/>
      <c r="O958" s="75" t="n"/>
      <c r="P958" s="75" t="n"/>
      <c r="Q958" s="75" t="n"/>
      <c r="R958" s="75" t="n"/>
      <c r="S958" s="75" t="n"/>
      <c r="T958" s="75" t="n"/>
      <c r="U958" s="75" t="n"/>
      <c r="V958" s="75" t="n"/>
      <c r="W958" s="75" t="n"/>
      <c r="X958" s="75" t="n"/>
      <c r="Y958" s="226">
        <f>IF(AND(A958="",B958=""),"",IF(AND(A958&lt;&gt;"",B958&lt;&gt;"",C958&lt;&gt;"",D958&lt;&gt;"",F958&lt;&gt;"",G958&lt;&gt;"",H958&lt;&gt;"",ISERROR(SEARCH("по паспорту",G958)),ISERROR(SEARCH("по паспорту",H958)),I958&lt;&gt;"",J958&lt;&gt;"",K958&lt;&gt;"",L958&lt;&gt;"",M958&lt;&gt;""),"ГОТОВО","НЕ ГОТОВО"))</f>
        <v/>
      </c>
      <c r="Z958" s="226">
        <f>IF(Y958&lt;&gt;"ГОТОВО","", "Предварительное заключение: "&amp;A958&amp;", скв. "&amp;B958&amp;". МРП: "&amp;E958&amp;" сут. ГНО: "&amp;F958&amp;", типоразмер "&amp;G958&amp;", марка "&amp;H958&amp;". Событие: "&amp;I958&amp;". Признак: "&amp;J958&amp;". Узел: "&amp;K958&amp;". Предварительная причина: "&amp;L958&amp;". Основное осложнение: "&amp;M958&amp;IF(N958&lt;&gt;"","; сопутствующее: "&amp;N958,"")&amp;IF(O958&lt;&gt;"","; дополнительно: "&amp;O958,"")&amp;".")</f>
        <v/>
      </c>
    </row>
    <row r="959">
      <c r="A959" s="75" t="n"/>
      <c r="B959" s="75" t="n"/>
      <c r="C959" s="261" t="n"/>
      <c r="D959" s="261" t="n"/>
      <c r="E959" s="262">
        <f>IF(OR(C959="",D959=""),"",D959-C959)</f>
        <v/>
      </c>
      <c r="F959" s="75" t="n"/>
      <c r="G959" s="75" t="n"/>
      <c r="H959" s="75" t="n"/>
      <c r="I959" s="75" t="n"/>
      <c r="J959" s="75" t="n"/>
      <c r="K959" s="75" t="n"/>
      <c r="L959" s="75" t="n"/>
      <c r="M959" s="75" t="n"/>
      <c r="N959" s="75" t="n"/>
      <c r="O959" s="75" t="n"/>
      <c r="P959" s="75" t="n"/>
      <c r="Q959" s="75" t="n"/>
      <c r="R959" s="75" t="n"/>
      <c r="S959" s="75" t="n"/>
      <c r="T959" s="75" t="n"/>
      <c r="U959" s="75" t="n"/>
      <c r="V959" s="75" t="n"/>
      <c r="W959" s="75" t="n"/>
      <c r="X959" s="75" t="n"/>
      <c r="Y959" s="226">
        <f>IF(AND(A959="",B959=""),"",IF(AND(A959&lt;&gt;"",B959&lt;&gt;"",C959&lt;&gt;"",D959&lt;&gt;"",F959&lt;&gt;"",G959&lt;&gt;"",H959&lt;&gt;"",ISERROR(SEARCH("по паспорту",G959)),ISERROR(SEARCH("по паспорту",H959)),I959&lt;&gt;"",J959&lt;&gt;"",K959&lt;&gt;"",L959&lt;&gt;"",M959&lt;&gt;""),"ГОТОВО","НЕ ГОТОВО"))</f>
        <v/>
      </c>
      <c r="Z959" s="226">
        <f>IF(Y959&lt;&gt;"ГОТОВО","", "Предварительное заключение: "&amp;A959&amp;", скв. "&amp;B959&amp;". МРП: "&amp;E959&amp;" сут. ГНО: "&amp;F959&amp;", типоразмер "&amp;G959&amp;", марка "&amp;H959&amp;". Событие: "&amp;I959&amp;". Признак: "&amp;J959&amp;". Узел: "&amp;K959&amp;". Предварительная причина: "&amp;L959&amp;". Основное осложнение: "&amp;M959&amp;IF(N959&lt;&gt;"","; сопутствующее: "&amp;N959,"")&amp;IF(O959&lt;&gt;"","; дополнительно: "&amp;O959,"")&amp;".")</f>
        <v/>
      </c>
    </row>
    <row r="960">
      <c r="A960" s="75" t="n"/>
      <c r="B960" s="75" t="n"/>
      <c r="C960" s="261" t="n"/>
      <c r="D960" s="261" t="n"/>
      <c r="E960" s="262">
        <f>IF(OR(C960="",D960=""),"",D960-C960)</f>
        <v/>
      </c>
      <c r="F960" s="75" t="n"/>
      <c r="G960" s="75" t="n"/>
      <c r="H960" s="75" t="n"/>
      <c r="I960" s="75" t="n"/>
      <c r="J960" s="75" t="n"/>
      <c r="K960" s="75" t="n"/>
      <c r="L960" s="75" t="n"/>
      <c r="M960" s="75" t="n"/>
      <c r="N960" s="75" t="n"/>
      <c r="O960" s="75" t="n"/>
      <c r="P960" s="75" t="n"/>
      <c r="Q960" s="75" t="n"/>
      <c r="R960" s="75" t="n"/>
      <c r="S960" s="75" t="n"/>
      <c r="T960" s="75" t="n"/>
      <c r="U960" s="75" t="n"/>
      <c r="V960" s="75" t="n"/>
      <c r="W960" s="75" t="n"/>
      <c r="X960" s="75" t="n"/>
      <c r="Y960" s="226">
        <f>IF(AND(A960="",B960=""),"",IF(AND(A960&lt;&gt;"",B960&lt;&gt;"",C960&lt;&gt;"",D960&lt;&gt;"",F960&lt;&gt;"",G960&lt;&gt;"",H960&lt;&gt;"",ISERROR(SEARCH("по паспорту",G960)),ISERROR(SEARCH("по паспорту",H960)),I960&lt;&gt;"",J960&lt;&gt;"",K960&lt;&gt;"",L960&lt;&gt;"",M960&lt;&gt;""),"ГОТОВО","НЕ ГОТОВО"))</f>
        <v/>
      </c>
      <c r="Z960" s="226">
        <f>IF(Y960&lt;&gt;"ГОТОВО","", "Предварительное заключение: "&amp;A960&amp;", скв. "&amp;B960&amp;". МРП: "&amp;E960&amp;" сут. ГНО: "&amp;F960&amp;", типоразмер "&amp;G960&amp;", марка "&amp;H960&amp;". Событие: "&amp;I960&amp;". Признак: "&amp;J960&amp;". Узел: "&amp;K960&amp;". Предварительная причина: "&amp;L960&amp;". Основное осложнение: "&amp;M960&amp;IF(N960&lt;&gt;"","; сопутствующее: "&amp;N960,"")&amp;IF(O960&lt;&gt;"","; дополнительно: "&amp;O960,"")&amp;".")</f>
        <v/>
      </c>
    </row>
    <row r="961">
      <c r="A961" s="75" t="n"/>
      <c r="B961" s="75" t="n"/>
      <c r="C961" s="261" t="n"/>
      <c r="D961" s="261" t="n"/>
      <c r="E961" s="262">
        <f>IF(OR(C961="",D961=""),"",D961-C961)</f>
        <v/>
      </c>
      <c r="F961" s="75" t="n"/>
      <c r="G961" s="75" t="n"/>
      <c r="H961" s="75" t="n"/>
      <c r="I961" s="75" t="n"/>
      <c r="J961" s="75" t="n"/>
      <c r="K961" s="75" t="n"/>
      <c r="L961" s="75" t="n"/>
      <c r="M961" s="75" t="n"/>
      <c r="N961" s="75" t="n"/>
      <c r="O961" s="75" t="n"/>
      <c r="P961" s="75" t="n"/>
      <c r="Q961" s="75" t="n"/>
      <c r="R961" s="75" t="n"/>
      <c r="S961" s="75" t="n"/>
      <c r="T961" s="75" t="n"/>
      <c r="U961" s="75" t="n"/>
      <c r="V961" s="75" t="n"/>
      <c r="W961" s="75" t="n"/>
      <c r="X961" s="75" t="n"/>
      <c r="Y961" s="226">
        <f>IF(AND(A961="",B961=""),"",IF(AND(A961&lt;&gt;"",B961&lt;&gt;"",C961&lt;&gt;"",D961&lt;&gt;"",F961&lt;&gt;"",G961&lt;&gt;"",H961&lt;&gt;"",ISERROR(SEARCH("по паспорту",G961)),ISERROR(SEARCH("по паспорту",H961)),I961&lt;&gt;"",J961&lt;&gt;"",K961&lt;&gt;"",L961&lt;&gt;"",M961&lt;&gt;""),"ГОТОВО","НЕ ГОТОВО"))</f>
        <v/>
      </c>
      <c r="Z961" s="226">
        <f>IF(Y961&lt;&gt;"ГОТОВО","", "Предварительное заключение: "&amp;A961&amp;", скв. "&amp;B961&amp;". МРП: "&amp;E961&amp;" сут. ГНО: "&amp;F961&amp;", типоразмер "&amp;G961&amp;", марка "&amp;H961&amp;". Событие: "&amp;I961&amp;". Признак: "&amp;J961&amp;". Узел: "&amp;K961&amp;". Предварительная причина: "&amp;L961&amp;". Основное осложнение: "&amp;M961&amp;IF(N961&lt;&gt;"","; сопутствующее: "&amp;N961,"")&amp;IF(O961&lt;&gt;"","; дополнительно: "&amp;O961,"")&amp;".")</f>
        <v/>
      </c>
    </row>
    <row r="962">
      <c r="A962" s="75" t="n"/>
      <c r="B962" s="75" t="n"/>
      <c r="C962" s="261" t="n"/>
      <c r="D962" s="261" t="n"/>
      <c r="E962" s="262">
        <f>IF(OR(C962="",D962=""),"",D962-C962)</f>
        <v/>
      </c>
      <c r="F962" s="75" t="n"/>
      <c r="G962" s="75" t="n"/>
      <c r="H962" s="75" t="n"/>
      <c r="I962" s="75" t="n"/>
      <c r="J962" s="75" t="n"/>
      <c r="K962" s="75" t="n"/>
      <c r="L962" s="75" t="n"/>
      <c r="M962" s="75" t="n"/>
      <c r="N962" s="75" t="n"/>
      <c r="O962" s="75" t="n"/>
      <c r="P962" s="75" t="n"/>
      <c r="Q962" s="75" t="n"/>
      <c r="R962" s="75" t="n"/>
      <c r="S962" s="75" t="n"/>
      <c r="T962" s="75" t="n"/>
      <c r="U962" s="75" t="n"/>
      <c r="V962" s="75" t="n"/>
      <c r="W962" s="75" t="n"/>
      <c r="X962" s="75" t="n"/>
      <c r="Y962" s="226">
        <f>IF(AND(A962="",B962=""),"",IF(AND(A962&lt;&gt;"",B962&lt;&gt;"",C962&lt;&gt;"",D962&lt;&gt;"",F962&lt;&gt;"",G962&lt;&gt;"",H962&lt;&gt;"",ISERROR(SEARCH("по паспорту",G962)),ISERROR(SEARCH("по паспорту",H962)),I962&lt;&gt;"",J962&lt;&gt;"",K962&lt;&gt;"",L962&lt;&gt;"",M962&lt;&gt;""),"ГОТОВО","НЕ ГОТОВО"))</f>
        <v/>
      </c>
      <c r="Z962" s="226">
        <f>IF(Y962&lt;&gt;"ГОТОВО","", "Предварительное заключение: "&amp;A962&amp;", скв. "&amp;B962&amp;". МРП: "&amp;E962&amp;" сут. ГНО: "&amp;F962&amp;", типоразмер "&amp;G962&amp;", марка "&amp;H962&amp;". Событие: "&amp;I962&amp;". Признак: "&amp;J962&amp;". Узел: "&amp;K962&amp;". Предварительная причина: "&amp;L962&amp;". Основное осложнение: "&amp;M962&amp;IF(N962&lt;&gt;"","; сопутствующее: "&amp;N962,"")&amp;IF(O962&lt;&gt;"","; дополнительно: "&amp;O962,"")&amp;".")</f>
        <v/>
      </c>
    </row>
    <row r="963">
      <c r="A963" s="75" t="n"/>
      <c r="B963" s="75" t="n"/>
      <c r="C963" s="261" t="n"/>
      <c r="D963" s="261" t="n"/>
      <c r="E963" s="262">
        <f>IF(OR(C963="",D963=""),"",D963-C963)</f>
        <v/>
      </c>
      <c r="F963" s="75" t="n"/>
      <c r="G963" s="75" t="n"/>
      <c r="H963" s="75" t="n"/>
      <c r="I963" s="75" t="n"/>
      <c r="J963" s="75" t="n"/>
      <c r="K963" s="75" t="n"/>
      <c r="L963" s="75" t="n"/>
      <c r="M963" s="75" t="n"/>
      <c r="N963" s="75" t="n"/>
      <c r="O963" s="75" t="n"/>
      <c r="P963" s="75" t="n"/>
      <c r="Q963" s="75" t="n"/>
      <c r="R963" s="75" t="n"/>
      <c r="S963" s="75" t="n"/>
      <c r="T963" s="75" t="n"/>
      <c r="U963" s="75" t="n"/>
      <c r="V963" s="75" t="n"/>
      <c r="W963" s="75" t="n"/>
      <c r="X963" s="75" t="n"/>
      <c r="Y963" s="226">
        <f>IF(AND(A963="",B963=""),"",IF(AND(A963&lt;&gt;"",B963&lt;&gt;"",C963&lt;&gt;"",D963&lt;&gt;"",F963&lt;&gt;"",G963&lt;&gt;"",H963&lt;&gt;"",ISERROR(SEARCH("по паспорту",G963)),ISERROR(SEARCH("по паспорту",H963)),I963&lt;&gt;"",J963&lt;&gt;"",K963&lt;&gt;"",L963&lt;&gt;"",M963&lt;&gt;""),"ГОТОВО","НЕ ГОТОВО"))</f>
        <v/>
      </c>
      <c r="Z963" s="226">
        <f>IF(Y963&lt;&gt;"ГОТОВО","", "Предварительное заключение: "&amp;A963&amp;", скв. "&amp;B963&amp;". МРП: "&amp;E963&amp;" сут. ГНО: "&amp;F963&amp;", типоразмер "&amp;G963&amp;", марка "&amp;H963&amp;". Событие: "&amp;I963&amp;". Признак: "&amp;J963&amp;". Узел: "&amp;K963&amp;". Предварительная причина: "&amp;L963&amp;". Основное осложнение: "&amp;M963&amp;IF(N963&lt;&gt;"","; сопутствующее: "&amp;N963,"")&amp;IF(O963&lt;&gt;"","; дополнительно: "&amp;O963,"")&amp;".")</f>
        <v/>
      </c>
    </row>
    <row r="964">
      <c r="A964" s="75" t="n"/>
      <c r="B964" s="75" t="n"/>
      <c r="C964" s="261" t="n"/>
      <c r="D964" s="261" t="n"/>
      <c r="E964" s="262">
        <f>IF(OR(C964="",D964=""),"",D964-C964)</f>
        <v/>
      </c>
      <c r="F964" s="75" t="n"/>
      <c r="G964" s="75" t="n"/>
      <c r="H964" s="75" t="n"/>
      <c r="I964" s="75" t="n"/>
      <c r="J964" s="75" t="n"/>
      <c r="K964" s="75" t="n"/>
      <c r="L964" s="75" t="n"/>
      <c r="M964" s="75" t="n"/>
      <c r="N964" s="75" t="n"/>
      <c r="O964" s="75" t="n"/>
      <c r="P964" s="75" t="n"/>
      <c r="Q964" s="75" t="n"/>
      <c r="R964" s="75" t="n"/>
      <c r="S964" s="75" t="n"/>
      <c r="T964" s="75" t="n"/>
      <c r="U964" s="75" t="n"/>
      <c r="V964" s="75" t="n"/>
      <c r="W964" s="75" t="n"/>
      <c r="X964" s="75" t="n"/>
      <c r="Y964" s="226">
        <f>IF(AND(A964="",B964=""),"",IF(AND(A964&lt;&gt;"",B964&lt;&gt;"",C964&lt;&gt;"",D964&lt;&gt;"",F964&lt;&gt;"",G964&lt;&gt;"",H964&lt;&gt;"",ISERROR(SEARCH("по паспорту",G964)),ISERROR(SEARCH("по паспорту",H964)),I964&lt;&gt;"",J964&lt;&gt;"",K964&lt;&gt;"",L964&lt;&gt;"",M964&lt;&gt;""),"ГОТОВО","НЕ ГОТОВО"))</f>
        <v/>
      </c>
      <c r="Z964" s="226">
        <f>IF(Y964&lt;&gt;"ГОТОВО","", "Предварительное заключение: "&amp;A964&amp;", скв. "&amp;B964&amp;". МРП: "&amp;E964&amp;" сут. ГНО: "&amp;F964&amp;", типоразмер "&amp;G964&amp;", марка "&amp;H964&amp;". Событие: "&amp;I964&amp;". Признак: "&amp;J964&amp;". Узел: "&amp;K964&amp;". Предварительная причина: "&amp;L964&amp;". Основное осложнение: "&amp;M964&amp;IF(N964&lt;&gt;"","; сопутствующее: "&amp;N964,"")&amp;IF(O964&lt;&gt;"","; дополнительно: "&amp;O964,"")&amp;".")</f>
        <v/>
      </c>
    </row>
    <row r="965">
      <c r="A965" s="75" t="n"/>
      <c r="B965" s="75" t="n"/>
      <c r="C965" s="261" t="n"/>
      <c r="D965" s="261" t="n"/>
      <c r="E965" s="262">
        <f>IF(OR(C965="",D965=""),"",D965-C965)</f>
        <v/>
      </c>
      <c r="F965" s="75" t="n"/>
      <c r="G965" s="75" t="n"/>
      <c r="H965" s="75" t="n"/>
      <c r="I965" s="75" t="n"/>
      <c r="J965" s="75" t="n"/>
      <c r="K965" s="75" t="n"/>
      <c r="L965" s="75" t="n"/>
      <c r="M965" s="75" t="n"/>
      <c r="N965" s="75" t="n"/>
      <c r="O965" s="75" t="n"/>
      <c r="P965" s="75" t="n"/>
      <c r="Q965" s="75" t="n"/>
      <c r="R965" s="75" t="n"/>
      <c r="S965" s="75" t="n"/>
      <c r="T965" s="75" t="n"/>
      <c r="U965" s="75" t="n"/>
      <c r="V965" s="75" t="n"/>
      <c r="W965" s="75" t="n"/>
      <c r="X965" s="75" t="n"/>
      <c r="Y965" s="226">
        <f>IF(AND(A965="",B965=""),"",IF(AND(A965&lt;&gt;"",B965&lt;&gt;"",C965&lt;&gt;"",D965&lt;&gt;"",F965&lt;&gt;"",G965&lt;&gt;"",H965&lt;&gt;"",ISERROR(SEARCH("по паспорту",G965)),ISERROR(SEARCH("по паспорту",H965)),I965&lt;&gt;"",J965&lt;&gt;"",K965&lt;&gt;"",L965&lt;&gt;"",M965&lt;&gt;""),"ГОТОВО","НЕ ГОТОВО"))</f>
        <v/>
      </c>
      <c r="Z965" s="226">
        <f>IF(Y965&lt;&gt;"ГОТОВО","", "Предварительное заключение: "&amp;A965&amp;", скв. "&amp;B965&amp;". МРП: "&amp;E965&amp;" сут. ГНО: "&amp;F965&amp;", типоразмер "&amp;G965&amp;", марка "&amp;H965&amp;". Событие: "&amp;I965&amp;". Признак: "&amp;J965&amp;". Узел: "&amp;K965&amp;". Предварительная причина: "&amp;L965&amp;". Основное осложнение: "&amp;M965&amp;IF(N965&lt;&gt;"","; сопутствующее: "&amp;N965,"")&amp;IF(O965&lt;&gt;"","; дополнительно: "&amp;O965,"")&amp;".")</f>
        <v/>
      </c>
    </row>
    <row r="966">
      <c r="A966" s="75" t="n"/>
      <c r="B966" s="75" t="n"/>
      <c r="C966" s="261" t="n"/>
      <c r="D966" s="261" t="n"/>
      <c r="E966" s="262">
        <f>IF(OR(C966="",D966=""),"",D966-C966)</f>
        <v/>
      </c>
      <c r="F966" s="75" t="n"/>
      <c r="G966" s="75" t="n"/>
      <c r="H966" s="75" t="n"/>
      <c r="I966" s="75" t="n"/>
      <c r="J966" s="75" t="n"/>
      <c r="K966" s="75" t="n"/>
      <c r="L966" s="75" t="n"/>
      <c r="M966" s="75" t="n"/>
      <c r="N966" s="75" t="n"/>
      <c r="O966" s="75" t="n"/>
      <c r="P966" s="75" t="n"/>
      <c r="Q966" s="75" t="n"/>
      <c r="R966" s="75" t="n"/>
      <c r="S966" s="75" t="n"/>
      <c r="T966" s="75" t="n"/>
      <c r="U966" s="75" t="n"/>
      <c r="V966" s="75" t="n"/>
      <c r="W966" s="75" t="n"/>
      <c r="X966" s="75" t="n"/>
      <c r="Y966" s="226">
        <f>IF(AND(A966="",B966=""),"",IF(AND(A966&lt;&gt;"",B966&lt;&gt;"",C966&lt;&gt;"",D966&lt;&gt;"",F966&lt;&gt;"",G966&lt;&gt;"",H966&lt;&gt;"",ISERROR(SEARCH("по паспорту",G966)),ISERROR(SEARCH("по паспорту",H966)),I966&lt;&gt;"",J966&lt;&gt;"",K966&lt;&gt;"",L966&lt;&gt;"",M966&lt;&gt;""),"ГОТОВО","НЕ ГОТОВО"))</f>
        <v/>
      </c>
      <c r="Z966" s="226">
        <f>IF(Y966&lt;&gt;"ГОТОВО","", "Предварительное заключение: "&amp;A966&amp;", скв. "&amp;B966&amp;". МРП: "&amp;E966&amp;" сут. ГНО: "&amp;F966&amp;", типоразмер "&amp;G966&amp;", марка "&amp;H966&amp;". Событие: "&amp;I966&amp;". Признак: "&amp;J966&amp;". Узел: "&amp;K966&amp;". Предварительная причина: "&amp;L966&amp;". Основное осложнение: "&amp;M966&amp;IF(N966&lt;&gt;"","; сопутствующее: "&amp;N966,"")&amp;IF(O966&lt;&gt;"","; дополнительно: "&amp;O966,"")&amp;".")</f>
        <v/>
      </c>
    </row>
    <row r="967">
      <c r="A967" s="75" t="n"/>
      <c r="B967" s="75" t="n"/>
      <c r="C967" s="261" t="n"/>
      <c r="D967" s="261" t="n"/>
      <c r="E967" s="262">
        <f>IF(OR(C967="",D967=""),"",D967-C967)</f>
        <v/>
      </c>
      <c r="F967" s="75" t="n"/>
      <c r="G967" s="75" t="n"/>
      <c r="H967" s="75" t="n"/>
      <c r="I967" s="75" t="n"/>
      <c r="J967" s="75" t="n"/>
      <c r="K967" s="75" t="n"/>
      <c r="L967" s="75" t="n"/>
      <c r="M967" s="75" t="n"/>
      <c r="N967" s="75" t="n"/>
      <c r="O967" s="75" t="n"/>
      <c r="P967" s="75" t="n"/>
      <c r="Q967" s="75" t="n"/>
      <c r="R967" s="75" t="n"/>
      <c r="S967" s="75" t="n"/>
      <c r="T967" s="75" t="n"/>
      <c r="U967" s="75" t="n"/>
      <c r="V967" s="75" t="n"/>
      <c r="W967" s="75" t="n"/>
      <c r="X967" s="75" t="n"/>
      <c r="Y967" s="226">
        <f>IF(AND(A967="",B967=""),"",IF(AND(A967&lt;&gt;"",B967&lt;&gt;"",C967&lt;&gt;"",D967&lt;&gt;"",F967&lt;&gt;"",G967&lt;&gt;"",H967&lt;&gt;"",ISERROR(SEARCH("по паспорту",G967)),ISERROR(SEARCH("по паспорту",H967)),I967&lt;&gt;"",J967&lt;&gt;"",K967&lt;&gt;"",L967&lt;&gt;"",M967&lt;&gt;""),"ГОТОВО","НЕ ГОТОВО"))</f>
        <v/>
      </c>
      <c r="Z967" s="226">
        <f>IF(Y967&lt;&gt;"ГОТОВО","", "Предварительное заключение: "&amp;A967&amp;", скв. "&amp;B967&amp;". МРП: "&amp;E967&amp;" сут. ГНО: "&amp;F967&amp;", типоразмер "&amp;G967&amp;", марка "&amp;H967&amp;". Событие: "&amp;I967&amp;". Признак: "&amp;J967&amp;". Узел: "&amp;K967&amp;". Предварительная причина: "&amp;L967&amp;". Основное осложнение: "&amp;M967&amp;IF(N967&lt;&gt;"","; сопутствующее: "&amp;N967,"")&amp;IF(O967&lt;&gt;"","; дополнительно: "&amp;O967,"")&amp;".")</f>
        <v/>
      </c>
    </row>
    <row r="968">
      <c r="A968" s="75" t="n"/>
      <c r="B968" s="75" t="n"/>
      <c r="C968" s="261" t="n"/>
      <c r="D968" s="261" t="n"/>
      <c r="E968" s="262">
        <f>IF(OR(C968="",D968=""),"",D968-C968)</f>
        <v/>
      </c>
      <c r="F968" s="75" t="n"/>
      <c r="G968" s="75" t="n"/>
      <c r="H968" s="75" t="n"/>
      <c r="I968" s="75" t="n"/>
      <c r="J968" s="75" t="n"/>
      <c r="K968" s="75" t="n"/>
      <c r="L968" s="75" t="n"/>
      <c r="M968" s="75" t="n"/>
      <c r="N968" s="75" t="n"/>
      <c r="O968" s="75" t="n"/>
      <c r="P968" s="75" t="n"/>
      <c r="Q968" s="75" t="n"/>
      <c r="R968" s="75" t="n"/>
      <c r="S968" s="75" t="n"/>
      <c r="T968" s="75" t="n"/>
      <c r="U968" s="75" t="n"/>
      <c r="V968" s="75" t="n"/>
      <c r="W968" s="75" t="n"/>
      <c r="X968" s="75" t="n"/>
      <c r="Y968" s="226">
        <f>IF(AND(A968="",B968=""),"",IF(AND(A968&lt;&gt;"",B968&lt;&gt;"",C968&lt;&gt;"",D968&lt;&gt;"",F968&lt;&gt;"",G968&lt;&gt;"",H968&lt;&gt;"",ISERROR(SEARCH("по паспорту",G968)),ISERROR(SEARCH("по паспорту",H968)),I968&lt;&gt;"",J968&lt;&gt;"",K968&lt;&gt;"",L968&lt;&gt;"",M968&lt;&gt;""),"ГОТОВО","НЕ ГОТОВО"))</f>
        <v/>
      </c>
      <c r="Z968" s="226">
        <f>IF(Y968&lt;&gt;"ГОТОВО","", "Предварительное заключение: "&amp;A968&amp;", скв. "&amp;B968&amp;". МРП: "&amp;E968&amp;" сут. ГНО: "&amp;F968&amp;", типоразмер "&amp;G968&amp;", марка "&amp;H968&amp;". Событие: "&amp;I968&amp;". Признак: "&amp;J968&amp;". Узел: "&amp;K968&amp;". Предварительная причина: "&amp;L968&amp;". Основное осложнение: "&amp;M968&amp;IF(N968&lt;&gt;"","; сопутствующее: "&amp;N968,"")&amp;IF(O968&lt;&gt;"","; дополнительно: "&amp;O968,"")&amp;".")</f>
        <v/>
      </c>
    </row>
    <row r="969">
      <c r="A969" s="75" t="n"/>
      <c r="B969" s="75" t="n"/>
      <c r="C969" s="261" t="n"/>
      <c r="D969" s="261" t="n"/>
      <c r="E969" s="262">
        <f>IF(OR(C969="",D969=""),"",D969-C969)</f>
        <v/>
      </c>
      <c r="F969" s="75" t="n"/>
      <c r="G969" s="75" t="n"/>
      <c r="H969" s="75" t="n"/>
      <c r="I969" s="75" t="n"/>
      <c r="J969" s="75" t="n"/>
      <c r="K969" s="75" t="n"/>
      <c r="L969" s="75" t="n"/>
      <c r="M969" s="75" t="n"/>
      <c r="N969" s="75" t="n"/>
      <c r="O969" s="75" t="n"/>
      <c r="P969" s="75" t="n"/>
      <c r="Q969" s="75" t="n"/>
      <c r="R969" s="75" t="n"/>
      <c r="S969" s="75" t="n"/>
      <c r="T969" s="75" t="n"/>
      <c r="U969" s="75" t="n"/>
      <c r="V969" s="75" t="n"/>
      <c r="W969" s="75" t="n"/>
      <c r="X969" s="75" t="n"/>
      <c r="Y969" s="226">
        <f>IF(AND(A969="",B969=""),"",IF(AND(A969&lt;&gt;"",B969&lt;&gt;"",C969&lt;&gt;"",D969&lt;&gt;"",F969&lt;&gt;"",G969&lt;&gt;"",H969&lt;&gt;"",ISERROR(SEARCH("по паспорту",G969)),ISERROR(SEARCH("по паспорту",H969)),I969&lt;&gt;"",J969&lt;&gt;"",K969&lt;&gt;"",L969&lt;&gt;"",M969&lt;&gt;""),"ГОТОВО","НЕ ГОТОВО"))</f>
        <v/>
      </c>
      <c r="Z969" s="226">
        <f>IF(Y969&lt;&gt;"ГОТОВО","", "Предварительное заключение: "&amp;A969&amp;", скв. "&amp;B969&amp;". МРП: "&amp;E969&amp;" сут. ГНО: "&amp;F969&amp;", типоразмер "&amp;G969&amp;", марка "&amp;H969&amp;". Событие: "&amp;I969&amp;". Признак: "&amp;J969&amp;". Узел: "&amp;K969&amp;". Предварительная причина: "&amp;L969&amp;". Основное осложнение: "&amp;M969&amp;IF(N969&lt;&gt;"","; сопутствующее: "&amp;N969,"")&amp;IF(O969&lt;&gt;"","; дополнительно: "&amp;O969,"")&amp;".")</f>
        <v/>
      </c>
    </row>
    <row r="970">
      <c r="A970" s="75" t="n"/>
      <c r="B970" s="75" t="n"/>
      <c r="C970" s="261" t="n"/>
      <c r="D970" s="261" t="n"/>
      <c r="E970" s="262">
        <f>IF(OR(C970="",D970=""),"",D970-C970)</f>
        <v/>
      </c>
      <c r="F970" s="75" t="n"/>
      <c r="G970" s="75" t="n"/>
      <c r="H970" s="75" t="n"/>
      <c r="I970" s="75" t="n"/>
      <c r="J970" s="75" t="n"/>
      <c r="K970" s="75" t="n"/>
      <c r="L970" s="75" t="n"/>
      <c r="M970" s="75" t="n"/>
      <c r="N970" s="75" t="n"/>
      <c r="O970" s="75" t="n"/>
      <c r="P970" s="75" t="n"/>
      <c r="Q970" s="75" t="n"/>
      <c r="R970" s="75" t="n"/>
      <c r="S970" s="75" t="n"/>
      <c r="T970" s="75" t="n"/>
      <c r="U970" s="75" t="n"/>
      <c r="V970" s="75" t="n"/>
      <c r="W970" s="75" t="n"/>
      <c r="X970" s="75" t="n"/>
      <c r="Y970" s="226">
        <f>IF(AND(A970="",B970=""),"",IF(AND(A970&lt;&gt;"",B970&lt;&gt;"",C970&lt;&gt;"",D970&lt;&gt;"",F970&lt;&gt;"",G970&lt;&gt;"",H970&lt;&gt;"",ISERROR(SEARCH("по паспорту",G970)),ISERROR(SEARCH("по паспорту",H970)),I970&lt;&gt;"",J970&lt;&gt;"",K970&lt;&gt;"",L970&lt;&gt;"",M970&lt;&gt;""),"ГОТОВО","НЕ ГОТОВО"))</f>
        <v/>
      </c>
      <c r="Z970" s="226">
        <f>IF(Y970&lt;&gt;"ГОТОВО","", "Предварительное заключение: "&amp;A970&amp;", скв. "&amp;B970&amp;". МРП: "&amp;E970&amp;" сут. ГНО: "&amp;F970&amp;", типоразмер "&amp;G970&amp;", марка "&amp;H970&amp;". Событие: "&amp;I970&amp;". Признак: "&amp;J970&amp;". Узел: "&amp;K970&amp;". Предварительная причина: "&amp;L970&amp;". Основное осложнение: "&amp;M970&amp;IF(N970&lt;&gt;"","; сопутствующее: "&amp;N970,"")&amp;IF(O970&lt;&gt;"","; дополнительно: "&amp;O970,"")&amp;".")</f>
        <v/>
      </c>
    </row>
    <row r="971">
      <c r="A971" s="75" t="n"/>
      <c r="B971" s="75" t="n"/>
      <c r="C971" s="261" t="n"/>
      <c r="D971" s="261" t="n"/>
      <c r="E971" s="262">
        <f>IF(OR(C971="",D971=""),"",D971-C971)</f>
        <v/>
      </c>
      <c r="F971" s="75" t="n"/>
      <c r="G971" s="75" t="n"/>
      <c r="H971" s="75" t="n"/>
      <c r="I971" s="75" t="n"/>
      <c r="J971" s="75" t="n"/>
      <c r="K971" s="75" t="n"/>
      <c r="L971" s="75" t="n"/>
      <c r="M971" s="75" t="n"/>
      <c r="N971" s="75" t="n"/>
      <c r="O971" s="75" t="n"/>
      <c r="P971" s="75" t="n"/>
      <c r="Q971" s="75" t="n"/>
      <c r="R971" s="75" t="n"/>
      <c r="S971" s="75" t="n"/>
      <c r="T971" s="75" t="n"/>
      <c r="U971" s="75" t="n"/>
      <c r="V971" s="75" t="n"/>
      <c r="W971" s="75" t="n"/>
      <c r="X971" s="75" t="n"/>
      <c r="Y971" s="226">
        <f>IF(AND(A971="",B971=""),"",IF(AND(A971&lt;&gt;"",B971&lt;&gt;"",C971&lt;&gt;"",D971&lt;&gt;"",F971&lt;&gt;"",G971&lt;&gt;"",H971&lt;&gt;"",ISERROR(SEARCH("по паспорту",G971)),ISERROR(SEARCH("по паспорту",H971)),I971&lt;&gt;"",J971&lt;&gt;"",K971&lt;&gt;"",L971&lt;&gt;"",M971&lt;&gt;""),"ГОТОВО","НЕ ГОТОВО"))</f>
        <v/>
      </c>
      <c r="Z971" s="226">
        <f>IF(Y971&lt;&gt;"ГОТОВО","", "Предварительное заключение: "&amp;A971&amp;", скв. "&amp;B971&amp;". МРП: "&amp;E971&amp;" сут. ГНО: "&amp;F971&amp;", типоразмер "&amp;G971&amp;", марка "&amp;H971&amp;". Событие: "&amp;I971&amp;". Признак: "&amp;J971&amp;". Узел: "&amp;K971&amp;". Предварительная причина: "&amp;L971&amp;". Основное осложнение: "&amp;M971&amp;IF(N971&lt;&gt;"","; сопутствующее: "&amp;N971,"")&amp;IF(O971&lt;&gt;"","; дополнительно: "&amp;O971,"")&amp;".")</f>
        <v/>
      </c>
    </row>
    <row r="972">
      <c r="A972" s="75" t="n"/>
      <c r="B972" s="75" t="n"/>
      <c r="C972" s="261" t="n"/>
      <c r="D972" s="261" t="n"/>
      <c r="E972" s="262">
        <f>IF(OR(C972="",D972=""),"",D972-C972)</f>
        <v/>
      </c>
      <c r="F972" s="75" t="n"/>
      <c r="G972" s="75" t="n"/>
      <c r="H972" s="75" t="n"/>
      <c r="I972" s="75" t="n"/>
      <c r="J972" s="75" t="n"/>
      <c r="K972" s="75" t="n"/>
      <c r="L972" s="75" t="n"/>
      <c r="M972" s="75" t="n"/>
      <c r="N972" s="75" t="n"/>
      <c r="O972" s="75" t="n"/>
      <c r="P972" s="75" t="n"/>
      <c r="Q972" s="75" t="n"/>
      <c r="R972" s="75" t="n"/>
      <c r="S972" s="75" t="n"/>
      <c r="T972" s="75" t="n"/>
      <c r="U972" s="75" t="n"/>
      <c r="V972" s="75" t="n"/>
      <c r="W972" s="75" t="n"/>
      <c r="X972" s="75" t="n"/>
      <c r="Y972" s="226">
        <f>IF(AND(A972="",B972=""),"",IF(AND(A972&lt;&gt;"",B972&lt;&gt;"",C972&lt;&gt;"",D972&lt;&gt;"",F972&lt;&gt;"",G972&lt;&gt;"",H972&lt;&gt;"",ISERROR(SEARCH("по паспорту",G972)),ISERROR(SEARCH("по паспорту",H972)),I972&lt;&gt;"",J972&lt;&gt;"",K972&lt;&gt;"",L972&lt;&gt;"",M972&lt;&gt;""),"ГОТОВО","НЕ ГОТОВО"))</f>
        <v/>
      </c>
      <c r="Z972" s="226">
        <f>IF(Y972&lt;&gt;"ГОТОВО","", "Предварительное заключение: "&amp;A972&amp;", скв. "&amp;B972&amp;". МРП: "&amp;E972&amp;" сут. ГНО: "&amp;F972&amp;", типоразмер "&amp;G972&amp;", марка "&amp;H972&amp;". Событие: "&amp;I972&amp;". Признак: "&amp;J972&amp;". Узел: "&amp;K972&amp;". Предварительная причина: "&amp;L972&amp;". Основное осложнение: "&amp;M972&amp;IF(N972&lt;&gt;"","; сопутствующее: "&amp;N972,"")&amp;IF(O972&lt;&gt;"","; дополнительно: "&amp;O972,"")&amp;".")</f>
        <v/>
      </c>
    </row>
    <row r="973">
      <c r="A973" s="75" t="n"/>
      <c r="B973" s="75" t="n"/>
      <c r="C973" s="261" t="n"/>
      <c r="D973" s="261" t="n"/>
      <c r="E973" s="262">
        <f>IF(OR(C973="",D973=""),"",D973-C973)</f>
        <v/>
      </c>
      <c r="F973" s="75" t="n"/>
      <c r="G973" s="75" t="n"/>
      <c r="H973" s="75" t="n"/>
      <c r="I973" s="75" t="n"/>
      <c r="J973" s="75" t="n"/>
      <c r="K973" s="75" t="n"/>
      <c r="L973" s="75" t="n"/>
      <c r="M973" s="75" t="n"/>
      <c r="N973" s="75" t="n"/>
      <c r="O973" s="75" t="n"/>
      <c r="P973" s="75" t="n"/>
      <c r="Q973" s="75" t="n"/>
      <c r="R973" s="75" t="n"/>
      <c r="S973" s="75" t="n"/>
      <c r="T973" s="75" t="n"/>
      <c r="U973" s="75" t="n"/>
      <c r="V973" s="75" t="n"/>
      <c r="W973" s="75" t="n"/>
      <c r="X973" s="75" t="n"/>
      <c r="Y973" s="226">
        <f>IF(AND(A973="",B973=""),"",IF(AND(A973&lt;&gt;"",B973&lt;&gt;"",C973&lt;&gt;"",D973&lt;&gt;"",F973&lt;&gt;"",G973&lt;&gt;"",H973&lt;&gt;"",ISERROR(SEARCH("по паспорту",G973)),ISERROR(SEARCH("по паспорту",H973)),I973&lt;&gt;"",J973&lt;&gt;"",K973&lt;&gt;"",L973&lt;&gt;"",M973&lt;&gt;""),"ГОТОВО","НЕ ГОТОВО"))</f>
        <v/>
      </c>
      <c r="Z973" s="226">
        <f>IF(Y973&lt;&gt;"ГОТОВО","", "Предварительное заключение: "&amp;A973&amp;", скв. "&amp;B973&amp;". МРП: "&amp;E973&amp;" сут. ГНО: "&amp;F973&amp;", типоразмер "&amp;G973&amp;", марка "&amp;H973&amp;". Событие: "&amp;I973&amp;". Признак: "&amp;J973&amp;". Узел: "&amp;K973&amp;". Предварительная причина: "&amp;L973&amp;". Основное осложнение: "&amp;M973&amp;IF(N973&lt;&gt;"","; сопутствующее: "&amp;N973,"")&amp;IF(O973&lt;&gt;"","; дополнительно: "&amp;O973,"")&amp;".")</f>
        <v/>
      </c>
    </row>
    <row r="974">
      <c r="A974" s="75" t="n"/>
      <c r="B974" s="75" t="n"/>
      <c r="C974" s="261" t="n"/>
      <c r="D974" s="261" t="n"/>
      <c r="E974" s="262">
        <f>IF(OR(C974="",D974=""),"",D974-C974)</f>
        <v/>
      </c>
      <c r="F974" s="75" t="n"/>
      <c r="G974" s="75" t="n"/>
      <c r="H974" s="75" t="n"/>
      <c r="I974" s="75" t="n"/>
      <c r="J974" s="75" t="n"/>
      <c r="K974" s="75" t="n"/>
      <c r="L974" s="75" t="n"/>
      <c r="M974" s="75" t="n"/>
      <c r="N974" s="75" t="n"/>
      <c r="O974" s="75" t="n"/>
      <c r="P974" s="75" t="n"/>
      <c r="Q974" s="75" t="n"/>
      <c r="R974" s="75" t="n"/>
      <c r="S974" s="75" t="n"/>
      <c r="T974" s="75" t="n"/>
      <c r="U974" s="75" t="n"/>
      <c r="V974" s="75" t="n"/>
      <c r="W974" s="75" t="n"/>
      <c r="X974" s="75" t="n"/>
      <c r="Y974" s="226">
        <f>IF(AND(A974="",B974=""),"",IF(AND(A974&lt;&gt;"",B974&lt;&gt;"",C974&lt;&gt;"",D974&lt;&gt;"",F974&lt;&gt;"",G974&lt;&gt;"",H974&lt;&gt;"",ISERROR(SEARCH("по паспорту",G974)),ISERROR(SEARCH("по паспорту",H974)),I974&lt;&gt;"",J974&lt;&gt;"",K974&lt;&gt;"",L974&lt;&gt;"",M974&lt;&gt;""),"ГОТОВО","НЕ ГОТОВО"))</f>
        <v/>
      </c>
      <c r="Z974" s="226">
        <f>IF(Y974&lt;&gt;"ГОТОВО","", "Предварительное заключение: "&amp;A974&amp;", скв. "&amp;B974&amp;". МРП: "&amp;E974&amp;" сут. ГНО: "&amp;F974&amp;", типоразмер "&amp;G974&amp;", марка "&amp;H974&amp;". Событие: "&amp;I974&amp;". Признак: "&amp;J974&amp;". Узел: "&amp;K974&amp;". Предварительная причина: "&amp;L974&amp;". Основное осложнение: "&amp;M974&amp;IF(N974&lt;&gt;"","; сопутствующее: "&amp;N974,"")&amp;IF(O974&lt;&gt;"","; дополнительно: "&amp;O974,"")&amp;".")</f>
        <v/>
      </c>
    </row>
    <row r="975">
      <c r="A975" s="75" t="n"/>
      <c r="B975" s="75" t="n"/>
      <c r="C975" s="261" t="n"/>
      <c r="D975" s="261" t="n"/>
      <c r="E975" s="262">
        <f>IF(OR(C975="",D975=""),"",D975-C975)</f>
        <v/>
      </c>
      <c r="F975" s="75" t="n"/>
      <c r="G975" s="75" t="n"/>
      <c r="H975" s="75" t="n"/>
      <c r="I975" s="75" t="n"/>
      <c r="J975" s="75" t="n"/>
      <c r="K975" s="75" t="n"/>
      <c r="L975" s="75" t="n"/>
      <c r="M975" s="75" t="n"/>
      <c r="N975" s="75" t="n"/>
      <c r="O975" s="75" t="n"/>
      <c r="P975" s="75" t="n"/>
      <c r="Q975" s="75" t="n"/>
      <c r="R975" s="75" t="n"/>
      <c r="S975" s="75" t="n"/>
      <c r="T975" s="75" t="n"/>
      <c r="U975" s="75" t="n"/>
      <c r="V975" s="75" t="n"/>
      <c r="W975" s="75" t="n"/>
      <c r="X975" s="75" t="n"/>
      <c r="Y975" s="226">
        <f>IF(AND(A975="",B975=""),"",IF(AND(A975&lt;&gt;"",B975&lt;&gt;"",C975&lt;&gt;"",D975&lt;&gt;"",F975&lt;&gt;"",G975&lt;&gt;"",H975&lt;&gt;"",ISERROR(SEARCH("по паспорту",G975)),ISERROR(SEARCH("по паспорту",H975)),I975&lt;&gt;"",J975&lt;&gt;"",K975&lt;&gt;"",L975&lt;&gt;"",M975&lt;&gt;""),"ГОТОВО","НЕ ГОТОВО"))</f>
        <v/>
      </c>
      <c r="Z975" s="226">
        <f>IF(Y975&lt;&gt;"ГОТОВО","", "Предварительное заключение: "&amp;A975&amp;", скв. "&amp;B975&amp;". МРП: "&amp;E975&amp;" сут. ГНО: "&amp;F975&amp;", типоразмер "&amp;G975&amp;", марка "&amp;H975&amp;". Событие: "&amp;I975&amp;". Признак: "&amp;J975&amp;". Узел: "&amp;K975&amp;". Предварительная причина: "&amp;L975&amp;". Основное осложнение: "&amp;M975&amp;IF(N975&lt;&gt;"","; сопутствующее: "&amp;N975,"")&amp;IF(O975&lt;&gt;"","; дополнительно: "&amp;O975,"")&amp;".")</f>
        <v/>
      </c>
    </row>
    <row r="976">
      <c r="A976" s="75" t="n"/>
      <c r="B976" s="75" t="n"/>
      <c r="C976" s="261" t="n"/>
      <c r="D976" s="261" t="n"/>
      <c r="E976" s="262">
        <f>IF(OR(C976="",D976=""),"",D976-C976)</f>
        <v/>
      </c>
      <c r="F976" s="75" t="n"/>
      <c r="G976" s="75" t="n"/>
      <c r="H976" s="75" t="n"/>
      <c r="I976" s="75" t="n"/>
      <c r="J976" s="75" t="n"/>
      <c r="K976" s="75" t="n"/>
      <c r="L976" s="75" t="n"/>
      <c r="M976" s="75" t="n"/>
      <c r="N976" s="75" t="n"/>
      <c r="O976" s="75" t="n"/>
      <c r="P976" s="75" t="n"/>
      <c r="Q976" s="75" t="n"/>
      <c r="R976" s="75" t="n"/>
      <c r="S976" s="75" t="n"/>
      <c r="T976" s="75" t="n"/>
      <c r="U976" s="75" t="n"/>
      <c r="V976" s="75" t="n"/>
      <c r="W976" s="75" t="n"/>
      <c r="X976" s="75" t="n"/>
      <c r="Y976" s="226">
        <f>IF(AND(A976="",B976=""),"",IF(AND(A976&lt;&gt;"",B976&lt;&gt;"",C976&lt;&gt;"",D976&lt;&gt;"",F976&lt;&gt;"",G976&lt;&gt;"",H976&lt;&gt;"",ISERROR(SEARCH("по паспорту",G976)),ISERROR(SEARCH("по паспорту",H976)),I976&lt;&gt;"",J976&lt;&gt;"",K976&lt;&gt;"",L976&lt;&gt;"",M976&lt;&gt;""),"ГОТОВО","НЕ ГОТОВО"))</f>
        <v/>
      </c>
      <c r="Z976" s="226">
        <f>IF(Y976&lt;&gt;"ГОТОВО","", "Предварительное заключение: "&amp;A976&amp;", скв. "&amp;B976&amp;". МРП: "&amp;E976&amp;" сут. ГНО: "&amp;F976&amp;", типоразмер "&amp;G976&amp;", марка "&amp;H976&amp;". Событие: "&amp;I976&amp;". Признак: "&amp;J976&amp;". Узел: "&amp;K976&amp;". Предварительная причина: "&amp;L976&amp;". Основное осложнение: "&amp;M976&amp;IF(N976&lt;&gt;"","; сопутствующее: "&amp;N976,"")&amp;IF(O976&lt;&gt;"","; дополнительно: "&amp;O976,"")&amp;".")</f>
        <v/>
      </c>
    </row>
    <row r="977">
      <c r="A977" s="75" t="n"/>
      <c r="B977" s="75" t="n"/>
      <c r="C977" s="261" t="n"/>
      <c r="D977" s="261" t="n"/>
      <c r="E977" s="262">
        <f>IF(OR(C977="",D977=""),"",D977-C977)</f>
        <v/>
      </c>
      <c r="F977" s="75" t="n"/>
      <c r="G977" s="75" t="n"/>
      <c r="H977" s="75" t="n"/>
      <c r="I977" s="75" t="n"/>
      <c r="J977" s="75" t="n"/>
      <c r="K977" s="75" t="n"/>
      <c r="L977" s="75" t="n"/>
      <c r="M977" s="75" t="n"/>
      <c r="N977" s="75" t="n"/>
      <c r="O977" s="75" t="n"/>
      <c r="P977" s="75" t="n"/>
      <c r="Q977" s="75" t="n"/>
      <c r="R977" s="75" t="n"/>
      <c r="S977" s="75" t="n"/>
      <c r="T977" s="75" t="n"/>
      <c r="U977" s="75" t="n"/>
      <c r="V977" s="75" t="n"/>
      <c r="W977" s="75" t="n"/>
      <c r="X977" s="75" t="n"/>
      <c r="Y977" s="226">
        <f>IF(AND(A977="",B977=""),"",IF(AND(A977&lt;&gt;"",B977&lt;&gt;"",C977&lt;&gt;"",D977&lt;&gt;"",F977&lt;&gt;"",G977&lt;&gt;"",H977&lt;&gt;"",ISERROR(SEARCH("по паспорту",G977)),ISERROR(SEARCH("по паспорту",H977)),I977&lt;&gt;"",J977&lt;&gt;"",K977&lt;&gt;"",L977&lt;&gt;"",M977&lt;&gt;""),"ГОТОВО","НЕ ГОТОВО"))</f>
        <v/>
      </c>
      <c r="Z977" s="226">
        <f>IF(Y977&lt;&gt;"ГОТОВО","", "Предварительное заключение: "&amp;A977&amp;", скв. "&amp;B977&amp;". МРП: "&amp;E977&amp;" сут. ГНО: "&amp;F977&amp;", типоразмер "&amp;G977&amp;", марка "&amp;H977&amp;". Событие: "&amp;I977&amp;". Признак: "&amp;J977&amp;". Узел: "&amp;K977&amp;". Предварительная причина: "&amp;L977&amp;". Основное осложнение: "&amp;M977&amp;IF(N977&lt;&gt;"","; сопутствующее: "&amp;N977,"")&amp;IF(O977&lt;&gt;"","; дополнительно: "&amp;O977,"")&amp;".")</f>
        <v/>
      </c>
    </row>
    <row r="978">
      <c r="A978" s="75" t="n"/>
      <c r="B978" s="75" t="n"/>
      <c r="C978" s="261" t="n"/>
      <c r="D978" s="261" t="n"/>
      <c r="E978" s="262">
        <f>IF(OR(C978="",D978=""),"",D978-C978)</f>
        <v/>
      </c>
      <c r="F978" s="75" t="n"/>
      <c r="G978" s="75" t="n"/>
      <c r="H978" s="75" t="n"/>
      <c r="I978" s="75" t="n"/>
      <c r="J978" s="75" t="n"/>
      <c r="K978" s="75" t="n"/>
      <c r="L978" s="75" t="n"/>
      <c r="M978" s="75" t="n"/>
      <c r="N978" s="75" t="n"/>
      <c r="O978" s="75" t="n"/>
      <c r="P978" s="75" t="n"/>
      <c r="Q978" s="75" t="n"/>
      <c r="R978" s="75" t="n"/>
      <c r="S978" s="75" t="n"/>
      <c r="T978" s="75" t="n"/>
      <c r="U978" s="75" t="n"/>
      <c r="V978" s="75" t="n"/>
      <c r="W978" s="75" t="n"/>
      <c r="X978" s="75" t="n"/>
      <c r="Y978" s="226">
        <f>IF(AND(A978="",B978=""),"",IF(AND(A978&lt;&gt;"",B978&lt;&gt;"",C978&lt;&gt;"",D978&lt;&gt;"",F978&lt;&gt;"",G978&lt;&gt;"",H978&lt;&gt;"",ISERROR(SEARCH("по паспорту",G978)),ISERROR(SEARCH("по паспорту",H978)),I978&lt;&gt;"",J978&lt;&gt;"",K978&lt;&gt;"",L978&lt;&gt;"",M978&lt;&gt;""),"ГОТОВО","НЕ ГОТОВО"))</f>
        <v/>
      </c>
      <c r="Z978" s="226">
        <f>IF(Y978&lt;&gt;"ГОТОВО","", "Предварительное заключение: "&amp;A978&amp;", скв. "&amp;B978&amp;". МРП: "&amp;E978&amp;" сут. ГНО: "&amp;F978&amp;", типоразмер "&amp;G978&amp;", марка "&amp;H978&amp;". Событие: "&amp;I978&amp;". Признак: "&amp;J978&amp;". Узел: "&amp;K978&amp;". Предварительная причина: "&amp;L978&amp;". Основное осложнение: "&amp;M978&amp;IF(N978&lt;&gt;"","; сопутствующее: "&amp;N978,"")&amp;IF(O978&lt;&gt;"","; дополнительно: "&amp;O978,"")&amp;".")</f>
        <v/>
      </c>
    </row>
    <row r="979">
      <c r="A979" s="75" t="n"/>
      <c r="B979" s="75" t="n"/>
      <c r="C979" s="261" t="n"/>
      <c r="D979" s="261" t="n"/>
      <c r="E979" s="262">
        <f>IF(OR(C979="",D979=""),"",D979-C979)</f>
        <v/>
      </c>
      <c r="F979" s="75" t="n"/>
      <c r="G979" s="75" t="n"/>
      <c r="H979" s="75" t="n"/>
      <c r="I979" s="75" t="n"/>
      <c r="J979" s="75" t="n"/>
      <c r="K979" s="75" t="n"/>
      <c r="L979" s="75" t="n"/>
      <c r="M979" s="75" t="n"/>
      <c r="N979" s="75" t="n"/>
      <c r="O979" s="75" t="n"/>
      <c r="P979" s="75" t="n"/>
      <c r="Q979" s="75" t="n"/>
      <c r="R979" s="75" t="n"/>
      <c r="S979" s="75" t="n"/>
      <c r="T979" s="75" t="n"/>
      <c r="U979" s="75" t="n"/>
      <c r="V979" s="75" t="n"/>
      <c r="W979" s="75" t="n"/>
      <c r="X979" s="75" t="n"/>
      <c r="Y979" s="226">
        <f>IF(AND(A979="",B979=""),"",IF(AND(A979&lt;&gt;"",B979&lt;&gt;"",C979&lt;&gt;"",D979&lt;&gt;"",F979&lt;&gt;"",G979&lt;&gt;"",H979&lt;&gt;"",ISERROR(SEARCH("по паспорту",G979)),ISERROR(SEARCH("по паспорту",H979)),I979&lt;&gt;"",J979&lt;&gt;"",K979&lt;&gt;"",L979&lt;&gt;"",M979&lt;&gt;""),"ГОТОВО","НЕ ГОТОВО"))</f>
        <v/>
      </c>
      <c r="Z979" s="226">
        <f>IF(Y979&lt;&gt;"ГОТОВО","", "Предварительное заключение: "&amp;A979&amp;", скв. "&amp;B979&amp;". МРП: "&amp;E979&amp;" сут. ГНО: "&amp;F979&amp;", типоразмер "&amp;G979&amp;", марка "&amp;H979&amp;". Событие: "&amp;I979&amp;". Признак: "&amp;J979&amp;". Узел: "&amp;K979&amp;". Предварительная причина: "&amp;L979&amp;". Основное осложнение: "&amp;M979&amp;IF(N979&lt;&gt;"","; сопутствующее: "&amp;N979,"")&amp;IF(O979&lt;&gt;"","; дополнительно: "&amp;O979,"")&amp;".")</f>
        <v/>
      </c>
    </row>
    <row r="980">
      <c r="A980" s="75" t="n"/>
      <c r="B980" s="75" t="n"/>
      <c r="C980" s="261" t="n"/>
      <c r="D980" s="261" t="n"/>
      <c r="E980" s="262">
        <f>IF(OR(C980="",D980=""),"",D980-C980)</f>
        <v/>
      </c>
      <c r="F980" s="75" t="n"/>
      <c r="G980" s="75" t="n"/>
      <c r="H980" s="75" t="n"/>
      <c r="I980" s="75" t="n"/>
      <c r="J980" s="75" t="n"/>
      <c r="K980" s="75" t="n"/>
      <c r="L980" s="75" t="n"/>
      <c r="M980" s="75" t="n"/>
      <c r="N980" s="75" t="n"/>
      <c r="O980" s="75" t="n"/>
      <c r="P980" s="75" t="n"/>
      <c r="Q980" s="75" t="n"/>
      <c r="R980" s="75" t="n"/>
      <c r="S980" s="75" t="n"/>
      <c r="T980" s="75" t="n"/>
      <c r="U980" s="75" t="n"/>
      <c r="V980" s="75" t="n"/>
      <c r="W980" s="75" t="n"/>
      <c r="X980" s="75" t="n"/>
      <c r="Y980" s="226">
        <f>IF(AND(A980="",B980=""),"",IF(AND(A980&lt;&gt;"",B980&lt;&gt;"",C980&lt;&gt;"",D980&lt;&gt;"",F980&lt;&gt;"",G980&lt;&gt;"",H980&lt;&gt;"",ISERROR(SEARCH("по паспорту",G980)),ISERROR(SEARCH("по паспорту",H980)),I980&lt;&gt;"",J980&lt;&gt;"",K980&lt;&gt;"",L980&lt;&gt;"",M980&lt;&gt;""),"ГОТОВО","НЕ ГОТОВО"))</f>
        <v/>
      </c>
      <c r="Z980" s="226">
        <f>IF(Y980&lt;&gt;"ГОТОВО","", "Предварительное заключение: "&amp;A980&amp;", скв. "&amp;B980&amp;". МРП: "&amp;E980&amp;" сут. ГНО: "&amp;F980&amp;", типоразмер "&amp;G980&amp;", марка "&amp;H980&amp;". Событие: "&amp;I980&amp;". Признак: "&amp;J980&amp;". Узел: "&amp;K980&amp;". Предварительная причина: "&amp;L980&amp;". Основное осложнение: "&amp;M980&amp;IF(N980&lt;&gt;"","; сопутствующее: "&amp;N980,"")&amp;IF(O980&lt;&gt;"","; дополнительно: "&amp;O980,"")&amp;".")</f>
        <v/>
      </c>
    </row>
    <row r="981">
      <c r="A981" s="75" t="n"/>
      <c r="B981" s="75" t="n"/>
      <c r="C981" s="261" t="n"/>
      <c r="D981" s="261" t="n"/>
      <c r="E981" s="262">
        <f>IF(OR(C981="",D981=""),"",D981-C981)</f>
        <v/>
      </c>
      <c r="F981" s="75" t="n"/>
      <c r="G981" s="75" t="n"/>
      <c r="H981" s="75" t="n"/>
      <c r="I981" s="75" t="n"/>
      <c r="J981" s="75" t="n"/>
      <c r="K981" s="75" t="n"/>
      <c r="L981" s="75" t="n"/>
      <c r="M981" s="75" t="n"/>
      <c r="N981" s="75" t="n"/>
      <c r="O981" s="75" t="n"/>
      <c r="P981" s="75" t="n"/>
      <c r="Q981" s="75" t="n"/>
      <c r="R981" s="75" t="n"/>
      <c r="S981" s="75" t="n"/>
      <c r="T981" s="75" t="n"/>
      <c r="U981" s="75" t="n"/>
      <c r="V981" s="75" t="n"/>
      <c r="W981" s="75" t="n"/>
      <c r="X981" s="75" t="n"/>
      <c r="Y981" s="226">
        <f>IF(AND(A981="",B981=""),"",IF(AND(A981&lt;&gt;"",B981&lt;&gt;"",C981&lt;&gt;"",D981&lt;&gt;"",F981&lt;&gt;"",G981&lt;&gt;"",H981&lt;&gt;"",ISERROR(SEARCH("по паспорту",G981)),ISERROR(SEARCH("по паспорту",H981)),I981&lt;&gt;"",J981&lt;&gt;"",K981&lt;&gt;"",L981&lt;&gt;"",M981&lt;&gt;""),"ГОТОВО","НЕ ГОТОВО"))</f>
        <v/>
      </c>
      <c r="Z981" s="226">
        <f>IF(Y981&lt;&gt;"ГОТОВО","", "Предварительное заключение: "&amp;A981&amp;", скв. "&amp;B981&amp;". МРП: "&amp;E981&amp;" сут. ГНО: "&amp;F981&amp;", типоразмер "&amp;G981&amp;", марка "&amp;H981&amp;". Событие: "&amp;I981&amp;". Признак: "&amp;J981&amp;". Узел: "&amp;K981&amp;". Предварительная причина: "&amp;L981&amp;". Основное осложнение: "&amp;M981&amp;IF(N981&lt;&gt;"","; сопутствующее: "&amp;N981,"")&amp;IF(O981&lt;&gt;"","; дополнительно: "&amp;O981,"")&amp;".")</f>
        <v/>
      </c>
    </row>
    <row r="982">
      <c r="A982" s="75" t="n"/>
      <c r="B982" s="75" t="n"/>
      <c r="C982" s="261" t="n"/>
      <c r="D982" s="261" t="n"/>
      <c r="E982" s="262">
        <f>IF(OR(C982="",D982=""),"",D982-C982)</f>
        <v/>
      </c>
      <c r="F982" s="75" t="n"/>
      <c r="G982" s="75" t="n"/>
      <c r="H982" s="75" t="n"/>
      <c r="I982" s="75" t="n"/>
      <c r="J982" s="75" t="n"/>
      <c r="K982" s="75" t="n"/>
      <c r="L982" s="75" t="n"/>
      <c r="M982" s="75" t="n"/>
      <c r="N982" s="75" t="n"/>
      <c r="O982" s="75" t="n"/>
      <c r="P982" s="75" t="n"/>
      <c r="Q982" s="75" t="n"/>
      <c r="R982" s="75" t="n"/>
      <c r="S982" s="75" t="n"/>
      <c r="T982" s="75" t="n"/>
      <c r="U982" s="75" t="n"/>
      <c r="V982" s="75" t="n"/>
      <c r="W982" s="75" t="n"/>
      <c r="X982" s="75" t="n"/>
      <c r="Y982" s="226">
        <f>IF(AND(A982="",B982=""),"",IF(AND(A982&lt;&gt;"",B982&lt;&gt;"",C982&lt;&gt;"",D982&lt;&gt;"",F982&lt;&gt;"",G982&lt;&gt;"",H982&lt;&gt;"",ISERROR(SEARCH("по паспорту",G982)),ISERROR(SEARCH("по паспорту",H982)),I982&lt;&gt;"",J982&lt;&gt;"",K982&lt;&gt;"",L982&lt;&gt;"",M982&lt;&gt;""),"ГОТОВО","НЕ ГОТОВО"))</f>
        <v/>
      </c>
      <c r="Z982" s="226">
        <f>IF(Y982&lt;&gt;"ГОТОВО","", "Предварительное заключение: "&amp;A982&amp;", скв. "&amp;B982&amp;". МРП: "&amp;E982&amp;" сут. ГНО: "&amp;F982&amp;", типоразмер "&amp;G982&amp;", марка "&amp;H982&amp;". Событие: "&amp;I982&amp;". Признак: "&amp;J982&amp;". Узел: "&amp;K982&amp;". Предварительная причина: "&amp;L982&amp;". Основное осложнение: "&amp;M982&amp;IF(N982&lt;&gt;"","; сопутствующее: "&amp;N982,"")&amp;IF(O982&lt;&gt;"","; дополнительно: "&amp;O982,"")&amp;".")</f>
        <v/>
      </c>
    </row>
    <row r="983">
      <c r="A983" s="75" t="n"/>
      <c r="B983" s="75" t="n"/>
      <c r="C983" s="261" t="n"/>
      <c r="D983" s="261" t="n"/>
      <c r="E983" s="262">
        <f>IF(OR(C983="",D983=""),"",D983-C983)</f>
        <v/>
      </c>
      <c r="F983" s="75" t="n"/>
      <c r="G983" s="75" t="n"/>
      <c r="H983" s="75" t="n"/>
      <c r="I983" s="75" t="n"/>
      <c r="J983" s="75" t="n"/>
      <c r="K983" s="75" t="n"/>
      <c r="L983" s="75" t="n"/>
      <c r="M983" s="75" t="n"/>
      <c r="N983" s="75" t="n"/>
      <c r="O983" s="75" t="n"/>
      <c r="P983" s="75" t="n"/>
      <c r="Q983" s="75" t="n"/>
      <c r="R983" s="75" t="n"/>
      <c r="S983" s="75" t="n"/>
      <c r="T983" s="75" t="n"/>
      <c r="U983" s="75" t="n"/>
      <c r="V983" s="75" t="n"/>
      <c r="W983" s="75" t="n"/>
      <c r="X983" s="75" t="n"/>
      <c r="Y983" s="226">
        <f>IF(AND(A983="",B983=""),"",IF(AND(A983&lt;&gt;"",B983&lt;&gt;"",C983&lt;&gt;"",D983&lt;&gt;"",F983&lt;&gt;"",G983&lt;&gt;"",H983&lt;&gt;"",ISERROR(SEARCH("по паспорту",G983)),ISERROR(SEARCH("по паспорту",H983)),I983&lt;&gt;"",J983&lt;&gt;"",K983&lt;&gt;"",L983&lt;&gt;"",M983&lt;&gt;""),"ГОТОВО","НЕ ГОТОВО"))</f>
        <v/>
      </c>
      <c r="Z983" s="226">
        <f>IF(Y983&lt;&gt;"ГОТОВО","", "Предварительное заключение: "&amp;A983&amp;", скв. "&amp;B983&amp;". МРП: "&amp;E983&amp;" сут. ГНО: "&amp;F983&amp;", типоразмер "&amp;G983&amp;", марка "&amp;H983&amp;". Событие: "&amp;I983&amp;". Признак: "&amp;J983&amp;". Узел: "&amp;K983&amp;". Предварительная причина: "&amp;L983&amp;". Основное осложнение: "&amp;M983&amp;IF(N983&lt;&gt;"","; сопутствующее: "&amp;N983,"")&amp;IF(O983&lt;&gt;"","; дополнительно: "&amp;O983,"")&amp;".")</f>
        <v/>
      </c>
    </row>
    <row r="984">
      <c r="A984" s="75" t="n"/>
      <c r="B984" s="75" t="n"/>
      <c r="C984" s="261" t="n"/>
      <c r="D984" s="261" t="n"/>
      <c r="E984" s="262">
        <f>IF(OR(C984="",D984=""),"",D984-C984)</f>
        <v/>
      </c>
      <c r="F984" s="75" t="n"/>
      <c r="G984" s="75" t="n"/>
      <c r="H984" s="75" t="n"/>
      <c r="I984" s="75" t="n"/>
      <c r="J984" s="75" t="n"/>
      <c r="K984" s="75" t="n"/>
      <c r="L984" s="75" t="n"/>
      <c r="M984" s="75" t="n"/>
      <c r="N984" s="75" t="n"/>
      <c r="O984" s="75" t="n"/>
      <c r="P984" s="75" t="n"/>
      <c r="Q984" s="75" t="n"/>
      <c r="R984" s="75" t="n"/>
      <c r="S984" s="75" t="n"/>
      <c r="T984" s="75" t="n"/>
      <c r="U984" s="75" t="n"/>
      <c r="V984" s="75" t="n"/>
      <c r="W984" s="75" t="n"/>
      <c r="X984" s="75" t="n"/>
      <c r="Y984" s="226">
        <f>IF(AND(A984="",B984=""),"",IF(AND(A984&lt;&gt;"",B984&lt;&gt;"",C984&lt;&gt;"",D984&lt;&gt;"",F984&lt;&gt;"",G984&lt;&gt;"",H984&lt;&gt;"",ISERROR(SEARCH("по паспорту",G984)),ISERROR(SEARCH("по паспорту",H984)),I984&lt;&gt;"",J984&lt;&gt;"",K984&lt;&gt;"",L984&lt;&gt;"",M984&lt;&gt;""),"ГОТОВО","НЕ ГОТОВО"))</f>
        <v/>
      </c>
      <c r="Z984" s="226">
        <f>IF(Y984&lt;&gt;"ГОТОВО","", "Предварительное заключение: "&amp;A984&amp;", скв. "&amp;B984&amp;". МРП: "&amp;E984&amp;" сут. ГНО: "&amp;F984&amp;", типоразмер "&amp;G984&amp;", марка "&amp;H984&amp;". Событие: "&amp;I984&amp;". Признак: "&amp;J984&amp;". Узел: "&amp;K984&amp;". Предварительная причина: "&amp;L984&amp;". Основное осложнение: "&amp;M984&amp;IF(N984&lt;&gt;"","; сопутствующее: "&amp;N984,"")&amp;IF(O984&lt;&gt;"","; дополнительно: "&amp;O984,"")&amp;".")</f>
        <v/>
      </c>
    </row>
    <row r="985">
      <c r="A985" s="75" t="n"/>
      <c r="B985" s="75" t="n"/>
      <c r="C985" s="261" t="n"/>
      <c r="D985" s="261" t="n"/>
      <c r="E985" s="262">
        <f>IF(OR(C985="",D985=""),"",D985-C985)</f>
        <v/>
      </c>
      <c r="F985" s="75" t="n"/>
      <c r="G985" s="75" t="n"/>
      <c r="H985" s="75" t="n"/>
      <c r="I985" s="75" t="n"/>
      <c r="J985" s="75" t="n"/>
      <c r="K985" s="75" t="n"/>
      <c r="L985" s="75" t="n"/>
      <c r="M985" s="75" t="n"/>
      <c r="N985" s="75" t="n"/>
      <c r="O985" s="75" t="n"/>
      <c r="P985" s="75" t="n"/>
      <c r="Q985" s="75" t="n"/>
      <c r="R985" s="75" t="n"/>
      <c r="S985" s="75" t="n"/>
      <c r="T985" s="75" t="n"/>
      <c r="U985" s="75" t="n"/>
      <c r="V985" s="75" t="n"/>
      <c r="W985" s="75" t="n"/>
      <c r="X985" s="75" t="n"/>
      <c r="Y985" s="226">
        <f>IF(AND(A985="",B985=""),"",IF(AND(A985&lt;&gt;"",B985&lt;&gt;"",C985&lt;&gt;"",D985&lt;&gt;"",F985&lt;&gt;"",G985&lt;&gt;"",H985&lt;&gt;"",ISERROR(SEARCH("по паспорту",G985)),ISERROR(SEARCH("по паспорту",H985)),I985&lt;&gt;"",J985&lt;&gt;"",K985&lt;&gt;"",L985&lt;&gt;"",M985&lt;&gt;""),"ГОТОВО","НЕ ГОТОВО"))</f>
        <v/>
      </c>
      <c r="Z985" s="226">
        <f>IF(Y985&lt;&gt;"ГОТОВО","", "Предварительное заключение: "&amp;A985&amp;", скв. "&amp;B985&amp;". МРП: "&amp;E985&amp;" сут. ГНО: "&amp;F985&amp;", типоразмер "&amp;G985&amp;", марка "&amp;H985&amp;". Событие: "&amp;I985&amp;". Признак: "&amp;J985&amp;". Узел: "&amp;K985&amp;". Предварительная причина: "&amp;L985&amp;". Основное осложнение: "&amp;M985&amp;IF(N985&lt;&gt;"","; сопутствующее: "&amp;N985,"")&amp;IF(O985&lt;&gt;"","; дополнительно: "&amp;O985,"")&amp;".")</f>
        <v/>
      </c>
    </row>
    <row r="986">
      <c r="A986" s="75" t="n"/>
      <c r="B986" s="75" t="n"/>
      <c r="C986" s="261" t="n"/>
      <c r="D986" s="261" t="n"/>
      <c r="E986" s="262">
        <f>IF(OR(C986="",D986=""),"",D986-C986)</f>
        <v/>
      </c>
      <c r="F986" s="75" t="n"/>
      <c r="G986" s="75" t="n"/>
      <c r="H986" s="75" t="n"/>
      <c r="I986" s="75" t="n"/>
      <c r="J986" s="75" t="n"/>
      <c r="K986" s="75" t="n"/>
      <c r="L986" s="75" t="n"/>
      <c r="M986" s="75" t="n"/>
      <c r="N986" s="75" t="n"/>
      <c r="O986" s="75" t="n"/>
      <c r="P986" s="75" t="n"/>
      <c r="Q986" s="75" t="n"/>
      <c r="R986" s="75" t="n"/>
      <c r="S986" s="75" t="n"/>
      <c r="T986" s="75" t="n"/>
      <c r="U986" s="75" t="n"/>
      <c r="V986" s="75" t="n"/>
      <c r="W986" s="75" t="n"/>
      <c r="X986" s="75" t="n"/>
      <c r="Y986" s="226">
        <f>IF(AND(A986="",B986=""),"",IF(AND(A986&lt;&gt;"",B986&lt;&gt;"",C986&lt;&gt;"",D986&lt;&gt;"",F986&lt;&gt;"",G986&lt;&gt;"",H986&lt;&gt;"",ISERROR(SEARCH("по паспорту",G986)),ISERROR(SEARCH("по паспорту",H986)),I986&lt;&gt;"",J986&lt;&gt;"",K986&lt;&gt;"",L986&lt;&gt;"",M986&lt;&gt;""),"ГОТОВО","НЕ ГОТОВО"))</f>
        <v/>
      </c>
      <c r="Z986" s="226">
        <f>IF(Y986&lt;&gt;"ГОТОВО","", "Предварительное заключение: "&amp;A986&amp;", скв. "&amp;B986&amp;". МРП: "&amp;E986&amp;" сут. ГНО: "&amp;F986&amp;", типоразмер "&amp;G986&amp;", марка "&amp;H986&amp;". Событие: "&amp;I986&amp;". Признак: "&amp;J986&amp;". Узел: "&amp;K986&amp;". Предварительная причина: "&amp;L986&amp;". Основное осложнение: "&amp;M986&amp;IF(N986&lt;&gt;"","; сопутствующее: "&amp;N986,"")&amp;IF(O986&lt;&gt;"","; дополнительно: "&amp;O986,"")&amp;".")</f>
        <v/>
      </c>
    </row>
    <row r="987">
      <c r="A987" s="75" t="n"/>
      <c r="B987" s="75" t="n"/>
      <c r="C987" s="261" t="n"/>
      <c r="D987" s="261" t="n"/>
      <c r="E987" s="262">
        <f>IF(OR(C987="",D987=""),"",D987-C987)</f>
        <v/>
      </c>
      <c r="F987" s="75" t="n"/>
      <c r="G987" s="75" t="n"/>
      <c r="H987" s="75" t="n"/>
      <c r="I987" s="75" t="n"/>
      <c r="J987" s="75" t="n"/>
      <c r="K987" s="75" t="n"/>
      <c r="L987" s="75" t="n"/>
      <c r="M987" s="75" t="n"/>
      <c r="N987" s="75" t="n"/>
      <c r="O987" s="75" t="n"/>
      <c r="P987" s="75" t="n"/>
      <c r="Q987" s="75" t="n"/>
      <c r="R987" s="75" t="n"/>
      <c r="S987" s="75" t="n"/>
      <c r="T987" s="75" t="n"/>
      <c r="U987" s="75" t="n"/>
      <c r="V987" s="75" t="n"/>
      <c r="W987" s="75" t="n"/>
      <c r="X987" s="75" t="n"/>
      <c r="Y987" s="226">
        <f>IF(AND(A987="",B987=""),"",IF(AND(A987&lt;&gt;"",B987&lt;&gt;"",C987&lt;&gt;"",D987&lt;&gt;"",F987&lt;&gt;"",G987&lt;&gt;"",H987&lt;&gt;"",ISERROR(SEARCH("по паспорту",G987)),ISERROR(SEARCH("по паспорту",H987)),I987&lt;&gt;"",J987&lt;&gt;"",K987&lt;&gt;"",L987&lt;&gt;"",M987&lt;&gt;""),"ГОТОВО","НЕ ГОТОВО"))</f>
        <v/>
      </c>
      <c r="Z987" s="226">
        <f>IF(Y987&lt;&gt;"ГОТОВО","", "Предварительное заключение: "&amp;A987&amp;", скв. "&amp;B987&amp;". МРП: "&amp;E987&amp;" сут. ГНО: "&amp;F987&amp;", типоразмер "&amp;G987&amp;", марка "&amp;H987&amp;". Событие: "&amp;I987&amp;". Признак: "&amp;J987&amp;". Узел: "&amp;K987&amp;". Предварительная причина: "&amp;L987&amp;". Основное осложнение: "&amp;M987&amp;IF(N987&lt;&gt;"","; сопутствующее: "&amp;N987,"")&amp;IF(O987&lt;&gt;"","; дополнительно: "&amp;O987,"")&amp;".")</f>
        <v/>
      </c>
    </row>
    <row r="988">
      <c r="A988" s="75" t="n"/>
      <c r="B988" s="75" t="n"/>
      <c r="C988" s="261" t="n"/>
      <c r="D988" s="261" t="n"/>
      <c r="E988" s="262">
        <f>IF(OR(C988="",D988=""),"",D988-C988)</f>
        <v/>
      </c>
      <c r="F988" s="75" t="n"/>
      <c r="G988" s="75" t="n"/>
      <c r="H988" s="75" t="n"/>
      <c r="I988" s="75" t="n"/>
      <c r="J988" s="75" t="n"/>
      <c r="K988" s="75" t="n"/>
      <c r="L988" s="75" t="n"/>
      <c r="M988" s="75" t="n"/>
      <c r="N988" s="75" t="n"/>
      <c r="O988" s="75" t="n"/>
      <c r="P988" s="75" t="n"/>
      <c r="Q988" s="75" t="n"/>
      <c r="R988" s="75" t="n"/>
      <c r="S988" s="75" t="n"/>
      <c r="T988" s="75" t="n"/>
      <c r="U988" s="75" t="n"/>
      <c r="V988" s="75" t="n"/>
      <c r="W988" s="75" t="n"/>
      <c r="X988" s="75" t="n"/>
      <c r="Y988" s="226">
        <f>IF(AND(A988="",B988=""),"",IF(AND(A988&lt;&gt;"",B988&lt;&gt;"",C988&lt;&gt;"",D988&lt;&gt;"",F988&lt;&gt;"",G988&lt;&gt;"",H988&lt;&gt;"",ISERROR(SEARCH("по паспорту",G988)),ISERROR(SEARCH("по паспорту",H988)),I988&lt;&gt;"",J988&lt;&gt;"",K988&lt;&gt;"",L988&lt;&gt;"",M988&lt;&gt;""),"ГОТОВО","НЕ ГОТОВО"))</f>
        <v/>
      </c>
      <c r="Z988" s="226">
        <f>IF(Y988&lt;&gt;"ГОТОВО","", "Предварительное заключение: "&amp;A988&amp;", скв. "&amp;B988&amp;". МРП: "&amp;E988&amp;" сут. ГНО: "&amp;F988&amp;", типоразмер "&amp;G988&amp;", марка "&amp;H988&amp;". Событие: "&amp;I988&amp;". Признак: "&amp;J988&amp;". Узел: "&amp;K988&amp;". Предварительная причина: "&amp;L988&amp;". Основное осложнение: "&amp;M988&amp;IF(N988&lt;&gt;"","; сопутствующее: "&amp;N988,"")&amp;IF(O988&lt;&gt;"","; дополнительно: "&amp;O988,"")&amp;".")</f>
        <v/>
      </c>
    </row>
    <row r="989">
      <c r="A989" s="75" t="n"/>
      <c r="B989" s="75" t="n"/>
      <c r="C989" s="261" t="n"/>
      <c r="D989" s="261" t="n"/>
      <c r="E989" s="262">
        <f>IF(OR(C989="",D989=""),"",D989-C989)</f>
        <v/>
      </c>
      <c r="F989" s="75" t="n"/>
      <c r="G989" s="75" t="n"/>
      <c r="H989" s="75" t="n"/>
      <c r="I989" s="75" t="n"/>
      <c r="J989" s="75" t="n"/>
      <c r="K989" s="75" t="n"/>
      <c r="L989" s="75" t="n"/>
      <c r="M989" s="75" t="n"/>
      <c r="N989" s="75" t="n"/>
      <c r="O989" s="75" t="n"/>
      <c r="P989" s="75" t="n"/>
      <c r="Q989" s="75" t="n"/>
      <c r="R989" s="75" t="n"/>
      <c r="S989" s="75" t="n"/>
      <c r="T989" s="75" t="n"/>
      <c r="U989" s="75" t="n"/>
      <c r="V989" s="75" t="n"/>
      <c r="W989" s="75" t="n"/>
      <c r="X989" s="75" t="n"/>
      <c r="Y989" s="226">
        <f>IF(AND(A989="",B989=""),"",IF(AND(A989&lt;&gt;"",B989&lt;&gt;"",C989&lt;&gt;"",D989&lt;&gt;"",F989&lt;&gt;"",G989&lt;&gt;"",H989&lt;&gt;"",ISERROR(SEARCH("по паспорту",G989)),ISERROR(SEARCH("по паспорту",H989)),I989&lt;&gt;"",J989&lt;&gt;"",K989&lt;&gt;"",L989&lt;&gt;"",M989&lt;&gt;""),"ГОТОВО","НЕ ГОТОВО"))</f>
        <v/>
      </c>
      <c r="Z989" s="226">
        <f>IF(Y989&lt;&gt;"ГОТОВО","", "Предварительное заключение: "&amp;A989&amp;", скв. "&amp;B989&amp;". МРП: "&amp;E989&amp;" сут. ГНО: "&amp;F989&amp;", типоразмер "&amp;G989&amp;", марка "&amp;H989&amp;". Событие: "&amp;I989&amp;". Признак: "&amp;J989&amp;". Узел: "&amp;K989&amp;". Предварительная причина: "&amp;L989&amp;". Основное осложнение: "&amp;M989&amp;IF(N989&lt;&gt;"","; сопутствующее: "&amp;N989,"")&amp;IF(O989&lt;&gt;"","; дополнительно: "&amp;O989,"")&amp;".")</f>
        <v/>
      </c>
    </row>
    <row r="990">
      <c r="A990" s="75" t="n"/>
      <c r="B990" s="75" t="n"/>
      <c r="C990" s="261" t="n"/>
      <c r="D990" s="261" t="n"/>
      <c r="E990" s="262">
        <f>IF(OR(C990="",D990=""),"",D990-C990)</f>
        <v/>
      </c>
      <c r="F990" s="75" t="n"/>
      <c r="G990" s="75" t="n"/>
      <c r="H990" s="75" t="n"/>
      <c r="I990" s="75" t="n"/>
      <c r="J990" s="75" t="n"/>
      <c r="K990" s="75" t="n"/>
      <c r="L990" s="75" t="n"/>
      <c r="M990" s="75" t="n"/>
      <c r="N990" s="75" t="n"/>
      <c r="O990" s="75" t="n"/>
      <c r="P990" s="75" t="n"/>
      <c r="Q990" s="75" t="n"/>
      <c r="R990" s="75" t="n"/>
      <c r="S990" s="75" t="n"/>
      <c r="T990" s="75" t="n"/>
      <c r="U990" s="75" t="n"/>
      <c r="V990" s="75" t="n"/>
      <c r="W990" s="75" t="n"/>
      <c r="X990" s="75" t="n"/>
      <c r="Y990" s="226">
        <f>IF(AND(A990="",B990=""),"",IF(AND(A990&lt;&gt;"",B990&lt;&gt;"",C990&lt;&gt;"",D990&lt;&gt;"",F990&lt;&gt;"",G990&lt;&gt;"",H990&lt;&gt;"",ISERROR(SEARCH("по паспорту",G990)),ISERROR(SEARCH("по паспорту",H990)),I990&lt;&gt;"",J990&lt;&gt;"",K990&lt;&gt;"",L990&lt;&gt;"",M990&lt;&gt;""),"ГОТОВО","НЕ ГОТОВО"))</f>
        <v/>
      </c>
      <c r="Z990" s="226">
        <f>IF(Y990&lt;&gt;"ГОТОВО","", "Предварительное заключение: "&amp;A990&amp;", скв. "&amp;B990&amp;". МРП: "&amp;E990&amp;" сут. ГНО: "&amp;F990&amp;", типоразмер "&amp;G990&amp;", марка "&amp;H990&amp;". Событие: "&amp;I990&amp;". Признак: "&amp;J990&amp;". Узел: "&amp;K990&amp;". Предварительная причина: "&amp;L990&amp;". Основное осложнение: "&amp;M990&amp;IF(N990&lt;&gt;"","; сопутствующее: "&amp;N990,"")&amp;IF(O990&lt;&gt;"","; дополнительно: "&amp;O990,"")&amp;".")</f>
        <v/>
      </c>
    </row>
    <row r="991">
      <c r="A991" s="75" t="n"/>
      <c r="B991" s="75" t="n"/>
      <c r="C991" s="261" t="n"/>
      <c r="D991" s="261" t="n"/>
      <c r="E991" s="262">
        <f>IF(OR(C991="",D991=""),"",D991-C991)</f>
        <v/>
      </c>
      <c r="F991" s="75" t="n"/>
      <c r="G991" s="75" t="n"/>
      <c r="H991" s="75" t="n"/>
      <c r="I991" s="75" t="n"/>
      <c r="J991" s="75" t="n"/>
      <c r="K991" s="75" t="n"/>
      <c r="L991" s="75" t="n"/>
      <c r="M991" s="75" t="n"/>
      <c r="N991" s="75" t="n"/>
      <c r="O991" s="75" t="n"/>
      <c r="P991" s="75" t="n"/>
      <c r="Q991" s="75" t="n"/>
      <c r="R991" s="75" t="n"/>
      <c r="S991" s="75" t="n"/>
      <c r="T991" s="75" t="n"/>
      <c r="U991" s="75" t="n"/>
      <c r="V991" s="75" t="n"/>
      <c r="W991" s="75" t="n"/>
      <c r="X991" s="75" t="n"/>
      <c r="Y991" s="226">
        <f>IF(AND(A991="",B991=""),"",IF(AND(A991&lt;&gt;"",B991&lt;&gt;"",C991&lt;&gt;"",D991&lt;&gt;"",F991&lt;&gt;"",G991&lt;&gt;"",H991&lt;&gt;"",ISERROR(SEARCH("по паспорту",G991)),ISERROR(SEARCH("по паспорту",H991)),I991&lt;&gt;"",J991&lt;&gt;"",K991&lt;&gt;"",L991&lt;&gt;"",M991&lt;&gt;""),"ГОТОВО","НЕ ГОТОВО"))</f>
        <v/>
      </c>
      <c r="Z991" s="226">
        <f>IF(Y991&lt;&gt;"ГОТОВО","", "Предварительное заключение: "&amp;A991&amp;", скв. "&amp;B991&amp;". МРП: "&amp;E991&amp;" сут. ГНО: "&amp;F991&amp;", типоразмер "&amp;G991&amp;", марка "&amp;H991&amp;". Событие: "&amp;I991&amp;". Признак: "&amp;J991&amp;". Узел: "&amp;K991&amp;". Предварительная причина: "&amp;L991&amp;". Основное осложнение: "&amp;M991&amp;IF(N991&lt;&gt;"","; сопутствующее: "&amp;N991,"")&amp;IF(O991&lt;&gt;"","; дополнительно: "&amp;O991,"")&amp;".")</f>
        <v/>
      </c>
    </row>
    <row r="992">
      <c r="A992" s="75" t="n"/>
      <c r="B992" s="75" t="n"/>
      <c r="C992" s="261" t="n"/>
      <c r="D992" s="261" t="n"/>
      <c r="E992" s="262">
        <f>IF(OR(C992="",D992=""),"",D992-C992)</f>
        <v/>
      </c>
      <c r="F992" s="75" t="n"/>
      <c r="G992" s="75" t="n"/>
      <c r="H992" s="75" t="n"/>
      <c r="I992" s="75" t="n"/>
      <c r="J992" s="75" t="n"/>
      <c r="K992" s="75" t="n"/>
      <c r="L992" s="75" t="n"/>
      <c r="M992" s="75" t="n"/>
      <c r="N992" s="75" t="n"/>
      <c r="O992" s="75" t="n"/>
      <c r="P992" s="75" t="n"/>
      <c r="Q992" s="75" t="n"/>
      <c r="R992" s="75" t="n"/>
      <c r="S992" s="75" t="n"/>
      <c r="T992" s="75" t="n"/>
      <c r="U992" s="75" t="n"/>
      <c r="V992" s="75" t="n"/>
      <c r="W992" s="75" t="n"/>
      <c r="X992" s="75" t="n"/>
      <c r="Y992" s="226">
        <f>IF(AND(A992="",B992=""),"",IF(AND(A992&lt;&gt;"",B992&lt;&gt;"",C992&lt;&gt;"",D992&lt;&gt;"",F992&lt;&gt;"",G992&lt;&gt;"",H992&lt;&gt;"",ISERROR(SEARCH("по паспорту",G992)),ISERROR(SEARCH("по паспорту",H992)),I992&lt;&gt;"",J992&lt;&gt;"",K992&lt;&gt;"",L992&lt;&gt;"",M992&lt;&gt;""),"ГОТОВО","НЕ ГОТОВО"))</f>
        <v/>
      </c>
      <c r="Z992" s="226">
        <f>IF(Y992&lt;&gt;"ГОТОВО","", "Предварительное заключение: "&amp;A992&amp;", скв. "&amp;B992&amp;". МРП: "&amp;E992&amp;" сут. ГНО: "&amp;F992&amp;", типоразмер "&amp;G992&amp;", марка "&amp;H992&amp;". Событие: "&amp;I992&amp;". Признак: "&amp;J992&amp;". Узел: "&amp;K992&amp;". Предварительная причина: "&amp;L992&amp;". Основное осложнение: "&amp;M992&amp;IF(N992&lt;&gt;"","; сопутствующее: "&amp;N992,"")&amp;IF(O992&lt;&gt;"","; дополнительно: "&amp;O992,"")&amp;".")</f>
        <v/>
      </c>
    </row>
    <row r="993">
      <c r="A993" s="75" t="n"/>
      <c r="B993" s="75" t="n"/>
      <c r="C993" s="261" t="n"/>
      <c r="D993" s="261" t="n"/>
      <c r="E993" s="262">
        <f>IF(OR(C993="",D993=""),"",D993-C993)</f>
        <v/>
      </c>
      <c r="F993" s="75" t="n"/>
      <c r="G993" s="75" t="n"/>
      <c r="H993" s="75" t="n"/>
      <c r="I993" s="75" t="n"/>
      <c r="J993" s="75" t="n"/>
      <c r="K993" s="75" t="n"/>
      <c r="L993" s="75" t="n"/>
      <c r="M993" s="75" t="n"/>
      <c r="N993" s="75" t="n"/>
      <c r="O993" s="75" t="n"/>
      <c r="P993" s="75" t="n"/>
      <c r="Q993" s="75" t="n"/>
      <c r="R993" s="75" t="n"/>
      <c r="S993" s="75" t="n"/>
      <c r="T993" s="75" t="n"/>
      <c r="U993" s="75" t="n"/>
      <c r="V993" s="75" t="n"/>
      <c r="W993" s="75" t="n"/>
      <c r="X993" s="75" t="n"/>
      <c r="Y993" s="226">
        <f>IF(AND(A993="",B993=""),"",IF(AND(A993&lt;&gt;"",B993&lt;&gt;"",C993&lt;&gt;"",D993&lt;&gt;"",F993&lt;&gt;"",G993&lt;&gt;"",H993&lt;&gt;"",ISERROR(SEARCH("по паспорту",G993)),ISERROR(SEARCH("по паспорту",H993)),I993&lt;&gt;"",J993&lt;&gt;"",K993&lt;&gt;"",L993&lt;&gt;"",M993&lt;&gt;""),"ГОТОВО","НЕ ГОТОВО"))</f>
        <v/>
      </c>
      <c r="Z993" s="226">
        <f>IF(Y993&lt;&gt;"ГОТОВО","", "Предварительное заключение: "&amp;A993&amp;", скв. "&amp;B993&amp;". МРП: "&amp;E993&amp;" сут. ГНО: "&amp;F993&amp;", типоразмер "&amp;G993&amp;", марка "&amp;H993&amp;". Событие: "&amp;I993&amp;". Признак: "&amp;J993&amp;". Узел: "&amp;K993&amp;". Предварительная причина: "&amp;L993&amp;". Основное осложнение: "&amp;M993&amp;IF(N993&lt;&gt;"","; сопутствующее: "&amp;N993,"")&amp;IF(O993&lt;&gt;"","; дополнительно: "&amp;O993,"")&amp;".")</f>
        <v/>
      </c>
    </row>
    <row r="994">
      <c r="A994" s="75" t="n"/>
      <c r="B994" s="75" t="n"/>
      <c r="C994" s="261" t="n"/>
      <c r="D994" s="261" t="n"/>
      <c r="E994" s="262">
        <f>IF(OR(C994="",D994=""),"",D994-C994)</f>
        <v/>
      </c>
      <c r="F994" s="75" t="n"/>
      <c r="G994" s="75" t="n"/>
      <c r="H994" s="75" t="n"/>
      <c r="I994" s="75" t="n"/>
      <c r="J994" s="75" t="n"/>
      <c r="K994" s="75" t="n"/>
      <c r="L994" s="75" t="n"/>
      <c r="M994" s="75" t="n"/>
      <c r="N994" s="75" t="n"/>
      <c r="O994" s="75" t="n"/>
      <c r="P994" s="75" t="n"/>
      <c r="Q994" s="75" t="n"/>
      <c r="R994" s="75" t="n"/>
      <c r="S994" s="75" t="n"/>
      <c r="T994" s="75" t="n"/>
      <c r="U994" s="75" t="n"/>
      <c r="V994" s="75" t="n"/>
      <c r="W994" s="75" t="n"/>
      <c r="X994" s="75" t="n"/>
      <c r="Y994" s="226">
        <f>IF(AND(A994="",B994=""),"",IF(AND(A994&lt;&gt;"",B994&lt;&gt;"",C994&lt;&gt;"",D994&lt;&gt;"",F994&lt;&gt;"",G994&lt;&gt;"",H994&lt;&gt;"",ISERROR(SEARCH("по паспорту",G994)),ISERROR(SEARCH("по паспорту",H994)),I994&lt;&gt;"",J994&lt;&gt;"",K994&lt;&gt;"",L994&lt;&gt;"",M994&lt;&gt;""),"ГОТОВО","НЕ ГОТОВО"))</f>
        <v/>
      </c>
      <c r="Z994" s="226">
        <f>IF(Y994&lt;&gt;"ГОТОВО","", "Предварительное заключение: "&amp;A994&amp;", скв. "&amp;B994&amp;". МРП: "&amp;E994&amp;" сут. ГНО: "&amp;F994&amp;", типоразмер "&amp;G994&amp;", марка "&amp;H994&amp;". Событие: "&amp;I994&amp;". Признак: "&amp;J994&amp;". Узел: "&amp;K994&amp;". Предварительная причина: "&amp;L994&amp;". Основное осложнение: "&amp;M994&amp;IF(N994&lt;&gt;"","; сопутствующее: "&amp;N994,"")&amp;IF(O994&lt;&gt;"","; дополнительно: "&amp;O994,"")&amp;".")</f>
        <v/>
      </c>
    </row>
    <row r="995">
      <c r="A995" s="75" t="n"/>
      <c r="B995" s="75" t="n"/>
      <c r="C995" s="261" t="n"/>
      <c r="D995" s="261" t="n"/>
      <c r="E995" s="262">
        <f>IF(OR(C995="",D995=""),"",D995-C995)</f>
        <v/>
      </c>
      <c r="F995" s="75" t="n"/>
      <c r="G995" s="75" t="n"/>
      <c r="H995" s="75" t="n"/>
      <c r="I995" s="75" t="n"/>
      <c r="J995" s="75" t="n"/>
      <c r="K995" s="75" t="n"/>
      <c r="L995" s="75" t="n"/>
      <c r="M995" s="75" t="n"/>
      <c r="N995" s="75" t="n"/>
      <c r="O995" s="75" t="n"/>
      <c r="P995" s="75" t="n"/>
      <c r="Q995" s="75" t="n"/>
      <c r="R995" s="75" t="n"/>
      <c r="S995" s="75" t="n"/>
      <c r="T995" s="75" t="n"/>
      <c r="U995" s="75" t="n"/>
      <c r="V995" s="75" t="n"/>
      <c r="W995" s="75" t="n"/>
      <c r="X995" s="75" t="n"/>
      <c r="Y995" s="226">
        <f>IF(AND(A995="",B995=""),"",IF(AND(A995&lt;&gt;"",B995&lt;&gt;"",C995&lt;&gt;"",D995&lt;&gt;"",F995&lt;&gt;"",G995&lt;&gt;"",H995&lt;&gt;"",ISERROR(SEARCH("по паспорту",G995)),ISERROR(SEARCH("по паспорту",H995)),I995&lt;&gt;"",J995&lt;&gt;"",K995&lt;&gt;"",L995&lt;&gt;"",M995&lt;&gt;""),"ГОТОВО","НЕ ГОТОВО"))</f>
        <v/>
      </c>
      <c r="Z995" s="226">
        <f>IF(Y995&lt;&gt;"ГОТОВО","", "Предварительное заключение: "&amp;A995&amp;", скв. "&amp;B995&amp;". МРП: "&amp;E995&amp;" сут. ГНО: "&amp;F995&amp;", типоразмер "&amp;G995&amp;", марка "&amp;H995&amp;". Событие: "&amp;I995&amp;". Признак: "&amp;J995&amp;". Узел: "&amp;K995&amp;". Предварительная причина: "&amp;L995&amp;". Основное осложнение: "&amp;M995&amp;IF(N995&lt;&gt;"","; сопутствующее: "&amp;N995,"")&amp;IF(O995&lt;&gt;"","; дополнительно: "&amp;O995,"")&amp;".")</f>
        <v/>
      </c>
    </row>
    <row r="996">
      <c r="A996" s="75" t="n"/>
      <c r="B996" s="75" t="n"/>
      <c r="C996" s="261" t="n"/>
      <c r="D996" s="261" t="n"/>
      <c r="E996" s="262">
        <f>IF(OR(C996="",D996=""),"",D996-C996)</f>
        <v/>
      </c>
      <c r="F996" s="75" t="n"/>
      <c r="G996" s="75" t="n"/>
      <c r="H996" s="75" t="n"/>
      <c r="I996" s="75" t="n"/>
      <c r="J996" s="75" t="n"/>
      <c r="K996" s="75" t="n"/>
      <c r="L996" s="75" t="n"/>
      <c r="M996" s="75" t="n"/>
      <c r="N996" s="75" t="n"/>
      <c r="O996" s="75" t="n"/>
      <c r="P996" s="75" t="n"/>
      <c r="Q996" s="75" t="n"/>
      <c r="R996" s="75" t="n"/>
      <c r="S996" s="75" t="n"/>
      <c r="T996" s="75" t="n"/>
      <c r="U996" s="75" t="n"/>
      <c r="V996" s="75" t="n"/>
      <c r="W996" s="75" t="n"/>
      <c r="X996" s="75" t="n"/>
      <c r="Y996" s="226">
        <f>IF(AND(A996="",B996=""),"",IF(AND(A996&lt;&gt;"",B996&lt;&gt;"",C996&lt;&gt;"",D996&lt;&gt;"",F996&lt;&gt;"",G996&lt;&gt;"",H996&lt;&gt;"",ISERROR(SEARCH("по паспорту",G996)),ISERROR(SEARCH("по паспорту",H996)),I996&lt;&gt;"",J996&lt;&gt;"",K996&lt;&gt;"",L996&lt;&gt;"",M996&lt;&gt;""),"ГОТОВО","НЕ ГОТОВО"))</f>
        <v/>
      </c>
      <c r="Z996" s="226">
        <f>IF(Y996&lt;&gt;"ГОТОВО","", "Предварительное заключение: "&amp;A996&amp;", скв. "&amp;B996&amp;". МРП: "&amp;E996&amp;" сут. ГНО: "&amp;F996&amp;", типоразмер "&amp;G996&amp;", марка "&amp;H996&amp;". Событие: "&amp;I996&amp;". Признак: "&amp;J996&amp;". Узел: "&amp;K996&amp;". Предварительная причина: "&amp;L996&amp;". Основное осложнение: "&amp;M996&amp;IF(N996&lt;&gt;"","; сопутствующее: "&amp;N996,"")&amp;IF(O996&lt;&gt;"","; дополнительно: "&amp;O996,"")&amp;".")</f>
        <v/>
      </c>
    </row>
    <row r="997">
      <c r="A997" s="75" t="n"/>
      <c r="B997" s="75" t="n"/>
      <c r="C997" s="261" t="n"/>
      <c r="D997" s="261" t="n"/>
      <c r="E997" s="262">
        <f>IF(OR(C997="",D997=""),"",D997-C997)</f>
        <v/>
      </c>
      <c r="F997" s="75" t="n"/>
      <c r="G997" s="75" t="n"/>
      <c r="H997" s="75" t="n"/>
      <c r="I997" s="75" t="n"/>
      <c r="J997" s="75" t="n"/>
      <c r="K997" s="75" t="n"/>
      <c r="L997" s="75" t="n"/>
      <c r="M997" s="75" t="n"/>
      <c r="N997" s="75" t="n"/>
      <c r="O997" s="75" t="n"/>
      <c r="P997" s="75" t="n"/>
      <c r="Q997" s="75" t="n"/>
      <c r="R997" s="75" t="n"/>
      <c r="S997" s="75" t="n"/>
      <c r="T997" s="75" t="n"/>
      <c r="U997" s="75" t="n"/>
      <c r="V997" s="75" t="n"/>
      <c r="W997" s="75" t="n"/>
      <c r="X997" s="75" t="n"/>
      <c r="Y997" s="226">
        <f>IF(AND(A997="",B997=""),"",IF(AND(A997&lt;&gt;"",B997&lt;&gt;"",C997&lt;&gt;"",D997&lt;&gt;"",F997&lt;&gt;"",G997&lt;&gt;"",H997&lt;&gt;"",ISERROR(SEARCH("по паспорту",G997)),ISERROR(SEARCH("по паспорту",H997)),I997&lt;&gt;"",J997&lt;&gt;"",K997&lt;&gt;"",L997&lt;&gt;"",M997&lt;&gt;""),"ГОТОВО","НЕ ГОТОВО"))</f>
        <v/>
      </c>
      <c r="Z997" s="226">
        <f>IF(Y997&lt;&gt;"ГОТОВО","", "Предварительное заключение: "&amp;A997&amp;", скв. "&amp;B997&amp;". МРП: "&amp;E997&amp;" сут. ГНО: "&amp;F997&amp;", типоразмер "&amp;G997&amp;", марка "&amp;H997&amp;". Событие: "&amp;I997&amp;". Признак: "&amp;J997&amp;". Узел: "&amp;K997&amp;". Предварительная причина: "&amp;L997&amp;". Основное осложнение: "&amp;M997&amp;IF(N997&lt;&gt;"","; сопутствующее: "&amp;N997,"")&amp;IF(O997&lt;&gt;"","; дополнительно: "&amp;O997,"")&amp;".")</f>
        <v/>
      </c>
    </row>
    <row r="998">
      <c r="A998" s="75" t="n"/>
      <c r="B998" s="75" t="n"/>
      <c r="C998" s="261" t="n"/>
      <c r="D998" s="261" t="n"/>
      <c r="E998" s="262">
        <f>IF(OR(C998="",D998=""),"",D998-C998)</f>
        <v/>
      </c>
      <c r="F998" s="75" t="n"/>
      <c r="G998" s="75" t="n"/>
      <c r="H998" s="75" t="n"/>
      <c r="I998" s="75" t="n"/>
      <c r="J998" s="75" t="n"/>
      <c r="K998" s="75" t="n"/>
      <c r="L998" s="75" t="n"/>
      <c r="M998" s="75" t="n"/>
      <c r="N998" s="75" t="n"/>
      <c r="O998" s="75" t="n"/>
      <c r="P998" s="75" t="n"/>
      <c r="Q998" s="75" t="n"/>
      <c r="R998" s="75" t="n"/>
      <c r="S998" s="75" t="n"/>
      <c r="T998" s="75" t="n"/>
      <c r="U998" s="75" t="n"/>
      <c r="V998" s="75" t="n"/>
      <c r="W998" s="75" t="n"/>
      <c r="X998" s="75" t="n"/>
      <c r="Y998" s="226">
        <f>IF(AND(A998="",B998=""),"",IF(AND(A998&lt;&gt;"",B998&lt;&gt;"",C998&lt;&gt;"",D998&lt;&gt;"",F998&lt;&gt;"",G998&lt;&gt;"",H998&lt;&gt;"",ISERROR(SEARCH("по паспорту",G998)),ISERROR(SEARCH("по паспорту",H998)),I998&lt;&gt;"",J998&lt;&gt;"",K998&lt;&gt;"",L998&lt;&gt;"",M998&lt;&gt;""),"ГОТОВО","НЕ ГОТОВО"))</f>
        <v/>
      </c>
      <c r="Z998" s="226">
        <f>IF(Y998&lt;&gt;"ГОТОВО","", "Предварительное заключение: "&amp;A998&amp;", скв. "&amp;B998&amp;". МРП: "&amp;E998&amp;" сут. ГНО: "&amp;F998&amp;", типоразмер "&amp;G998&amp;", марка "&amp;H998&amp;". Событие: "&amp;I998&amp;". Признак: "&amp;J998&amp;". Узел: "&amp;K998&amp;". Предварительная причина: "&amp;L998&amp;". Основное осложнение: "&amp;M998&amp;IF(N998&lt;&gt;"","; сопутствующее: "&amp;N998,"")&amp;IF(O998&lt;&gt;"","; дополнительно: "&amp;O998,"")&amp;".")</f>
        <v/>
      </c>
    </row>
    <row r="999">
      <c r="A999" s="75" t="n"/>
      <c r="B999" s="75" t="n"/>
      <c r="C999" s="261" t="n"/>
      <c r="D999" s="261" t="n"/>
      <c r="E999" s="262">
        <f>IF(OR(C999="",D999=""),"",D999-C999)</f>
        <v/>
      </c>
      <c r="F999" s="75" t="n"/>
      <c r="G999" s="75" t="n"/>
      <c r="H999" s="75" t="n"/>
      <c r="I999" s="75" t="n"/>
      <c r="J999" s="75" t="n"/>
      <c r="K999" s="75" t="n"/>
      <c r="L999" s="75" t="n"/>
      <c r="M999" s="75" t="n"/>
      <c r="N999" s="75" t="n"/>
      <c r="O999" s="75" t="n"/>
      <c r="P999" s="75" t="n"/>
      <c r="Q999" s="75" t="n"/>
      <c r="R999" s="75" t="n"/>
      <c r="S999" s="75" t="n"/>
      <c r="T999" s="75" t="n"/>
      <c r="U999" s="75" t="n"/>
      <c r="V999" s="75" t="n"/>
      <c r="W999" s="75" t="n"/>
      <c r="X999" s="75" t="n"/>
      <c r="Y999" s="226">
        <f>IF(AND(A999="",B999=""),"",IF(AND(A999&lt;&gt;"",B999&lt;&gt;"",C999&lt;&gt;"",D999&lt;&gt;"",F999&lt;&gt;"",G999&lt;&gt;"",H999&lt;&gt;"",ISERROR(SEARCH("по паспорту",G999)),ISERROR(SEARCH("по паспорту",H999)),I999&lt;&gt;"",J999&lt;&gt;"",K999&lt;&gt;"",L999&lt;&gt;"",M999&lt;&gt;""),"ГОТОВО","НЕ ГОТОВО"))</f>
        <v/>
      </c>
      <c r="Z999" s="226">
        <f>IF(Y999&lt;&gt;"ГОТОВО","", "Предварительное заключение: "&amp;A999&amp;", скв. "&amp;B999&amp;". МРП: "&amp;E999&amp;" сут. ГНО: "&amp;F999&amp;", типоразмер "&amp;G999&amp;", марка "&amp;H999&amp;". Событие: "&amp;I999&amp;". Признак: "&amp;J999&amp;". Узел: "&amp;K999&amp;". Предварительная причина: "&amp;L999&amp;". Основное осложнение: "&amp;M999&amp;IF(N999&lt;&gt;"","; сопутствующее: "&amp;N999,"")&amp;IF(O999&lt;&gt;"","; дополнительно: "&amp;O999,"")&amp;".")</f>
        <v/>
      </c>
    </row>
    <row r="1000">
      <c r="A1000" s="75" t="n"/>
      <c r="B1000" s="75" t="n"/>
      <c r="C1000" s="261" t="n"/>
      <c r="D1000" s="261" t="n"/>
      <c r="E1000" s="262">
        <f>IF(OR(C1000="",D1000=""),"",D1000-C1000)</f>
        <v/>
      </c>
      <c r="F1000" s="75" t="n"/>
      <c r="G1000" s="75" t="n"/>
      <c r="H1000" s="75" t="n"/>
      <c r="I1000" s="75" t="n"/>
      <c r="J1000" s="75" t="n"/>
      <c r="K1000" s="75" t="n"/>
      <c r="L1000" s="75" t="n"/>
      <c r="M1000" s="75" t="n"/>
      <c r="N1000" s="75" t="n"/>
      <c r="O1000" s="75" t="n"/>
      <c r="P1000" s="75" t="n"/>
      <c r="Q1000" s="75" t="n"/>
      <c r="R1000" s="75" t="n"/>
      <c r="S1000" s="75" t="n"/>
      <c r="T1000" s="75" t="n"/>
      <c r="U1000" s="75" t="n"/>
      <c r="V1000" s="75" t="n"/>
      <c r="W1000" s="75" t="n"/>
      <c r="X1000" s="75" t="n"/>
      <c r="Y1000" s="226">
        <f>IF(AND(A1000="",B1000=""),"",IF(AND(A1000&lt;&gt;"",B1000&lt;&gt;"",C1000&lt;&gt;"",D1000&lt;&gt;"",F1000&lt;&gt;"",G1000&lt;&gt;"",H1000&lt;&gt;"",ISERROR(SEARCH("по паспорту",G1000)),ISERROR(SEARCH("по паспорту",H1000)),I1000&lt;&gt;"",J1000&lt;&gt;"",K1000&lt;&gt;"",L1000&lt;&gt;"",M1000&lt;&gt;""),"ГОТОВО","НЕ ГОТОВО"))</f>
        <v/>
      </c>
      <c r="Z1000" s="226">
        <f>IF(Y1000&lt;&gt;"ГОТОВО","", "Предварительное заключение: "&amp;A1000&amp;", скв. "&amp;B1000&amp;". МРП: "&amp;E1000&amp;" сут. ГНО: "&amp;F1000&amp;", типоразмер "&amp;G1000&amp;", марка "&amp;H1000&amp;". Событие: "&amp;I1000&amp;". Признак: "&amp;J1000&amp;". Узел: "&amp;K1000&amp;". Предварительная причина: "&amp;L1000&amp;". Основное осложнение: "&amp;M1000&amp;IF(N1000&lt;&gt;"","; сопутствующее: "&amp;N1000,"")&amp;IF(O1000&lt;&gt;"","; дополнительно: "&amp;O1000,"")&amp;".")</f>
        <v/>
      </c>
    </row>
    <row r="1001">
      <c r="A1001" s="75" t="n"/>
      <c r="B1001" s="75" t="n"/>
      <c r="C1001" s="261" t="n"/>
      <c r="D1001" s="261" t="n"/>
      <c r="E1001" s="262">
        <f>IF(OR(C1001="",D1001=""),"",D1001-C1001)</f>
        <v/>
      </c>
      <c r="F1001" s="75" t="n"/>
      <c r="G1001" s="75" t="n"/>
      <c r="H1001" s="75" t="n"/>
      <c r="I1001" s="75" t="n"/>
      <c r="J1001" s="75" t="n"/>
      <c r="K1001" s="75" t="n"/>
      <c r="L1001" s="75" t="n"/>
      <c r="M1001" s="75" t="n"/>
      <c r="N1001" s="75" t="n"/>
      <c r="O1001" s="75" t="n"/>
      <c r="P1001" s="75" t="n"/>
      <c r="Q1001" s="75" t="n"/>
      <c r="R1001" s="75" t="n"/>
      <c r="S1001" s="75" t="n"/>
      <c r="T1001" s="75" t="n"/>
      <c r="U1001" s="75" t="n"/>
      <c r="V1001" s="75" t="n"/>
      <c r="W1001" s="75" t="n"/>
      <c r="X1001" s="75" t="n"/>
      <c r="Y1001" s="226">
        <f>IF(AND(A1001="",B1001=""),"",IF(AND(A1001&lt;&gt;"",B1001&lt;&gt;"",C1001&lt;&gt;"",D1001&lt;&gt;"",F1001&lt;&gt;"",G1001&lt;&gt;"",H1001&lt;&gt;"",ISERROR(SEARCH("по паспорту",G1001)),ISERROR(SEARCH("по паспорту",H1001)),I1001&lt;&gt;"",J1001&lt;&gt;"",K1001&lt;&gt;"",L1001&lt;&gt;"",M1001&lt;&gt;""),"ГОТОВО","НЕ ГОТОВО"))</f>
        <v/>
      </c>
      <c r="Z1001" s="226">
        <f>IF(Y1001&lt;&gt;"ГОТОВО","", "Предварительное заключение: "&amp;A1001&amp;", скв. "&amp;B1001&amp;". МРП: "&amp;E1001&amp;" сут. ГНО: "&amp;F1001&amp;", типоразмер "&amp;G1001&amp;", марка "&amp;H1001&amp;". Событие: "&amp;I1001&amp;". Признак: "&amp;J1001&amp;". Узел: "&amp;K1001&amp;". Предварительная причина: "&amp;L1001&amp;". Основное осложнение: "&amp;M1001&amp;IF(N1001&lt;&gt;"","; сопутствующее: "&amp;N1001,"")&amp;IF(O1001&lt;&gt;"","; дополнительно: "&amp;O1001,"")&amp;".")</f>
        <v/>
      </c>
    </row>
    <row r="1002">
      <c r="A1002" s="75" t="n"/>
      <c r="B1002" s="75" t="n"/>
      <c r="C1002" s="261" t="n"/>
      <c r="D1002" s="261" t="n"/>
      <c r="E1002" s="262">
        <f>IF(OR(C1002="",D1002=""),"",D1002-C1002)</f>
        <v/>
      </c>
      <c r="F1002" s="75" t="n"/>
      <c r="G1002" s="75" t="n"/>
      <c r="H1002" s="75" t="n"/>
      <c r="I1002" s="75" t="n"/>
      <c r="J1002" s="75" t="n"/>
      <c r="K1002" s="75" t="n"/>
      <c r="L1002" s="75" t="n"/>
      <c r="M1002" s="75" t="n"/>
      <c r="N1002" s="75" t="n"/>
      <c r="O1002" s="75" t="n"/>
      <c r="P1002" s="75" t="n"/>
      <c r="Q1002" s="75" t="n"/>
      <c r="R1002" s="75" t="n"/>
      <c r="S1002" s="75" t="n"/>
      <c r="T1002" s="75" t="n"/>
      <c r="U1002" s="75" t="n"/>
      <c r="V1002" s="75" t="n"/>
      <c r="W1002" s="75" t="n"/>
      <c r="X1002" s="75" t="n"/>
      <c r="Y1002" s="226">
        <f>IF(AND(A1002="",B1002=""),"",IF(AND(A1002&lt;&gt;"",B1002&lt;&gt;"",C1002&lt;&gt;"",D1002&lt;&gt;"",F1002&lt;&gt;"",G1002&lt;&gt;"",H1002&lt;&gt;"",ISERROR(SEARCH("по паспорту",G1002)),ISERROR(SEARCH("по паспорту",H1002)),I1002&lt;&gt;"",J1002&lt;&gt;"",K1002&lt;&gt;"",L1002&lt;&gt;"",M1002&lt;&gt;""),"ГОТОВО","НЕ ГОТОВО"))</f>
        <v/>
      </c>
      <c r="Z1002" s="226">
        <f>IF(Y1002&lt;&gt;"ГОТОВО","", "Предварительное заключение: "&amp;A1002&amp;", скв. "&amp;B1002&amp;". МРП: "&amp;E1002&amp;" сут. ГНО: "&amp;F1002&amp;", типоразмер "&amp;G1002&amp;", марка "&amp;H1002&amp;". Событие: "&amp;I1002&amp;". Признак: "&amp;J1002&amp;". Узел: "&amp;K1002&amp;". Предварительная причина: "&amp;L1002&amp;". Основное осложнение: "&amp;M1002&amp;IF(N1002&lt;&gt;"","; сопутствующее: "&amp;N1002,"")&amp;IF(O1002&lt;&gt;"","; дополнительно: "&amp;O1002,"")&amp;".")</f>
        <v/>
      </c>
    </row>
    <row r="1003">
      <c r="A1003" s="75" t="n"/>
      <c r="B1003" s="75" t="n"/>
      <c r="C1003" s="261" t="n"/>
      <c r="D1003" s="261" t="n"/>
      <c r="E1003" s="262">
        <f>IF(OR(C1003="",D1003=""),"",D1003-C1003)</f>
        <v/>
      </c>
      <c r="F1003" s="75" t="n"/>
      <c r="G1003" s="75" t="n"/>
      <c r="H1003" s="75" t="n"/>
      <c r="I1003" s="75" t="n"/>
      <c r="J1003" s="75" t="n"/>
      <c r="K1003" s="75" t="n"/>
      <c r="L1003" s="75" t="n"/>
      <c r="M1003" s="75" t="n"/>
      <c r="N1003" s="75" t="n"/>
      <c r="O1003" s="75" t="n"/>
      <c r="P1003" s="75" t="n"/>
      <c r="Q1003" s="75" t="n"/>
      <c r="R1003" s="75" t="n"/>
      <c r="S1003" s="75" t="n"/>
      <c r="T1003" s="75" t="n"/>
      <c r="U1003" s="75" t="n"/>
      <c r="V1003" s="75" t="n"/>
      <c r="W1003" s="75" t="n"/>
      <c r="X1003" s="75" t="n"/>
      <c r="Y1003" s="226">
        <f>IF(AND(A1003="",B1003=""),"",IF(AND(A1003&lt;&gt;"",B1003&lt;&gt;"",C1003&lt;&gt;"",D1003&lt;&gt;"",F1003&lt;&gt;"",G1003&lt;&gt;"",H1003&lt;&gt;"",ISERROR(SEARCH("по паспорту",G1003)),ISERROR(SEARCH("по паспорту",H1003)),I1003&lt;&gt;"",J1003&lt;&gt;"",K1003&lt;&gt;"",L1003&lt;&gt;"",M1003&lt;&gt;""),"ГОТОВО","НЕ ГОТОВО"))</f>
        <v/>
      </c>
      <c r="Z1003" s="226">
        <f>IF(Y1003&lt;&gt;"ГОТОВО","", "Предварительное заключение: "&amp;A1003&amp;", скв. "&amp;B1003&amp;". МРП: "&amp;E1003&amp;" сут. ГНО: "&amp;F1003&amp;", типоразмер "&amp;G1003&amp;", марка "&amp;H1003&amp;". Событие: "&amp;I1003&amp;". Признак: "&amp;J1003&amp;". Узел: "&amp;K1003&amp;". Предварительная причина: "&amp;L1003&amp;". Основное осложнение: "&amp;M1003&amp;IF(N1003&lt;&gt;"","; сопутствующее: "&amp;N1003,"")&amp;IF(O1003&lt;&gt;"","; дополнительно: "&amp;O1003,"")&amp;".")</f>
        <v/>
      </c>
    </row>
    <row r="1004">
      <c r="A1004" s="75" t="n"/>
      <c r="B1004" s="75" t="n"/>
      <c r="C1004" s="261" t="n"/>
      <c r="D1004" s="261" t="n"/>
      <c r="E1004" s="262">
        <f>IF(OR(C1004="",D1004=""),"",D1004-C1004)</f>
        <v/>
      </c>
      <c r="F1004" s="75" t="n"/>
      <c r="G1004" s="75" t="n"/>
      <c r="H1004" s="75" t="n"/>
      <c r="I1004" s="75" t="n"/>
      <c r="J1004" s="75" t="n"/>
      <c r="K1004" s="75" t="n"/>
      <c r="L1004" s="75" t="n"/>
      <c r="M1004" s="75" t="n"/>
      <c r="N1004" s="75" t="n"/>
      <c r="O1004" s="75" t="n"/>
      <c r="P1004" s="75" t="n"/>
      <c r="Q1004" s="75" t="n"/>
      <c r="R1004" s="75" t="n"/>
      <c r="S1004" s="75" t="n"/>
      <c r="T1004" s="75" t="n"/>
      <c r="U1004" s="75" t="n"/>
      <c r="V1004" s="75" t="n"/>
      <c r="W1004" s="75" t="n"/>
      <c r="X1004" s="75" t="n"/>
      <c r="Y1004" s="226">
        <f>IF(AND(A1004="",B1004=""),"",IF(AND(A1004&lt;&gt;"",B1004&lt;&gt;"",C1004&lt;&gt;"",D1004&lt;&gt;"",F1004&lt;&gt;"",G1004&lt;&gt;"",H1004&lt;&gt;"",ISERROR(SEARCH("по паспорту",G1004)),ISERROR(SEARCH("по паспорту",H1004)),I1004&lt;&gt;"",J1004&lt;&gt;"",K1004&lt;&gt;"",L1004&lt;&gt;"",M1004&lt;&gt;""),"ГОТОВО","НЕ ГОТОВО"))</f>
        <v/>
      </c>
      <c r="Z1004" s="226">
        <f>IF(Y1004&lt;&gt;"ГОТОВО","", "Предварительное заключение: "&amp;A1004&amp;", скв. "&amp;B1004&amp;". МРП: "&amp;E1004&amp;" сут. ГНО: "&amp;F1004&amp;", типоразмер "&amp;G1004&amp;", марка "&amp;H1004&amp;". Событие: "&amp;I1004&amp;". Признак: "&amp;J1004&amp;". Узел: "&amp;K1004&amp;". Предварительная причина: "&amp;L1004&amp;". Основное осложнение: "&amp;M1004&amp;IF(N1004&lt;&gt;"","; сопутствующее: "&amp;N1004,"")&amp;IF(O1004&lt;&gt;"","; дополнительно: "&amp;O1004,"")&amp;".")</f>
        <v/>
      </c>
    </row>
    <row r="1005">
      <c r="A1005" s="75" t="n"/>
      <c r="B1005" s="75" t="n"/>
      <c r="C1005" s="261" t="n"/>
      <c r="D1005" s="261" t="n"/>
      <c r="E1005" s="262">
        <f>IF(OR(C1005="",D1005=""),"",D1005-C1005)</f>
        <v/>
      </c>
      <c r="F1005" s="75" t="n"/>
      <c r="G1005" s="75" t="n"/>
      <c r="H1005" s="75" t="n"/>
      <c r="I1005" s="75" t="n"/>
      <c r="J1005" s="75" t="n"/>
      <c r="K1005" s="75" t="n"/>
      <c r="L1005" s="75" t="n"/>
      <c r="M1005" s="75" t="n"/>
      <c r="N1005" s="75" t="n"/>
      <c r="O1005" s="75" t="n"/>
      <c r="P1005" s="75" t="n"/>
      <c r="Q1005" s="75" t="n"/>
      <c r="R1005" s="75" t="n"/>
      <c r="S1005" s="75" t="n"/>
      <c r="T1005" s="75" t="n"/>
      <c r="U1005" s="75" t="n"/>
      <c r="V1005" s="75" t="n"/>
      <c r="W1005" s="75" t="n"/>
      <c r="X1005" s="75" t="n"/>
      <c r="Y1005" s="226">
        <f>IF(AND(A1005="",B1005=""),"",IF(AND(A1005&lt;&gt;"",B1005&lt;&gt;"",C1005&lt;&gt;"",D1005&lt;&gt;"",F1005&lt;&gt;"",G1005&lt;&gt;"",H1005&lt;&gt;"",ISERROR(SEARCH("по паспорту",G1005)),ISERROR(SEARCH("по паспорту",H1005)),I1005&lt;&gt;"",J1005&lt;&gt;"",K1005&lt;&gt;"",L1005&lt;&gt;"",M1005&lt;&gt;""),"ГОТОВО","НЕ ГОТОВО"))</f>
        <v/>
      </c>
      <c r="Z1005" s="226">
        <f>IF(Y1005&lt;&gt;"ГОТОВО","", "Предварительное заключение: "&amp;A1005&amp;", скв. "&amp;B1005&amp;". МРП: "&amp;E1005&amp;" сут. ГНО: "&amp;F1005&amp;", типоразмер "&amp;G1005&amp;", марка "&amp;H1005&amp;". Событие: "&amp;I1005&amp;". Признак: "&amp;J1005&amp;". Узел: "&amp;K1005&amp;". Предварительная причина: "&amp;L1005&amp;". Основное осложнение: "&amp;M1005&amp;IF(N1005&lt;&gt;"","; сопутствующее: "&amp;N1005,"")&amp;IF(O1005&lt;&gt;"","; дополнительно: "&amp;O1005,"")&amp;".")</f>
        <v/>
      </c>
    </row>
    <row r="1006">
      <c r="A1006" s="75" t="n"/>
      <c r="B1006" s="75" t="n"/>
      <c r="C1006" s="261" t="n"/>
      <c r="D1006" s="261" t="n"/>
      <c r="E1006" s="262">
        <f>IF(OR(C1006="",D1006=""),"",D1006-C1006)</f>
        <v/>
      </c>
      <c r="F1006" s="75" t="n"/>
      <c r="G1006" s="75" t="n"/>
      <c r="H1006" s="75" t="n"/>
      <c r="I1006" s="75" t="n"/>
      <c r="J1006" s="75" t="n"/>
      <c r="K1006" s="75" t="n"/>
      <c r="L1006" s="75" t="n"/>
      <c r="M1006" s="75" t="n"/>
      <c r="N1006" s="75" t="n"/>
      <c r="O1006" s="75" t="n"/>
      <c r="P1006" s="75" t="n"/>
      <c r="Q1006" s="75" t="n"/>
      <c r="R1006" s="75" t="n"/>
      <c r="S1006" s="75" t="n"/>
      <c r="T1006" s="75" t="n"/>
      <c r="U1006" s="75" t="n"/>
      <c r="V1006" s="75" t="n"/>
      <c r="W1006" s="75" t="n"/>
      <c r="X1006" s="75" t="n"/>
      <c r="Y1006" s="226">
        <f>IF(AND(A1006="",B1006=""),"",IF(AND(A1006&lt;&gt;"",B1006&lt;&gt;"",C1006&lt;&gt;"",D1006&lt;&gt;"",F1006&lt;&gt;"",G1006&lt;&gt;"",H1006&lt;&gt;"",ISERROR(SEARCH("по паспорту",G1006)),ISERROR(SEARCH("по паспорту",H1006)),I1006&lt;&gt;"",J1006&lt;&gt;"",K1006&lt;&gt;"",L1006&lt;&gt;"",M1006&lt;&gt;""),"ГОТОВО","НЕ ГОТОВО"))</f>
        <v/>
      </c>
      <c r="Z1006" s="226">
        <f>IF(Y1006&lt;&gt;"ГОТОВО","", "Предварительное заключение: "&amp;A1006&amp;", скв. "&amp;B1006&amp;". МРП: "&amp;E1006&amp;" сут. ГНО: "&amp;F1006&amp;", типоразмер "&amp;G1006&amp;", марка "&amp;H1006&amp;". Событие: "&amp;I1006&amp;". Признак: "&amp;J1006&amp;". Узел: "&amp;K1006&amp;". Предварительная причина: "&amp;L1006&amp;". Основное осложнение: "&amp;M1006&amp;IF(N1006&lt;&gt;"","; сопутствующее: "&amp;N1006,"")&amp;IF(O1006&lt;&gt;"","; дополнительно: "&amp;O1006,"")&amp;".")</f>
        <v/>
      </c>
    </row>
    <row r="1007">
      <c r="A1007" s="75" t="n"/>
      <c r="B1007" s="75" t="n"/>
      <c r="C1007" s="261" t="n"/>
      <c r="D1007" s="261" t="n"/>
      <c r="E1007" s="262">
        <f>IF(OR(C1007="",D1007=""),"",D1007-C1007)</f>
        <v/>
      </c>
      <c r="F1007" s="75" t="n"/>
      <c r="G1007" s="75" t="n"/>
      <c r="H1007" s="75" t="n"/>
      <c r="I1007" s="75" t="n"/>
      <c r="J1007" s="75" t="n"/>
      <c r="K1007" s="75" t="n"/>
      <c r="L1007" s="75" t="n"/>
      <c r="M1007" s="75" t="n"/>
      <c r="N1007" s="75" t="n"/>
      <c r="O1007" s="75" t="n"/>
      <c r="P1007" s="75" t="n"/>
      <c r="Q1007" s="75" t="n"/>
      <c r="R1007" s="75" t="n"/>
      <c r="S1007" s="75" t="n"/>
      <c r="T1007" s="75" t="n"/>
      <c r="U1007" s="75" t="n"/>
      <c r="V1007" s="75" t="n"/>
      <c r="W1007" s="75" t="n"/>
      <c r="X1007" s="75" t="n"/>
      <c r="Y1007" s="226">
        <f>IF(AND(A1007="",B1007=""),"",IF(AND(A1007&lt;&gt;"",B1007&lt;&gt;"",C1007&lt;&gt;"",D1007&lt;&gt;"",F1007&lt;&gt;"",G1007&lt;&gt;"",H1007&lt;&gt;"",ISERROR(SEARCH("по паспорту",G1007)),ISERROR(SEARCH("по паспорту",H1007)),I1007&lt;&gt;"",J1007&lt;&gt;"",K1007&lt;&gt;"",L1007&lt;&gt;"",M1007&lt;&gt;""),"ГОТОВО","НЕ ГОТОВО"))</f>
        <v/>
      </c>
      <c r="Z1007" s="226">
        <f>IF(Y1007&lt;&gt;"ГОТОВО","", "Предварительное заключение: "&amp;A1007&amp;", скв. "&amp;B1007&amp;". МРП: "&amp;E1007&amp;" сут. ГНО: "&amp;F1007&amp;", типоразмер "&amp;G1007&amp;", марка "&amp;H1007&amp;". Событие: "&amp;I1007&amp;". Признак: "&amp;J1007&amp;". Узел: "&amp;K1007&amp;". Предварительная причина: "&amp;L1007&amp;". Основное осложнение: "&amp;M1007&amp;IF(N1007&lt;&gt;"","; сопутствующее: "&amp;N1007,"")&amp;IF(O1007&lt;&gt;"","; дополнительно: "&amp;O1007,"")&amp;".")</f>
        <v/>
      </c>
    </row>
    <row r="1008">
      <c r="A1008" s="75" t="n"/>
      <c r="B1008" s="75" t="n"/>
      <c r="C1008" s="261" t="n"/>
      <c r="D1008" s="261" t="n"/>
      <c r="E1008" s="262">
        <f>IF(OR(C1008="",D1008=""),"",D1008-C1008)</f>
        <v/>
      </c>
      <c r="F1008" s="75" t="n"/>
      <c r="G1008" s="75" t="n"/>
      <c r="H1008" s="75" t="n"/>
      <c r="I1008" s="75" t="n"/>
      <c r="J1008" s="75" t="n"/>
      <c r="K1008" s="75" t="n"/>
      <c r="L1008" s="75" t="n"/>
      <c r="M1008" s="75" t="n"/>
      <c r="N1008" s="75" t="n"/>
      <c r="O1008" s="75" t="n"/>
      <c r="P1008" s="75" t="n"/>
      <c r="Q1008" s="75" t="n"/>
      <c r="R1008" s="75" t="n"/>
      <c r="S1008" s="75" t="n"/>
      <c r="T1008" s="75" t="n"/>
      <c r="U1008" s="75" t="n"/>
      <c r="V1008" s="75" t="n"/>
      <c r="W1008" s="75" t="n"/>
      <c r="X1008" s="75" t="n"/>
      <c r="Y1008" s="226">
        <f>IF(AND(A1008="",B1008=""),"",IF(AND(A1008&lt;&gt;"",B1008&lt;&gt;"",C1008&lt;&gt;"",D1008&lt;&gt;"",F1008&lt;&gt;"",G1008&lt;&gt;"",H1008&lt;&gt;"",ISERROR(SEARCH("по паспорту",G1008)),ISERROR(SEARCH("по паспорту",H1008)),I1008&lt;&gt;"",J1008&lt;&gt;"",K1008&lt;&gt;"",L1008&lt;&gt;"",M1008&lt;&gt;""),"ГОТОВО","НЕ ГОТОВО"))</f>
        <v/>
      </c>
      <c r="Z1008" s="226">
        <f>IF(Y1008&lt;&gt;"ГОТОВО","", "Предварительное заключение: "&amp;A1008&amp;", скв. "&amp;B1008&amp;". МРП: "&amp;E1008&amp;" сут. ГНО: "&amp;F1008&amp;", типоразмер "&amp;G1008&amp;", марка "&amp;H1008&amp;". Событие: "&amp;I1008&amp;". Признак: "&amp;J1008&amp;". Узел: "&amp;K1008&amp;". Предварительная причина: "&amp;L1008&amp;". Основное осложнение: "&amp;M1008&amp;IF(N1008&lt;&gt;"","; сопутствующее: "&amp;N1008,"")&amp;IF(O1008&lt;&gt;"","; дополнительно: "&amp;O1008,"")&amp;".")</f>
        <v/>
      </c>
    </row>
    <row r="1009">
      <c r="A1009" s="75" t="n"/>
      <c r="B1009" s="75" t="n"/>
      <c r="C1009" s="261" t="n"/>
      <c r="D1009" s="261" t="n"/>
      <c r="E1009" s="262">
        <f>IF(OR(C1009="",D1009=""),"",D1009-C1009)</f>
        <v/>
      </c>
      <c r="F1009" s="75" t="n"/>
      <c r="G1009" s="75" t="n"/>
      <c r="H1009" s="75" t="n"/>
      <c r="I1009" s="75" t="n"/>
      <c r="J1009" s="75" t="n"/>
      <c r="K1009" s="75" t="n"/>
      <c r="L1009" s="75" t="n"/>
      <c r="M1009" s="75" t="n"/>
      <c r="N1009" s="75" t="n"/>
      <c r="O1009" s="75" t="n"/>
      <c r="P1009" s="75" t="n"/>
      <c r="Q1009" s="75" t="n"/>
      <c r="R1009" s="75" t="n"/>
      <c r="S1009" s="75" t="n"/>
      <c r="T1009" s="75" t="n"/>
      <c r="U1009" s="75" t="n"/>
      <c r="V1009" s="75" t="n"/>
      <c r="W1009" s="75" t="n"/>
      <c r="X1009" s="75" t="n"/>
      <c r="Y1009" s="226">
        <f>IF(AND(A1009="",B1009=""),"",IF(AND(A1009&lt;&gt;"",B1009&lt;&gt;"",C1009&lt;&gt;"",D1009&lt;&gt;"",F1009&lt;&gt;"",G1009&lt;&gt;"",H1009&lt;&gt;"",ISERROR(SEARCH("по паспорту",G1009)),ISERROR(SEARCH("по паспорту",H1009)),I1009&lt;&gt;"",J1009&lt;&gt;"",K1009&lt;&gt;"",L1009&lt;&gt;"",M1009&lt;&gt;""),"ГОТОВО","НЕ ГОТОВО"))</f>
        <v/>
      </c>
      <c r="Z1009" s="226">
        <f>IF(Y1009&lt;&gt;"ГОТОВО","", "Предварительное заключение: "&amp;A1009&amp;", скв. "&amp;B1009&amp;". МРП: "&amp;E1009&amp;" сут. ГНО: "&amp;F1009&amp;", типоразмер "&amp;G1009&amp;", марка "&amp;H1009&amp;". Событие: "&amp;I1009&amp;". Признак: "&amp;J1009&amp;". Узел: "&amp;K1009&amp;". Предварительная причина: "&amp;L1009&amp;". Основное осложнение: "&amp;M1009&amp;IF(N1009&lt;&gt;"","; сопутствующее: "&amp;N1009,"")&amp;IF(O1009&lt;&gt;"","; дополнительно: "&amp;O1009,"")&amp;".")</f>
        <v/>
      </c>
    </row>
    <row r="1010">
      <c r="A1010" s="75" t="n"/>
      <c r="B1010" s="75" t="n"/>
      <c r="C1010" s="261" t="n"/>
      <c r="D1010" s="261" t="n"/>
      <c r="E1010" s="262">
        <f>IF(OR(C1010="",D1010=""),"",D1010-C1010)</f>
        <v/>
      </c>
      <c r="F1010" s="75" t="n"/>
      <c r="G1010" s="75" t="n"/>
      <c r="H1010" s="75" t="n"/>
      <c r="I1010" s="75" t="n"/>
      <c r="J1010" s="75" t="n"/>
      <c r="K1010" s="75" t="n"/>
      <c r="L1010" s="75" t="n"/>
      <c r="M1010" s="75" t="n"/>
      <c r="N1010" s="75" t="n"/>
      <c r="O1010" s="75" t="n"/>
      <c r="P1010" s="75" t="n"/>
      <c r="Q1010" s="75" t="n"/>
      <c r="R1010" s="75" t="n"/>
      <c r="S1010" s="75" t="n"/>
      <c r="T1010" s="75" t="n"/>
      <c r="U1010" s="75" t="n"/>
      <c r="V1010" s="75" t="n"/>
      <c r="W1010" s="75" t="n"/>
      <c r="X1010" s="75" t="n"/>
      <c r="Y1010" s="226">
        <f>IF(AND(A1010="",B1010=""),"",IF(AND(A1010&lt;&gt;"",B1010&lt;&gt;"",C1010&lt;&gt;"",D1010&lt;&gt;"",F1010&lt;&gt;"",G1010&lt;&gt;"",H1010&lt;&gt;"",ISERROR(SEARCH("по паспорту",G1010)),ISERROR(SEARCH("по паспорту",H1010)),I1010&lt;&gt;"",J1010&lt;&gt;"",K1010&lt;&gt;"",L1010&lt;&gt;"",M1010&lt;&gt;""),"ГОТОВО","НЕ ГОТОВО"))</f>
        <v/>
      </c>
      <c r="Z1010" s="226">
        <f>IF(Y1010&lt;&gt;"ГОТОВО","", "Предварительное заключение: "&amp;A1010&amp;", скв. "&amp;B1010&amp;". МРП: "&amp;E1010&amp;" сут. ГНО: "&amp;F1010&amp;", типоразмер "&amp;G1010&amp;", марка "&amp;H1010&amp;". Событие: "&amp;I1010&amp;". Признак: "&amp;J1010&amp;". Узел: "&amp;K1010&amp;". Предварительная причина: "&amp;L1010&amp;". Основное осложнение: "&amp;M1010&amp;IF(N1010&lt;&gt;"","; сопутствующее: "&amp;N1010,"")&amp;IF(O1010&lt;&gt;"","; дополнительно: "&amp;O1010,"")&amp;".")</f>
        <v/>
      </c>
    </row>
    <row r="1011">
      <c r="A1011" s="75" t="n"/>
      <c r="B1011" s="75" t="n"/>
      <c r="C1011" s="261" t="n"/>
      <c r="D1011" s="261" t="n"/>
      <c r="E1011" s="262">
        <f>IF(OR(C1011="",D1011=""),"",D1011-C1011)</f>
        <v/>
      </c>
      <c r="F1011" s="75" t="n"/>
      <c r="G1011" s="75" t="n"/>
      <c r="H1011" s="75" t="n"/>
      <c r="I1011" s="75" t="n"/>
      <c r="J1011" s="75" t="n"/>
      <c r="K1011" s="75" t="n"/>
      <c r="L1011" s="75" t="n"/>
      <c r="M1011" s="75" t="n"/>
      <c r="N1011" s="75" t="n"/>
      <c r="O1011" s="75" t="n"/>
      <c r="P1011" s="75" t="n"/>
      <c r="Q1011" s="75" t="n"/>
      <c r="R1011" s="75" t="n"/>
      <c r="S1011" s="75" t="n"/>
      <c r="T1011" s="75" t="n"/>
      <c r="U1011" s="75" t="n"/>
      <c r="V1011" s="75" t="n"/>
      <c r="W1011" s="75" t="n"/>
      <c r="X1011" s="75" t="n"/>
      <c r="Y1011" s="226">
        <f>IF(AND(A1011="",B1011=""),"",IF(AND(A1011&lt;&gt;"",B1011&lt;&gt;"",C1011&lt;&gt;"",D1011&lt;&gt;"",F1011&lt;&gt;"",G1011&lt;&gt;"",H1011&lt;&gt;"",ISERROR(SEARCH("по паспорту",G1011)),ISERROR(SEARCH("по паспорту",H1011)),I1011&lt;&gt;"",J1011&lt;&gt;"",K1011&lt;&gt;"",L1011&lt;&gt;"",M1011&lt;&gt;""),"ГОТОВО","НЕ ГОТОВО"))</f>
        <v/>
      </c>
      <c r="Z1011" s="226">
        <f>IF(Y1011&lt;&gt;"ГОТОВО","", "Предварительное заключение: "&amp;A1011&amp;", скв. "&amp;B1011&amp;". МРП: "&amp;E1011&amp;" сут. ГНО: "&amp;F1011&amp;", типоразмер "&amp;G1011&amp;", марка "&amp;H1011&amp;". Событие: "&amp;I1011&amp;". Признак: "&amp;J1011&amp;". Узел: "&amp;K1011&amp;". Предварительная причина: "&amp;L1011&amp;". Основное осложнение: "&amp;M1011&amp;IF(N1011&lt;&gt;"","; сопутствующее: "&amp;N1011,"")&amp;IF(O1011&lt;&gt;"","; дополнительно: "&amp;O1011,"")&amp;".")</f>
        <v/>
      </c>
    </row>
    <row r="1012">
      <c r="A1012" s="75" t="n"/>
      <c r="B1012" s="75" t="n"/>
      <c r="C1012" s="261" t="n"/>
      <c r="D1012" s="261" t="n"/>
      <c r="E1012" s="262">
        <f>IF(OR(C1012="",D1012=""),"",D1012-C1012)</f>
        <v/>
      </c>
      <c r="F1012" s="75" t="n"/>
      <c r="G1012" s="75" t="n"/>
      <c r="H1012" s="75" t="n"/>
      <c r="I1012" s="75" t="n"/>
      <c r="J1012" s="75" t="n"/>
      <c r="K1012" s="75" t="n"/>
      <c r="L1012" s="75" t="n"/>
      <c r="M1012" s="75" t="n"/>
      <c r="N1012" s="75" t="n"/>
      <c r="O1012" s="75" t="n"/>
      <c r="P1012" s="75" t="n"/>
      <c r="Q1012" s="75" t="n"/>
      <c r="R1012" s="75" t="n"/>
      <c r="S1012" s="75" t="n"/>
      <c r="T1012" s="75" t="n"/>
      <c r="U1012" s="75" t="n"/>
      <c r="V1012" s="75" t="n"/>
      <c r="W1012" s="75" t="n"/>
      <c r="X1012" s="75" t="n"/>
      <c r="Y1012" s="226">
        <f>IF(AND(A1012="",B1012=""),"",IF(AND(A1012&lt;&gt;"",B1012&lt;&gt;"",C1012&lt;&gt;"",D1012&lt;&gt;"",F1012&lt;&gt;"",G1012&lt;&gt;"",H1012&lt;&gt;"",ISERROR(SEARCH("по паспорту",G1012)),ISERROR(SEARCH("по паспорту",H1012)),I1012&lt;&gt;"",J1012&lt;&gt;"",K1012&lt;&gt;"",L1012&lt;&gt;"",M1012&lt;&gt;""),"ГОТОВО","НЕ ГОТОВО"))</f>
        <v/>
      </c>
      <c r="Z1012" s="226">
        <f>IF(Y1012&lt;&gt;"ГОТОВО","", "Предварительное заключение: "&amp;A1012&amp;", скв. "&amp;B1012&amp;". МРП: "&amp;E1012&amp;" сут. ГНО: "&amp;F1012&amp;", типоразмер "&amp;G1012&amp;", марка "&amp;H1012&amp;". Событие: "&amp;I1012&amp;". Признак: "&amp;J1012&amp;". Узел: "&amp;K1012&amp;". Предварительная причина: "&amp;L1012&amp;". Основное осложнение: "&amp;M1012&amp;IF(N1012&lt;&gt;"","; сопутствующее: "&amp;N1012,"")&amp;IF(O1012&lt;&gt;"","; дополнительно: "&amp;O1012,"")&amp;".")</f>
        <v/>
      </c>
    </row>
    <row r="1013">
      <c r="A1013" s="75" t="n"/>
      <c r="B1013" s="75" t="n"/>
      <c r="C1013" s="261" t="n"/>
      <c r="D1013" s="261" t="n"/>
      <c r="E1013" s="262">
        <f>IF(OR(C1013="",D1013=""),"",D1013-C1013)</f>
        <v/>
      </c>
      <c r="F1013" s="75" t="n"/>
      <c r="G1013" s="75" t="n"/>
      <c r="H1013" s="75" t="n"/>
      <c r="I1013" s="75" t="n"/>
      <c r="J1013" s="75" t="n"/>
      <c r="K1013" s="75" t="n"/>
      <c r="L1013" s="75" t="n"/>
      <c r="M1013" s="75" t="n"/>
      <c r="N1013" s="75" t="n"/>
      <c r="O1013" s="75" t="n"/>
      <c r="P1013" s="75" t="n"/>
      <c r="Q1013" s="75" t="n"/>
      <c r="R1013" s="75" t="n"/>
      <c r="S1013" s="75" t="n"/>
      <c r="T1013" s="75" t="n"/>
      <c r="U1013" s="75" t="n"/>
      <c r="V1013" s="75" t="n"/>
      <c r="W1013" s="75" t="n"/>
      <c r="X1013" s="75" t="n"/>
      <c r="Y1013" s="226">
        <f>IF(AND(A1013="",B1013=""),"",IF(AND(A1013&lt;&gt;"",B1013&lt;&gt;"",C1013&lt;&gt;"",D1013&lt;&gt;"",F1013&lt;&gt;"",G1013&lt;&gt;"",H1013&lt;&gt;"",ISERROR(SEARCH("по паспорту",G1013)),ISERROR(SEARCH("по паспорту",H1013)),I1013&lt;&gt;"",J1013&lt;&gt;"",K1013&lt;&gt;"",L1013&lt;&gt;"",M1013&lt;&gt;""),"ГОТОВО","НЕ ГОТОВО"))</f>
        <v/>
      </c>
      <c r="Z1013" s="226">
        <f>IF(Y1013&lt;&gt;"ГОТОВО","", "Предварительное заключение: "&amp;A1013&amp;", скв. "&amp;B1013&amp;". МРП: "&amp;E1013&amp;" сут. ГНО: "&amp;F1013&amp;", типоразмер "&amp;G1013&amp;", марка "&amp;H1013&amp;". Событие: "&amp;I1013&amp;". Признак: "&amp;J1013&amp;". Узел: "&amp;K1013&amp;". Предварительная причина: "&amp;L1013&amp;". Основное осложнение: "&amp;M1013&amp;IF(N1013&lt;&gt;"","; сопутствующее: "&amp;N1013,"")&amp;IF(O1013&lt;&gt;"","; дополнительно: "&amp;O1013,"")&amp;".")</f>
        <v/>
      </c>
    </row>
    <row r="1014">
      <c r="A1014" s="75" t="n"/>
      <c r="B1014" s="75" t="n"/>
      <c r="C1014" s="261" t="n"/>
      <c r="D1014" s="261" t="n"/>
      <c r="E1014" s="262">
        <f>IF(OR(C1014="",D1014=""),"",D1014-C1014)</f>
        <v/>
      </c>
      <c r="F1014" s="75" t="n"/>
      <c r="G1014" s="75" t="n"/>
      <c r="H1014" s="75" t="n"/>
      <c r="I1014" s="75" t="n"/>
      <c r="J1014" s="75" t="n"/>
      <c r="K1014" s="75" t="n"/>
      <c r="L1014" s="75" t="n"/>
      <c r="M1014" s="75" t="n"/>
      <c r="N1014" s="75" t="n"/>
      <c r="O1014" s="75" t="n"/>
      <c r="P1014" s="75" t="n"/>
      <c r="Q1014" s="75" t="n"/>
      <c r="R1014" s="75" t="n"/>
      <c r="S1014" s="75" t="n"/>
      <c r="T1014" s="75" t="n"/>
      <c r="U1014" s="75" t="n"/>
      <c r="V1014" s="75" t="n"/>
      <c r="W1014" s="75" t="n"/>
      <c r="X1014" s="75" t="n"/>
      <c r="Y1014" s="226">
        <f>IF(AND(A1014="",B1014=""),"",IF(AND(A1014&lt;&gt;"",B1014&lt;&gt;"",C1014&lt;&gt;"",D1014&lt;&gt;"",F1014&lt;&gt;"",G1014&lt;&gt;"",H1014&lt;&gt;"",ISERROR(SEARCH("по паспорту",G1014)),ISERROR(SEARCH("по паспорту",H1014)),I1014&lt;&gt;"",J1014&lt;&gt;"",K1014&lt;&gt;"",L1014&lt;&gt;"",M1014&lt;&gt;""),"ГОТОВО","НЕ ГОТОВО"))</f>
        <v/>
      </c>
      <c r="Z1014" s="226">
        <f>IF(Y1014&lt;&gt;"ГОТОВО","", "Предварительное заключение: "&amp;A1014&amp;", скв. "&amp;B1014&amp;". МРП: "&amp;E1014&amp;" сут. ГНО: "&amp;F1014&amp;", типоразмер "&amp;G1014&amp;", марка "&amp;H1014&amp;". Событие: "&amp;I1014&amp;". Признак: "&amp;J1014&amp;". Узел: "&amp;K1014&amp;". Предварительная причина: "&amp;L1014&amp;". Основное осложнение: "&amp;M1014&amp;IF(N1014&lt;&gt;"","; сопутствующее: "&amp;N1014,"")&amp;IF(O1014&lt;&gt;"","; дополнительно: "&amp;O1014,"")&amp;".")</f>
        <v/>
      </c>
    </row>
    <row r="1015">
      <c r="A1015" s="75" t="n"/>
      <c r="B1015" s="75" t="n"/>
      <c r="C1015" s="261" t="n"/>
      <c r="D1015" s="261" t="n"/>
      <c r="E1015" s="262">
        <f>IF(OR(C1015="",D1015=""),"",D1015-C1015)</f>
        <v/>
      </c>
      <c r="F1015" s="75" t="n"/>
      <c r="G1015" s="75" t="n"/>
      <c r="H1015" s="75" t="n"/>
      <c r="I1015" s="75" t="n"/>
      <c r="J1015" s="75" t="n"/>
      <c r="K1015" s="75" t="n"/>
      <c r="L1015" s="75" t="n"/>
      <c r="M1015" s="75" t="n"/>
      <c r="N1015" s="75" t="n"/>
      <c r="O1015" s="75" t="n"/>
      <c r="P1015" s="75" t="n"/>
      <c r="Q1015" s="75" t="n"/>
      <c r="R1015" s="75" t="n"/>
      <c r="S1015" s="75" t="n"/>
      <c r="T1015" s="75" t="n"/>
      <c r="U1015" s="75" t="n"/>
      <c r="V1015" s="75" t="n"/>
      <c r="W1015" s="75" t="n"/>
      <c r="X1015" s="75" t="n"/>
      <c r="Y1015" s="226">
        <f>IF(AND(A1015="",B1015=""),"",IF(AND(A1015&lt;&gt;"",B1015&lt;&gt;"",C1015&lt;&gt;"",D1015&lt;&gt;"",F1015&lt;&gt;"",G1015&lt;&gt;"",H1015&lt;&gt;"",ISERROR(SEARCH("по паспорту",G1015)),ISERROR(SEARCH("по паспорту",H1015)),I1015&lt;&gt;"",J1015&lt;&gt;"",K1015&lt;&gt;"",L1015&lt;&gt;"",M1015&lt;&gt;""),"ГОТОВО","НЕ ГОТОВО"))</f>
        <v/>
      </c>
      <c r="Z1015" s="226">
        <f>IF(Y1015&lt;&gt;"ГОТОВО","", "Предварительное заключение: "&amp;A1015&amp;", скв. "&amp;B1015&amp;". МРП: "&amp;E1015&amp;" сут. ГНО: "&amp;F1015&amp;", типоразмер "&amp;G1015&amp;", марка "&amp;H1015&amp;". Событие: "&amp;I1015&amp;". Признак: "&amp;J1015&amp;". Узел: "&amp;K1015&amp;". Предварительная причина: "&amp;L1015&amp;". Основное осложнение: "&amp;M1015&amp;IF(N1015&lt;&gt;"","; сопутствующее: "&amp;N1015,"")&amp;IF(O1015&lt;&gt;"","; дополнительно: "&amp;O1015,"")&amp;".")</f>
        <v/>
      </c>
    </row>
    <row r="1016">
      <c r="A1016" s="75" t="n"/>
      <c r="B1016" s="75" t="n"/>
      <c r="C1016" s="261" t="n"/>
      <c r="D1016" s="261" t="n"/>
      <c r="E1016" s="262">
        <f>IF(OR(C1016="",D1016=""),"",D1016-C1016)</f>
        <v/>
      </c>
      <c r="F1016" s="75" t="n"/>
      <c r="G1016" s="75" t="n"/>
      <c r="H1016" s="75" t="n"/>
      <c r="I1016" s="75" t="n"/>
      <c r="J1016" s="75" t="n"/>
      <c r="K1016" s="75" t="n"/>
      <c r="L1016" s="75" t="n"/>
      <c r="M1016" s="75" t="n"/>
      <c r="N1016" s="75" t="n"/>
      <c r="O1016" s="75" t="n"/>
      <c r="P1016" s="75" t="n"/>
      <c r="Q1016" s="75" t="n"/>
      <c r="R1016" s="75" t="n"/>
      <c r="S1016" s="75" t="n"/>
      <c r="T1016" s="75" t="n"/>
      <c r="U1016" s="75" t="n"/>
      <c r="V1016" s="75" t="n"/>
      <c r="W1016" s="75" t="n"/>
      <c r="X1016" s="75" t="n"/>
      <c r="Y1016" s="226">
        <f>IF(AND(A1016="",B1016=""),"",IF(AND(A1016&lt;&gt;"",B1016&lt;&gt;"",C1016&lt;&gt;"",D1016&lt;&gt;"",F1016&lt;&gt;"",G1016&lt;&gt;"",H1016&lt;&gt;"",ISERROR(SEARCH("по паспорту",G1016)),ISERROR(SEARCH("по паспорту",H1016)),I1016&lt;&gt;"",J1016&lt;&gt;"",K1016&lt;&gt;"",L1016&lt;&gt;"",M1016&lt;&gt;""),"ГОТОВО","НЕ ГОТОВО"))</f>
        <v/>
      </c>
      <c r="Z1016" s="226">
        <f>IF(Y1016&lt;&gt;"ГОТОВО","", "Предварительное заключение: "&amp;A1016&amp;", скв. "&amp;B1016&amp;". МРП: "&amp;E1016&amp;" сут. ГНО: "&amp;F1016&amp;", типоразмер "&amp;G1016&amp;", марка "&amp;H1016&amp;". Событие: "&amp;I1016&amp;". Признак: "&amp;J1016&amp;". Узел: "&amp;K1016&amp;". Предварительная причина: "&amp;L1016&amp;". Основное осложнение: "&amp;M1016&amp;IF(N1016&lt;&gt;"","; сопутствующее: "&amp;N1016,"")&amp;IF(O1016&lt;&gt;"","; дополнительно: "&amp;O1016,"")&amp;".")</f>
        <v/>
      </c>
    </row>
    <row r="1017">
      <c r="A1017" s="75" t="n"/>
      <c r="B1017" s="75" t="n"/>
      <c r="C1017" s="261" t="n"/>
      <c r="D1017" s="261" t="n"/>
      <c r="E1017" s="262">
        <f>IF(OR(C1017="",D1017=""),"",D1017-C1017)</f>
        <v/>
      </c>
      <c r="F1017" s="75" t="n"/>
      <c r="G1017" s="75" t="n"/>
      <c r="H1017" s="75" t="n"/>
      <c r="I1017" s="75" t="n"/>
      <c r="J1017" s="75" t="n"/>
      <c r="K1017" s="75" t="n"/>
      <c r="L1017" s="75" t="n"/>
      <c r="M1017" s="75" t="n"/>
      <c r="N1017" s="75" t="n"/>
      <c r="O1017" s="75" t="n"/>
      <c r="P1017" s="75" t="n"/>
      <c r="Q1017" s="75" t="n"/>
      <c r="R1017" s="75" t="n"/>
      <c r="S1017" s="75" t="n"/>
      <c r="T1017" s="75" t="n"/>
      <c r="U1017" s="75" t="n"/>
      <c r="V1017" s="75" t="n"/>
      <c r="W1017" s="75" t="n"/>
      <c r="X1017" s="75" t="n"/>
      <c r="Y1017" s="226">
        <f>IF(AND(A1017="",B1017=""),"",IF(AND(A1017&lt;&gt;"",B1017&lt;&gt;"",C1017&lt;&gt;"",D1017&lt;&gt;"",F1017&lt;&gt;"",G1017&lt;&gt;"",H1017&lt;&gt;"",ISERROR(SEARCH("по паспорту",G1017)),ISERROR(SEARCH("по паспорту",H1017)),I1017&lt;&gt;"",J1017&lt;&gt;"",K1017&lt;&gt;"",L1017&lt;&gt;"",M1017&lt;&gt;""),"ГОТОВО","НЕ ГОТОВО"))</f>
        <v/>
      </c>
      <c r="Z1017" s="226">
        <f>IF(Y1017&lt;&gt;"ГОТОВО","", "Предварительное заключение: "&amp;A1017&amp;", скв. "&amp;B1017&amp;". МРП: "&amp;E1017&amp;" сут. ГНО: "&amp;F1017&amp;", типоразмер "&amp;G1017&amp;", марка "&amp;H1017&amp;". Событие: "&amp;I1017&amp;". Признак: "&amp;J1017&amp;". Узел: "&amp;K1017&amp;". Предварительная причина: "&amp;L1017&amp;". Основное осложнение: "&amp;M1017&amp;IF(N1017&lt;&gt;"","; сопутствующее: "&amp;N1017,"")&amp;IF(O1017&lt;&gt;"","; дополнительно: "&amp;O1017,"")&amp;".")</f>
        <v/>
      </c>
    </row>
    <row r="1018">
      <c r="A1018" s="75" t="n"/>
      <c r="B1018" s="75" t="n"/>
      <c r="C1018" s="261" t="n"/>
      <c r="D1018" s="261" t="n"/>
      <c r="E1018" s="262">
        <f>IF(OR(C1018="",D1018=""),"",D1018-C1018)</f>
        <v/>
      </c>
      <c r="F1018" s="75" t="n"/>
      <c r="G1018" s="75" t="n"/>
      <c r="H1018" s="75" t="n"/>
      <c r="I1018" s="75" t="n"/>
      <c r="J1018" s="75" t="n"/>
      <c r="K1018" s="75" t="n"/>
      <c r="L1018" s="75" t="n"/>
      <c r="M1018" s="75" t="n"/>
      <c r="N1018" s="75" t="n"/>
      <c r="O1018" s="75" t="n"/>
      <c r="P1018" s="75" t="n"/>
      <c r="Q1018" s="75" t="n"/>
      <c r="R1018" s="75" t="n"/>
      <c r="S1018" s="75" t="n"/>
      <c r="T1018" s="75" t="n"/>
      <c r="U1018" s="75" t="n"/>
      <c r="V1018" s="75" t="n"/>
      <c r="W1018" s="75" t="n"/>
      <c r="X1018" s="75" t="n"/>
      <c r="Y1018" s="226">
        <f>IF(AND(A1018="",B1018=""),"",IF(AND(A1018&lt;&gt;"",B1018&lt;&gt;"",C1018&lt;&gt;"",D1018&lt;&gt;"",F1018&lt;&gt;"",G1018&lt;&gt;"",H1018&lt;&gt;"",ISERROR(SEARCH("по паспорту",G1018)),ISERROR(SEARCH("по паспорту",H1018)),I1018&lt;&gt;"",J1018&lt;&gt;"",K1018&lt;&gt;"",L1018&lt;&gt;"",M1018&lt;&gt;""),"ГОТОВО","НЕ ГОТОВО"))</f>
        <v/>
      </c>
      <c r="Z1018" s="226">
        <f>IF(Y1018&lt;&gt;"ГОТОВО","", "Предварительное заключение: "&amp;A1018&amp;", скв. "&amp;B1018&amp;". МРП: "&amp;E1018&amp;" сут. ГНО: "&amp;F1018&amp;", типоразмер "&amp;G1018&amp;", марка "&amp;H1018&amp;". Событие: "&amp;I1018&amp;". Признак: "&amp;J1018&amp;". Узел: "&amp;K1018&amp;". Предварительная причина: "&amp;L1018&amp;". Основное осложнение: "&amp;M1018&amp;IF(N1018&lt;&gt;"","; сопутствующее: "&amp;N1018,"")&amp;IF(O1018&lt;&gt;"","; дополнительно: "&amp;O1018,"")&amp;".")</f>
        <v/>
      </c>
    </row>
    <row r="1019">
      <c r="A1019" s="75" t="n"/>
      <c r="B1019" s="75" t="n"/>
      <c r="C1019" s="261" t="n"/>
      <c r="D1019" s="261" t="n"/>
      <c r="E1019" s="262">
        <f>IF(OR(C1019="",D1019=""),"",D1019-C1019)</f>
        <v/>
      </c>
      <c r="F1019" s="75" t="n"/>
      <c r="G1019" s="75" t="n"/>
      <c r="H1019" s="75" t="n"/>
      <c r="I1019" s="75" t="n"/>
      <c r="J1019" s="75" t="n"/>
      <c r="K1019" s="75" t="n"/>
      <c r="L1019" s="75" t="n"/>
      <c r="M1019" s="75" t="n"/>
      <c r="N1019" s="75" t="n"/>
      <c r="O1019" s="75" t="n"/>
      <c r="P1019" s="75" t="n"/>
      <c r="Q1019" s="75" t="n"/>
      <c r="R1019" s="75" t="n"/>
      <c r="S1019" s="75" t="n"/>
      <c r="T1019" s="75" t="n"/>
      <c r="U1019" s="75" t="n"/>
      <c r="V1019" s="75" t="n"/>
      <c r="W1019" s="75" t="n"/>
      <c r="X1019" s="75" t="n"/>
      <c r="Y1019" s="226">
        <f>IF(AND(A1019="",B1019=""),"",IF(AND(A1019&lt;&gt;"",B1019&lt;&gt;"",C1019&lt;&gt;"",D1019&lt;&gt;"",F1019&lt;&gt;"",G1019&lt;&gt;"",H1019&lt;&gt;"",ISERROR(SEARCH("по паспорту",G1019)),ISERROR(SEARCH("по паспорту",H1019)),I1019&lt;&gt;"",J1019&lt;&gt;"",K1019&lt;&gt;"",L1019&lt;&gt;"",M1019&lt;&gt;""),"ГОТОВО","НЕ ГОТОВО"))</f>
        <v/>
      </c>
      <c r="Z1019" s="226">
        <f>IF(Y1019&lt;&gt;"ГОТОВО","", "Предварительное заключение: "&amp;A1019&amp;", скв. "&amp;B1019&amp;". МРП: "&amp;E1019&amp;" сут. ГНО: "&amp;F1019&amp;", типоразмер "&amp;G1019&amp;", марка "&amp;H1019&amp;". Событие: "&amp;I1019&amp;". Признак: "&amp;J1019&amp;". Узел: "&amp;K1019&amp;". Предварительная причина: "&amp;L1019&amp;". Основное осложнение: "&amp;M1019&amp;IF(N1019&lt;&gt;"","; сопутствующее: "&amp;N1019,"")&amp;IF(O1019&lt;&gt;"","; дополнительно: "&amp;O1019,"")&amp;".")</f>
        <v/>
      </c>
    </row>
    <row r="1020">
      <c r="A1020" s="75" t="n"/>
      <c r="B1020" s="75" t="n"/>
      <c r="C1020" s="261" t="n"/>
      <c r="D1020" s="261" t="n"/>
      <c r="E1020" s="262">
        <f>IF(OR(C1020="",D1020=""),"",D1020-C1020)</f>
        <v/>
      </c>
      <c r="F1020" s="75" t="n"/>
      <c r="G1020" s="75" t="n"/>
      <c r="H1020" s="75" t="n"/>
      <c r="I1020" s="75" t="n"/>
      <c r="J1020" s="75" t="n"/>
      <c r="K1020" s="75" t="n"/>
      <c r="L1020" s="75" t="n"/>
      <c r="M1020" s="75" t="n"/>
      <c r="N1020" s="75" t="n"/>
      <c r="O1020" s="75" t="n"/>
      <c r="P1020" s="75" t="n"/>
      <c r="Q1020" s="75" t="n"/>
      <c r="R1020" s="75" t="n"/>
      <c r="S1020" s="75" t="n"/>
      <c r="T1020" s="75" t="n"/>
      <c r="U1020" s="75" t="n"/>
      <c r="V1020" s="75" t="n"/>
      <c r="W1020" s="75" t="n"/>
      <c r="X1020" s="75" t="n"/>
      <c r="Y1020" s="226">
        <f>IF(AND(A1020="",B1020=""),"",IF(AND(A1020&lt;&gt;"",B1020&lt;&gt;"",C1020&lt;&gt;"",D1020&lt;&gt;"",F1020&lt;&gt;"",G1020&lt;&gt;"",H1020&lt;&gt;"",ISERROR(SEARCH("по паспорту",G1020)),ISERROR(SEARCH("по паспорту",H1020)),I1020&lt;&gt;"",J1020&lt;&gt;"",K1020&lt;&gt;"",L1020&lt;&gt;"",M1020&lt;&gt;""),"ГОТОВО","НЕ ГОТОВО"))</f>
        <v/>
      </c>
      <c r="Z1020" s="226">
        <f>IF(Y1020&lt;&gt;"ГОТОВО","", "Предварительное заключение: "&amp;A1020&amp;", скв. "&amp;B1020&amp;". МРП: "&amp;E1020&amp;" сут. ГНО: "&amp;F1020&amp;", типоразмер "&amp;G1020&amp;", марка "&amp;H1020&amp;". Событие: "&amp;I1020&amp;". Признак: "&amp;J1020&amp;". Узел: "&amp;K1020&amp;". Предварительная причина: "&amp;L1020&amp;". Основное осложнение: "&amp;M1020&amp;IF(N1020&lt;&gt;"","; сопутствующее: "&amp;N1020,"")&amp;IF(O1020&lt;&gt;"","; дополнительно: "&amp;O1020,"")&amp;".")</f>
        <v/>
      </c>
    </row>
    <row r="1021">
      <c r="A1021" s="75" t="n"/>
      <c r="B1021" s="75" t="n"/>
      <c r="C1021" s="261" t="n"/>
      <c r="D1021" s="261" t="n"/>
      <c r="E1021" s="262">
        <f>IF(OR(C1021="",D1021=""),"",D1021-C1021)</f>
        <v/>
      </c>
      <c r="F1021" s="75" t="n"/>
      <c r="G1021" s="75" t="n"/>
      <c r="H1021" s="75" t="n"/>
      <c r="I1021" s="75" t="n"/>
      <c r="J1021" s="75" t="n"/>
      <c r="K1021" s="75" t="n"/>
      <c r="L1021" s="75" t="n"/>
      <c r="M1021" s="75" t="n"/>
      <c r="N1021" s="75" t="n"/>
      <c r="O1021" s="75" t="n"/>
      <c r="P1021" s="75" t="n"/>
      <c r="Q1021" s="75" t="n"/>
      <c r="R1021" s="75" t="n"/>
      <c r="S1021" s="75" t="n"/>
      <c r="T1021" s="75" t="n"/>
      <c r="U1021" s="75" t="n"/>
      <c r="V1021" s="75" t="n"/>
      <c r="W1021" s="75" t="n"/>
      <c r="X1021" s="75" t="n"/>
      <c r="Y1021" s="226">
        <f>IF(AND(A1021="",B1021=""),"",IF(AND(A1021&lt;&gt;"",B1021&lt;&gt;"",C1021&lt;&gt;"",D1021&lt;&gt;"",F1021&lt;&gt;"",G1021&lt;&gt;"",H1021&lt;&gt;"",ISERROR(SEARCH("по паспорту",G1021)),ISERROR(SEARCH("по паспорту",H1021)),I1021&lt;&gt;"",J1021&lt;&gt;"",K1021&lt;&gt;"",L1021&lt;&gt;"",M1021&lt;&gt;""),"ГОТОВО","НЕ ГОТОВО"))</f>
        <v/>
      </c>
      <c r="Z1021" s="226">
        <f>IF(Y1021&lt;&gt;"ГОТОВО","", "Предварительное заключение: "&amp;A1021&amp;", скв. "&amp;B1021&amp;". МРП: "&amp;E1021&amp;" сут. ГНО: "&amp;F1021&amp;", типоразмер "&amp;G1021&amp;", марка "&amp;H1021&amp;". Событие: "&amp;I1021&amp;". Признак: "&amp;J1021&amp;". Узел: "&amp;K1021&amp;". Предварительная причина: "&amp;L1021&amp;". Основное осложнение: "&amp;M1021&amp;IF(N1021&lt;&gt;"","; сопутствующее: "&amp;N1021,"")&amp;IF(O1021&lt;&gt;"","; дополнительно: "&amp;O1021,"")&amp;".")</f>
        <v/>
      </c>
    </row>
    <row r="1022">
      <c r="A1022" s="75" t="n"/>
      <c r="B1022" s="75" t="n"/>
      <c r="C1022" s="261" t="n"/>
      <c r="D1022" s="261" t="n"/>
      <c r="E1022" s="262">
        <f>IF(OR(C1022="",D1022=""),"",D1022-C1022)</f>
        <v/>
      </c>
      <c r="F1022" s="75" t="n"/>
      <c r="G1022" s="75" t="n"/>
      <c r="H1022" s="75" t="n"/>
      <c r="I1022" s="75" t="n"/>
      <c r="J1022" s="75" t="n"/>
      <c r="K1022" s="75" t="n"/>
      <c r="L1022" s="75" t="n"/>
      <c r="M1022" s="75" t="n"/>
      <c r="N1022" s="75" t="n"/>
      <c r="O1022" s="75" t="n"/>
      <c r="P1022" s="75" t="n"/>
      <c r="Q1022" s="75" t="n"/>
      <c r="R1022" s="75" t="n"/>
      <c r="S1022" s="75" t="n"/>
      <c r="T1022" s="75" t="n"/>
      <c r="U1022" s="75" t="n"/>
      <c r="V1022" s="75" t="n"/>
      <c r="W1022" s="75" t="n"/>
      <c r="X1022" s="75" t="n"/>
      <c r="Y1022" s="226">
        <f>IF(AND(A1022="",B1022=""),"",IF(AND(A1022&lt;&gt;"",B1022&lt;&gt;"",C1022&lt;&gt;"",D1022&lt;&gt;"",F1022&lt;&gt;"",G1022&lt;&gt;"",H1022&lt;&gt;"",ISERROR(SEARCH("по паспорту",G1022)),ISERROR(SEARCH("по паспорту",H1022)),I1022&lt;&gt;"",J1022&lt;&gt;"",K1022&lt;&gt;"",L1022&lt;&gt;"",M1022&lt;&gt;""),"ГОТОВО","НЕ ГОТОВО"))</f>
        <v/>
      </c>
      <c r="Z1022" s="226">
        <f>IF(Y1022&lt;&gt;"ГОТОВО","", "Предварительное заключение: "&amp;A1022&amp;", скв. "&amp;B1022&amp;". МРП: "&amp;E1022&amp;" сут. ГНО: "&amp;F1022&amp;", типоразмер "&amp;G1022&amp;", марка "&amp;H1022&amp;". Событие: "&amp;I1022&amp;". Признак: "&amp;J1022&amp;". Узел: "&amp;K1022&amp;". Предварительная причина: "&amp;L1022&amp;". Основное осложнение: "&amp;M1022&amp;IF(N1022&lt;&gt;"","; сопутствующее: "&amp;N1022,"")&amp;IF(O1022&lt;&gt;"","; дополнительно: "&amp;O1022,"")&amp;".")</f>
        <v/>
      </c>
    </row>
    <row r="1023">
      <c r="A1023" s="75" t="n"/>
      <c r="B1023" s="75" t="n"/>
      <c r="C1023" s="261" t="n"/>
      <c r="D1023" s="261" t="n"/>
      <c r="E1023" s="262">
        <f>IF(OR(C1023="",D1023=""),"",D1023-C1023)</f>
        <v/>
      </c>
      <c r="F1023" s="75" t="n"/>
      <c r="G1023" s="75" t="n"/>
      <c r="H1023" s="75" t="n"/>
      <c r="I1023" s="75" t="n"/>
      <c r="J1023" s="75" t="n"/>
      <c r="K1023" s="75" t="n"/>
      <c r="L1023" s="75" t="n"/>
      <c r="M1023" s="75" t="n"/>
      <c r="N1023" s="75" t="n"/>
      <c r="O1023" s="75" t="n"/>
      <c r="P1023" s="75" t="n"/>
      <c r="Q1023" s="75" t="n"/>
      <c r="R1023" s="75" t="n"/>
      <c r="S1023" s="75" t="n"/>
      <c r="T1023" s="75" t="n"/>
      <c r="U1023" s="75" t="n"/>
      <c r="V1023" s="75" t="n"/>
      <c r="W1023" s="75" t="n"/>
      <c r="X1023" s="75" t="n"/>
      <c r="Y1023" s="226">
        <f>IF(AND(A1023="",B1023=""),"",IF(AND(A1023&lt;&gt;"",B1023&lt;&gt;"",C1023&lt;&gt;"",D1023&lt;&gt;"",F1023&lt;&gt;"",G1023&lt;&gt;"",H1023&lt;&gt;"",ISERROR(SEARCH("по паспорту",G1023)),ISERROR(SEARCH("по паспорту",H1023)),I1023&lt;&gt;"",J1023&lt;&gt;"",K1023&lt;&gt;"",L1023&lt;&gt;"",M1023&lt;&gt;""),"ГОТОВО","НЕ ГОТОВО"))</f>
        <v/>
      </c>
      <c r="Z1023" s="226">
        <f>IF(Y1023&lt;&gt;"ГОТОВО","", "Предварительное заключение: "&amp;A1023&amp;", скв. "&amp;B1023&amp;". МРП: "&amp;E1023&amp;" сут. ГНО: "&amp;F1023&amp;", типоразмер "&amp;G1023&amp;", марка "&amp;H1023&amp;". Событие: "&amp;I1023&amp;". Признак: "&amp;J1023&amp;". Узел: "&amp;K1023&amp;". Предварительная причина: "&amp;L1023&amp;". Основное осложнение: "&amp;M1023&amp;IF(N1023&lt;&gt;"","; сопутствующее: "&amp;N1023,"")&amp;IF(O1023&lt;&gt;"","; дополнительно: "&amp;O1023,"")&amp;".")</f>
        <v/>
      </c>
    </row>
    <row r="1024">
      <c r="A1024" s="75" t="n"/>
      <c r="B1024" s="75" t="n"/>
      <c r="C1024" s="261" t="n"/>
      <c r="D1024" s="261" t="n"/>
      <c r="E1024" s="262">
        <f>IF(OR(C1024="",D1024=""),"",D1024-C1024)</f>
        <v/>
      </c>
      <c r="F1024" s="75" t="n"/>
      <c r="G1024" s="75" t="n"/>
      <c r="H1024" s="75" t="n"/>
      <c r="I1024" s="75" t="n"/>
      <c r="J1024" s="75" t="n"/>
      <c r="K1024" s="75" t="n"/>
      <c r="L1024" s="75" t="n"/>
      <c r="M1024" s="75" t="n"/>
      <c r="N1024" s="75" t="n"/>
      <c r="O1024" s="75" t="n"/>
      <c r="P1024" s="75" t="n"/>
      <c r="Q1024" s="75" t="n"/>
      <c r="R1024" s="75" t="n"/>
      <c r="S1024" s="75" t="n"/>
      <c r="T1024" s="75" t="n"/>
      <c r="U1024" s="75" t="n"/>
      <c r="V1024" s="75" t="n"/>
      <c r="W1024" s="75" t="n"/>
      <c r="X1024" s="75" t="n"/>
      <c r="Y1024" s="226">
        <f>IF(AND(A1024="",B1024=""),"",IF(AND(A1024&lt;&gt;"",B1024&lt;&gt;"",C1024&lt;&gt;"",D1024&lt;&gt;"",F1024&lt;&gt;"",G1024&lt;&gt;"",H1024&lt;&gt;"",ISERROR(SEARCH("по паспорту",G1024)),ISERROR(SEARCH("по паспорту",H1024)),I1024&lt;&gt;"",J1024&lt;&gt;"",K1024&lt;&gt;"",L1024&lt;&gt;"",M1024&lt;&gt;""),"ГОТОВО","НЕ ГОТОВО"))</f>
        <v/>
      </c>
      <c r="Z1024" s="226">
        <f>IF(Y1024&lt;&gt;"ГОТОВО","", "Предварительное заключение: "&amp;A1024&amp;", скв. "&amp;B1024&amp;". МРП: "&amp;E1024&amp;" сут. ГНО: "&amp;F1024&amp;", типоразмер "&amp;G1024&amp;", марка "&amp;H1024&amp;". Событие: "&amp;I1024&amp;". Признак: "&amp;J1024&amp;". Узел: "&amp;K1024&amp;". Предварительная причина: "&amp;L1024&amp;". Основное осложнение: "&amp;M1024&amp;IF(N1024&lt;&gt;"","; сопутствующее: "&amp;N1024,"")&amp;IF(O1024&lt;&gt;"","; дополнительно: "&amp;O1024,"")&amp;".")</f>
        <v/>
      </c>
    </row>
    <row r="1025">
      <c r="A1025" s="75" t="n"/>
      <c r="B1025" s="75" t="n"/>
      <c r="C1025" s="261" t="n"/>
      <c r="D1025" s="261" t="n"/>
      <c r="E1025" s="262">
        <f>IF(OR(C1025="",D1025=""),"",D1025-C1025)</f>
        <v/>
      </c>
      <c r="F1025" s="75" t="n"/>
      <c r="G1025" s="75" t="n"/>
      <c r="H1025" s="75" t="n"/>
      <c r="I1025" s="75" t="n"/>
      <c r="J1025" s="75" t="n"/>
      <c r="K1025" s="75" t="n"/>
      <c r="L1025" s="75" t="n"/>
      <c r="M1025" s="75" t="n"/>
      <c r="N1025" s="75" t="n"/>
      <c r="O1025" s="75" t="n"/>
      <c r="P1025" s="75" t="n"/>
      <c r="Q1025" s="75" t="n"/>
      <c r="R1025" s="75" t="n"/>
      <c r="S1025" s="75" t="n"/>
      <c r="T1025" s="75" t="n"/>
      <c r="U1025" s="75" t="n"/>
      <c r="V1025" s="75" t="n"/>
      <c r="W1025" s="75" t="n"/>
      <c r="X1025" s="75" t="n"/>
      <c r="Y1025" s="226">
        <f>IF(AND(A1025="",B1025=""),"",IF(AND(A1025&lt;&gt;"",B1025&lt;&gt;"",C1025&lt;&gt;"",D1025&lt;&gt;"",F1025&lt;&gt;"",G1025&lt;&gt;"",H1025&lt;&gt;"",ISERROR(SEARCH("по паспорту",G1025)),ISERROR(SEARCH("по паспорту",H1025)),I1025&lt;&gt;"",J1025&lt;&gt;"",K1025&lt;&gt;"",L1025&lt;&gt;"",M1025&lt;&gt;""),"ГОТОВО","НЕ ГОТОВО"))</f>
        <v/>
      </c>
      <c r="Z1025" s="226">
        <f>IF(Y1025&lt;&gt;"ГОТОВО","", "Предварительное заключение: "&amp;A1025&amp;", скв. "&amp;B1025&amp;". МРП: "&amp;E1025&amp;" сут. ГНО: "&amp;F1025&amp;", типоразмер "&amp;G1025&amp;", марка "&amp;H1025&amp;". Событие: "&amp;I1025&amp;". Признак: "&amp;J1025&amp;". Узел: "&amp;K1025&amp;". Предварительная причина: "&amp;L1025&amp;". Основное осложнение: "&amp;M1025&amp;IF(N1025&lt;&gt;"","; сопутствующее: "&amp;N1025,"")&amp;IF(O1025&lt;&gt;"","; дополнительно: "&amp;O1025,"")&amp;".")</f>
        <v/>
      </c>
    </row>
    <row r="1026">
      <c r="A1026" s="75" t="n"/>
      <c r="B1026" s="75" t="n"/>
      <c r="C1026" s="261" t="n"/>
      <c r="D1026" s="261" t="n"/>
      <c r="E1026" s="262">
        <f>IF(OR(C1026="",D1026=""),"",D1026-C1026)</f>
        <v/>
      </c>
      <c r="F1026" s="75" t="n"/>
      <c r="G1026" s="75" t="n"/>
      <c r="H1026" s="75" t="n"/>
      <c r="I1026" s="75" t="n"/>
      <c r="J1026" s="75" t="n"/>
      <c r="K1026" s="75" t="n"/>
      <c r="L1026" s="75" t="n"/>
      <c r="M1026" s="75" t="n"/>
      <c r="N1026" s="75" t="n"/>
      <c r="O1026" s="75" t="n"/>
      <c r="P1026" s="75" t="n"/>
      <c r="Q1026" s="75" t="n"/>
      <c r="R1026" s="75" t="n"/>
      <c r="S1026" s="75" t="n"/>
      <c r="T1026" s="75" t="n"/>
      <c r="U1026" s="75" t="n"/>
      <c r="V1026" s="75" t="n"/>
      <c r="W1026" s="75" t="n"/>
      <c r="X1026" s="75" t="n"/>
      <c r="Y1026" s="226">
        <f>IF(AND(A1026="",B1026=""),"",IF(AND(A1026&lt;&gt;"",B1026&lt;&gt;"",C1026&lt;&gt;"",D1026&lt;&gt;"",F1026&lt;&gt;"",G1026&lt;&gt;"",H1026&lt;&gt;"",ISERROR(SEARCH("по паспорту",G1026)),ISERROR(SEARCH("по паспорту",H1026)),I1026&lt;&gt;"",J1026&lt;&gt;"",K1026&lt;&gt;"",L1026&lt;&gt;"",M1026&lt;&gt;""),"ГОТОВО","НЕ ГОТОВО"))</f>
        <v/>
      </c>
      <c r="Z1026" s="226">
        <f>IF(Y1026&lt;&gt;"ГОТОВО","", "Предварительное заключение: "&amp;A1026&amp;", скв. "&amp;B1026&amp;". МРП: "&amp;E1026&amp;" сут. ГНО: "&amp;F1026&amp;", типоразмер "&amp;G1026&amp;", марка "&amp;H1026&amp;". Событие: "&amp;I1026&amp;". Признак: "&amp;J1026&amp;". Узел: "&amp;K1026&amp;". Предварительная причина: "&amp;L1026&amp;". Основное осложнение: "&amp;M1026&amp;IF(N1026&lt;&gt;"","; сопутствующее: "&amp;N1026,"")&amp;IF(O1026&lt;&gt;"","; дополнительно: "&amp;O1026,"")&amp;".")</f>
        <v/>
      </c>
    </row>
    <row r="1027">
      <c r="A1027" s="75" t="n"/>
      <c r="B1027" s="75" t="n"/>
      <c r="C1027" s="261" t="n"/>
      <c r="D1027" s="261" t="n"/>
      <c r="E1027" s="262">
        <f>IF(OR(C1027="",D1027=""),"",D1027-C1027)</f>
        <v/>
      </c>
      <c r="F1027" s="75" t="n"/>
      <c r="G1027" s="75" t="n"/>
      <c r="H1027" s="75" t="n"/>
      <c r="I1027" s="75" t="n"/>
      <c r="J1027" s="75" t="n"/>
      <c r="K1027" s="75" t="n"/>
      <c r="L1027" s="75" t="n"/>
      <c r="M1027" s="75" t="n"/>
      <c r="N1027" s="75" t="n"/>
      <c r="O1027" s="75" t="n"/>
      <c r="P1027" s="75" t="n"/>
      <c r="Q1027" s="75" t="n"/>
      <c r="R1027" s="75" t="n"/>
      <c r="S1027" s="75" t="n"/>
      <c r="T1027" s="75" t="n"/>
      <c r="U1027" s="75" t="n"/>
      <c r="V1027" s="75" t="n"/>
      <c r="W1027" s="75" t="n"/>
      <c r="X1027" s="75" t="n"/>
      <c r="Y1027" s="226">
        <f>IF(AND(A1027="",B1027=""),"",IF(AND(A1027&lt;&gt;"",B1027&lt;&gt;"",C1027&lt;&gt;"",D1027&lt;&gt;"",F1027&lt;&gt;"",G1027&lt;&gt;"",H1027&lt;&gt;"",ISERROR(SEARCH("по паспорту",G1027)),ISERROR(SEARCH("по паспорту",H1027)),I1027&lt;&gt;"",J1027&lt;&gt;"",K1027&lt;&gt;"",L1027&lt;&gt;"",M1027&lt;&gt;""),"ГОТОВО","НЕ ГОТОВО"))</f>
        <v/>
      </c>
      <c r="Z1027" s="226">
        <f>IF(Y1027&lt;&gt;"ГОТОВО","", "Предварительное заключение: "&amp;A1027&amp;", скв. "&amp;B1027&amp;". МРП: "&amp;E1027&amp;" сут. ГНО: "&amp;F1027&amp;", типоразмер "&amp;G1027&amp;", марка "&amp;H1027&amp;". Событие: "&amp;I1027&amp;". Признак: "&amp;J1027&amp;". Узел: "&amp;K1027&amp;". Предварительная причина: "&amp;L1027&amp;". Основное осложнение: "&amp;M1027&amp;IF(N1027&lt;&gt;"","; сопутствующее: "&amp;N1027,"")&amp;IF(O1027&lt;&gt;"","; дополнительно: "&amp;O1027,"")&amp;".")</f>
        <v/>
      </c>
    </row>
    <row r="1028">
      <c r="A1028" s="75" t="n"/>
      <c r="B1028" s="75" t="n"/>
      <c r="C1028" s="261" t="n"/>
      <c r="D1028" s="261" t="n"/>
      <c r="E1028" s="262">
        <f>IF(OR(C1028="",D1028=""),"",D1028-C1028)</f>
        <v/>
      </c>
      <c r="F1028" s="75" t="n"/>
      <c r="G1028" s="75" t="n"/>
      <c r="H1028" s="75" t="n"/>
      <c r="I1028" s="75" t="n"/>
      <c r="J1028" s="75" t="n"/>
      <c r="K1028" s="75" t="n"/>
      <c r="L1028" s="75" t="n"/>
      <c r="M1028" s="75" t="n"/>
      <c r="N1028" s="75" t="n"/>
      <c r="O1028" s="75" t="n"/>
      <c r="P1028" s="75" t="n"/>
      <c r="Q1028" s="75" t="n"/>
      <c r="R1028" s="75" t="n"/>
      <c r="S1028" s="75" t="n"/>
      <c r="T1028" s="75" t="n"/>
      <c r="U1028" s="75" t="n"/>
      <c r="V1028" s="75" t="n"/>
      <c r="W1028" s="75" t="n"/>
      <c r="X1028" s="75" t="n"/>
      <c r="Y1028" s="226">
        <f>IF(AND(A1028="",B1028=""),"",IF(AND(A1028&lt;&gt;"",B1028&lt;&gt;"",C1028&lt;&gt;"",D1028&lt;&gt;"",F1028&lt;&gt;"",G1028&lt;&gt;"",H1028&lt;&gt;"",ISERROR(SEARCH("по паспорту",G1028)),ISERROR(SEARCH("по паспорту",H1028)),I1028&lt;&gt;"",J1028&lt;&gt;"",K1028&lt;&gt;"",L1028&lt;&gt;"",M1028&lt;&gt;""),"ГОТОВО","НЕ ГОТОВО"))</f>
        <v/>
      </c>
      <c r="Z1028" s="226">
        <f>IF(Y1028&lt;&gt;"ГОТОВО","", "Предварительное заключение: "&amp;A1028&amp;", скв. "&amp;B1028&amp;". МРП: "&amp;E1028&amp;" сут. ГНО: "&amp;F1028&amp;", типоразмер "&amp;G1028&amp;", марка "&amp;H1028&amp;". Событие: "&amp;I1028&amp;". Признак: "&amp;J1028&amp;". Узел: "&amp;K1028&amp;". Предварительная причина: "&amp;L1028&amp;". Основное осложнение: "&amp;M1028&amp;IF(N1028&lt;&gt;"","; сопутствующее: "&amp;N1028,"")&amp;IF(O1028&lt;&gt;"","; дополнительно: "&amp;O1028,"")&amp;".")</f>
        <v/>
      </c>
    </row>
    <row r="1029">
      <c r="A1029" s="75" t="n"/>
      <c r="B1029" s="75" t="n"/>
      <c r="C1029" s="261" t="n"/>
      <c r="D1029" s="261" t="n"/>
      <c r="E1029" s="262">
        <f>IF(OR(C1029="",D1029=""),"",D1029-C1029)</f>
        <v/>
      </c>
      <c r="F1029" s="75" t="n"/>
      <c r="G1029" s="75" t="n"/>
      <c r="H1029" s="75" t="n"/>
      <c r="I1029" s="75" t="n"/>
      <c r="J1029" s="75" t="n"/>
      <c r="K1029" s="75" t="n"/>
      <c r="L1029" s="75" t="n"/>
      <c r="M1029" s="75" t="n"/>
      <c r="N1029" s="75" t="n"/>
      <c r="O1029" s="75" t="n"/>
      <c r="P1029" s="75" t="n"/>
      <c r="Q1029" s="75" t="n"/>
      <c r="R1029" s="75" t="n"/>
      <c r="S1029" s="75" t="n"/>
      <c r="T1029" s="75" t="n"/>
      <c r="U1029" s="75" t="n"/>
      <c r="V1029" s="75" t="n"/>
      <c r="W1029" s="75" t="n"/>
      <c r="X1029" s="75" t="n"/>
      <c r="Y1029" s="226">
        <f>IF(AND(A1029="",B1029=""),"",IF(AND(A1029&lt;&gt;"",B1029&lt;&gt;"",C1029&lt;&gt;"",D1029&lt;&gt;"",F1029&lt;&gt;"",G1029&lt;&gt;"",H1029&lt;&gt;"",ISERROR(SEARCH("по паспорту",G1029)),ISERROR(SEARCH("по паспорту",H1029)),I1029&lt;&gt;"",J1029&lt;&gt;"",K1029&lt;&gt;"",L1029&lt;&gt;"",M1029&lt;&gt;""),"ГОТОВО","НЕ ГОТОВО"))</f>
        <v/>
      </c>
      <c r="Z1029" s="226">
        <f>IF(Y1029&lt;&gt;"ГОТОВО","", "Предварительное заключение: "&amp;A1029&amp;", скв. "&amp;B1029&amp;". МРП: "&amp;E1029&amp;" сут. ГНО: "&amp;F1029&amp;", типоразмер "&amp;G1029&amp;", марка "&amp;H1029&amp;". Событие: "&amp;I1029&amp;". Признак: "&amp;J1029&amp;". Узел: "&amp;K1029&amp;". Предварительная причина: "&amp;L1029&amp;". Основное осложнение: "&amp;M1029&amp;IF(N1029&lt;&gt;"","; сопутствующее: "&amp;N1029,"")&amp;IF(O1029&lt;&gt;"","; дополнительно: "&amp;O1029,"")&amp;".")</f>
        <v/>
      </c>
    </row>
    <row r="1030">
      <c r="A1030" s="75" t="n"/>
      <c r="B1030" s="75" t="n"/>
      <c r="C1030" s="261" t="n"/>
      <c r="D1030" s="261" t="n"/>
      <c r="E1030" s="262">
        <f>IF(OR(C1030="",D1030=""),"",D1030-C1030)</f>
        <v/>
      </c>
      <c r="F1030" s="75" t="n"/>
      <c r="G1030" s="75" t="n"/>
      <c r="H1030" s="75" t="n"/>
      <c r="I1030" s="75" t="n"/>
      <c r="J1030" s="75" t="n"/>
      <c r="K1030" s="75" t="n"/>
      <c r="L1030" s="75" t="n"/>
      <c r="M1030" s="75" t="n"/>
      <c r="N1030" s="75" t="n"/>
      <c r="O1030" s="75" t="n"/>
      <c r="P1030" s="75" t="n"/>
      <c r="Q1030" s="75" t="n"/>
      <c r="R1030" s="75" t="n"/>
      <c r="S1030" s="75" t="n"/>
      <c r="T1030" s="75" t="n"/>
      <c r="U1030" s="75" t="n"/>
      <c r="V1030" s="75" t="n"/>
      <c r="W1030" s="75" t="n"/>
      <c r="X1030" s="75" t="n"/>
      <c r="Y1030" s="226">
        <f>IF(AND(A1030="",B1030=""),"",IF(AND(A1030&lt;&gt;"",B1030&lt;&gt;"",C1030&lt;&gt;"",D1030&lt;&gt;"",F1030&lt;&gt;"",G1030&lt;&gt;"",H1030&lt;&gt;"",ISERROR(SEARCH("по паспорту",G1030)),ISERROR(SEARCH("по паспорту",H1030)),I1030&lt;&gt;"",J1030&lt;&gt;"",K1030&lt;&gt;"",L1030&lt;&gt;"",M1030&lt;&gt;""),"ГОТОВО","НЕ ГОТОВО"))</f>
        <v/>
      </c>
      <c r="Z1030" s="226">
        <f>IF(Y1030&lt;&gt;"ГОТОВО","", "Предварительное заключение: "&amp;A1030&amp;", скв. "&amp;B1030&amp;". МРП: "&amp;E1030&amp;" сут. ГНО: "&amp;F1030&amp;", типоразмер "&amp;G1030&amp;", марка "&amp;H1030&amp;". Событие: "&amp;I1030&amp;". Признак: "&amp;J1030&amp;". Узел: "&amp;K1030&amp;". Предварительная причина: "&amp;L1030&amp;". Основное осложнение: "&amp;M1030&amp;IF(N1030&lt;&gt;"","; сопутствующее: "&amp;N1030,"")&amp;IF(O1030&lt;&gt;"","; дополнительно: "&amp;O1030,"")&amp;".")</f>
        <v/>
      </c>
    </row>
    <row r="1031">
      <c r="A1031" s="75" t="n"/>
      <c r="B1031" s="75" t="n"/>
      <c r="C1031" s="261" t="n"/>
      <c r="D1031" s="261" t="n"/>
      <c r="E1031" s="262">
        <f>IF(OR(C1031="",D1031=""),"",D1031-C1031)</f>
        <v/>
      </c>
      <c r="F1031" s="75" t="n"/>
      <c r="G1031" s="75" t="n"/>
      <c r="H1031" s="75" t="n"/>
      <c r="I1031" s="75" t="n"/>
      <c r="J1031" s="75" t="n"/>
      <c r="K1031" s="75" t="n"/>
      <c r="L1031" s="75" t="n"/>
      <c r="M1031" s="75" t="n"/>
      <c r="N1031" s="75" t="n"/>
      <c r="O1031" s="75" t="n"/>
      <c r="P1031" s="75" t="n"/>
      <c r="Q1031" s="75" t="n"/>
      <c r="R1031" s="75" t="n"/>
      <c r="S1031" s="75" t="n"/>
      <c r="T1031" s="75" t="n"/>
      <c r="U1031" s="75" t="n"/>
      <c r="V1031" s="75" t="n"/>
      <c r="W1031" s="75" t="n"/>
      <c r="X1031" s="75" t="n"/>
      <c r="Y1031" s="226">
        <f>IF(AND(A1031="",B1031=""),"",IF(AND(A1031&lt;&gt;"",B1031&lt;&gt;"",C1031&lt;&gt;"",D1031&lt;&gt;"",F1031&lt;&gt;"",G1031&lt;&gt;"",H1031&lt;&gt;"",ISERROR(SEARCH("по паспорту",G1031)),ISERROR(SEARCH("по паспорту",H1031)),I1031&lt;&gt;"",J1031&lt;&gt;"",K1031&lt;&gt;"",L1031&lt;&gt;"",M1031&lt;&gt;""),"ГОТОВО","НЕ ГОТОВО"))</f>
        <v/>
      </c>
      <c r="Z1031" s="226">
        <f>IF(Y1031&lt;&gt;"ГОТОВО","", "Предварительное заключение: "&amp;A1031&amp;", скв. "&amp;B1031&amp;". МРП: "&amp;E1031&amp;" сут. ГНО: "&amp;F1031&amp;", типоразмер "&amp;G1031&amp;", марка "&amp;H1031&amp;". Событие: "&amp;I1031&amp;". Признак: "&amp;J1031&amp;". Узел: "&amp;K1031&amp;". Предварительная причина: "&amp;L1031&amp;". Основное осложнение: "&amp;M1031&amp;IF(N1031&lt;&gt;"","; сопутствующее: "&amp;N1031,"")&amp;IF(O1031&lt;&gt;"","; дополнительно: "&amp;O1031,"")&amp;".")</f>
        <v/>
      </c>
    </row>
    <row r="1032">
      <c r="A1032" s="75" t="n"/>
      <c r="B1032" s="75" t="n"/>
      <c r="C1032" s="261" t="n"/>
      <c r="D1032" s="261" t="n"/>
      <c r="E1032" s="262">
        <f>IF(OR(C1032="",D1032=""),"",D1032-C1032)</f>
        <v/>
      </c>
      <c r="F1032" s="75" t="n"/>
      <c r="G1032" s="75" t="n"/>
      <c r="H1032" s="75" t="n"/>
      <c r="I1032" s="75" t="n"/>
      <c r="J1032" s="75" t="n"/>
      <c r="K1032" s="75" t="n"/>
      <c r="L1032" s="75" t="n"/>
      <c r="M1032" s="75" t="n"/>
      <c r="N1032" s="75" t="n"/>
      <c r="O1032" s="75" t="n"/>
      <c r="P1032" s="75" t="n"/>
      <c r="Q1032" s="75" t="n"/>
      <c r="R1032" s="75" t="n"/>
      <c r="S1032" s="75" t="n"/>
      <c r="T1032" s="75" t="n"/>
      <c r="U1032" s="75" t="n"/>
      <c r="V1032" s="75" t="n"/>
      <c r="W1032" s="75" t="n"/>
      <c r="X1032" s="75" t="n"/>
      <c r="Y1032" s="226">
        <f>IF(AND(A1032="",B1032=""),"",IF(AND(A1032&lt;&gt;"",B1032&lt;&gt;"",C1032&lt;&gt;"",D1032&lt;&gt;"",F1032&lt;&gt;"",G1032&lt;&gt;"",H1032&lt;&gt;"",ISERROR(SEARCH("по паспорту",G1032)),ISERROR(SEARCH("по паспорту",H1032)),I1032&lt;&gt;"",J1032&lt;&gt;"",K1032&lt;&gt;"",L1032&lt;&gt;"",M1032&lt;&gt;""),"ГОТОВО","НЕ ГОТОВО"))</f>
        <v/>
      </c>
      <c r="Z1032" s="226">
        <f>IF(Y1032&lt;&gt;"ГОТОВО","", "Предварительное заключение: "&amp;A1032&amp;", скв. "&amp;B1032&amp;". МРП: "&amp;E1032&amp;" сут. ГНО: "&amp;F1032&amp;", типоразмер "&amp;G1032&amp;", марка "&amp;H1032&amp;". Событие: "&amp;I1032&amp;". Признак: "&amp;J1032&amp;". Узел: "&amp;K1032&amp;". Предварительная причина: "&amp;L1032&amp;". Основное осложнение: "&amp;M1032&amp;IF(N1032&lt;&gt;"","; сопутствующее: "&amp;N1032,"")&amp;IF(O1032&lt;&gt;"","; дополнительно: "&amp;O1032,"")&amp;".")</f>
        <v/>
      </c>
    </row>
    <row r="1033">
      <c r="A1033" s="75" t="n"/>
      <c r="B1033" s="75" t="n"/>
      <c r="C1033" s="261" t="n"/>
      <c r="D1033" s="261" t="n"/>
      <c r="E1033" s="262">
        <f>IF(OR(C1033="",D1033=""),"",D1033-C1033)</f>
        <v/>
      </c>
      <c r="F1033" s="75" t="n"/>
      <c r="G1033" s="75" t="n"/>
      <c r="H1033" s="75" t="n"/>
      <c r="I1033" s="75" t="n"/>
      <c r="J1033" s="75" t="n"/>
      <c r="K1033" s="75" t="n"/>
      <c r="L1033" s="75" t="n"/>
      <c r="M1033" s="75" t="n"/>
      <c r="N1033" s="75" t="n"/>
      <c r="O1033" s="75" t="n"/>
      <c r="P1033" s="75" t="n"/>
      <c r="Q1033" s="75" t="n"/>
      <c r="R1033" s="75" t="n"/>
      <c r="S1033" s="75" t="n"/>
      <c r="T1033" s="75" t="n"/>
      <c r="U1033" s="75" t="n"/>
      <c r="V1033" s="75" t="n"/>
      <c r="W1033" s="75" t="n"/>
      <c r="X1033" s="75" t="n"/>
      <c r="Y1033" s="226">
        <f>IF(AND(A1033="",B1033=""),"",IF(AND(A1033&lt;&gt;"",B1033&lt;&gt;"",C1033&lt;&gt;"",D1033&lt;&gt;"",F1033&lt;&gt;"",G1033&lt;&gt;"",H1033&lt;&gt;"",ISERROR(SEARCH("по паспорту",G1033)),ISERROR(SEARCH("по паспорту",H1033)),I1033&lt;&gt;"",J1033&lt;&gt;"",K1033&lt;&gt;"",L1033&lt;&gt;"",M1033&lt;&gt;""),"ГОТОВО","НЕ ГОТОВО"))</f>
        <v/>
      </c>
      <c r="Z1033" s="226">
        <f>IF(Y1033&lt;&gt;"ГОТОВО","", "Предварительное заключение: "&amp;A1033&amp;", скв. "&amp;B1033&amp;". МРП: "&amp;E1033&amp;" сут. ГНО: "&amp;F1033&amp;", типоразмер "&amp;G1033&amp;", марка "&amp;H1033&amp;". Событие: "&amp;I1033&amp;". Признак: "&amp;J1033&amp;". Узел: "&amp;K1033&amp;". Предварительная причина: "&amp;L1033&amp;". Основное осложнение: "&amp;M1033&amp;IF(N1033&lt;&gt;"","; сопутствующее: "&amp;N1033,"")&amp;IF(O1033&lt;&gt;"","; дополнительно: "&amp;O1033,"")&amp;".")</f>
        <v/>
      </c>
    </row>
    <row r="1034">
      <c r="A1034" s="75" t="n"/>
      <c r="B1034" s="75" t="n"/>
      <c r="C1034" s="261" t="n"/>
      <c r="D1034" s="261" t="n"/>
      <c r="E1034" s="262">
        <f>IF(OR(C1034="",D1034=""),"",D1034-C1034)</f>
        <v/>
      </c>
      <c r="F1034" s="75" t="n"/>
      <c r="G1034" s="75" t="n"/>
      <c r="H1034" s="75" t="n"/>
      <c r="I1034" s="75" t="n"/>
      <c r="J1034" s="75" t="n"/>
      <c r="K1034" s="75" t="n"/>
      <c r="L1034" s="75" t="n"/>
      <c r="M1034" s="75" t="n"/>
      <c r="N1034" s="75" t="n"/>
      <c r="O1034" s="75" t="n"/>
      <c r="P1034" s="75" t="n"/>
      <c r="Q1034" s="75" t="n"/>
      <c r="R1034" s="75" t="n"/>
      <c r="S1034" s="75" t="n"/>
      <c r="T1034" s="75" t="n"/>
      <c r="U1034" s="75" t="n"/>
      <c r="V1034" s="75" t="n"/>
      <c r="W1034" s="75" t="n"/>
      <c r="X1034" s="75" t="n"/>
      <c r="Y1034" s="226">
        <f>IF(AND(A1034="",B1034=""),"",IF(AND(A1034&lt;&gt;"",B1034&lt;&gt;"",C1034&lt;&gt;"",D1034&lt;&gt;"",F1034&lt;&gt;"",G1034&lt;&gt;"",H1034&lt;&gt;"",ISERROR(SEARCH("по паспорту",G1034)),ISERROR(SEARCH("по паспорту",H1034)),I1034&lt;&gt;"",J1034&lt;&gt;"",K1034&lt;&gt;"",L1034&lt;&gt;"",M1034&lt;&gt;""),"ГОТОВО","НЕ ГОТОВО"))</f>
        <v/>
      </c>
      <c r="Z1034" s="226">
        <f>IF(Y1034&lt;&gt;"ГОТОВО","", "Предварительное заключение: "&amp;A1034&amp;", скв. "&amp;B1034&amp;". МРП: "&amp;E1034&amp;" сут. ГНО: "&amp;F1034&amp;", типоразмер "&amp;G1034&amp;", марка "&amp;H1034&amp;". Событие: "&amp;I1034&amp;". Признак: "&amp;J1034&amp;". Узел: "&amp;K1034&amp;". Предварительная причина: "&amp;L1034&amp;". Основное осложнение: "&amp;M1034&amp;IF(N1034&lt;&gt;"","; сопутствующее: "&amp;N1034,"")&amp;IF(O1034&lt;&gt;"","; дополнительно: "&amp;O1034,"")&amp;".")</f>
        <v/>
      </c>
    </row>
    <row r="1035">
      <c r="A1035" s="75" t="n"/>
      <c r="B1035" s="75" t="n"/>
      <c r="C1035" s="261" t="n"/>
      <c r="D1035" s="261" t="n"/>
      <c r="E1035" s="262">
        <f>IF(OR(C1035="",D1035=""),"",D1035-C1035)</f>
        <v/>
      </c>
      <c r="F1035" s="75" t="n"/>
      <c r="G1035" s="75" t="n"/>
      <c r="H1035" s="75" t="n"/>
      <c r="I1035" s="75" t="n"/>
      <c r="J1035" s="75" t="n"/>
      <c r="K1035" s="75" t="n"/>
      <c r="L1035" s="75" t="n"/>
      <c r="M1035" s="75" t="n"/>
      <c r="N1035" s="75" t="n"/>
      <c r="O1035" s="75" t="n"/>
      <c r="P1035" s="75" t="n"/>
      <c r="Q1035" s="75" t="n"/>
      <c r="R1035" s="75" t="n"/>
      <c r="S1035" s="75" t="n"/>
      <c r="T1035" s="75" t="n"/>
      <c r="U1035" s="75" t="n"/>
      <c r="V1035" s="75" t="n"/>
      <c r="W1035" s="75" t="n"/>
      <c r="X1035" s="75" t="n"/>
      <c r="Y1035" s="226">
        <f>IF(AND(A1035="",B1035=""),"",IF(AND(A1035&lt;&gt;"",B1035&lt;&gt;"",C1035&lt;&gt;"",D1035&lt;&gt;"",F1035&lt;&gt;"",G1035&lt;&gt;"",H1035&lt;&gt;"",ISERROR(SEARCH("по паспорту",G1035)),ISERROR(SEARCH("по паспорту",H1035)),I1035&lt;&gt;"",J1035&lt;&gt;"",K1035&lt;&gt;"",L1035&lt;&gt;"",M1035&lt;&gt;""),"ГОТОВО","НЕ ГОТОВО"))</f>
        <v/>
      </c>
      <c r="Z1035" s="226">
        <f>IF(Y1035&lt;&gt;"ГОТОВО","", "Предварительное заключение: "&amp;A1035&amp;", скв. "&amp;B1035&amp;". МРП: "&amp;E1035&amp;" сут. ГНО: "&amp;F1035&amp;", типоразмер "&amp;G1035&amp;", марка "&amp;H1035&amp;". Событие: "&amp;I1035&amp;". Признак: "&amp;J1035&amp;". Узел: "&amp;K1035&amp;". Предварительная причина: "&amp;L1035&amp;". Основное осложнение: "&amp;M1035&amp;IF(N1035&lt;&gt;"","; сопутствующее: "&amp;N1035,"")&amp;IF(O1035&lt;&gt;"","; дополнительно: "&amp;O1035,"")&amp;".")</f>
        <v/>
      </c>
    </row>
    <row r="1036">
      <c r="A1036" s="75" t="n"/>
      <c r="B1036" s="75" t="n"/>
      <c r="C1036" s="261" t="n"/>
      <c r="D1036" s="261" t="n"/>
      <c r="E1036" s="262">
        <f>IF(OR(C1036="",D1036=""),"",D1036-C1036)</f>
        <v/>
      </c>
      <c r="F1036" s="75" t="n"/>
      <c r="G1036" s="75" t="n"/>
      <c r="H1036" s="75" t="n"/>
      <c r="I1036" s="75" t="n"/>
      <c r="J1036" s="75" t="n"/>
      <c r="K1036" s="75" t="n"/>
      <c r="L1036" s="75" t="n"/>
      <c r="M1036" s="75" t="n"/>
      <c r="N1036" s="75" t="n"/>
      <c r="O1036" s="75" t="n"/>
      <c r="P1036" s="75" t="n"/>
      <c r="Q1036" s="75" t="n"/>
      <c r="R1036" s="75" t="n"/>
      <c r="S1036" s="75" t="n"/>
      <c r="T1036" s="75" t="n"/>
      <c r="U1036" s="75" t="n"/>
      <c r="V1036" s="75" t="n"/>
      <c r="W1036" s="75" t="n"/>
      <c r="X1036" s="75" t="n"/>
      <c r="Y1036" s="226">
        <f>IF(AND(A1036="",B1036=""),"",IF(AND(A1036&lt;&gt;"",B1036&lt;&gt;"",C1036&lt;&gt;"",D1036&lt;&gt;"",F1036&lt;&gt;"",G1036&lt;&gt;"",H1036&lt;&gt;"",ISERROR(SEARCH("по паспорту",G1036)),ISERROR(SEARCH("по паспорту",H1036)),I1036&lt;&gt;"",J1036&lt;&gt;"",K1036&lt;&gt;"",L1036&lt;&gt;"",M1036&lt;&gt;""),"ГОТОВО","НЕ ГОТОВО"))</f>
        <v/>
      </c>
      <c r="Z1036" s="226">
        <f>IF(Y1036&lt;&gt;"ГОТОВО","", "Предварительное заключение: "&amp;A1036&amp;", скв. "&amp;B1036&amp;". МРП: "&amp;E1036&amp;" сут. ГНО: "&amp;F1036&amp;", типоразмер "&amp;G1036&amp;", марка "&amp;H1036&amp;". Событие: "&amp;I1036&amp;". Признак: "&amp;J1036&amp;". Узел: "&amp;K1036&amp;". Предварительная причина: "&amp;L1036&amp;". Основное осложнение: "&amp;M1036&amp;IF(N1036&lt;&gt;"","; сопутствующее: "&amp;N1036,"")&amp;IF(O1036&lt;&gt;"","; дополнительно: "&amp;O1036,"")&amp;".")</f>
        <v/>
      </c>
    </row>
    <row r="1037">
      <c r="A1037" s="75" t="n"/>
      <c r="B1037" s="75" t="n"/>
      <c r="C1037" s="261" t="n"/>
      <c r="D1037" s="261" t="n"/>
      <c r="E1037" s="262">
        <f>IF(OR(C1037="",D1037=""),"",D1037-C1037)</f>
        <v/>
      </c>
      <c r="F1037" s="75" t="n"/>
      <c r="G1037" s="75" t="n"/>
      <c r="H1037" s="75" t="n"/>
      <c r="I1037" s="75" t="n"/>
      <c r="J1037" s="75" t="n"/>
      <c r="K1037" s="75" t="n"/>
      <c r="L1037" s="75" t="n"/>
      <c r="M1037" s="75" t="n"/>
      <c r="N1037" s="75" t="n"/>
      <c r="O1037" s="75" t="n"/>
      <c r="P1037" s="75" t="n"/>
      <c r="Q1037" s="75" t="n"/>
      <c r="R1037" s="75" t="n"/>
      <c r="S1037" s="75" t="n"/>
      <c r="T1037" s="75" t="n"/>
      <c r="U1037" s="75" t="n"/>
      <c r="V1037" s="75" t="n"/>
      <c r="W1037" s="75" t="n"/>
      <c r="X1037" s="75" t="n"/>
      <c r="Y1037" s="226">
        <f>IF(AND(A1037="",B1037=""),"",IF(AND(A1037&lt;&gt;"",B1037&lt;&gt;"",C1037&lt;&gt;"",D1037&lt;&gt;"",F1037&lt;&gt;"",G1037&lt;&gt;"",H1037&lt;&gt;"",ISERROR(SEARCH("по паспорту",G1037)),ISERROR(SEARCH("по паспорту",H1037)),I1037&lt;&gt;"",J1037&lt;&gt;"",K1037&lt;&gt;"",L1037&lt;&gt;"",M1037&lt;&gt;""),"ГОТОВО","НЕ ГОТОВО"))</f>
        <v/>
      </c>
      <c r="Z1037" s="226">
        <f>IF(Y1037&lt;&gt;"ГОТОВО","", "Предварительное заключение: "&amp;A1037&amp;", скв. "&amp;B1037&amp;". МРП: "&amp;E1037&amp;" сут. ГНО: "&amp;F1037&amp;", типоразмер "&amp;G1037&amp;", марка "&amp;H1037&amp;". Событие: "&amp;I1037&amp;". Признак: "&amp;J1037&amp;". Узел: "&amp;K1037&amp;". Предварительная причина: "&amp;L1037&amp;". Основное осложнение: "&amp;M1037&amp;IF(N1037&lt;&gt;"","; сопутствующее: "&amp;N1037,"")&amp;IF(O1037&lt;&gt;"","; дополнительно: "&amp;O1037,"")&amp;".")</f>
        <v/>
      </c>
    </row>
    <row r="1038">
      <c r="A1038" s="75" t="n"/>
      <c r="B1038" s="75" t="n"/>
      <c r="C1038" s="261" t="n"/>
      <c r="D1038" s="261" t="n"/>
      <c r="E1038" s="262">
        <f>IF(OR(C1038="",D1038=""),"",D1038-C1038)</f>
        <v/>
      </c>
      <c r="F1038" s="75" t="n"/>
      <c r="G1038" s="75" t="n"/>
      <c r="H1038" s="75" t="n"/>
      <c r="I1038" s="75" t="n"/>
      <c r="J1038" s="75" t="n"/>
      <c r="K1038" s="75" t="n"/>
      <c r="L1038" s="75" t="n"/>
      <c r="M1038" s="75" t="n"/>
      <c r="N1038" s="75" t="n"/>
      <c r="O1038" s="75" t="n"/>
      <c r="P1038" s="75" t="n"/>
      <c r="Q1038" s="75" t="n"/>
      <c r="R1038" s="75" t="n"/>
      <c r="S1038" s="75" t="n"/>
      <c r="T1038" s="75" t="n"/>
      <c r="U1038" s="75" t="n"/>
      <c r="V1038" s="75" t="n"/>
      <c r="W1038" s="75" t="n"/>
      <c r="X1038" s="75" t="n"/>
      <c r="Y1038" s="226">
        <f>IF(AND(A1038="",B1038=""),"",IF(AND(A1038&lt;&gt;"",B1038&lt;&gt;"",C1038&lt;&gt;"",D1038&lt;&gt;"",F1038&lt;&gt;"",G1038&lt;&gt;"",H1038&lt;&gt;"",ISERROR(SEARCH("по паспорту",G1038)),ISERROR(SEARCH("по паспорту",H1038)),I1038&lt;&gt;"",J1038&lt;&gt;"",K1038&lt;&gt;"",L1038&lt;&gt;"",M1038&lt;&gt;""),"ГОТОВО","НЕ ГОТОВО"))</f>
        <v/>
      </c>
      <c r="Z1038" s="226">
        <f>IF(Y1038&lt;&gt;"ГОТОВО","", "Предварительное заключение: "&amp;A1038&amp;", скв. "&amp;B1038&amp;". МРП: "&amp;E1038&amp;" сут. ГНО: "&amp;F1038&amp;", типоразмер "&amp;G1038&amp;", марка "&amp;H1038&amp;". Событие: "&amp;I1038&amp;". Признак: "&amp;J1038&amp;". Узел: "&amp;K1038&amp;". Предварительная причина: "&amp;L1038&amp;". Основное осложнение: "&amp;M1038&amp;IF(N1038&lt;&gt;"","; сопутствующее: "&amp;N1038,"")&amp;IF(O1038&lt;&gt;"","; дополнительно: "&amp;O1038,"")&amp;".")</f>
        <v/>
      </c>
    </row>
    <row r="1039">
      <c r="A1039" s="75" t="n"/>
      <c r="B1039" s="75" t="n"/>
      <c r="C1039" s="261" t="n"/>
      <c r="D1039" s="261" t="n"/>
      <c r="E1039" s="262">
        <f>IF(OR(C1039="",D1039=""),"",D1039-C1039)</f>
        <v/>
      </c>
      <c r="F1039" s="75" t="n"/>
      <c r="G1039" s="75" t="n"/>
      <c r="H1039" s="75" t="n"/>
      <c r="I1039" s="75" t="n"/>
      <c r="J1039" s="75" t="n"/>
      <c r="K1039" s="75" t="n"/>
      <c r="L1039" s="75" t="n"/>
      <c r="M1039" s="75" t="n"/>
      <c r="N1039" s="75" t="n"/>
      <c r="O1039" s="75" t="n"/>
      <c r="P1039" s="75" t="n"/>
      <c r="Q1039" s="75" t="n"/>
      <c r="R1039" s="75" t="n"/>
      <c r="S1039" s="75" t="n"/>
      <c r="T1039" s="75" t="n"/>
      <c r="U1039" s="75" t="n"/>
      <c r="V1039" s="75" t="n"/>
      <c r="W1039" s="75" t="n"/>
      <c r="X1039" s="75" t="n"/>
      <c r="Y1039" s="226">
        <f>IF(AND(A1039="",B1039=""),"",IF(AND(A1039&lt;&gt;"",B1039&lt;&gt;"",C1039&lt;&gt;"",D1039&lt;&gt;"",F1039&lt;&gt;"",G1039&lt;&gt;"",H1039&lt;&gt;"",ISERROR(SEARCH("по паспорту",G1039)),ISERROR(SEARCH("по паспорту",H1039)),I1039&lt;&gt;"",J1039&lt;&gt;"",K1039&lt;&gt;"",L1039&lt;&gt;"",M1039&lt;&gt;""),"ГОТОВО","НЕ ГОТОВО"))</f>
        <v/>
      </c>
      <c r="Z1039" s="226">
        <f>IF(Y1039&lt;&gt;"ГОТОВО","", "Предварительное заключение: "&amp;A1039&amp;", скв. "&amp;B1039&amp;". МРП: "&amp;E1039&amp;" сут. ГНО: "&amp;F1039&amp;", типоразмер "&amp;G1039&amp;", марка "&amp;H1039&amp;". Событие: "&amp;I1039&amp;". Признак: "&amp;J1039&amp;". Узел: "&amp;K1039&amp;". Предварительная причина: "&amp;L1039&amp;". Основное осложнение: "&amp;M1039&amp;IF(N1039&lt;&gt;"","; сопутствующее: "&amp;N1039,"")&amp;IF(O1039&lt;&gt;"","; дополнительно: "&amp;O1039,"")&amp;".")</f>
        <v/>
      </c>
    </row>
    <row r="1040">
      <c r="A1040" s="75" t="n"/>
      <c r="B1040" s="75" t="n"/>
      <c r="C1040" s="261" t="n"/>
      <c r="D1040" s="261" t="n"/>
      <c r="E1040" s="262">
        <f>IF(OR(C1040="",D1040=""),"",D1040-C1040)</f>
        <v/>
      </c>
      <c r="F1040" s="75" t="n"/>
      <c r="G1040" s="75" t="n"/>
      <c r="H1040" s="75" t="n"/>
      <c r="I1040" s="75" t="n"/>
      <c r="J1040" s="75" t="n"/>
      <c r="K1040" s="75" t="n"/>
      <c r="L1040" s="75" t="n"/>
      <c r="M1040" s="75" t="n"/>
      <c r="N1040" s="75" t="n"/>
      <c r="O1040" s="75" t="n"/>
      <c r="P1040" s="75" t="n"/>
      <c r="Q1040" s="75" t="n"/>
      <c r="R1040" s="75" t="n"/>
      <c r="S1040" s="75" t="n"/>
      <c r="T1040" s="75" t="n"/>
      <c r="U1040" s="75" t="n"/>
      <c r="V1040" s="75" t="n"/>
      <c r="W1040" s="75" t="n"/>
      <c r="X1040" s="75" t="n"/>
      <c r="Y1040" s="226">
        <f>IF(AND(A1040="",B1040=""),"",IF(AND(A1040&lt;&gt;"",B1040&lt;&gt;"",C1040&lt;&gt;"",D1040&lt;&gt;"",F1040&lt;&gt;"",G1040&lt;&gt;"",H1040&lt;&gt;"",ISERROR(SEARCH("по паспорту",G1040)),ISERROR(SEARCH("по паспорту",H1040)),I1040&lt;&gt;"",J1040&lt;&gt;"",K1040&lt;&gt;"",L1040&lt;&gt;"",M1040&lt;&gt;""),"ГОТОВО","НЕ ГОТОВО"))</f>
        <v/>
      </c>
      <c r="Z1040" s="226">
        <f>IF(Y1040&lt;&gt;"ГОТОВО","", "Предварительное заключение: "&amp;A1040&amp;", скв. "&amp;B1040&amp;". МРП: "&amp;E1040&amp;" сут. ГНО: "&amp;F1040&amp;", типоразмер "&amp;G1040&amp;", марка "&amp;H1040&amp;". Событие: "&amp;I1040&amp;". Признак: "&amp;J1040&amp;". Узел: "&amp;K1040&amp;". Предварительная причина: "&amp;L1040&amp;". Основное осложнение: "&amp;M1040&amp;IF(N1040&lt;&gt;"","; сопутствующее: "&amp;N1040,"")&amp;IF(O1040&lt;&gt;"","; дополнительно: "&amp;O1040,"")&amp;".")</f>
        <v/>
      </c>
    </row>
    <row r="1041">
      <c r="A1041" s="75" t="n"/>
      <c r="B1041" s="75" t="n"/>
      <c r="C1041" s="261" t="n"/>
      <c r="D1041" s="261" t="n"/>
      <c r="E1041" s="262">
        <f>IF(OR(C1041="",D1041=""),"",D1041-C1041)</f>
        <v/>
      </c>
      <c r="F1041" s="75" t="n"/>
      <c r="G1041" s="75" t="n"/>
      <c r="H1041" s="75" t="n"/>
      <c r="I1041" s="75" t="n"/>
      <c r="J1041" s="75" t="n"/>
      <c r="K1041" s="75" t="n"/>
      <c r="L1041" s="75" t="n"/>
      <c r="M1041" s="75" t="n"/>
      <c r="N1041" s="75" t="n"/>
      <c r="O1041" s="75" t="n"/>
      <c r="P1041" s="75" t="n"/>
      <c r="Q1041" s="75" t="n"/>
      <c r="R1041" s="75" t="n"/>
      <c r="S1041" s="75" t="n"/>
      <c r="T1041" s="75" t="n"/>
      <c r="U1041" s="75" t="n"/>
      <c r="V1041" s="75" t="n"/>
      <c r="W1041" s="75" t="n"/>
      <c r="X1041" s="75" t="n"/>
      <c r="Y1041" s="226">
        <f>IF(AND(A1041="",B1041=""),"",IF(AND(A1041&lt;&gt;"",B1041&lt;&gt;"",C1041&lt;&gt;"",D1041&lt;&gt;"",F1041&lt;&gt;"",G1041&lt;&gt;"",H1041&lt;&gt;"",ISERROR(SEARCH("по паспорту",G1041)),ISERROR(SEARCH("по паспорту",H1041)),I1041&lt;&gt;"",J1041&lt;&gt;"",K1041&lt;&gt;"",L1041&lt;&gt;"",M1041&lt;&gt;""),"ГОТОВО","НЕ ГОТОВО"))</f>
        <v/>
      </c>
      <c r="Z1041" s="226">
        <f>IF(Y1041&lt;&gt;"ГОТОВО","", "Предварительное заключение: "&amp;A1041&amp;", скв. "&amp;B1041&amp;". МРП: "&amp;E1041&amp;" сут. ГНО: "&amp;F1041&amp;", типоразмер "&amp;G1041&amp;", марка "&amp;H1041&amp;". Событие: "&amp;I1041&amp;". Признак: "&amp;J1041&amp;". Узел: "&amp;K1041&amp;". Предварительная причина: "&amp;L1041&amp;". Основное осложнение: "&amp;M1041&amp;IF(N1041&lt;&gt;"","; сопутствующее: "&amp;N1041,"")&amp;IF(O1041&lt;&gt;"","; дополнительно: "&amp;O1041,"")&amp;".")</f>
        <v/>
      </c>
    </row>
    <row r="1042">
      <c r="A1042" s="75" t="n"/>
      <c r="B1042" s="75" t="n"/>
      <c r="C1042" s="261" t="n"/>
      <c r="D1042" s="261" t="n"/>
      <c r="E1042" s="262">
        <f>IF(OR(C1042="",D1042=""),"",D1042-C1042)</f>
        <v/>
      </c>
      <c r="F1042" s="75" t="n"/>
      <c r="G1042" s="75" t="n"/>
      <c r="H1042" s="75" t="n"/>
      <c r="I1042" s="75" t="n"/>
      <c r="J1042" s="75" t="n"/>
      <c r="K1042" s="75" t="n"/>
      <c r="L1042" s="75" t="n"/>
      <c r="M1042" s="75" t="n"/>
      <c r="N1042" s="75" t="n"/>
      <c r="O1042" s="75" t="n"/>
      <c r="P1042" s="75" t="n"/>
      <c r="Q1042" s="75" t="n"/>
      <c r="R1042" s="75" t="n"/>
      <c r="S1042" s="75" t="n"/>
      <c r="T1042" s="75" t="n"/>
      <c r="U1042" s="75" t="n"/>
      <c r="V1042" s="75" t="n"/>
      <c r="W1042" s="75" t="n"/>
      <c r="X1042" s="75" t="n"/>
      <c r="Y1042" s="226">
        <f>IF(AND(A1042="",B1042=""),"",IF(AND(A1042&lt;&gt;"",B1042&lt;&gt;"",C1042&lt;&gt;"",D1042&lt;&gt;"",F1042&lt;&gt;"",G1042&lt;&gt;"",H1042&lt;&gt;"",ISERROR(SEARCH("по паспорту",G1042)),ISERROR(SEARCH("по паспорту",H1042)),I1042&lt;&gt;"",J1042&lt;&gt;"",K1042&lt;&gt;"",L1042&lt;&gt;"",M1042&lt;&gt;""),"ГОТОВО","НЕ ГОТОВО"))</f>
        <v/>
      </c>
      <c r="Z1042" s="226">
        <f>IF(Y1042&lt;&gt;"ГОТОВО","", "Предварительное заключение: "&amp;A1042&amp;", скв. "&amp;B1042&amp;". МРП: "&amp;E1042&amp;" сут. ГНО: "&amp;F1042&amp;", типоразмер "&amp;G1042&amp;", марка "&amp;H1042&amp;". Событие: "&amp;I1042&amp;". Признак: "&amp;J1042&amp;". Узел: "&amp;K1042&amp;". Предварительная причина: "&amp;L1042&amp;". Основное осложнение: "&amp;M1042&amp;IF(N1042&lt;&gt;"","; сопутствующее: "&amp;N1042,"")&amp;IF(O1042&lt;&gt;"","; дополнительно: "&amp;O1042,"")&amp;".")</f>
        <v/>
      </c>
    </row>
    <row r="1043">
      <c r="A1043" s="75" t="n"/>
      <c r="B1043" s="75" t="n"/>
      <c r="C1043" s="261" t="n"/>
      <c r="D1043" s="261" t="n"/>
      <c r="E1043" s="262">
        <f>IF(OR(C1043="",D1043=""),"",D1043-C1043)</f>
        <v/>
      </c>
      <c r="F1043" s="75" t="n"/>
      <c r="G1043" s="75" t="n"/>
      <c r="H1043" s="75" t="n"/>
      <c r="I1043" s="75" t="n"/>
      <c r="J1043" s="75" t="n"/>
      <c r="K1043" s="75" t="n"/>
      <c r="L1043" s="75" t="n"/>
      <c r="M1043" s="75" t="n"/>
      <c r="N1043" s="75" t="n"/>
      <c r="O1043" s="75" t="n"/>
      <c r="P1043" s="75" t="n"/>
      <c r="Q1043" s="75" t="n"/>
      <c r="R1043" s="75" t="n"/>
      <c r="S1043" s="75" t="n"/>
      <c r="T1043" s="75" t="n"/>
      <c r="U1043" s="75" t="n"/>
      <c r="V1043" s="75" t="n"/>
      <c r="W1043" s="75" t="n"/>
      <c r="X1043" s="75" t="n"/>
      <c r="Y1043" s="226">
        <f>IF(AND(A1043="",B1043=""),"",IF(AND(A1043&lt;&gt;"",B1043&lt;&gt;"",C1043&lt;&gt;"",D1043&lt;&gt;"",F1043&lt;&gt;"",G1043&lt;&gt;"",H1043&lt;&gt;"",ISERROR(SEARCH("по паспорту",G1043)),ISERROR(SEARCH("по паспорту",H1043)),I1043&lt;&gt;"",J1043&lt;&gt;"",K1043&lt;&gt;"",L1043&lt;&gt;"",M1043&lt;&gt;""),"ГОТОВО","НЕ ГОТОВО"))</f>
        <v/>
      </c>
      <c r="Z1043" s="226">
        <f>IF(Y1043&lt;&gt;"ГОТОВО","", "Предварительное заключение: "&amp;A1043&amp;", скв. "&amp;B1043&amp;". МРП: "&amp;E1043&amp;" сут. ГНО: "&amp;F1043&amp;", типоразмер "&amp;G1043&amp;", марка "&amp;H1043&amp;". Событие: "&amp;I1043&amp;". Признак: "&amp;J1043&amp;". Узел: "&amp;K1043&amp;". Предварительная причина: "&amp;L1043&amp;". Основное осложнение: "&amp;M1043&amp;IF(N1043&lt;&gt;"","; сопутствующее: "&amp;N1043,"")&amp;IF(O1043&lt;&gt;"","; дополнительно: "&amp;O1043,"")&amp;".")</f>
        <v/>
      </c>
    </row>
    <row r="1044">
      <c r="A1044" s="75" t="n"/>
      <c r="B1044" s="75" t="n"/>
      <c r="C1044" s="261" t="n"/>
      <c r="D1044" s="261" t="n"/>
      <c r="E1044" s="262">
        <f>IF(OR(C1044="",D1044=""),"",D1044-C1044)</f>
        <v/>
      </c>
      <c r="F1044" s="75" t="n"/>
      <c r="G1044" s="75" t="n"/>
      <c r="H1044" s="75" t="n"/>
      <c r="I1044" s="75" t="n"/>
      <c r="J1044" s="75" t="n"/>
      <c r="K1044" s="75" t="n"/>
      <c r="L1044" s="75" t="n"/>
      <c r="M1044" s="75" t="n"/>
      <c r="N1044" s="75" t="n"/>
      <c r="O1044" s="75" t="n"/>
      <c r="P1044" s="75" t="n"/>
      <c r="Q1044" s="75" t="n"/>
      <c r="R1044" s="75" t="n"/>
      <c r="S1044" s="75" t="n"/>
      <c r="T1044" s="75" t="n"/>
      <c r="U1044" s="75" t="n"/>
      <c r="V1044" s="75" t="n"/>
      <c r="W1044" s="75" t="n"/>
      <c r="X1044" s="75" t="n"/>
      <c r="Y1044" s="226">
        <f>IF(AND(A1044="",B1044=""),"",IF(AND(A1044&lt;&gt;"",B1044&lt;&gt;"",C1044&lt;&gt;"",D1044&lt;&gt;"",F1044&lt;&gt;"",G1044&lt;&gt;"",H1044&lt;&gt;"",ISERROR(SEARCH("по паспорту",G1044)),ISERROR(SEARCH("по паспорту",H1044)),I1044&lt;&gt;"",J1044&lt;&gt;"",K1044&lt;&gt;"",L1044&lt;&gt;"",M1044&lt;&gt;""),"ГОТОВО","НЕ ГОТОВО"))</f>
        <v/>
      </c>
      <c r="Z1044" s="226">
        <f>IF(Y1044&lt;&gt;"ГОТОВО","", "Предварительное заключение: "&amp;A1044&amp;", скв. "&amp;B1044&amp;". МРП: "&amp;E1044&amp;" сут. ГНО: "&amp;F1044&amp;", типоразмер "&amp;G1044&amp;", марка "&amp;H1044&amp;". Событие: "&amp;I1044&amp;". Признак: "&amp;J1044&amp;". Узел: "&amp;K1044&amp;". Предварительная причина: "&amp;L1044&amp;". Основное осложнение: "&amp;M1044&amp;IF(N1044&lt;&gt;"","; сопутствующее: "&amp;N1044,"")&amp;IF(O1044&lt;&gt;"","; дополнительно: "&amp;O1044,"")&amp;".")</f>
        <v/>
      </c>
    </row>
    <row r="1045">
      <c r="A1045" s="75" t="n"/>
      <c r="B1045" s="75" t="n"/>
      <c r="C1045" s="261" t="n"/>
      <c r="D1045" s="261" t="n"/>
      <c r="E1045" s="262">
        <f>IF(OR(C1045="",D1045=""),"",D1045-C1045)</f>
        <v/>
      </c>
      <c r="F1045" s="75" t="n"/>
      <c r="G1045" s="75" t="n"/>
      <c r="H1045" s="75" t="n"/>
      <c r="I1045" s="75" t="n"/>
      <c r="J1045" s="75" t="n"/>
      <c r="K1045" s="75" t="n"/>
      <c r="L1045" s="75" t="n"/>
      <c r="M1045" s="75" t="n"/>
      <c r="N1045" s="75" t="n"/>
      <c r="O1045" s="75" t="n"/>
      <c r="P1045" s="75" t="n"/>
      <c r="Q1045" s="75" t="n"/>
      <c r="R1045" s="75" t="n"/>
      <c r="S1045" s="75" t="n"/>
      <c r="T1045" s="75" t="n"/>
      <c r="U1045" s="75" t="n"/>
      <c r="V1045" s="75" t="n"/>
      <c r="W1045" s="75" t="n"/>
      <c r="X1045" s="75" t="n"/>
      <c r="Y1045" s="226">
        <f>IF(AND(A1045="",B1045=""),"",IF(AND(A1045&lt;&gt;"",B1045&lt;&gt;"",C1045&lt;&gt;"",D1045&lt;&gt;"",F1045&lt;&gt;"",G1045&lt;&gt;"",H1045&lt;&gt;"",ISERROR(SEARCH("по паспорту",G1045)),ISERROR(SEARCH("по паспорту",H1045)),I1045&lt;&gt;"",J1045&lt;&gt;"",K1045&lt;&gt;"",L1045&lt;&gt;"",M1045&lt;&gt;""),"ГОТОВО","НЕ ГОТОВО"))</f>
        <v/>
      </c>
      <c r="Z1045" s="226">
        <f>IF(Y1045&lt;&gt;"ГОТОВО","", "Предварительное заключение: "&amp;A1045&amp;", скв. "&amp;B1045&amp;". МРП: "&amp;E1045&amp;" сут. ГНО: "&amp;F1045&amp;", типоразмер "&amp;G1045&amp;", марка "&amp;H1045&amp;". Событие: "&amp;I1045&amp;". Признак: "&amp;J1045&amp;". Узел: "&amp;K1045&amp;". Предварительная причина: "&amp;L1045&amp;". Основное осложнение: "&amp;M1045&amp;IF(N1045&lt;&gt;"","; сопутствующее: "&amp;N1045,"")&amp;IF(O1045&lt;&gt;"","; дополнительно: "&amp;O1045,"")&amp;".")</f>
        <v/>
      </c>
    </row>
    <row r="1046">
      <c r="A1046" s="75" t="n"/>
      <c r="B1046" s="75" t="n"/>
      <c r="C1046" s="261" t="n"/>
      <c r="D1046" s="261" t="n"/>
      <c r="E1046" s="262">
        <f>IF(OR(C1046="",D1046=""),"",D1046-C1046)</f>
        <v/>
      </c>
      <c r="F1046" s="75" t="n"/>
      <c r="G1046" s="75" t="n"/>
      <c r="H1046" s="75" t="n"/>
      <c r="I1046" s="75" t="n"/>
      <c r="J1046" s="75" t="n"/>
      <c r="K1046" s="75" t="n"/>
      <c r="L1046" s="75" t="n"/>
      <c r="M1046" s="75" t="n"/>
      <c r="N1046" s="75" t="n"/>
      <c r="O1046" s="75" t="n"/>
      <c r="P1046" s="75" t="n"/>
      <c r="Q1046" s="75" t="n"/>
      <c r="R1046" s="75" t="n"/>
      <c r="S1046" s="75" t="n"/>
      <c r="T1046" s="75" t="n"/>
      <c r="U1046" s="75" t="n"/>
      <c r="V1046" s="75" t="n"/>
      <c r="W1046" s="75" t="n"/>
      <c r="X1046" s="75" t="n"/>
      <c r="Y1046" s="226">
        <f>IF(AND(A1046="",B1046=""),"",IF(AND(A1046&lt;&gt;"",B1046&lt;&gt;"",C1046&lt;&gt;"",D1046&lt;&gt;"",F1046&lt;&gt;"",G1046&lt;&gt;"",H1046&lt;&gt;"",ISERROR(SEARCH("по паспорту",G1046)),ISERROR(SEARCH("по паспорту",H1046)),I1046&lt;&gt;"",J1046&lt;&gt;"",K1046&lt;&gt;"",L1046&lt;&gt;"",M1046&lt;&gt;""),"ГОТОВО","НЕ ГОТОВО"))</f>
        <v/>
      </c>
      <c r="Z1046" s="226">
        <f>IF(Y1046&lt;&gt;"ГОТОВО","", "Предварительное заключение: "&amp;A1046&amp;", скв. "&amp;B1046&amp;". МРП: "&amp;E1046&amp;" сут. ГНО: "&amp;F1046&amp;", типоразмер "&amp;G1046&amp;", марка "&amp;H1046&amp;". Событие: "&amp;I1046&amp;". Признак: "&amp;J1046&amp;". Узел: "&amp;K1046&amp;". Предварительная причина: "&amp;L1046&amp;". Основное осложнение: "&amp;M1046&amp;IF(N1046&lt;&gt;"","; сопутствующее: "&amp;N1046,"")&amp;IF(O1046&lt;&gt;"","; дополнительно: "&amp;O1046,"")&amp;".")</f>
        <v/>
      </c>
    </row>
    <row r="1047">
      <c r="A1047" s="75" t="n"/>
      <c r="B1047" s="75" t="n"/>
      <c r="C1047" s="261" t="n"/>
      <c r="D1047" s="261" t="n"/>
      <c r="E1047" s="262">
        <f>IF(OR(C1047="",D1047=""),"",D1047-C1047)</f>
        <v/>
      </c>
      <c r="F1047" s="75" t="n"/>
      <c r="G1047" s="75" t="n"/>
      <c r="H1047" s="75" t="n"/>
      <c r="I1047" s="75" t="n"/>
      <c r="J1047" s="75" t="n"/>
      <c r="K1047" s="75" t="n"/>
      <c r="L1047" s="75" t="n"/>
      <c r="M1047" s="75" t="n"/>
      <c r="N1047" s="75" t="n"/>
      <c r="O1047" s="75" t="n"/>
      <c r="P1047" s="75" t="n"/>
      <c r="Q1047" s="75" t="n"/>
      <c r="R1047" s="75" t="n"/>
      <c r="S1047" s="75" t="n"/>
      <c r="T1047" s="75" t="n"/>
      <c r="U1047" s="75" t="n"/>
      <c r="V1047" s="75" t="n"/>
      <c r="W1047" s="75" t="n"/>
      <c r="X1047" s="75" t="n"/>
      <c r="Y1047" s="226">
        <f>IF(AND(A1047="",B1047=""),"",IF(AND(A1047&lt;&gt;"",B1047&lt;&gt;"",C1047&lt;&gt;"",D1047&lt;&gt;"",F1047&lt;&gt;"",G1047&lt;&gt;"",H1047&lt;&gt;"",ISERROR(SEARCH("по паспорту",G1047)),ISERROR(SEARCH("по паспорту",H1047)),I1047&lt;&gt;"",J1047&lt;&gt;"",K1047&lt;&gt;"",L1047&lt;&gt;"",M1047&lt;&gt;""),"ГОТОВО","НЕ ГОТОВО"))</f>
        <v/>
      </c>
      <c r="Z1047" s="226">
        <f>IF(Y1047&lt;&gt;"ГОТОВО","", "Предварительное заключение: "&amp;A1047&amp;", скв. "&amp;B1047&amp;". МРП: "&amp;E1047&amp;" сут. ГНО: "&amp;F1047&amp;", типоразмер "&amp;G1047&amp;", марка "&amp;H1047&amp;". Событие: "&amp;I1047&amp;". Признак: "&amp;J1047&amp;". Узел: "&amp;K1047&amp;". Предварительная причина: "&amp;L1047&amp;". Основное осложнение: "&amp;M1047&amp;IF(N1047&lt;&gt;"","; сопутствующее: "&amp;N1047,"")&amp;IF(O1047&lt;&gt;"","; дополнительно: "&amp;O1047,"")&amp;".")</f>
        <v/>
      </c>
    </row>
    <row r="1048">
      <c r="A1048" s="75" t="n"/>
      <c r="B1048" s="75" t="n"/>
      <c r="C1048" s="261" t="n"/>
      <c r="D1048" s="261" t="n"/>
      <c r="E1048" s="262">
        <f>IF(OR(C1048="",D1048=""),"",D1048-C1048)</f>
        <v/>
      </c>
      <c r="F1048" s="75" t="n"/>
      <c r="G1048" s="75" t="n"/>
      <c r="H1048" s="75" t="n"/>
      <c r="I1048" s="75" t="n"/>
      <c r="J1048" s="75" t="n"/>
      <c r="K1048" s="75" t="n"/>
      <c r="L1048" s="75" t="n"/>
      <c r="M1048" s="75" t="n"/>
      <c r="N1048" s="75" t="n"/>
      <c r="O1048" s="75" t="n"/>
      <c r="P1048" s="75" t="n"/>
      <c r="Q1048" s="75" t="n"/>
      <c r="R1048" s="75" t="n"/>
      <c r="S1048" s="75" t="n"/>
      <c r="T1048" s="75" t="n"/>
      <c r="U1048" s="75" t="n"/>
      <c r="V1048" s="75" t="n"/>
      <c r="W1048" s="75" t="n"/>
      <c r="X1048" s="75" t="n"/>
      <c r="Y1048" s="226">
        <f>IF(AND(A1048="",B1048=""),"",IF(AND(A1048&lt;&gt;"",B1048&lt;&gt;"",C1048&lt;&gt;"",D1048&lt;&gt;"",F1048&lt;&gt;"",G1048&lt;&gt;"",H1048&lt;&gt;"",ISERROR(SEARCH("по паспорту",G1048)),ISERROR(SEARCH("по паспорту",H1048)),I1048&lt;&gt;"",J1048&lt;&gt;"",K1048&lt;&gt;"",L1048&lt;&gt;"",M1048&lt;&gt;""),"ГОТОВО","НЕ ГОТОВО"))</f>
        <v/>
      </c>
      <c r="Z1048" s="226">
        <f>IF(Y1048&lt;&gt;"ГОТОВО","", "Предварительное заключение: "&amp;A1048&amp;", скв. "&amp;B1048&amp;". МРП: "&amp;E1048&amp;" сут. ГНО: "&amp;F1048&amp;", типоразмер "&amp;G1048&amp;", марка "&amp;H1048&amp;". Событие: "&amp;I1048&amp;". Признак: "&amp;J1048&amp;". Узел: "&amp;K1048&amp;". Предварительная причина: "&amp;L1048&amp;". Основное осложнение: "&amp;M1048&amp;IF(N1048&lt;&gt;"","; сопутствующее: "&amp;N1048,"")&amp;IF(O1048&lt;&gt;"","; дополнительно: "&amp;O1048,"")&amp;".")</f>
        <v/>
      </c>
    </row>
    <row r="1049">
      <c r="A1049" s="75" t="n"/>
      <c r="B1049" s="75" t="n"/>
      <c r="C1049" s="261" t="n"/>
      <c r="D1049" s="261" t="n"/>
      <c r="E1049" s="262">
        <f>IF(OR(C1049="",D1049=""),"",D1049-C1049)</f>
        <v/>
      </c>
      <c r="F1049" s="75" t="n"/>
      <c r="G1049" s="75" t="n"/>
      <c r="H1049" s="75" t="n"/>
      <c r="I1049" s="75" t="n"/>
      <c r="J1049" s="75" t="n"/>
      <c r="K1049" s="75" t="n"/>
      <c r="L1049" s="75" t="n"/>
      <c r="M1049" s="75" t="n"/>
      <c r="N1049" s="75" t="n"/>
      <c r="O1049" s="75" t="n"/>
      <c r="P1049" s="75" t="n"/>
      <c r="Q1049" s="75" t="n"/>
      <c r="R1049" s="75" t="n"/>
      <c r="S1049" s="75" t="n"/>
      <c r="T1049" s="75" t="n"/>
      <c r="U1049" s="75" t="n"/>
      <c r="V1049" s="75" t="n"/>
      <c r="W1049" s="75" t="n"/>
      <c r="X1049" s="75" t="n"/>
      <c r="Y1049" s="226">
        <f>IF(AND(A1049="",B1049=""),"",IF(AND(A1049&lt;&gt;"",B1049&lt;&gt;"",C1049&lt;&gt;"",D1049&lt;&gt;"",F1049&lt;&gt;"",G1049&lt;&gt;"",H1049&lt;&gt;"",ISERROR(SEARCH("по паспорту",G1049)),ISERROR(SEARCH("по паспорту",H1049)),I1049&lt;&gt;"",J1049&lt;&gt;"",K1049&lt;&gt;"",L1049&lt;&gt;"",M1049&lt;&gt;""),"ГОТОВО","НЕ ГОТОВО"))</f>
        <v/>
      </c>
      <c r="Z1049" s="226">
        <f>IF(Y1049&lt;&gt;"ГОТОВО","", "Предварительное заключение: "&amp;A1049&amp;", скв. "&amp;B1049&amp;". МРП: "&amp;E1049&amp;" сут. ГНО: "&amp;F1049&amp;", типоразмер "&amp;G1049&amp;", марка "&amp;H1049&amp;". Событие: "&amp;I1049&amp;". Признак: "&amp;J1049&amp;". Узел: "&amp;K1049&amp;". Предварительная причина: "&amp;L1049&amp;". Основное осложнение: "&amp;M1049&amp;IF(N1049&lt;&gt;"","; сопутствующее: "&amp;N1049,"")&amp;IF(O1049&lt;&gt;"","; дополнительно: "&amp;O1049,"")&amp;".")</f>
        <v/>
      </c>
    </row>
    <row r="1050">
      <c r="A1050" s="75" t="n"/>
      <c r="B1050" s="75" t="n"/>
      <c r="C1050" s="261" t="n"/>
      <c r="D1050" s="261" t="n"/>
      <c r="E1050" s="262">
        <f>IF(OR(C1050="",D1050=""),"",D1050-C1050)</f>
        <v/>
      </c>
      <c r="F1050" s="75" t="n"/>
      <c r="G1050" s="75" t="n"/>
      <c r="H1050" s="75" t="n"/>
      <c r="I1050" s="75" t="n"/>
      <c r="J1050" s="75" t="n"/>
      <c r="K1050" s="75" t="n"/>
      <c r="L1050" s="75" t="n"/>
      <c r="M1050" s="75" t="n"/>
      <c r="N1050" s="75" t="n"/>
      <c r="O1050" s="75" t="n"/>
      <c r="P1050" s="75" t="n"/>
      <c r="Q1050" s="75" t="n"/>
      <c r="R1050" s="75" t="n"/>
      <c r="S1050" s="75" t="n"/>
      <c r="T1050" s="75" t="n"/>
      <c r="U1050" s="75" t="n"/>
      <c r="V1050" s="75" t="n"/>
      <c r="W1050" s="75" t="n"/>
      <c r="X1050" s="75" t="n"/>
      <c r="Y1050" s="226">
        <f>IF(AND(A1050="",B1050=""),"",IF(AND(A1050&lt;&gt;"",B1050&lt;&gt;"",C1050&lt;&gt;"",D1050&lt;&gt;"",F1050&lt;&gt;"",G1050&lt;&gt;"",H1050&lt;&gt;"",ISERROR(SEARCH("по паспорту",G1050)),ISERROR(SEARCH("по паспорту",H1050)),I1050&lt;&gt;"",J1050&lt;&gt;"",K1050&lt;&gt;"",L1050&lt;&gt;"",M1050&lt;&gt;""),"ГОТОВО","НЕ ГОТОВО"))</f>
        <v/>
      </c>
      <c r="Z1050" s="226">
        <f>IF(Y1050&lt;&gt;"ГОТОВО","", "Предварительное заключение: "&amp;A1050&amp;", скв. "&amp;B1050&amp;". МРП: "&amp;E1050&amp;" сут. ГНО: "&amp;F1050&amp;", типоразмер "&amp;G1050&amp;", марка "&amp;H1050&amp;". Событие: "&amp;I1050&amp;". Признак: "&amp;J1050&amp;". Узел: "&amp;K1050&amp;". Предварительная причина: "&amp;L1050&amp;". Основное осложнение: "&amp;M1050&amp;IF(N1050&lt;&gt;"","; сопутствующее: "&amp;N1050,"")&amp;IF(O1050&lt;&gt;"","; дополнительно: "&amp;O1050,"")&amp;".")</f>
        <v/>
      </c>
    </row>
    <row r="1051">
      <c r="A1051" s="75" t="n"/>
      <c r="B1051" s="75" t="n"/>
      <c r="C1051" s="261" t="n"/>
      <c r="D1051" s="261" t="n"/>
      <c r="E1051" s="262">
        <f>IF(OR(C1051="",D1051=""),"",D1051-C1051)</f>
        <v/>
      </c>
      <c r="F1051" s="75" t="n"/>
      <c r="G1051" s="75" t="n"/>
      <c r="H1051" s="75" t="n"/>
      <c r="I1051" s="75" t="n"/>
      <c r="J1051" s="75" t="n"/>
      <c r="K1051" s="75" t="n"/>
      <c r="L1051" s="75" t="n"/>
      <c r="M1051" s="75" t="n"/>
      <c r="N1051" s="75" t="n"/>
      <c r="O1051" s="75" t="n"/>
      <c r="P1051" s="75" t="n"/>
      <c r="Q1051" s="75" t="n"/>
      <c r="R1051" s="75" t="n"/>
      <c r="S1051" s="75" t="n"/>
      <c r="T1051" s="75" t="n"/>
      <c r="U1051" s="75" t="n"/>
      <c r="V1051" s="75" t="n"/>
      <c r="W1051" s="75" t="n"/>
      <c r="X1051" s="75" t="n"/>
      <c r="Y1051" s="226">
        <f>IF(AND(A1051="",B1051=""),"",IF(AND(A1051&lt;&gt;"",B1051&lt;&gt;"",C1051&lt;&gt;"",D1051&lt;&gt;"",F1051&lt;&gt;"",G1051&lt;&gt;"",H1051&lt;&gt;"",ISERROR(SEARCH("по паспорту",G1051)),ISERROR(SEARCH("по паспорту",H1051)),I1051&lt;&gt;"",J1051&lt;&gt;"",K1051&lt;&gt;"",L1051&lt;&gt;"",M1051&lt;&gt;""),"ГОТОВО","НЕ ГОТОВО"))</f>
        <v/>
      </c>
      <c r="Z1051" s="226">
        <f>IF(Y1051&lt;&gt;"ГОТОВО","", "Предварительное заключение: "&amp;A1051&amp;", скв. "&amp;B1051&amp;". МРП: "&amp;E1051&amp;" сут. ГНО: "&amp;F1051&amp;", типоразмер "&amp;G1051&amp;", марка "&amp;H1051&amp;". Событие: "&amp;I1051&amp;". Признак: "&amp;J1051&amp;". Узел: "&amp;K1051&amp;". Предварительная причина: "&amp;L1051&amp;". Основное осложнение: "&amp;M1051&amp;IF(N1051&lt;&gt;"","; сопутствующее: "&amp;N1051,"")&amp;IF(O1051&lt;&gt;"","; дополнительно: "&amp;O1051,"")&amp;".")</f>
        <v/>
      </c>
    </row>
    <row r="1052">
      <c r="A1052" s="75" t="n"/>
      <c r="B1052" s="75" t="n"/>
      <c r="C1052" s="261" t="n"/>
      <c r="D1052" s="261" t="n"/>
      <c r="E1052" s="262">
        <f>IF(OR(C1052="",D1052=""),"",D1052-C1052)</f>
        <v/>
      </c>
      <c r="F1052" s="75" t="n"/>
      <c r="G1052" s="75" t="n"/>
      <c r="H1052" s="75" t="n"/>
      <c r="I1052" s="75" t="n"/>
      <c r="J1052" s="75" t="n"/>
      <c r="K1052" s="75" t="n"/>
      <c r="L1052" s="75" t="n"/>
      <c r="M1052" s="75" t="n"/>
      <c r="N1052" s="75" t="n"/>
      <c r="O1052" s="75" t="n"/>
      <c r="P1052" s="75" t="n"/>
      <c r="Q1052" s="75" t="n"/>
      <c r="R1052" s="75" t="n"/>
      <c r="S1052" s="75" t="n"/>
      <c r="T1052" s="75" t="n"/>
      <c r="U1052" s="75" t="n"/>
      <c r="V1052" s="75" t="n"/>
      <c r="W1052" s="75" t="n"/>
      <c r="X1052" s="75" t="n"/>
      <c r="Y1052" s="226">
        <f>IF(AND(A1052="",B1052=""),"",IF(AND(A1052&lt;&gt;"",B1052&lt;&gt;"",C1052&lt;&gt;"",D1052&lt;&gt;"",F1052&lt;&gt;"",G1052&lt;&gt;"",H1052&lt;&gt;"",ISERROR(SEARCH("по паспорту",G1052)),ISERROR(SEARCH("по паспорту",H1052)),I1052&lt;&gt;"",J1052&lt;&gt;"",K1052&lt;&gt;"",L1052&lt;&gt;"",M1052&lt;&gt;""),"ГОТОВО","НЕ ГОТОВО"))</f>
        <v/>
      </c>
      <c r="Z1052" s="226">
        <f>IF(Y1052&lt;&gt;"ГОТОВО","", "Предварительное заключение: "&amp;A1052&amp;", скв. "&amp;B1052&amp;". МРП: "&amp;E1052&amp;" сут. ГНО: "&amp;F1052&amp;", типоразмер "&amp;G1052&amp;", марка "&amp;H1052&amp;". Событие: "&amp;I1052&amp;". Признак: "&amp;J1052&amp;". Узел: "&amp;K1052&amp;". Предварительная причина: "&amp;L1052&amp;". Основное осложнение: "&amp;M1052&amp;IF(N1052&lt;&gt;"","; сопутствующее: "&amp;N1052,"")&amp;IF(O1052&lt;&gt;"","; дополнительно: "&amp;O1052,"")&amp;".")</f>
        <v/>
      </c>
    </row>
    <row r="1053">
      <c r="A1053" s="75" t="n"/>
      <c r="B1053" s="75" t="n"/>
      <c r="C1053" s="261" t="n"/>
      <c r="D1053" s="261" t="n"/>
      <c r="E1053" s="262">
        <f>IF(OR(C1053="",D1053=""),"",D1053-C1053)</f>
        <v/>
      </c>
      <c r="F1053" s="75" t="n"/>
      <c r="G1053" s="75" t="n"/>
      <c r="H1053" s="75" t="n"/>
      <c r="I1053" s="75" t="n"/>
      <c r="J1053" s="75" t="n"/>
      <c r="K1053" s="75" t="n"/>
      <c r="L1053" s="75" t="n"/>
      <c r="M1053" s="75" t="n"/>
      <c r="N1053" s="75" t="n"/>
      <c r="O1053" s="75" t="n"/>
      <c r="P1053" s="75" t="n"/>
      <c r="Q1053" s="75" t="n"/>
      <c r="R1053" s="75" t="n"/>
      <c r="S1053" s="75" t="n"/>
      <c r="T1053" s="75" t="n"/>
      <c r="U1053" s="75" t="n"/>
      <c r="V1053" s="75" t="n"/>
      <c r="W1053" s="75" t="n"/>
      <c r="X1053" s="75" t="n"/>
      <c r="Y1053" s="226">
        <f>IF(AND(A1053="",B1053=""),"",IF(AND(A1053&lt;&gt;"",B1053&lt;&gt;"",C1053&lt;&gt;"",D1053&lt;&gt;"",F1053&lt;&gt;"",G1053&lt;&gt;"",H1053&lt;&gt;"",ISERROR(SEARCH("по паспорту",G1053)),ISERROR(SEARCH("по паспорту",H1053)),I1053&lt;&gt;"",J1053&lt;&gt;"",K1053&lt;&gt;"",L1053&lt;&gt;"",M1053&lt;&gt;""),"ГОТОВО","НЕ ГОТОВО"))</f>
        <v/>
      </c>
      <c r="Z1053" s="226">
        <f>IF(Y1053&lt;&gt;"ГОТОВО","", "Предварительное заключение: "&amp;A1053&amp;", скв. "&amp;B1053&amp;". МРП: "&amp;E1053&amp;" сут. ГНО: "&amp;F1053&amp;", типоразмер "&amp;G1053&amp;", марка "&amp;H1053&amp;". Событие: "&amp;I1053&amp;". Признак: "&amp;J1053&amp;". Узел: "&amp;K1053&amp;". Предварительная причина: "&amp;L1053&amp;". Основное осложнение: "&amp;M1053&amp;IF(N1053&lt;&gt;"","; сопутствующее: "&amp;N1053,"")&amp;IF(O1053&lt;&gt;"","; дополнительно: "&amp;O1053,"")&amp;".")</f>
        <v/>
      </c>
    </row>
    <row r="1054">
      <c r="A1054" s="75" t="n"/>
      <c r="B1054" s="75" t="n"/>
      <c r="C1054" s="261" t="n"/>
      <c r="D1054" s="261" t="n"/>
      <c r="E1054" s="262">
        <f>IF(OR(C1054="",D1054=""),"",D1054-C1054)</f>
        <v/>
      </c>
      <c r="F1054" s="75" t="n"/>
      <c r="G1054" s="75" t="n"/>
      <c r="H1054" s="75" t="n"/>
      <c r="I1054" s="75" t="n"/>
      <c r="J1054" s="75" t="n"/>
      <c r="K1054" s="75" t="n"/>
      <c r="L1054" s="75" t="n"/>
      <c r="M1054" s="75" t="n"/>
      <c r="N1054" s="75" t="n"/>
      <c r="O1054" s="75" t="n"/>
      <c r="P1054" s="75" t="n"/>
      <c r="Q1054" s="75" t="n"/>
      <c r="R1054" s="75" t="n"/>
      <c r="S1054" s="75" t="n"/>
      <c r="T1054" s="75" t="n"/>
      <c r="U1054" s="75" t="n"/>
      <c r="V1054" s="75" t="n"/>
      <c r="W1054" s="75" t="n"/>
      <c r="X1054" s="75" t="n"/>
      <c r="Y1054" s="226">
        <f>IF(AND(A1054="",B1054=""),"",IF(AND(A1054&lt;&gt;"",B1054&lt;&gt;"",C1054&lt;&gt;"",D1054&lt;&gt;"",F1054&lt;&gt;"",G1054&lt;&gt;"",H1054&lt;&gt;"",ISERROR(SEARCH("по паспорту",G1054)),ISERROR(SEARCH("по паспорту",H1054)),I1054&lt;&gt;"",J1054&lt;&gt;"",K1054&lt;&gt;"",L1054&lt;&gt;"",M1054&lt;&gt;""),"ГОТОВО","НЕ ГОТОВО"))</f>
        <v/>
      </c>
      <c r="Z1054" s="226">
        <f>IF(Y1054&lt;&gt;"ГОТОВО","", "Предварительное заключение: "&amp;A1054&amp;", скв. "&amp;B1054&amp;". МРП: "&amp;E1054&amp;" сут. ГНО: "&amp;F1054&amp;", типоразмер "&amp;G1054&amp;", марка "&amp;H1054&amp;". Событие: "&amp;I1054&amp;". Признак: "&amp;J1054&amp;". Узел: "&amp;K1054&amp;". Предварительная причина: "&amp;L1054&amp;". Основное осложнение: "&amp;M1054&amp;IF(N1054&lt;&gt;"","; сопутствующее: "&amp;N1054,"")&amp;IF(O1054&lt;&gt;"","; дополнительно: "&amp;O1054,"")&amp;".")</f>
        <v/>
      </c>
    </row>
    <row r="1055">
      <c r="A1055" s="75" t="n"/>
      <c r="B1055" s="75" t="n"/>
      <c r="C1055" s="261" t="n"/>
      <c r="D1055" s="261" t="n"/>
      <c r="E1055" s="262">
        <f>IF(OR(C1055="",D1055=""),"",D1055-C1055)</f>
        <v/>
      </c>
      <c r="F1055" s="75" t="n"/>
      <c r="G1055" s="75" t="n"/>
      <c r="H1055" s="75" t="n"/>
      <c r="I1055" s="75" t="n"/>
      <c r="J1055" s="75" t="n"/>
      <c r="K1055" s="75" t="n"/>
      <c r="L1055" s="75" t="n"/>
      <c r="M1055" s="75" t="n"/>
      <c r="N1055" s="75" t="n"/>
      <c r="O1055" s="75" t="n"/>
      <c r="P1055" s="75" t="n"/>
      <c r="Q1055" s="75" t="n"/>
      <c r="R1055" s="75" t="n"/>
      <c r="S1055" s="75" t="n"/>
      <c r="T1055" s="75" t="n"/>
      <c r="U1055" s="75" t="n"/>
      <c r="V1055" s="75" t="n"/>
      <c r="W1055" s="75" t="n"/>
      <c r="X1055" s="75" t="n"/>
      <c r="Y1055" s="226">
        <f>IF(AND(A1055="",B1055=""),"",IF(AND(A1055&lt;&gt;"",B1055&lt;&gt;"",C1055&lt;&gt;"",D1055&lt;&gt;"",F1055&lt;&gt;"",G1055&lt;&gt;"",H1055&lt;&gt;"",ISERROR(SEARCH("по паспорту",G1055)),ISERROR(SEARCH("по паспорту",H1055)),I1055&lt;&gt;"",J1055&lt;&gt;"",K1055&lt;&gt;"",L1055&lt;&gt;"",M1055&lt;&gt;""),"ГОТОВО","НЕ ГОТОВО"))</f>
        <v/>
      </c>
      <c r="Z1055" s="226">
        <f>IF(Y1055&lt;&gt;"ГОТОВО","", "Предварительное заключение: "&amp;A1055&amp;", скв. "&amp;B1055&amp;". МРП: "&amp;E1055&amp;" сут. ГНО: "&amp;F1055&amp;", типоразмер "&amp;G1055&amp;", марка "&amp;H1055&amp;". Событие: "&amp;I1055&amp;". Признак: "&amp;J1055&amp;". Узел: "&amp;K1055&amp;". Предварительная причина: "&amp;L1055&amp;". Основное осложнение: "&amp;M1055&amp;IF(N1055&lt;&gt;"","; сопутствующее: "&amp;N1055,"")&amp;IF(O1055&lt;&gt;"","; дополнительно: "&amp;O1055,"")&amp;".")</f>
        <v/>
      </c>
    </row>
    <row r="1056">
      <c r="A1056" s="75" t="n"/>
      <c r="B1056" s="75" t="n"/>
      <c r="C1056" s="261" t="n"/>
      <c r="D1056" s="261" t="n"/>
      <c r="E1056" s="262">
        <f>IF(OR(C1056="",D1056=""),"",D1056-C1056)</f>
        <v/>
      </c>
      <c r="F1056" s="75" t="n"/>
      <c r="G1056" s="75" t="n"/>
      <c r="H1056" s="75" t="n"/>
      <c r="I1056" s="75" t="n"/>
      <c r="J1056" s="75" t="n"/>
      <c r="K1056" s="75" t="n"/>
      <c r="L1056" s="75" t="n"/>
      <c r="M1056" s="75" t="n"/>
      <c r="N1056" s="75" t="n"/>
      <c r="O1056" s="75" t="n"/>
      <c r="P1056" s="75" t="n"/>
      <c r="Q1056" s="75" t="n"/>
      <c r="R1056" s="75" t="n"/>
      <c r="S1056" s="75" t="n"/>
      <c r="T1056" s="75" t="n"/>
      <c r="U1056" s="75" t="n"/>
      <c r="V1056" s="75" t="n"/>
      <c r="W1056" s="75" t="n"/>
      <c r="X1056" s="75" t="n"/>
      <c r="Y1056" s="226">
        <f>IF(AND(A1056="",B1056=""),"",IF(AND(A1056&lt;&gt;"",B1056&lt;&gt;"",C1056&lt;&gt;"",D1056&lt;&gt;"",F1056&lt;&gt;"",G1056&lt;&gt;"",H1056&lt;&gt;"",ISERROR(SEARCH("по паспорту",G1056)),ISERROR(SEARCH("по паспорту",H1056)),I1056&lt;&gt;"",J1056&lt;&gt;"",K1056&lt;&gt;"",L1056&lt;&gt;"",M1056&lt;&gt;""),"ГОТОВО","НЕ ГОТОВО"))</f>
        <v/>
      </c>
      <c r="Z1056" s="226">
        <f>IF(Y1056&lt;&gt;"ГОТОВО","", "Предварительное заключение: "&amp;A1056&amp;", скв. "&amp;B1056&amp;". МРП: "&amp;E1056&amp;" сут. ГНО: "&amp;F1056&amp;", типоразмер "&amp;G1056&amp;", марка "&amp;H1056&amp;". Событие: "&amp;I1056&amp;". Признак: "&amp;J1056&amp;". Узел: "&amp;K1056&amp;". Предварительная причина: "&amp;L1056&amp;". Основное осложнение: "&amp;M1056&amp;IF(N1056&lt;&gt;"","; сопутствующее: "&amp;N1056,"")&amp;IF(O1056&lt;&gt;"","; дополнительно: "&amp;O1056,"")&amp;".")</f>
        <v/>
      </c>
    </row>
    <row r="1057">
      <c r="A1057" s="75" t="n"/>
      <c r="B1057" s="75" t="n"/>
      <c r="C1057" s="261" t="n"/>
      <c r="D1057" s="261" t="n"/>
      <c r="E1057" s="262">
        <f>IF(OR(C1057="",D1057=""),"",D1057-C1057)</f>
        <v/>
      </c>
      <c r="F1057" s="75" t="n"/>
      <c r="G1057" s="75" t="n"/>
      <c r="H1057" s="75" t="n"/>
      <c r="I1057" s="75" t="n"/>
      <c r="J1057" s="75" t="n"/>
      <c r="K1057" s="75" t="n"/>
      <c r="L1057" s="75" t="n"/>
      <c r="M1057" s="75" t="n"/>
      <c r="N1057" s="75" t="n"/>
      <c r="O1057" s="75" t="n"/>
      <c r="P1057" s="75" t="n"/>
      <c r="Q1057" s="75" t="n"/>
      <c r="R1057" s="75" t="n"/>
      <c r="S1057" s="75" t="n"/>
      <c r="T1057" s="75" t="n"/>
      <c r="U1057" s="75" t="n"/>
      <c r="V1057" s="75" t="n"/>
      <c r="W1057" s="75" t="n"/>
      <c r="X1057" s="75" t="n"/>
      <c r="Y1057" s="226">
        <f>IF(AND(A1057="",B1057=""),"",IF(AND(A1057&lt;&gt;"",B1057&lt;&gt;"",C1057&lt;&gt;"",D1057&lt;&gt;"",F1057&lt;&gt;"",G1057&lt;&gt;"",H1057&lt;&gt;"",ISERROR(SEARCH("по паспорту",G1057)),ISERROR(SEARCH("по паспорту",H1057)),I1057&lt;&gt;"",J1057&lt;&gt;"",K1057&lt;&gt;"",L1057&lt;&gt;"",M1057&lt;&gt;""),"ГОТОВО","НЕ ГОТОВО"))</f>
        <v/>
      </c>
      <c r="Z1057" s="226">
        <f>IF(Y1057&lt;&gt;"ГОТОВО","", "Предварительное заключение: "&amp;A1057&amp;", скв. "&amp;B1057&amp;". МРП: "&amp;E1057&amp;" сут. ГНО: "&amp;F1057&amp;", типоразмер "&amp;G1057&amp;", марка "&amp;H1057&amp;". Событие: "&amp;I1057&amp;". Признак: "&amp;J1057&amp;". Узел: "&amp;K1057&amp;". Предварительная причина: "&amp;L1057&amp;". Основное осложнение: "&amp;M1057&amp;IF(N1057&lt;&gt;"","; сопутствующее: "&amp;N1057,"")&amp;IF(O1057&lt;&gt;"","; дополнительно: "&amp;O1057,"")&amp;".")</f>
        <v/>
      </c>
    </row>
    <row r="1058">
      <c r="A1058" s="75" t="n"/>
      <c r="B1058" s="75" t="n"/>
      <c r="C1058" s="261" t="n"/>
      <c r="D1058" s="261" t="n"/>
      <c r="E1058" s="262">
        <f>IF(OR(C1058="",D1058=""),"",D1058-C1058)</f>
        <v/>
      </c>
      <c r="F1058" s="75" t="n"/>
      <c r="G1058" s="75" t="n"/>
      <c r="H1058" s="75" t="n"/>
      <c r="I1058" s="75" t="n"/>
      <c r="J1058" s="75" t="n"/>
      <c r="K1058" s="75" t="n"/>
      <c r="L1058" s="75" t="n"/>
      <c r="M1058" s="75" t="n"/>
      <c r="N1058" s="75" t="n"/>
      <c r="O1058" s="75" t="n"/>
      <c r="P1058" s="75" t="n"/>
      <c r="Q1058" s="75" t="n"/>
      <c r="R1058" s="75" t="n"/>
      <c r="S1058" s="75" t="n"/>
      <c r="T1058" s="75" t="n"/>
      <c r="U1058" s="75" t="n"/>
      <c r="V1058" s="75" t="n"/>
      <c r="W1058" s="75" t="n"/>
      <c r="X1058" s="75" t="n"/>
      <c r="Y1058" s="226">
        <f>IF(AND(A1058="",B1058=""),"",IF(AND(A1058&lt;&gt;"",B1058&lt;&gt;"",C1058&lt;&gt;"",D1058&lt;&gt;"",F1058&lt;&gt;"",G1058&lt;&gt;"",H1058&lt;&gt;"",ISERROR(SEARCH("по паспорту",G1058)),ISERROR(SEARCH("по паспорту",H1058)),I1058&lt;&gt;"",J1058&lt;&gt;"",K1058&lt;&gt;"",L1058&lt;&gt;"",M1058&lt;&gt;""),"ГОТОВО","НЕ ГОТОВО"))</f>
        <v/>
      </c>
      <c r="Z1058" s="226">
        <f>IF(Y1058&lt;&gt;"ГОТОВО","", "Предварительное заключение: "&amp;A1058&amp;", скв. "&amp;B1058&amp;". МРП: "&amp;E1058&amp;" сут. ГНО: "&amp;F1058&amp;", типоразмер "&amp;G1058&amp;", марка "&amp;H1058&amp;". Событие: "&amp;I1058&amp;". Признак: "&amp;J1058&amp;". Узел: "&amp;K1058&amp;". Предварительная причина: "&amp;L1058&amp;". Основное осложнение: "&amp;M1058&amp;IF(N1058&lt;&gt;"","; сопутствующее: "&amp;N1058,"")&amp;IF(O1058&lt;&gt;"","; дополнительно: "&amp;O1058,"")&amp;".")</f>
        <v/>
      </c>
    </row>
    <row r="1059">
      <c r="A1059" s="75" t="n"/>
      <c r="B1059" s="75" t="n"/>
      <c r="C1059" s="261" t="n"/>
      <c r="D1059" s="261" t="n"/>
      <c r="E1059" s="262">
        <f>IF(OR(C1059="",D1059=""),"",D1059-C1059)</f>
        <v/>
      </c>
      <c r="F1059" s="75" t="n"/>
      <c r="G1059" s="75" t="n"/>
      <c r="H1059" s="75" t="n"/>
      <c r="I1059" s="75" t="n"/>
      <c r="J1059" s="75" t="n"/>
      <c r="K1059" s="75" t="n"/>
      <c r="L1059" s="75" t="n"/>
      <c r="M1059" s="75" t="n"/>
      <c r="N1059" s="75" t="n"/>
      <c r="O1059" s="75" t="n"/>
      <c r="P1059" s="75" t="n"/>
      <c r="Q1059" s="75" t="n"/>
      <c r="R1059" s="75" t="n"/>
      <c r="S1059" s="75" t="n"/>
      <c r="T1059" s="75" t="n"/>
      <c r="U1059" s="75" t="n"/>
      <c r="V1059" s="75" t="n"/>
      <c r="W1059" s="75" t="n"/>
      <c r="X1059" s="75" t="n"/>
      <c r="Y1059" s="226">
        <f>IF(AND(A1059="",B1059=""),"",IF(AND(A1059&lt;&gt;"",B1059&lt;&gt;"",C1059&lt;&gt;"",D1059&lt;&gt;"",F1059&lt;&gt;"",G1059&lt;&gt;"",H1059&lt;&gt;"",ISERROR(SEARCH("по паспорту",G1059)),ISERROR(SEARCH("по паспорту",H1059)),I1059&lt;&gt;"",J1059&lt;&gt;"",K1059&lt;&gt;"",L1059&lt;&gt;"",M1059&lt;&gt;""),"ГОТОВО","НЕ ГОТОВО"))</f>
        <v/>
      </c>
      <c r="Z1059" s="226">
        <f>IF(Y1059&lt;&gt;"ГОТОВО","", "Предварительное заключение: "&amp;A1059&amp;", скв. "&amp;B1059&amp;". МРП: "&amp;E1059&amp;" сут. ГНО: "&amp;F1059&amp;", типоразмер "&amp;G1059&amp;", марка "&amp;H1059&amp;". Событие: "&amp;I1059&amp;". Признак: "&amp;J1059&amp;". Узел: "&amp;K1059&amp;". Предварительная причина: "&amp;L1059&amp;". Основное осложнение: "&amp;M1059&amp;IF(N1059&lt;&gt;"","; сопутствующее: "&amp;N1059,"")&amp;IF(O1059&lt;&gt;"","; дополнительно: "&amp;O1059,"")&amp;".")</f>
        <v/>
      </c>
    </row>
    <row r="1060">
      <c r="A1060" s="75" t="n"/>
      <c r="B1060" s="75" t="n"/>
      <c r="C1060" s="261" t="n"/>
      <c r="D1060" s="261" t="n"/>
      <c r="E1060" s="262">
        <f>IF(OR(C1060="",D1060=""),"",D1060-C1060)</f>
        <v/>
      </c>
      <c r="F1060" s="75" t="n"/>
      <c r="G1060" s="75" t="n"/>
      <c r="H1060" s="75" t="n"/>
      <c r="I1060" s="75" t="n"/>
      <c r="J1060" s="75" t="n"/>
      <c r="K1060" s="75" t="n"/>
      <c r="L1060" s="75" t="n"/>
      <c r="M1060" s="75" t="n"/>
      <c r="N1060" s="75" t="n"/>
      <c r="O1060" s="75" t="n"/>
      <c r="P1060" s="75" t="n"/>
      <c r="Q1060" s="75" t="n"/>
      <c r="R1060" s="75" t="n"/>
      <c r="S1060" s="75" t="n"/>
      <c r="T1060" s="75" t="n"/>
      <c r="U1060" s="75" t="n"/>
      <c r="V1060" s="75" t="n"/>
      <c r="W1060" s="75" t="n"/>
      <c r="X1060" s="75" t="n"/>
      <c r="Y1060" s="226">
        <f>IF(AND(A1060="",B1060=""),"",IF(AND(A1060&lt;&gt;"",B1060&lt;&gt;"",C1060&lt;&gt;"",D1060&lt;&gt;"",F1060&lt;&gt;"",G1060&lt;&gt;"",H1060&lt;&gt;"",ISERROR(SEARCH("по паспорту",G1060)),ISERROR(SEARCH("по паспорту",H1060)),I1060&lt;&gt;"",J1060&lt;&gt;"",K1060&lt;&gt;"",L1060&lt;&gt;"",M1060&lt;&gt;""),"ГОТОВО","НЕ ГОТОВО"))</f>
        <v/>
      </c>
      <c r="Z1060" s="226">
        <f>IF(Y1060&lt;&gt;"ГОТОВО","", "Предварительное заключение: "&amp;A1060&amp;", скв. "&amp;B1060&amp;". МРП: "&amp;E1060&amp;" сут. ГНО: "&amp;F1060&amp;", типоразмер "&amp;G1060&amp;", марка "&amp;H1060&amp;". Событие: "&amp;I1060&amp;". Признак: "&amp;J1060&amp;". Узел: "&amp;K1060&amp;". Предварительная причина: "&amp;L1060&amp;". Основное осложнение: "&amp;M1060&amp;IF(N1060&lt;&gt;"","; сопутствующее: "&amp;N1060,"")&amp;IF(O1060&lt;&gt;"","; дополнительно: "&amp;O1060,"")&amp;".")</f>
        <v/>
      </c>
    </row>
    <row r="1061">
      <c r="A1061" s="75" t="n"/>
      <c r="B1061" s="75" t="n"/>
      <c r="C1061" s="261" t="n"/>
      <c r="D1061" s="261" t="n"/>
      <c r="E1061" s="262">
        <f>IF(OR(C1061="",D1061=""),"",D1061-C1061)</f>
        <v/>
      </c>
      <c r="F1061" s="75" t="n"/>
      <c r="G1061" s="75" t="n"/>
      <c r="H1061" s="75" t="n"/>
      <c r="I1061" s="75" t="n"/>
      <c r="J1061" s="75" t="n"/>
      <c r="K1061" s="75" t="n"/>
      <c r="L1061" s="75" t="n"/>
      <c r="M1061" s="75" t="n"/>
      <c r="N1061" s="75" t="n"/>
      <c r="O1061" s="75" t="n"/>
      <c r="P1061" s="75" t="n"/>
      <c r="Q1061" s="75" t="n"/>
      <c r="R1061" s="75" t="n"/>
      <c r="S1061" s="75" t="n"/>
      <c r="T1061" s="75" t="n"/>
      <c r="U1061" s="75" t="n"/>
      <c r="V1061" s="75" t="n"/>
      <c r="W1061" s="75" t="n"/>
      <c r="X1061" s="75" t="n"/>
      <c r="Y1061" s="226">
        <f>IF(AND(A1061="",B1061=""),"",IF(AND(A1061&lt;&gt;"",B1061&lt;&gt;"",C1061&lt;&gt;"",D1061&lt;&gt;"",F1061&lt;&gt;"",G1061&lt;&gt;"",H1061&lt;&gt;"",ISERROR(SEARCH("по паспорту",G1061)),ISERROR(SEARCH("по паспорту",H1061)),I1061&lt;&gt;"",J1061&lt;&gt;"",K1061&lt;&gt;"",L1061&lt;&gt;"",M1061&lt;&gt;""),"ГОТОВО","НЕ ГОТОВО"))</f>
        <v/>
      </c>
      <c r="Z1061" s="226">
        <f>IF(Y1061&lt;&gt;"ГОТОВО","", "Предварительное заключение: "&amp;A1061&amp;", скв. "&amp;B1061&amp;". МРП: "&amp;E1061&amp;" сут. ГНО: "&amp;F1061&amp;", типоразмер "&amp;G1061&amp;", марка "&amp;H1061&amp;". Событие: "&amp;I1061&amp;". Признак: "&amp;J1061&amp;". Узел: "&amp;K1061&amp;". Предварительная причина: "&amp;L1061&amp;". Основное осложнение: "&amp;M1061&amp;IF(N1061&lt;&gt;"","; сопутствующее: "&amp;N1061,"")&amp;IF(O1061&lt;&gt;"","; дополнительно: "&amp;O1061,"")&amp;".")</f>
        <v/>
      </c>
    </row>
    <row r="1062">
      <c r="A1062" s="75" t="n"/>
      <c r="B1062" s="75" t="n"/>
      <c r="C1062" s="261" t="n"/>
      <c r="D1062" s="261" t="n"/>
      <c r="E1062" s="262">
        <f>IF(OR(C1062="",D1062=""),"",D1062-C1062)</f>
        <v/>
      </c>
      <c r="F1062" s="75" t="n"/>
      <c r="G1062" s="75" t="n"/>
      <c r="H1062" s="75" t="n"/>
      <c r="I1062" s="75" t="n"/>
      <c r="J1062" s="75" t="n"/>
      <c r="K1062" s="75" t="n"/>
      <c r="L1062" s="75" t="n"/>
      <c r="M1062" s="75" t="n"/>
      <c r="N1062" s="75" t="n"/>
      <c r="O1062" s="75" t="n"/>
      <c r="P1062" s="75" t="n"/>
      <c r="Q1062" s="75" t="n"/>
      <c r="R1062" s="75" t="n"/>
      <c r="S1062" s="75" t="n"/>
      <c r="T1062" s="75" t="n"/>
      <c r="U1062" s="75" t="n"/>
      <c r="V1062" s="75" t="n"/>
      <c r="W1062" s="75" t="n"/>
      <c r="X1062" s="75" t="n"/>
      <c r="Y1062" s="226">
        <f>IF(AND(A1062="",B1062=""),"",IF(AND(A1062&lt;&gt;"",B1062&lt;&gt;"",C1062&lt;&gt;"",D1062&lt;&gt;"",F1062&lt;&gt;"",G1062&lt;&gt;"",H1062&lt;&gt;"",ISERROR(SEARCH("по паспорту",G1062)),ISERROR(SEARCH("по паспорту",H1062)),I1062&lt;&gt;"",J1062&lt;&gt;"",K1062&lt;&gt;"",L1062&lt;&gt;"",M1062&lt;&gt;""),"ГОТОВО","НЕ ГОТОВО"))</f>
        <v/>
      </c>
      <c r="Z1062" s="226">
        <f>IF(Y1062&lt;&gt;"ГОТОВО","", "Предварительное заключение: "&amp;A1062&amp;", скв. "&amp;B1062&amp;". МРП: "&amp;E1062&amp;" сут. ГНО: "&amp;F1062&amp;", типоразмер "&amp;G1062&amp;", марка "&amp;H1062&amp;". Событие: "&amp;I1062&amp;". Признак: "&amp;J1062&amp;". Узел: "&amp;K1062&amp;". Предварительная причина: "&amp;L1062&amp;". Основное осложнение: "&amp;M1062&amp;IF(N1062&lt;&gt;"","; сопутствующее: "&amp;N1062,"")&amp;IF(O1062&lt;&gt;"","; дополнительно: "&amp;O1062,"")&amp;".")</f>
        <v/>
      </c>
    </row>
    <row r="1063">
      <c r="A1063" s="75" t="n"/>
      <c r="B1063" s="75" t="n"/>
      <c r="C1063" s="261" t="n"/>
      <c r="D1063" s="261" t="n"/>
      <c r="E1063" s="262">
        <f>IF(OR(C1063="",D1063=""),"",D1063-C1063)</f>
        <v/>
      </c>
      <c r="F1063" s="75" t="n"/>
      <c r="G1063" s="75" t="n"/>
      <c r="H1063" s="75" t="n"/>
      <c r="I1063" s="75" t="n"/>
      <c r="J1063" s="75" t="n"/>
      <c r="K1063" s="75" t="n"/>
      <c r="L1063" s="75" t="n"/>
      <c r="M1063" s="75" t="n"/>
      <c r="N1063" s="75" t="n"/>
      <c r="O1063" s="75" t="n"/>
      <c r="P1063" s="75" t="n"/>
      <c r="Q1063" s="75" t="n"/>
      <c r="R1063" s="75" t="n"/>
      <c r="S1063" s="75" t="n"/>
      <c r="T1063" s="75" t="n"/>
      <c r="U1063" s="75" t="n"/>
      <c r="V1063" s="75" t="n"/>
      <c r="W1063" s="75" t="n"/>
      <c r="X1063" s="75" t="n"/>
      <c r="Y1063" s="226">
        <f>IF(AND(A1063="",B1063=""),"",IF(AND(A1063&lt;&gt;"",B1063&lt;&gt;"",C1063&lt;&gt;"",D1063&lt;&gt;"",F1063&lt;&gt;"",G1063&lt;&gt;"",H1063&lt;&gt;"",ISERROR(SEARCH("по паспорту",G1063)),ISERROR(SEARCH("по паспорту",H1063)),I1063&lt;&gt;"",J1063&lt;&gt;"",K1063&lt;&gt;"",L1063&lt;&gt;"",M1063&lt;&gt;""),"ГОТОВО","НЕ ГОТОВО"))</f>
        <v/>
      </c>
      <c r="Z1063" s="226">
        <f>IF(Y1063&lt;&gt;"ГОТОВО","", "Предварительное заключение: "&amp;A1063&amp;", скв. "&amp;B1063&amp;". МРП: "&amp;E1063&amp;" сут. ГНО: "&amp;F1063&amp;", типоразмер "&amp;G1063&amp;", марка "&amp;H1063&amp;". Событие: "&amp;I1063&amp;". Признак: "&amp;J1063&amp;". Узел: "&amp;K1063&amp;". Предварительная причина: "&amp;L1063&amp;". Основное осложнение: "&amp;M1063&amp;IF(N1063&lt;&gt;"","; сопутствующее: "&amp;N1063,"")&amp;IF(O1063&lt;&gt;"","; дополнительно: "&amp;O1063,"")&amp;".")</f>
        <v/>
      </c>
    </row>
    <row r="1064">
      <c r="A1064" s="75" t="n"/>
      <c r="B1064" s="75" t="n"/>
      <c r="C1064" s="261" t="n"/>
      <c r="D1064" s="261" t="n"/>
      <c r="E1064" s="262">
        <f>IF(OR(C1064="",D1064=""),"",D1064-C1064)</f>
        <v/>
      </c>
      <c r="F1064" s="75" t="n"/>
      <c r="G1064" s="75" t="n"/>
      <c r="H1064" s="75" t="n"/>
      <c r="I1064" s="75" t="n"/>
      <c r="J1064" s="75" t="n"/>
      <c r="K1064" s="75" t="n"/>
      <c r="L1064" s="75" t="n"/>
      <c r="M1064" s="75" t="n"/>
      <c r="N1064" s="75" t="n"/>
      <c r="O1064" s="75" t="n"/>
      <c r="P1064" s="75" t="n"/>
      <c r="Q1064" s="75" t="n"/>
      <c r="R1064" s="75" t="n"/>
      <c r="S1064" s="75" t="n"/>
      <c r="T1064" s="75" t="n"/>
      <c r="U1064" s="75" t="n"/>
      <c r="V1064" s="75" t="n"/>
      <c r="W1064" s="75" t="n"/>
      <c r="X1064" s="75" t="n"/>
      <c r="Y1064" s="226">
        <f>IF(AND(A1064="",B1064=""),"",IF(AND(A1064&lt;&gt;"",B1064&lt;&gt;"",C1064&lt;&gt;"",D1064&lt;&gt;"",F1064&lt;&gt;"",G1064&lt;&gt;"",H1064&lt;&gt;"",ISERROR(SEARCH("по паспорту",G1064)),ISERROR(SEARCH("по паспорту",H1064)),I1064&lt;&gt;"",J1064&lt;&gt;"",K1064&lt;&gt;"",L1064&lt;&gt;"",M1064&lt;&gt;""),"ГОТОВО","НЕ ГОТОВО"))</f>
        <v/>
      </c>
      <c r="Z1064" s="226">
        <f>IF(Y1064&lt;&gt;"ГОТОВО","", "Предварительное заключение: "&amp;A1064&amp;", скв. "&amp;B1064&amp;". МРП: "&amp;E1064&amp;" сут. ГНО: "&amp;F1064&amp;", типоразмер "&amp;G1064&amp;", марка "&amp;H1064&amp;". Событие: "&amp;I1064&amp;". Признак: "&amp;J1064&amp;". Узел: "&amp;K1064&amp;". Предварительная причина: "&amp;L1064&amp;". Основное осложнение: "&amp;M1064&amp;IF(N1064&lt;&gt;"","; сопутствующее: "&amp;N1064,"")&amp;IF(O1064&lt;&gt;"","; дополнительно: "&amp;O1064,"")&amp;".")</f>
        <v/>
      </c>
    </row>
    <row r="1065">
      <c r="A1065" s="75" t="n"/>
      <c r="B1065" s="75" t="n"/>
      <c r="C1065" s="261" t="n"/>
      <c r="D1065" s="261" t="n"/>
      <c r="E1065" s="262">
        <f>IF(OR(C1065="",D1065=""),"",D1065-C1065)</f>
        <v/>
      </c>
      <c r="F1065" s="75" t="n"/>
      <c r="G1065" s="75" t="n"/>
      <c r="H1065" s="75" t="n"/>
      <c r="I1065" s="75" t="n"/>
      <c r="J1065" s="75" t="n"/>
      <c r="K1065" s="75" t="n"/>
      <c r="L1065" s="75" t="n"/>
      <c r="M1065" s="75" t="n"/>
      <c r="N1065" s="75" t="n"/>
      <c r="O1065" s="75" t="n"/>
      <c r="P1065" s="75" t="n"/>
      <c r="Q1065" s="75" t="n"/>
      <c r="R1065" s="75" t="n"/>
      <c r="S1065" s="75" t="n"/>
      <c r="T1065" s="75" t="n"/>
      <c r="U1065" s="75" t="n"/>
      <c r="V1065" s="75" t="n"/>
      <c r="W1065" s="75" t="n"/>
      <c r="X1065" s="75" t="n"/>
      <c r="Y1065" s="226">
        <f>IF(AND(A1065="",B1065=""),"",IF(AND(A1065&lt;&gt;"",B1065&lt;&gt;"",C1065&lt;&gt;"",D1065&lt;&gt;"",F1065&lt;&gt;"",G1065&lt;&gt;"",H1065&lt;&gt;"",ISERROR(SEARCH("по паспорту",G1065)),ISERROR(SEARCH("по паспорту",H1065)),I1065&lt;&gt;"",J1065&lt;&gt;"",K1065&lt;&gt;"",L1065&lt;&gt;"",M1065&lt;&gt;""),"ГОТОВО","НЕ ГОТОВО"))</f>
        <v/>
      </c>
      <c r="Z1065" s="226">
        <f>IF(Y1065&lt;&gt;"ГОТОВО","", "Предварительное заключение: "&amp;A1065&amp;", скв. "&amp;B1065&amp;". МРП: "&amp;E1065&amp;" сут. ГНО: "&amp;F1065&amp;", типоразмер "&amp;G1065&amp;", марка "&amp;H1065&amp;". Событие: "&amp;I1065&amp;". Признак: "&amp;J1065&amp;". Узел: "&amp;K1065&amp;". Предварительная причина: "&amp;L1065&amp;". Основное осложнение: "&amp;M1065&amp;IF(N1065&lt;&gt;"","; сопутствующее: "&amp;N1065,"")&amp;IF(O1065&lt;&gt;"","; дополнительно: "&amp;O1065,"")&amp;".")</f>
        <v/>
      </c>
    </row>
    <row r="1066">
      <c r="A1066" s="75" t="n"/>
      <c r="B1066" s="75" t="n"/>
      <c r="C1066" s="261" t="n"/>
      <c r="D1066" s="261" t="n"/>
      <c r="E1066" s="262">
        <f>IF(OR(C1066="",D1066=""),"",D1066-C1066)</f>
        <v/>
      </c>
      <c r="F1066" s="75" t="n"/>
      <c r="G1066" s="75" t="n"/>
      <c r="H1066" s="75" t="n"/>
      <c r="I1066" s="75" t="n"/>
      <c r="J1066" s="75" t="n"/>
      <c r="K1066" s="75" t="n"/>
      <c r="L1066" s="75" t="n"/>
      <c r="M1066" s="75" t="n"/>
      <c r="N1066" s="75" t="n"/>
      <c r="O1066" s="75" t="n"/>
      <c r="P1066" s="75" t="n"/>
      <c r="Q1066" s="75" t="n"/>
      <c r="R1066" s="75" t="n"/>
      <c r="S1066" s="75" t="n"/>
      <c r="T1066" s="75" t="n"/>
      <c r="U1066" s="75" t="n"/>
      <c r="V1066" s="75" t="n"/>
      <c r="W1066" s="75" t="n"/>
      <c r="X1066" s="75" t="n"/>
      <c r="Y1066" s="226">
        <f>IF(AND(A1066="",B1066=""),"",IF(AND(A1066&lt;&gt;"",B1066&lt;&gt;"",C1066&lt;&gt;"",D1066&lt;&gt;"",F1066&lt;&gt;"",G1066&lt;&gt;"",H1066&lt;&gt;"",ISERROR(SEARCH("по паспорту",G1066)),ISERROR(SEARCH("по паспорту",H1066)),I1066&lt;&gt;"",J1066&lt;&gt;"",K1066&lt;&gt;"",L1066&lt;&gt;"",M1066&lt;&gt;""),"ГОТОВО","НЕ ГОТОВО"))</f>
        <v/>
      </c>
      <c r="Z1066" s="226">
        <f>IF(Y1066&lt;&gt;"ГОТОВО","", "Предварительное заключение: "&amp;A1066&amp;", скв. "&amp;B1066&amp;". МРП: "&amp;E1066&amp;" сут. ГНО: "&amp;F1066&amp;", типоразмер "&amp;G1066&amp;", марка "&amp;H1066&amp;". Событие: "&amp;I1066&amp;". Признак: "&amp;J1066&amp;". Узел: "&amp;K1066&amp;". Предварительная причина: "&amp;L1066&amp;". Основное осложнение: "&amp;M1066&amp;IF(N1066&lt;&gt;"","; сопутствующее: "&amp;N1066,"")&amp;IF(O1066&lt;&gt;"","; дополнительно: "&amp;O1066,"")&amp;".")</f>
        <v/>
      </c>
    </row>
    <row r="1067">
      <c r="A1067" s="75" t="n"/>
      <c r="B1067" s="75" t="n"/>
      <c r="C1067" s="261" t="n"/>
      <c r="D1067" s="261" t="n"/>
      <c r="E1067" s="262">
        <f>IF(OR(C1067="",D1067=""),"",D1067-C1067)</f>
        <v/>
      </c>
      <c r="F1067" s="75" t="n"/>
      <c r="G1067" s="75" t="n"/>
      <c r="H1067" s="75" t="n"/>
      <c r="I1067" s="75" t="n"/>
      <c r="J1067" s="75" t="n"/>
      <c r="K1067" s="75" t="n"/>
      <c r="L1067" s="75" t="n"/>
      <c r="M1067" s="75" t="n"/>
      <c r="N1067" s="75" t="n"/>
      <c r="O1067" s="75" t="n"/>
      <c r="P1067" s="75" t="n"/>
      <c r="Q1067" s="75" t="n"/>
      <c r="R1067" s="75" t="n"/>
      <c r="S1067" s="75" t="n"/>
      <c r="T1067" s="75" t="n"/>
      <c r="U1067" s="75" t="n"/>
      <c r="V1067" s="75" t="n"/>
      <c r="W1067" s="75" t="n"/>
      <c r="X1067" s="75" t="n"/>
      <c r="Y1067" s="226">
        <f>IF(AND(A1067="",B1067=""),"",IF(AND(A1067&lt;&gt;"",B1067&lt;&gt;"",C1067&lt;&gt;"",D1067&lt;&gt;"",F1067&lt;&gt;"",G1067&lt;&gt;"",H1067&lt;&gt;"",ISERROR(SEARCH("по паспорту",G1067)),ISERROR(SEARCH("по паспорту",H1067)),I1067&lt;&gt;"",J1067&lt;&gt;"",K1067&lt;&gt;"",L1067&lt;&gt;"",M1067&lt;&gt;""),"ГОТОВО","НЕ ГОТОВО"))</f>
        <v/>
      </c>
      <c r="Z1067" s="226">
        <f>IF(Y1067&lt;&gt;"ГОТОВО","", "Предварительное заключение: "&amp;A1067&amp;", скв. "&amp;B1067&amp;". МРП: "&amp;E1067&amp;" сут. ГНО: "&amp;F1067&amp;", типоразмер "&amp;G1067&amp;", марка "&amp;H1067&amp;". Событие: "&amp;I1067&amp;". Признак: "&amp;J1067&amp;". Узел: "&amp;K1067&amp;". Предварительная причина: "&amp;L1067&amp;". Основное осложнение: "&amp;M1067&amp;IF(N1067&lt;&gt;"","; сопутствующее: "&amp;N1067,"")&amp;IF(O1067&lt;&gt;"","; дополнительно: "&amp;O1067,"")&amp;".")</f>
        <v/>
      </c>
    </row>
    <row r="1068">
      <c r="A1068" s="75" t="n"/>
      <c r="B1068" s="75" t="n"/>
      <c r="C1068" s="261" t="n"/>
      <c r="D1068" s="261" t="n"/>
      <c r="E1068" s="262">
        <f>IF(OR(C1068="",D1068=""),"",D1068-C1068)</f>
        <v/>
      </c>
      <c r="F1068" s="75" t="n"/>
      <c r="G1068" s="75" t="n"/>
      <c r="H1068" s="75" t="n"/>
      <c r="I1068" s="75" t="n"/>
      <c r="J1068" s="75" t="n"/>
      <c r="K1068" s="75" t="n"/>
      <c r="L1068" s="75" t="n"/>
      <c r="M1068" s="75" t="n"/>
      <c r="N1068" s="75" t="n"/>
      <c r="O1068" s="75" t="n"/>
      <c r="P1068" s="75" t="n"/>
      <c r="Q1068" s="75" t="n"/>
      <c r="R1068" s="75" t="n"/>
      <c r="S1068" s="75" t="n"/>
      <c r="T1068" s="75" t="n"/>
      <c r="U1068" s="75" t="n"/>
      <c r="V1068" s="75" t="n"/>
      <c r="W1068" s="75" t="n"/>
      <c r="X1068" s="75" t="n"/>
      <c r="Y1068" s="226">
        <f>IF(AND(A1068="",B1068=""),"",IF(AND(A1068&lt;&gt;"",B1068&lt;&gt;"",C1068&lt;&gt;"",D1068&lt;&gt;"",F1068&lt;&gt;"",G1068&lt;&gt;"",H1068&lt;&gt;"",ISERROR(SEARCH("по паспорту",G1068)),ISERROR(SEARCH("по паспорту",H1068)),I1068&lt;&gt;"",J1068&lt;&gt;"",K1068&lt;&gt;"",L1068&lt;&gt;"",M1068&lt;&gt;""),"ГОТОВО","НЕ ГОТОВО"))</f>
        <v/>
      </c>
      <c r="Z1068" s="226">
        <f>IF(Y1068&lt;&gt;"ГОТОВО","", "Предварительное заключение: "&amp;A1068&amp;", скв. "&amp;B1068&amp;". МРП: "&amp;E1068&amp;" сут. ГНО: "&amp;F1068&amp;", типоразмер "&amp;G1068&amp;", марка "&amp;H1068&amp;". Событие: "&amp;I1068&amp;". Признак: "&amp;J1068&amp;". Узел: "&amp;K1068&amp;". Предварительная причина: "&amp;L1068&amp;". Основное осложнение: "&amp;M1068&amp;IF(N1068&lt;&gt;"","; сопутствующее: "&amp;N1068,"")&amp;IF(O1068&lt;&gt;"","; дополнительно: "&amp;O1068,"")&amp;".")</f>
        <v/>
      </c>
    </row>
    <row r="1069">
      <c r="A1069" s="75" t="n"/>
      <c r="B1069" s="75" t="n"/>
      <c r="C1069" s="261" t="n"/>
      <c r="D1069" s="261" t="n"/>
      <c r="E1069" s="262">
        <f>IF(OR(C1069="",D1069=""),"",D1069-C1069)</f>
        <v/>
      </c>
      <c r="F1069" s="75" t="n"/>
      <c r="G1069" s="75" t="n"/>
      <c r="H1069" s="75" t="n"/>
      <c r="I1069" s="75" t="n"/>
      <c r="J1069" s="75" t="n"/>
      <c r="K1069" s="75" t="n"/>
      <c r="L1069" s="75" t="n"/>
      <c r="M1069" s="75" t="n"/>
      <c r="N1069" s="75" t="n"/>
      <c r="O1069" s="75" t="n"/>
      <c r="P1069" s="75" t="n"/>
      <c r="Q1069" s="75" t="n"/>
      <c r="R1069" s="75" t="n"/>
      <c r="S1069" s="75" t="n"/>
      <c r="T1069" s="75" t="n"/>
      <c r="U1069" s="75" t="n"/>
      <c r="V1069" s="75" t="n"/>
      <c r="W1069" s="75" t="n"/>
      <c r="X1069" s="75" t="n"/>
      <c r="Y1069" s="226">
        <f>IF(AND(A1069="",B1069=""),"",IF(AND(A1069&lt;&gt;"",B1069&lt;&gt;"",C1069&lt;&gt;"",D1069&lt;&gt;"",F1069&lt;&gt;"",G1069&lt;&gt;"",H1069&lt;&gt;"",ISERROR(SEARCH("по паспорту",G1069)),ISERROR(SEARCH("по паспорту",H1069)),I1069&lt;&gt;"",J1069&lt;&gt;"",K1069&lt;&gt;"",L1069&lt;&gt;"",M1069&lt;&gt;""),"ГОТОВО","НЕ ГОТОВО"))</f>
        <v/>
      </c>
      <c r="Z1069" s="226">
        <f>IF(Y1069&lt;&gt;"ГОТОВО","", "Предварительное заключение: "&amp;A1069&amp;", скв. "&amp;B1069&amp;". МРП: "&amp;E1069&amp;" сут. ГНО: "&amp;F1069&amp;", типоразмер "&amp;G1069&amp;", марка "&amp;H1069&amp;". Событие: "&amp;I1069&amp;". Признак: "&amp;J1069&amp;". Узел: "&amp;K1069&amp;". Предварительная причина: "&amp;L1069&amp;". Основное осложнение: "&amp;M1069&amp;IF(N1069&lt;&gt;"","; сопутствующее: "&amp;N1069,"")&amp;IF(O1069&lt;&gt;"","; дополнительно: "&amp;O1069,"")&amp;".")</f>
        <v/>
      </c>
    </row>
    <row r="1070">
      <c r="A1070" s="75" t="n"/>
      <c r="B1070" s="75" t="n"/>
      <c r="C1070" s="261" t="n"/>
      <c r="D1070" s="261" t="n"/>
      <c r="E1070" s="262">
        <f>IF(OR(C1070="",D1070=""),"",D1070-C1070)</f>
        <v/>
      </c>
      <c r="F1070" s="75" t="n"/>
      <c r="G1070" s="75" t="n"/>
      <c r="H1070" s="75" t="n"/>
      <c r="I1070" s="75" t="n"/>
      <c r="J1070" s="75" t="n"/>
      <c r="K1070" s="75" t="n"/>
      <c r="L1070" s="75" t="n"/>
      <c r="M1070" s="75" t="n"/>
      <c r="N1070" s="75" t="n"/>
      <c r="O1070" s="75" t="n"/>
      <c r="P1070" s="75" t="n"/>
      <c r="Q1070" s="75" t="n"/>
      <c r="R1070" s="75" t="n"/>
      <c r="S1070" s="75" t="n"/>
      <c r="T1070" s="75" t="n"/>
      <c r="U1070" s="75" t="n"/>
      <c r="V1070" s="75" t="n"/>
      <c r="W1070" s="75" t="n"/>
      <c r="X1070" s="75" t="n"/>
      <c r="Y1070" s="226">
        <f>IF(AND(A1070="",B1070=""),"",IF(AND(A1070&lt;&gt;"",B1070&lt;&gt;"",C1070&lt;&gt;"",D1070&lt;&gt;"",F1070&lt;&gt;"",G1070&lt;&gt;"",H1070&lt;&gt;"",ISERROR(SEARCH("по паспорту",G1070)),ISERROR(SEARCH("по паспорту",H1070)),I1070&lt;&gt;"",J1070&lt;&gt;"",K1070&lt;&gt;"",L1070&lt;&gt;"",M1070&lt;&gt;""),"ГОТОВО","НЕ ГОТОВО"))</f>
        <v/>
      </c>
      <c r="Z1070" s="226">
        <f>IF(Y1070&lt;&gt;"ГОТОВО","", "Предварительное заключение: "&amp;A1070&amp;", скв. "&amp;B1070&amp;". МРП: "&amp;E1070&amp;" сут. ГНО: "&amp;F1070&amp;", типоразмер "&amp;G1070&amp;", марка "&amp;H1070&amp;". Событие: "&amp;I1070&amp;". Признак: "&amp;J1070&amp;". Узел: "&amp;K1070&amp;". Предварительная причина: "&amp;L1070&amp;". Основное осложнение: "&amp;M1070&amp;IF(N1070&lt;&gt;"","; сопутствующее: "&amp;N1070,"")&amp;IF(O1070&lt;&gt;"","; дополнительно: "&amp;O1070,"")&amp;".")</f>
        <v/>
      </c>
    </row>
    <row r="1071">
      <c r="A1071" s="75" t="n"/>
      <c r="B1071" s="75" t="n"/>
      <c r="C1071" s="261" t="n"/>
      <c r="D1071" s="261" t="n"/>
      <c r="E1071" s="262">
        <f>IF(OR(C1071="",D1071=""),"",D1071-C1071)</f>
        <v/>
      </c>
      <c r="F1071" s="75" t="n"/>
      <c r="G1071" s="75" t="n"/>
      <c r="H1071" s="75" t="n"/>
      <c r="I1071" s="75" t="n"/>
      <c r="J1071" s="75" t="n"/>
      <c r="K1071" s="75" t="n"/>
      <c r="L1071" s="75" t="n"/>
      <c r="M1071" s="75" t="n"/>
      <c r="N1071" s="75" t="n"/>
      <c r="O1071" s="75" t="n"/>
      <c r="P1071" s="75" t="n"/>
      <c r="Q1071" s="75" t="n"/>
      <c r="R1071" s="75" t="n"/>
      <c r="S1071" s="75" t="n"/>
      <c r="T1071" s="75" t="n"/>
      <c r="U1071" s="75" t="n"/>
      <c r="V1071" s="75" t="n"/>
      <c r="W1071" s="75" t="n"/>
      <c r="X1071" s="75" t="n"/>
      <c r="Y1071" s="226">
        <f>IF(AND(A1071="",B1071=""),"",IF(AND(A1071&lt;&gt;"",B1071&lt;&gt;"",C1071&lt;&gt;"",D1071&lt;&gt;"",F1071&lt;&gt;"",G1071&lt;&gt;"",H1071&lt;&gt;"",ISERROR(SEARCH("по паспорту",G1071)),ISERROR(SEARCH("по паспорту",H1071)),I1071&lt;&gt;"",J1071&lt;&gt;"",K1071&lt;&gt;"",L1071&lt;&gt;"",M1071&lt;&gt;""),"ГОТОВО","НЕ ГОТОВО"))</f>
        <v/>
      </c>
      <c r="Z1071" s="226">
        <f>IF(Y1071&lt;&gt;"ГОТОВО","", "Предварительное заключение: "&amp;A1071&amp;", скв. "&amp;B1071&amp;". МРП: "&amp;E1071&amp;" сут. ГНО: "&amp;F1071&amp;", типоразмер "&amp;G1071&amp;", марка "&amp;H1071&amp;". Событие: "&amp;I1071&amp;". Признак: "&amp;J1071&amp;". Узел: "&amp;K1071&amp;". Предварительная причина: "&amp;L1071&amp;". Основное осложнение: "&amp;M1071&amp;IF(N1071&lt;&gt;"","; сопутствующее: "&amp;N1071,"")&amp;IF(O1071&lt;&gt;"","; дополнительно: "&amp;O1071,"")&amp;".")</f>
        <v/>
      </c>
    </row>
    <row r="1072">
      <c r="A1072" s="75" t="n"/>
      <c r="B1072" s="75" t="n"/>
      <c r="C1072" s="261" t="n"/>
      <c r="D1072" s="261" t="n"/>
      <c r="E1072" s="262">
        <f>IF(OR(C1072="",D1072=""),"",D1072-C1072)</f>
        <v/>
      </c>
      <c r="F1072" s="75" t="n"/>
      <c r="G1072" s="75" t="n"/>
      <c r="H1072" s="75" t="n"/>
      <c r="I1072" s="75" t="n"/>
      <c r="J1072" s="75" t="n"/>
      <c r="K1072" s="75" t="n"/>
      <c r="L1072" s="75" t="n"/>
      <c r="M1072" s="75" t="n"/>
      <c r="N1072" s="75" t="n"/>
      <c r="O1072" s="75" t="n"/>
      <c r="P1072" s="75" t="n"/>
      <c r="Q1072" s="75" t="n"/>
      <c r="R1072" s="75" t="n"/>
      <c r="S1072" s="75" t="n"/>
      <c r="T1072" s="75" t="n"/>
      <c r="U1072" s="75" t="n"/>
      <c r="V1072" s="75" t="n"/>
      <c r="W1072" s="75" t="n"/>
      <c r="X1072" s="75" t="n"/>
      <c r="Y1072" s="226">
        <f>IF(AND(A1072="",B1072=""),"",IF(AND(A1072&lt;&gt;"",B1072&lt;&gt;"",C1072&lt;&gt;"",D1072&lt;&gt;"",F1072&lt;&gt;"",G1072&lt;&gt;"",H1072&lt;&gt;"",ISERROR(SEARCH("по паспорту",G1072)),ISERROR(SEARCH("по паспорту",H1072)),I1072&lt;&gt;"",J1072&lt;&gt;"",K1072&lt;&gt;"",L1072&lt;&gt;"",M1072&lt;&gt;""),"ГОТОВО","НЕ ГОТОВО"))</f>
        <v/>
      </c>
      <c r="Z1072" s="226">
        <f>IF(Y1072&lt;&gt;"ГОТОВО","", "Предварительное заключение: "&amp;A1072&amp;", скв. "&amp;B1072&amp;". МРП: "&amp;E1072&amp;" сут. ГНО: "&amp;F1072&amp;", типоразмер "&amp;G1072&amp;", марка "&amp;H1072&amp;". Событие: "&amp;I1072&amp;". Признак: "&amp;J1072&amp;". Узел: "&amp;K1072&amp;". Предварительная причина: "&amp;L1072&amp;". Основное осложнение: "&amp;M1072&amp;IF(N1072&lt;&gt;"","; сопутствующее: "&amp;N1072,"")&amp;IF(O1072&lt;&gt;"","; дополнительно: "&amp;O1072,"")&amp;".")</f>
        <v/>
      </c>
    </row>
    <row r="1073">
      <c r="A1073" s="75" t="n"/>
      <c r="B1073" s="75" t="n"/>
      <c r="C1073" s="261" t="n"/>
      <c r="D1073" s="261" t="n"/>
      <c r="E1073" s="262">
        <f>IF(OR(C1073="",D1073=""),"",D1073-C1073)</f>
        <v/>
      </c>
      <c r="F1073" s="75" t="n"/>
      <c r="G1073" s="75" t="n"/>
      <c r="H1073" s="75" t="n"/>
      <c r="I1073" s="75" t="n"/>
      <c r="J1073" s="75" t="n"/>
      <c r="K1073" s="75" t="n"/>
      <c r="L1073" s="75" t="n"/>
      <c r="M1073" s="75" t="n"/>
      <c r="N1073" s="75" t="n"/>
      <c r="O1073" s="75" t="n"/>
      <c r="P1073" s="75" t="n"/>
      <c r="Q1073" s="75" t="n"/>
      <c r="R1073" s="75" t="n"/>
      <c r="S1073" s="75" t="n"/>
      <c r="T1073" s="75" t="n"/>
      <c r="U1073" s="75" t="n"/>
      <c r="V1073" s="75" t="n"/>
      <c r="W1073" s="75" t="n"/>
      <c r="X1073" s="75" t="n"/>
      <c r="Y1073" s="226">
        <f>IF(AND(A1073="",B1073=""),"",IF(AND(A1073&lt;&gt;"",B1073&lt;&gt;"",C1073&lt;&gt;"",D1073&lt;&gt;"",F1073&lt;&gt;"",G1073&lt;&gt;"",H1073&lt;&gt;"",ISERROR(SEARCH("по паспорту",G1073)),ISERROR(SEARCH("по паспорту",H1073)),I1073&lt;&gt;"",J1073&lt;&gt;"",K1073&lt;&gt;"",L1073&lt;&gt;"",M1073&lt;&gt;""),"ГОТОВО","НЕ ГОТОВО"))</f>
        <v/>
      </c>
      <c r="Z1073" s="226">
        <f>IF(Y1073&lt;&gt;"ГОТОВО","", "Предварительное заключение: "&amp;A1073&amp;", скв. "&amp;B1073&amp;". МРП: "&amp;E1073&amp;" сут. ГНО: "&amp;F1073&amp;", типоразмер "&amp;G1073&amp;", марка "&amp;H1073&amp;". Событие: "&amp;I1073&amp;". Признак: "&amp;J1073&amp;". Узел: "&amp;K1073&amp;". Предварительная причина: "&amp;L1073&amp;". Основное осложнение: "&amp;M1073&amp;IF(N1073&lt;&gt;"","; сопутствующее: "&amp;N1073,"")&amp;IF(O1073&lt;&gt;"","; дополнительно: "&amp;O1073,"")&amp;".")</f>
        <v/>
      </c>
    </row>
    <row r="1074">
      <c r="A1074" s="75" t="n"/>
      <c r="B1074" s="75" t="n"/>
      <c r="C1074" s="261" t="n"/>
      <c r="D1074" s="261" t="n"/>
      <c r="E1074" s="262">
        <f>IF(OR(C1074="",D1074=""),"",D1074-C1074)</f>
        <v/>
      </c>
      <c r="F1074" s="75" t="n"/>
      <c r="G1074" s="75" t="n"/>
      <c r="H1074" s="75" t="n"/>
      <c r="I1074" s="75" t="n"/>
      <c r="J1074" s="75" t="n"/>
      <c r="K1074" s="75" t="n"/>
      <c r="L1074" s="75" t="n"/>
      <c r="M1074" s="75" t="n"/>
      <c r="N1074" s="75" t="n"/>
      <c r="O1074" s="75" t="n"/>
      <c r="P1074" s="75" t="n"/>
      <c r="Q1074" s="75" t="n"/>
      <c r="R1074" s="75" t="n"/>
      <c r="S1074" s="75" t="n"/>
      <c r="T1074" s="75" t="n"/>
      <c r="U1074" s="75" t="n"/>
      <c r="V1074" s="75" t="n"/>
      <c r="W1074" s="75" t="n"/>
      <c r="X1074" s="75" t="n"/>
      <c r="Y1074" s="226">
        <f>IF(AND(A1074="",B1074=""),"",IF(AND(A1074&lt;&gt;"",B1074&lt;&gt;"",C1074&lt;&gt;"",D1074&lt;&gt;"",F1074&lt;&gt;"",G1074&lt;&gt;"",H1074&lt;&gt;"",ISERROR(SEARCH("по паспорту",G1074)),ISERROR(SEARCH("по паспорту",H1074)),I1074&lt;&gt;"",J1074&lt;&gt;"",K1074&lt;&gt;"",L1074&lt;&gt;"",M1074&lt;&gt;""),"ГОТОВО","НЕ ГОТОВО"))</f>
        <v/>
      </c>
      <c r="Z1074" s="226">
        <f>IF(Y1074&lt;&gt;"ГОТОВО","", "Предварительное заключение: "&amp;A1074&amp;", скв. "&amp;B1074&amp;". МРП: "&amp;E1074&amp;" сут. ГНО: "&amp;F1074&amp;", типоразмер "&amp;G1074&amp;", марка "&amp;H1074&amp;". Событие: "&amp;I1074&amp;". Признак: "&amp;J1074&amp;". Узел: "&amp;K1074&amp;". Предварительная причина: "&amp;L1074&amp;". Основное осложнение: "&amp;M1074&amp;IF(N1074&lt;&gt;"","; сопутствующее: "&amp;N1074,"")&amp;IF(O1074&lt;&gt;"","; дополнительно: "&amp;O1074,"")&amp;".")</f>
        <v/>
      </c>
    </row>
    <row r="1075">
      <c r="A1075" s="75" t="n"/>
      <c r="B1075" s="75" t="n"/>
      <c r="C1075" s="261" t="n"/>
      <c r="D1075" s="261" t="n"/>
      <c r="E1075" s="262">
        <f>IF(OR(C1075="",D1075=""),"",D1075-C1075)</f>
        <v/>
      </c>
      <c r="F1075" s="75" t="n"/>
      <c r="G1075" s="75" t="n"/>
      <c r="H1075" s="75" t="n"/>
      <c r="I1075" s="75" t="n"/>
      <c r="J1075" s="75" t="n"/>
      <c r="K1075" s="75" t="n"/>
      <c r="L1075" s="75" t="n"/>
      <c r="M1075" s="75" t="n"/>
      <c r="N1075" s="75" t="n"/>
      <c r="O1075" s="75" t="n"/>
      <c r="P1075" s="75" t="n"/>
      <c r="Q1075" s="75" t="n"/>
      <c r="R1075" s="75" t="n"/>
      <c r="S1075" s="75" t="n"/>
      <c r="T1075" s="75" t="n"/>
      <c r="U1075" s="75" t="n"/>
      <c r="V1075" s="75" t="n"/>
      <c r="W1075" s="75" t="n"/>
      <c r="X1075" s="75" t="n"/>
      <c r="Y1075" s="226">
        <f>IF(AND(A1075="",B1075=""),"",IF(AND(A1075&lt;&gt;"",B1075&lt;&gt;"",C1075&lt;&gt;"",D1075&lt;&gt;"",F1075&lt;&gt;"",G1075&lt;&gt;"",H1075&lt;&gt;"",ISERROR(SEARCH("по паспорту",G1075)),ISERROR(SEARCH("по паспорту",H1075)),I1075&lt;&gt;"",J1075&lt;&gt;"",K1075&lt;&gt;"",L1075&lt;&gt;"",M1075&lt;&gt;""),"ГОТОВО","НЕ ГОТОВО"))</f>
        <v/>
      </c>
      <c r="Z1075" s="226">
        <f>IF(Y1075&lt;&gt;"ГОТОВО","", "Предварительное заключение: "&amp;A1075&amp;", скв. "&amp;B1075&amp;". МРП: "&amp;E1075&amp;" сут. ГНО: "&amp;F1075&amp;", типоразмер "&amp;G1075&amp;", марка "&amp;H1075&amp;". Событие: "&amp;I1075&amp;". Признак: "&amp;J1075&amp;". Узел: "&amp;K1075&amp;". Предварительная причина: "&amp;L1075&amp;". Основное осложнение: "&amp;M1075&amp;IF(N1075&lt;&gt;"","; сопутствующее: "&amp;N1075,"")&amp;IF(O1075&lt;&gt;"","; дополнительно: "&amp;O1075,"")&amp;".")</f>
        <v/>
      </c>
    </row>
    <row r="1076">
      <c r="A1076" s="75" t="n"/>
      <c r="B1076" s="75" t="n"/>
      <c r="C1076" s="261" t="n"/>
      <c r="D1076" s="261" t="n"/>
      <c r="E1076" s="262">
        <f>IF(OR(C1076="",D1076=""),"",D1076-C1076)</f>
        <v/>
      </c>
      <c r="F1076" s="75" t="n"/>
      <c r="G1076" s="75" t="n"/>
      <c r="H1076" s="75" t="n"/>
      <c r="I1076" s="75" t="n"/>
      <c r="J1076" s="75" t="n"/>
      <c r="K1076" s="75" t="n"/>
      <c r="L1076" s="75" t="n"/>
      <c r="M1076" s="75" t="n"/>
      <c r="N1076" s="75" t="n"/>
      <c r="O1076" s="75" t="n"/>
      <c r="P1076" s="75" t="n"/>
      <c r="Q1076" s="75" t="n"/>
      <c r="R1076" s="75" t="n"/>
      <c r="S1076" s="75" t="n"/>
      <c r="T1076" s="75" t="n"/>
      <c r="U1076" s="75" t="n"/>
      <c r="V1076" s="75" t="n"/>
      <c r="W1076" s="75" t="n"/>
      <c r="X1076" s="75" t="n"/>
      <c r="Y1076" s="226">
        <f>IF(AND(A1076="",B1076=""),"",IF(AND(A1076&lt;&gt;"",B1076&lt;&gt;"",C1076&lt;&gt;"",D1076&lt;&gt;"",F1076&lt;&gt;"",G1076&lt;&gt;"",H1076&lt;&gt;"",ISERROR(SEARCH("по паспорту",G1076)),ISERROR(SEARCH("по паспорту",H1076)),I1076&lt;&gt;"",J1076&lt;&gt;"",K1076&lt;&gt;"",L1076&lt;&gt;"",M1076&lt;&gt;""),"ГОТОВО","НЕ ГОТОВО"))</f>
        <v/>
      </c>
      <c r="Z1076" s="226">
        <f>IF(Y1076&lt;&gt;"ГОТОВО","", "Предварительное заключение: "&amp;A1076&amp;", скв. "&amp;B1076&amp;". МРП: "&amp;E1076&amp;" сут. ГНО: "&amp;F1076&amp;", типоразмер "&amp;G1076&amp;", марка "&amp;H1076&amp;". Событие: "&amp;I1076&amp;". Признак: "&amp;J1076&amp;". Узел: "&amp;K1076&amp;". Предварительная причина: "&amp;L1076&amp;". Основное осложнение: "&amp;M1076&amp;IF(N1076&lt;&gt;"","; сопутствующее: "&amp;N1076,"")&amp;IF(O1076&lt;&gt;"","; дополнительно: "&amp;O1076,"")&amp;".")</f>
        <v/>
      </c>
    </row>
    <row r="1077">
      <c r="A1077" s="75" t="n"/>
      <c r="B1077" s="75" t="n"/>
      <c r="C1077" s="261" t="n"/>
      <c r="D1077" s="261" t="n"/>
      <c r="E1077" s="262">
        <f>IF(OR(C1077="",D1077=""),"",D1077-C1077)</f>
        <v/>
      </c>
      <c r="F1077" s="75" t="n"/>
      <c r="G1077" s="75" t="n"/>
      <c r="H1077" s="75" t="n"/>
      <c r="I1077" s="75" t="n"/>
      <c r="J1077" s="75" t="n"/>
      <c r="K1077" s="75" t="n"/>
      <c r="L1077" s="75" t="n"/>
      <c r="M1077" s="75" t="n"/>
      <c r="N1077" s="75" t="n"/>
      <c r="O1077" s="75" t="n"/>
      <c r="P1077" s="75" t="n"/>
      <c r="Q1077" s="75" t="n"/>
      <c r="R1077" s="75" t="n"/>
      <c r="S1077" s="75" t="n"/>
      <c r="T1077" s="75" t="n"/>
      <c r="U1077" s="75" t="n"/>
      <c r="V1077" s="75" t="n"/>
      <c r="W1077" s="75" t="n"/>
      <c r="X1077" s="75" t="n"/>
      <c r="Y1077" s="226">
        <f>IF(AND(A1077="",B1077=""),"",IF(AND(A1077&lt;&gt;"",B1077&lt;&gt;"",C1077&lt;&gt;"",D1077&lt;&gt;"",F1077&lt;&gt;"",G1077&lt;&gt;"",H1077&lt;&gt;"",ISERROR(SEARCH("по паспорту",G1077)),ISERROR(SEARCH("по паспорту",H1077)),I1077&lt;&gt;"",J1077&lt;&gt;"",K1077&lt;&gt;"",L1077&lt;&gt;"",M1077&lt;&gt;""),"ГОТОВО","НЕ ГОТОВО"))</f>
        <v/>
      </c>
      <c r="Z1077" s="226">
        <f>IF(Y1077&lt;&gt;"ГОТОВО","", "Предварительное заключение: "&amp;A1077&amp;", скв. "&amp;B1077&amp;". МРП: "&amp;E1077&amp;" сут. ГНО: "&amp;F1077&amp;", типоразмер "&amp;G1077&amp;", марка "&amp;H1077&amp;". Событие: "&amp;I1077&amp;". Признак: "&amp;J1077&amp;". Узел: "&amp;K1077&amp;". Предварительная причина: "&amp;L1077&amp;". Основное осложнение: "&amp;M1077&amp;IF(N1077&lt;&gt;"","; сопутствующее: "&amp;N1077,"")&amp;IF(O1077&lt;&gt;"","; дополнительно: "&amp;O1077,"")&amp;".")</f>
        <v/>
      </c>
    </row>
    <row r="1078">
      <c r="A1078" s="75" t="n"/>
      <c r="B1078" s="75" t="n"/>
      <c r="C1078" s="261" t="n"/>
      <c r="D1078" s="261" t="n"/>
      <c r="E1078" s="262">
        <f>IF(OR(C1078="",D1078=""),"",D1078-C1078)</f>
        <v/>
      </c>
      <c r="F1078" s="75" t="n"/>
      <c r="G1078" s="75" t="n"/>
      <c r="H1078" s="75" t="n"/>
      <c r="I1078" s="75" t="n"/>
      <c r="J1078" s="75" t="n"/>
      <c r="K1078" s="75" t="n"/>
      <c r="L1078" s="75" t="n"/>
      <c r="M1078" s="75" t="n"/>
      <c r="N1078" s="75" t="n"/>
      <c r="O1078" s="75" t="n"/>
      <c r="P1078" s="75" t="n"/>
      <c r="Q1078" s="75" t="n"/>
      <c r="R1078" s="75" t="n"/>
      <c r="S1078" s="75" t="n"/>
      <c r="T1078" s="75" t="n"/>
      <c r="U1078" s="75" t="n"/>
      <c r="V1078" s="75" t="n"/>
      <c r="W1078" s="75" t="n"/>
      <c r="X1078" s="75" t="n"/>
      <c r="Y1078" s="226">
        <f>IF(AND(A1078="",B1078=""),"",IF(AND(A1078&lt;&gt;"",B1078&lt;&gt;"",C1078&lt;&gt;"",D1078&lt;&gt;"",F1078&lt;&gt;"",G1078&lt;&gt;"",H1078&lt;&gt;"",ISERROR(SEARCH("по паспорту",G1078)),ISERROR(SEARCH("по паспорту",H1078)),I1078&lt;&gt;"",J1078&lt;&gt;"",K1078&lt;&gt;"",L1078&lt;&gt;"",M1078&lt;&gt;""),"ГОТОВО","НЕ ГОТОВО"))</f>
        <v/>
      </c>
      <c r="Z1078" s="226">
        <f>IF(Y1078&lt;&gt;"ГОТОВО","", "Предварительное заключение: "&amp;A1078&amp;", скв. "&amp;B1078&amp;". МРП: "&amp;E1078&amp;" сут. ГНО: "&amp;F1078&amp;", типоразмер "&amp;G1078&amp;", марка "&amp;H1078&amp;". Событие: "&amp;I1078&amp;". Признак: "&amp;J1078&amp;". Узел: "&amp;K1078&amp;". Предварительная причина: "&amp;L1078&amp;". Основное осложнение: "&amp;M1078&amp;IF(N1078&lt;&gt;"","; сопутствующее: "&amp;N1078,"")&amp;IF(O1078&lt;&gt;"","; дополнительно: "&amp;O1078,"")&amp;".")</f>
        <v/>
      </c>
    </row>
    <row r="1079">
      <c r="A1079" s="75" t="n"/>
      <c r="B1079" s="75" t="n"/>
      <c r="C1079" s="261" t="n"/>
      <c r="D1079" s="261" t="n"/>
      <c r="E1079" s="262">
        <f>IF(OR(C1079="",D1079=""),"",D1079-C1079)</f>
        <v/>
      </c>
      <c r="F1079" s="75" t="n"/>
      <c r="G1079" s="75" t="n"/>
      <c r="H1079" s="75" t="n"/>
      <c r="I1079" s="75" t="n"/>
      <c r="J1079" s="75" t="n"/>
      <c r="K1079" s="75" t="n"/>
      <c r="L1079" s="75" t="n"/>
      <c r="M1079" s="75" t="n"/>
      <c r="N1079" s="75" t="n"/>
      <c r="O1079" s="75" t="n"/>
      <c r="P1079" s="75" t="n"/>
      <c r="Q1079" s="75" t="n"/>
      <c r="R1079" s="75" t="n"/>
      <c r="S1079" s="75" t="n"/>
      <c r="T1079" s="75" t="n"/>
      <c r="U1079" s="75" t="n"/>
      <c r="V1079" s="75" t="n"/>
      <c r="W1079" s="75" t="n"/>
      <c r="X1079" s="75" t="n"/>
      <c r="Y1079" s="226">
        <f>IF(AND(A1079="",B1079=""),"",IF(AND(A1079&lt;&gt;"",B1079&lt;&gt;"",C1079&lt;&gt;"",D1079&lt;&gt;"",F1079&lt;&gt;"",G1079&lt;&gt;"",H1079&lt;&gt;"",ISERROR(SEARCH("по паспорту",G1079)),ISERROR(SEARCH("по паспорту",H1079)),I1079&lt;&gt;"",J1079&lt;&gt;"",K1079&lt;&gt;"",L1079&lt;&gt;"",M1079&lt;&gt;""),"ГОТОВО","НЕ ГОТОВО"))</f>
        <v/>
      </c>
      <c r="Z1079" s="226">
        <f>IF(Y1079&lt;&gt;"ГОТОВО","", "Предварительное заключение: "&amp;A1079&amp;", скв. "&amp;B1079&amp;". МРП: "&amp;E1079&amp;" сут. ГНО: "&amp;F1079&amp;", типоразмер "&amp;G1079&amp;", марка "&amp;H1079&amp;". Событие: "&amp;I1079&amp;". Признак: "&amp;J1079&amp;". Узел: "&amp;K1079&amp;". Предварительная причина: "&amp;L1079&amp;". Основное осложнение: "&amp;M1079&amp;IF(N1079&lt;&gt;"","; сопутствующее: "&amp;N1079,"")&amp;IF(O1079&lt;&gt;"","; дополнительно: "&amp;O1079,"")&amp;".")</f>
        <v/>
      </c>
    </row>
    <row r="1080">
      <c r="A1080" s="75" t="n"/>
      <c r="B1080" s="75" t="n"/>
      <c r="C1080" s="261" t="n"/>
      <c r="D1080" s="261" t="n"/>
      <c r="E1080" s="262">
        <f>IF(OR(C1080="",D1080=""),"",D1080-C1080)</f>
        <v/>
      </c>
      <c r="F1080" s="75" t="n"/>
      <c r="G1080" s="75" t="n"/>
      <c r="H1080" s="75" t="n"/>
      <c r="I1080" s="75" t="n"/>
      <c r="J1080" s="75" t="n"/>
      <c r="K1080" s="75" t="n"/>
      <c r="L1080" s="75" t="n"/>
      <c r="M1080" s="75" t="n"/>
      <c r="N1080" s="75" t="n"/>
      <c r="O1080" s="75" t="n"/>
      <c r="P1080" s="75" t="n"/>
      <c r="Q1080" s="75" t="n"/>
      <c r="R1080" s="75" t="n"/>
      <c r="S1080" s="75" t="n"/>
      <c r="T1080" s="75" t="n"/>
      <c r="U1080" s="75" t="n"/>
      <c r="V1080" s="75" t="n"/>
      <c r="W1080" s="75" t="n"/>
      <c r="X1080" s="75" t="n"/>
      <c r="Y1080" s="226">
        <f>IF(AND(A1080="",B1080=""),"",IF(AND(A1080&lt;&gt;"",B1080&lt;&gt;"",C1080&lt;&gt;"",D1080&lt;&gt;"",F1080&lt;&gt;"",G1080&lt;&gt;"",H1080&lt;&gt;"",ISERROR(SEARCH("по паспорту",G1080)),ISERROR(SEARCH("по паспорту",H1080)),I1080&lt;&gt;"",J1080&lt;&gt;"",K1080&lt;&gt;"",L1080&lt;&gt;"",M1080&lt;&gt;""),"ГОТОВО","НЕ ГОТОВО"))</f>
        <v/>
      </c>
      <c r="Z1080" s="226">
        <f>IF(Y1080&lt;&gt;"ГОТОВО","", "Предварительное заключение: "&amp;A1080&amp;", скв. "&amp;B1080&amp;". МРП: "&amp;E1080&amp;" сут. ГНО: "&amp;F1080&amp;", типоразмер "&amp;G1080&amp;", марка "&amp;H1080&amp;". Событие: "&amp;I1080&amp;". Признак: "&amp;J1080&amp;". Узел: "&amp;K1080&amp;". Предварительная причина: "&amp;L1080&amp;". Основное осложнение: "&amp;M1080&amp;IF(N1080&lt;&gt;"","; сопутствующее: "&amp;N1080,"")&amp;IF(O1080&lt;&gt;"","; дополнительно: "&amp;O1080,"")&amp;".")</f>
        <v/>
      </c>
    </row>
    <row r="1081">
      <c r="A1081" s="75" t="n"/>
      <c r="B1081" s="75" t="n"/>
      <c r="C1081" s="261" t="n"/>
      <c r="D1081" s="261" t="n"/>
      <c r="E1081" s="262">
        <f>IF(OR(C1081="",D1081=""),"",D1081-C1081)</f>
        <v/>
      </c>
      <c r="F1081" s="75" t="n"/>
      <c r="G1081" s="75" t="n"/>
      <c r="H1081" s="75" t="n"/>
      <c r="I1081" s="75" t="n"/>
      <c r="J1081" s="75" t="n"/>
      <c r="K1081" s="75" t="n"/>
      <c r="L1081" s="75" t="n"/>
      <c r="M1081" s="75" t="n"/>
      <c r="N1081" s="75" t="n"/>
      <c r="O1081" s="75" t="n"/>
      <c r="P1081" s="75" t="n"/>
      <c r="Q1081" s="75" t="n"/>
      <c r="R1081" s="75" t="n"/>
      <c r="S1081" s="75" t="n"/>
      <c r="T1081" s="75" t="n"/>
      <c r="U1081" s="75" t="n"/>
      <c r="V1081" s="75" t="n"/>
      <c r="W1081" s="75" t="n"/>
      <c r="X1081" s="75" t="n"/>
      <c r="Y1081" s="226">
        <f>IF(AND(A1081="",B1081=""),"",IF(AND(A1081&lt;&gt;"",B1081&lt;&gt;"",C1081&lt;&gt;"",D1081&lt;&gt;"",F1081&lt;&gt;"",G1081&lt;&gt;"",H1081&lt;&gt;"",ISERROR(SEARCH("по паспорту",G1081)),ISERROR(SEARCH("по паспорту",H1081)),I1081&lt;&gt;"",J1081&lt;&gt;"",K1081&lt;&gt;"",L1081&lt;&gt;"",M1081&lt;&gt;""),"ГОТОВО","НЕ ГОТОВО"))</f>
        <v/>
      </c>
      <c r="Z1081" s="226">
        <f>IF(Y1081&lt;&gt;"ГОТОВО","", "Предварительное заключение: "&amp;A1081&amp;", скв. "&amp;B1081&amp;". МРП: "&amp;E1081&amp;" сут. ГНО: "&amp;F1081&amp;", типоразмер "&amp;G1081&amp;", марка "&amp;H1081&amp;". Событие: "&amp;I1081&amp;". Признак: "&amp;J1081&amp;". Узел: "&amp;K1081&amp;". Предварительная причина: "&amp;L1081&amp;". Основное осложнение: "&amp;M1081&amp;IF(N1081&lt;&gt;"","; сопутствующее: "&amp;N1081,"")&amp;IF(O1081&lt;&gt;"","; дополнительно: "&amp;O1081,"")&amp;".")</f>
        <v/>
      </c>
    </row>
    <row r="1082">
      <c r="A1082" s="75" t="n"/>
      <c r="B1082" s="75" t="n"/>
      <c r="C1082" s="261" t="n"/>
      <c r="D1082" s="261" t="n"/>
      <c r="E1082" s="262">
        <f>IF(OR(C1082="",D1082=""),"",D1082-C1082)</f>
        <v/>
      </c>
      <c r="F1082" s="75" t="n"/>
      <c r="G1082" s="75" t="n"/>
      <c r="H1082" s="75" t="n"/>
      <c r="I1082" s="75" t="n"/>
      <c r="J1082" s="75" t="n"/>
      <c r="K1082" s="75" t="n"/>
      <c r="L1082" s="75" t="n"/>
      <c r="M1082" s="75" t="n"/>
      <c r="N1082" s="75" t="n"/>
      <c r="O1082" s="75" t="n"/>
      <c r="P1082" s="75" t="n"/>
      <c r="Q1082" s="75" t="n"/>
      <c r="R1082" s="75" t="n"/>
      <c r="S1082" s="75" t="n"/>
      <c r="T1082" s="75" t="n"/>
      <c r="U1082" s="75" t="n"/>
      <c r="V1082" s="75" t="n"/>
      <c r="W1082" s="75" t="n"/>
      <c r="X1082" s="75" t="n"/>
      <c r="Y1082" s="226">
        <f>IF(AND(A1082="",B1082=""),"",IF(AND(A1082&lt;&gt;"",B1082&lt;&gt;"",C1082&lt;&gt;"",D1082&lt;&gt;"",F1082&lt;&gt;"",G1082&lt;&gt;"",H1082&lt;&gt;"",ISERROR(SEARCH("по паспорту",G1082)),ISERROR(SEARCH("по паспорту",H1082)),I1082&lt;&gt;"",J1082&lt;&gt;"",K1082&lt;&gt;"",L1082&lt;&gt;"",M1082&lt;&gt;""),"ГОТОВО","НЕ ГОТОВО"))</f>
        <v/>
      </c>
      <c r="Z1082" s="226">
        <f>IF(Y1082&lt;&gt;"ГОТОВО","", "Предварительное заключение: "&amp;A1082&amp;", скв. "&amp;B1082&amp;". МРП: "&amp;E1082&amp;" сут. ГНО: "&amp;F1082&amp;", типоразмер "&amp;G1082&amp;", марка "&amp;H1082&amp;". Событие: "&amp;I1082&amp;". Признак: "&amp;J1082&amp;". Узел: "&amp;K1082&amp;". Предварительная причина: "&amp;L1082&amp;". Основное осложнение: "&amp;M1082&amp;IF(N1082&lt;&gt;"","; сопутствующее: "&amp;N1082,"")&amp;IF(O1082&lt;&gt;"","; дополнительно: "&amp;O1082,"")&amp;".")</f>
        <v/>
      </c>
    </row>
    <row r="1083">
      <c r="A1083" s="75" t="n"/>
      <c r="B1083" s="75" t="n"/>
      <c r="C1083" s="261" t="n"/>
      <c r="D1083" s="261" t="n"/>
      <c r="E1083" s="262">
        <f>IF(OR(C1083="",D1083=""),"",D1083-C1083)</f>
        <v/>
      </c>
      <c r="F1083" s="75" t="n"/>
      <c r="G1083" s="75" t="n"/>
      <c r="H1083" s="75" t="n"/>
      <c r="I1083" s="75" t="n"/>
      <c r="J1083" s="75" t="n"/>
      <c r="K1083" s="75" t="n"/>
      <c r="L1083" s="75" t="n"/>
      <c r="M1083" s="75" t="n"/>
      <c r="N1083" s="75" t="n"/>
      <c r="O1083" s="75" t="n"/>
      <c r="P1083" s="75" t="n"/>
      <c r="Q1083" s="75" t="n"/>
      <c r="R1083" s="75" t="n"/>
      <c r="S1083" s="75" t="n"/>
      <c r="T1083" s="75" t="n"/>
      <c r="U1083" s="75" t="n"/>
      <c r="V1083" s="75" t="n"/>
      <c r="W1083" s="75" t="n"/>
      <c r="X1083" s="75" t="n"/>
      <c r="Y1083" s="226">
        <f>IF(AND(A1083="",B1083=""),"",IF(AND(A1083&lt;&gt;"",B1083&lt;&gt;"",C1083&lt;&gt;"",D1083&lt;&gt;"",F1083&lt;&gt;"",G1083&lt;&gt;"",H1083&lt;&gt;"",ISERROR(SEARCH("по паспорту",G1083)),ISERROR(SEARCH("по паспорту",H1083)),I1083&lt;&gt;"",J1083&lt;&gt;"",K1083&lt;&gt;"",L1083&lt;&gt;"",M1083&lt;&gt;""),"ГОТОВО","НЕ ГОТОВО"))</f>
        <v/>
      </c>
      <c r="Z1083" s="226">
        <f>IF(Y1083&lt;&gt;"ГОТОВО","", "Предварительное заключение: "&amp;A1083&amp;", скв. "&amp;B1083&amp;". МРП: "&amp;E1083&amp;" сут. ГНО: "&amp;F1083&amp;", типоразмер "&amp;G1083&amp;", марка "&amp;H1083&amp;". Событие: "&amp;I1083&amp;". Признак: "&amp;J1083&amp;". Узел: "&amp;K1083&amp;". Предварительная причина: "&amp;L1083&amp;". Основное осложнение: "&amp;M1083&amp;IF(N1083&lt;&gt;"","; сопутствующее: "&amp;N1083,"")&amp;IF(O1083&lt;&gt;"","; дополнительно: "&amp;O1083,"")&amp;".")</f>
        <v/>
      </c>
    </row>
    <row r="1084">
      <c r="A1084" s="75" t="n"/>
      <c r="B1084" s="75" t="n"/>
      <c r="C1084" s="261" t="n"/>
      <c r="D1084" s="261" t="n"/>
      <c r="E1084" s="262">
        <f>IF(OR(C1084="",D1084=""),"",D1084-C1084)</f>
        <v/>
      </c>
      <c r="F1084" s="75" t="n"/>
      <c r="G1084" s="75" t="n"/>
      <c r="H1084" s="75" t="n"/>
      <c r="I1084" s="75" t="n"/>
      <c r="J1084" s="75" t="n"/>
      <c r="K1084" s="75" t="n"/>
      <c r="L1084" s="75" t="n"/>
      <c r="M1084" s="75" t="n"/>
      <c r="N1084" s="75" t="n"/>
      <c r="O1084" s="75" t="n"/>
      <c r="P1084" s="75" t="n"/>
      <c r="Q1084" s="75" t="n"/>
      <c r="R1084" s="75" t="n"/>
      <c r="S1084" s="75" t="n"/>
      <c r="T1084" s="75" t="n"/>
      <c r="U1084" s="75" t="n"/>
      <c r="V1084" s="75" t="n"/>
      <c r="W1084" s="75" t="n"/>
      <c r="X1084" s="75" t="n"/>
      <c r="Y1084" s="226">
        <f>IF(AND(A1084="",B1084=""),"",IF(AND(A1084&lt;&gt;"",B1084&lt;&gt;"",C1084&lt;&gt;"",D1084&lt;&gt;"",F1084&lt;&gt;"",G1084&lt;&gt;"",H1084&lt;&gt;"",ISERROR(SEARCH("по паспорту",G1084)),ISERROR(SEARCH("по паспорту",H1084)),I1084&lt;&gt;"",J1084&lt;&gt;"",K1084&lt;&gt;"",L1084&lt;&gt;"",M1084&lt;&gt;""),"ГОТОВО","НЕ ГОТОВО"))</f>
        <v/>
      </c>
      <c r="Z1084" s="226">
        <f>IF(Y1084&lt;&gt;"ГОТОВО","", "Предварительное заключение: "&amp;A1084&amp;", скв. "&amp;B1084&amp;". МРП: "&amp;E1084&amp;" сут. ГНО: "&amp;F1084&amp;", типоразмер "&amp;G1084&amp;", марка "&amp;H1084&amp;". Событие: "&amp;I1084&amp;". Признак: "&amp;J1084&amp;". Узел: "&amp;K1084&amp;". Предварительная причина: "&amp;L1084&amp;". Основное осложнение: "&amp;M1084&amp;IF(N1084&lt;&gt;"","; сопутствующее: "&amp;N1084,"")&amp;IF(O1084&lt;&gt;"","; дополнительно: "&amp;O1084,"")&amp;".")</f>
        <v/>
      </c>
    </row>
    <row r="1085">
      <c r="A1085" s="75" t="n"/>
      <c r="B1085" s="75" t="n"/>
      <c r="C1085" s="261" t="n"/>
      <c r="D1085" s="261" t="n"/>
      <c r="E1085" s="262">
        <f>IF(OR(C1085="",D1085=""),"",D1085-C1085)</f>
        <v/>
      </c>
      <c r="F1085" s="75" t="n"/>
      <c r="G1085" s="75" t="n"/>
      <c r="H1085" s="75" t="n"/>
      <c r="I1085" s="75" t="n"/>
      <c r="J1085" s="75" t="n"/>
      <c r="K1085" s="75" t="n"/>
      <c r="L1085" s="75" t="n"/>
      <c r="M1085" s="75" t="n"/>
      <c r="N1085" s="75" t="n"/>
      <c r="O1085" s="75" t="n"/>
      <c r="P1085" s="75" t="n"/>
      <c r="Q1085" s="75" t="n"/>
      <c r="R1085" s="75" t="n"/>
      <c r="S1085" s="75" t="n"/>
      <c r="T1085" s="75" t="n"/>
      <c r="U1085" s="75" t="n"/>
      <c r="V1085" s="75" t="n"/>
      <c r="W1085" s="75" t="n"/>
      <c r="X1085" s="75" t="n"/>
      <c r="Y1085" s="226">
        <f>IF(AND(A1085="",B1085=""),"",IF(AND(A1085&lt;&gt;"",B1085&lt;&gt;"",C1085&lt;&gt;"",D1085&lt;&gt;"",F1085&lt;&gt;"",G1085&lt;&gt;"",H1085&lt;&gt;"",ISERROR(SEARCH("по паспорту",G1085)),ISERROR(SEARCH("по паспорту",H1085)),I1085&lt;&gt;"",J1085&lt;&gt;"",K1085&lt;&gt;"",L1085&lt;&gt;"",M1085&lt;&gt;""),"ГОТОВО","НЕ ГОТОВО"))</f>
        <v/>
      </c>
      <c r="Z1085" s="226">
        <f>IF(Y1085&lt;&gt;"ГОТОВО","", "Предварительное заключение: "&amp;A1085&amp;", скв. "&amp;B1085&amp;". МРП: "&amp;E1085&amp;" сут. ГНО: "&amp;F1085&amp;", типоразмер "&amp;G1085&amp;", марка "&amp;H1085&amp;". Событие: "&amp;I1085&amp;". Признак: "&amp;J1085&amp;". Узел: "&amp;K1085&amp;". Предварительная причина: "&amp;L1085&amp;". Основное осложнение: "&amp;M1085&amp;IF(N1085&lt;&gt;"","; сопутствующее: "&amp;N1085,"")&amp;IF(O1085&lt;&gt;"","; дополнительно: "&amp;O1085,"")&amp;".")</f>
        <v/>
      </c>
    </row>
    <row r="1086">
      <c r="A1086" s="75" t="n"/>
      <c r="B1086" s="75" t="n"/>
      <c r="C1086" s="261" t="n"/>
      <c r="D1086" s="261" t="n"/>
      <c r="E1086" s="262">
        <f>IF(OR(C1086="",D1086=""),"",D1086-C1086)</f>
        <v/>
      </c>
      <c r="F1086" s="75" t="n"/>
      <c r="G1086" s="75" t="n"/>
      <c r="H1086" s="75" t="n"/>
      <c r="I1086" s="75" t="n"/>
      <c r="J1086" s="75" t="n"/>
      <c r="K1086" s="75" t="n"/>
      <c r="L1086" s="75" t="n"/>
      <c r="M1086" s="75" t="n"/>
      <c r="N1086" s="75" t="n"/>
      <c r="O1086" s="75" t="n"/>
      <c r="P1086" s="75" t="n"/>
      <c r="Q1086" s="75" t="n"/>
      <c r="R1086" s="75" t="n"/>
      <c r="S1086" s="75" t="n"/>
      <c r="T1086" s="75" t="n"/>
      <c r="U1086" s="75" t="n"/>
      <c r="V1086" s="75" t="n"/>
      <c r="W1086" s="75" t="n"/>
      <c r="X1086" s="75" t="n"/>
      <c r="Y1086" s="226">
        <f>IF(AND(A1086="",B1086=""),"",IF(AND(A1086&lt;&gt;"",B1086&lt;&gt;"",C1086&lt;&gt;"",D1086&lt;&gt;"",F1086&lt;&gt;"",G1086&lt;&gt;"",H1086&lt;&gt;"",ISERROR(SEARCH("по паспорту",G1086)),ISERROR(SEARCH("по паспорту",H1086)),I1086&lt;&gt;"",J1086&lt;&gt;"",K1086&lt;&gt;"",L1086&lt;&gt;"",M1086&lt;&gt;""),"ГОТОВО","НЕ ГОТОВО"))</f>
        <v/>
      </c>
      <c r="Z1086" s="226">
        <f>IF(Y1086&lt;&gt;"ГОТОВО","", "Предварительное заключение: "&amp;A1086&amp;", скв. "&amp;B1086&amp;". МРП: "&amp;E1086&amp;" сут. ГНО: "&amp;F1086&amp;", типоразмер "&amp;G1086&amp;", марка "&amp;H1086&amp;". Событие: "&amp;I1086&amp;". Признак: "&amp;J1086&amp;". Узел: "&amp;K1086&amp;". Предварительная причина: "&amp;L1086&amp;". Основное осложнение: "&amp;M1086&amp;IF(N1086&lt;&gt;"","; сопутствующее: "&amp;N1086,"")&amp;IF(O1086&lt;&gt;"","; дополнительно: "&amp;O1086,"")&amp;".")</f>
        <v/>
      </c>
    </row>
    <row r="1087">
      <c r="A1087" s="75" t="n"/>
      <c r="B1087" s="75" t="n"/>
      <c r="C1087" s="261" t="n"/>
      <c r="D1087" s="261" t="n"/>
      <c r="E1087" s="262">
        <f>IF(OR(C1087="",D1087=""),"",D1087-C1087)</f>
        <v/>
      </c>
      <c r="F1087" s="75" t="n"/>
      <c r="G1087" s="75" t="n"/>
      <c r="H1087" s="75" t="n"/>
      <c r="I1087" s="75" t="n"/>
      <c r="J1087" s="75" t="n"/>
      <c r="K1087" s="75" t="n"/>
      <c r="L1087" s="75" t="n"/>
      <c r="M1087" s="75" t="n"/>
      <c r="N1087" s="75" t="n"/>
      <c r="O1087" s="75" t="n"/>
      <c r="P1087" s="75" t="n"/>
      <c r="Q1087" s="75" t="n"/>
      <c r="R1087" s="75" t="n"/>
      <c r="S1087" s="75" t="n"/>
      <c r="T1087" s="75" t="n"/>
      <c r="U1087" s="75" t="n"/>
      <c r="V1087" s="75" t="n"/>
      <c r="W1087" s="75" t="n"/>
      <c r="X1087" s="75" t="n"/>
      <c r="Y1087" s="226">
        <f>IF(AND(A1087="",B1087=""),"",IF(AND(A1087&lt;&gt;"",B1087&lt;&gt;"",C1087&lt;&gt;"",D1087&lt;&gt;"",F1087&lt;&gt;"",G1087&lt;&gt;"",H1087&lt;&gt;"",ISERROR(SEARCH("по паспорту",G1087)),ISERROR(SEARCH("по паспорту",H1087)),I1087&lt;&gt;"",J1087&lt;&gt;"",K1087&lt;&gt;"",L1087&lt;&gt;"",M1087&lt;&gt;""),"ГОТОВО","НЕ ГОТОВО"))</f>
        <v/>
      </c>
      <c r="Z1087" s="226">
        <f>IF(Y1087&lt;&gt;"ГОТОВО","", "Предварительное заключение: "&amp;A1087&amp;", скв. "&amp;B1087&amp;". МРП: "&amp;E1087&amp;" сут. ГНО: "&amp;F1087&amp;", типоразмер "&amp;G1087&amp;", марка "&amp;H1087&amp;". Событие: "&amp;I1087&amp;". Признак: "&amp;J1087&amp;". Узел: "&amp;K1087&amp;". Предварительная причина: "&amp;L1087&amp;". Основное осложнение: "&amp;M1087&amp;IF(N1087&lt;&gt;"","; сопутствующее: "&amp;N1087,"")&amp;IF(O1087&lt;&gt;"","; дополнительно: "&amp;O1087,"")&amp;".")</f>
        <v/>
      </c>
    </row>
    <row r="1088">
      <c r="A1088" s="75" t="n"/>
      <c r="B1088" s="75" t="n"/>
      <c r="C1088" s="261" t="n"/>
      <c r="D1088" s="261" t="n"/>
      <c r="E1088" s="262">
        <f>IF(OR(C1088="",D1088=""),"",D1088-C1088)</f>
        <v/>
      </c>
      <c r="F1088" s="75" t="n"/>
      <c r="G1088" s="75" t="n"/>
      <c r="H1088" s="75" t="n"/>
      <c r="I1088" s="75" t="n"/>
      <c r="J1088" s="75" t="n"/>
      <c r="K1088" s="75" t="n"/>
      <c r="L1088" s="75" t="n"/>
      <c r="M1088" s="75" t="n"/>
      <c r="N1088" s="75" t="n"/>
      <c r="O1088" s="75" t="n"/>
      <c r="P1088" s="75" t="n"/>
      <c r="Q1088" s="75" t="n"/>
      <c r="R1088" s="75" t="n"/>
      <c r="S1088" s="75" t="n"/>
      <c r="T1088" s="75" t="n"/>
      <c r="U1088" s="75" t="n"/>
      <c r="V1088" s="75" t="n"/>
      <c r="W1088" s="75" t="n"/>
      <c r="X1088" s="75" t="n"/>
      <c r="Y1088" s="226">
        <f>IF(AND(A1088="",B1088=""),"",IF(AND(A1088&lt;&gt;"",B1088&lt;&gt;"",C1088&lt;&gt;"",D1088&lt;&gt;"",F1088&lt;&gt;"",G1088&lt;&gt;"",H1088&lt;&gt;"",ISERROR(SEARCH("по паспорту",G1088)),ISERROR(SEARCH("по паспорту",H1088)),I1088&lt;&gt;"",J1088&lt;&gt;"",K1088&lt;&gt;"",L1088&lt;&gt;"",M1088&lt;&gt;""),"ГОТОВО","НЕ ГОТОВО"))</f>
        <v/>
      </c>
      <c r="Z1088" s="226">
        <f>IF(Y1088&lt;&gt;"ГОТОВО","", "Предварительное заключение: "&amp;A1088&amp;", скв. "&amp;B1088&amp;". МРП: "&amp;E1088&amp;" сут. ГНО: "&amp;F1088&amp;", типоразмер "&amp;G1088&amp;", марка "&amp;H1088&amp;". Событие: "&amp;I1088&amp;". Признак: "&amp;J1088&amp;". Узел: "&amp;K1088&amp;". Предварительная причина: "&amp;L1088&amp;". Основное осложнение: "&amp;M1088&amp;IF(N1088&lt;&gt;"","; сопутствующее: "&amp;N1088,"")&amp;IF(O1088&lt;&gt;"","; дополнительно: "&amp;O1088,"")&amp;".")</f>
        <v/>
      </c>
    </row>
    <row r="1089">
      <c r="A1089" s="75" t="n"/>
      <c r="B1089" s="75" t="n"/>
      <c r="C1089" s="261" t="n"/>
      <c r="D1089" s="261" t="n"/>
      <c r="E1089" s="262">
        <f>IF(OR(C1089="",D1089=""),"",D1089-C1089)</f>
        <v/>
      </c>
      <c r="F1089" s="75" t="n"/>
      <c r="G1089" s="75" t="n"/>
      <c r="H1089" s="75" t="n"/>
      <c r="I1089" s="75" t="n"/>
      <c r="J1089" s="75" t="n"/>
      <c r="K1089" s="75" t="n"/>
      <c r="L1089" s="75" t="n"/>
      <c r="M1089" s="75" t="n"/>
      <c r="N1089" s="75" t="n"/>
      <c r="O1089" s="75" t="n"/>
      <c r="P1089" s="75" t="n"/>
      <c r="Q1089" s="75" t="n"/>
      <c r="R1089" s="75" t="n"/>
      <c r="S1089" s="75" t="n"/>
      <c r="T1089" s="75" t="n"/>
      <c r="U1089" s="75" t="n"/>
      <c r="V1089" s="75" t="n"/>
      <c r="W1089" s="75" t="n"/>
      <c r="X1089" s="75" t="n"/>
      <c r="Y1089" s="226">
        <f>IF(AND(A1089="",B1089=""),"",IF(AND(A1089&lt;&gt;"",B1089&lt;&gt;"",C1089&lt;&gt;"",D1089&lt;&gt;"",F1089&lt;&gt;"",G1089&lt;&gt;"",H1089&lt;&gt;"",ISERROR(SEARCH("по паспорту",G1089)),ISERROR(SEARCH("по паспорту",H1089)),I1089&lt;&gt;"",J1089&lt;&gt;"",K1089&lt;&gt;"",L1089&lt;&gt;"",M1089&lt;&gt;""),"ГОТОВО","НЕ ГОТОВО"))</f>
        <v/>
      </c>
      <c r="Z1089" s="226">
        <f>IF(Y1089&lt;&gt;"ГОТОВО","", "Предварительное заключение: "&amp;A1089&amp;", скв. "&amp;B1089&amp;". МРП: "&amp;E1089&amp;" сут. ГНО: "&amp;F1089&amp;", типоразмер "&amp;G1089&amp;", марка "&amp;H1089&amp;". Событие: "&amp;I1089&amp;". Признак: "&amp;J1089&amp;". Узел: "&amp;K1089&amp;". Предварительная причина: "&amp;L1089&amp;". Основное осложнение: "&amp;M1089&amp;IF(N1089&lt;&gt;"","; сопутствующее: "&amp;N1089,"")&amp;IF(O1089&lt;&gt;"","; дополнительно: "&amp;O1089,"")&amp;".")</f>
        <v/>
      </c>
    </row>
    <row r="1090">
      <c r="A1090" s="75" t="n"/>
      <c r="B1090" s="75" t="n"/>
      <c r="C1090" s="261" t="n"/>
      <c r="D1090" s="261" t="n"/>
      <c r="E1090" s="262">
        <f>IF(OR(C1090="",D1090=""),"",D1090-C1090)</f>
        <v/>
      </c>
      <c r="F1090" s="75" t="n"/>
      <c r="G1090" s="75" t="n"/>
      <c r="H1090" s="75" t="n"/>
      <c r="I1090" s="75" t="n"/>
      <c r="J1090" s="75" t="n"/>
      <c r="K1090" s="75" t="n"/>
      <c r="L1090" s="75" t="n"/>
      <c r="M1090" s="75" t="n"/>
      <c r="N1090" s="75" t="n"/>
      <c r="O1090" s="75" t="n"/>
      <c r="P1090" s="75" t="n"/>
      <c r="Q1090" s="75" t="n"/>
      <c r="R1090" s="75" t="n"/>
      <c r="S1090" s="75" t="n"/>
      <c r="T1090" s="75" t="n"/>
      <c r="U1090" s="75" t="n"/>
      <c r="V1090" s="75" t="n"/>
      <c r="W1090" s="75" t="n"/>
      <c r="X1090" s="75" t="n"/>
      <c r="Y1090" s="226">
        <f>IF(AND(A1090="",B1090=""),"",IF(AND(A1090&lt;&gt;"",B1090&lt;&gt;"",C1090&lt;&gt;"",D1090&lt;&gt;"",F1090&lt;&gt;"",G1090&lt;&gt;"",H1090&lt;&gt;"",ISERROR(SEARCH("по паспорту",G1090)),ISERROR(SEARCH("по паспорту",H1090)),I1090&lt;&gt;"",J1090&lt;&gt;"",K1090&lt;&gt;"",L1090&lt;&gt;"",M1090&lt;&gt;""),"ГОТОВО","НЕ ГОТОВО"))</f>
        <v/>
      </c>
      <c r="Z1090" s="226">
        <f>IF(Y1090&lt;&gt;"ГОТОВО","", "Предварительное заключение: "&amp;A1090&amp;", скв. "&amp;B1090&amp;". МРП: "&amp;E1090&amp;" сут. ГНО: "&amp;F1090&amp;", типоразмер "&amp;G1090&amp;", марка "&amp;H1090&amp;". Событие: "&amp;I1090&amp;". Признак: "&amp;J1090&amp;". Узел: "&amp;K1090&amp;". Предварительная причина: "&amp;L1090&amp;". Основное осложнение: "&amp;M1090&amp;IF(N1090&lt;&gt;"","; сопутствующее: "&amp;N1090,"")&amp;IF(O1090&lt;&gt;"","; дополнительно: "&amp;O1090,"")&amp;".")</f>
        <v/>
      </c>
    </row>
    <row r="1091">
      <c r="A1091" s="75" t="n"/>
      <c r="B1091" s="75" t="n"/>
      <c r="C1091" s="261" t="n"/>
      <c r="D1091" s="261" t="n"/>
      <c r="E1091" s="262">
        <f>IF(OR(C1091="",D1091=""),"",D1091-C1091)</f>
        <v/>
      </c>
      <c r="F1091" s="75" t="n"/>
      <c r="G1091" s="75" t="n"/>
      <c r="H1091" s="75" t="n"/>
      <c r="I1091" s="75" t="n"/>
      <c r="J1091" s="75" t="n"/>
      <c r="K1091" s="75" t="n"/>
      <c r="L1091" s="75" t="n"/>
      <c r="M1091" s="75" t="n"/>
      <c r="N1091" s="75" t="n"/>
      <c r="O1091" s="75" t="n"/>
      <c r="P1091" s="75" t="n"/>
      <c r="Q1091" s="75" t="n"/>
      <c r="R1091" s="75" t="n"/>
      <c r="S1091" s="75" t="n"/>
      <c r="T1091" s="75" t="n"/>
      <c r="U1091" s="75" t="n"/>
      <c r="V1091" s="75" t="n"/>
      <c r="W1091" s="75" t="n"/>
      <c r="X1091" s="75" t="n"/>
      <c r="Y1091" s="226">
        <f>IF(AND(A1091="",B1091=""),"",IF(AND(A1091&lt;&gt;"",B1091&lt;&gt;"",C1091&lt;&gt;"",D1091&lt;&gt;"",F1091&lt;&gt;"",G1091&lt;&gt;"",H1091&lt;&gt;"",ISERROR(SEARCH("по паспорту",G1091)),ISERROR(SEARCH("по паспорту",H1091)),I1091&lt;&gt;"",J1091&lt;&gt;"",K1091&lt;&gt;"",L1091&lt;&gt;"",M1091&lt;&gt;""),"ГОТОВО","НЕ ГОТОВО"))</f>
        <v/>
      </c>
      <c r="Z1091" s="226">
        <f>IF(Y1091&lt;&gt;"ГОТОВО","", "Предварительное заключение: "&amp;A1091&amp;", скв. "&amp;B1091&amp;". МРП: "&amp;E1091&amp;" сут. ГНО: "&amp;F1091&amp;", типоразмер "&amp;G1091&amp;", марка "&amp;H1091&amp;". Событие: "&amp;I1091&amp;". Признак: "&amp;J1091&amp;". Узел: "&amp;K1091&amp;". Предварительная причина: "&amp;L1091&amp;". Основное осложнение: "&amp;M1091&amp;IF(N1091&lt;&gt;"","; сопутствующее: "&amp;N1091,"")&amp;IF(O1091&lt;&gt;"","; дополнительно: "&amp;O1091,"")&amp;".")</f>
        <v/>
      </c>
    </row>
    <row r="1092">
      <c r="A1092" s="75" t="n"/>
      <c r="B1092" s="75" t="n"/>
      <c r="C1092" s="261" t="n"/>
      <c r="D1092" s="261" t="n"/>
      <c r="E1092" s="262">
        <f>IF(OR(C1092="",D1092=""),"",D1092-C1092)</f>
        <v/>
      </c>
      <c r="F1092" s="75" t="n"/>
      <c r="G1092" s="75" t="n"/>
      <c r="H1092" s="75" t="n"/>
      <c r="I1092" s="75" t="n"/>
      <c r="J1092" s="75" t="n"/>
      <c r="K1092" s="75" t="n"/>
      <c r="L1092" s="75" t="n"/>
      <c r="M1092" s="75" t="n"/>
      <c r="N1092" s="75" t="n"/>
      <c r="O1092" s="75" t="n"/>
      <c r="P1092" s="75" t="n"/>
      <c r="Q1092" s="75" t="n"/>
      <c r="R1092" s="75" t="n"/>
      <c r="S1092" s="75" t="n"/>
      <c r="T1092" s="75" t="n"/>
      <c r="U1092" s="75" t="n"/>
      <c r="V1092" s="75" t="n"/>
      <c r="W1092" s="75" t="n"/>
      <c r="X1092" s="75" t="n"/>
      <c r="Y1092" s="226">
        <f>IF(AND(A1092="",B1092=""),"",IF(AND(A1092&lt;&gt;"",B1092&lt;&gt;"",C1092&lt;&gt;"",D1092&lt;&gt;"",F1092&lt;&gt;"",G1092&lt;&gt;"",H1092&lt;&gt;"",ISERROR(SEARCH("по паспорту",G1092)),ISERROR(SEARCH("по паспорту",H1092)),I1092&lt;&gt;"",J1092&lt;&gt;"",K1092&lt;&gt;"",L1092&lt;&gt;"",M1092&lt;&gt;""),"ГОТОВО","НЕ ГОТОВО"))</f>
        <v/>
      </c>
      <c r="Z1092" s="226">
        <f>IF(Y1092&lt;&gt;"ГОТОВО","", "Предварительное заключение: "&amp;A1092&amp;", скв. "&amp;B1092&amp;". МРП: "&amp;E1092&amp;" сут. ГНО: "&amp;F1092&amp;", типоразмер "&amp;G1092&amp;", марка "&amp;H1092&amp;". Событие: "&amp;I1092&amp;". Признак: "&amp;J1092&amp;". Узел: "&amp;K1092&amp;". Предварительная причина: "&amp;L1092&amp;". Основное осложнение: "&amp;M1092&amp;IF(N1092&lt;&gt;"","; сопутствующее: "&amp;N1092,"")&amp;IF(O1092&lt;&gt;"","; дополнительно: "&amp;O1092,"")&amp;".")</f>
        <v/>
      </c>
    </row>
    <row r="1093">
      <c r="A1093" s="75" t="n"/>
      <c r="B1093" s="75" t="n"/>
      <c r="C1093" s="261" t="n"/>
      <c r="D1093" s="261" t="n"/>
      <c r="E1093" s="262">
        <f>IF(OR(C1093="",D1093=""),"",D1093-C1093)</f>
        <v/>
      </c>
      <c r="F1093" s="75" t="n"/>
      <c r="G1093" s="75" t="n"/>
      <c r="H1093" s="75" t="n"/>
      <c r="I1093" s="75" t="n"/>
      <c r="J1093" s="75" t="n"/>
      <c r="K1093" s="75" t="n"/>
      <c r="L1093" s="75" t="n"/>
      <c r="M1093" s="75" t="n"/>
      <c r="N1093" s="75" t="n"/>
      <c r="O1093" s="75" t="n"/>
      <c r="P1093" s="75" t="n"/>
      <c r="Q1093" s="75" t="n"/>
      <c r="R1093" s="75" t="n"/>
      <c r="S1093" s="75" t="n"/>
      <c r="T1093" s="75" t="n"/>
      <c r="U1093" s="75" t="n"/>
      <c r="V1093" s="75" t="n"/>
      <c r="W1093" s="75" t="n"/>
      <c r="X1093" s="75" t="n"/>
      <c r="Y1093" s="226">
        <f>IF(AND(A1093="",B1093=""),"",IF(AND(A1093&lt;&gt;"",B1093&lt;&gt;"",C1093&lt;&gt;"",D1093&lt;&gt;"",F1093&lt;&gt;"",G1093&lt;&gt;"",H1093&lt;&gt;"",ISERROR(SEARCH("по паспорту",G1093)),ISERROR(SEARCH("по паспорту",H1093)),I1093&lt;&gt;"",J1093&lt;&gt;"",K1093&lt;&gt;"",L1093&lt;&gt;"",M1093&lt;&gt;""),"ГОТОВО","НЕ ГОТОВО"))</f>
        <v/>
      </c>
      <c r="Z1093" s="226">
        <f>IF(Y1093&lt;&gt;"ГОТОВО","", "Предварительное заключение: "&amp;A1093&amp;", скв. "&amp;B1093&amp;". МРП: "&amp;E1093&amp;" сут. ГНО: "&amp;F1093&amp;", типоразмер "&amp;G1093&amp;", марка "&amp;H1093&amp;". Событие: "&amp;I1093&amp;". Признак: "&amp;J1093&amp;". Узел: "&amp;K1093&amp;". Предварительная причина: "&amp;L1093&amp;". Основное осложнение: "&amp;M1093&amp;IF(N1093&lt;&gt;"","; сопутствующее: "&amp;N1093,"")&amp;IF(O1093&lt;&gt;"","; дополнительно: "&amp;O1093,"")&amp;".")</f>
        <v/>
      </c>
    </row>
    <row r="1094">
      <c r="A1094" s="75" t="n"/>
      <c r="B1094" s="75" t="n"/>
      <c r="C1094" s="261" t="n"/>
      <c r="D1094" s="261" t="n"/>
      <c r="E1094" s="262">
        <f>IF(OR(C1094="",D1094=""),"",D1094-C1094)</f>
        <v/>
      </c>
      <c r="F1094" s="75" t="n"/>
      <c r="G1094" s="75" t="n"/>
      <c r="H1094" s="75" t="n"/>
      <c r="I1094" s="75" t="n"/>
      <c r="J1094" s="75" t="n"/>
      <c r="K1094" s="75" t="n"/>
      <c r="L1094" s="75" t="n"/>
      <c r="M1094" s="75" t="n"/>
      <c r="N1094" s="75" t="n"/>
      <c r="O1094" s="75" t="n"/>
      <c r="P1094" s="75" t="n"/>
      <c r="Q1094" s="75" t="n"/>
      <c r="R1094" s="75" t="n"/>
      <c r="S1094" s="75" t="n"/>
      <c r="T1094" s="75" t="n"/>
      <c r="U1094" s="75" t="n"/>
      <c r="V1094" s="75" t="n"/>
      <c r="W1094" s="75" t="n"/>
      <c r="X1094" s="75" t="n"/>
      <c r="Y1094" s="226">
        <f>IF(AND(A1094="",B1094=""),"",IF(AND(A1094&lt;&gt;"",B1094&lt;&gt;"",C1094&lt;&gt;"",D1094&lt;&gt;"",F1094&lt;&gt;"",G1094&lt;&gt;"",H1094&lt;&gt;"",ISERROR(SEARCH("по паспорту",G1094)),ISERROR(SEARCH("по паспорту",H1094)),I1094&lt;&gt;"",J1094&lt;&gt;"",K1094&lt;&gt;"",L1094&lt;&gt;"",M1094&lt;&gt;""),"ГОТОВО","НЕ ГОТОВО"))</f>
        <v/>
      </c>
      <c r="Z1094" s="226">
        <f>IF(Y1094&lt;&gt;"ГОТОВО","", "Предварительное заключение: "&amp;A1094&amp;", скв. "&amp;B1094&amp;". МРП: "&amp;E1094&amp;" сут. ГНО: "&amp;F1094&amp;", типоразмер "&amp;G1094&amp;", марка "&amp;H1094&amp;". Событие: "&amp;I1094&amp;". Признак: "&amp;J1094&amp;". Узел: "&amp;K1094&amp;". Предварительная причина: "&amp;L1094&amp;". Основное осложнение: "&amp;M1094&amp;IF(N1094&lt;&gt;"","; сопутствующее: "&amp;N1094,"")&amp;IF(O1094&lt;&gt;"","; дополнительно: "&amp;O1094,"")&amp;".")</f>
        <v/>
      </c>
    </row>
    <row r="1095">
      <c r="A1095" s="75" t="n"/>
      <c r="B1095" s="75" t="n"/>
      <c r="C1095" s="261" t="n"/>
      <c r="D1095" s="261" t="n"/>
      <c r="E1095" s="262">
        <f>IF(OR(C1095="",D1095=""),"",D1095-C1095)</f>
        <v/>
      </c>
      <c r="F1095" s="75" t="n"/>
      <c r="G1095" s="75" t="n"/>
      <c r="H1095" s="75" t="n"/>
      <c r="I1095" s="75" t="n"/>
      <c r="J1095" s="75" t="n"/>
      <c r="K1095" s="75" t="n"/>
      <c r="L1095" s="75" t="n"/>
      <c r="M1095" s="75" t="n"/>
      <c r="N1095" s="75" t="n"/>
      <c r="O1095" s="75" t="n"/>
      <c r="P1095" s="75" t="n"/>
      <c r="Q1095" s="75" t="n"/>
      <c r="R1095" s="75" t="n"/>
      <c r="S1095" s="75" t="n"/>
      <c r="T1095" s="75" t="n"/>
      <c r="U1095" s="75" t="n"/>
      <c r="V1095" s="75" t="n"/>
      <c r="W1095" s="75" t="n"/>
      <c r="X1095" s="75" t="n"/>
      <c r="Y1095" s="226">
        <f>IF(AND(A1095="",B1095=""),"",IF(AND(A1095&lt;&gt;"",B1095&lt;&gt;"",C1095&lt;&gt;"",D1095&lt;&gt;"",F1095&lt;&gt;"",G1095&lt;&gt;"",H1095&lt;&gt;"",ISERROR(SEARCH("по паспорту",G1095)),ISERROR(SEARCH("по паспорту",H1095)),I1095&lt;&gt;"",J1095&lt;&gt;"",K1095&lt;&gt;"",L1095&lt;&gt;"",M1095&lt;&gt;""),"ГОТОВО","НЕ ГОТОВО"))</f>
        <v/>
      </c>
      <c r="Z1095" s="226">
        <f>IF(Y1095&lt;&gt;"ГОТОВО","", "Предварительное заключение: "&amp;A1095&amp;", скв. "&amp;B1095&amp;". МРП: "&amp;E1095&amp;" сут. ГНО: "&amp;F1095&amp;", типоразмер "&amp;G1095&amp;", марка "&amp;H1095&amp;". Событие: "&amp;I1095&amp;". Признак: "&amp;J1095&amp;". Узел: "&amp;K1095&amp;". Предварительная причина: "&amp;L1095&amp;". Основное осложнение: "&amp;M1095&amp;IF(N1095&lt;&gt;"","; сопутствующее: "&amp;N1095,"")&amp;IF(O1095&lt;&gt;"","; дополнительно: "&amp;O1095,"")&amp;".")</f>
        <v/>
      </c>
    </row>
    <row r="1096">
      <c r="A1096" s="75" t="n"/>
      <c r="B1096" s="75" t="n"/>
      <c r="C1096" s="261" t="n"/>
      <c r="D1096" s="261" t="n"/>
      <c r="E1096" s="262">
        <f>IF(OR(C1096="",D1096=""),"",D1096-C1096)</f>
        <v/>
      </c>
      <c r="F1096" s="75" t="n"/>
      <c r="G1096" s="75" t="n"/>
      <c r="H1096" s="75" t="n"/>
      <c r="I1096" s="75" t="n"/>
      <c r="J1096" s="75" t="n"/>
      <c r="K1096" s="75" t="n"/>
      <c r="L1096" s="75" t="n"/>
      <c r="M1096" s="75" t="n"/>
      <c r="N1096" s="75" t="n"/>
      <c r="O1096" s="75" t="n"/>
      <c r="P1096" s="75" t="n"/>
      <c r="Q1096" s="75" t="n"/>
      <c r="R1096" s="75" t="n"/>
      <c r="S1096" s="75" t="n"/>
      <c r="T1096" s="75" t="n"/>
      <c r="U1096" s="75" t="n"/>
      <c r="V1096" s="75" t="n"/>
      <c r="W1096" s="75" t="n"/>
      <c r="X1096" s="75" t="n"/>
      <c r="Y1096" s="226">
        <f>IF(AND(A1096="",B1096=""),"",IF(AND(A1096&lt;&gt;"",B1096&lt;&gt;"",C1096&lt;&gt;"",D1096&lt;&gt;"",F1096&lt;&gt;"",G1096&lt;&gt;"",H1096&lt;&gt;"",ISERROR(SEARCH("по паспорту",G1096)),ISERROR(SEARCH("по паспорту",H1096)),I1096&lt;&gt;"",J1096&lt;&gt;"",K1096&lt;&gt;"",L1096&lt;&gt;"",M1096&lt;&gt;""),"ГОТОВО","НЕ ГОТОВО"))</f>
        <v/>
      </c>
      <c r="Z1096" s="226">
        <f>IF(Y1096&lt;&gt;"ГОТОВО","", "Предварительное заключение: "&amp;A1096&amp;", скв. "&amp;B1096&amp;". МРП: "&amp;E1096&amp;" сут. ГНО: "&amp;F1096&amp;", типоразмер "&amp;G1096&amp;", марка "&amp;H1096&amp;". Событие: "&amp;I1096&amp;". Признак: "&amp;J1096&amp;". Узел: "&amp;K1096&amp;". Предварительная причина: "&amp;L1096&amp;". Основное осложнение: "&amp;M1096&amp;IF(N1096&lt;&gt;"","; сопутствующее: "&amp;N1096,"")&amp;IF(O1096&lt;&gt;"","; дополнительно: "&amp;O1096,"")&amp;".")</f>
        <v/>
      </c>
    </row>
    <row r="1097">
      <c r="A1097" s="75" t="n"/>
      <c r="B1097" s="75" t="n"/>
      <c r="C1097" s="261" t="n"/>
      <c r="D1097" s="261" t="n"/>
      <c r="E1097" s="262">
        <f>IF(OR(C1097="",D1097=""),"",D1097-C1097)</f>
        <v/>
      </c>
      <c r="F1097" s="75" t="n"/>
      <c r="G1097" s="75" t="n"/>
      <c r="H1097" s="75" t="n"/>
      <c r="I1097" s="75" t="n"/>
      <c r="J1097" s="75" t="n"/>
      <c r="K1097" s="75" t="n"/>
      <c r="L1097" s="75" t="n"/>
      <c r="M1097" s="75" t="n"/>
      <c r="N1097" s="75" t="n"/>
      <c r="O1097" s="75" t="n"/>
      <c r="P1097" s="75" t="n"/>
      <c r="Q1097" s="75" t="n"/>
      <c r="R1097" s="75" t="n"/>
      <c r="S1097" s="75" t="n"/>
      <c r="T1097" s="75" t="n"/>
      <c r="U1097" s="75" t="n"/>
      <c r="V1097" s="75" t="n"/>
      <c r="W1097" s="75" t="n"/>
      <c r="X1097" s="75" t="n"/>
      <c r="Y1097" s="226">
        <f>IF(AND(A1097="",B1097=""),"",IF(AND(A1097&lt;&gt;"",B1097&lt;&gt;"",C1097&lt;&gt;"",D1097&lt;&gt;"",F1097&lt;&gt;"",G1097&lt;&gt;"",H1097&lt;&gt;"",ISERROR(SEARCH("по паспорту",G1097)),ISERROR(SEARCH("по паспорту",H1097)),I1097&lt;&gt;"",J1097&lt;&gt;"",K1097&lt;&gt;"",L1097&lt;&gt;"",M1097&lt;&gt;""),"ГОТОВО","НЕ ГОТОВО"))</f>
        <v/>
      </c>
      <c r="Z1097" s="226">
        <f>IF(Y1097&lt;&gt;"ГОТОВО","", "Предварительное заключение: "&amp;A1097&amp;", скв. "&amp;B1097&amp;". МРП: "&amp;E1097&amp;" сут. ГНО: "&amp;F1097&amp;", типоразмер "&amp;G1097&amp;", марка "&amp;H1097&amp;". Событие: "&amp;I1097&amp;". Признак: "&amp;J1097&amp;". Узел: "&amp;K1097&amp;". Предварительная причина: "&amp;L1097&amp;". Основное осложнение: "&amp;M1097&amp;IF(N1097&lt;&gt;"","; сопутствующее: "&amp;N1097,"")&amp;IF(O1097&lt;&gt;"","; дополнительно: "&amp;O1097,"")&amp;".")</f>
        <v/>
      </c>
    </row>
    <row r="1098">
      <c r="A1098" s="75" t="n"/>
      <c r="B1098" s="75" t="n"/>
      <c r="C1098" s="261" t="n"/>
      <c r="D1098" s="261" t="n"/>
      <c r="E1098" s="262">
        <f>IF(OR(C1098="",D1098=""),"",D1098-C1098)</f>
        <v/>
      </c>
      <c r="F1098" s="75" t="n"/>
      <c r="G1098" s="75" t="n"/>
      <c r="H1098" s="75" t="n"/>
      <c r="I1098" s="75" t="n"/>
      <c r="J1098" s="75" t="n"/>
      <c r="K1098" s="75" t="n"/>
      <c r="L1098" s="75" t="n"/>
      <c r="M1098" s="75" t="n"/>
      <c r="N1098" s="75" t="n"/>
      <c r="O1098" s="75" t="n"/>
      <c r="P1098" s="75" t="n"/>
      <c r="Q1098" s="75" t="n"/>
      <c r="R1098" s="75" t="n"/>
      <c r="S1098" s="75" t="n"/>
      <c r="T1098" s="75" t="n"/>
      <c r="U1098" s="75" t="n"/>
      <c r="V1098" s="75" t="n"/>
      <c r="W1098" s="75" t="n"/>
      <c r="X1098" s="75" t="n"/>
      <c r="Y1098" s="226">
        <f>IF(AND(A1098="",B1098=""),"",IF(AND(A1098&lt;&gt;"",B1098&lt;&gt;"",C1098&lt;&gt;"",D1098&lt;&gt;"",F1098&lt;&gt;"",G1098&lt;&gt;"",H1098&lt;&gt;"",ISERROR(SEARCH("по паспорту",G1098)),ISERROR(SEARCH("по паспорту",H1098)),I1098&lt;&gt;"",J1098&lt;&gt;"",K1098&lt;&gt;"",L1098&lt;&gt;"",M1098&lt;&gt;""),"ГОТОВО","НЕ ГОТОВО"))</f>
        <v/>
      </c>
      <c r="Z1098" s="226">
        <f>IF(Y1098&lt;&gt;"ГОТОВО","", "Предварительное заключение: "&amp;A1098&amp;", скв. "&amp;B1098&amp;". МРП: "&amp;E1098&amp;" сут. ГНО: "&amp;F1098&amp;", типоразмер "&amp;G1098&amp;", марка "&amp;H1098&amp;". Событие: "&amp;I1098&amp;". Признак: "&amp;J1098&amp;". Узел: "&amp;K1098&amp;". Предварительная причина: "&amp;L1098&amp;". Основное осложнение: "&amp;M1098&amp;IF(N1098&lt;&gt;"","; сопутствующее: "&amp;N1098,"")&amp;IF(O1098&lt;&gt;"","; дополнительно: "&amp;O1098,"")&amp;".")</f>
        <v/>
      </c>
    </row>
    <row r="1099">
      <c r="A1099" s="75" t="n"/>
      <c r="B1099" s="75" t="n"/>
      <c r="C1099" s="261" t="n"/>
      <c r="D1099" s="261" t="n"/>
      <c r="E1099" s="262">
        <f>IF(OR(C1099="",D1099=""),"",D1099-C1099)</f>
        <v/>
      </c>
      <c r="F1099" s="75" t="n"/>
      <c r="G1099" s="75" t="n"/>
      <c r="H1099" s="75" t="n"/>
      <c r="I1099" s="75" t="n"/>
      <c r="J1099" s="75" t="n"/>
      <c r="K1099" s="75" t="n"/>
      <c r="L1099" s="75" t="n"/>
      <c r="M1099" s="75" t="n"/>
      <c r="N1099" s="75" t="n"/>
      <c r="O1099" s="75" t="n"/>
      <c r="P1099" s="75" t="n"/>
      <c r="Q1099" s="75" t="n"/>
      <c r="R1099" s="75" t="n"/>
      <c r="S1099" s="75" t="n"/>
      <c r="T1099" s="75" t="n"/>
      <c r="U1099" s="75" t="n"/>
      <c r="V1099" s="75" t="n"/>
      <c r="W1099" s="75" t="n"/>
      <c r="X1099" s="75" t="n"/>
      <c r="Y1099" s="226">
        <f>IF(AND(A1099="",B1099=""),"",IF(AND(A1099&lt;&gt;"",B1099&lt;&gt;"",C1099&lt;&gt;"",D1099&lt;&gt;"",F1099&lt;&gt;"",G1099&lt;&gt;"",H1099&lt;&gt;"",ISERROR(SEARCH("по паспорту",G1099)),ISERROR(SEARCH("по паспорту",H1099)),I1099&lt;&gt;"",J1099&lt;&gt;"",K1099&lt;&gt;"",L1099&lt;&gt;"",M1099&lt;&gt;""),"ГОТОВО","НЕ ГОТОВО"))</f>
        <v/>
      </c>
      <c r="Z1099" s="226">
        <f>IF(Y1099&lt;&gt;"ГОТОВО","", "Предварительное заключение: "&amp;A1099&amp;", скв. "&amp;B1099&amp;". МРП: "&amp;E1099&amp;" сут. ГНО: "&amp;F1099&amp;", типоразмер "&amp;G1099&amp;", марка "&amp;H1099&amp;". Событие: "&amp;I1099&amp;". Признак: "&amp;J1099&amp;". Узел: "&amp;K1099&amp;". Предварительная причина: "&amp;L1099&amp;". Основное осложнение: "&amp;M1099&amp;IF(N1099&lt;&gt;"","; сопутствующее: "&amp;N1099,"")&amp;IF(O1099&lt;&gt;"","; дополнительно: "&amp;O1099,"")&amp;".")</f>
        <v/>
      </c>
    </row>
    <row r="1100">
      <c r="A1100" s="75" t="n"/>
      <c r="B1100" s="75" t="n"/>
      <c r="C1100" s="261" t="n"/>
      <c r="D1100" s="261" t="n"/>
      <c r="E1100" s="262">
        <f>IF(OR(C1100="",D1100=""),"",D1100-C1100)</f>
        <v/>
      </c>
      <c r="F1100" s="75" t="n"/>
      <c r="G1100" s="75" t="n"/>
      <c r="H1100" s="75" t="n"/>
      <c r="I1100" s="75" t="n"/>
      <c r="J1100" s="75" t="n"/>
      <c r="K1100" s="75" t="n"/>
      <c r="L1100" s="75" t="n"/>
      <c r="M1100" s="75" t="n"/>
      <c r="N1100" s="75" t="n"/>
      <c r="O1100" s="75" t="n"/>
      <c r="P1100" s="75" t="n"/>
      <c r="Q1100" s="75" t="n"/>
      <c r="R1100" s="75" t="n"/>
      <c r="S1100" s="75" t="n"/>
      <c r="T1100" s="75" t="n"/>
      <c r="U1100" s="75" t="n"/>
      <c r="V1100" s="75" t="n"/>
      <c r="W1100" s="75" t="n"/>
      <c r="X1100" s="75" t="n"/>
      <c r="Y1100" s="226">
        <f>IF(AND(A1100="",B1100=""),"",IF(AND(A1100&lt;&gt;"",B1100&lt;&gt;"",C1100&lt;&gt;"",D1100&lt;&gt;"",F1100&lt;&gt;"",G1100&lt;&gt;"",H1100&lt;&gt;"",ISERROR(SEARCH("по паспорту",G1100)),ISERROR(SEARCH("по паспорту",H1100)),I1100&lt;&gt;"",J1100&lt;&gt;"",K1100&lt;&gt;"",L1100&lt;&gt;"",M1100&lt;&gt;""),"ГОТОВО","НЕ ГОТОВО"))</f>
        <v/>
      </c>
      <c r="Z1100" s="226">
        <f>IF(Y1100&lt;&gt;"ГОТОВО","", "Предварительное заключение: "&amp;A1100&amp;", скв. "&amp;B1100&amp;". МРП: "&amp;E1100&amp;" сут. ГНО: "&amp;F1100&amp;", типоразмер "&amp;G1100&amp;", марка "&amp;H1100&amp;". Событие: "&amp;I1100&amp;". Признак: "&amp;J1100&amp;". Узел: "&amp;K1100&amp;". Предварительная причина: "&amp;L1100&amp;". Основное осложнение: "&amp;M1100&amp;IF(N1100&lt;&gt;"","; сопутствующее: "&amp;N1100,"")&amp;IF(O1100&lt;&gt;"","; дополнительно: "&amp;O1100,"")&amp;".")</f>
        <v/>
      </c>
    </row>
    <row r="1101">
      <c r="A1101" s="75" t="n"/>
      <c r="B1101" s="75" t="n"/>
      <c r="C1101" s="261" t="n"/>
      <c r="D1101" s="261" t="n"/>
      <c r="E1101" s="262">
        <f>IF(OR(C1101="",D1101=""),"",D1101-C1101)</f>
        <v/>
      </c>
      <c r="F1101" s="75" t="n"/>
      <c r="G1101" s="75" t="n"/>
      <c r="H1101" s="75" t="n"/>
      <c r="I1101" s="75" t="n"/>
      <c r="J1101" s="75" t="n"/>
      <c r="K1101" s="75" t="n"/>
      <c r="L1101" s="75" t="n"/>
      <c r="M1101" s="75" t="n"/>
      <c r="N1101" s="75" t="n"/>
      <c r="O1101" s="75" t="n"/>
      <c r="P1101" s="75" t="n"/>
      <c r="Q1101" s="75" t="n"/>
      <c r="R1101" s="75" t="n"/>
      <c r="S1101" s="75" t="n"/>
      <c r="T1101" s="75" t="n"/>
      <c r="U1101" s="75" t="n"/>
      <c r="V1101" s="75" t="n"/>
      <c r="W1101" s="75" t="n"/>
      <c r="X1101" s="75" t="n"/>
      <c r="Y1101" s="226">
        <f>IF(AND(A1101="",B1101=""),"",IF(AND(A1101&lt;&gt;"",B1101&lt;&gt;"",C1101&lt;&gt;"",D1101&lt;&gt;"",F1101&lt;&gt;"",G1101&lt;&gt;"",H1101&lt;&gt;"",ISERROR(SEARCH("по паспорту",G1101)),ISERROR(SEARCH("по паспорту",H1101)),I1101&lt;&gt;"",J1101&lt;&gt;"",K1101&lt;&gt;"",L1101&lt;&gt;"",M1101&lt;&gt;""),"ГОТОВО","НЕ ГОТОВО"))</f>
        <v/>
      </c>
      <c r="Z1101" s="226">
        <f>IF(Y1101&lt;&gt;"ГОТОВО","", "Предварительное заключение: "&amp;A1101&amp;", скв. "&amp;B1101&amp;". МРП: "&amp;E1101&amp;" сут. ГНО: "&amp;F1101&amp;", типоразмер "&amp;G1101&amp;", марка "&amp;H1101&amp;". Событие: "&amp;I1101&amp;". Признак: "&amp;J1101&amp;". Узел: "&amp;K1101&amp;". Предварительная причина: "&amp;L1101&amp;". Основное осложнение: "&amp;M1101&amp;IF(N1101&lt;&gt;"","; сопутствующее: "&amp;N1101,"")&amp;IF(O1101&lt;&gt;"","; дополнительно: "&amp;O1101,"")&amp;".")</f>
        <v/>
      </c>
    </row>
    <row r="1102">
      <c r="A1102" s="75" t="n"/>
      <c r="B1102" s="75" t="n"/>
      <c r="C1102" s="261" t="n"/>
      <c r="D1102" s="261" t="n"/>
      <c r="E1102" s="262">
        <f>IF(OR(C1102="",D1102=""),"",D1102-C1102)</f>
        <v/>
      </c>
      <c r="F1102" s="75" t="n"/>
      <c r="G1102" s="75" t="n"/>
      <c r="H1102" s="75" t="n"/>
      <c r="I1102" s="75" t="n"/>
      <c r="J1102" s="75" t="n"/>
      <c r="K1102" s="75" t="n"/>
      <c r="L1102" s="75" t="n"/>
      <c r="M1102" s="75" t="n"/>
      <c r="N1102" s="75" t="n"/>
      <c r="O1102" s="75" t="n"/>
      <c r="P1102" s="75" t="n"/>
      <c r="Q1102" s="75" t="n"/>
      <c r="R1102" s="75" t="n"/>
      <c r="S1102" s="75" t="n"/>
      <c r="T1102" s="75" t="n"/>
      <c r="U1102" s="75" t="n"/>
      <c r="V1102" s="75" t="n"/>
      <c r="W1102" s="75" t="n"/>
      <c r="X1102" s="75" t="n"/>
      <c r="Y1102" s="226">
        <f>IF(AND(A1102="",B1102=""),"",IF(AND(A1102&lt;&gt;"",B1102&lt;&gt;"",C1102&lt;&gt;"",D1102&lt;&gt;"",F1102&lt;&gt;"",G1102&lt;&gt;"",H1102&lt;&gt;"",ISERROR(SEARCH("по паспорту",G1102)),ISERROR(SEARCH("по паспорту",H1102)),I1102&lt;&gt;"",J1102&lt;&gt;"",K1102&lt;&gt;"",L1102&lt;&gt;"",M1102&lt;&gt;""),"ГОТОВО","НЕ ГОТОВО"))</f>
        <v/>
      </c>
      <c r="Z1102" s="226">
        <f>IF(Y1102&lt;&gt;"ГОТОВО","", "Предварительное заключение: "&amp;A1102&amp;", скв. "&amp;B1102&amp;". МРП: "&amp;E1102&amp;" сут. ГНО: "&amp;F1102&amp;", типоразмер "&amp;G1102&amp;", марка "&amp;H1102&amp;". Событие: "&amp;I1102&amp;". Признак: "&amp;J1102&amp;". Узел: "&amp;K1102&amp;". Предварительная причина: "&amp;L1102&amp;". Основное осложнение: "&amp;M1102&amp;IF(N1102&lt;&gt;"","; сопутствующее: "&amp;N1102,"")&amp;IF(O1102&lt;&gt;"","; дополнительно: "&amp;O1102,"")&amp;".")</f>
        <v/>
      </c>
    </row>
    <row r="1103">
      <c r="A1103" s="75" t="n"/>
      <c r="B1103" s="75" t="n"/>
      <c r="C1103" s="261" t="n"/>
      <c r="D1103" s="261" t="n"/>
      <c r="E1103" s="262">
        <f>IF(OR(C1103="",D1103=""),"",D1103-C1103)</f>
        <v/>
      </c>
      <c r="F1103" s="75" t="n"/>
      <c r="G1103" s="75" t="n"/>
      <c r="H1103" s="75" t="n"/>
      <c r="I1103" s="75" t="n"/>
      <c r="J1103" s="75" t="n"/>
      <c r="K1103" s="75" t="n"/>
      <c r="L1103" s="75" t="n"/>
      <c r="M1103" s="75" t="n"/>
      <c r="N1103" s="75" t="n"/>
      <c r="O1103" s="75" t="n"/>
      <c r="P1103" s="75" t="n"/>
      <c r="Q1103" s="75" t="n"/>
      <c r="R1103" s="75" t="n"/>
      <c r="S1103" s="75" t="n"/>
      <c r="T1103" s="75" t="n"/>
      <c r="U1103" s="75" t="n"/>
      <c r="V1103" s="75" t="n"/>
      <c r="W1103" s="75" t="n"/>
      <c r="X1103" s="75" t="n"/>
      <c r="Y1103" s="226">
        <f>IF(AND(A1103="",B1103=""),"",IF(AND(A1103&lt;&gt;"",B1103&lt;&gt;"",C1103&lt;&gt;"",D1103&lt;&gt;"",F1103&lt;&gt;"",G1103&lt;&gt;"",H1103&lt;&gt;"",ISERROR(SEARCH("по паспорту",G1103)),ISERROR(SEARCH("по паспорту",H1103)),I1103&lt;&gt;"",J1103&lt;&gt;"",K1103&lt;&gt;"",L1103&lt;&gt;"",M1103&lt;&gt;""),"ГОТОВО","НЕ ГОТОВО"))</f>
        <v/>
      </c>
      <c r="Z1103" s="226">
        <f>IF(Y1103&lt;&gt;"ГОТОВО","", "Предварительное заключение: "&amp;A1103&amp;", скв. "&amp;B1103&amp;". МРП: "&amp;E1103&amp;" сут. ГНО: "&amp;F1103&amp;", типоразмер "&amp;G1103&amp;", марка "&amp;H1103&amp;". Событие: "&amp;I1103&amp;". Признак: "&amp;J1103&amp;". Узел: "&amp;K1103&amp;". Предварительная причина: "&amp;L1103&amp;". Основное осложнение: "&amp;M1103&amp;IF(N1103&lt;&gt;"","; сопутствующее: "&amp;N1103,"")&amp;IF(O1103&lt;&gt;"","; дополнительно: "&amp;O1103,"")&amp;".")</f>
        <v/>
      </c>
    </row>
    <row r="1104">
      <c r="A1104" s="75" t="n"/>
      <c r="B1104" s="75" t="n"/>
      <c r="C1104" s="261" t="n"/>
      <c r="D1104" s="261" t="n"/>
      <c r="E1104" s="262">
        <f>IF(OR(C1104="",D1104=""),"",D1104-C1104)</f>
        <v/>
      </c>
      <c r="F1104" s="75" t="n"/>
      <c r="G1104" s="75" t="n"/>
      <c r="H1104" s="75" t="n"/>
      <c r="I1104" s="75" t="n"/>
      <c r="J1104" s="75" t="n"/>
      <c r="K1104" s="75" t="n"/>
      <c r="L1104" s="75" t="n"/>
      <c r="M1104" s="75" t="n"/>
      <c r="N1104" s="75" t="n"/>
      <c r="O1104" s="75" t="n"/>
      <c r="P1104" s="75" t="n"/>
      <c r="Q1104" s="75" t="n"/>
      <c r="R1104" s="75" t="n"/>
      <c r="S1104" s="75" t="n"/>
      <c r="T1104" s="75" t="n"/>
      <c r="U1104" s="75" t="n"/>
      <c r="V1104" s="75" t="n"/>
      <c r="W1104" s="75" t="n"/>
      <c r="X1104" s="75" t="n"/>
      <c r="Y1104" s="226">
        <f>IF(AND(A1104="",B1104=""),"",IF(AND(A1104&lt;&gt;"",B1104&lt;&gt;"",C1104&lt;&gt;"",D1104&lt;&gt;"",F1104&lt;&gt;"",G1104&lt;&gt;"",H1104&lt;&gt;"",ISERROR(SEARCH("по паспорту",G1104)),ISERROR(SEARCH("по паспорту",H1104)),I1104&lt;&gt;"",J1104&lt;&gt;"",K1104&lt;&gt;"",L1104&lt;&gt;"",M1104&lt;&gt;""),"ГОТОВО","НЕ ГОТОВО"))</f>
        <v/>
      </c>
      <c r="Z1104" s="226">
        <f>IF(Y1104&lt;&gt;"ГОТОВО","", "Предварительное заключение: "&amp;A1104&amp;", скв. "&amp;B1104&amp;". МРП: "&amp;E1104&amp;" сут. ГНО: "&amp;F1104&amp;", типоразмер "&amp;G1104&amp;", марка "&amp;H1104&amp;". Событие: "&amp;I1104&amp;". Признак: "&amp;J1104&amp;". Узел: "&amp;K1104&amp;". Предварительная причина: "&amp;L1104&amp;". Основное осложнение: "&amp;M1104&amp;IF(N1104&lt;&gt;"","; сопутствующее: "&amp;N1104,"")&amp;IF(O1104&lt;&gt;"","; дополнительно: "&amp;O1104,"")&amp;".")</f>
        <v/>
      </c>
    </row>
    <row r="1105">
      <c r="A1105" s="75" t="n"/>
      <c r="B1105" s="75" t="n"/>
      <c r="C1105" s="261" t="n"/>
      <c r="D1105" s="261" t="n"/>
      <c r="E1105" s="262">
        <f>IF(OR(C1105="",D1105=""),"",D1105-C1105)</f>
        <v/>
      </c>
      <c r="F1105" s="75" t="n"/>
      <c r="G1105" s="75" t="n"/>
      <c r="H1105" s="75" t="n"/>
      <c r="I1105" s="75" t="n"/>
      <c r="J1105" s="75" t="n"/>
      <c r="K1105" s="75" t="n"/>
      <c r="L1105" s="75" t="n"/>
      <c r="M1105" s="75" t="n"/>
      <c r="N1105" s="75" t="n"/>
      <c r="O1105" s="75" t="n"/>
      <c r="P1105" s="75" t="n"/>
      <c r="Q1105" s="75" t="n"/>
      <c r="R1105" s="75" t="n"/>
      <c r="S1105" s="75" t="n"/>
      <c r="T1105" s="75" t="n"/>
      <c r="U1105" s="75" t="n"/>
      <c r="V1105" s="75" t="n"/>
      <c r="W1105" s="75" t="n"/>
      <c r="X1105" s="75" t="n"/>
      <c r="Y1105" s="226">
        <f>IF(AND(A1105="",B1105=""),"",IF(AND(A1105&lt;&gt;"",B1105&lt;&gt;"",C1105&lt;&gt;"",D1105&lt;&gt;"",F1105&lt;&gt;"",G1105&lt;&gt;"",H1105&lt;&gt;"",ISERROR(SEARCH("по паспорту",G1105)),ISERROR(SEARCH("по паспорту",H1105)),I1105&lt;&gt;"",J1105&lt;&gt;"",K1105&lt;&gt;"",L1105&lt;&gt;"",M1105&lt;&gt;""),"ГОТОВО","НЕ ГОТОВО"))</f>
        <v/>
      </c>
      <c r="Z1105" s="226">
        <f>IF(Y1105&lt;&gt;"ГОТОВО","", "Предварительное заключение: "&amp;A1105&amp;", скв. "&amp;B1105&amp;". МРП: "&amp;E1105&amp;" сут. ГНО: "&amp;F1105&amp;", типоразмер "&amp;G1105&amp;", марка "&amp;H1105&amp;". Событие: "&amp;I1105&amp;". Признак: "&amp;J1105&amp;". Узел: "&amp;K1105&amp;". Предварительная причина: "&amp;L1105&amp;". Основное осложнение: "&amp;M1105&amp;IF(N1105&lt;&gt;"","; сопутствующее: "&amp;N1105,"")&amp;IF(O1105&lt;&gt;"","; дополнительно: "&amp;O1105,"")&amp;".")</f>
        <v/>
      </c>
    </row>
    <row r="1106">
      <c r="A1106" s="75" t="n"/>
      <c r="B1106" s="75" t="n"/>
      <c r="C1106" s="261" t="n"/>
      <c r="D1106" s="261" t="n"/>
      <c r="E1106" s="262">
        <f>IF(OR(C1106="",D1106=""),"",D1106-C1106)</f>
        <v/>
      </c>
      <c r="F1106" s="75" t="n"/>
      <c r="G1106" s="75" t="n"/>
      <c r="H1106" s="75" t="n"/>
      <c r="I1106" s="75" t="n"/>
      <c r="J1106" s="75" t="n"/>
      <c r="K1106" s="75" t="n"/>
      <c r="L1106" s="75" t="n"/>
      <c r="M1106" s="75" t="n"/>
      <c r="N1106" s="75" t="n"/>
      <c r="O1106" s="75" t="n"/>
      <c r="P1106" s="75" t="n"/>
      <c r="Q1106" s="75" t="n"/>
      <c r="R1106" s="75" t="n"/>
      <c r="S1106" s="75" t="n"/>
      <c r="T1106" s="75" t="n"/>
      <c r="U1106" s="75" t="n"/>
      <c r="V1106" s="75" t="n"/>
      <c r="W1106" s="75" t="n"/>
      <c r="X1106" s="75" t="n"/>
      <c r="Y1106" s="226">
        <f>IF(AND(A1106="",B1106=""),"",IF(AND(A1106&lt;&gt;"",B1106&lt;&gt;"",C1106&lt;&gt;"",D1106&lt;&gt;"",F1106&lt;&gt;"",G1106&lt;&gt;"",H1106&lt;&gt;"",ISERROR(SEARCH("по паспорту",G1106)),ISERROR(SEARCH("по паспорту",H1106)),I1106&lt;&gt;"",J1106&lt;&gt;"",K1106&lt;&gt;"",L1106&lt;&gt;"",M1106&lt;&gt;""),"ГОТОВО","НЕ ГОТОВО"))</f>
        <v/>
      </c>
      <c r="Z1106" s="226">
        <f>IF(Y1106&lt;&gt;"ГОТОВО","", "Предварительное заключение: "&amp;A1106&amp;", скв. "&amp;B1106&amp;". МРП: "&amp;E1106&amp;" сут. ГНО: "&amp;F1106&amp;", типоразмер "&amp;G1106&amp;", марка "&amp;H1106&amp;". Событие: "&amp;I1106&amp;". Признак: "&amp;J1106&amp;". Узел: "&amp;K1106&amp;". Предварительная причина: "&amp;L1106&amp;". Основное осложнение: "&amp;M1106&amp;IF(N1106&lt;&gt;"","; сопутствующее: "&amp;N1106,"")&amp;IF(O1106&lt;&gt;"","; дополнительно: "&amp;O1106,"")&amp;".")</f>
        <v/>
      </c>
    </row>
    <row r="1107">
      <c r="A1107" s="75" t="n"/>
      <c r="B1107" s="75" t="n"/>
      <c r="C1107" s="261" t="n"/>
      <c r="D1107" s="261" t="n"/>
      <c r="E1107" s="262">
        <f>IF(OR(C1107="",D1107=""),"",D1107-C1107)</f>
        <v/>
      </c>
      <c r="F1107" s="75" t="n"/>
      <c r="G1107" s="75" t="n"/>
      <c r="H1107" s="75" t="n"/>
      <c r="I1107" s="75" t="n"/>
      <c r="J1107" s="75" t="n"/>
      <c r="K1107" s="75" t="n"/>
      <c r="L1107" s="75" t="n"/>
      <c r="M1107" s="75" t="n"/>
      <c r="N1107" s="75" t="n"/>
      <c r="O1107" s="75" t="n"/>
      <c r="P1107" s="75" t="n"/>
      <c r="Q1107" s="75" t="n"/>
      <c r="R1107" s="75" t="n"/>
      <c r="S1107" s="75" t="n"/>
      <c r="T1107" s="75" t="n"/>
      <c r="U1107" s="75" t="n"/>
      <c r="V1107" s="75" t="n"/>
      <c r="W1107" s="75" t="n"/>
      <c r="X1107" s="75" t="n"/>
      <c r="Y1107" s="226">
        <f>IF(AND(A1107="",B1107=""),"",IF(AND(A1107&lt;&gt;"",B1107&lt;&gt;"",C1107&lt;&gt;"",D1107&lt;&gt;"",F1107&lt;&gt;"",G1107&lt;&gt;"",H1107&lt;&gt;"",ISERROR(SEARCH("по паспорту",G1107)),ISERROR(SEARCH("по паспорту",H1107)),I1107&lt;&gt;"",J1107&lt;&gt;"",K1107&lt;&gt;"",L1107&lt;&gt;"",M1107&lt;&gt;""),"ГОТОВО","НЕ ГОТОВО"))</f>
        <v/>
      </c>
      <c r="Z1107" s="226">
        <f>IF(Y1107&lt;&gt;"ГОТОВО","", "Предварительное заключение: "&amp;A1107&amp;", скв. "&amp;B1107&amp;". МРП: "&amp;E1107&amp;" сут. ГНО: "&amp;F1107&amp;", типоразмер "&amp;G1107&amp;", марка "&amp;H1107&amp;". Событие: "&amp;I1107&amp;". Признак: "&amp;J1107&amp;". Узел: "&amp;K1107&amp;". Предварительная причина: "&amp;L1107&amp;". Основное осложнение: "&amp;M1107&amp;IF(N1107&lt;&gt;"","; сопутствующее: "&amp;N1107,"")&amp;IF(O1107&lt;&gt;"","; дополнительно: "&amp;O1107,"")&amp;".")</f>
        <v/>
      </c>
    </row>
    <row r="1108">
      <c r="A1108" s="75" t="n"/>
      <c r="B1108" s="75" t="n"/>
      <c r="C1108" s="261" t="n"/>
      <c r="D1108" s="261" t="n"/>
      <c r="E1108" s="262">
        <f>IF(OR(C1108="",D1108=""),"",D1108-C1108)</f>
        <v/>
      </c>
      <c r="F1108" s="75" t="n"/>
      <c r="G1108" s="75" t="n"/>
      <c r="H1108" s="75" t="n"/>
      <c r="I1108" s="75" t="n"/>
      <c r="J1108" s="75" t="n"/>
      <c r="K1108" s="75" t="n"/>
      <c r="L1108" s="75" t="n"/>
      <c r="M1108" s="75" t="n"/>
      <c r="N1108" s="75" t="n"/>
      <c r="O1108" s="75" t="n"/>
      <c r="P1108" s="75" t="n"/>
      <c r="Q1108" s="75" t="n"/>
      <c r="R1108" s="75" t="n"/>
      <c r="S1108" s="75" t="n"/>
      <c r="T1108" s="75" t="n"/>
      <c r="U1108" s="75" t="n"/>
      <c r="V1108" s="75" t="n"/>
      <c r="W1108" s="75" t="n"/>
      <c r="X1108" s="75" t="n"/>
      <c r="Y1108" s="226">
        <f>IF(AND(A1108="",B1108=""),"",IF(AND(A1108&lt;&gt;"",B1108&lt;&gt;"",C1108&lt;&gt;"",D1108&lt;&gt;"",F1108&lt;&gt;"",G1108&lt;&gt;"",H1108&lt;&gt;"",ISERROR(SEARCH("по паспорту",G1108)),ISERROR(SEARCH("по паспорту",H1108)),I1108&lt;&gt;"",J1108&lt;&gt;"",K1108&lt;&gt;"",L1108&lt;&gt;"",M1108&lt;&gt;""),"ГОТОВО","НЕ ГОТОВО"))</f>
        <v/>
      </c>
      <c r="Z1108" s="226">
        <f>IF(Y1108&lt;&gt;"ГОТОВО","", "Предварительное заключение: "&amp;A1108&amp;", скв. "&amp;B1108&amp;". МРП: "&amp;E1108&amp;" сут. ГНО: "&amp;F1108&amp;", типоразмер "&amp;G1108&amp;", марка "&amp;H1108&amp;". Событие: "&amp;I1108&amp;". Признак: "&amp;J1108&amp;". Узел: "&amp;K1108&amp;". Предварительная причина: "&amp;L1108&amp;". Основное осложнение: "&amp;M1108&amp;IF(N1108&lt;&gt;"","; сопутствующее: "&amp;N1108,"")&amp;IF(O1108&lt;&gt;"","; дополнительно: "&amp;O1108,"")&amp;".")</f>
        <v/>
      </c>
    </row>
    <row r="1109">
      <c r="A1109" s="75" t="n"/>
      <c r="B1109" s="75" t="n"/>
      <c r="C1109" s="261" t="n"/>
      <c r="D1109" s="261" t="n"/>
      <c r="E1109" s="262">
        <f>IF(OR(C1109="",D1109=""),"",D1109-C1109)</f>
        <v/>
      </c>
      <c r="F1109" s="75" t="n"/>
      <c r="G1109" s="75" t="n"/>
      <c r="H1109" s="75" t="n"/>
      <c r="I1109" s="75" t="n"/>
      <c r="J1109" s="75" t="n"/>
      <c r="K1109" s="75" t="n"/>
      <c r="L1109" s="75" t="n"/>
      <c r="M1109" s="75" t="n"/>
      <c r="N1109" s="75" t="n"/>
      <c r="O1109" s="75" t="n"/>
      <c r="P1109" s="75" t="n"/>
      <c r="Q1109" s="75" t="n"/>
      <c r="R1109" s="75" t="n"/>
      <c r="S1109" s="75" t="n"/>
      <c r="T1109" s="75" t="n"/>
      <c r="U1109" s="75" t="n"/>
      <c r="V1109" s="75" t="n"/>
      <c r="W1109" s="75" t="n"/>
      <c r="X1109" s="75" t="n"/>
      <c r="Y1109" s="226">
        <f>IF(AND(A1109="",B1109=""),"",IF(AND(A1109&lt;&gt;"",B1109&lt;&gt;"",C1109&lt;&gt;"",D1109&lt;&gt;"",F1109&lt;&gt;"",G1109&lt;&gt;"",H1109&lt;&gt;"",ISERROR(SEARCH("по паспорту",G1109)),ISERROR(SEARCH("по паспорту",H1109)),I1109&lt;&gt;"",J1109&lt;&gt;"",K1109&lt;&gt;"",L1109&lt;&gt;"",M1109&lt;&gt;""),"ГОТОВО","НЕ ГОТОВО"))</f>
        <v/>
      </c>
      <c r="Z1109" s="226">
        <f>IF(Y1109&lt;&gt;"ГОТОВО","", "Предварительное заключение: "&amp;A1109&amp;", скв. "&amp;B1109&amp;". МРП: "&amp;E1109&amp;" сут. ГНО: "&amp;F1109&amp;", типоразмер "&amp;G1109&amp;", марка "&amp;H1109&amp;". Событие: "&amp;I1109&amp;". Признак: "&amp;J1109&amp;". Узел: "&amp;K1109&amp;". Предварительная причина: "&amp;L1109&amp;". Основное осложнение: "&amp;M1109&amp;IF(N1109&lt;&gt;"","; сопутствующее: "&amp;N1109,"")&amp;IF(O1109&lt;&gt;"","; дополнительно: "&amp;O1109,"")&amp;".")</f>
        <v/>
      </c>
    </row>
    <row r="1110">
      <c r="A1110" s="75" t="n"/>
      <c r="B1110" s="75" t="n"/>
      <c r="C1110" s="261" t="n"/>
      <c r="D1110" s="261" t="n"/>
      <c r="E1110" s="262">
        <f>IF(OR(C1110="",D1110=""),"",D1110-C1110)</f>
        <v/>
      </c>
      <c r="F1110" s="75" t="n"/>
      <c r="G1110" s="75" t="n"/>
      <c r="H1110" s="75" t="n"/>
      <c r="I1110" s="75" t="n"/>
      <c r="J1110" s="75" t="n"/>
      <c r="K1110" s="75" t="n"/>
      <c r="L1110" s="75" t="n"/>
      <c r="M1110" s="75" t="n"/>
      <c r="N1110" s="75" t="n"/>
      <c r="O1110" s="75" t="n"/>
      <c r="P1110" s="75" t="n"/>
      <c r="Q1110" s="75" t="n"/>
      <c r="R1110" s="75" t="n"/>
      <c r="S1110" s="75" t="n"/>
      <c r="T1110" s="75" t="n"/>
      <c r="U1110" s="75" t="n"/>
      <c r="V1110" s="75" t="n"/>
      <c r="W1110" s="75" t="n"/>
      <c r="X1110" s="75" t="n"/>
      <c r="Y1110" s="226">
        <f>IF(AND(A1110="",B1110=""),"",IF(AND(A1110&lt;&gt;"",B1110&lt;&gt;"",C1110&lt;&gt;"",D1110&lt;&gt;"",F1110&lt;&gt;"",G1110&lt;&gt;"",H1110&lt;&gt;"",ISERROR(SEARCH("по паспорту",G1110)),ISERROR(SEARCH("по паспорту",H1110)),I1110&lt;&gt;"",J1110&lt;&gt;"",K1110&lt;&gt;"",L1110&lt;&gt;"",M1110&lt;&gt;""),"ГОТОВО","НЕ ГОТОВО"))</f>
        <v/>
      </c>
      <c r="Z1110" s="226">
        <f>IF(Y1110&lt;&gt;"ГОТОВО","", "Предварительное заключение: "&amp;A1110&amp;", скв. "&amp;B1110&amp;". МРП: "&amp;E1110&amp;" сут. ГНО: "&amp;F1110&amp;", типоразмер "&amp;G1110&amp;", марка "&amp;H1110&amp;". Событие: "&amp;I1110&amp;". Признак: "&amp;J1110&amp;". Узел: "&amp;K1110&amp;". Предварительная причина: "&amp;L1110&amp;". Основное осложнение: "&amp;M1110&amp;IF(N1110&lt;&gt;"","; сопутствующее: "&amp;N1110,"")&amp;IF(O1110&lt;&gt;"","; дополнительно: "&amp;O1110,"")&amp;".")</f>
        <v/>
      </c>
    </row>
    <row r="1111">
      <c r="A1111" s="75" t="n"/>
      <c r="B1111" s="75" t="n"/>
      <c r="C1111" s="261" t="n"/>
      <c r="D1111" s="261" t="n"/>
      <c r="E1111" s="262">
        <f>IF(OR(C1111="",D1111=""),"",D1111-C1111)</f>
        <v/>
      </c>
      <c r="F1111" s="75" t="n"/>
      <c r="G1111" s="75" t="n"/>
      <c r="H1111" s="75" t="n"/>
      <c r="I1111" s="75" t="n"/>
      <c r="J1111" s="75" t="n"/>
      <c r="K1111" s="75" t="n"/>
      <c r="L1111" s="75" t="n"/>
      <c r="M1111" s="75" t="n"/>
      <c r="N1111" s="75" t="n"/>
      <c r="O1111" s="75" t="n"/>
      <c r="P1111" s="75" t="n"/>
      <c r="Q1111" s="75" t="n"/>
      <c r="R1111" s="75" t="n"/>
      <c r="S1111" s="75" t="n"/>
      <c r="T1111" s="75" t="n"/>
      <c r="U1111" s="75" t="n"/>
      <c r="V1111" s="75" t="n"/>
      <c r="W1111" s="75" t="n"/>
      <c r="X1111" s="75" t="n"/>
      <c r="Y1111" s="226">
        <f>IF(AND(A1111="",B1111=""),"",IF(AND(A1111&lt;&gt;"",B1111&lt;&gt;"",C1111&lt;&gt;"",D1111&lt;&gt;"",F1111&lt;&gt;"",G1111&lt;&gt;"",H1111&lt;&gt;"",ISERROR(SEARCH("по паспорту",G1111)),ISERROR(SEARCH("по паспорту",H1111)),I1111&lt;&gt;"",J1111&lt;&gt;"",K1111&lt;&gt;"",L1111&lt;&gt;"",M1111&lt;&gt;""),"ГОТОВО","НЕ ГОТОВО"))</f>
        <v/>
      </c>
      <c r="Z1111" s="226">
        <f>IF(Y1111&lt;&gt;"ГОТОВО","", "Предварительное заключение: "&amp;A1111&amp;", скв. "&amp;B1111&amp;". МРП: "&amp;E1111&amp;" сут. ГНО: "&amp;F1111&amp;", типоразмер "&amp;G1111&amp;", марка "&amp;H1111&amp;". Событие: "&amp;I1111&amp;". Признак: "&amp;J1111&amp;". Узел: "&amp;K1111&amp;". Предварительная причина: "&amp;L1111&amp;". Основное осложнение: "&amp;M1111&amp;IF(N1111&lt;&gt;"","; сопутствующее: "&amp;N1111,"")&amp;IF(O1111&lt;&gt;"","; дополнительно: "&amp;O1111,"")&amp;".")</f>
        <v/>
      </c>
    </row>
    <row r="1112">
      <c r="A1112" s="75" t="n"/>
      <c r="B1112" s="75" t="n"/>
      <c r="C1112" s="261" t="n"/>
      <c r="D1112" s="261" t="n"/>
      <c r="E1112" s="262">
        <f>IF(OR(C1112="",D1112=""),"",D1112-C1112)</f>
        <v/>
      </c>
      <c r="F1112" s="75" t="n"/>
      <c r="G1112" s="75" t="n"/>
      <c r="H1112" s="75" t="n"/>
      <c r="I1112" s="75" t="n"/>
      <c r="J1112" s="75" t="n"/>
      <c r="K1112" s="75" t="n"/>
      <c r="L1112" s="75" t="n"/>
      <c r="M1112" s="75" t="n"/>
      <c r="N1112" s="75" t="n"/>
      <c r="O1112" s="75" t="n"/>
      <c r="P1112" s="75" t="n"/>
      <c r="Q1112" s="75" t="n"/>
      <c r="R1112" s="75" t="n"/>
      <c r="S1112" s="75" t="n"/>
      <c r="T1112" s="75" t="n"/>
      <c r="U1112" s="75" t="n"/>
      <c r="V1112" s="75" t="n"/>
      <c r="W1112" s="75" t="n"/>
      <c r="X1112" s="75" t="n"/>
      <c r="Y1112" s="226">
        <f>IF(AND(A1112="",B1112=""),"",IF(AND(A1112&lt;&gt;"",B1112&lt;&gt;"",C1112&lt;&gt;"",D1112&lt;&gt;"",F1112&lt;&gt;"",G1112&lt;&gt;"",H1112&lt;&gt;"",ISERROR(SEARCH("по паспорту",G1112)),ISERROR(SEARCH("по паспорту",H1112)),I1112&lt;&gt;"",J1112&lt;&gt;"",K1112&lt;&gt;"",L1112&lt;&gt;"",M1112&lt;&gt;""),"ГОТОВО","НЕ ГОТОВО"))</f>
        <v/>
      </c>
      <c r="Z1112" s="226">
        <f>IF(Y1112&lt;&gt;"ГОТОВО","", "Предварительное заключение: "&amp;A1112&amp;", скв. "&amp;B1112&amp;". МРП: "&amp;E1112&amp;" сут. ГНО: "&amp;F1112&amp;", типоразмер "&amp;G1112&amp;", марка "&amp;H1112&amp;". Событие: "&amp;I1112&amp;". Признак: "&amp;J1112&amp;". Узел: "&amp;K1112&amp;". Предварительная причина: "&amp;L1112&amp;". Основное осложнение: "&amp;M1112&amp;IF(N1112&lt;&gt;"","; сопутствующее: "&amp;N1112,"")&amp;IF(O1112&lt;&gt;"","; дополнительно: "&amp;O1112,"")&amp;".")</f>
        <v/>
      </c>
    </row>
    <row r="1113">
      <c r="A1113" s="75" t="n"/>
      <c r="B1113" s="75" t="n"/>
      <c r="C1113" s="261" t="n"/>
      <c r="D1113" s="261" t="n"/>
      <c r="E1113" s="262">
        <f>IF(OR(C1113="",D1113=""),"",D1113-C1113)</f>
        <v/>
      </c>
      <c r="F1113" s="75" t="n"/>
      <c r="G1113" s="75" t="n"/>
      <c r="H1113" s="75" t="n"/>
      <c r="I1113" s="75" t="n"/>
      <c r="J1113" s="75" t="n"/>
      <c r="K1113" s="75" t="n"/>
      <c r="L1113" s="75" t="n"/>
      <c r="M1113" s="75" t="n"/>
      <c r="N1113" s="75" t="n"/>
      <c r="O1113" s="75" t="n"/>
      <c r="P1113" s="75" t="n"/>
      <c r="Q1113" s="75" t="n"/>
      <c r="R1113" s="75" t="n"/>
      <c r="S1113" s="75" t="n"/>
      <c r="T1113" s="75" t="n"/>
      <c r="U1113" s="75" t="n"/>
      <c r="V1113" s="75" t="n"/>
      <c r="W1113" s="75" t="n"/>
      <c r="X1113" s="75" t="n"/>
      <c r="Y1113" s="226">
        <f>IF(AND(A1113="",B1113=""),"",IF(AND(A1113&lt;&gt;"",B1113&lt;&gt;"",C1113&lt;&gt;"",D1113&lt;&gt;"",F1113&lt;&gt;"",G1113&lt;&gt;"",H1113&lt;&gt;"",ISERROR(SEARCH("по паспорту",G1113)),ISERROR(SEARCH("по паспорту",H1113)),I1113&lt;&gt;"",J1113&lt;&gt;"",K1113&lt;&gt;"",L1113&lt;&gt;"",M1113&lt;&gt;""),"ГОТОВО","НЕ ГОТОВО"))</f>
        <v/>
      </c>
      <c r="Z1113" s="226">
        <f>IF(Y1113&lt;&gt;"ГОТОВО","", "Предварительное заключение: "&amp;A1113&amp;", скв. "&amp;B1113&amp;". МРП: "&amp;E1113&amp;" сут. ГНО: "&amp;F1113&amp;", типоразмер "&amp;G1113&amp;", марка "&amp;H1113&amp;". Событие: "&amp;I1113&amp;". Признак: "&amp;J1113&amp;". Узел: "&amp;K1113&amp;". Предварительная причина: "&amp;L1113&amp;". Основное осложнение: "&amp;M1113&amp;IF(N1113&lt;&gt;"","; сопутствующее: "&amp;N1113,"")&amp;IF(O1113&lt;&gt;"","; дополнительно: "&amp;O1113,"")&amp;".")</f>
        <v/>
      </c>
    </row>
    <row r="1114">
      <c r="A1114" s="75" t="n"/>
      <c r="B1114" s="75" t="n"/>
      <c r="C1114" s="261" t="n"/>
      <c r="D1114" s="261" t="n"/>
      <c r="E1114" s="262">
        <f>IF(OR(C1114="",D1114=""),"",D1114-C1114)</f>
        <v/>
      </c>
      <c r="F1114" s="75" t="n"/>
      <c r="G1114" s="75" t="n"/>
      <c r="H1114" s="75" t="n"/>
      <c r="I1114" s="75" t="n"/>
      <c r="J1114" s="75" t="n"/>
      <c r="K1114" s="75" t="n"/>
      <c r="L1114" s="75" t="n"/>
      <c r="M1114" s="75" t="n"/>
      <c r="N1114" s="75" t="n"/>
      <c r="O1114" s="75" t="n"/>
      <c r="P1114" s="75" t="n"/>
      <c r="Q1114" s="75" t="n"/>
      <c r="R1114" s="75" t="n"/>
      <c r="S1114" s="75" t="n"/>
      <c r="T1114" s="75" t="n"/>
      <c r="U1114" s="75" t="n"/>
      <c r="V1114" s="75" t="n"/>
      <c r="W1114" s="75" t="n"/>
      <c r="X1114" s="75" t="n"/>
      <c r="Y1114" s="226">
        <f>IF(AND(A1114="",B1114=""),"",IF(AND(A1114&lt;&gt;"",B1114&lt;&gt;"",C1114&lt;&gt;"",D1114&lt;&gt;"",F1114&lt;&gt;"",G1114&lt;&gt;"",H1114&lt;&gt;"",ISERROR(SEARCH("по паспорту",G1114)),ISERROR(SEARCH("по паспорту",H1114)),I1114&lt;&gt;"",J1114&lt;&gt;"",K1114&lt;&gt;"",L1114&lt;&gt;"",M1114&lt;&gt;""),"ГОТОВО","НЕ ГОТОВО"))</f>
        <v/>
      </c>
      <c r="Z1114" s="226">
        <f>IF(Y1114&lt;&gt;"ГОТОВО","", "Предварительное заключение: "&amp;A1114&amp;", скв. "&amp;B1114&amp;". МРП: "&amp;E1114&amp;" сут. ГНО: "&amp;F1114&amp;", типоразмер "&amp;G1114&amp;", марка "&amp;H1114&amp;". Событие: "&amp;I1114&amp;". Признак: "&amp;J1114&amp;". Узел: "&amp;K1114&amp;". Предварительная причина: "&amp;L1114&amp;". Основное осложнение: "&amp;M1114&amp;IF(N1114&lt;&gt;"","; сопутствующее: "&amp;N1114,"")&amp;IF(O1114&lt;&gt;"","; дополнительно: "&amp;O1114,"")&amp;".")</f>
        <v/>
      </c>
    </row>
    <row r="1115">
      <c r="A1115" s="75" t="n"/>
      <c r="B1115" s="75" t="n"/>
      <c r="C1115" s="261" t="n"/>
      <c r="D1115" s="261" t="n"/>
      <c r="E1115" s="262">
        <f>IF(OR(C1115="",D1115=""),"",D1115-C1115)</f>
        <v/>
      </c>
      <c r="F1115" s="75" t="n"/>
      <c r="G1115" s="75" t="n"/>
      <c r="H1115" s="75" t="n"/>
      <c r="I1115" s="75" t="n"/>
      <c r="J1115" s="75" t="n"/>
      <c r="K1115" s="75" t="n"/>
      <c r="L1115" s="75" t="n"/>
      <c r="M1115" s="75" t="n"/>
      <c r="N1115" s="75" t="n"/>
      <c r="O1115" s="75" t="n"/>
      <c r="P1115" s="75" t="n"/>
      <c r="Q1115" s="75" t="n"/>
      <c r="R1115" s="75" t="n"/>
      <c r="S1115" s="75" t="n"/>
      <c r="T1115" s="75" t="n"/>
      <c r="U1115" s="75" t="n"/>
      <c r="V1115" s="75" t="n"/>
      <c r="W1115" s="75" t="n"/>
      <c r="X1115" s="75" t="n"/>
      <c r="Y1115" s="226">
        <f>IF(AND(A1115="",B1115=""),"",IF(AND(A1115&lt;&gt;"",B1115&lt;&gt;"",C1115&lt;&gt;"",D1115&lt;&gt;"",F1115&lt;&gt;"",G1115&lt;&gt;"",H1115&lt;&gt;"",ISERROR(SEARCH("по паспорту",G1115)),ISERROR(SEARCH("по паспорту",H1115)),I1115&lt;&gt;"",J1115&lt;&gt;"",K1115&lt;&gt;"",L1115&lt;&gt;"",M1115&lt;&gt;""),"ГОТОВО","НЕ ГОТОВО"))</f>
        <v/>
      </c>
      <c r="Z1115" s="226">
        <f>IF(Y1115&lt;&gt;"ГОТОВО","", "Предварительное заключение: "&amp;A1115&amp;", скв. "&amp;B1115&amp;". МРП: "&amp;E1115&amp;" сут. ГНО: "&amp;F1115&amp;", типоразмер "&amp;G1115&amp;", марка "&amp;H1115&amp;". Событие: "&amp;I1115&amp;". Признак: "&amp;J1115&amp;". Узел: "&amp;K1115&amp;". Предварительная причина: "&amp;L1115&amp;". Основное осложнение: "&amp;M1115&amp;IF(N1115&lt;&gt;"","; сопутствующее: "&amp;N1115,"")&amp;IF(O1115&lt;&gt;"","; дополнительно: "&amp;O1115,"")&amp;".")</f>
        <v/>
      </c>
    </row>
    <row r="1116">
      <c r="A1116" s="75" t="n"/>
      <c r="B1116" s="75" t="n"/>
      <c r="C1116" s="261" t="n"/>
      <c r="D1116" s="261" t="n"/>
      <c r="E1116" s="262">
        <f>IF(OR(C1116="",D1116=""),"",D1116-C1116)</f>
        <v/>
      </c>
      <c r="F1116" s="75" t="n"/>
      <c r="G1116" s="75" t="n"/>
      <c r="H1116" s="75" t="n"/>
      <c r="I1116" s="75" t="n"/>
      <c r="J1116" s="75" t="n"/>
      <c r="K1116" s="75" t="n"/>
      <c r="L1116" s="75" t="n"/>
      <c r="M1116" s="75" t="n"/>
      <c r="N1116" s="75" t="n"/>
      <c r="O1116" s="75" t="n"/>
      <c r="P1116" s="75" t="n"/>
      <c r="Q1116" s="75" t="n"/>
      <c r="R1116" s="75" t="n"/>
      <c r="S1116" s="75" t="n"/>
      <c r="T1116" s="75" t="n"/>
      <c r="U1116" s="75" t="n"/>
      <c r="V1116" s="75" t="n"/>
      <c r="W1116" s="75" t="n"/>
      <c r="X1116" s="75" t="n"/>
      <c r="Y1116" s="226">
        <f>IF(AND(A1116="",B1116=""),"",IF(AND(A1116&lt;&gt;"",B1116&lt;&gt;"",C1116&lt;&gt;"",D1116&lt;&gt;"",F1116&lt;&gt;"",G1116&lt;&gt;"",H1116&lt;&gt;"",ISERROR(SEARCH("по паспорту",G1116)),ISERROR(SEARCH("по паспорту",H1116)),I1116&lt;&gt;"",J1116&lt;&gt;"",K1116&lt;&gt;"",L1116&lt;&gt;"",M1116&lt;&gt;""),"ГОТОВО","НЕ ГОТОВО"))</f>
        <v/>
      </c>
      <c r="Z1116" s="226">
        <f>IF(Y1116&lt;&gt;"ГОТОВО","", "Предварительное заключение: "&amp;A1116&amp;", скв. "&amp;B1116&amp;". МРП: "&amp;E1116&amp;" сут. ГНО: "&amp;F1116&amp;", типоразмер "&amp;G1116&amp;", марка "&amp;H1116&amp;". Событие: "&amp;I1116&amp;". Признак: "&amp;J1116&amp;". Узел: "&amp;K1116&amp;". Предварительная причина: "&amp;L1116&amp;". Основное осложнение: "&amp;M1116&amp;IF(N1116&lt;&gt;"","; сопутствующее: "&amp;N1116,"")&amp;IF(O1116&lt;&gt;"","; дополнительно: "&amp;O1116,"")&amp;".")</f>
        <v/>
      </c>
    </row>
    <row r="1117">
      <c r="A1117" s="75" t="n"/>
      <c r="B1117" s="75" t="n"/>
      <c r="C1117" s="261" t="n"/>
      <c r="D1117" s="261" t="n"/>
      <c r="E1117" s="262">
        <f>IF(OR(C1117="",D1117=""),"",D1117-C1117)</f>
        <v/>
      </c>
      <c r="F1117" s="75" t="n"/>
      <c r="G1117" s="75" t="n"/>
      <c r="H1117" s="75" t="n"/>
      <c r="I1117" s="75" t="n"/>
      <c r="J1117" s="75" t="n"/>
      <c r="K1117" s="75" t="n"/>
      <c r="L1117" s="75" t="n"/>
      <c r="M1117" s="75" t="n"/>
      <c r="N1117" s="75" t="n"/>
      <c r="O1117" s="75" t="n"/>
      <c r="P1117" s="75" t="n"/>
      <c r="Q1117" s="75" t="n"/>
      <c r="R1117" s="75" t="n"/>
      <c r="S1117" s="75" t="n"/>
      <c r="T1117" s="75" t="n"/>
      <c r="U1117" s="75" t="n"/>
      <c r="V1117" s="75" t="n"/>
      <c r="W1117" s="75" t="n"/>
      <c r="X1117" s="75" t="n"/>
      <c r="Y1117" s="226">
        <f>IF(AND(A1117="",B1117=""),"",IF(AND(A1117&lt;&gt;"",B1117&lt;&gt;"",C1117&lt;&gt;"",D1117&lt;&gt;"",F1117&lt;&gt;"",G1117&lt;&gt;"",H1117&lt;&gt;"",ISERROR(SEARCH("по паспорту",G1117)),ISERROR(SEARCH("по паспорту",H1117)),I1117&lt;&gt;"",J1117&lt;&gt;"",K1117&lt;&gt;"",L1117&lt;&gt;"",M1117&lt;&gt;""),"ГОТОВО","НЕ ГОТОВО"))</f>
        <v/>
      </c>
      <c r="Z1117" s="226">
        <f>IF(Y1117&lt;&gt;"ГОТОВО","", "Предварительное заключение: "&amp;A1117&amp;", скв. "&amp;B1117&amp;". МРП: "&amp;E1117&amp;" сут. ГНО: "&amp;F1117&amp;", типоразмер "&amp;G1117&amp;", марка "&amp;H1117&amp;". Событие: "&amp;I1117&amp;". Признак: "&amp;J1117&amp;". Узел: "&amp;K1117&amp;". Предварительная причина: "&amp;L1117&amp;". Основное осложнение: "&amp;M1117&amp;IF(N1117&lt;&gt;"","; сопутствующее: "&amp;N1117,"")&amp;IF(O1117&lt;&gt;"","; дополнительно: "&amp;O1117,"")&amp;".")</f>
        <v/>
      </c>
    </row>
    <row r="1118">
      <c r="A1118" s="75" t="n"/>
      <c r="B1118" s="75" t="n"/>
      <c r="C1118" s="261" t="n"/>
      <c r="D1118" s="261" t="n"/>
      <c r="E1118" s="262">
        <f>IF(OR(C1118="",D1118=""),"",D1118-C1118)</f>
        <v/>
      </c>
      <c r="F1118" s="75" t="n"/>
      <c r="G1118" s="75" t="n"/>
      <c r="H1118" s="75" t="n"/>
      <c r="I1118" s="75" t="n"/>
      <c r="J1118" s="75" t="n"/>
      <c r="K1118" s="75" t="n"/>
      <c r="L1118" s="75" t="n"/>
      <c r="M1118" s="75" t="n"/>
      <c r="N1118" s="75" t="n"/>
      <c r="O1118" s="75" t="n"/>
      <c r="P1118" s="75" t="n"/>
      <c r="Q1118" s="75" t="n"/>
      <c r="R1118" s="75" t="n"/>
      <c r="S1118" s="75" t="n"/>
      <c r="T1118" s="75" t="n"/>
      <c r="U1118" s="75" t="n"/>
      <c r="V1118" s="75" t="n"/>
      <c r="W1118" s="75" t="n"/>
      <c r="X1118" s="75" t="n"/>
      <c r="Y1118" s="226">
        <f>IF(AND(A1118="",B1118=""),"",IF(AND(A1118&lt;&gt;"",B1118&lt;&gt;"",C1118&lt;&gt;"",D1118&lt;&gt;"",F1118&lt;&gt;"",G1118&lt;&gt;"",H1118&lt;&gt;"",ISERROR(SEARCH("по паспорту",G1118)),ISERROR(SEARCH("по паспорту",H1118)),I1118&lt;&gt;"",J1118&lt;&gt;"",K1118&lt;&gt;"",L1118&lt;&gt;"",M1118&lt;&gt;""),"ГОТОВО","НЕ ГОТОВО"))</f>
        <v/>
      </c>
      <c r="Z1118" s="226">
        <f>IF(Y1118&lt;&gt;"ГОТОВО","", "Предварительное заключение: "&amp;A1118&amp;", скв. "&amp;B1118&amp;". МРП: "&amp;E1118&amp;" сут. ГНО: "&amp;F1118&amp;", типоразмер "&amp;G1118&amp;", марка "&amp;H1118&amp;". Событие: "&amp;I1118&amp;". Признак: "&amp;J1118&amp;". Узел: "&amp;K1118&amp;". Предварительная причина: "&amp;L1118&amp;". Основное осложнение: "&amp;M1118&amp;IF(N1118&lt;&gt;"","; сопутствующее: "&amp;N1118,"")&amp;IF(O1118&lt;&gt;"","; дополнительно: "&amp;O1118,"")&amp;".")</f>
        <v/>
      </c>
    </row>
    <row r="1119">
      <c r="A1119" s="75" t="n"/>
      <c r="B1119" s="75" t="n"/>
      <c r="C1119" s="261" t="n"/>
      <c r="D1119" s="261" t="n"/>
      <c r="E1119" s="262">
        <f>IF(OR(C1119="",D1119=""),"",D1119-C1119)</f>
        <v/>
      </c>
      <c r="F1119" s="75" t="n"/>
      <c r="G1119" s="75" t="n"/>
      <c r="H1119" s="75" t="n"/>
      <c r="I1119" s="75" t="n"/>
      <c r="J1119" s="75" t="n"/>
      <c r="K1119" s="75" t="n"/>
      <c r="L1119" s="75" t="n"/>
      <c r="M1119" s="75" t="n"/>
      <c r="N1119" s="75" t="n"/>
      <c r="O1119" s="75" t="n"/>
      <c r="P1119" s="75" t="n"/>
      <c r="Q1119" s="75" t="n"/>
      <c r="R1119" s="75" t="n"/>
      <c r="S1119" s="75" t="n"/>
      <c r="T1119" s="75" t="n"/>
      <c r="U1119" s="75" t="n"/>
      <c r="V1119" s="75" t="n"/>
      <c r="W1119" s="75" t="n"/>
      <c r="X1119" s="75" t="n"/>
      <c r="Y1119" s="226">
        <f>IF(AND(A1119="",B1119=""),"",IF(AND(A1119&lt;&gt;"",B1119&lt;&gt;"",C1119&lt;&gt;"",D1119&lt;&gt;"",F1119&lt;&gt;"",G1119&lt;&gt;"",H1119&lt;&gt;"",ISERROR(SEARCH("по паспорту",G1119)),ISERROR(SEARCH("по паспорту",H1119)),I1119&lt;&gt;"",J1119&lt;&gt;"",K1119&lt;&gt;"",L1119&lt;&gt;"",M1119&lt;&gt;""),"ГОТОВО","НЕ ГОТОВО"))</f>
        <v/>
      </c>
      <c r="Z1119" s="226">
        <f>IF(Y1119&lt;&gt;"ГОТОВО","", "Предварительное заключение: "&amp;A1119&amp;", скв. "&amp;B1119&amp;". МРП: "&amp;E1119&amp;" сут. ГНО: "&amp;F1119&amp;", типоразмер "&amp;G1119&amp;", марка "&amp;H1119&amp;". Событие: "&amp;I1119&amp;". Признак: "&amp;J1119&amp;". Узел: "&amp;K1119&amp;". Предварительная причина: "&amp;L1119&amp;". Основное осложнение: "&amp;M1119&amp;IF(N1119&lt;&gt;"","; сопутствующее: "&amp;N1119,"")&amp;IF(O1119&lt;&gt;"","; дополнительно: "&amp;O1119,"")&amp;".")</f>
        <v/>
      </c>
    </row>
    <row r="1120">
      <c r="A1120" s="75" t="n"/>
      <c r="B1120" s="75" t="n"/>
      <c r="C1120" s="261" t="n"/>
      <c r="D1120" s="261" t="n"/>
      <c r="E1120" s="262">
        <f>IF(OR(C1120="",D1120=""),"",D1120-C1120)</f>
        <v/>
      </c>
      <c r="F1120" s="75" t="n"/>
      <c r="G1120" s="75" t="n"/>
      <c r="H1120" s="75" t="n"/>
      <c r="I1120" s="75" t="n"/>
      <c r="J1120" s="75" t="n"/>
      <c r="K1120" s="75" t="n"/>
      <c r="L1120" s="75" t="n"/>
      <c r="M1120" s="75" t="n"/>
      <c r="N1120" s="75" t="n"/>
      <c r="O1120" s="75" t="n"/>
      <c r="P1120" s="75" t="n"/>
      <c r="Q1120" s="75" t="n"/>
      <c r="R1120" s="75" t="n"/>
      <c r="S1120" s="75" t="n"/>
      <c r="T1120" s="75" t="n"/>
      <c r="U1120" s="75" t="n"/>
      <c r="V1120" s="75" t="n"/>
      <c r="W1120" s="75" t="n"/>
      <c r="X1120" s="75" t="n"/>
      <c r="Y1120" s="226">
        <f>IF(AND(A1120="",B1120=""),"",IF(AND(A1120&lt;&gt;"",B1120&lt;&gt;"",C1120&lt;&gt;"",D1120&lt;&gt;"",F1120&lt;&gt;"",G1120&lt;&gt;"",H1120&lt;&gt;"",ISERROR(SEARCH("по паспорту",G1120)),ISERROR(SEARCH("по паспорту",H1120)),I1120&lt;&gt;"",J1120&lt;&gt;"",K1120&lt;&gt;"",L1120&lt;&gt;"",M1120&lt;&gt;""),"ГОТОВО","НЕ ГОТОВО"))</f>
        <v/>
      </c>
      <c r="Z1120" s="226">
        <f>IF(Y1120&lt;&gt;"ГОТОВО","", "Предварительное заключение: "&amp;A1120&amp;", скв. "&amp;B1120&amp;". МРП: "&amp;E1120&amp;" сут. ГНО: "&amp;F1120&amp;", типоразмер "&amp;G1120&amp;", марка "&amp;H1120&amp;". Событие: "&amp;I1120&amp;". Признак: "&amp;J1120&amp;". Узел: "&amp;K1120&amp;". Предварительная причина: "&amp;L1120&amp;". Основное осложнение: "&amp;M1120&amp;IF(N1120&lt;&gt;"","; сопутствующее: "&amp;N1120,"")&amp;IF(O1120&lt;&gt;"","; дополнительно: "&amp;O1120,"")&amp;".")</f>
        <v/>
      </c>
    </row>
    <row r="1121">
      <c r="A1121" s="75" t="n"/>
      <c r="B1121" s="75" t="n"/>
      <c r="C1121" s="261" t="n"/>
      <c r="D1121" s="261" t="n"/>
      <c r="E1121" s="262">
        <f>IF(OR(C1121="",D1121=""),"",D1121-C1121)</f>
        <v/>
      </c>
      <c r="F1121" s="75" t="n"/>
      <c r="G1121" s="75" t="n"/>
      <c r="H1121" s="75" t="n"/>
      <c r="I1121" s="75" t="n"/>
      <c r="J1121" s="75" t="n"/>
      <c r="K1121" s="75" t="n"/>
      <c r="L1121" s="75" t="n"/>
      <c r="M1121" s="75" t="n"/>
      <c r="N1121" s="75" t="n"/>
      <c r="O1121" s="75" t="n"/>
      <c r="P1121" s="75" t="n"/>
      <c r="Q1121" s="75" t="n"/>
      <c r="R1121" s="75" t="n"/>
      <c r="S1121" s="75" t="n"/>
      <c r="T1121" s="75" t="n"/>
      <c r="U1121" s="75" t="n"/>
      <c r="V1121" s="75" t="n"/>
      <c r="W1121" s="75" t="n"/>
      <c r="X1121" s="75" t="n"/>
      <c r="Y1121" s="226">
        <f>IF(AND(A1121="",B1121=""),"",IF(AND(A1121&lt;&gt;"",B1121&lt;&gt;"",C1121&lt;&gt;"",D1121&lt;&gt;"",F1121&lt;&gt;"",G1121&lt;&gt;"",H1121&lt;&gt;"",ISERROR(SEARCH("по паспорту",G1121)),ISERROR(SEARCH("по паспорту",H1121)),I1121&lt;&gt;"",J1121&lt;&gt;"",K1121&lt;&gt;"",L1121&lt;&gt;"",M1121&lt;&gt;""),"ГОТОВО","НЕ ГОТОВО"))</f>
        <v/>
      </c>
      <c r="Z1121" s="226">
        <f>IF(Y1121&lt;&gt;"ГОТОВО","", "Предварительное заключение: "&amp;A1121&amp;", скв. "&amp;B1121&amp;". МРП: "&amp;E1121&amp;" сут. ГНО: "&amp;F1121&amp;", типоразмер "&amp;G1121&amp;", марка "&amp;H1121&amp;". Событие: "&amp;I1121&amp;". Признак: "&amp;J1121&amp;". Узел: "&amp;K1121&amp;". Предварительная причина: "&amp;L1121&amp;". Основное осложнение: "&amp;M1121&amp;IF(N1121&lt;&gt;"","; сопутствующее: "&amp;N1121,"")&amp;IF(O1121&lt;&gt;"","; дополнительно: "&amp;O1121,"")&amp;".")</f>
        <v/>
      </c>
    </row>
    <row r="1122">
      <c r="A1122" s="75" t="n"/>
      <c r="B1122" s="75" t="n"/>
      <c r="C1122" s="261" t="n"/>
      <c r="D1122" s="261" t="n"/>
      <c r="E1122" s="262">
        <f>IF(OR(C1122="",D1122=""),"",D1122-C1122)</f>
        <v/>
      </c>
      <c r="F1122" s="75" t="n"/>
      <c r="G1122" s="75" t="n"/>
      <c r="H1122" s="75" t="n"/>
      <c r="I1122" s="75" t="n"/>
      <c r="J1122" s="75" t="n"/>
      <c r="K1122" s="75" t="n"/>
      <c r="L1122" s="75" t="n"/>
      <c r="M1122" s="75" t="n"/>
      <c r="N1122" s="75" t="n"/>
      <c r="O1122" s="75" t="n"/>
      <c r="P1122" s="75" t="n"/>
      <c r="Q1122" s="75" t="n"/>
      <c r="R1122" s="75" t="n"/>
      <c r="S1122" s="75" t="n"/>
      <c r="T1122" s="75" t="n"/>
      <c r="U1122" s="75" t="n"/>
      <c r="V1122" s="75" t="n"/>
      <c r="W1122" s="75" t="n"/>
      <c r="X1122" s="75" t="n"/>
      <c r="Y1122" s="226">
        <f>IF(AND(A1122="",B1122=""),"",IF(AND(A1122&lt;&gt;"",B1122&lt;&gt;"",C1122&lt;&gt;"",D1122&lt;&gt;"",F1122&lt;&gt;"",G1122&lt;&gt;"",H1122&lt;&gt;"",ISERROR(SEARCH("по паспорту",G1122)),ISERROR(SEARCH("по паспорту",H1122)),I1122&lt;&gt;"",J1122&lt;&gt;"",K1122&lt;&gt;"",L1122&lt;&gt;"",M1122&lt;&gt;""),"ГОТОВО","НЕ ГОТОВО"))</f>
        <v/>
      </c>
      <c r="Z1122" s="226">
        <f>IF(Y1122&lt;&gt;"ГОТОВО","", "Предварительное заключение: "&amp;A1122&amp;", скв. "&amp;B1122&amp;". МРП: "&amp;E1122&amp;" сут. ГНО: "&amp;F1122&amp;", типоразмер "&amp;G1122&amp;", марка "&amp;H1122&amp;". Событие: "&amp;I1122&amp;". Признак: "&amp;J1122&amp;". Узел: "&amp;K1122&amp;". Предварительная причина: "&amp;L1122&amp;". Основное осложнение: "&amp;M1122&amp;IF(N1122&lt;&gt;"","; сопутствующее: "&amp;N1122,"")&amp;IF(O1122&lt;&gt;"","; дополнительно: "&amp;O1122,"")&amp;".")</f>
        <v/>
      </c>
    </row>
    <row r="1123">
      <c r="A1123" s="75" t="n"/>
      <c r="B1123" s="75" t="n"/>
      <c r="C1123" s="261" t="n"/>
      <c r="D1123" s="261" t="n"/>
      <c r="E1123" s="262">
        <f>IF(OR(C1123="",D1123=""),"",D1123-C1123)</f>
        <v/>
      </c>
      <c r="F1123" s="75" t="n"/>
      <c r="G1123" s="75" t="n"/>
      <c r="H1123" s="75" t="n"/>
      <c r="I1123" s="75" t="n"/>
      <c r="J1123" s="75" t="n"/>
      <c r="K1123" s="75" t="n"/>
      <c r="L1123" s="75" t="n"/>
      <c r="M1123" s="75" t="n"/>
      <c r="N1123" s="75" t="n"/>
      <c r="O1123" s="75" t="n"/>
      <c r="P1123" s="75" t="n"/>
      <c r="Q1123" s="75" t="n"/>
      <c r="R1123" s="75" t="n"/>
      <c r="S1123" s="75" t="n"/>
      <c r="T1123" s="75" t="n"/>
      <c r="U1123" s="75" t="n"/>
      <c r="V1123" s="75" t="n"/>
      <c r="W1123" s="75" t="n"/>
      <c r="X1123" s="75" t="n"/>
      <c r="Y1123" s="226">
        <f>IF(AND(A1123="",B1123=""),"",IF(AND(A1123&lt;&gt;"",B1123&lt;&gt;"",C1123&lt;&gt;"",D1123&lt;&gt;"",F1123&lt;&gt;"",G1123&lt;&gt;"",H1123&lt;&gt;"",ISERROR(SEARCH("по паспорту",G1123)),ISERROR(SEARCH("по паспорту",H1123)),I1123&lt;&gt;"",J1123&lt;&gt;"",K1123&lt;&gt;"",L1123&lt;&gt;"",M1123&lt;&gt;""),"ГОТОВО","НЕ ГОТОВО"))</f>
        <v/>
      </c>
      <c r="Z1123" s="226">
        <f>IF(Y1123&lt;&gt;"ГОТОВО","", "Предварительное заключение: "&amp;A1123&amp;", скв. "&amp;B1123&amp;". МРП: "&amp;E1123&amp;" сут. ГНО: "&amp;F1123&amp;", типоразмер "&amp;G1123&amp;", марка "&amp;H1123&amp;". Событие: "&amp;I1123&amp;". Признак: "&amp;J1123&amp;". Узел: "&amp;K1123&amp;". Предварительная причина: "&amp;L1123&amp;". Основное осложнение: "&amp;M1123&amp;IF(N1123&lt;&gt;"","; сопутствующее: "&amp;N1123,"")&amp;IF(O1123&lt;&gt;"","; дополнительно: "&amp;O1123,"")&amp;".")</f>
        <v/>
      </c>
    </row>
    <row r="1124">
      <c r="A1124" s="75" t="n"/>
      <c r="B1124" s="75" t="n"/>
      <c r="C1124" s="261" t="n"/>
      <c r="D1124" s="261" t="n"/>
      <c r="E1124" s="262">
        <f>IF(OR(C1124="",D1124=""),"",D1124-C1124)</f>
        <v/>
      </c>
      <c r="F1124" s="75" t="n"/>
      <c r="G1124" s="75" t="n"/>
      <c r="H1124" s="75" t="n"/>
      <c r="I1124" s="75" t="n"/>
      <c r="J1124" s="75" t="n"/>
      <c r="K1124" s="75" t="n"/>
      <c r="L1124" s="75" t="n"/>
      <c r="M1124" s="75" t="n"/>
      <c r="N1124" s="75" t="n"/>
      <c r="O1124" s="75" t="n"/>
      <c r="P1124" s="75" t="n"/>
      <c r="Q1124" s="75" t="n"/>
      <c r="R1124" s="75" t="n"/>
      <c r="S1124" s="75" t="n"/>
      <c r="T1124" s="75" t="n"/>
      <c r="U1124" s="75" t="n"/>
      <c r="V1124" s="75" t="n"/>
      <c r="W1124" s="75" t="n"/>
      <c r="X1124" s="75" t="n"/>
      <c r="Y1124" s="226">
        <f>IF(AND(A1124="",B1124=""),"",IF(AND(A1124&lt;&gt;"",B1124&lt;&gt;"",C1124&lt;&gt;"",D1124&lt;&gt;"",F1124&lt;&gt;"",G1124&lt;&gt;"",H1124&lt;&gt;"",ISERROR(SEARCH("по паспорту",G1124)),ISERROR(SEARCH("по паспорту",H1124)),I1124&lt;&gt;"",J1124&lt;&gt;"",K1124&lt;&gt;"",L1124&lt;&gt;"",M1124&lt;&gt;""),"ГОТОВО","НЕ ГОТОВО"))</f>
        <v/>
      </c>
      <c r="Z1124" s="226">
        <f>IF(Y1124&lt;&gt;"ГОТОВО","", "Предварительное заключение: "&amp;A1124&amp;", скв. "&amp;B1124&amp;". МРП: "&amp;E1124&amp;" сут. ГНО: "&amp;F1124&amp;", типоразмер "&amp;G1124&amp;", марка "&amp;H1124&amp;". Событие: "&amp;I1124&amp;". Признак: "&amp;J1124&amp;". Узел: "&amp;K1124&amp;". Предварительная причина: "&amp;L1124&amp;". Основное осложнение: "&amp;M1124&amp;IF(N1124&lt;&gt;"","; сопутствующее: "&amp;N1124,"")&amp;IF(O1124&lt;&gt;"","; дополнительно: "&amp;O1124,"")&amp;".")</f>
        <v/>
      </c>
    </row>
    <row r="1125">
      <c r="A1125" s="75" t="n"/>
      <c r="B1125" s="75" t="n"/>
      <c r="C1125" s="261" t="n"/>
      <c r="D1125" s="261" t="n"/>
      <c r="E1125" s="262">
        <f>IF(OR(C1125="",D1125=""),"",D1125-C1125)</f>
        <v/>
      </c>
      <c r="F1125" s="75" t="n"/>
      <c r="G1125" s="75" t="n"/>
      <c r="H1125" s="75" t="n"/>
      <c r="I1125" s="75" t="n"/>
      <c r="J1125" s="75" t="n"/>
      <c r="K1125" s="75" t="n"/>
      <c r="L1125" s="75" t="n"/>
      <c r="M1125" s="75" t="n"/>
      <c r="N1125" s="75" t="n"/>
      <c r="O1125" s="75" t="n"/>
      <c r="P1125" s="75" t="n"/>
      <c r="Q1125" s="75" t="n"/>
      <c r="R1125" s="75" t="n"/>
      <c r="S1125" s="75" t="n"/>
      <c r="T1125" s="75" t="n"/>
      <c r="U1125" s="75" t="n"/>
      <c r="V1125" s="75" t="n"/>
      <c r="W1125" s="75" t="n"/>
      <c r="X1125" s="75" t="n"/>
      <c r="Y1125" s="226">
        <f>IF(AND(A1125="",B1125=""),"",IF(AND(A1125&lt;&gt;"",B1125&lt;&gt;"",C1125&lt;&gt;"",D1125&lt;&gt;"",F1125&lt;&gt;"",G1125&lt;&gt;"",H1125&lt;&gt;"",ISERROR(SEARCH("по паспорту",G1125)),ISERROR(SEARCH("по паспорту",H1125)),I1125&lt;&gt;"",J1125&lt;&gt;"",K1125&lt;&gt;"",L1125&lt;&gt;"",M1125&lt;&gt;""),"ГОТОВО","НЕ ГОТОВО"))</f>
        <v/>
      </c>
      <c r="Z1125" s="226">
        <f>IF(Y1125&lt;&gt;"ГОТОВО","", "Предварительное заключение: "&amp;A1125&amp;", скв. "&amp;B1125&amp;". МРП: "&amp;E1125&amp;" сут. ГНО: "&amp;F1125&amp;", типоразмер "&amp;G1125&amp;", марка "&amp;H1125&amp;". Событие: "&amp;I1125&amp;". Признак: "&amp;J1125&amp;". Узел: "&amp;K1125&amp;". Предварительная причина: "&amp;L1125&amp;". Основное осложнение: "&amp;M1125&amp;IF(N1125&lt;&gt;"","; сопутствующее: "&amp;N1125,"")&amp;IF(O1125&lt;&gt;"","; дополнительно: "&amp;O1125,"")&amp;".")</f>
        <v/>
      </c>
    </row>
    <row r="1126">
      <c r="A1126" s="75" t="n"/>
      <c r="B1126" s="75" t="n"/>
      <c r="C1126" s="261" t="n"/>
      <c r="D1126" s="261" t="n"/>
      <c r="E1126" s="262">
        <f>IF(OR(C1126="",D1126=""),"",D1126-C1126)</f>
        <v/>
      </c>
      <c r="F1126" s="75" t="n"/>
      <c r="G1126" s="75" t="n"/>
      <c r="H1126" s="75" t="n"/>
      <c r="I1126" s="75" t="n"/>
      <c r="J1126" s="75" t="n"/>
      <c r="K1126" s="75" t="n"/>
      <c r="L1126" s="75" t="n"/>
      <c r="M1126" s="75" t="n"/>
      <c r="N1126" s="75" t="n"/>
      <c r="O1126" s="75" t="n"/>
      <c r="P1126" s="75" t="n"/>
      <c r="Q1126" s="75" t="n"/>
      <c r="R1126" s="75" t="n"/>
      <c r="S1126" s="75" t="n"/>
      <c r="T1126" s="75" t="n"/>
      <c r="U1126" s="75" t="n"/>
      <c r="V1126" s="75" t="n"/>
      <c r="W1126" s="75" t="n"/>
      <c r="X1126" s="75" t="n"/>
      <c r="Y1126" s="226">
        <f>IF(AND(A1126="",B1126=""),"",IF(AND(A1126&lt;&gt;"",B1126&lt;&gt;"",C1126&lt;&gt;"",D1126&lt;&gt;"",F1126&lt;&gt;"",G1126&lt;&gt;"",H1126&lt;&gt;"",ISERROR(SEARCH("по паспорту",G1126)),ISERROR(SEARCH("по паспорту",H1126)),I1126&lt;&gt;"",J1126&lt;&gt;"",K1126&lt;&gt;"",L1126&lt;&gt;"",M1126&lt;&gt;""),"ГОТОВО","НЕ ГОТОВО"))</f>
        <v/>
      </c>
      <c r="Z1126" s="226">
        <f>IF(Y1126&lt;&gt;"ГОТОВО","", "Предварительное заключение: "&amp;A1126&amp;", скв. "&amp;B1126&amp;". МРП: "&amp;E1126&amp;" сут. ГНО: "&amp;F1126&amp;", типоразмер "&amp;G1126&amp;", марка "&amp;H1126&amp;". Событие: "&amp;I1126&amp;". Признак: "&amp;J1126&amp;". Узел: "&amp;K1126&amp;". Предварительная причина: "&amp;L1126&amp;". Основное осложнение: "&amp;M1126&amp;IF(N1126&lt;&gt;"","; сопутствующее: "&amp;N1126,"")&amp;IF(O1126&lt;&gt;"","; дополнительно: "&amp;O1126,"")&amp;".")</f>
        <v/>
      </c>
    </row>
    <row r="1127">
      <c r="A1127" s="75" t="n"/>
      <c r="B1127" s="75" t="n"/>
      <c r="C1127" s="261" t="n"/>
      <c r="D1127" s="261" t="n"/>
      <c r="E1127" s="262">
        <f>IF(OR(C1127="",D1127=""),"",D1127-C1127)</f>
        <v/>
      </c>
      <c r="F1127" s="75" t="n"/>
      <c r="G1127" s="75" t="n"/>
      <c r="H1127" s="75" t="n"/>
      <c r="I1127" s="75" t="n"/>
      <c r="J1127" s="75" t="n"/>
      <c r="K1127" s="75" t="n"/>
      <c r="L1127" s="75" t="n"/>
      <c r="M1127" s="75" t="n"/>
      <c r="N1127" s="75" t="n"/>
      <c r="O1127" s="75" t="n"/>
      <c r="P1127" s="75" t="n"/>
      <c r="Q1127" s="75" t="n"/>
      <c r="R1127" s="75" t="n"/>
      <c r="S1127" s="75" t="n"/>
      <c r="T1127" s="75" t="n"/>
      <c r="U1127" s="75" t="n"/>
      <c r="V1127" s="75" t="n"/>
      <c r="W1127" s="75" t="n"/>
      <c r="X1127" s="75" t="n"/>
      <c r="Y1127" s="226">
        <f>IF(AND(A1127="",B1127=""),"",IF(AND(A1127&lt;&gt;"",B1127&lt;&gt;"",C1127&lt;&gt;"",D1127&lt;&gt;"",F1127&lt;&gt;"",G1127&lt;&gt;"",H1127&lt;&gt;"",ISERROR(SEARCH("по паспорту",G1127)),ISERROR(SEARCH("по паспорту",H1127)),I1127&lt;&gt;"",J1127&lt;&gt;"",K1127&lt;&gt;"",L1127&lt;&gt;"",M1127&lt;&gt;""),"ГОТОВО","НЕ ГОТОВО"))</f>
        <v/>
      </c>
      <c r="Z1127" s="226">
        <f>IF(Y1127&lt;&gt;"ГОТОВО","", "Предварительное заключение: "&amp;A1127&amp;", скв. "&amp;B1127&amp;". МРП: "&amp;E1127&amp;" сут. ГНО: "&amp;F1127&amp;", типоразмер "&amp;G1127&amp;", марка "&amp;H1127&amp;". Событие: "&amp;I1127&amp;". Признак: "&amp;J1127&amp;". Узел: "&amp;K1127&amp;". Предварительная причина: "&amp;L1127&amp;". Основное осложнение: "&amp;M1127&amp;IF(N1127&lt;&gt;"","; сопутствующее: "&amp;N1127,"")&amp;IF(O1127&lt;&gt;"","; дополнительно: "&amp;O1127,"")&amp;".")</f>
        <v/>
      </c>
    </row>
    <row r="1128">
      <c r="A1128" s="75" t="n"/>
      <c r="B1128" s="75" t="n"/>
      <c r="C1128" s="261" t="n"/>
      <c r="D1128" s="261" t="n"/>
      <c r="E1128" s="262">
        <f>IF(OR(C1128="",D1128=""),"",D1128-C1128)</f>
        <v/>
      </c>
      <c r="F1128" s="75" t="n"/>
      <c r="G1128" s="75" t="n"/>
      <c r="H1128" s="75" t="n"/>
      <c r="I1128" s="75" t="n"/>
      <c r="J1128" s="75" t="n"/>
      <c r="K1128" s="75" t="n"/>
      <c r="L1128" s="75" t="n"/>
      <c r="M1128" s="75" t="n"/>
      <c r="N1128" s="75" t="n"/>
      <c r="O1128" s="75" t="n"/>
      <c r="P1128" s="75" t="n"/>
      <c r="Q1128" s="75" t="n"/>
      <c r="R1128" s="75" t="n"/>
      <c r="S1128" s="75" t="n"/>
      <c r="T1128" s="75" t="n"/>
      <c r="U1128" s="75" t="n"/>
      <c r="V1128" s="75" t="n"/>
      <c r="W1128" s="75" t="n"/>
      <c r="X1128" s="75" t="n"/>
      <c r="Y1128" s="226">
        <f>IF(AND(A1128="",B1128=""),"",IF(AND(A1128&lt;&gt;"",B1128&lt;&gt;"",C1128&lt;&gt;"",D1128&lt;&gt;"",F1128&lt;&gt;"",G1128&lt;&gt;"",H1128&lt;&gt;"",ISERROR(SEARCH("по паспорту",G1128)),ISERROR(SEARCH("по паспорту",H1128)),I1128&lt;&gt;"",J1128&lt;&gt;"",K1128&lt;&gt;"",L1128&lt;&gt;"",M1128&lt;&gt;""),"ГОТОВО","НЕ ГОТОВО"))</f>
        <v/>
      </c>
      <c r="Z1128" s="226">
        <f>IF(Y1128&lt;&gt;"ГОТОВО","", "Предварительное заключение: "&amp;A1128&amp;", скв. "&amp;B1128&amp;". МРП: "&amp;E1128&amp;" сут. ГНО: "&amp;F1128&amp;", типоразмер "&amp;G1128&amp;", марка "&amp;H1128&amp;". Событие: "&amp;I1128&amp;". Признак: "&amp;J1128&amp;". Узел: "&amp;K1128&amp;". Предварительная причина: "&amp;L1128&amp;". Основное осложнение: "&amp;M1128&amp;IF(N1128&lt;&gt;"","; сопутствующее: "&amp;N1128,"")&amp;IF(O1128&lt;&gt;"","; дополнительно: "&amp;O1128,"")&amp;".")</f>
        <v/>
      </c>
    </row>
    <row r="1129">
      <c r="A1129" s="75" t="n"/>
      <c r="B1129" s="75" t="n"/>
      <c r="C1129" s="261" t="n"/>
      <c r="D1129" s="261" t="n"/>
      <c r="E1129" s="262">
        <f>IF(OR(C1129="",D1129=""),"",D1129-C1129)</f>
        <v/>
      </c>
      <c r="F1129" s="75" t="n"/>
      <c r="G1129" s="75" t="n"/>
      <c r="H1129" s="75" t="n"/>
      <c r="I1129" s="75" t="n"/>
      <c r="J1129" s="75" t="n"/>
      <c r="K1129" s="75" t="n"/>
      <c r="L1129" s="75" t="n"/>
      <c r="M1129" s="75" t="n"/>
      <c r="N1129" s="75" t="n"/>
      <c r="O1129" s="75" t="n"/>
      <c r="P1129" s="75" t="n"/>
      <c r="Q1129" s="75" t="n"/>
      <c r="R1129" s="75" t="n"/>
      <c r="S1129" s="75" t="n"/>
      <c r="T1129" s="75" t="n"/>
      <c r="U1129" s="75" t="n"/>
      <c r="V1129" s="75" t="n"/>
      <c r="W1129" s="75" t="n"/>
      <c r="X1129" s="75" t="n"/>
      <c r="Y1129" s="226">
        <f>IF(AND(A1129="",B1129=""),"",IF(AND(A1129&lt;&gt;"",B1129&lt;&gt;"",C1129&lt;&gt;"",D1129&lt;&gt;"",F1129&lt;&gt;"",G1129&lt;&gt;"",H1129&lt;&gt;"",ISERROR(SEARCH("по паспорту",G1129)),ISERROR(SEARCH("по паспорту",H1129)),I1129&lt;&gt;"",J1129&lt;&gt;"",K1129&lt;&gt;"",L1129&lt;&gt;"",M1129&lt;&gt;""),"ГОТОВО","НЕ ГОТОВО"))</f>
        <v/>
      </c>
      <c r="Z1129" s="226">
        <f>IF(Y1129&lt;&gt;"ГОТОВО","", "Предварительное заключение: "&amp;A1129&amp;", скв. "&amp;B1129&amp;". МРП: "&amp;E1129&amp;" сут. ГНО: "&amp;F1129&amp;", типоразмер "&amp;G1129&amp;", марка "&amp;H1129&amp;". Событие: "&amp;I1129&amp;". Признак: "&amp;J1129&amp;". Узел: "&amp;K1129&amp;". Предварительная причина: "&amp;L1129&amp;". Основное осложнение: "&amp;M1129&amp;IF(N1129&lt;&gt;"","; сопутствующее: "&amp;N1129,"")&amp;IF(O1129&lt;&gt;"","; дополнительно: "&amp;O1129,"")&amp;".")</f>
        <v/>
      </c>
    </row>
    <row r="1130">
      <c r="A1130" s="75" t="n"/>
      <c r="B1130" s="75" t="n"/>
      <c r="C1130" s="261" t="n"/>
      <c r="D1130" s="261" t="n"/>
      <c r="E1130" s="262">
        <f>IF(OR(C1130="",D1130=""),"",D1130-C1130)</f>
        <v/>
      </c>
      <c r="F1130" s="75" t="n"/>
      <c r="G1130" s="75" t="n"/>
      <c r="H1130" s="75" t="n"/>
      <c r="I1130" s="75" t="n"/>
      <c r="J1130" s="75" t="n"/>
      <c r="K1130" s="75" t="n"/>
      <c r="L1130" s="75" t="n"/>
      <c r="M1130" s="75" t="n"/>
      <c r="N1130" s="75" t="n"/>
      <c r="O1130" s="75" t="n"/>
      <c r="P1130" s="75" t="n"/>
      <c r="Q1130" s="75" t="n"/>
      <c r="R1130" s="75" t="n"/>
      <c r="S1130" s="75" t="n"/>
      <c r="T1130" s="75" t="n"/>
      <c r="U1130" s="75" t="n"/>
      <c r="V1130" s="75" t="n"/>
      <c r="W1130" s="75" t="n"/>
      <c r="X1130" s="75" t="n"/>
      <c r="Y1130" s="226">
        <f>IF(AND(A1130="",B1130=""),"",IF(AND(A1130&lt;&gt;"",B1130&lt;&gt;"",C1130&lt;&gt;"",D1130&lt;&gt;"",F1130&lt;&gt;"",G1130&lt;&gt;"",H1130&lt;&gt;"",ISERROR(SEARCH("по паспорту",G1130)),ISERROR(SEARCH("по паспорту",H1130)),I1130&lt;&gt;"",J1130&lt;&gt;"",K1130&lt;&gt;"",L1130&lt;&gt;"",M1130&lt;&gt;""),"ГОТОВО","НЕ ГОТОВО"))</f>
        <v/>
      </c>
      <c r="Z1130" s="226">
        <f>IF(Y1130&lt;&gt;"ГОТОВО","", "Предварительное заключение: "&amp;A1130&amp;", скв. "&amp;B1130&amp;". МРП: "&amp;E1130&amp;" сут. ГНО: "&amp;F1130&amp;", типоразмер "&amp;G1130&amp;", марка "&amp;H1130&amp;". Событие: "&amp;I1130&amp;". Признак: "&amp;J1130&amp;". Узел: "&amp;K1130&amp;". Предварительная причина: "&amp;L1130&amp;". Основное осложнение: "&amp;M1130&amp;IF(N1130&lt;&gt;"","; сопутствующее: "&amp;N1130,"")&amp;IF(O1130&lt;&gt;"","; дополнительно: "&amp;O1130,"")&amp;".")</f>
        <v/>
      </c>
    </row>
    <row r="1131">
      <c r="A1131" s="75" t="n"/>
      <c r="B1131" s="75" t="n"/>
      <c r="C1131" s="261" t="n"/>
      <c r="D1131" s="261" t="n"/>
      <c r="E1131" s="262">
        <f>IF(OR(C1131="",D1131=""),"",D1131-C1131)</f>
        <v/>
      </c>
      <c r="F1131" s="75" t="n"/>
      <c r="G1131" s="75" t="n"/>
      <c r="H1131" s="75" t="n"/>
      <c r="I1131" s="75" t="n"/>
      <c r="J1131" s="75" t="n"/>
      <c r="K1131" s="75" t="n"/>
      <c r="L1131" s="75" t="n"/>
      <c r="M1131" s="75" t="n"/>
      <c r="N1131" s="75" t="n"/>
      <c r="O1131" s="75" t="n"/>
      <c r="P1131" s="75" t="n"/>
      <c r="Q1131" s="75" t="n"/>
      <c r="R1131" s="75" t="n"/>
      <c r="S1131" s="75" t="n"/>
      <c r="T1131" s="75" t="n"/>
      <c r="U1131" s="75" t="n"/>
      <c r="V1131" s="75" t="n"/>
      <c r="W1131" s="75" t="n"/>
      <c r="X1131" s="75" t="n"/>
      <c r="Y1131" s="226">
        <f>IF(AND(A1131="",B1131=""),"",IF(AND(A1131&lt;&gt;"",B1131&lt;&gt;"",C1131&lt;&gt;"",D1131&lt;&gt;"",F1131&lt;&gt;"",G1131&lt;&gt;"",H1131&lt;&gt;"",ISERROR(SEARCH("по паспорту",G1131)),ISERROR(SEARCH("по паспорту",H1131)),I1131&lt;&gt;"",J1131&lt;&gt;"",K1131&lt;&gt;"",L1131&lt;&gt;"",M1131&lt;&gt;""),"ГОТОВО","НЕ ГОТОВО"))</f>
        <v/>
      </c>
      <c r="Z1131" s="226">
        <f>IF(Y1131&lt;&gt;"ГОТОВО","", "Предварительное заключение: "&amp;A1131&amp;", скв. "&amp;B1131&amp;". МРП: "&amp;E1131&amp;" сут. ГНО: "&amp;F1131&amp;", типоразмер "&amp;G1131&amp;", марка "&amp;H1131&amp;". Событие: "&amp;I1131&amp;". Признак: "&amp;J1131&amp;". Узел: "&amp;K1131&amp;". Предварительная причина: "&amp;L1131&amp;". Основное осложнение: "&amp;M1131&amp;IF(N1131&lt;&gt;"","; сопутствующее: "&amp;N1131,"")&amp;IF(O1131&lt;&gt;"","; дополнительно: "&amp;O1131,"")&amp;".")</f>
        <v/>
      </c>
    </row>
    <row r="1132">
      <c r="A1132" s="75" t="n"/>
      <c r="B1132" s="75" t="n"/>
      <c r="C1132" s="261" t="n"/>
      <c r="D1132" s="261" t="n"/>
      <c r="E1132" s="262">
        <f>IF(OR(C1132="",D1132=""),"",D1132-C1132)</f>
        <v/>
      </c>
      <c r="F1132" s="75" t="n"/>
      <c r="G1132" s="75" t="n"/>
      <c r="H1132" s="75" t="n"/>
      <c r="I1132" s="75" t="n"/>
      <c r="J1132" s="75" t="n"/>
      <c r="K1132" s="75" t="n"/>
      <c r="L1132" s="75" t="n"/>
      <c r="M1132" s="75" t="n"/>
      <c r="N1132" s="75" t="n"/>
      <c r="O1132" s="75" t="n"/>
      <c r="P1132" s="75" t="n"/>
      <c r="Q1132" s="75" t="n"/>
      <c r="R1132" s="75" t="n"/>
      <c r="S1132" s="75" t="n"/>
      <c r="T1132" s="75" t="n"/>
      <c r="U1132" s="75" t="n"/>
      <c r="V1132" s="75" t="n"/>
      <c r="W1132" s="75" t="n"/>
      <c r="X1132" s="75" t="n"/>
      <c r="Y1132" s="226">
        <f>IF(AND(A1132="",B1132=""),"",IF(AND(A1132&lt;&gt;"",B1132&lt;&gt;"",C1132&lt;&gt;"",D1132&lt;&gt;"",F1132&lt;&gt;"",G1132&lt;&gt;"",H1132&lt;&gt;"",ISERROR(SEARCH("по паспорту",G1132)),ISERROR(SEARCH("по паспорту",H1132)),I1132&lt;&gt;"",J1132&lt;&gt;"",K1132&lt;&gt;"",L1132&lt;&gt;"",M1132&lt;&gt;""),"ГОТОВО","НЕ ГОТОВО"))</f>
        <v/>
      </c>
      <c r="Z1132" s="226">
        <f>IF(Y1132&lt;&gt;"ГОТОВО","", "Предварительное заключение: "&amp;A1132&amp;", скв. "&amp;B1132&amp;". МРП: "&amp;E1132&amp;" сут. ГНО: "&amp;F1132&amp;", типоразмер "&amp;G1132&amp;", марка "&amp;H1132&amp;". Событие: "&amp;I1132&amp;". Признак: "&amp;J1132&amp;". Узел: "&amp;K1132&amp;". Предварительная причина: "&amp;L1132&amp;". Основное осложнение: "&amp;M1132&amp;IF(N1132&lt;&gt;"","; сопутствующее: "&amp;N1132,"")&amp;IF(O1132&lt;&gt;"","; дополнительно: "&amp;O1132,"")&amp;".")</f>
        <v/>
      </c>
    </row>
    <row r="1133">
      <c r="A1133" s="75" t="n"/>
      <c r="B1133" s="75" t="n"/>
      <c r="C1133" s="261" t="n"/>
      <c r="D1133" s="261" t="n"/>
      <c r="E1133" s="262">
        <f>IF(OR(C1133="",D1133=""),"",D1133-C1133)</f>
        <v/>
      </c>
      <c r="F1133" s="75" t="n"/>
      <c r="G1133" s="75" t="n"/>
      <c r="H1133" s="75" t="n"/>
      <c r="I1133" s="75" t="n"/>
      <c r="J1133" s="75" t="n"/>
      <c r="K1133" s="75" t="n"/>
      <c r="L1133" s="75" t="n"/>
      <c r="M1133" s="75" t="n"/>
      <c r="N1133" s="75" t="n"/>
      <c r="O1133" s="75" t="n"/>
      <c r="P1133" s="75" t="n"/>
      <c r="Q1133" s="75" t="n"/>
      <c r="R1133" s="75" t="n"/>
      <c r="S1133" s="75" t="n"/>
      <c r="T1133" s="75" t="n"/>
      <c r="U1133" s="75" t="n"/>
      <c r="V1133" s="75" t="n"/>
      <c r="W1133" s="75" t="n"/>
      <c r="X1133" s="75" t="n"/>
      <c r="Y1133" s="226">
        <f>IF(AND(A1133="",B1133=""),"",IF(AND(A1133&lt;&gt;"",B1133&lt;&gt;"",C1133&lt;&gt;"",D1133&lt;&gt;"",F1133&lt;&gt;"",G1133&lt;&gt;"",H1133&lt;&gt;"",ISERROR(SEARCH("по паспорту",G1133)),ISERROR(SEARCH("по паспорту",H1133)),I1133&lt;&gt;"",J1133&lt;&gt;"",K1133&lt;&gt;"",L1133&lt;&gt;"",M1133&lt;&gt;""),"ГОТОВО","НЕ ГОТОВО"))</f>
        <v/>
      </c>
      <c r="Z1133" s="226">
        <f>IF(Y1133&lt;&gt;"ГОТОВО","", "Предварительное заключение: "&amp;A1133&amp;", скв. "&amp;B1133&amp;". МРП: "&amp;E1133&amp;" сут. ГНО: "&amp;F1133&amp;", типоразмер "&amp;G1133&amp;", марка "&amp;H1133&amp;". Событие: "&amp;I1133&amp;". Признак: "&amp;J1133&amp;". Узел: "&amp;K1133&amp;". Предварительная причина: "&amp;L1133&amp;". Основное осложнение: "&amp;M1133&amp;IF(N1133&lt;&gt;"","; сопутствующее: "&amp;N1133,"")&amp;IF(O1133&lt;&gt;"","; дополнительно: "&amp;O1133,"")&amp;".")</f>
        <v/>
      </c>
    </row>
    <row r="1134">
      <c r="A1134" s="75" t="n"/>
      <c r="B1134" s="75" t="n"/>
      <c r="C1134" s="261" t="n"/>
      <c r="D1134" s="261" t="n"/>
      <c r="E1134" s="262">
        <f>IF(OR(C1134="",D1134=""),"",D1134-C1134)</f>
        <v/>
      </c>
      <c r="F1134" s="75" t="n"/>
      <c r="G1134" s="75" t="n"/>
      <c r="H1134" s="75" t="n"/>
      <c r="I1134" s="75" t="n"/>
      <c r="J1134" s="75" t="n"/>
      <c r="K1134" s="75" t="n"/>
      <c r="L1134" s="75" t="n"/>
      <c r="M1134" s="75" t="n"/>
      <c r="N1134" s="75" t="n"/>
      <c r="O1134" s="75" t="n"/>
      <c r="P1134" s="75" t="n"/>
      <c r="Q1134" s="75" t="n"/>
      <c r="R1134" s="75" t="n"/>
      <c r="S1134" s="75" t="n"/>
      <c r="T1134" s="75" t="n"/>
      <c r="U1134" s="75" t="n"/>
      <c r="V1134" s="75" t="n"/>
      <c r="W1134" s="75" t="n"/>
      <c r="X1134" s="75" t="n"/>
      <c r="Y1134" s="226">
        <f>IF(AND(A1134="",B1134=""),"",IF(AND(A1134&lt;&gt;"",B1134&lt;&gt;"",C1134&lt;&gt;"",D1134&lt;&gt;"",F1134&lt;&gt;"",G1134&lt;&gt;"",H1134&lt;&gt;"",ISERROR(SEARCH("по паспорту",G1134)),ISERROR(SEARCH("по паспорту",H1134)),I1134&lt;&gt;"",J1134&lt;&gt;"",K1134&lt;&gt;"",L1134&lt;&gt;"",M1134&lt;&gt;""),"ГОТОВО","НЕ ГОТОВО"))</f>
        <v/>
      </c>
      <c r="Z1134" s="226">
        <f>IF(Y1134&lt;&gt;"ГОТОВО","", "Предварительное заключение: "&amp;A1134&amp;", скв. "&amp;B1134&amp;". МРП: "&amp;E1134&amp;" сут. ГНО: "&amp;F1134&amp;", типоразмер "&amp;G1134&amp;", марка "&amp;H1134&amp;". Событие: "&amp;I1134&amp;". Признак: "&amp;J1134&amp;". Узел: "&amp;K1134&amp;". Предварительная причина: "&amp;L1134&amp;". Основное осложнение: "&amp;M1134&amp;IF(N1134&lt;&gt;"","; сопутствующее: "&amp;N1134,"")&amp;IF(O1134&lt;&gt;"","; дополнительно: "&amp;O1134,"")&amp;".")</f>
        <v/>
      </c>
    </row>
    <row r="1135">
      <c r="A1135" s="75" t="n"/>
      <c r="B1135" s="75" t="n"/>
      <c r="C1135" s="261" t="n"/>
      <c r="D1135" s="261" t="n"/>
      <c r="E1135" s="262">
        <f>IF(OR(C1135="",D1135=""),"",D1135-C1135)</f>
        <v/>
      </c>
      <c r="F1135" s="75" t="n"/>
      <c r="G1135" s="75" t="n"/>
      <c r="H1135" s="75" t="n"/>
      <c r="I1135" s="75" t="n"/>
      <c r="J1135" s="75" t="n"/>
      <c r="K1135" s="75" t="n"/>
      <c r="L1135" s="75" t="n"/>
      <c r="M1135" s="75" t="n"/>
      <c r="N1135" s="75" t="n"/>
      <c r="O1135" s="75" t="n"/>
      <c r="P1135" s="75" t="n"/>
      <c r="Q1135" s="75" t="n"/>
      <c r="R1135" s="75" t="n"/>
      <c r="S1135" s="75" t="n"/>
      <c r="T1135" s="75" t="n"/>
      <c r="U1135" s="75" t="n"/>
      <c r="V1135" s="75" t="n"/>
      <c r="W1135" s="75" t="n"/>
      <c r="X1135" s="75" t="n"/>
      <c r="Y1135" s="226">
        <f>IF(AND(A1135="",B1135=""),"",IF(AND(A1135&lt;&gt;"",B1135&lt;&gt;"",C1135&lt;&gt;"",D1135&lt;&gt;"",F1135&lt;&gt;"",G1135&lt;&gt;"",H1135&lt;&gt;"",ISERROR(SEARCH("по паспорту",G1135)),ISERROR(SEARCH("по паспорту",H1135)),I1135&lt;&gt;"",J1135&lt;&gt;"",K1135&lt;&gt;"",L1135&lt;&gt;"",M1135&lt;&gt;""),"ГОТОВО","НЕ ГОТОВО"))</f>
        <v/>
      </c>
      <c r="Z1135" s="226">
        <f>IF(Y1135&lt;&gt;"ГОТОВО","", "Предварительное заключение: "&amp;A1135&amp;", скв. "&amp;B1135&amp;". МРП: "&amp;E1135&amp;" сут. ГНО: "&amp;F1135&amp;", типоразмер "&amp;G1135&amp;", марка "&amp;H1135&amp;". Событие: "&amp;I1135&amp;". Признак: "&amp;J1135&amp;". Узел: "&amp;K1135&amp;". Предварительная причина: "&amp;L1135&amp;". Основное осложнение: "&amp;M1135&amp;IF(N1135&lt;&gt;"","; сопутствующее: "&amp;N1135,"")&amp;IF(O1135&lt;&gt;"","; дополнительно: "&amp;O1135,"")&amp;".")</f>
        <v/>
      </c>
    </row>
    <row r="1136">
      <c r="A1136" s="75" t="n"/>
      <c r="B1136" s="75" t="n"/>
      <c r="C1136" s="261" t="n"/>
      <c r="D1136" s="261" t="n"/>
      <c r="E1136" s="262">
        <f>IF(OR(C1136="",D1136=""),"",D1136-C1136)</f>
        <v/>
      </c>
      <c r="F1136" s="75" t="n"/>
      <c r="G1136" s="75" t="n"/>
      <c r="H1136" s="75" t="n"/>
      <c r="I1136" s="75" t="n"/>
      <c r="J1136" s="75" t="n"/>
      <c r="K1136" s="75" t="n"/>
      <c r="L1136" s="75" t="n"/>
      <c r="M1136" s="75" t="n"/>
      <c r="N1136" s="75" t="n"/>
      <c r="O1136" s="75" t="n"/>
      <c r="P1136" s="75" t="n"/>
      <c r="Q1136" s="75" t="n"/>
      <c r="R1136" s="75" t="n"/>
      <c r="S1136" s="75" t="n"/>
      <c r="T1136" s="75" t="n"/>
      <c r="U1136" s="75" t="n"/>
      <c r="V1136" s="75" t="n"/>
      <c r="W1136" s="75" t="n"/>
      <c r="X1136" s="75" t="n"/>
      <c r="Y1136" s="226">
        <f>IF(AND(A1136="",B1136=""),"",IF(AND(A1136&lt;&gt;"",B1136&lt;&gt;"",C1136&lt;&gt;"",D1136&lt;&gt;"",F1136&lt;&gt;"",G1136&lt;&gt;"",H1136&lt;&gt;"",ISERROR(SEARCH("по паспорту",G1136)),ISERROR(SEARCH("по паспорту",H1136)),I1136&lt;&gt;"",J1136&lt;&gt;"",K1136&lt;&gt;"",L1136&lt;&gt;"",M1136&lt;&gt;""),"ГОТОВО","НЕ ГОТОВО"))</f>
        <v/>
      </c>
      <c r="Z1136" s="226">
        <f>IF(Y1136&lt;&gt;"ГОТОВО","", "Предварительное заключение: "&amp;A1136&amp;", скв. "&amp;B1136&amp;". МРП: "&amp;E1136&amp;" сут. ГНО: "&amp;F1136&amp;", типоразмер "&amp;G1136&amp;", марка "&amp;H1136&amp;". Событие: "&amp;I1136&amp;". Признак: "&amp;J1136&amp;". Узел: "&amp;K1136&amp;". Предварительная причина: "&amp;L1136&amp;". Основное осложнение: "&amp;M1136&amp;IF(N1136&lt;&gt;"","; сопутствующее: "&amp;N1136,"")&amp;IF(O1136&lt;&gt;"","; дополнительно: "&amp;O1136,"")&amp;".")</f>
        <v/>
      </c>
    </row>
    <row r="1137">
      <c r="A1137" s="75" t="n"/>
      <c r="B1137" s="75" t="n"/>
      <c r="C1137" s="261" t="n"/>
      <c r="D1137" s="261" t="n"/>
      <c r="E1137" s="262">
        <f>IF(OR(C1137="",D1137=""),"",D1137-C1137)</f>
        <v/>
      </c>
      <c r="F1137" s="75" t="n"/>
      <c r="G1137" s="75" t="n"/>
      <c r="H1137" s="75" t="n"/>
      <c r="I1137" s="75" t="n"/>
      <c r="J1137" s="75" t="n"/>
      <c r="K1137" s="75" t="n"/>
      <c r="L1137" s="75" t="n"/>
      <c r="M1137" s="75" t="n"/>
      <c r="N1137" s="75" t="n"/>
      <c r="O1137" s="75" t="n"/>
      <c r="P1137" s="75" t="n"/>
      <c r="Q1137" s="75" t="n"/>
      <c r="R1137" s="75" t="n"/>
      <c r="S1137" s="75" t="n"/>
      <c r="T1137" s="75" t="n"/>
      <c r="U1137" s="75" t="n"/>
      <c r="V1137" s="75" t="n"/>
      <c r="W1137" s="75" t="n"/>
      <c r="X1137" s="75" t="n"/>
      <c r="Y1137" s="226">
        <f>IF(AND(A1137="",B1137=""),"",IF(AND(A1137&lt;&gt;"",B1137&lt;&gt;"",C1137&lt;&gt;"",D1137&lt;&gt;"",F1137&lt;&gt;"",G1137&lt;&gt;"",H1137&lt;&gt;"",ISERROR(SEARCH("по паспорту",G1137)),ISERROR(SEARCH("по паспорту",H1137)),I1137&lt;&gt;"",J1137&lt;&gt;"",K1137&lt;&gt;"",L1137&lt;&gt;"",M1137&lt;&gt;""),"ГОТОВО","НЕ ГОТОВО"))</f>
        <v/>
      </c>
      <c r="Z1137" s="226">
        <f>IF(Y1137&lt;&gt;"ГОТОВО","", "Предварительное заключение: "&amp;A1137&amp;", скв. "&amp;B1137&amp;". МРП: "&amp;E1137&amp;" сут. ГНО: "&amp;F1137&amp;", типоразмер "&amp;G1137&amp;", марка "&amp;H1137&amp;". Событие: "&amp;I1137&amp;". Признак: "&amp;J1137&amp;". Узел: "&amp;K1137&amp;". Предварительная причина: "&amp;L1137&amp;". Основное осложнение: "&amp;M1137&amp;IF(N1137&lt;&gt;"","; сопутствующее: "&amp;N1137,"")&amp;IF(O1137&lt;&gt;"","; дополнительно: "&amp;O1137,"")&amp;".")</f>
        <v/>
      </c>
    </row>
    <row r="1138">
      <c r="A1138" s="75" t="n"/>
      <c r="B1138" s="75" t="n"/>
      <c r="C1138" s="261" t="n"/>
      <c r="D1138" s="261" t="n"/>
      <c r="E1138" s="262">
        <f>IF(OR(C1138="",D1138=""),"",D1138-C1138)</f>
        <v/>
      </c>
      <c r="F1138" s="75" t="n"/>
      <c r="G1138" s="75" t="n"/>
      <c r="H1138" s="75" t="n"/>
      <c r="I1138" s="75" t="n"/>
      <c r="J1138" s="75" t="n"/>
      <c r="K1138" s="75" t="n"/>
      <c r="L1138" s="75" t="n"/>
      <c r="M1138" s="75" t="n"/>
      <c r="N1138" s="75" t="n"/>
      <c r="O1138" s="75" t="n"/>
      <c r="P1138" s="75" t="n"/>
      <c r="Q1138" s="75" t="n"/>
      <c r="R1138" s="75" t="n"/>
      <c r="S1138" s="75" t="n"/>
      <c r="T1138" s="75" t="n"/>
      <c r="U1138" s="75" t="n"/>
      <c r="V1138" s="75" t="n"/>
      <c r="W1138" s="75" t="n"/>
      <c r="X1138" s="75" t="n"/>
      <c r="Y1138" s="226">
        <f>IF(AND(A1138="",B1138=""),"",IF(AND(A1138&lt;&gt;"",B1138&lt;&gt;"",C1138&lt;&gt;"",D1138&lt;&gt;"",F1138&lt;&gt;"",G1138&lt;&gt;"",H1138&lt;&gt;"",ISERROR(SEARCH("по паспорту",G1138)),ISERROR(SEARCH("по паспорту",H1138)),I1138&lt;&gt;"",J1138&lt;&gt;"",K1138&lt;&gt;"",L1138&lt;&gt;"",M1138&lt;&gt;""),"ГОТОВО","НЕ ГОТОВО"))</f>
        <v/>
      </c>
      <c r="Z1138" s="226">
        <f>IF(Y1138&lt;&gt;"ГОТОВО","", "Предварительное заключение: "&amp;A1138&amp;", скв. "&amp;B1138&amp;". МРП: "&amp;E1138&amp;" сут. ГНО: "&amp;F1138&amp;", типоразмер "&amp;G1138&amp;", марка "&amp;H1138&amp;". Событие: "&amp;I1138&amp;". Признак: "&amp;J1138&amp;". Узел: "&amp;K1138&amp;". Предварительная причина: "&amp;L1138&amp;". Основное осложнение: "&amp;M1138&amp;IF(N1138&lt;&gt;"","; сопутствующее: "&amp;N1138,"")&amp;IF(O1138&lt;&gt;"","; дополнительно: "&amp;O1138,"")&amp;".")</f>
        <v/>
      </c>
    </row>
    <row r="1139">
      <c r="A1139" s="75" t="n"/>
      <c r="B1139" s="75" t="n"/>
      <c r="C1139" s="261" t="n"/>
      <c r="D1139" s="261" t="n"/>
      <c r="E1139" s="262">
        <f>IF(OR(C1139="",D1139=""),"",D1139-C1139)</f>
        <v/>
      </c>
      <c r="F1139" s="75" t="n"/>
      <c r="G1139" s="75" t="n"/>
      <c r="H1139" s="75" t="n"/>
      <c r="I1139" s="75" t="n"/>
      <c r="J1139" s="75" t="n"/>
      <c r="K1139" s="75" t="n"/>
      <c r="L1139" s="75" t="n"/>
      <c r="M1139" s="75" t="n"/>
      <c r="N1139" s="75" t="n"/>
      <c r="O1139" s="75" t="n"/>
      <c r="P1139" s="75" t="n"/>
      <c r="Q1139" s="75" t="n"/>
      <c r="R1139" s="75" t="n"/>
      <c r="S1139" s="75" t="n"/>
      <c r="T1139" s="75" t="n"/>
      <c r="U1139" s="75" t="n"/>
      <c r="V1139" s="75" t="n"/>
      <c r="W1139" s="75" t="n"/>
      <c r="X1139" s="75" t="n"/>
      <c r="Y1139" s="226">
        <f>IF(AND(A1139="",B1139=""),"",IF(AND(A1139&lt;&gt;"",B1139&lt;&gt;"",C1139&lt;&gt;"",D1139&lt;&gt;"",F1139&lt;&gt;"",G1139&lt;&gt;"",H1139&lt;&gt;"",ISERROR(SEARCH("по паспорту",G1139)),ISERROR(SEARCH("по паспорту",H1139)),I1139&lt;&gt;"",J1139&lt;&gt;"",K1139&lt;&gt;"",L1139&lt;&gt;"",M1139&lt;&gt;""),"ГОТОВО","НЕ ГОТОВО"))</f>
        <v/>
      </c>
      <c r="Z1139" s="226">
        <f>IF(Y1139&lt;&gt;"ГОТОВО","", "Предварительное заключение: "&amp;A1139&amp;", скв. "&amp;B1139&amp;". МРП: "&amp;E1139&amp;" сут. ГНО: "&amp;F1139&amp;", типоразмер "&amp;G1139&amp;", марка "&amp;H1139&amp;". Событие: "&amp;I1139&amp;". Признак: "&amp;J1139&amp;". Узел: "&amp;K1139&amp;". Предварительная причина: "&amp;L1139&amp;". Основное осложнение: "&amp;M1139&amp;IF(N1139&lt;&gt;"","; сопутствующее: "&amp;N1139,"")&amp;IF(O1139&lt;&gt;"","; дополнительно: "&amp;O1139,"")&amp;".")</f>
        <v/>
      </c>
    </row>
    <row r="1140">
      <c r="A1140" s="75" t="n"/>
      <c r="B1140" s="75" t="n"/>
      <c r="C1140" s="261" t="n"/>
      <c r="D1140" s="261" t="n"/>
      <c r="E1140" s="262">
        <f>IF(OR(C1140="",D1140=""),"",D1140-C1140)</f>
        <v/>
      </c>
      <c r="F1140" s="75" t="n"/>
      <c r="G1140" s="75" t="n"/>
      <c r="H1140" s="75" t="n"/>
      <c r="I1140" s="75" t="n"/>
      <c r="J1140" s="75" t="n"/>
      <c r="K1140" s="75" t="n"/>
      <c r="L1140" s="75" t="n"/>
      <c r="M1140" s="75" t="n"/>
      <c r="N1140" s="75" t="n"/>
      <c r="O1140" s="75" t="n"/>
      <c r="P1140" s="75" t="n"/>
      <c r="Q1140" s="75" t="n"/>
      <c r="R1140" s="75" t="n"/>
      <c r="S1140" s="75" t="n"/>
      <c r="T1140" s="75" t="n"/>
      <c r="U1140" s="75" t="n"/>
      <c r="V1140" s="75" t="n"/>
      <c r="W1140" s="75" t="n"/>
      <c r="X1140" s="75" t="n"/>
      <c r="Y1140" s="226">
        <f>IF(AND(A1140="",B1140=""),"",IF(AND(A1140&lt;&gt;"",B1140&lt;&gt;"",C1140&lt;&gt;"",D1140&lt;&gt;"",F1140&lt;&gt;"",G1140&lt;&gt;"",H1140&lt;&gt;"",ISERROR(SEARCH("по паспорту",G1140)),ISERROR(SEARCH("по паспорту",H1140)),I1140&lt;&gt;"",J1140&lt;&gt;"",K1140&lt;&gt;"",L1140&lt;&gt;"",M1140&lt;&gt;""),"ГОТОВО","НЕ ГОТОВО"))</f>
        <v/>
      </c>
      <c r="Z1140" s="226">
        <f>IF(Y1140&lt;&gt;"ГОТОВО","", "Предварительное заключение: "&amp;A1140&amp;", скв. "&amp;B1140&amp;". МРП: "&amp;E1140&amp;" сут. ГНО: "&amp;F1140&amp;", типоразмер "&amp;G1140&amp;", марка "&amp;H1140&amp;". Событие: "&amp;I1140&amp;". Признак: "&amp;J1140&amp;". Узел: "&amp;K1140&amp;". Предварительная причина: "&amp;L1140&amp;". Основное осложнение: "&amp;M1140&amp;IF(N1140&lt;&gt;"","; сопутствующее: "&amp;N1140,"")&amp;IF(O1140&lt;&gt;"","; дополнительно: "&amp;O1140,"")&amp;".")</f>
        <v/>
      </c>
    </row>
    <row r="1141">
      <c r="A1141" s="75" t="n"/>
      <c r="B1141" s="75" t="n"/>
      <c r="C1141" s="261" t="n"/>
      <c r="D1141" s="261" t="n"/>
      <c r="E1141" s="262">
        <f>IF(OR(C1141="",D1141=""),"",D1141-C1141)</f>
        <v/>
      </c>
      <c r="F1141" s="75" t="n"/>
      <c r="G1141" s="75" t="n"/>
      <c r="H1141" s="75" t="n"/>
      <c r="I1141" s="75" t="n"/>
      <c r="J1141" s="75" t="n"/>
      <c r="K1141" s="75" t="n"/>
      <c r="L1141" s="75" t="n"/>
      <c r="M1141" s="75" t="n"/>
      <c r="N1141" s="75" t="n"/>
      <c r="O1141" s="75" t="n"/>
      <c r="P1141" s="75" t="n"/>
      <c r="Q1141" s="75" t="n"/>
      <c r="R1141" s="75" t="n"/>
      <c r="S1141" s="75" t="n"/>
      <c r="T1141" s="75" t="n"/>
      <c r="U1141" s="75" t="n"/>
      <c r="V1141" s="75" t="n"/>
      <c r="W1141" s="75" t="n"/>
      <c r="X1141" s="75" t="n"/>
      <c r="Y1141" s="226">
        <f>IF(AND(A1141="",B1141=""),"",IF(AND(A1141&lt;&gt;"",B1141&lt;&gt;"",C1141&lt;&gt;"",D1141&lt;&gt;"",F1141&lt;&gt;"",G1141&lt;&gt;"",H1141&lt;&gt;"",ISERROR(SEARCH("по паспорту",G1141)),ISERROR(SEARCH("по паспорту",H1141)),I1141&lt;&gt;"",J1141&lt;&gt;"",K1141&lt;&gt;"",L1141&lt;&gt;"",M1141&lt;&gt;""),"ГОТОВО","НЕ ГОТОВО"))</f>
        <v/>
      </c>
      <c r="Z1141" s="226">
        <f>IF(Y1141&lt;&gt;"ГОТОВО","", "Предварительное заключение: "&amp;A1141&amp;", скв. "&amp;B1141&amp;". МРП: "&amp;E1141&amp;" сут. ГНО: "&amp;F1141&amp;", типоразмер "&amp;G1141&amp;", марка "&amp;H1141&amp;". Событие: "&amp;I1141&amp;". Признак: "&amp;J1141&amp;". Узел: "&amp;K1141&amp;". Предварительная причина: "&amp;L1141&amp;". Основное осложнение: "&amp;M1141&amp;IF(N1141&lt;&gt;"","; сопутствующее: "&amp;N1141,"")&amp;IF(O1141&lt;&gt;"","; дополнительно: "&amp;O1141,"")&amp;".")</f>
        <v/>
      </c>
    </row>
    <row r="1142">
      <c r="A1142" s="75" t="n"/>
      <c r="B1142" s="75" t="n"/>
      <c r="C1142" s="261" t="n"/>
      <c r="D1142" s="261" t="n"/>
      <c r="E1142" s="262">
        <f>IF(OR(C1142="",D1142=""),"",D1142-C1142)</f>
        <v/>
      </c>
      <c r="F1142" s="75" t="n"/>
      <c r="G1142" s="75" t="n"/>
      <c r="H1142" s="75" t="n"/>
      <c r="I1142" s="75" t="n"/>
      <c r="J1142" s="75" t="n"/>
      <c r="K1142" s="75" t="n"/>
      <c r="L1142" s="75" t="n"/>
      <c r="M1142" s="75" t="n"/>
      <c r="N1142" s="75" t="n"/>
      <c r="O1142" s="75" t="n"/>
      <c r="P1142" s="75" t="n"/>
      <c r="Q1142" s="75" t="n"/>
      <c r="R1142" s="75" t="n"/>
      <c r="S1142" s="75" t="n"/>
      <c r="T1142" s="75" t="n"/>
      <c r="U1142" s="75" t="n"/>
      <c r="V1142" s="75" t="n"/>
      <c r="W1142" s="75" t="n"/>
      <c r="X1142" s="75" t="n"/>
      <c r="Y1142" s="226">
        <f>IF(AND(A1142="",B1142=""),"",IF(AND(A1142&lt;&gt;"",B1142&lt;&gt;"",C1142&lt;&gt;"",D1142&lt;&gt;"",F1142&lt;&gt;"",G1142&lt;&gt;"",H1142&lt;&gt;"",ISERROR(SEARCH("по паспорту",G1142)),ISERROR(SEARCH("по паспорту",H1142)),I1142&lt;&gt;"",J1142&lt;&gt;"",K1142&lt;&gt;"",L1142&lt;&gt;"",M1142&lt;&gt;""),"ГОТОВО","НЕ ГОТОВО"))</f>
        <v/>
      </c>
      <c r="Z1142" s="226">
        <f>IF(Y1142&lt;&gt;"ГОТОВО","", "Предварительное заключение: "&amp;A1142&amp;", скв. "&amp;B1142&amp;". МРП: "&amp;E1142&amp;" сут. ГНО: "&amp;F1142&amp;", типоразмер "&amp;G1142&amp;", марка "&amp;H1142&amp;". Событие: "&amp;I1142&amp;". Признак: "&amp;J1142&amp;". Узел: "&amp;K1142&amp;". Предварительная причина: "&amp;L1142&amp;". Основное осложнение: "&amp;M1142&amp;IF(N1142&lt;&gt;"","; сопутствующее: "&amp;N1142,"")&amp;IF(O1142&lt;&gt;"","; дополнительно: "&amp;O1142,"")&amp;".")</f>
        <v/>
      </c>
    </row>
    <row r="1143">
      <c r="A1143" s="75" t="n"/>
      <c r="B1143" s="75" t="n"/>
      <c r="C1143" s="261" t="n"/>
      <c r="D1143" s="261" t="n"/>
      <c r="E1143" s="262">
        <f>IF(OR(C1143="",D1143=""),"",D1143-C1143)</f>
        <v/>
      </c>
      <c r="F1143" s="75" t="n"/>
      <c r="G1143" s="75" t="n"/>
      <c r="H1143" s="75" t="n"/>
      <c r="I1143" s="75" t="n"/>
      <c r="J1143" s="75" t="n"/>
      <c r="K1143" s="75" t="n"/>
      <c r="L1143" s="75" t="n"/>
      <c r="M1143" s="75" t="n"/>
      <c r="N1143" s="75" t="n"/>
      <c r="O1143" s="75" t="n"/>
      <c r="P1143" s="75" t="n"/>
      <c r="Q1143" s="75" t="n"/>
      <c r="R1143" s="75" t="n"/>
      <c r="S1143" s="75" t="n"/>
      <c r="T1143" s="75" t="n"/>
      <c r="U1143" s="75" t="n"/>
      <c r="V1143" s="75" t="n"/>
      <c r="W1143" s="75" t="n"/>
      <c r="X1143" s="75" t="n"/>
      <c r="Y1143" s="226">
        <f>IF(AND(A1143="",B1143=""),"",IF(AND(A1143&lt;&gt;"",B1143&lt;&gt;"",C1143&lt;&gt;"",D1143&lt;&gt;"",F1143&lt;&gt;"",G1143&lt;&gt;"",H1143&lt;&gt;"",ISERROR(SEARCH("по паспорту",G1143)),ISERROR(SEARCH("по паспорту",H1143)),I1143&lt;&gt;"",J1143&lt;&gt;"",K1143&lt;&gt;"",L1143&lt;&gt;"",M1143&lt;&gt;""),"ГОТОВО","НЕ ГОТОВО"))</f>
        <v/>
      </c>
      <c r="Z1143" s="226">
        <f>IF(Y1143&lt;&gt;"ГОТОВО","", "Предварительное заключение: "&amp;A1143&amp;", скв. "&amp;B1143&amp;". МРП: "&amp;E1143&amp;" сут. ГНО: "&amp;F1143&amp;", типоразмер "&amp;G1143&amp;", марка "&amp;H1143&amp;". Событие: "&amp;I1143&amp;". Признак: "&amp;J1143&amp;". Узел: "&amp;K1143&amp;". Предварительная причина: "&amp;L1143&amp;". Основное осложнение: "&amp;M1143&amp;IF(N1143&lt;&gt;"","; сопутствующее: "&amp;N1143,"")&amp;IF(O1143&lt;&gt;"","; дополнительно: "&amp;O1143,"")&amp;".")</f>
        <v/>
      </c>
    </row>
    <row r="1144">
      <c r="A1144" s="75" t="n"/>
      <c r="B1144" s="75" t="n"/>
      <c r="C1144" s="261" t="n"/>
      <c r="D1144" s="261" t="n"/>
      <c r="E1144" s="262">
        <f>IF(OR(C1144="",D1144=""),"",D1144-C1144)</f>
        <v/>
      </c>
      <c r="F1144" s="75" t="n"/>
      <c r="G1144" s="75" t="n"/>
      <c r="H1144" s="75" t="n"/>
      <c r="I1144" s="75" t="n"/>
      <c r="J1144" s="75" t="n"/>
      <c r="K1144" s="75" t="n"/>
      <c r="L1144" s="75" t="n"/>
      <c r="M1144" s="75" t="n"/>
      <c r="N1144" s="75" t="n"/>
      <c r="O1144" s="75" t="n"/>
      <c r="P1144" s="75" t="n"/>
      <c r="Q1144" s="75" t="n"/>
      <c r="R1144" s="75" t="n"/>
      <c r="S1144" s="75" t="n"/>
      <c r="T1144" s="75" t="n"/>
      <c r="U1144" s="75" t="n"/>
      <c r="V1144" s="75" t="n"/>
      <c r="W1144" s="75" t="n"/>
      <c r="X1144" s="75" t="n"/>
      <c r="Y1144" s="226">
        <f>IF(AND(A1144="",B1144=""),"",IF(AND(A1144&lt;&gt;"",B1144&lt;&gt;"",C1144&lt;&gt;"",D1144&lt;&gt;"",F1144&lt;&gt;"",G1144&lt;&gt;"",H1144&lt;&gt;"",ISERROR(SEARCH("по паспорту",G1144)),ISERROR(SEARCH("по паспорту",H1144)),I1144&lt;&gt;"",J1144&lt;&gt;"",K1144&lt;&gt;"",L1144&lt;&gt;"",M1144&lt;&gt;""),"ГОТОВО","НЕ ГОТОВО"))</f>
        <v/>
      </c>
      <c r="Z1144" s="226">
        <f>IF(Y1144&lt;&gt;"ГОТОВО","", "Предварительное заключение: "&amp;A1144&amp;", скв. "&amp;B1144&amp;". МРП: "&amp;E1144&amp;" сут. ГНО: "&amp;F1144&amp;", типоразмер "&amp;G1144&amp;", марка "&amp;H1144&amp;". Событие: "&amp;I1144&amp;". Признак: "&amp;J1144&amp;". Узел: "&amp;K1144&amp;". Предварительная причина: "&amp;L1144&amp;". Основное осложнение: "&amp;M1144&amp;IF(N1144&lt;&gt;"","; сопутствующее: "&amp;N1144,"")&amp;IF(O1144&lt;&gt;"","; дополнительно: "&amp;O1144,"")&amp;".")</f>
        <v/>
      </c>
    </row>
    <row r="1145">
      <c r="A1145" s="75" t="n"/>
      <c r="B1145" s="75" t="n"/>
      <c r="C1145" s="261" t="n"/>
      <c r="D1145" s="261" t="n"/>
      <c r="E1145" s="262">
        <f>IF(OR(C1145="",D1145=""),"",D1145-C1145)</f>
        <v/>
      </c>
      <c r="F1145" s="75" t="n"/>
      <c r="G1145" s="75" t="n"/>
      <c r="H1145" s="75" t="n"/>
      <c r="I1145" s="75" t="n"/>
      <c r="J1145" s="75" t="n"/>
      <c r="K1145" s="75" t="n"/>
      <c r="L1145" s="75" t="n"/>
      <c r="M1145" s="75" t="n"/>
      <c r="N1145" s="75" t="n"/>
      <c r="O1145" s="75" t="n"/>
      <c r="P1145" s="75" t="n"/>
      <c r="Q1145" s="75" t="n"/>
      <c r="R1145" s="75" t="n"/>
      <c r="S1145" s="75" t="n"/>
      <c r="T1145" s="75" t="n"/>
      <c r="U1145" s="75" t="n"/>
      <c r="V1145" s="75" t="n"/>
      <c r="W1145" s="75" t="n"/>
      <c r="X1145" s="75" t="n"/>
      <c r="Y1145" s="226">
        <f>IF(AND(A1145="",B1145=""),"",IF(AND(A1145&lt;&gt;"",B1145&lt;&gt;"",C1145&lt;&gt;"",D1145&lt;&gt;"",F1145&lt;&gt;"",G1145&lt;&gt;"",H1145&lt;&gt;"",ISERROR(SEARCH("по паспорту",G1145)),ISERROR(SEARCH("по паспорту",H1145)),I1145&lt;&gt;"",J1145&lt;&gt;"",K1145&lt;&gt;"",L1145&lt;&gt;"",M1145&lt;&gt;""),"ГОТОВО","НЕ ГОТОВО"))</f>
        <v/>
      </c>
      <c r="Z1145" s="226">
        <f>IF(Y1145&lt;&gt;"ГОТОВО","", "Предварительное заключение: "&amp;A1145&amp;", скв. "&amp;B1145&amp;". МРП: "&amp;E1145&amp;" сут. ГНО: "&amp;F1145&amp;", типоразмер "&amp;G1145&amp;", марка "&amp;H1145&amp;". Событие: "&amp;I1145&amp;". Признак: "&amp;J1145&amp;". Узел: "&amp;K1145&amp;". Предварительная причина: "&amp;L1145&amp;". Основное осложнение: "&amp;M1145&amp;IF(N1145&lt;&gt;"","; сопутствующее: "&amp;N1145,"")&amp;IF(O1145&lt;&gt;"","; дополнительно: "&amp;O1145,"")&amp;".")</f>
        <v/>
      </c>
    </row>
    <row r="1146">
      <c r="A1146" s="75" t="n"/>
      <c r="B1146" s="75" t="n"/>
      <c r="C1146" s="261" t="n"/>
      <c r="D1146" s="261" t="n"/>
      <c r="E1146" s="262">
        <f>IF(OR(C1146="",D1146=""),"",D1146-C1146)</f>
        <v/>
      </c>
      <c r="F1146" s="75" t="n"/>
      <c r="G1146" s="75" t="n"/>
      <c r="H1146" s="75" t="n"/>
      <c r="I1146" s="75" t="n"/>
      <c r="J1146" s="75" t="n"/>
      <c r="K1146" s="75" t="n"/>
      <c r="L1146" s="75" t="n"/>
      <c r="M1146" s="75" t="n"/>
      <c r="N1146" s="75" t="n"/>
      <c r="O1146" s="75" t="n"/>
      <c r="P1146" s="75" t="n"/>
      <c r="Q1146" s="75" t="n"/>
      <c r="R1146" s="75" t="n"/>
      <c r="S1146" s="75" t="n"/>
      <c r="T1146" s="75" t="n"/>
      <c r="U1146" s="75" t="n"/>
      <c r="V1146" s="75" t="n"/>
      <c r="W1146" s="75" t="n"/>
      <c r="X1146" s="75" t="n"/>
      <c r="Y1146" s="226">
        <f>IF(AND(A1146="",B1146=""),"",IF(AND(A1146&lt;&gt;"",B1146&lt;&gt;"",C1146&lt;&gt;"",D1146&lt;&gt;"",F1146&lt;&gt;"",G1146&lt;&gt;"",H1146&lt;&gt;"",ISERROR(SEARCH("по паспорту",G1146)),ISERROR(SEARCH("по паспорту",H1146)),I1146&lt;&gt;"",J1146&lt;&gt;"",K1146&lt;&gt;"",L1146&lt;&gt;"",M1146&lt;&gt;""),"ГОТОВО","НЕ ГОТОВО"))</f>
        <v/>
      </c>
      <c r="Z1146" s="226">
        <f>IF(Y1146&lt;&gt;"ГОТОВО","", "Предварительное заключение: "&amp;A1146&amp;", скв. "&amp;B1146&amp;". МРП: "&amp;E1146&amp;" сут. ГНО: "&amp;F1146&amp;", типоразмер "&amp;G1146&amp;", марка "&amp;H1146&amp;". Событие: "&amp;I1146&amp;". Признак: "&amp;J1146&amp;". Узел: "&amp;K1146&amp;". Предварительная причина: "&amp;L1146&amp;". Основное осложнение: "&amp;M1146&amp;IF(N1146&lt;&gt;"","; сопутствующее: "&amp;N1146,"")&amp;IF(O1146&lt;&gt;"","; дополнительно: "&amp;O1146,"")&amp;".")</f>
        <v/>
      </c>
    </row>
    <row r="1147">
      <c r="A1147" s="75" t="n"/>
      <c r="B1147" s="75" t="n"/>
      <c r="C1147" s="261" t="n"/>
      <c r="D1147" s="261" t="n"/>
      <c r="E1147" s="262">
        <f>IF(OR(C1147="",D1147=""),"",D1147-C1147)</f>
        <v/>
      </c>
      <c r="F1147" s="75" t="n"/>
      <c r="G1147" s="75" t="n"/>
      <c r="H1147" s="75" t="n"/>
      <c r="I1147" s="75" t="n"/>
      <c r="J1147" s="75" t="n"/>
      <c r="K1147" s="75" t="n"/>
      <c r="L1147" s="75" t="n"/>
      <c r="M1147" s="75" t="n"/>
      <c r="N1147" s="75" t="n"/>
      <c r="O1147" s="75" t="n"/>
      <c r="P1147" s="75" t="n"/>
      <c r="Q1147" s="75" t="n"/>
      <c r="R1147" s="75" t="n"/>
      <c r="S1147" s="75" t="n"/>
      <c r="T1147" s="75" t="n"/>
      <c r="U1147" s="75" t="n"/>
      <c r="V1147" s="75" t="n"/>
      <c r="W1147" s="75" t="n"/>
      <c r="X1147" s="75" t="n"/>
      <c r="Y1147" s="226">
        <f>IF(AND(A1147="",B1147=""),"",IF(AND(A1147&lt;&gt;"",B1147&lt;&gt;"",C1147&lt;&gt;"",D1147&lt;&gt;"",F1147&lt;&gt;"",G1147&lt;&gt;"",H1147&lt;&gt;"",ISERROR(SEARCH("по паспорту",G1147)),ISERROR(SEARCH("по паспорту",H1147)),I1147&lt;&gt;"",J1147&lt;&gt;"",K1147&lt;&gt;"",L1147&lt;&gt;"",M1147&lt;&gt;""),"ГОТОВО","НЕ ГОТОВО"))</f>
        <v/>
      </c>
      <c r="Z1147" s="226">
        <f>IF(Y1147&lt;&gt;"ГОТОВО","", "Предварительное заключение: "&amp;A1147&amp;", скв. "&amp;B1147&amp;". МРП: "&amp;E1147&amp;" сут. ГНО: "&amp;F1147&amp;", типоразмер "&amp;G1147&amp;", марка "&amp;H1147&amp;". Событие: "&amp;I1147&amp;". Признак: "&amp;J1147&amp;". Узел: "&amp;K1147&amp;". Предварительная причина: "&amp;L1147&amp;". Основное осложнение: "&amp;M1147&amp;IF(N1147&lt;&gt;"","; сопутствующее: "&amp;N1147,"")&amp;IF(O1147&lt;&gt;"","; дополнительно: "&amp;O1147,"")&amp;".")</f>
        <v/>
      </c>
    </row>
    <row r="1148">
      <c r="A1148" s="75" t="n"/>
      <c r="B1148" s="75" t="n"/>
      <c r="C1148" s="261" t="n"/>
      <c r="D1148" s="261" t="n"/>
      <c r="E1148" s="262">
        <f>IF(OR(C1148="",D1148=""),"",D1148-C1148)</f>
        <v/>
      </c>
      <c r="F1148" s="75" t="n"/>
      <c r="G1148" s="75" t="n"/>
      <c r="H1148" s="75" t="n"/>
      <c r="I1148" s="75" t="n"/>
      <c r="J1148" s="75" t="n"/>
      <c r="K1148" s="75" t="n"/>
      <c r="L1148" s="75" t="n"/>
      <c r="M1148" s="75" t="n"/>
      <c r="N1148" s="75" t="n"/>
      <c r="O1148" s="75" t="n"/>
      <c r="P1148" s="75" t="n"/>
      <c r="Q1148" s="75" t="n"/>
      <c r="R1148" s="75" t="n"/>
      <c r="S1148" s="75" t="n"/>
      <c r="T1148" s="75" t="n"/>
      <c r="U1148" s="75" t="n"/>
      <c r="V1148" s="75" t="n"/>
      <c r="W1148" s="75" t="n"/>
      <c r="X1148" s="75" t="n"/>
      <c r="Y1148" s="226">
        <f>IF(AND(A1148="",B1148=""),"",IF(AND(A1148&lt;&gt;"",B1148&lt;&gt;"",C1148&lt;&gt;"",D1148&lt;&gt;"",F1148&lt;&gt;"",G1148&lt;&gt;"",H1148&lt;&gt;"",ISERROR(SEARCH("по паспорту",G1148)),ISERROR(SEARCH("по паспорту",H1148)),I1148&lt;&gt;"",J1148&lt;&gt;"",K1148&lt;&gt;"",L1148&lt;&gt;"",M1148&lt;&gt;""),"ГОТОВО","НЕ ГОТОВО"))</f>
        <v/>
      </c>
      <c r="Z1148" s="226">
        <f>IF(Y1148&lt;&gt;"ГОТОВО","", "Предварительное заключение: "&amp;A1148&amp;", скв. "&amp;B1148&amp;". МРП: "&amp;E1148&amp;" сут. ГНО: "&amp;F1148&amp;", типоразмер "&amp;G1148&amp;", марка "&amp;H1148&amp;". Событие: "&amp;I1148&amp;". Признак: "&amp;J1148&amp;". Узел: "&amp;K1148&amp;". Предварительная причина: "&amp;L1148&amp;". Основное осложнение: "&amp;M1148&amp;IF(N1148&lt;&gt;"","; сопутствующее: "&amp;N1148,"")&amp;IF(O1148&lt;&gt;"","; дополнительно: "&amp;O1148,"")&amp;".")</f>
        <v/>
      </c>
    </row>
    <row r="1149">
      <c r="A1149" s="75" t="n"/>
      <c r="B1149" s="75" t="n"/>
      <c r="C1149" s="261" t="n"/>
      <c r="D1149" s="261" t="n"/>
      <c r="E1149" s="262">
        <f>IF(OR(C1149="",D1149=""),"",D1149-C1149)</f>
        <v/>
      </c>
      <c r="F1149" s="75" t="n"/>
      <c r="G1149" s="75" t="n"/>
      <c r="H1149" s="75" t="n"/>
      <c r="I1149" s="75" t="n"/>
      <c r="J1149" s="75" t="n"/>
      <c r="K1149" s="75" t="n"/>
      <c r="L1149" s="75" t="n"/>
      <c r="M1149" s="75" t="n"/>
      <c r="N1149" s="75" t="n"/>
      <c r="O1149" s="75" t="n"/>
      <c r="P1149" s="75" t="n"/>
      <c r="Q1149" s="75" t="n"/>
      <c r="R1149" s="75" t="n"/>
      <c r="S1149" s="75" t="n"/>
      <c r="T1149" s="75" t="n"/>
      <c r="U1149" s="75" t="n"/>
      <c r="V1149" s="75" t="n"/>
      <c r="W1149" s="75" t="n"/>
      <c r="X1149" s="75" t="n"/>
      <c r="Y1149" s="226">
        <f>IF(AND(A1149="",B1149=""),"",IF(AND(A1149&lt;&gt;"",B1149&lt;&gt;"",C1149&lt;&gt;"",D1149&lt;&gt;"",F1149&lt;&gt;"",G1149&lt;&gt;"",H1149&lt;&gt;"",ISERROR(SEARCH("по паспорту",G1149)),ISERROR(SEARCH("по паспорту",H1149)),I1149&lt;&gt;"",J1149&lt;&gt;"",K1149&lt;&gt;"",L1149&lt;&gt;"",M1149&lt;&gt;""),"ГОТОВО","НЕ ГОТОВО"))</f>
        <v/>
      </c>
      <c r="Z1149" s="226">
        <f>IF(Y1149&lt;&gt;"ГОТОВО","", "Предварительное заключение: "&amp;A1149&amp;", скв. "&amp;B1149&amp;". МРП: "&amp;E1149&amp;" сут. ГНО: "&amp;F1149&amp;", типоразмер "&amp;G1149&amp;", марка "&amp;H1149&amp;". Событие: "&amp;I1149&amp;". Признак: "&amp;J1149&amp;". Узел: "&amp;K1149&amp;". Предварительная причина: "&amp;L1149&amp;". Основное осложнение: "&amp;M1149&amp;IF(N1149&lt;&gt;"","; сопутствующее: "&amp;N1149,"")&amp;IF(O1149&lt;&gt;"","; дополнительно: "&amp;O1149,"")&amp;".")</f>
        <v/>
      </c>
    </row>
    <row r="1150">
      <c r="A1150" s="75" t="n"/>
      <c r="B1150" s="75" t="n"/>
      <c r="C1150" s="261" t="n"/>
      <c r="D1150" s="261" t="n"/>
      <c r="E1150" s="262">
        <f>IF(OR(C1150="",D1150=""),"",D1150-C1150)</f>
        <v/>
      </c>
      <c r="F1150" s="75" t="n"/>
      <c r="G1150" s="75" t="n"/>
      <c r="H1150" s="75" t="n"/>
      <c r="I1150" s="75" t="n"/>
      <c r="J1150" s="75" t="n"/>
      <c r="K1150" s="75" t="n"/>
      <c r="L1150" s="75" t="n"/>
      <c r="M1150" s="75" t="n"/>
      <c r="N1150" s="75" t="n"/>
      <c r="O1150" s="75" t="n"/>
      <c r="P1150" s="75" t="n"/>
      <c r="Q1150" s="75" t="n"/>
      <c r="R1150" s="75" t="n"/>
      <c r="S1150" s="75" t="n"/>
      <c r="T1150" s="75" t="n"/>
      <c r="U1150" s="75" t="n"/>
      <c r="V1150" s="75" t="n"/>
      <c r="W1150" s="75" t="n"/>
      <c r="X1150" s="75" t="n"/>
      <c r="Y1150" s="226">
        <f>IF(AND(A1150="",B1150=""),"",IF(AND(A1150&lt;&gt;"",B1150&lt;&gt;"",C1150&lt;&gt;"",D1150&lt;&gt;"",F1150&lt;&gt;"",G1150&lt;&gt;"",H1150&lt;&gt;"",ISERROR(SEARCH("по паспорту",G1150)),ISERROR(SEARCH("по паспорту",H1150)),I1150&lt;&gt;"",J1150&lt;&gt;"",K1150&lt;&gt;"",L1150&lt;&gt;"",M1150&lt;&gt;""),"ГОТОВО","НЕ ГОТОВО"))</f>
        <v/>
      </c>
      <c r="Z1150" s="226">
        <f>IF(Y1150&lt;&gt;"ГОТОВО","", "Предварительное заключение: "&amp;A1150&amp;", скв. "&amp;B1150&amp;". МРП: "&amp;E1150&amp;" сут. ГНО: "&amp;F1150&amp;", типоразмер "&amp;G1150&amp;", марка "&amp;H1150&amp;". Событие: "&amp;I1150&amp;". Признак: "&amp;J1150&amp;". Узел: "&amp;K1150&amp;". Предварительная причина: "&amp;L1150&amp;". Основное осложнение: "&amp;M1150&amp;IF(N1150&lt;&gt;"","; сопутствующее: "&amp;N1150,"")&amp;IF(O1150&lt;&gt;"","; дополнительно: "&amp;O1150,"")&amp;".")</f>
        <v/>
      </c>
    </row>
    <row r="1151">
      <c r="A1151" s="75" t="n"/>
      <c r="B1151" s="75" t="n"/>
      <c r="C1151" s="261" t="n"/>
      <c r="D1151" s="261" t="n"/>
      <c r="E1151" s="262">
        <f>IF(OR(C1151="",D1151=""),"",D1151-C1151)</f>
        <v/>
      </c>
      <c r="F1151" s="75" t="n"/>
      <c r="G1151" s="75" t="n"/>
      <c r="H1151" s="75" t="n"/>
      <c r="I1151" s="75" t="n"/>
      <c r="J1151" s="75" t="n"/>
      <c r="K1151" s="75" t="n"/>
      <c r="L1151" s="75" t="n"/>
      <c r="M1151" s="75" t="n"/>
      <c r="N1151" s="75" t="n"/>
      <c r="O1151" s="75" t="n"/>
      <c r="P1151" s="75" t="n"/>
      <c r="Q1151" s="75" t="n"/>
      <c r="R1151" s="75" t="n"/>
      <c r="S1151" s="75" t="n"/>
      <c r="T1151" s="75" t="n"/>
      <c r="U1151" s="75" t="n"/>
      <c r="V1151" s="75" t="n"/>
      <c r="W1151" s="75" t="n"/>
      <c r="X1151" s="75" t="n"/>
      <c r="Y1151" s="226">
        <f>IF(AND(A1151="",B1151=""),"",IF(AND(A1151&lt;&gt;"",B1151&lt;&gt;"",C1151&lt;&gt;"",D1151&lt;&gt;"",F1151&lt;&gt;"",G1151&lt;&gt;"",H1151&lt;&gt;"",ISERROR(SEARCH("по паспорту",G1151)),ISERROR(SEARCH("по паспорту",H1151)),I1151&lt;&gt;"",J1151&lt;&gt;"",K1151&lt;&gt;"",L1151&lt;&gt;"",M1151&lt;&gt;""),"ГОТОВО","НЕ ГОТОВО"))</f>
        <v/>
      </c>
      <c r="Z1151" s="226">
        <f>IF(Y1151&lt;&gt;"ГОТОВО","", "Предварительное заключение: "&amp;A1151&amp;", скв. "&amp;B1151&amp;". МРП: "&amp;E1151&amp;" сут. ГНО: "&amp;F1151&amp;", типоразмер "&amp;G1151&amp;", марка "&amp;H1151&amp;". Событие: "&amp;I1151&amp;". Признак: "&amp;J1151&amp;". Узел: "&amp;K1151&amp;". Предварительная причина: "&amp;L1151&amp;". Основное осложнение: "&amp;M1151&amp;IF(N1151&lt;&gt;"","; сопутствующее: "&amp;N1151,"")&amp;IF(O1151&lt;&gt;"","; дополнительно: "&amp;O1151,"")&amp;".")</f>
        <v/>
      </c>
    </row>
    <row r="1152">
      <c r="A1152" s="75" t="n"/>
      <c r="B1152" s="75" t="n"/>
      <c r="C1152" s="261" t="n"/>
      <c r="D1152" s="261" t="n"/>
      <c r="E1152" s="262">
        <f>IF(OR(C1152="",D1152=""),"",D1152-C1152)</f>
        <v/>
      </c>
      <c r="F1152" s="75" t="n"/>
      <c r="G1152" s="75" t="n"/>
      <c r="H1152" s="75" t="n"/>
      <c r="I1152" s="75" t="n"/>
      <c r="J1152" s="75" t="n"/>
      <c r="K1152" s="75" t="n"/>
      <c r="L1152" s="75" t="n"/>
      <c r="M1152" s="75" t="n"/>
      <c r="N1152" s="75" t="n"/>
      <c r="O1152" s="75" t="n"/>
      <c r="P1152" s="75" t="n"/>
      <c r="Q1152" s="75" t="n"/>
      <c r="R1152" s="75" t="n"/>
      <c r="S1152" s="75" t="n"/>
      <c r="T1152" s="75" t="n"/>
      <c r="U1152" s="75" t="n"/>
      <c r="V1152" s="75" t="n"/>
      <c r="W1152" s="75" t="n"/>
      <c r="X1152" s="75" t="n"/>
      <c r="Y1152" s="226">
        <f>IF(AND(A1152="",B1152=""),"",IF(AND(A1152&lt;&gt;"",B1152&lt;&gt;"",C1152&lt;&gt;"",D1152&lt;&gt;"",F1152&lt;&gt;"",G1152&lt;&gt;"",H1152&lt;&gt;"",ISERROR(SEARCH("по паспорту",G1152)),ISERROR(SEARCH("по паспорту",H1152)),I1152&lt;&gt;"",J1152&lt;&gt;"",K1152&lt;&gt;"",L1152&lt;&gt;"",M1152&lt;&gt;""),"ГОТОВО","НЕ ГОТОВО"))</f>
        <v/>
      </c>
      <c r="Z1152" s="226">
        <f>IF(Y1152&lt;&gt;"ГОТОВО","", "Предварительное заключение: "&amp;A1152&amp;", скв. "&amp;B1152&amp;". МРП: "&amp;E1152&amp;" сут. ГНО: "&amp;F1152&amp;", типоразмер "&amp;G1152&amp;", марка "&amp;H1152&amp;". Событие: "&amp;I1152&amp;". Признак: "&amp;J1152&amp;". Узел: "&amp;K1152&amp;". Предварительная причина: "&amp;L1152&amp;". Основное осложнение: "&amp;M1152&amp;IF(N1152&lt;&gt;"","; сопутствующее: "&amp;N1152,"")&amp;IF(O1152&lt;&gt;"","; дополнительно: "&amp;O1152,"")&amp;".")</f>
        <v/>
      </c>
    </row>
    <row r="1153">
      <c r="A1153" s="75" t="n"/>
      <c r="B1153" s="75" t="n"/>
      <c r="C1153" s="261" t="n"/>
      <c r="D1153" s="261" t="n"/>
      <c r="E1153" s="262">
        <f>IF(OR(C1153="",D1153=""),"",D1153-C1153)</f>
        <v/>
      </c>
      <c r="F1153" s="75" t="n"/>
      <c r="G1153" s="75" t="n"/>
      <c r="H1153" s="75" t="n"/>
      <c r="I1153" s="75" t="n"/>
      <c r="J1153" s="75" t="n"/>
      <c r="K1153" s="75" t="n"/>
      <c r="L1153" s="75" t="n"/>
      <c r="M1153" s="75" t="n"/>
      <c r="N1153" s="75" t="n"/>
      <c r="O1153" s="75" t="n"/>
      <c r="P1153" s="75" t="n"/>
      <c r="Q1153" s="75" t="n"/>
      <c r="R1153" s="75" t="n"/>
      <c r="S1153" s="75" t="n"/>
      <c r="T1153" s="75" t="n"/>
      <c r="U1153" s="75" t="n"/>
      <c r="V1153" s="75" t="n"/>
      <c r="W1153" s="75" t="n"/>
      <c r="X1153" s="75" t="n"/>
      <c r="Y1153" s="226">
        <f>IF(AND(A1153="",B1153=""),"",IF(AND(A1153&lt;&gt;"",B1153&lt;&gt;"",C1153&lt;&gt;"",D1153&lt;&gt;"",F1153&lt;&gt;"",G1153&lt;&gt;"",H1153&lt;&gt;"",ISERROR(SEARCH("по паспорту",G1153)),ISERROR(SEARCH("по паспорту",H1153)),I1153&lt;&gt;"",J1153&lt;&gt;"",K1153&lt;&gt;"",L1153&lt;&gt;"",M1153&lt;&gt;""),"ГОТОВО","НЕ ГОТОВО"))</f>
        <v/>
      </c>
      <c r="Z1153" s="226">
        <f>IF(Y1153&lt;&gt;"ГОТОВО","", "Предварительное заключение: "&amp;A1153&amp;", скв. "&amp;B1153&amp;". МРП: "&amp;E1153&amp;" сут. ГНО: "&amp;F1153&amp;", типоразмер "&amp;G1153&amp;", марка "&amp;H1153&amp;". Событие: "&amp;I1153&amp;". Признак: "&amp;J1153&amp;". Узел: "&amp;K1153&amp;". Предварительная причина: "&amp;L1153&amp;". Основное осложнение: "&amp;M1153&amp;IF(N1153&lt;&gt;"","; сопутствующее: "&amp;N1153,"")&amp;IF(O1153&lt;&gt;"","; дополнительно: "&amp;O1153,"")&amp;".")</f>
        <v/>
      </c>
    </row>
    <row r="1154">
      <c r="A1154" s="75" t="n"/>
      <c r="B1154" s="75" t="n"/>
      <c r="C1154" s="261" t="n"/>
      <c r="D1154" s="261" t="n"/>
      <c r="E1154" s="262">
        <f>IF(OR(C1154="",D1154=""),"",D1154-C1154)</f>
        <v/>
      </c>
      <c r="F1154" s="75" t="n"/>
      <c r="G1154" s="75" t="n"/>
      <c r="H1154" s="75" t="n"/>
      <c r="I1154" s="75" t="n"/>
      <c r="J1154" s="75" t="n"/>
      <c r="K1154" s="75" t="n"/>
      <c r="L1154" s="75" t="n"/>
      <c r="M1154" s="75" t="n"/>
      <c r="N1154" s="75" t="n"/>
      <c r="O1154" s="75" t="n"/>
      <c r="P1154" s="75" t="n"/>
      <c r="Q1154" s="75" t="n"/>
      <c r="R1154" s="75" t="n"/>
      <c r="S1154" s="75" t="n"/>
      <c r="T1154" s="75" t="n"/>
      <c r="U1154" s="75" t="n"/>
      <c r="V1154" s="75" t="n"/>
      <c r="W1154" s="75" t="n"/>
      <c r="X1154" s="75" t="n"/>
      <c r="Y1154" s="226">
        <f>IF(AND(A1154="",B1154=""),"",IF(AND(A1154&lt;&gt;"",B1154&lt;&gt;"",C1154&lt;&gt;"",D1154&lt;&gt;"",F1154&lt;&gt;"",G1154&lt;&gt;"",H1154&lt;&gt;"",ISERROR(SEARCH("по паспорту",G1154)),ISERROR(SEARCH("по паспорту",H1154)),I1154&lt;&gt;"",J1154&lt;&gt;"",K1154&lt;&gt;"",L1154&lt;&gt;"",M1154&lt;&gt;""),"ГОТОВО","НЕ ГОТОВО"))</f>
        <v/>
      </c>
      <c r="Z1154" s="226">
        <f>IF(Y1154&lt;&gt;"ГОТОВО","", "Предварительное заключение: "&amp;A1154&amp;", скв. "&amp;B1154&amp;". МРП: "&amp;E1154&amp;" сут. ГНО: "&amp;F1154&amp;", типоразмер "&amp;G1154&amp;", марка "&amp;H1154&amp;". Событие: "&amp;I1154&amp;". Признак: "&amp;J1154&amp;". Узел: "&amp;K1154&amp;". Предварительная причина: "&amp;L1154&amp;". Основное осложнение: "&amp;M1154&amp;IF(N1154&lt;&gt;"","; сопутствующее: "&amp;N1154,"")&amp;IF(O1154&lt;&gt;"","; дополнительно: "&amp;O1154,"")&amp;".")</f>
        <v/>
      </c>
    </row>
    <row r="1155">
      <c r="A1155" s="75" t="n"/>
      <c r="B1155" s="75" t="n"/>
      <c r="C1155" s="261" t="n"/>
      <c r="D1155" s="261" t="n"/>
      <c r="E1155" s="262">
        <f>IF(OR(C1155="",D1155=""),"",D1155-C1155)</f>
        <v/>
      </c>
      <c r="F1155" s="75" t="n"/>
      <c r="G1155" s="75" t="n"/>
      <c r="H1155" s="75" t="n"/>
      <c r="I1155" s="75" t="n"/>
      <c r="J1155" s="75" t="n"/>
      <c r="K1155" s="75" t="n"/>
      <c r="L1155" s="75" t="n"/>
      <c r="M1155" s="75" t="n"/>
      <c r="N1155" s="75" t="n"/>
      <c r="O1155" s="75" t="n"/>
      <c r="P1155" s="75" t="n"/>
      <c r="Q1155" s="75" t="n"/>
      <c r="R1155" s="75" t="n"/>
      <c r="S1155" s="75" t="n"/>
      <c r="T1155" s="75" t="n"/>
      <c r="U1155" s="75" t="n"/>
      <c r="V1155" s="75" t="n"/>
      <c r="W1155" s="75" t="n"/>
      <c r="X1155" s="75" t="n"/>
      <c r="Y1155" s="226">
        <f>IF(AND(A1155="",B1155=""),"",IF(AND(A1155&lt;&gt;"",B1155&lt;&gt;"",C1155&lt;&gt;"",D1155&lt;&gt;"",F1155&lt;&gt;"",G1155&lt;&gt;"",H1155&lt;&gt;"",ISERROR(SEARCH("по паспорту",G1155)),ISERROR(SEARCH("по паспорту",H1155)),I1155&lt;&gt;"",J1155&lt;&gt;"",K1155&lt;&gt;"",L1155&lt;&gt;"",M1155&lt;&gt;""),"ГОТОВО","НЕ ГОТОВО"))</f>
        <v/>
      </c>
      <c r="Z1155" s="226">
        <f>IF(Y1155&lt;&gt;"ГОТОВО","", "Предварительное заключение: "&amp;A1155&amp;", скв. "&amp;B1155&amp;". МРП: "&amp;E1155&amp;" сут. ГНО: "&amp;F1155&amp;", типоразмер "&amp;G1155&amp;", марка "&amp;H1155&amp;". Событие: "&amp;I1155&amp;". Признак: "&amp;J1155&amp;". Узел: "&amp;K1155&amp;". Предварительная причина: "&amp;L1155&amp;". Основное осложнение: "&amp;M1155&amp;IF(N1155&lt;&gt;"","; сопутствующее: "&amp;N1155,"")&amp;IF(O1155&lt;&gt;"","; дополнительно: "&amp;O1155,"")&amp;".")</f>
        <v/>
      </c>
    </row>
    <row r="1156">
      <c r="A1156" s="75" t="n"/>
      <c r="B1156" s="75" t="n"/>
      <c r="C1156" s="261" t="n"/>
      <c r="D1156" s="261" t="n"/>
      <c r="E1156" s="262">
        <f>IF(OR(C1156="",D1156=""),"",D1156-C1156)</f>
        <v/>
      </c>
      <c r="F1156" s="75" t="n"/>
      <c r="G1156" s="75" t="n"/>
      <c r="H1156" s="75" t="n"/>
      <c r="I1156" s="75" t="n"/>
      <c r="J1156" s="75" t="n"/>
      <c r="K1156" s="75" t="n"/>
      <c r="L1156" s="75" t="n"/>
      <c r="M1156" s="75" t="n"/>
      <c r="N1156" s="75" t="n"/>
      <c r="O1156" s="75" t="n"/>
      <c r="P1156" s="75" t="n"/>
      <c r="Q1156" s="75" t="n"/>
      <c r="R1156" s="75" t="n"/>
      <c r="S1156" s="75" t="n"/>
      <c r="T1156" s="75" t="n"/>
      <c r="U1156" s="75" t="n"/>
      <c r="V1156" s="75" t="n"/>
      <c r="W1156" s="75" t="n"/>
      <c r="X1156" s="75" t="n"/>
      <c r="Y1156" s="226">
        <f>IF(AND(A1156="",B1156=""),"",IF(AND(A1156&lt;&gt;"",B1156&lt;&gt;"",C1156&lt;&gt;"",D1156&lt;&gt;"",F1156&lt;&gt;"",G1156&lt;&gt;"",H1156&lt;&gt;"",ISERROR(SEARCH("по паспорту",G1156)),ISERROR(SEARCH("по паспорту",H1156)),I1156&lt;&gt;"",J1156&lt;&gt;"",K1156&lt;&gt;"",L1156&lt;&gt;"",M1156&lt;&gt;""),"ГОТОВО","НЕ ГОТОВО"))</f>
        <v/>
      </c>
      <c r="Z1156" s="226">
        <f>IF(Y1156&lt;&gt;"ГОТОВО","", "Предварительное заключение: "&amp;A1156&amp;", скв. "&amp;B1156&amp;". МРП: "&amp;E1156&amp;" сут. ГНО: "&amp;F1156&amp;", типоразмер "&amp;G1156&amp;", марка "&amp;H1156&amp;". Событие: "&amp;I1156&amp;". Признак: "&amp;J1156&amp;". Узел: "&amp;K1156&amp;". Предварительная причина: "&amp;L1156&amp;". Основное осложнение: "&amp;M1156&amp;IF(N1156&lt;&gt;"","; сопутствующее: "&amp;N1156,"")&amp;IF(O1156&lt;&gt;"","; дополнительно: "&amp;O1156,"")&amp;".")</f>
        <v/>
      </c>
    </row>
    <row r="1157">
      <c r="A1157" s="75" t="n"/>
      <c r="B1157" s="75" t="n"/>
      <c r="C1157" s="261" t="n"/>
      <c r="D1157" s="261" t="n"/>
      <c r="E1157" s="262">
        <f>IF(OR(C1157="",D1157=""),"",D1157-C1157)</f>
        <v/>
      </c>
      <c r="F1157" s="75" t="n"/>
      <c r="G1157" s="75" t="n"/>
      <c r="H1157" s="75" t="n"/>
      <c r="I1157" s="75" t="n"/>
      <c r="J1157" s="75" t="n"/>
      <c r="K1157" s="75" t="n"/>
      <c r="L1157" s="75" t="n"/>
      <c r="M1157" s="75" t="n"/>
      <c r="N1157" s="75" t="n"/>
      <c r="O1157" s="75" t="n"/>
      <c r="P1157" s="75" t="n"/>
      <c r="Q1157" s="75" t="n"/>
      <c r="R1157" s="75" t="n"/>
      <c r="S1157" s="75" t="n"/>
      <c r="T1157" s="75" t="n"/>
      <c r="U1157" s="75" t="n"/>
      <c r="V1157" s="75" t="n"/>
      <c r="W1157" s="75" t="n"/>
      <c r="X1157" s="75" t="n"/>
      <c r="Y1157" s="226">
        <f>IF(AND(A1157="",B1157=""),"",IF(AND(A1157&lt;&gt;"",B1157&lt;&gt;"",C1157&lt;&gt;"",D1157&lt;&gt;"",F1157&lt;&gt;"",G1157&lt;&gt;"",H1157&lt;&gt;"",ISERROR(SEARCH("по паспорту",G1157)),ISERROR(SEARCH("по паспорту",H1157)),I1157&lt;&gt;"",J1157&lt;&gt;"",K1157&lt;&gt;"",L1157&lt;&gt;"",M1157&lt;&gt;""),"ГОТОВО","НЕ ГОТОВО"))</f>
        <v/>
      </c>
      <c r="Z1157" s="226">
        <f>IF(Y1157&lt;&gt;"ГОТОВО","", "Предварительное заключение: "&amp;A1157&amp;", скв. "&amp;B1157&amp;". МРП: "&amp;E1157&amp;" сут. ГНО: "&amp;F1157&amp;", типоразмер "&amp;G1157&amp;", марка "&amp;H1157&amp;". Событие: "&amp;I1157&amp;". Признак: "&amp;J1157&amp;". Узел: "&amp;K1157&amp;". Предварительная причина: "&amp;L1157&amp;". Основное осложнение: "&amp;M1157&amp;IF(N1157&lt;&gt;"","; сопутствующее: "&amp;N1157,"")&amp;IF(O1157&lt;&gt;"","; дополнительно: "&amp;O1157,"")&amp;".")</f>
        <v/>
      </c>
    </row>
    <row r="1158">
      <c r="A1158" s="75" t="n"/>
      <c r="B1158" s="75" t="n"/>
      <c r="C1158" s="261" t="n"/>
      <c r="D1158" s="261" t="n"/>
      <c r="E1158" s="262">
        <f>IF(OR(C1158="",D1158=""),"",D1158-C1158)</f>
        <v/>
      </c>
      <c r="F1158" s="75" t="n"/>
      <c r="G1158" s="75" t="n"/>
      <c r="H1158" s="75" t="n"/>
      <c r="I1158" s="75" t="n"/>
      <c r="J1158" s="75" t="n"/>
      <c r="K1158" s="75" t="n"/>
      <c r="L1158" s="75" t="n"/>
      <c r="M1158" s="75" t="n"/>
      <c r="N1158" s="75" t="n"/>
      <c r="O1158" s="75" t="n"/>
      <c r="P1158" s="75" t="n"/>
      <c r="Q1158" s="75" t="n"/>
      <c r="R1158" s="75" t="n"/>
      <c r="S1158" s="75" t="n"/>
      <c r="T1158" s="75" t="n"/>
      <c r="U1158" s="75" t="n"/>
      <c r="V1158" s="75" t="n"/>
      <c r="W1158" s="75" t="n"/>
      <c r="X1158" s="75" t="n"/>
      <c r="Y1158" s="226">
        <f>IF(AND(A1158="",B1158=""),"",IF(AND(A1158&lt;&gt;"",B1158&lt;&gt;"",C1158&lt;&gt;"",D1158&lt;&gt;"",F1158&lt;&gt;"",G1158&lt;&gt;"",H1158&lt;&gt;"",ISERROR(SEARCH("по паспорту",G1158)),ISERROR(SEARCH("по паспорту",H1158)),I1158&lt;&gt;"",J1158&lt;&gt;"",K1158&lt;&gt;"",L1158&lt;&gt;"",M1158&lt;&gt;""),"ГОТОВО","НЕ ГОТОВО"))</f>
        <v/>
      </c>
      <c r="Z1158" s="226">
        <f>IF(Y1158&lt;&gt;"ГОТОВО","", "Предварительное заключение: "&amp;A1158&amp;", скв. "&amp;B1158&amp;". МРП: "&amp;E1158&amp;" сут. ГНО: "&amp;F1158&amp;", типоразмер "&amp;G1158&amp;", марка "&amp;H1158&amp;". Событие: "&amp;I1158&amp;". Признак: "&amp;J1158&amp;". Узел: "&amp;K1158&amp;". Предварительная причина: "&amp;L1158&amp;". Основное осложнение: "&amp;M1158&amp;IF(N1158&lt;&gt;"","; сопутствующее: "&amp;N1158,"")&amp;IF(O1158&lt;&gt;"","; дополнительно: "&amp;O1158,"")&amp;".")</f>
        <v/>
      </c>
    </row>
    <row r="1159">
      <c r="A1159" s="75" t="n"/>
      <c r="B1159" s="75" t="n"/>
      <c r="C1159" s="261" t="n"/>
      <c r="D1159" s="261" t="n"/>
      <c r="E1159" s="262">
        <f>IF(OR(C1159="",D1159=""),"",D1159-C1159)</f>
        <v/>
      </c>
      <c r="F1159" s="75" t="n"/>
      <c r="G1159" s="75" t="n"/>
      <c r="H1159" s="75" t="n"/>
      <c r="I1159" s="75" t="n"/>
      <c r="J1159" s="75" t="n"/>
      <c r="K1159" s="75" t="n"/>
      <c r="L1159" s="75" t="n"/>
      <c r="M1159" s="75" t="n"/>
      <c r="N1159" s="75" t="n"/>
      <c r="O1159" s="75" t="n"/>
      <c r="P1159" s="75" t="n"/>
      <c r="Q1159" s="75" t="n"/>
      <c r="R1159" s="75" t="n"/>
      <c r="S1159" s="75" t="n"/>
      <c r="T1159" s="75" t="n"/>
      <c r="U1159" s="75" t="n"/>
      <c r="V1159" s="75" t="n"/>
      <c r="W1159" s="75" t="n"/>
      <c r="X1159" s="75" t="n"/>
      <c r="Y1159" s="226">
        <f>IF(AND(A1159="",B1159=""),"",IF(AND(A1159&lt;&gt;"",B1159&lt;&gt;"",C1159&lt;&gt;"",D1159&lt;&gt;"",F1159&lt;&gt;"",G1159&lt;&gt;"",H1159&lt;&gt;"",ISERROR(SEARCH("по паспорту",G1159)),ISERROR(SEARCH("по паспорту",H1159)),I1159&lt;&gt;"",J1159&lt;&gt;"",K1159&lt;&gt;"",L1159&lt;&gt;"",M1159&lt;&gt;""),"ГОТОВО","НЕ ГОТОВО"))</f>
        <v/>
      </c>
      <c r="Z1159" s="226">
        <f>IF(Y1159&lt;&gt;"ГОТОВО","", "Предварительное заключение: "&amp;A1159&amp;", скв. "&amp;B1159&amp;". МРП: "&amp;E1159&amp;" сут. ГНО: "&amp;F1159&amp;", типоразмер "&amp;G1159&amp;", марка "&amp;H1159&amp;". Событие: "&amp;I1159&amp;". Признак: "&amp;J1159&amp;". Узел: "&amp;K1159&amp;". Предварительная причина: "&amp;L1159&amp;". Основное осложнение: "&amp;M1159&amp;IF(N1159&lt;&gt;"","; сопутствующее: "&amp;N1159,"")&amp;IF(O1159&lt;&gt;"","; дополнительно: "&amp;O1159,"")&amp;".")</f>
        <v/>
      </c>
    </row>
    <row r="1160">
      <c r="A1160" s="75" t="n"/>
      <c r="B1160" s="75" t="n"/>
      <c r="C1160" s="261" t="n"/>
      <c r="D1160" s="261" t="n"/>
      <c r="E1160" s="262">
        <f>IF(OR(C1160="",D1160=""),"",D1160-C1160)</f>
        <v/>
      </c>
      <c r="F1160" s="75" t="n"/>
      <c r="G1160" s="75" t="n"/>
      <c r="H1160" s="75" t="n"/>
      <c r="I1160" s="75" t="n"/>
      <c r="J1160" s="75" t="n"/>
      <c r="K1160" s="75" t="n"/>
      <c r="L1160" s="75" t="n"/>
      <c r="M1160" s="75" t="n"/>
      <c r="N1160" s="75" t="n"/>
      <c r="O1160" s="75" t="n"/>
      <c r="P1160" s="75" t="n"/>
      <c r="Q1160" s="75" t="n"/>
      <c r="R1160" s="75" t="n"/>
      <c r="S1160" s="75" t="n"/>
      <c r="T1160" s="75" t="n"/>
      <c r="U1160" s="75" t="n"/>
      <c r="V1160" s="75" t="n"/>
      <c r="W1160" s="75" t="n"/>
      <c r="X1160" s="75" t="n"/>
      <c r="Y1160" s="226">
        <f>IF(AND(A1160="",B1160=""),"",IF(AND(A1160&lt;&gt;"",B1160&lt;&gt;"",C1160&lt;&gt;"",D1160&lt;&gt;"",F1160&lt;&gt;"",G1160&lt;&gt;"",H1160&lt;&gt;"",ISERROR(SEARCH("по паспорту",G1160)),ISERROR(SEARCH("по паспорту",H1160)),I1160&lt;&gt;"",J1160&lt;&gt;"",K1160&lt;&gt;"",L1160&lt;&gt;"",M1160&lt;&gt;""),"ГОТОВО","НЕ ГОТОВО"))</f>
        <v/>
      </c>
      <c r="Z1160" s="226">
        <f>IF(Y1160&lt;&gt;"ГОТОВО","", "Предварительное заключение: "&amp;A1160&amp;", скв. "&amp;B1160&amp;". МРП: "&amp;E1160&amp;" сут. ГНО: "&amp;F1160&amp;", типоразмер "&amp;G1160&amp;", марка "&amp;H1160&amp;". Событие: "&amp;I1160&amp;". Признак: "&amp;J1160&amp;". Узел: "&amp;K1160&amp;". Предварительная причина: "&amp;L1160&amp;". Основное осложнение: "&amp;M1160&amp;IF(N1160&lt;&gt;"","; сопутствующее: "&amp;N1160,"")&amp;IF(O1160&lt;&gt;"","; дополнительно: "&amp;O1160,"")&amp;".")</f>
        <v/>
      </c>
    </row>
    <row r="1161">
      <c r="A1161" s="75" t="n"/>
      <c r="B1161" s="75" t="n"/>
      <c r="C1161" s="261" t="n"/>
      <c r="D1161" s="261" t="n"/>
      <c r="E1161" s="262">
        <f>IF(OR(C1161="",D1161=""),"",D1161-C1161)</f>
        <v/>
      </c>
      <c r="F1161" s="75" t="n"/>
      <c r="G1161" s="75" t="n"/>
      <c r="H1161" s="75" t="n"/>
      <c r="I1161" s="75" t="n"/>
      <c r="J1161" s="75" t="n"/>
      <c r="K1161" s="75" t="n"/>
      <c r="L1161" s="75" t="n"/>
      <c r="M1161" s="75" t="n"/>
      <c r="N1161" s="75" t="n"/>
      <c r="O1161" s="75" t="n"/>
      <c r="P1161" s="75" t="n"/>
      <c r="Q1161" s="75" t="n"/>
      <c r="R1161" s="75" t="n"/>
      <c r="S1161" s="75" t="n"/>
      <c r="T1161" s="75" t="n"/>
      <c r="U1161" s="75" t="n"/>
      <c r="V1161" s="75" t="n"/>
      <c r="W1161" s="75" t="n"/>
      <c r="X1161" s="75" t="n"/>
      <c r="Y1161" s="226">
        <f>IF(AND(A1161="",B1161=""),"",IF(AND(A1161&lt;&gt;"",B1161&lt;&gt;"",C1161&lt;&gt;"",D1161&lt;&gt;"",F1161&lt;&gt;"",G1161&lt;&gt;"",H1161&lt;&gt;"",ISERROR(SEARCH("по паспорту",G1161)),ISERROR(SEARCH("по паспорту",H1161)),I1161&lt;&gt;"",J1161&lt;&gt;"",K1161&lt;&gt;"",L1161&lt;&gt;"",M1161&lt;&gt;""),"ГОТОВО","НЕ ГОТОВО"))</f>
        <v/>
      </c>
      <c r="Z1161" s="226">
        <f>IF(Y1161&lt;&gt;"ГОТОВО","", "Предварительное заключение: "&amp;A1161&amp;", скв. "&amp;B1161&amp;". МРП: "&amp;E1161&amp;" сут. ГНО: "&amp;F1161&amp;", типоразмер "&amp;G1161&amp;", марка "&amp;H1161&amp;". Событие: "&amp;I1161&amp;". Признак: "&amp;J1161&amp;". Узел: "&amp;K1161&amp;". Предварительная причина: "&amp;L1161&amp;". Основное осложнение: "&amp;M1161&amp;IF(N1161&lt;&gt;"","; сопутствующее: "&amp;N1161,"")&amp;IF(O1161&lt;&gt;"","; дополнительно: "&amp;O1161,"")&amp;".")</f>
        <v/>
      </c>
    </row>
    <row r="1162">
      <c r="A1162" s="75" t="n"/>
      <c r="B1162" s="75" t="n"/>
      <c r="C1162" s="261" t="n"/>
      <c r="D1162" s="261" t="n"/>
      <c r="E1162" s="262">
        <f>IF(OR(C1162="",D1162=""),"",D1162-C1162)</f>
        <v/>
      </c>
      <c r="F1162" s="75" t="n"/>
      <c r="G1162" s="75" t="n"/>
      <c r="H1162" s="75" t="n"/>
      <c r="I1162" s="75" t="n"/>
      <c r="J1162" s="75" t="n"/>
      <c r="K1162" s="75" t="n"/>
      <c r="L1162" s="75" t="n"/>
      <c r="M1162" s="75" t="n"/>
      <c r="N1162" s="75" t="n"/>
      <c r="O1162" s="75" t="n"/>
      <c r="P1162" s="75" t="n"/>
      <c r="Q1162" s="75" t="n"/>
      <c r="R1162" s="75" t="n"/>
      <c r="S1162" s="75" t="n"/>
      <c r="T1162" s="75" t="n"/>
      <c r="U1162" s="75" t="n"/>
      <c r="V1162" s="75" t="n"/>
      <c r="W1162" s="75" t="n"/>
      <c r="X1162" s="75" t="n"/>
      <c r="Y1162" s="226">
        <f>IF(AND(A1162="",B1162=""),"",IF(AND(A1162&lt;&gt;"",B1162&lt;&gt;"",C1162&lt;&gt;"",D1162&lt;&gt;"",F1162&lt;&gt;"",G1162&lt;&gt;"",H1162&lt;&gt;"",ISERROR(SEARCH("по паспорту",G1162)),ISERROR(SEARCH("по паспорту",H1162)),I1162&lt;&gt;"",J1162&lt;&gt;"",K1162&lt;&gt;"",L1162&lt;&gt;"",M1162&lt;&gt;""),"ГОТОВО","НЕ ГОТОВО"))</f>
        <v/>
      </c>
      <c r="Z1162" s="226">
        <f>IF(Y1162&lt;&gt;"ГОТОВО","", "Предварительное заключение: "&amp;A1162&amp;", скв. "&amp;B1162&amp;". МРП: "&amp;E1162&amp;" сут. ГНО: "&amp;F1162&amp;", типоразмер "&amp;G1162&amp;", марка "&amp;H1162&amp;". Событие: "&amp;I1162&amp;". Признак: "&amp;J1162&amp;". Узел: "&amp;K1162&amp;". Предварительная причина: "&amp;L1162&amp;". Основное осложнение: "&amp;M1162&amp;IF(N1162&lt;&gt;"","; сопутствующее: "&amp;N1162,"")&amp;IF(O1162&lt;&gt;"","; дополнительно: "&amp;O1162,"")&amp;".")</f>
        <v/>
      </c>
    </row>
    <row r="1163">
      <c r="A1163" s="75" t="n"/>
      <c r="B1163" s="75" t="n"/>
      <c r="C1163" s="261" t="n"/>
      <c r="D1163" s="261" t="n"/>
      <c r="E1163" s="262">
        <f>IF(OR(C1163="",D1163=""),"",D1163-C1163)</f>
        <v/>
      </c>
      <c r="F1163" s="75" t="n"/>
      <c r="G1163" s="75" t="n"/>
      <c r="H1163" s="75" t="n"/>
      <c r="I1163" s="75" t="n"/>
      <c r="J1163" s="75" t="n"/>
      <c r="K1163" s="75" t="n"/>
      <c r="L1163" s="75" t="n"/>
      <c r="M1163" s="75" t="n"/>
      <c r="N1163" s="75" t="n"/>
      <c r="O1163" s="75" t="n"/>
      <c r="P1163" s="75" t="n"/>
      <c r="Q1163" s="75" t="n"/>
      <c r="R1163" s="75" t="n"/>
      <c r="S1163" s="75" t="n"/>
      <c r="T1163" s="75" t="n"/>
      <c r="U1163" s="75" t="n"/>
      <c r="V1163" s="75" t="n"/>
      <c r="W1163" s="75" t="n"/>
      <c r="X1163" s="75" t="n"/>
      <c r="Y1163" s="226">
        <f>IF(AND(A1163="",B1163=""),"",IF(AND(A1163&lt;&gt;"",B1163&lt;&gt;"",C1163&lt;&gt;"",D1163&lt;&gt;"",F1163&lt;&gt;"",G1163&lt;&gt;"",H1163&lt;&gt;"",ISERROR(SEARCH("по паспорту",G1163)),ISERROR(SEARCH("по паспорту",H1163)),I1163&lt;&gt;"",J1163&lt;&gt;"",K1163&lt;&gt;"",L1163&lt;&gt;"",M1163&lt;&gt;""),"ГОТОВО","НЕ ГОТОВО"))</f>
        <v/>
      </c>
      <c r="Z1163" s="226">
        <f>IF(Y1163&lt;&gt;"ГОТОВО","", "Предварительное заключение: "&amp;A1163&amp;", скв. "&amp;B1163&amp;". МРП: "&amp;E1163&amp;" сут. ГНО: "&amp;F1163&amp;", типоразмер "&amp;G1163&amp;", марка "&amp;H1163&amp;". Событие: "&amp;I1163&amp;". Признак: "&amp;J1163&amp;". Узел: "&amp;K1163&amp;". Предварительная причина: "&amp;L1163&amp;". Основное осложнение: "&amp;M1163&amp;IF(N1163&lt;&gt;"","; сопутствующее: "&amp;N1163,"")&amp;IF(O1163&lt;&gt;"","; дополнительно: "&amp;O1163,"")&amp;".")</f>
        <v/>
      </c>
    </row>
    <row r="1164">
      <c r="A1164" s="75" t="n"/>
      <c r="B1164" s="75" t="n"/>
      <c r="C1164" s="261" t="n"/>
      <c r="D1164" s="261" t="n"/>
      <c r="E1164" s="262">
        <f>IF(OR(C1164="",D1164=""),"",D1164-C1164)</f>
        <v/>
      </c>
      <c r="F1164" s="75" t="n"/>
      <c r="G1164" s="75" t="n"/>
      <c r="H1164" s="75" t="n"/>
      <c r="I1164" s="75" t="n"/>
      <c r="J1164" s="75" t="n"/>
      <c r="K1164" s="75" t="n"/>
      <c r="L1164" s="75" t="n"/>
      <c r="M1164" s="75" t="n"/>
      <c r="N1164" s="75" t="n"/>
      <c r="O1164" s="75" t="n"/>
      <c r="P1164" s="75" t="n"/>
      <c r="Q1164" s="75" t="n"/>
      <c r="R1164" s="75" t="n"/>
      <c r="S1164" s="75" t="n"/>
      <c r="T1164" s="75" t="n"/>
      <c r="U1164" s="75" t="n"/>
      <c r="V1164" s="75" t="n"/>
      <c r="W1164" s="75" t="n"/>
      <c r="X1164" s="75" t="n"/>
      <c r="Y1164" s="226">
        <f>IF(AND(A1164="",B1164=""),"",IF(AND(A1164&lt;&gt;"",B1164&lt;&gt;"",C1164&lt;&gt;"",D1164&lt;&gt;"",F1164&lt;&gt;"",G1164&lt;&gt;"",H1164&lt;&gt;"",ISERROR(SEARCH("по паспорту",G1164)),ISERROR(SEARCH("по паспорту",H1164)),I1164&lt;&gt;"",J1164&lt;&gt;"",K1164&lt;&gt;"",L1164&lt;&gt;"",M1164&lt;&gt;""),"ГОТОВО","НЕ ГОТОВО"))</f>
        <v/>
      </c>
      <c r="Z1164" s="226">
        <f>IF(Y1164&lt;&gt;"ГОТОВО","", "Предварительное заключение: "&amp;A1164&amp;", скв. "&amp;B1164&amp;". МРП: "&amp;E1164&amp;" сут. ГНО: "&amp;F1164&amp;", типоразмер "&amp;G1164&amp;", марка "&amp;H1164&amp;". Событие: "&amp;I1164&amp;". Признак: "&amp;J1164&amp;". Узел: "&amp;K1164&amp;". Предварительная причина: "&amp;L1164&amp;". Основное осложнение: "&amp;M1164&amp;IF(N1164&lt;&gt;"","; сопутствующее: "&amp;N1164,"")&amp;IF(O1164&lt;&gt;"","; дополнительно: "&amp;O1164,"")&amp;".")</f>
        <v/>
      </c>
    </row>
    <row r="1165">
      <c r="A1165" s="75" t="n"/>
      <c r="B1165" s="75" t="n"/>
      <c r="C1165" s="261" t="n"/>
      <c r="D1165" s="261" t="n"/>
      <c r="E1165" s="262">
        <f>IF(OR(C1165="",D1165=""),"",D1165-C1165)</f>
        <v/>
      </c>
      <c r="F1165" s="75" t="n"/>
      <c r="G1165" s="75" t="n"/>
      <c r="H1165" s="75" t="n"/>
      <c r="I1165" s="75" t="n"/>
      <c r="J1165" s="75" t="n"/>
      <c r="K1165" s="75" t="n"/>
      <c r="L1165" s="75" t="n"/>
      <c r="M1165" s="75" t="n"/>
      <c r="N1165" s="75" t="n"/>
      <c r="O1165" s="75" t="n"/>
      <c r="P1165" s="75" t="n"/>
      <c r="Q1165" s="75" t="n"/>
      <c r="R1165" s="75" t="n"/>
      <c r="S1165" s="75" t="n"/>
      <c r="T1165" s="75" t="n"/>
      <c r="U1165" s="75" t="n"/>
      <c r="V1165" s="75" t="n"/>
      <c r="W1165" s="75" t="n"/>
      <c r="X1165" s="75" t="n"/>
      <c r="Y1165" s="226">
        <f>IF(AND(A1165="",B1165=""),"",IF(AND(A1165&lt;&gt;"",B1165&lt;&gt;"",C1165&lt;&gt;"",D1165&lt;&gt;"",F1165&lt;&gt;"",G1165&lt;&gt;"",H1165&lt;&gt;"",ISERROR(SEARCH("по паспорту",G1165)),ISERROR(SEARCH("по паспорту",H1165)),I1165&lt;&gt;"",J1165&lt;&gt;"",K1165&lt;&gt;"",L1165&lt;&gt;"",M1165&lt;&gt;""),"ГОТОВО","НЕ ГОТОВО"))</f>
        <v/>
      </c>
      <c r="Z1165" s="226">
        <f>IF(Y1165&lt;&gt;"ГОТОВО","", "Предварительное заключение: "&amp;A1165&amp;", скв. "&amp;B1165&amp;". МРП: "&amp;E1165&amp;" сут. ГНО: "&amp;F1165&amp;", типоразмер "&amp;G1165&amp;", марка "&amp;H1165&amp;". Событие: "&amp;I1165&amp;". Признак: "&amp;J1165&amp;". Узел: "&amp;K1165&amp;". Предварительная причина: "&amp;L1165&amp;". Основное осложнение: "&amp;M1165&amp;IF(N1165&lt;&gt;"","; сопутствующее: "&amp;N1165,"")&amp;IF(O1165&lt;&gt;"","; дополнительно: "&amp;O1165,"")&amp;".")</f>
        <v/>
      </c>
    </row>
    <row r="1166">
      <c r="A1166" s="75" t="n"/>
      <c r="B1166" s="75" t="n"/>
      <c r="C1166" s="261" t="n"/>
      <c r="D1166" s="261" t="n"/>
      <c r="E1166" s="262">
        <f>IF(OR(C1166="",D1166=""),"",D1166-C1166)</f>
        <v/>
      </c>
      <c r="F1166" s="75" t="n"/>
      <c r="G1166" s="75" t="n"/>
      <c r="H1166" s="75" t="n"/>
      <c r="I1166" s="75" t="n"/>
      <c r="J1166" s="75" t="n"/>
      <c r="K1166" s="75" t="n"/>
      <c r="L1166" s="75" t="n"/>
      <c r="M1166" s="75" t="n"/>
      <c r="N1166" s="75" t="n"/>
      <c r="O1166" s="75" t="n"/>
      <c r="P1166" s="75" t="n"/>
      <c r="Q1166" s="75" t="n"/>
      <c r="R1166" s="75" t="n"/>
      <c r="S1166" s="75" t="n"/>
      <c r="T1166" s="75" t="n"/>
      <c r="U1166" s="75" t="n"/>
      <c r="V1166" s="75" t="n"/>
      <c r="W1166" s="75" t="n"/>
      <c r="X1166" s="75" t="n"/>
      <c r="Y1166" s="226">
        <f>IF(AND(A1166="",B1166=""),"",IF(AND(A1166&lt;&gt;"",B1166&lt;&gt;"",C1166&lt;&gt;"",D1166&lt;&gt;"",F1166&lt;&gt;"",G1166&lt;&gt;"",H1166&lt;&gt;"",ISERROR(SEARCH("по паспорту",G1166)),ISERROR(SEARCH("по паспорту",H1166)),I1166&lt;&gt;"",J1166&lt;&gt;"",K1166&lt;&gt;"",L1166&lt;&gt;"",M1166&lt;&gt;""),"ГОТОВО","НЕ ГОТОВО"))</f>
        <v/>
      </c>
      <c r="Z1166" s="226">
        <f>IF(Y1166&lt;&gt;"ГОТОВО","", "Предварительное заключение: "&amp;A1166&amp;", скв. "&amp;B1166&amp;". МРП: "&amp;E1166&amp;" сут. ГНО: "&amp;F1166&amp;", типоразмер "&amp;G1166&amp;", марка "&amp;H1166&amp;". Событие: "&amp;I1166&amp;". Признак: "&amp;J1166&amp;". Узел: "&amp;K1166&amp;". Предварительная причина: "&amp;L1166&amp;". Основное осложнение: "&amp;M1166&amp;IF(N1166&lt;&gt;"","; сопутствующее: "&amp;N1166,"")&amp;IF(O1166&lt;&gt;"","; дополнительно: "&amp;O1166,"")&amp;".")</f>
        <v/>
      </c>
    </row>
    <row r="1167">
      <c r="A1167" s="75" t="n"/>
      <c r="B1167" s="75" t="n"/>
      <c r="C1167" s="261" t="n"/>
      <c r="D1167" s="261" t="n"/>
      <c r="E1167" s="262">
        <f>IF(OR(C1167="",D1167=""),"",D1167-C1167)</f>
        <v/>
      </c>
      <c r="F1167" s="75" t="n"/>
      <c r="G1167" s="75" t="n"/>
      <c r="H1167" s="75" t="n"/>
      <c r="I1167" s="75" t="n"/>
      <c r="J1167" s="75" t="n"/>
      <c r="K1167" s="75" t="n"/>
      <c r="L1167" s="75" t="n"/>
      <c r="M1167" s="75" t="n"/>
      <c r="N1167" s="75" t="n"/>
      <c r="O1167" s="75" t="n"/>
      <c r="P1167" s="75" t="n"/>
      <c r="Q1167" s="75" t="n"/>
      <c r="R1167" s="75" t="n"/>
      <c r="S1167" s="75" t="n"/>
      <c r="T1167" s="75" t="n"/>
      <c r="U1167" s="75" t="n"/>
      <c r="V1167" s="75" t="n"/>
      <c r="W1167" s="75" t="n"/>
      <c r="X1167" s="75" t="n"/>
      <c r="Y1167" s="226">
        <f>IF(AND(A1167="",B1167=""),"",IF(AND(A1167&lt;&gt;"",B1167&lt;&gt;"",C1167&lt;&gt;"",D1167&lt;&gt;"",F1167&lt;&gt;"",G1167&lt;&gt;"",H1167&lt;&gt;"",ISERROR(SEARCH("по паспорту",G1167)),ISERROR(SEARCH("по паспорту",H1167)),I1167&lt;&gt;"",J1167&lt;&gt;"",K1167&lt;&gt;"",L1167&lt;&gt;"",M1167&lt;&gt;""),"ГОТОВО","НЕ ГОТОВО"))</f>
        <v/>
      </c>
      <c r="Z1167" s="226">
        <f>IF(Y1167&lt;&gt;"ГОТОВО","", "Предварительное заключение: "&amp;A1167&amp;", скв. "&amp;B1167&amp;". МРП: "&amp;E1167&amp;" сут. ГНО: "&amp;F1167&amp;", типоразмер "&amp;G1167&amp;", марка "&amp;H1167&amp;". Событие: "&amp;I1167&amp;". Признак: "&amp;J1167&amp;". Узел: "&amp;K1167&amp;". Предварительная причина: "&amp;L1167&amp;". Основное осложнение: "&amp;M1167&amp;IF(N1167&lt;&gt;"","; сопутствующее: "&amp;N1167,"")&amp;IF(O1167&lt;&gt;"","; дополнительно: "&amp;O1167,"")&amp;".")</f>
        <v/>
      </c>
    </row>
    <row r="1168">
      <c r="A1168" s="75" t="n"/>
      <c r="B1168" s="75" t="n"/>
      <c r="C1168" s="261" t="n"/>
      <c r="D1168" s="261" t="n"/>
      <c r="E1168" s="262">
        <f>IF(OR(C1168="",D1168=""),"",D1168-C1168)</f>
        <v/>
      </c>
      <c r="F1168" s="75" t="n"/>
      <c r="G1168" s="75" t="n"/>
      <c r="H1168" s="75" t="n"/>
      <c r="I1168" s="75" t="n"/>
      <c r="J1168" s="75" t="n"/>
      <c r="K1168" s="75" t="n"/>
      <c r="L1168" s="75" t="n"/>
      <c r="M1168" s="75" t="n"/>
      <c r="N1168" s="75" t="n"/>
      <c r="O1168" s="75" t="n"/>
      <c r="P1168" s="75" t="n"/>
      <c r="Q1168" s="75" t="n"/>
      <c r="R1168" s="75" t="n"/>
      <c r="S1168" s="75" t="n"/>
      <c r="T1168" s="75" t="n"/>
      <c r="U1168" s="75" t="n"/>
      <c r="V1168" s="75" t="n"/>
      <c r="W1168" s="75" t="n"/>
      <c r="X1168" s="75" t="n"/>
      <c r="Y1168" s="226">
        <f>IF(AND(A1168="",B1168=""),"",IF(AND(A1168&lt;&gt;"",B1168&lt;&gt;"",C1168&lt;&gt;"",D1168&lt;&gt;"",F1168&lt;&gt;"",G1168&lt;&gt;"",H1168&lt;&gt;"",ISERROR(SEARCH("по паспорту",G1168)),ISERROR(SEARCH("по паспорту",H1168)),I1168&lt;&gt;"",J1168&lt;&gt;"",K1168&lt;&gt;"",L1168&lt;&gt;"",M1168&lt;&gt;""),"ГОТОВО","НЕ ГОТОВО"))</f>
        <v/>
      </c>
      <c r="Z1168" s="226">
        <f>IF(Y1168&lt;&gt;"ГОТОВО","", "Предварительное заключение: "&amp;A1168&amp;", скв. "&amp;B1168&amp;". МРП: "&amp;E1168&amp;" сут. ГНО: "&amp;F1168&amp;", типоразмер "&amp;G1168&amp;", марка "&amp;H1168&amp;". Событие: "&amp;I1168&amp;". Признак: "&amp;J1168&amp;". Узел: "&amp;K1168&amp;". Предварительная причина: "&amp;L1168&amp;". Основное осложнение: "&amp;M1168&amp;IF(N1168&lt;&gt;"","; сопутствующее: "&amp;N1168,"")&amp;IF(O1168&lt;&gt;"","; дополнительно: "&amp;O1168,"")&amp;".")</f>
        <v/>
      </c>
    </row>
    <row r="1169">
      <c r="A1169" s="75" t="n"/>
      <c r="B1169" s="75" t="n"/>
      <c r="C1169" s="261" t="n"/>
      <c r="D1169" s="261" t="n"/>
      <c r="E1169" s="262">
        <f>IF(OR(C1169="",D1169=""),"",D1169-C1169)</f>
        <v/>
      </c>
      <c r="F1169" s="75" t="n"/>
      <c r="G1169" s="75" t="n"/>
      <c r="H1169" s="75" t="n"/>
      <c r="I1169" s="75" t="n"/>
      <c r="J1169" s="75" t="n"/>
      <c r="K1169" s="75" t="n"/>
      <c r="L1169" s="75" t="n"/>
      <c r="M1169" s="75" t="n"/>
      <c r="N1169" s="75" t="n"/>
      <c r="O1169" s="75" t="n"/>
      <c r="P1169" s="75" t="n"/>
      <c r="Q1169" s="75" t="n"/>
      <c r="R1169" s="75" t="n"/>
      <c r="S1169" s="75" t="n"/>
      <c r="T1169" s="75" t="n"/>
      <c r="U1169" s="75" t="n"/>
      <c r="V1169" s="75" t="n"/>
      <c r="W1169" s="75" t="n"/>
      <c r="X1169" s="75" t="n"/>
      <c r="Y1169" s="226">
        <f>IF(AND(A1169="",B1169=""),"",IF(AND(A1169&lt;&gt;"",B1169&lt;&gt;"",C1169&lt;&gt;"",D1169&lt;&gt;"",F1169&lt;&gt;"",G1169&lt;&gt;"",H1169&lt;&gt;"",ISERROR(SEARCH("по паспорту",G1169)),ISERROR(SEARCH("по паспорту",H1169)),I1169&lt;&gt;"",J1169&lt;&gt;"",K1169&lt;&gt;"",L1169&lt;&gt;"",M1169&lt;&gt;""),"ГОТОВО","НЕ ГОТОВО"))</f>
        <v/>
      </c>
      <c r="Z1169" s="226">
        <f>IF(Y1169&lt;&gt;"ГОТОВО","", "Предварительное заключение: "&amp;A1169&amp;", скв. "&amp;B1169&amp;". МРП: "&amp;E1169&amp;" сут. ГНО: "&amp;F1169&amp;", типоразмер "&amp;G1169&amp;", марка "&amp;H1169&amp;". Событие: "&amp;I1169&amp;". Признак: "&amp;J1169&amp;". Узел: "&amp;K1169&amp;". Предварительная причина: "&amp;L1169&amp;". Основное осложнение: "&amp;M1169&amp;IF(N1169&lt;&gt;"","; сопутствующее: "&amp;N1169,"")&amp;IF(O1169&lt;&gt;"","; дополнительно: "&amp;O1169,"")&amp;".")</f>
        <v/>
      </c>
    </row>
    <row r="1170">
      <c r="A1170" s="75" t="n"/>
      <c r="B1170" s="75" t="n"/>
      <c r="C1170" s="261" t="n"/>
      <c r="D1170" s="261" t="n"/>
      <c r="E1170" s="262">
        <f>IF(OR(C1170="",D1170=""),"",D1170-C1170)</f>
        <v/>
      </c>
      <c r="F1170" s="75" t="n"/>
      <c r="G1170" s="75" t="n"/>
      <c r="H1170" s="75" t="n"/>
      <c r="I1170" s="75" t="n"/>
      <c r="J1170" s="75" t="n"/>
      <c r="K1170" s="75" t="n"/>
      <c r="L1170" s="75" t="n"/>
      <c r="M1170" s="75" t="n"/>
      <c r="N1170" s="75" t="n"/>
      <c r="O1170" s="75" t="n"/>
      <c r="P1170" s="75" t="n"/>
      <c r="Q1170" s="75" t="n"/>
      <c r="R1170" s="75" t="n"/>
      <c r="S1170" s="75" t="n"/>
      <c r="T1170" s="75" t="n"/>
      <c r="U1170" s="75" t="n"/>
      <c r="V1170" s="75" t="n"/>
      <c r="W1170" s="75" t="n"/>
      <c r="X1170" s="75" t="n"/>
      <c r="Y1170" s="226">
        <f>IF(AND(A1170="",B1170=""),"",IF(AND(A1170&lt;&gt;"",B1170&lt;&gt;"",C1170&lt;&gt;"",D1170&lt;&gt;"",F1170&lt;&gt;"",G1170&lt;&gt;"",H1170&lt;&gt;"",ISERROR(SEARCH("по паспорту",G1170)),ISERROR(SEARCH("по паспорту",H1170)),I1170&lt;&gt;"",J1170&lt;&gt;"",K1170&lt;&gt;"",L1170&lt;&gt;"",M1170&lt;&gt;""),"ГОТОВО","НЕ ГОТОВО"))</f>
        <v/>
      </c>
      <c r="Z1170" s="226">
        <f>IF(Y1170&lt;&gt;"ГОТОВО","", "Предварительное заключение: "&amp;A1170&amp;", скв. "&amp;B1170&amp;". МРП: "&amp;E1170&amp;" сут. ГНО: "&amp;F1170&amp;", типоразмер "&amp;G1170&amp;", марка "&amp;H1170&amp;". Событие: "&amp;I1170&amp;". Признак: "&amp;J1170&amp;". Узел: "&amp;K1170&amp;". Предварительная причина: "&amp;L1170&amp;". Основное осложнение: "&amp;M1170&amp;IF(N1170&lt;&gt;"","; сопутствующее: "&amp;N1170,"")&amp;IF(O1170&lt;&gt;"","; дополнительно: "&amp;O1170,"")&amp;".")</f>
        <v/>
      </c>
    </row>
    <row r="1171">
      <c r="A1171" s="75" t="n"/>
      <c r="B1171" s="75" t="n"/>
      <c r="C1171" s="261" t="n"/>
      <c r="D1171" s="261" t="n"/>
      <c r="E1171" s="262">
        <f>IF(OR(C1171="",D1171=""),"",D1171-C1171)</f>
        <v/>
      </c>
      <c r="F1171" s="75" t="n"/>
      <c r="G1171" s="75" t="n"/>
      <c r="H1171" s="75" t="n"/>
      <c r="I1171" s="75" t="n"/>
      <c r="J1171" s="75" t="n"/>
      <c r="K1171" s="75" t="n"/>
      <c r="L1171" s="75" t="n"/>
      <c r="M1171" s="75" t="n"/>
      <c r="N1171" s="75" t="n"/>
      <c r="O1171" s="75" t="n"/>
      <c r="P1171" s="75" t="n"/>
      <c r="Q1171" s="75" t="n"/>
      <c r="R1171" s="75" t="n"/>
      <c r="S1171" s="75" t="n"/>
      <c r="T1171" s="75" t="n"/>
      <c r="U1171" s="75" t="n"/>
      <c r="V1171" s="75" t="n"/>
      <c r="W1171" s="75" t="n"/>
      <c r="X1171" s="75" t="n"/>
      <c r="Y1171" s="226">
        <f>IF(AND(A1171="",B1171=""),"",IF(AND(A1171&lt;&gt;"",B1171&lt;&gt;"",C1171&lt;&gt;"",D1171&lt;&gt;"",F1171&lt;&gt;"",G1171&lt;&gt;"",H1171&lt;&gt;"",ISERROR(SEARCH("по паспорту",G1171)),ISERROR(SEARCH("по паспорту",H1171)),I1171&lt;&gt;"",J1171&lt;&gt;"",K1171&lt;&gt;"",L1171&lt;&gt;"",M1171&lt;&gt;""),"ГОТОВО","НЕ ГОТОВО"))</f>
        <v/>
      </c>
      <c r="Z1171" s="226">
        <f>IF(Y1171&lt;&gt;"ГОТОВО","", "Предварительное заключение: "&amp;A1171&amp;", скв. "&amp;B1171&amp;". МРП: "&amp;E1171&amp;" сут. ГНО: "&amp;F1171&amp;", типоразмер "&amp;G1171&amp;", марка "&amp;H1171&amp;". Событие: "&amp;I1171&amp;". Признак: "&amp;J1171&amp;". Узел: "&amp;K1171&amp;". Предварительная причина: "&amp;L1171&amp;". Основное осложнение: "&amp;M1171&amp;IF(N1171&lt;&gt;"","; сопутствующее: "&amp;N1171,"")&amp;IF(O1171&lt;&gt;"","; дополнительно: "&amp;O1171,"")&amp;".")</f>
        <v/>
      </c>
    </row>
    <row r="1172">
      <c r="A1172" s="75" t="n"/>
      <c r="B1172" s="75" t="n"/>
      <c r="C1172" s="261" t="n"/>
      <c r="D1172" s="261" t="n"/>
      <c r="E1172" s="262">
        <f>IF(OR(C1172="",D1172=""),"",D1172-C1172)</f>
        <v/>
      </c>
      <c r="F1172" s="75" t="n"/>
      <c r="G1172" s="75" t="n"/>
      <c r="H1172" s="75" t="n"/>
      <c r="I1172" s="75" t="n"/>
      <c r="J1172" s="75" t="n"/>
      <c r="K1172" s="75" t="n"/>
      <c r="L1172" s="75" t="n"/>
      <c r="M1172" s="75" t="n"/>
      <c r="N1172" s="75" t="n"/>
      <c r="O1172" s="75" t="n"/>
      <c r="P1172" s="75" t="n"/>
      <c r="Q1172" s="75" t="n"/>
      <c r="R1172" s="75" t="n"/>
      <c r="S1172" s="75" t="n"/>
      <c r="T1172" s="75" t="n"/>
      <c r="U1172" s="75" t="n"/>
      <c r="V1172" s="75" t="n"/>
      <c r="W1172" s="75" t="n"/>
      <c r="X1172" s="75" t="n"/>
      <c r="Y1172" s="226">
        <f>IF(AND(A1172="",B1172=""),"",IF(AND(A1172&lt;&gt;"",B1172&lt;&gt;"",C1172&lt;&gt;"",D1172&lt;&gt;"",F1172&lt;&gt;"",G1172&lt;&gt;"",H1172&lt;&gt;"",ISERROR(SEARCH("по паспорту",G1172)),ISERROR(SEARCH("по паспорту",H1172)),I1172&lt;&gt;"",J1172&lt;&gt;"",K1172&lt;&gt;"",L1172&lt;&gt;"",M1172&lt;&gt;""),"ГОТОВО","НЕ ГОТОВО"))</f>
        <v/>
      </c>
      <c r="Z1172" s="226">
        <f>IF(Y1172&lt;&gt;"ГОТОВО","", "Предварительное заключение: "&amp;A1172&amp;", скв. "&amp;B1172&amp;". МРП: "&amp;E1172&amp;" сут. ГНО: "&amp;F1172&amp;", типоразмер "&amp;G1172&amp;", марка "&amp;H1172&amp;". Событие: "&amp;I1172&amp;". Признак: "&amp;J1172&amp;". Узел: "&amp;K1172&amp;". Предварительная причина: "&amp;L1172&amp;". Основное осложнение: "&amp;M1172&amp;IF(N1172&lt;&gt;"","; сопутствующее: "&amp;N1172,"")&amp;IF(O1172&lt;&gt;"","; дополнительно: "&amp;O1172,"")&amp;".")</f>
        <v/>
      </c>
    </row>
    <row r="1173">
      <c r="A1173" s="75" t="n"/>
      <c r="B1173" s="75" t="n"/>
      <c r="C1173" s="261" t="n"/>
      <c r="D1173" s="261" t="n"/>
      <c r="E1173" s="262">
        <f>IF(OR(C1173="",D1173=""),"",D1173-C1173)</f>
        <v/>
      </c>
      <c r="F1173" s="75" t="n"/>
      <c r="G1173" s="75" t="n"/>
      <c r="H1173" s="75" t="n"/>
      <c r="I1173" s="75" t="n"/>
      <c r="J1173" s="75" t="n"/>
      <c r="K1173" s="75" t="n"/>
      <c r="L1173" s="75" t="n"/>
      <c r="M1173" s="75" t="n"/>
      <c r="N1173" s="75" t="n"/>
      <c r="O1173" s="75" t="n"/>
      <c r="P1173" s="75" t="n"/>
      <c r="Q1173" s="75" t="n"/>
      <c r="R1173" s="75" t="n"/>
      <c r="S1173" s="75" t="n"/>
      <c r="T1173" s="75" t="n"/>
      <c r="U1173" s="75" t="n"/>
      <c r="V1173" s="75" t="n"/>
      <c r="W1173" s="75" t="n"/>
      <c r="X1173" s="75" t="n"/>
      <c r="Y1173" s="226">
        <f>IF(AND(A1173="",B1173=""),"",IF(AND(A1173&lt;&gt;"",B1173&lt;&gt;"",C1173&lt;&gt;"",D1173&lt;&gt;"",F1173&lt;&gt;"",G1173&lt;&gt;"",H1173&lt;&gt;"",ISERROR(SEARCH("по паспорту",G1173)),ISERROR(SEARCH("по паспорту",H1173)),I1173&lt;&gt;"",J1173&lt;&gt;"",K1173&lt;&gt;"",L1173&lt;&gt;"",M1173&lt;&gt;""),"ГОТОВО","НЕ ГОТОВО"))</f>
        <v/>
      </c>
      <c r="Z1173" s="226">
        <f>IF(Y1173&lt;&gt;"ГОТОВО","", "Предварительное заключение: "&amp;A1173&amp;", скв. "&amp;B1173&amp;". МРП: "&amp;E1173&amp;" сут. ГНО: "&amp;F1173&amp;", типоразмер "&amp;G1173&amp;", марка "&amp;H1173&amp;". Событие: "&amp;I1173&amp;". Признак: "&amp;J1173&amp;". Узел: "&amp;K1173&amp;". Предварительная причина: "&amp;L1173&amp;". Основное осложнение: "&amp;M1173&amp;IF(N1173&lt;&gt;"","; сопутствующее: "&amp;N1173,"")&amp;IF(O1173&lt;&gt;"","; дополнительно: "&amp;O1173,"")&amp;".")</f>
        <v/>
      </c>
    </row>
    <row r="1174">
      <c r="A1174" s="75" t="n"/>
      <c r="B1174" s="75" t="n"/>
      <c r="C1174" s="261" t="n"/>
      <c r="D1174" s="261" t="n"/>
      <c r="E1174" s="262">
        <f>IF(OR(C1174="",D1174=""),"",D1174-C1174)</f>
        <v/>
      </c>
      <c r="F1174" s="75" t="n"/>
      <c r="G1174" s="75" t="n"/>
      <c r="H1174" s="75" t="n"/>
      <c r="I1174" s="75" t="n"/>
      <c r="J1174" s="75" t="n"/>
      <c r="K1174" s="75" t="n"/>
      <c r="L1174" s="75" t="n"/>
      <c r="M1174" s="75" t="n"/>
      <c r="N1174" s="75" t="n"/>
      <c r="O1174" s="75" t="n"/>
      <c r="P1174" s="75" t="n"/>
      <c r="Q1174" s="75" t="n"/>
      <c r="R1174" s="75" t="n"/>
      <c r="S1174" s="75" t="n"/>
      <c r="T1174" s="75" t="n"/>
      <c r="U1174" s="75" t="n"/>
      <c r="V1174" s="75" t="n"/>
      <c r="W1174" s="75" t="n"/>
      <c r="X1174" s="75" t="n"/>
      <c r="Y1174" s="226">
        <f>IF(AND(A1174="",B1174=""),"",IF(AND(A1174&lt;&gt;"",B1174&lt;&gt;"",C1174&lt;&gt;"",D1174&lt;&gt;"",F1174&lt;&gt;"",G1174&lt;&gt;"",H1174&lt;&gt;"",ISERROR(SEARCH("по паспорту",G1174)),ISERROR(SEARCH("по паспорту",H1174)),I1174&lt;&gt;"",J1174&lt;&gt;"",K1174&lt;&gt;"",L1174&lt;&gt;"",M1174&lt;&gt;""),"ГОТОВО","НЕ ГОТОВО"))</f>
        <v/>
      </c>
      <c r="Z1174" s="226">
        <f>IF(Y1174&lt;&gt;"ГОТОВО","", "Предварительное заключение: "&amp;A1174&amp;", скв. "&amp;B1174&amp;". МРП: "&amp;E1174&amp;" сут. ГНО: "&amp;F1174&amp;", типоразмер "&amp;G1174&amp;", марка "&amp;H1174&amp;". Событие: "&amp;I1174&amp;". Признак: "&amp;J1174&amp;". Узел: "&amp;K1174&amp;". Предварительная причина: "&amp;L1174&amp;". Основное осложнение: "&amp;M1174&amp;IF(N1174&lt;&gt;"","; сопутствующее: "&amp;N1174,"")&amp;IF(O1174&lt;&gt;"","; дополнительно: "&amp;O1174,"")&amp;".")</f>
        <v/>
      </c>
    </row>
    <row r="1175">
      <c r="A1175" s="75" t="n"/>
      <c r="B1175" s="75" t="n"/>
      <c r="C1175" s="261" t="n"/>
      <c r="D1175" s="261" t="n"/>
      <c r="E1175" s="262">
        <f>IF(OR(C1175="",D1175=""),"",D1175-C1175)</f>
        <v/>
      </c>
      <c r="F1175" s="75" t="n"/>
      <c r="G1175" s="75" t="n"/>
      <c r="H1175" s="75" t="n"/>
      <c r="I1175" s="75" t="n"/>
      <c r="J1175" s="75" t="n"/>
      <c r="K1175" s="75" t="n"/>
      <c r="L1175" s="75" t="n"/>
      <c r="M1175" s="75" t="n"/>
      <c r="N1175" s="75" t="n"/>
      <c r="O1175" s="75" t="n"/>
      <c r="P1175" s="75" t="n"/>
      <c r="Q1175" s="75" t="n"/>
      <c r="R1175" s="75" t="n"/>
      <c r="S1175" s="75" t="n"/>
      <c r="T1175" s="75" t="n"/>
      <c r="U1175" s="75" t="n"/>
      <c r="V1175" s="75" t="n"/>
      <c r="W1175" s="75" t="n"/>
      <c r="X1175" s="75" t="n"/>
      <c r="Y1175" s="226">
        <f>IF(AND(A1175="",B1175=""),"",IF(AND(A1175&lt;&gt;"",B1175&lt;&gt;"",C1175&lt;&gt;"",D1175&lt;&gt;"",F1175&lt;&gt;"",G1175&lt;&gt;"",H1175&lt;&gt;"",ISERROR(SEARCH("по паспорту",G1175)),ISERROR(SEARCH("по паспорту",H1175)),I1175&lt;&gt;"",J1175&lt;&gt;"",K1175&lt;&gt;"",L1175&lt;&gt;"",M1175&lt;&gt;""),"ГОТОВО","НЕ ГОТОВО"))</f>
        <v/>
      </c>
      <c r="Z1175" s="226">
        <f>IF(Y1175&lt;&gt;"ГОТОВО","", "Предварительное заключение: "&amp;A1175&amp;", скв. "&amp;B1175&amp;". МРП: "&amp;E1175&amp;" сут. ГНО: "&amp;F1175&amp;", типоразмер "&amp;G1175&amp;", марка "&amp;H1175&amp;". Событие: "&amp;I1175&amp;". Признак: "&amp;J1175&amp;". Узел: "&amp;K1175&amp;". Предварительная причина: "&amp;L1175&amp;". Основное осложнение: "&amp;M1175&amp;IF(N1175&lt;&gt;"","; сопутствующее: "&amp;N1175,"")&amp;IF(O1175&lt;&gt;"","; дополнительно: "&amp;O1175,"")&amp;".")</f>
        <v/>
      </c>
    </row>
    <row r="1176">
      <c r="A1176" s="75" t="n"/>
      <c r="B1176" s="75" t="n"/>
      <c r="C1176" s="261" t="n"/>
      <c r="D1176" s="261" t="n"/>
      <c r="E1176" s="262">
        <f>IF(OR(C1176="",D1176=""),"",D1176-C1176)</f>
        <v/>
      </c>
      <c r="F1176" s="75" t="n"/>
      <c r="G1176" s="75" t="n"/>
      <c r="H1176" s="75" t="n"/>
      <c r="I1176" s="75" t="n"/>
      <c r="J1176" s="75" t="n"/>
      <c r="K1176" s="75" t="n"/>
      <c r="L1176" s="75" t="n"/>
      <c r="M1176" s="75" t="n"/>
      <c r="N1176" s="75" t="n"/>
      <c r="O1176" s="75" t="n"/>
      <c r="P1176" s="75" t="n"/>
      <c r="Q1176" s="75" t="n"/>
      <c r="R1176" s="75" t="n"/>
      <c r="S1176" s="75" t="n"/>
      <c r="T1176" s="75" t="n"/>
      <c r="U1176" s="75" t="n"/>
      <c r="V1176" s="75" t="n"/>
      <c r="W1176" s="75" t="n"/>
      <c r="X1176" s="75" t="n"/>
      <c r="Y1176" s="226">
        <f>IF(AND(A1176="",B1176=""),"",IF(AND(A1176&lt;&gt;"",B1176&lt;&gt;"",C1176&lt;&gt;"",D1176&lt;&gt;"",F1176&lt;&gt;"",G1176&lt;&gt;"",H1176&lt;&gt;"",ISERROR(SEARCH("по паспорту",G1176)),ISERROR(SEARCH("по паспорту",H1176)),I1176&lt;&gt;"",J1176&lt;&gt;"",K1176&lt;&gt;"",L1176&lt;&gt;"",M1176&lt;&gt;""),"ГОТОВО","НЕ ГОТОВО"))</f>
        <v/>
      </c>
      <c r="Z1176" s="226">
        <f>IF(Y1176&lt;&gt;"ГОТОВО","", "Предварительное заключение: "&amp;A1176&amp;", скв. "&amp;B1176&amp;". МРП: "&amp;E1176&amp;" сут. ГНО: "&amp;F1176&amp;", типоразмер "&amp;G1176&amp;", марка "&amp;H1176&amp;". Событие: "&amp;I1176&amp;". Признак: "&amp;J1176&amp;". Узел: "&amp;K1176&amp;". Предварительная причина: "&amp;L1176&amp;". Основное осложнение: "&amp;M1176&amp;IF(N1176&lt;&gt;"","; сопутствующее: "&amp;N1176,"")&amp;IF(O1176&lt;&gt;"","; дополнительно: "&amp;O1176,"")&amp;".")</f>
        <v/>
      </c>
    </row>
    <row r="1177">
      <c r="A1177" s="75" t="n"/>
      <c r="B1177" s="75" t="n"/>
      <c r="C1177" s="261" t="n"/>
      <c r="D1177" s="261" t="n"/>
      <c r="E1177" s="262">
        <f>IF(OR(C1177="",D1177=""),"",D1177-C1177)</f>
        <v/>
      </c>
      <c r="F1177" s="75" t="n"/>
      <c r="G1177" s="75" t="n"/>
      <c r="H1177" s="75" t="n"/>
      <c r="I1177" s="75" t="n"/>
      <c r="J1177" s="75" t="n"/>
      <c r="K1177" s="75" t="n"/>
      <c r="L1177" s="75" t="n"/>
      <c r="M1177" s="75" t="n"/>
      <c r="N1177" s="75" t="n"/>
      <c r="O1177" s="75" t="n"/>
      <c r="P1177" s="75" t="n"/>
      <c r="Q1177" s="75" t="n"/>
      <c r="R1177" s="75" t="n"/>
      <c r="S1177" s="75" t="n"/>
      <c r="T1177" s="75" t="n"/>
      <c r="U1177" s="75" t="n"/>
      <c r="V1177" s="75" t="n"/>
      <c r="W1177" s="75" t="n"/>
      <c r="X1177" s="75" t="n"/>
      <c r="Y1177" s="226">
        <f>IF(AND(A1177="",B1177=""),"",IF(AND(A1177&lt;&gt;"",B1177&lt;&gt;"",C1177&lt;&gt;"",D1177&lt;&gt;"",F1177&lt;&gt;"",G1177&lt;&gt;"",H1177&lt;&gt;"",ISERROR(SEARCH("по паспорту",G1177)),ISERROR(SEARCH("по паспорту",H1177)),I1177&lt;&gt;"",J1177&lt;&gt;"",K1177&lt;&gt;"",L1177&lt;&gt;"",M1177&lt;&gt;""),"ГОТОВО","НЕ ГОТОВО"))</f>
        <v/>
      </c>
      <c r="Z1177" s="226">
        <f>IF(Y1177&lt;&gt;"ГОТОВО","", "Предварительное заключение: "&amp;A1177&amp;", скв. "&amp;B1177&amp;". МРП: "&amp;E1177&amp;" сут. ГНО: "&amp;F1177&amp;", типоразмер "&amp;G1177&amp;", марка "&amp;H1177&amp;". Событие: "&amp;I1177&amp;". Признак: "&amp;J1177&amp;". Узел: "&amp;K1177&amp;". Предварительная причина: "&amp;L1177&amp;". Основное осложнение: "&amp;M1177&amp;IF(N1177&lt;&gt;"","; сопутствующее: "&amp;N1177,"")&amp;IF(O1177&lt;&gt;"","; дополнительно: "&amp;O1177,"")&amp;".")</f>
        <v/>
      </c>
    </row>
    <row r="1178">
      <c r="A1178" s="75" t="n"/>
      <c r="B1178" s="75" t="n"/>
      <c r="C1178" s="261" t="n"/>
      <c r="D1178" s="261" t="n"/>
      <c r="E1178" s="262">
        <f>IF(OR(C1178="",D1178=""),"",D1178-C1178)</f>
        <v/>
      </c>
      <c r="F1178" s="75" t="n"/>
      <c r="G1178" s="75" t="n"/>
      <c r="H1178" s="75" t="n"/>
      <c r="I1178" s="75" t="n"/>
      <c r="J1178" s="75" t="n"/>
      <c r="K1178" s="75" t="n"/>
      <c r="L1178" s="75" t="n"/>
      <c r="M1178" s="75" t="n"/>
      <c r="N1178" s="75" t="n"/>
      <c r="O1178" s="75" t="n"/>
      <c r="P1178" s="75" t="n"/>
      <c r="Q1178" s="75" t="n"/>
      <c r="R1178" s="75" t="n"/>
      <c r="S1178" s="75" t="n"/>
      <c r="T1178" s="75" t="n"/>
      <c r="U1178" s="75" t="n"/>
      <c r="V1178" s="75" t="n"/>
      <c r="W1178" s="75" t="n"/>
      <c r="X1178" s="75" t="n"/>
      <c r="Y1178" s="226">
        <f>IF(AND(A1178="",B1178=""),"",IF(AND(A1178&lt;&gt;"",B1178&lt;&gt;"",C1178&lt;&gt;"",D1178&lt;&gt;"",F1178&lt;&gt;"",G1178&lt;&gt;"",H1178&lt;&gt;"",ISERROR(SEARCH("по паспорту",G1178)),ISERROR(SEARCH("по паспорту",H1178)),I1178&lt;&gt;"",J1178&lt;&gt;"",K1178&lt;&gt;"",L1178&lt;&gt;"",M1178&lt;&gt;""),"ГОТОВО","НЕ ГОТОВО"))</f>
        <v/>
      </c>
      <c r="Z1178" s="226">
        <f>IF(Y1178&lt;&gt;"ГОТОВО","", "Предварительное заключение: "&amp;A1178&amp;", скв. "&amp;B1178&amp;". МРП: "&amp;E1178&amp;" сут. ГНО: "&amp;F1178&amp;", типоразмер "&amp;G1178&amp;", марка "&amp;H1178&amp;". Событие: "&amp;I1178&amp;". Признак: "&amp;J1178&amp;". Узел: "&amp;K1178&amp;". Предварительная причина: "&amp;L1178&amp;". Основное осложнение: "&amp;M1178&amp;IF(N1178&lt;&gt;"","; сопутствующее: "&amp;N1178,"")&amp;IF(O1178&lt;&gt;"","; дополнительно: "&amp;O1178,"")&amp;".")</f>
        <v/>
      </c>
    </row>
    <row r="1179">
      <c r="A1179" s="75" t="n"/>
      <c r="B1179" s="75" t="n"/>
      <c r="C1179" s="261" t="n"/>
      <c r="D1179" s="261" t="n"/>
      <c r="E1179" s="262">
        <f>IF(OR(C1179="",D1179=""),"",D1179-C1179)</f>
        <v/>
      </c>
      <c r="F1179" s="75" t="n"/>
      <c r="G1179" s="75" t="n"/>
      <c r="H1179" s="75" t="n"/>
      <c r="I1179" s="75" t="n"/>
      <c r="J1179" s="75" t="n"/>
      <c r="K1179" s="75" t="n"/>
      <c r="L1179" s="75" t="n"/>
      <c r="M1179" s="75" t="n"/>
      <c r="N1179" s="75" t="n"/>
      <c r="O1179" s="75" t="n"/>
      <c r="P1179" s="75" t="n"/>
      <c r="Q1179" s="75" t="n"/>
      <c r="R1179" s="75" t="n"/>
      <c r="S1179" s="75" t="n"/>
      <c r="T1179" s="75" t="n"/>
      <c r="U1179" s="75" t="n"/>
      <c r="V1179" s="75" t="n"/>
      <c r="W1179" s="75" t="n"/>
      <c r="X1179" s="75" t="n"/>
      <c r="Y1179" s="226">
        <f>IF(AND(A1179="",B1179=""),"",IF(AND(A1179&lt;&gt;"",B1179&lt;&gt;"",C1179&lt;&gt;"",D1179&lt;&gt;"",F1179&lt;&gt;"",G1179&lt;&gt;"",H1179&lt;&gt;"",ISERROR(SEARCH("по паспорту",G1179)),ISERROR(SEARCH("по паспорту",H1179)),I1179&lt;&gt;"",J1179&lt;&gt;"",K1179&lt;&gt;"",L1179&lt;&gt;"",M1179&lt;&gt;""),"ГОТОВО","НЕ ГОТОВО"))</f>
        <v/>
      </c>
      <c r="Z1179" s="226">
        <f>IF(Y1179&lt;&gt;"ГОТОВО","", "Предварительное заключение: "&amp;A1179&amp;", скв. "&amp;B1179&amp;". МРП: "&amp;E1179&amp;" сут. ГНО: "&amp;F1179&amp;", типоразмер "&amp;G1179&amp;", марка "&amp;H1179&amp;". Событие: "&amp;I1179&amp;". Признак: "&amp;J1179&amp;". Узел: "&amp;K1179&amp;". Предварительная причина: "&amp;L1179&amp;". Основное осложнение: "&amp;M1179&amp;IF(N1179&lt;&gt;"","; сопутствующее: "&amp;N1179,"")&amp;IF(O1179&lt;&gt;"","; дополнительно: "&amp;O1179,"")&amp;".")</f>
        <v/>
      </c>
    </row>
    <row r="1180">
      <c r="A1180" s="75" t="n"/>
      <c r="B1180" s="75" t="n"/>
      <c r="C1180" s="261" t="n"/>
      <c r="D1180" s="261" t="n"/>
      <c r="E1180" s="262">
        <f>IF(OR(C1180="",D1180=""),"",D1180-C1180)</f>
        <v/>
      </c>
      <c r="F1180" s="75" t="n"/>
      <c r="G1180" s="75" t="n"/>
      <c r="H1180" s="75" t="n"/>
      <c r="I1180" s="75" t="n"/>
      <c r="J1180" s="75" t="n"/>
      <c r="K1180" s="75" t="n"/>
      <c r="L1180" s="75" t="n"/>
      <c r="M1180" s="75" t="n"/>
      <c r="N1180" s="75" t="n"/>
      <c r="O1180" s="75" t="n"/>
      <c r="P1180" s="75" t="n"/>
      <c r="Q1180" s="75" t="n"/>
      <c r="R1180" s="75" t="n"/>
      <c r="S1180" s="75" t="n"/>
      <c r="T1180" s="75" t="n"/>
      <c r="U1180" s="75" t="n"/>
      <c r="V1180" s="75" t="n"/>
      <c r="W1180" s="75" t="n"/>
      <c r="X1180" s="75" t="n"/>
      <c r="Y1180" s="226">
        <f>IF(AND(A1180="",B1180=""),"",IF(AND(A1180&lt;&gt;"",B1180&lt;&gt;"",C1180&lt;&gt;"",D1180&lt;&gt;"",F1180&lt;&gt;"",G1180&lt;&gt;"",H1180&lt;&gt;"",ISERROR(SEARCH("по паспорту",G1180)),ISERROR(SEARCH("по паспорту",H1180)),I1180&lt;&gt;"",J1180&lt;&gt;"",K1180&lt;&gt;"",L1180&lt;&gt;"",M1180&lt;&gt;""),"ГОТОВО","НЕ ГОТОВО"))</f>
        <v/>
      </c>
      <c r="Z1180" s="226">
        <f>IF(Y1180&lt;&gt;"ГОТОВО","", "Предварительное заключение: "&amp;A1180&amp;", скв. "&amp;B1180&amp;". МРП: "&amp;E1180&amp;" сут. ГНО: "&amp;F1180&amp;", типоразмер "&amp;G1180&amp;", марка "&amp;H1180&amp;". Событие: "&amp;I1180&amp;". Признак: "&amp;J1180&amp;". Узел: "&amp;K1180&amp;". Предварительная причина: "&amp;L1180&amp;". Основное осложнение: "&amp;M1180&amp;IF(N1180&lt;&gt;"","; сопутствующее: "&amp;N1180,"")&amp;IF(O1180&lt;&gt;"","; дополнительно: "&amp;O1180,"")&amp;".")</f>
        <v/>
      </c>
    </row>
    <row r="1181">
      <c r="A1181" s="75" t="n"/>
      <c r="B1181" s="75" t="n"/>
      <c r="C1181" s="261" t="n"/>
      <c r="D1181" s="261" t="n"/>
      <c r="E1181" s="262">
        <f>IF(OR(C1181="",D1181=""),"",D1181-C1181)</f>
        <v/>
      </c>
      <c r="F1181" s="75" t="n"/>
      <c r="G1181" s="75" t="n"/>
      <c r="H1181" s="75" t="n"/>
      <c r="I1181" s="75" t="n"/>
      <c r="J1181" s="75" t="n"/>
      <c r="K1181" s="75" t="n"/>
      <c r="L1181" s="75" t="n"/>
      <c r="M1181" s="75" t="n"/>
      <c r="N1181" s="75" t="n"/>
      <c r="O1181" s="75" t="n"/>
      <c r="P1181" s="75" t="n"/>
      <c r="Q1181" s="75" t="n"/>
      <c r="R1181" s="75" t="n"/>
      <c r="S1181" s="75" t="n"/>
      <c r="T1181" s="75" t="n"/>
      <c r="U1181" s="75" t="n"/>
      <c r="V1181" s="75" t="n"/>
      <c r="W1181" s="75" t="n"/>
      <c r="X1181" s="75" t="n"/>
      <c r="Y1181" s="226">
        <f>IF(AND(A1181="",B1181=""),"",IF(AND(A1181&lt;&gt;"",B1181&lt;&gt;"",C1181&lt;&gt;"",D1181&lt;&gt;"",F1181&lt;&gt;"",G1181&lt;&gt;"",H1181&lt;&gt;"",ISERROR(SEARCH("по паспорту",G1181)),ISERROR(SEARCH("по паспорту",H1181)),I1181&lt;&gt;"",J1181&lt;&gt;"",K1181&lt;&gt;"",L1181&lt;&gt;"",M1181&lt;&gt;""),"ГОТОВО","НЕ ГОТОВО"))</f>
        <v/>
      </c>
      <c r="Z1181" s="226">
        <f>IF(Y1181&lt;&gt;"ГОТОВО","", "Предварительное заключение: "&amp;A1181&amp;", скв. "&amp;B1181&amp;". МРП: "&amp;E1181&amp;" сут. ГНО: "&amp;F1181&amp;", типоразмер "&amp;G1181&amp;", марка "&amp;H1181&amp;". Событие: "&amp;I1181&amp;". Признак: "&amp;J1181&amp;". Узел: "&amp;K1181&amp;". Предварительная причина: "&amp;L1181&amp;". Основное осложнение: "&amp;M1181&amp;IF(N1181&lt;&gt;"","; сопутствующее: "&amp;N1181,"")&amp;IF(O1181&lt;&gt;"","; дополнительно: "&amp;O1181,"")&amp;".")</f>
        <v/>
      </c>
    </row>
    <row r="1182">
      <c r="A1182" s="75" t="n"/>
      <c r="B1182" s="75" t="n"/>
      <c r="C1182" s="261" t="n"/>
      <c r="D1182" s="261" t="n"/>
      <c r="E1182" s="262">
        <f>IF(OR(C1182="",D1182=""),"",D1182-C1182)</f>
        <v/>
      </c>
      <c r="F1182" s="75" t="n"/>
      <c r="G1182" s="75" t="n"/>
      <c r="H1182" s="75" t="n"/>
      <c r="I1182" s="75" t="n"/>
      <c r="J1182" s="75" t="n"/>
      <c r="K1182" s="75" t="n"/>
      <c r="L1182" s="75" t="n"/>
      <c r="M1182" s="75" t="n"/>
      <c r="N1182" s="75" t="n"/>
      <c r="O1182" s="75" t="n"/>
      <c r="P1182" s="75" t="n"/>
      <c r="Q1182" s="75" t="n"/>
      <c r="R1182" s="75" t="n"/>
      <c r="S1182" s="75" t="n"/>
      <c r="T1182" s="75" t="n"/>
      <c r="U1182" s="75" t="n"/>
      <c r="V1182" s="75" t="n"/>
      <c r="W1182" s="75" t="n"/>
      <c r="X1182" s="75" t="n"/>
      <c r="Y1182" s="226">
        <f>IF(AND(A1182="",B1182=""),"",IF(AND(A1182&lt;&gt;"",B1182&lt;&gt;"",C1182&lt;&gt;"",D1182&lt;&gt;"",F1182&lt;&gt;"",G1182&lt;&gt;"",H1182&lt;&gt;"",ISERROR(SEARCH("по паспорту",G1182)),ISERROR(SEARCH("по паспорту",H1182)),I1182&lt;&gt;"",J1182&lt;&gt;"",K1182&lt;&gt;"",L1182&lt;&gt;"",M1182&lt;&gt;""),"ГОТОВО","НЕ ГОТОВО"))</f>
        <v/>
      </c>
      <c r="Z1182" s="226">
        <f>IF(Y1182&lt;&gt;"ГОТОВО","", "Предварительное заключение: "&amp;A1182&amp;", скв. "&amp;B1182&amp;". МРП: "&amp;E1182&amp;" сут. ГНО: "&amp;F1182&amp;", типоразмер "&amp;G1182&amp;", марка "&amp;H1182&amp;". Событие: "&amp;I1182&amp;". Признак: "&amp;J1182&amp;". Узел: "&amp;K1182&amp;". Предварительная причина: "&amp;L1182&amp;". Основное осложнение: "&amp;M1182&amp;IF(N1182&lt;&gt;"","; сопутствующее: "&amp;N1182,"")&amp;IF(O1182&lt;&gt;"","; дополнительно: "&amp;O1182,"")&amp;".")</f>
        <v/>
      </c>
    </row>
    <row r="1183">
      <c r="A1183" s="75" t="n"/>
      <c r="B1183" s="75" t="n"/>
      <c r="C1183" s="261" t="n"/>
      <c r="D1183" s="261" t="n"/>
      <c r="E1183" s="262">
        <f>IF(OR(C1183="",D1183=""),"",D1183-C1183)</f>
        <v/>
      </c>
      <c r="F1183" s="75" t="n"/>
      <c r="G1183" s="75" t="n"/>
      <c r="H1183" s="75" t="n"/>
      <c r="I1183" s="75" t="n"/>
      <c r="J1183" s="75" t="n"/>
      <c r="K1183" s="75" t="n"/>
      <c r="L1183" s="75" t="n"/>
      <c r="M1183" s="75" t="n"/>
      <c r="N1183" s="75" t="n"/>
      <c r="O1183" s="75" t="n"/>
      <c r="P1183" s="75" t="n"/>
      <c r="Q1183" s="75" t="n"/>
      <c r="R1183" s="75" t="n"/>
      <c r="S1183" s="75" t="n"/>
      <c r="T1183" s="75" t="n"/>
      <c r="U1183" s="75" t="n"/>
      <c r="V1183" s="75" t="n"/>
      <c r="W1183" s="75" t="n"/>
      <c r="X1183" s="75" t="n"/>
      <c r="Y1183" s="226">
        <f>IF(AND(A1183="",B1183=""),"",IF(AND(A1183&lt;&gt;"",B1183&lt;&gt;"",C1183&lt;&gt;"",D1183&lt;&gt;"",F1183&lt;&gt;"",G1183&lt;&gt;"",H1183&lt;&gt;"",ISERROR(SEARCH("по паспорту",G1183)),ISERROR(SEARCH("по паспорту",H1183)),I1183&lt;&gt;"",J1183&lt;&gt;"",K1183&lt;&gt;"",L1183&lt;&gt;"",M1183&lt;&gt;""),"ГОТОВО","НЕ ГОТОВО"))</f>
        <v/>
      </c>
      <c r="Z1183" s="226">
        <f>IF(Y1183&lt;&gt;"ГОТОВО","", "Предварительное заключение: "&amp;A1183&amp;", скв. "&amp;B1183&amp;". МРП: "&amp;E1183&amp;" сут. ГНО: "&amp;F1183&amp;", типоразмер "&amp;G1183&amp;", марка "&amp;H1183&amp;". Событие: "&amp;I1183&amp;". Признак: "&amp;J1183&amp;". Узел: "&amp;K1183&amp;". Предварительная причина: "&amp;L1183&amp;". Основное осложнение: "&amp;M1183&amp;IF(N1183&lt;&gt;"","; сопутствующее: "&amp;N1183,"")&amp;IF(O1183&lt;&gt;"","; дополнительно: "&amp;O1183,"")&amp;".")</f>
        <v/>
      </c>
    </row>
    <row r="1184">
      <c r="A1184" s="75" t="n"/>
      <c r="B1184" s="75" t="n"/>
      <c r="C1184" s="261" t="n"/>
      <c r="D1184" s="261" t="n"/>
      <c r="E1184" s="262">
        <f>IF(OR(C1184="",D1184=""),"",D1184-C1184)</f>
        <v/>
      </c>
      <c r="F1184" s="75" t="n"/>
      <c r="G1184" s="75" t="n"/>
      <c r="H1184" s="75" t="n"/>
      <c r="I1184" s="75" t="n"/>
      <c r="J1184" s="75" t="n"/>
      <c r="K1184" s="75" t="n"/>
      <c r="L1184" s="75" t="n"/>
      <c r="M1184" s="75" t="n"/>
      <c r="N1184" s="75" t="n"/>
      <c r="O1184" s="75" t="n"/>
      <c r="P1184" s="75" t="n"/>
      <c r="Q1184" s="75" t="n"/>
      <c r="R1184" s="75" t="n"/>
      <c r="S1184" s="75" t="n"/>
      <c r="T1184" s="75" t="n"/>
      <c r="U1184" s="75" t="n"/>
      <c r="V1184" s="75" t="n"/>
      <c r="W1184" s="75" t="n"/>
      <c r="X1184" s="75" t="n"/>
      <c r="Y1184" s="226">
        <f>IF(AND(A1184="",B1184=""),"",IF(AND(A1184&lt;&gt;"",B1184&lt;&gt;"",C1184&lt;&gt;"",D1184&lt;&gt;"",F1184&lt;&gt;"",G1184&lt;&gt;"",H1184&lt;&gt;"",ISERROR(SEARCH("по паспорту",G1184)),ISERROR(SEARCH("по паспорту",H1184)),I1184&lt;&gt;"",J1184&lt;&gt;"",K1184&lt;&gt;"",L1184&lt;&gt;"",M1184&lt;&gt;""),"ГОТОВО","НЕ ГОТОВО"))</f>
        <v/>
      </c>
      <c r="Z1184" s="226">
        <f>IF(Y1184&lt;&gt;"ГОТОВО","", "Предварительное заключение: "&amp;A1184&amp;", скв. "&amp;B1184&amp;". МРП: "&amp;E1184&amp;" сут. ГНО: "&amp;F1184&amp;", типоразмер "&amp;G1184&amp;", марка "&amp;H1184&amp;". Событие: "&amp;I1184&amp;". Признак: "&amp;J1184&amp;". Узел: "&amp;K1184&amp;". Предварительная причина: "&amp;L1184&amp;". Основное осложнение: "&amp;M1184&amp;IF(N1184&lt;&gt;"","; сопутствующее: "&amp;N1184,"")&amp;IF(O1184&lt;&gt;"","; дополнительно: "&amp;O1184,"")&amp;".")</f>
        <v/>
      </c>
    </row>
    <row r="1185">
      <c r="A1185" s="75" t="n"/>
      <c r="B1185" s="75" t="n"/>
      <c r="C1185" s="261" t="n"/>
      <c r="D1185" s="261" t="n"/>
      <c r="E1185" s="262">
        <f>IF(OR(C1185="",D1185=""),"",D1185-C1185)</f>
        <v/>
      </c>
      <c r="F1185" s="75" t="n"/>
      <c r="G1185" s="75" t="n"/>
      <c r="H1185" s="75" t="n"/>
      <c r="I1185" s="75" t="n"/>
      <c r="J1185" s="75" t="n"/>
      <c r="K1185" s="75" t="n"/>
      <c r="L1185" s="75" t="n"/>
      <c r="M1185" s="75" t="n"/>
      <c r="N1185" s="75" t="n"/>
      <c r="O1185" s="75" t="n"/>
      <c r="P1185" s="75" t="n"/>
      <c r="Q1185" s="75" t="n"/>
      <c r="R1185" s="75" t="n"/>
      <c r="S1185" s="75" t="n"/>
      <c r="T1185" s="75" t="n"/>
      <c r="U1185" s="75" t="n"/>
      <c r="V1185" s="75" t="n"/>
      <c r="W1185" s="75" t="n"/>
      <c r="X1185" s="75" t="n"/>
      <c r="Y1185" s="226">
        <f>IF(AND(A1185="",B1185=""),"",IF(AND(A1185&lt;&gt;"",B1185&lt;&gt;"",C1185&lt;&gt;"",D1185&lt;&gt;"",F1185&lt;&gt;"",G1185&lt;&gt;"",H1185&lt;&gt;"",ISERROR(SEARCH("по паспорту",G1185)),ISERROR(SEARCH("по паспорту",H1185)),I1185&lt;&gt;"",J1185&lt;&gt;"",K1185&lt;&gt;"",L1185&lt;&gt;"",M1185&lt;&gt;""),"ГОТОВО","НЕ ГОТОВО"))</f>
        <v/>
      </c>
      <c r="Z1185" s="226">
        <f>IF(Y1185&lt;&gt;"ГОТОВО","", "Предварительное заключение: "&amp;A1185&amp;", скв. "&amp;B1185&amp;". МРП: "&amp;E1185&amp;" сут. ГНО: "&amp;F1185&amp;", типоразмер "&amp;G1185&amp;", марка "&amp;H1185&amp;". Событие: "&amp;I1185&amp;". Признак: "&amp;J1185&amp;". Узел: "&amp;K1185&amp;". Предварительная причина: "&amp;L1185&amp;". Основное осложнение: "&amp;M1185&amp;IF(N1185&lt;&gt;"","; сопутствующее: "&amp;N1185,"")&amp;IF(O1185&lt;&gt;"","; дополнительно: "&amp;O1185,"")&amp;".")</f>
        <v/>
      </c>
    </row>
    <row r="1186">
      <c r="A1186" s="75" t="n"/>
      <c r="B1186" s="75" t="n"/>
      <c r="C1186" s="261" t="n"/>
      <c r="D1186" s="261" t="n"/>
      <c r="E1186" s="262">
        <f>IF(OR(C1186="",D1186=""),"",D1186-C1186)</f>
        <v/>
      </c>
      <c r="F1186" s="75" t="n"/>
      <c r="G1186" s="75" t="n"/>
      <c r="H1186" s="75" t="n"/>
      <c r="I1186" s="75" t="n"/>
      <c r="J1186" s="75" t="n"/>
      <c r="K1186" s="75" t="n"/>
      <c r="L1186" s="75" t="n"/>
      <c r="M1186" s="75" t="n"/>
      <c r="N1186" s="75" t="n"/>
      <c r="O1186" s="75" t="n"/>
      <c r="P1186" s="75" t="n"/>
      <c r="Q1186" s="75" t="n"/>
      <c r="R1186" s="75" t="n"/>
      <c r="S1186" s="75" t="n"/>
      <c r="T1186" s="75" t="n"/>
      <c r="U1186" s="75" t="n"/>
      <c r="V1186" s="75" t="n"/>
      <c r="W1186" s="75" t="n"/>
      <c r="X1186" s="75" t="n"/>
      <c r="Y1186" s="226">
        <f>IF(AND(A1186="",B1186=""),"",IF(AND(A1186&lt;&gt;"",B1186&lt;&gt;"",C1186&lt;&gt;"",D1186&lt;&gt;"",F1186&lt;&gt;"",G1186&lt;&gt;"",H1186&lt;&gt;"",ISERROR(SEARCH("по паспорту",G1186)),ISERROR(SEARCH("по паспорту",H1186)),I1186&lt;&gt;"",J1186&lt;&gt;"",K1186&lt;&gt;"",L1186&lt;&gt;"",M1186&lt;&gt;""),"ГОТОВО","НЕ ГОТОВО"))</f>
        <v/>
      </c>
      <c r="Z1186" s="226">
        <f>IF(Y1186&lt;&gt;"ГОТОВО","", "Предварительное заключение: "&amp;A1186&amp;", скв. "&amp;B1186&amp;". МРП: "&amp;E1186&amp;" сут. ГНО: "&amp;F1186&amp;", типоразмер "&amp;G1186&amp;", марка "&amp;H1186&amp;". Событие: "&amp;I1186&amp;". Признак: "&amp;J1186&amp;". Узел: "&amp;K1186&amp;". Предварительная причина: "&amp;L1186&amp;". Основное осложнение: "&amp;M1186&amp;IF(N1186&lt;&gt;"","; сопутствующее: "&amp;N1186,"")&amp;IF(O1186&lt;&gt;"","; дополнительно: "&amp;O1186,"")&amp;".")</f>
        <v/>
      </c>
    </row>
    <row r="1187">
      <c r="A1187" s="75" t="n"/>
      <c r="B1187" s="75" t="n"/>
      <c r="C1187" s="261" t="n"/>
      <c r="D1187" s="261" t="n"/>
      <c r="E1187" s="262">
        <f>IF(OR(C1187="",D1187=""),"",D1187-C1187)</f>
        <v/>
      </c>
      <c r="F1187" s="75" t="n"/>
      <c r="G1187" s="75" t="n"/>
      <c r="H1187" s="75" t="n"/>
      <c r="I1187" s="75" t="n"/>
      <c r="J1187" s="75" t="n"/>
      <c r="K1187" s="75" t="n"/>
      <c r="L1187" s="75" t="n"/>
      <c r="M1187" s="75" t="n"/>
      <c r="N1187" s="75" t="n"/>
      <c r="O1187" s="75" t="n"/>
      <c r="P1187" s="75" t="n"/>
      <c r="Q1187" s="75" t="n"/>
      <c r="R1187" s="75" t="n"/>
      <c r="S1187" s="75" t="n"/>
      <c r="T1187" s="75" t="n"/>
      <c r="U1187" s="75" t="n"/>
      <c r="V1187" s="75" t="n"/>
      <c r="W1187" s="75" t="n"/>
      <c r="X1187" s="75" t="n"/>
      <c r="Y1187" s="226">
        <f>IF(AND(A1187="",B1187=""),"",IF(AND(A1187&lt;&gt;"",B1187&lt;&gt;"",C1187&lt;&gt;"",D1187&lt;&gt;"",F1187&lt;&gt;"",G1187&lt;&gt;"",H1187&lt;&gt;"",ISERROR(SEARCH("по паспорту",G1187)),ISERROR(SEARCH("по паспорту",H1187)),I1187&lt;&gt;"",J1187&lt;&gt;"",K1187&lt;&gt;"",L1187&lt;&gt;"",M1187&lt;&gt;""),"ГОТОВО","НЕ ГОТОВО"))</f>
        <v/>
      </c>
      <c r="Z1187" s="226">
        <f>IF(Y1187&lt;&gt;"ГОТОВО","", "Предварительное заключение: "&amp;A1187&amp;", скв. "&amp;B1187&amp;". МРП: "&amp;E1187&amp;" сут. ГНО: "&amp;F1187&amp;", типоразмер "&amp;G1187&amp;", марка "&amp;H1187&amp;". Событие: "&amp;I1187&amp;". Признак: "&amp;J1187&amp;". Узел: "&amp;K1187&amp;". Предварительная причина: "&amp;L1187&amp;". Основное осложнение: "&amp;M1187&amp;IF(N1187&lt;&gt;"","; сопутствующее: "&amp;N1187,"")&amp;IF(O1187&lt;&gt;"","; дополнительно: "&amp;O1187,"")&amp;".")</f>
        <v/>
      </c>
    </row>
    <row r="1188">
      <c r="A1188" s="75" t="n"/>
      <c r="B1188" s="75" t="n"/>
      <c r="C1188" s="261" t="n"/>
      <c r="D1188" s="261" t="n"/>
      <c r="E1188" s="262">
        <f>IF(OR(C1188="",D1188=""),"",D1188-C1188)</f>
        <v/>
      </c>
      <c r="F1188" s="75" t="n"/>
      <c r="G1188" s="75" t="n"/>
      <c r="H1188" s="75" t="n"/>
      <c r="I1188" s="75" t="n"/>
      <c r="J1188" s="75" t="n"/>
      <c r="K1188" s="75" t="n"/>
      <c r="L1188" s="75" t="n"/>
      <c r="M1188" s="75" t="n"/>
      <c r="N1188" s="75" t="n"/>
      <c r="O1188" s="75" t="n"/>
      <c r="P1188" s="75" t="n"/>
      <c r="Q1188" s="75" t="n"/>
      <c r="R1188" s="75" t="n"/>
      <c r="S1188" s="75" t="n"/>
      <c r="T1188" s="75" t="n"/>
      <c r="U1188" s="75" t="n"/>
      <c r="V1188" s="75" t="n"/>
      <c r="W1188" s="75" t="n"/>
      <c r="X1188" s="75" t="n"/>
      <c r="Y1188" s="226">
        <f>IF(AND(A1188="",B1188=""),"",IF(AND(A1188&lt;&gt;"",B1188&lt;&gt;"",C1188&lt;&gt;"",D1188&lt;&gt;"",F1188&lt;&gt;"",G1188&lt;&gt;"",H1188&lt;&gt;"",ISERROR(SEARCH("по паспорту",G1188)),ISERROR(SEARCH("по паспорту",H1188)),I1188&lt;&gt;"",J1188&lt;&gt;"",K1188&lt;&gt;"",L1188&lt;&gt;"",M1188&lt;&gt;""),"ГОТОВО","НЕ ГОТОВО"))</f>
        <v/>
      </c>
      <c r="Z1188" s="226">
        <f>IF(Y1188&lt;&gt;"ГОТОВО","", "Предварительное заключение: "&amp;A1188&amp;", скв. "&amp;B1188&amp;". МРП: "&amp;E1188&amp;" сут. ГНО: "&amp;F1188&amp;", типоразмер "&amp;G1188&amp;", марка "&amp;H1188&amp;". Событие: "&amp;I1188&amp;". Признак: "&amp;J1188&amp;". Узел: "&amp;K1188&amp;". Предварительная причина: "&amp;L1188&amp;". Основное осложнение: "&amp;M1188&amp;IF(N1188&lt;&gt;"","; сопутствующее: "&amp;N1188,"")&amp;IF(O1188&lt;&gt;"","; дополнительно: "&amp;O1188,"")&amp;".")</f>
        <v/>
      </c>
    </row>
    <row r="1189">
      <c r="A1189" s="75" t="n"/>
      <c r="B1189" s="75" t="n"/>
      <c r="C1189" s="261" t="n"/>
      <c r="D1189" s="261" t="n"/>
      <c r="E1189" s="262">
        <f>IF(OR(C1189="",D1189=""),"",D1189-C1189)</f>
        <v/>
      </c>
      <c r="F1189" s="75" t="n"/>
      <c r="G1189" s="75" t="n"/>
      <c r="H1189" s="75" t="n"/>
      <c r="I1189" s="75" t="n"/>
      <c r="J1189" s="75" t="n"/>
      <c r="K1189" s="75" t="n"/>
      <c r="L1189" s="75" t="n"/>
      <c r="M1189" s="75" t="n"/>
      <c r="N1189" s="75" t="n"/>
      <c r="O1189" s="75" t="n"/>
      <c r="P1189" s="75" t="n"/>
      <c r="Q1189" s="75" t="n"/>
      <c r="R1189" s="75" t="n"/>
      <c r="S1189" s="75" t="n"/>
      <c r="T1189" s="75" t="n"/>
      <c r="U1189" s="75" t="n"/>
      <c r="V1189" s="75" t="n"/>
      <c r="W1189" s="75" t="n"/>
      <c r="X1189" s="75" t="n"/>
      <c r="Y1189" s="226">
        <f>IF(AND(A1189="",B1189=""),"",IF(AND(A1189&lt;&gt;"",B1189&lt;&gt;"",C1189&lt;&gt;"",D1189&lt;&gt;"",F1189&lt;&gt;"",G1189&lt;&gt;"",H1189&lt;&gt;"",ISERROR(SEARCH("по паспорту",G1189)),ISERROR(SEARCH("по паспорту",H1189)),I1189&lt;&gt;"",J1189&lt;&gt;"",K1189&lt;&gt;"",L1189&lt;&gt;"",M1189&lt;&gt;""),"ГОТОВО","НЕ ГОТОВО"))</f>
        <v/>
      </c>
      <c r="Z1189" s="226">
        <f>IF(Y1189&lt;&gt;"ГОТОВО","", "Предварительное заключение: "&amp;A1189&amp;", скв. "&amp;B1189&amp;". МРП: "&amp;E1189&amp;" сут. ГНО: "&amp;F1189&amp;", типоразмер "&amp;G1189&amp;", марка "&amp;H1189&amp;". Событие: "&amp;I1189&amp;". Признак: "&amp;J1189&amp;". Узел: "&amp;K1189&amp;". Предварительная причина: "&amp;L1189&amp;". Основное осложнение: "&amp;M1189&amp;IF(N1189&lt;&gt;"","; сопутствующее: "&amp;N1189,"")&amp;IF(O1189&lt;&gt;"","; дополнительно: "&amp;O1189,"")&amp;".")</f>
        <v/>
      </c>
    </row>
    <row r="1190">
      <c r="A1190" s="75" t="n"/>
      <c r="B1190" s="75" t="n"/>
      <c r="C1190" s="261" t="n"/>
      <c r="D1190" s="261" t="n"/>
      <c r="E1190" s="262">
        <f>IF(OR(C1190="",D1190=""),"",D1190-C1190)</f>
        <v/>
      </c>
      <c r="F1190" s="75" t="n"/>
      <c r="G1190" s="75" t="n"/>
      <c r="H1190" s="75" t="n"/>
      <c r="I1190" s="75" t="n"/>
      <c r="J1190" s="75" t="n"/>
      <c r="K1190" s="75" t="n"/>
      <c r="L1190" s="75" t="n"/>
      <c r="M1190" s="75" t="n"/>
      <c r="N1190" s="75" t="n"/>
      <c r="O1190" s="75" t="n"/>
      <c r="P1190" s="75" t="n"/>
      <c r="Q1190" s="75" t="n"/>
      <c r="R1190" s="75" t="n"/>
      <c r="S1190" s="75" t="n"/>
      <c r="T1190" s="75" t="n"/>
      <c r="U1190" s="75" t="n"/>
      <c r="V1190" s="75" t="n"/>
      <c r="W1190" s="75" t="n"/>
      <c r="X1190" s="75" t="n"/>
      <c r="Y1190" s="226">
        <f>IF(AND(A1190="",B1190=""),"",IF(AND(A1190&lt;&gt;"",B1190&lt;&gt;"",C1190&lt;&gt;"",D1190&lt;&gt;"",F1190&lt;&gt;"",G1190&lt;&gt;"",H1190&lt;&gt;"",ISERROR(SEARCH("по паспорту",G1190)),ISERROR(SEARCH("по паспорту",H1190)),I1190&lt;&gt;"",J1190&lt;&gt;"",K1190&lt;&gt;"",L1190&lt;&gt;"",M1190&lt;&gt;""),"ГОТОВО","НЕ ГОТОВО"))</f>
        <v/>
      </c>
      <c r="Z1190" s="226">
        <f>IF(Y1190&lt;&gt;"ГОТОВО","", "Предварительное заключение: "&amp;A1190&amp;", скв. "&amp;B1190&amp;". МРП: "&amp;E1190&amp;" сут. ГНО: "&amp;F1190&amp;", типоразмер "&amp;G1190&amp;", марка "&amp;H1190&amp;". Событие: "&amp;I1190&amp;". Признак: "&amp;J1190&amp;". Узел: "&amp;K1190&amp;". Предварительная причина: "&amp;L1190&amp;". Основное осложнение: "&amp;M1190&amp;IF(N1190&lt;&gt;"","; сопутствующее: "&amp;N1190,"")&amp;IF(O1190&lt;&gt;"","; дополнительно: "&amp;O1190,"")&amp;".")</f>
        <v/>
      </c>
    </row>
    <row r="1191">
      <c r="A1191" s="75" t="n"/>
      <c r="B1191" s="75" t="n"/>
      <c r="C1191" s="261" t="n"/>
      <c r="D1191" s="261" t="n"/>
      <c r="E1191" s="262">
        <f>IF(OR(C1191="",D1191=""),"",D1191-C1191)</f>
        <v/>
      </c>
      <c r="F1191" s="75" t="n"/>
      <c r="G1191" s="75" t="n"/>
      <c r="H1191" s="75" t="n"/>
      <c r="I1191" s="75" t="n"/>
      <c r="J1191" s="75" t="n"/>
      <c r="K1191" s="75" t="n"/>
      <c r="L1191" s="75" t="n"/>
      <c r="M1191" s="75" t="n"/>
      <c r="N1191" s="75" t="n"/>
      <c r="O1191" s="75" t="n"/>
      <c r="P1191" s="75" t="n"/>
      <c r="Q1191" s="75" t="n"/>
      <c r="R1191" s="75" t="n"/>
      <c r="S1191" s="75" t="n"/>
      <c r="T1191" s="75" t="n"/>
      <c r="U1191" s="75" t="n"/>
      <c r="V1191" s="75" t="n"/>
      <c r="W1191" s="75" t="n"/>
      <c r="X1191" s="75" t="n"/>
      <c r="Y1191" s="226">
        <f>IF(AND(A1191="",B1191=""),"",IF(AND(A1191&lt;&gt;"",B1191&lt;&gt;"",C1191&lt;&gt;"",D1191&lt;&gt;"",F1191&lt;&gt;"",G1191&lt;&gt;"",H1191&lt;&gt;"",ISERROR(SEARCH("по паспорту",G1191)),ISERROR(SEARCH("по паспорту",H1191)),I1191&lt;&gt;"",J1191&lt;&gt;"",K1191&lt;&gt;"",L1191&lt;&gt;"",M1191&lt;&gt;""),"ГОТОВО","НЕ ГОТОВО"))</f>
        <v/>
      </c>
      <c r="Z1191" s="226">
        <f>IF(Y1191&lt;&gt;"ГОТОВО","", "Предварительное заключение: "&amp;A1191&amp;", скв. "&amp;B1191&amp;". МРП: "&amp;E1191&amp;" сут. ГНО: "&amp;F1191&amp;", типоразмер "&amp;G1191&amp;", марка "&amp;H1191&amp;". Событие: "&amp;I1191&amp;". Признак: "&amp;J1191&amp;". Узел: "&amp;K1191&amp;". Предварительная причина: "&amp;L1191&amp;". Основное осложнение: "&amp;M1191&amp;IF(N1191&lt;&gt;"","; сопутствующее: "&amp;N1191,"")&amp;IF(O1191&lt;&gt;"","; дополнительно: "&amp;O1191,"")&amp;".")</f>
        <v/>
      </c>
    </row>
    <row r="1192">
      <c r="A1192" s="75" t="n"/>
      <c r="B1192" s="75" t="n"/>
      <c r="C1192" s="261" t="n"/>
      <c r="D1192" s="261" t="n"/>
      <c r="E1192" s="262">
        <f>IF(OR(C1192="",D1192=""),"",D1192-C1192)</f>
        <v/>
      </c>
      <c r="F1192" s="75" t="n"/>
      <c r="G1192" s="75" t="n"/>
      <c r="H1192" s="75" t="n"/>
      <c r="I1192" s="75" t="n"/>
      <c r="J1192" s="75" t="n"/>
      <c r="K1192" s="75" t="n"/>
      <c r="L1192" s="75" t="n"/>
      <c r="M1192" s="75" t="n"/>
      <c r="N1192" s="75" t="n"/>
      <c r="O1192" s="75" t="n"/>
      <c r="P1192" s="75" t="n"/>
      <c r="Q1192" s="75" t="n"/>
      <c r="R1192" s="75" t="n"/>
      <c r="S1192" s="75" t="n"/>
      <c r="T1192" s="75" t="n"/>
      <c r="U1192" s="75" t="n"/>
      <c r="V1192" s="75" t="n"/>
      <c r="W1192" s="75" t="n"/>
      <c r="X1192" s="75" t="n"/>
      <c r="Y1192" s="226">
        <f>IF(AND(A1192="",B1192=""),"",IF(AND(A1192&lt;&gt;"",B1192&lt;&gt;"",C1192&lt;&gt;"",D1192&lt;&gt;"",F1192&lt;&gt;"",G1192&lt;&gt;"",H1192&lt;&gt;"",ISERROR(SEARCH("по паспорту",G1192)),ISERROR(SEARCH("по паспорту",H1192)),I1192&lt;&gt;"",J1192&lt;&gt;"",K1192&lt;&gt;"",L1192&lt;&gt;"",M1192&lt;&gt;""),"ГОТОВО","НЕ ГОТОВО"))</f>
        <v/>
      </c>
      <c r="Z1192" s="226">
        <f>IF(Y1192&lt;&gt;"ГОТОВО","", "Предварительное заключение: "&amp;A1192&amp;", скв. "&amp;B1192&amp;". МРП: "&amp;E1192&amp;" сут. ГНО: "&amp;F1192&amp;", типоразмер "&amp;G1192&amp;", марка "&amp;H1192&amp;". Событие: "&amp;I1192&amp;". Признак: "&amp;J1192&amp;". Узел: "&amp;K1192&amp;". Предварительная причина: "&amp;L1192&amp;". Основное осложнение: "&amp;M1192&amp;IF(N1192&lt;&gt;"","; сопутствующее: "&amp;N1192,"")&amp;IF(O1192&lt;&gt;"","; дополнительно: "&amp;O1192,"")&amp;".")</f>
        <v/>
      </c>
    </row>
    <row r="1193">
      <c r="A1193" s="75" t="n"/>
      <c r="B1193" s="75" t="n"/>
      <c r="C1193" s="261" t="n"/>
      <c r="D1193" s="261" t="n"/>
      <c r="E1193" s="262">
        <f>IF(OR(C1193="",D1193=""),"",D1193-C1193)</f>
        <v/>
      </c>
      <c r="F1193" s="75" t="n"/>
      <c r="G1193" s="75" t="n"/>
      <c r="H1193" s="75" t="n"/>
      <c r="I1193" s="75" t="n"/>
      <c r="J1193" s="75" t="n"/>
      <c r="K1193" s="75" t="n"/>
      <c r="L1193" s="75" t="n"/>
      <c r="M1193" s="75" t="n"/>
      <c r="N1193" s="75" t="n"/>
      <c r="O1193" s="75" t="n"/>
      <c r="P1193" s="75" t="n"/>
      <c r="Q1193" s="75" t="n"/>
      <c r="R1193" s="75" t="n"/>
      <c r="S1193" s="75" t="n"/>
      <c r="T1193" s="75" t="n"/>
      <c r="U1193" s="75" t="n"/>
      <c r="V1193" s="75" t="n"/>
      <c r="W1193" s="75" t="n"/>
      <c r="X1193" s="75" t="n"/>
      <c r="Y1193" s="226">
        <f>IF(AND(A1193="",B1193=""),"",IF(AND(A1193&lt;&gt;"",B1193&lt;&gt;"",C1193&lt;&gt;"",D1193&lt;&gt;"",F1193&lt;&gt;"",G1193&lt;&gt;"",H1193&lt;&gt;"",ISERROR(SEARCH("по паспорту",G1193)),ISERROR(SEARCH("по паспорту",H1193)),I1193&lt;&gt;"",J1193&lt;&gt;"",K1193&lt;&gt;"",L1193&lt;&gt;"",M1193&lt;&gt;""),"ГОТОВО","НЕ ГОТОВО"))</f>
        <v/>
      </c>
      <c r="Z1193" s="226">
        <f>IF(Y1193&lt;&gt;"ГОТОВО","", "Предварительное заключение: "&amp;A1193&amp;", скв. "&amp;B1193&amp;". МРП: "&amp;E1193&amp;" сут. ГНО: "&amp;F1193&amp;", типоразмер "&amp;G1193&amp;", марка "&amp;H1193&amp;". Событие: "&amp;I1193&amp;". Признак: "&amp;J1193&amp;". Узел: "&amp;K1193&amp;". Предварительная причина: "&amp;L1193&amp;". Основное осложнение: "&amp;M1193&amp;IF(N1193&lt;&gt;"","; сопутствующее: "&amp;N1193,"")&amp;IF(O1193&lt;&gt;"","; дополнительно: "&amp;O1193,"")&amp;".")</f>
        <v/>
      </c>
    </row>
    <row r="1194">
      <c r="A1194" s="75" t="n"/>
      <c r="B1194" s="75" t="n"/>
      <c r="C1194" s="261" t="n"/>
      <c r="D1194" s="261" t="n"/>
      <c r="E1194" s="262">
        <f>IF(OR(C1194="",D1194=""),"",D1194-C1194)</f>
        <v/>
      </c>
      <c r="F1194" s="75" t="n"/>
      <c r="G1194" s="75" t="n"/>
      <c r="H1194" s="75" t="n"/>
      <c r="I1194" s="75" t="n"/>
      <c r="J1194" s="75" t="n"/>
      <c r="K1194" s="75" t="n"/>
      <c r="L1194" s="75" t="n"/>
      <c r="M1194" s="75" t="n"/>
      <c r="N1194" s="75" t="n"/>
      <c r="O1194" s="75" t="n"/>
      <c r="P1194" s="75" t="n"/>
      <c r="Q1194" s="75" t="n"/>
      <c r="R1194" s="75" t="n"/>
      <c r="S1194" s="75" t="n"/>
      <c r="T1194" s="75" t="n"/>
      <c r="U1194" s="75" t="n"/>
      <c r="V1194" s="75" t="n"/>
      <c r="W1194" s="75" t="n"/>
      <c r="X1194" s="75" t="n"/>
      <c r="Y1194" s="226">
        <f>IF(AND(A1194="",B1194=""),"",IF(AND(A1194&lt;&gt;"",B1194&lt;&gt;"",C1194&lt;&gt;"",D1194&lt;&gt;"",F1194&lt;&gt;"",G1194&lt;&gt;"",H1194&lt;&gt;"",ISERROR(SEARCH("по паспорту",G1194)),ISERROR(SEARCH("по паспорту",H1194)),I1194&lt;&gt;"",J1194&lt;&gt;"",K1194&lt;&gt;"",L1194&lt;&gt;"",M1194&lt;&gt;""),"ГОТОВО","НЕ ГОТОВО"))</f>
        <v/>
      </c>
      <c r="Z1194" s="226">
        <f>IF(Y1194&lt;&gt;"ГОТОВО","", "Предварительное заключение: "&amp;A1194&amp;", скв. "&amp;B1194&amp;". МРП: "&amp;E1194&amp;" сут. ГНО: "&amp;F1194&amp;", типоразмер "&amp;G1194&amp;", марка "&amp;H1194&amp;". Событие: "&amp;I1194&amp;". Признак: "&amp;J1194&amp;". Узел: "&amp;K1194&amp;". Предварительная причина: "&amp;L1194&amp;". Основное осложнение: "&amp;M1194&amp;IF(N1194&lt;&gt;"","; сопутствующее: "&amp;N1194,"")&amp;IF(O1194&lt;&gt;"","; дополнительно: "&amp;O1194,"")&amp;".")</f>
        <v/>
      </c>
    </row>
    <row r="1195">
      <c r="A1195" s="75" t="n"/>
      <c r="B1195" s="75" t="n"/>
      <c r="C1195" s="261" t="n"/>
      <c r="D1195" s="261" t="n"/>
      <c r="E1195" s="262">
        <f>IF(OR(C1195="",D1195=""),"",D1195-C1195)</f>
        <v/>
      </c>
      <c r="F1195" s="75" t="n"/>
      <c r="G1195" s="75" t="n"/>
      <c r="H1195" s="75" t="n"/>
      <c r="I1195" s="75" t="n"/>
      <c r="J1195" s="75" t="n"/>
      <c r="K1195" s="75" t="n"/>
      <c r="L1195" s="75" t="n"/>
      <c r="M1195" s="75" t="n"/>
      <c r="N1195" s="75" t="n"/>
      <c r="O1195" s="75" t="n"/>
      <c r="P1195" s="75" t="n"/>
      <c r="Q1195" s="75" t="n"/>
      <c r="R1195" s="75" t="n"/>
      <c r="S1195" s="75" t="n"/>
      <c r="T1195" s="75" t="n"/>
      <c r="U1195" s="75" t="n"/>
      <c r="V1195" s="75" t="n"/>
      <c r="W1195" s="75" t="n"/>
      <c r="X1195" s="75" t="n"/>
      <c r="Y1195" s="226">
        <f>IF(AND(A1195="",B1195=""),"",IF(AND(A1195&lt;&gt;"",B1195&lt;&gt;"",C1195&lt;&gt;"",D1195&lt;&gt;"",F1195&lt;&gt;"",G1195&lt;&gt;"",H1195&lt;&gt;"",ISERROR(SEARCH("по паспорту",G1195)),ISERROR(SEARCH("по паспорту",H1195)),I1195&lt;&gt;"",J1195&lt;&gt;"",K1195&lt;&gt;"",L1195&lt;&gt;"",M1195&lt;&gt;""),"ГОТОВО","НЕ ГОТОВО"))</f>
        <v/>
      </c>
      <c r="Z1195" s="226">
        <f>IF(Y1195&lt;&gt;"ГОТОВО","", "Предварительное заключение: "&amp;A1195&amp;", скв. "&amp;B1195&amp;". МРП: "&amp;E1195&amp;" сут. ГНО: "&amp;F1195&amp;", типоразмер "&amp;G1195&amp;", марка "&amp;H1195&amp;". Событие: "&amp;I1195&amp;". Признак: "&amp;J1195&amp;". Узел: "&amp;K1195&amp;". Предварительная причина: "&amp;L1195&amp;". Основное осложнение: "&amp;M1195&amp;IF(N1195&lt;&gt;"","; сопутствующее: "&amp;N1195,"")&amp;IF(O1195&lt;&gt;"","; дополнительно: "&amp;O1195,"")&amp;".")</f>
        <v/>
      </c>
    </row>
    <row r="1196">
      <c r="A1196" s="75" t="n"/>
      <c r="B1196" s="75" t="n"/>
      <c r="C1196" s="261" t="n"/>
      <c r="D1196" s="261" t="n"/>
      <c r="E1196" s="262">
        <f>IF(OR(C1196="",D1196=""),"",D1196-C1196)</f>
        <v/>
      </c>
      <c r="F1196" s="75" t="n"/>
      <c r="G1196" s="75" t="n"/>
      <c r="H1196" s="75" t="n"/>
      <c r="I1196" s="75" t="n"/>
      <c r="J1196" s="75" t="n"/>
      <c r="K1196" s="75" t="n"/>
      <c r="L1196" s="75" t="n"/>
      <c r="M1196" s="75" t="n"/>
      <c r="N1196" s="75" t="n"/>
      <c r="O1196" s="75" t="n"/>
      <c r="P1196" s="75" t="n"/>
      <c r="Q1196" s="75" t="n"/>
      <c r="R1196" s="75" t="n"/>
      <c r="S1196" s="75" t="n"/>
      <c r="T1196" s="75" t="n"/>
      <c r="U1196" s="75" t="n"/>
      <c r="V1196" s="75" t="n"/>
      <c r="W1196" s="75" t="n"/>
      <c r="X1196" s="75" t="n"/>
      <c r="Y1196" s="226">
        <f>IF(AND(A1196="",B1196=""),"",IF(AND(A1196&lt;&gt;"",B1196&lt;&gt;"",C1196&lt;&gt;"",D1196&lt;&gt;"",F1196&lt;&gt;"",G1196&lt;&gt;"",H1196&lt;&gt;"",ISERROR(SEARCH("по паспорту",G1196)),ISERROR(SEARCH("по паспорту",H1196)),I1196&lt;&gt;"",J1196&lt;&gt;"",K1196&lt;&gt;"",L1196&lt;&gt;"",M1196&lt;&gt;""),"ГОТОВО","НЕ ГОТОВО"))</f>
        <v/>
      </c>
      <c r="Z1196" s="226">
        <f>IF(Y1196&lt;&gt;"ГОТОВО","", "Предварительное заключение: "&amp;A1196&amp;", скв. "&amp;B1196&amp;". МРП: "&amp;E1196&amp;" сут. ГНО: "&amp;F1196&amp;", типоразмер "&amp;G1196&amp;", марка "&amp;H1196&amp;". Событие: "&amp;I1196&amp;". Признак: "&amp;J1196&amp;". Узел: "&amp;K1196&amp;". Предварительная причина: "&amp;L1196&amp;". Основное осложнение: "&amp;M1196&amp;IF(N1196&lt;&gt;"","; сопутствующее: "&amp;N1196,"")&amp;IF(O1196&lt;&gt;"","; дополнительно: "&amp;O1196,"")&amp;".")</f>
        <v/>
      </c>
    </row>
    <row r="1197">
      <c r="A1197" s="75" t="n"/>
      <c r="B1197" s="75" t="n"/>
      <c r="C1197" s="261" t="n"/>
      <c r="D1197" s="261" t="n"/>
      <c r="E1197" s="262">
        <f>IF(OR(C1197="",D1197=""),"",D1197-C1197)</f>
        <v/>
      </c>
      <c r="F1197" s="75" t="n"/>
      <c r="G1197" s="75" t="n"/>
      <c r="H1197" s="75" t="n"/>
      <c r="I1197" s="75" t="n"/>
      <c r="J1197" s="75" t="n"/>
      <c r="K1197" s="75" t="n"/>
      <c r="L1197" s="75" t="n"/>
      <c r="M1197" s="75" t="n"/>
      <c r="N1197" s="75" t="n"/>
      <c r="O1197" s="75" t="n"/>
      <c r="P1197" s="75" t="n"/>
      <c r="Q1197" s="75" t="n"/>
      <c r="R1197" s="75" t="n"/>
      <c r="S1197" s="75" t="n"/>
      <c r="T1197" s="75" t="n"/>
      <c r="U1197" s="75" t="n"/>
      <c r="V1197" s="75" t="n"/>
      <c r="W1197" s="75" t="n"/>
      <c r="X1197" s="75" t="n"/>
      <c r="Y1197" s="226">
        <f>IF(AND(A1197="",B1197=""),"",IF(AND(A1197&lt;&gt;"",B1197&lt;&gt;"",C1197&lt;&gt;"",D1197&lt;&gt;"",F1197&lt;&gt;"",G1197&lt;&gt;"",H1197&lt;&gt;"",ISERROR(SEARCH("по паспорту",G1197)),ISERROR(SEARCH("по паспорту",H1197)),I1197&lt;&gt;"",J1197&lt;&gt;"",K1197&lt;&gt;"",L1197&lt;&gt;"",M1197&lt;&gt;""),"ГОТОВО","НЕ ГОТОВО"))</f>
        <v/>
      </c>
      <c r="Z1197" s="226">
        <f>IF(Y1197&lt;&gt;"ГОТОВО","", "Предварительное заключение: "&amp;A1197&amp;", скв. "&amp;B1197&amp;". МРП: "&amp;E1197&amp;" сут. ГНО: "&amp;F1197&amp;", типоразмер "&amp;G1197&amp;", марка "&amp;H1197&amp;". Событие: "&amp;I1197&amp;". Признак: "&amp;J1197&amp;". Узел: "&amp;K1197&amp;". Предварительная причина: "&amp;L1197&amp;". Основное осложнение: "&amp;M1197&amp;IF(N1197&lt;&gt;"","; сопутствующее: "&amp;N1197,"")&amp;IF(O1197&lt;&gt;"","; дополнительно: "&amp;O1197,"")&amp;".")</f>
        <v/>
      </c>
    </row>
    <row r="1198">
      <c r="A1198" s="75" t="n"/>
      <c r="B1198" s="75" t="n"/>
      <c r="C1198" s="261" t="n"/>
      <c r="D1198" s="261" t="n"/>
      <c r="E1198" s="262">
        <f>IF(OR(C1198="",D1198=""),"",D1198-C1198)</f>
        <v/>
      </c>
      <c r="F1198" s="75" t="n"/>
      <c r="G1198" s="75" t="n"/>
      <c r="H1198" s="75" t="n"/>
      <c r="I1198" s="75" t="n"/>
      <c r="J1198" s="75" t="n"/>
      <c r="K1198" s="75" t="n"/>
      <c r="L1198" s="75" t="n"/>
      <c r="M1198" s="75" t="n"/>
      <c r="N1198" s="75" t="n"/>
      <c r="O1198" s="75" t="n"/>
      <c r="P1198" s="75" t="n"/>
      <c r="Q1198" s="75" t="n"/>
      <c r="R1198" s="75" t="n"/>
      <c r="S1198" s="75" t="n"/>
      <c r="T1198" s="75" t="n"/>
      <c r="U1198" s="75" t="n"/>
      <c r="V1198" s="75" t="n"/>
      <c r="W1198" s="75" t="n"/>
      <c r="X1198" s="75" t="n"/>
      <c r="Y1198" s="226">
        <f>IF(AND(A1198="",B1198=""),"",IF(AND(A1198&lt;&gt;"",B1198&lt;&gt;"",C1198&lt;&gt;"",D1198&lt;&gt;"",F1198&lt;&gt;"",G1198&lt;&gt;"",H1198&lt;&gt;"",ISERROR(SEARCH("по паспорту",G1198)),ISERROR(SEARCH("по паспорту",H1198)),I1198&lt;&gt;"",J1198&lt;&gt;"",K1198&lt;&gt;"",L1198&lt;&gt;"",M1198&lt;&gt;""),"ГОТОВО","НЕ ГОТОВО"))</f>
        <v/>
      </c>
      <c r="Z1198" s="226">
        <f>IF(Y1198&lt;&gt;"ГОТОВО","", "Предварительное заключение: "&amp;A1198&amp;", скв. "&amp;B1198&amp;". МРП: "&amp;E1198&amp;" сут. ГНО: "&amp;F1198&amp;", типоразмер "&amp;G1198&amp;", марка "&amp;H1198&amp;". Событие: "&amp;I1198&amp;". Признак: "&amp;J1198&amp;". Узел: "&amp;K1198&amp;". Предварительная причина: "&amp;L1198&amp;". Основное осложнение: "&amp;M1198&amp;IF(N1198&lt;&gt;"","; сопутствующее: "&amp;N1198,"")&amp;IF(O1198&lt;&gt;"","; дополнительно: "&amp;O1198,"")&amp;".")</f>
        <v/>
      </c>
    </row>
    <row r="1199">
      <c r="A1199" s="75" t="n"/>
      <c r="B1199" s="75" t="n"/>
      <c r="C1199" s="261" t="n"/>
      <c r="D1199" s="261" t="n"/>
      <c r="E1199" s="262">
        <f>IF(OR(C1199="",D1199=""),"",D1199-C1199)</f>
        <v/>
      </c>
      <c r="F1199" s="75" t="n"/>
      <c r="G1199" s="75" t="n"/>
      <c r="H1199" s="75" t="n"/>
      <c r="I1199" s="75" t="n"/>
      <c r="J1199" s="75" t="n"/>
      <c r="K1199" s="75" t="n"/>
      <c r="L1199" s="75" t="n"/>
      <c r="M1199" s="75" t="n"/>
      <c r="N1199" s="75" t="n"/>
      <c r="O1199" s="75" t="n"/>
      <c r="P1199" s="75" t="n"/>
      <c r="Q1199" s="75" t="n"/>
      <c r="R1199" s="75" t="n"/>
      <c r="S1199" s="75" t="n"/>
      <c r="T1199" s="75" t="n"/>
      <c r="U1199" s="75" t="n"/>
      <c r="V1199" s="75" t="n"/>
      <c r="W1199" s="75" t="n"/>
      <c r="X1199" s="75" t="n"/>
      <c r="Y1199" s="226">
        <f>IF(AND(A1199="",B1199=""),"",IF(AND(A1199&lt;&gt;"",B1199&lt;&gt;"",C1199&lt;&gt;"",D1199&lt;&gt;"",F1199&lt;&gt;"",G1199&lt;&gt;"",H1199&lt;&gt;"",ISERROR(SEARCH("по паспорту",G1199)),ISERROR(SEARCH("по паспорту",H1199)),I1199&lt;&gt;"",J1199&lt;&gt;"",K1199&lt;&gt;"",L1199&lt;&gt;"",M1199&lt;&gt;""),"ГОТОВО","НЕ ГОТОВО"))</f>
        <v/>
      </c>
      <c r="Z1199" s="226">
        <f>IF(Y1199&lt;&gt;"ГОТОВО","", "Предварительное заключение: "&amp;A1199&amp;", скв. "&amp;B1199&amp;". МРП: "&amp;E1199&amp;" сут. ГНО: "&amp;F1199&amp;", типоразмер "&amp;G1199&amp;", марка "&amp;H1199&amp;". Событие: "&amp;I1199&amp;". Признак: "&amp;J1199&amp;". Узел: "&amp;K1199&amp;". Предварительная причина: "&amp;L1199&amp;". Основное осложнение: "&amp;M1199&amp;IF(N1199&lt;&gt;"","; сопутствующее: "&amp;N1199,"")&amp;IF(O1199&lt;&gt;"","; дополнительно: "&amp;O1199,"")&amp;".")</f>
        <v/>
      </c>
    </row>
    <row r="1200">
      <c r="A1200" s="75" t="n"/>
      <c r="B1200" s="75" t="n"/>
      <c r="C1200" s="261" t="n"/>
      <c r="D1200" s="261" t="n"/>
      <c r="E1200" s="262">
        <f>IF(OR(C1200="",D1200=""),"",D1200-C1200)</f>
        <v/>
      </c>
      <c r="F1200" s="75" t="n"/>
      <c r="G1200" s="75" t="n"/>
      <c r="H1200" s="75" t="n"/>
      <c r="I1200" s="75" t="n"/>
      <c r="J1200" s="75" t="n"/>
      <c r="K1200" s="75" t="n"/>
      <c r="L1200" s="75" t="n"/>
      <c r="M1200" s="75" t="n"/>
      <c r="N1200" s="75" t="n"/>
      <c r="O1200" s="75" t="n"/>
      <c r="P1200" s="75" t="n"/>
      <c r="Q1200" s="75" t="n"/>
      <c r="R1200" s="75" t="n"/>
      <c r="S1200" s="75" t="n"/>
      <c r="T1200" s="75" t="n"/>
      <c r="U1200" s="75" t="n"/>
      <c r="V1200" s="75" t="n"/>
      <c r="W1200" s="75" t="n"/>
      <c r="X1200" s="75" t="n"/>
      <c r="Y1200" s="226">
        <f>IF(AND(A1200="",B1200=""),"",IF(AND(A1200&lt;&gt;"",B1200&lt;&gt;"",C1200&lt;&gt;"",D1200&lt;&gt;"",F1200&lt;&gt;"",G1200&lt;&gt;"",H1200&lt;&gt;"",ISERROR(SEARCH("по паспорту",G1200)),ISERROR(SEARCH("по паспорту",H1200)),I1200&lt;&gt;"",J1200&lt;&gt;"",K1200&lt;&gt;"",L1200&lt;&gt;"",M1200&lt;&gt;""),"ГОТОВО","НЕ ГОТОВО"))</f>
        <v/>
      </c>
      <c r="Z1200" s="226">
        <f>IF(Y1200&lt;&gt;"ГОТОВО","", "Предварительное заключение: "&amp;A1200&amp;", скв. "&amp;B1200&amp;". МРП: "&amp;E1200&amp;" сут. ГНО: "&amp;F1200&amp;", типоразмер "&amp;G1200&amp;", марка "&amp;H1200&amp;". Событие: "&amp;I1200&amp;". Признак: "&amp;J1200&amp;". Узел: "&amp;K1200&amp;". Предварительная причина: "&amp;L1200&amp;". Основное осложнение: "&amp;M1200&amp;IF(N1200&lt;&gt;"","; сопутствующее: "&amp;N1200,"")&amp;IF(O1200&lt;&gt;"","; дополнительно: "&amp;O1200,"")&amp;".")</f>
        <v/>
      </c>
    </row>
    <row r="1201">
      <c r="A1201" s="75" t="n"/>
      <c r="B1201" s="75" t="n"/>
      <c r="C1201" s="261" t="n"/>
      <c r="D1201" s="261" t="n"/>
      <c r="E1201" s="262">
        <f>IF(OR(C1201="",D1201=""),"",D1201-C1201)</f>
        <v/>
      </c>
      <c r="F1201" s="75" t="n"/>
      <c r="G1201" s="75" t="n"/>
      <c r="H1201" s="75" t="n"/>
      <c r="I1201" s="75" t="n"/>
      <c r="J1201" s="75" t="n"/>
      <c r="K1201" s="75" t="n"/>
      <c r="L1201" s="75" t="n"/>
      <c r="M1201" s="75" t="n"/>
      <c r="N1201" s="75" t="n"/>
      <c r="O1201" s="75" t="n"/>
      <c r="P1201" s="75" t="n"/>
      <c r="Q1201" s="75" t="n"/>
      <c r="R1201" s="75" t="n"/>
      <c r="S1201" s="75" t="n"/>
      <c r="T1201" s="75" t="n"/>
      <c r="U1201" s="75" t="n"/>
      <c r="V1201" s="75" t="n"/>
      <c r="W1201" s="75" t="n"/>
      <c r="X1201" s="75" t="n"/>
      <c r="Y1201" s="226">
        <f>IF(AND(A1201="",B1201=""),"",IF(AND(A1201&lt;&gt;"",B1201&lt;&gt;"",C1201&lt;&gt;"",D1201&lt;&gt;"",F1201&lt;&gt;"",G1201&lt;&gt;"",H1201&lt;&gt;"",ISERROR(SEARCH("по паспорту",G1201)),ISERROR(SEARCH("по паспорту",H1201)),I1201&lt;&gt;"",J1201&lt;&gt;"",K1201&lt;&gt;"",L1201&lt;&gt;"",M1201&lt;&gt;""),"ГОТОВО","НЕ ГОТОВО"))</f>
        <v/>
      </c>
      <c r="Z1201" s="226">
        <f>IF(Y1201&lt;&gt;"ГОТОВО","", "Предварительное заключение: "&amp;A1201&amp;", скв. "&amp;B1201&amp;". МРП: "&amp;E1201&amp;" сут. ГНО: "&amp;F1201&amp;", типоразмер "&amp;G1201&amp;", марка "&amp;H1201&amp;". Событие: "&amp;I1201&amp;". Признак: "&amp;J1201&amp;". Узел: "&amp;K1201&amp;". Предварительная причина: "&amp;L1201&amp;". Основное осложнение: "&amp;M1201&amp;IF(N1201&lt;&gt;"","; сопутствующее: "&amp;N1201,"")&amp;IF(O1201&lt;&gt;"","; дополнительно: "&amp;O1201,"")&amp;".")</f>
        <v/>
      </c>
    </row>
    <row r="1202">
      <c r="A1202" s="75" t="n"/>
      <c r="B1202" s="75" t="n"/>
      <c r="C1202" s="261" t="n"/>
      <c r="D1202" s="261" t="n"/>
      <c r="E1202" s="262">
        <f>IF(OR(C1202="",D1202=""),"",D1202-C1202)</f>
        <v/>
      </c>
      <c r="F1202" s="75" t="n"/>
      <c r="G1202" s="75" t="n"/>
      <c r="H1202" s="75" t="n"/>
      <c r="I1202" s="75" t="n"/>
      <c r="J1202" s="75" t="n"/>
      <c r="K1202" s="75" t="n"/>
      <c r="L1202" s="75" t="n"/>
      <c r="M1202" s="75" t="n"/>
      <c r="N1202" s="75" t="n"/>
      <c r="O1202" s="75" t="n"/>
      <c r="P1202" s="75" t="n"/>
      <c r="Q1202" s="75" t="n"/>
      <c r="R1202" s="75" t="n"/>
      <c r="S1202" s="75" t="n"/>
      <c r="T1202" s="75" t="n"/>
      <c r="U1202" s="75" t="n"/>
      <c r="V1202" s="75" t="n"/>
      <c r="W1202" s="75" t="n"/>
      <c r="X1202" s="75" t="n"/>
      <c r="Y1202" s="226">
        <f>IF(AND(A1202="",B1202=""),"",IF(AND(A1202&lt;&gt;"",B1202&lt;&gt;"",C1202&lt;&gt;"",D1202&lt;&gt;"",F1202&lt;&gt;"",G1202&lt;&gt;"",H1202&lt;&gt;"",ISERROR(SEARCH("по паспорту",G1202)),ISERROR(SEARCH("по паспорту",H1202)),I1202&lt;&gt;"",J1202&lt;&gt;"",K1202&lt;&gt;"",L1202&lt;&gt;"",M1202&lt;&gt;""),"ГОТОВО","НЕ ГОТОВО"))</f>
        <v/>
      </c>
      <c r="Z1202" s="226">
        <f>IF(Y1202&lt;&gt;"ГОТОВО","", "Предварительное заключение: "&amp;A1202&amp;", скв. "&amp;B1202&amp;". МРП: "&amp;E1202&amp;" сут. ГНО: "&amp;F1202&amp;", типоразмер "&amp;G1202&amp;", марка "&amp;H1202&amp;". Событие: "&amp;I1202&amp;". Признак: "&amp;J1202&amp;". Узел: "&amp;K1202&amp;". Предварительная причина: "&amp;L1202&amp;". Основное осложнение: "&amp;M1202&amp;IF(N1202&lt;&gt;"","; сопутствующее: "&amp;N1202,"")&amp;IF(O1202&lt;&gt;"","; дополнительно: "&amp;O1202,"")&amp;".")</f>
        <v/>
      </c>
    </row>
    <row r="1203">
      <c r="A1203" s="75" t="n"/>
      <c r="B1203" s="75" t="n"/>
      <c r="C1203" s="261" t="n"/>
      <c r="D1203" s="261" t="n"/>
      <c r="E1203" s="262">
        <f>IF(OR(C1203="",D1203=""),"",D1203-C1203)</f>
        <v/>
      </c>
      <c r="F1203" s="75" t="n"/>
      <c r="G1203" s="75" t="n"/>
      <c r="H1203" s="75" t="n"/>
      <c r="I1203" s="75" t="n"/>
      <c r="J1203" s="75" t="n"/>
      <c r="K1203" s="75" t="n"/>
      <c r="L1203" s="75" t="n"/>
      <c r="M1203" s="75" t="n"/>
      <c r="N1203" s="75" t="n"/>
      <c r="O1203" s="75" t="n"/>
      <c r="P1203" s="75" t="n"/>
      <c r="Q1203" s="75" t="n"/>
      <c r="R1203" s="75" t="n"/>
      <c r="S1203" s="75" t="n"/>
      <c r="T1203" s="75" t="n"/>
      <c r="U1203" s="75" t="n"/>
      <c r="V1203" s="75" t="n"/>
      <c r="W1203" s="75" t="n"/>
      <c r="X1203" s="75" t="n"/>
      <c r="Y1203" s="226">
        <f>IF(AND(A1203="",B1203=""),"",IF(AND(A1203&lt;&gt;"",B1203&lt;&gt;"",C1203&lt;&gt;"",D1203&lt;&gt;"",F1203&lt;&gt;"",G1203&lt;&gt;"",H1203&lt;&gt;"",ISERROR(SEARCH("по паспорту",G1203)),ISERROR(SEARCH("по паспорту",H1203)),I1203&lt;&gt;"",J1203&lt;&gt;"",K1203&lt;&gt;"",L1203&lt;&gt;"",M1203&lt;&gt;""),"ГОТОВО","НЕ ГОТОВО"))</f>
        <v/>
      </c>
      <c r="Z1203" s="226">
        <f>IF(Y1203&lt;&gt;"ГОТОВО","", "Предварительное заключение: "&amp;A1203&amp;", скв. "&amp;B1203&amp;". МРП: "&amp;E1203&amp;" сут. ГНО: "&amp;F1203&amp;", типоразмер "&amp;G1203&amp;", марка "&amp;H1203&amp;". Событие: "&amp;I1203&amp;". Признак: "&amp;J1203&amp;". Узел: "&amp;K1203&amp;". Предварительная причина: "&amp;L1203&amp;". Основное осложнение: "&amp;M1203&amp;IF(N1203&lt;&gt;"","; сопутствующее: "&amp;N1203,"")&amp;IF(O1203&lt;&gt;"","; дополнительно: "&amp;O1203,"")&amp;".")</f>
        <v/>
      </c>
    </row>
    <row r="1204">
      <c r="A1204" s="75" t="n"/>
      <c r="B1204" s="75" t="n"/>
      <c r="C1204" s="261" t="n"/>
      <c r="D1204" s="261" t="n"/>
      <c r="E1204" s="262">
        <f>IF(OR(C1204="",D1204=""),"",D1204-C1204)</f>
        <v/>
      </c>
      <c r="F1204" s="75" t="n"/>
      <c r="G1204" s="75" t="n"/>
      <c r="H1204" s="75" t="n"/>
      <c r="I1204" s="75" t="n"/>
      <c r="J1204" s="75" t="n"/>
      <c r="K1204" s="75" t="n"/>
      <c r="L1204" s="75" t="n"/>
      <c r="M1204" s="75" t="n"/>
      <c r="N1204" s="75" t="n"/>
      <c r="O1204" s="75" t="n"/>
      <c r="P1204" s="75" t="n"/>
      <c r="Q1204" s="75" t="n"/>
      <c r="R1204" s="75" t="n"/>
      <c r="S1204" s="75" t="n"/>
      <c r="T1204" s="75" t="n"/>
      <c r="U1204" s="75" t="n"/>
      <c r="V1204" s="75" t="n"/>
      <c r="W1204" s="75" t="n"/>
      <c r="X1204" s="75" t="n"/>
      <c r="Y1204" s="226">
        <f>IF(AND(A1204="",B1204=""),"",IF(AND(A1204&lt;&gt;"",B1204&lt;&gt;"",C1204&lt;&gt;"",D1204&lt;&gt;"",F1204&lt;&gt;"",G1204&lt;&gt;"",H1204&lt;&gt;"",ISERROR(SEARCH("по паспорту",G1204)),ISERROR(SEARCH("по паспорту",H1204)),I1204&lt;&gt;"",J1204&lt;&gt;"",K1204&lt;&gt;"",L1204&lt;&gt;"",M1204&lt;&gt;""),"ГОТОВО","НЕ ГОТОВО"))</f>
        <v/>
      </c>
      <c r="Z1204" s="226">
        <f>IF(Y1204&lt;&gt;"ГОТОВО","", "Предварительное заключение: "&amp;A1204&amp;", скв. "&amp;B1204&amp;". МРП: "&amp;E1204&amp;" сут. ГНО: "&amp;F1204&amp;", типоразмер "&amp;G1204&amp;", марка "&amp;H1204&amp;". Событие: "&amp;I1204&amp;". Признак: "&amp;J1204&amp;". Узел: "&amp;K1204&amp;". Предварительная причина: "&amp;L1204&amp;". Основное осложнение: "&amp;M1204&amp;IF(N1204&lt;&gt;"","; сопутствующее: "&amp;N1204,"")&amp;IF(O1204&lt;&gt;"","; дополнительно: "&amp;O1204,"")&amp;".")</f>
        <v/>
      </c>
    </row>
  </sheetData>
  <mergeCells count="7">
    <mergeCell ref="P3:W3"/>
    <mergeCell ref="A1:Z1"/>
    <mergeCell ref="C3:I3"/>
    <mergeCell ref="Y3:Z3"/>
    <mergeCell ref="A2:Z2"/>
    <mergeCell ref="A3:B3"/>
    <mergeCell ref="J3:O3"/>
  </mergeCells>
  <conditionalFormatting sqref="Y5:Y1204">
    <cfRule type="expression" priority="1" dxfId="2">
      <formula>Y5="ГОТОВО"</formula>
    </cfRule>
    <cfRule type="expression" priority="2" dxfId="3">
      <formula>Y5="НЕ ГОТОВО"</formula>
    </cfRule>
  </conditionalFormatting>
  <dataValidations count="18">
    <dataValidation sqref="F5:F1204" showDropDown="0" showInputMessage="0" showErrorMessage="0" allowBlank="1" type="list">
      <formula1>pump</formula1>
    </dataValidation>
    <dataValidation sqref="I5:I1204" showDropDown="0" showInputMessage="0" showErrorMessage="0" allowBlank="1" type="list">
      <formula1>event</formula1>
    </dataValidation>
    <dataValidation sqref="M5:M1204" showDropDown="0" showInputMessage="0" showErrorMessage="0" allowBlank="1" type="list">
      <formula1>comp</formula1>
    </dataValidation>
    <dataValidation sqref="N5:N1204" showDropDown="0" showInputMessage="0" showErrorMessage="0" allowBlank="1" type="list">
      <formula1>comp</formula1>
    </dataValidation>
    <dataValidation sqref="O5:O1204" showDropDown="0" showInputMessage="0" showErrorMessage="0" allowBlank="1" type="list">
      <formula1>comp</formula1>
    </dataValidation>
    <dataValidation sqref="G5:G1204" showDropDown="0" showInputMessage="0" showErrorMessage="0" allowBlank="1" type="list">
      <formula1>INDIRECT(IF($F5="ШГН","size_shgn",IF($F5="ЭЦН","size_esp",IF($F5="ЭВН","size_evn",IF($F5="ШВН","size_shvn",IF($F5="НПУ-ВД","size_npu","size_all"))))))</formula1>
    </dataValidation>
    <dataValidation sqref="H5:H1204" showDropDown="0" showInputMessage="0" showErrorMessage="0" allowBlank="1" type="list">
      <formula1>INDIRECT(IF($F5="ШГН","brand_shgn",IF($F5="ЭЦН","brand_esp",IF($F5="ЭВН","brand_evn",IF($F5="ШВН","brand_shvn",IF($F5="НПУ-ВД","brand_npu","brand_all"))))))</formula1>
    </dataValidation>
    <dataValidation sqref="J5:J1204" showDropDown="0" showInputMessage="0" showErrorMessage="0" allowBlank="1" type="list">
      <formula1>INDIRECT(IF($F5="ШГН","sign_shgn",IF($F5="ЭЦН","sign_esp",IF($F5="ЭВН","sign_evn",IF($F5="ШВН","sign_shvn",IF($F5="НПУ-ВД","sign_npu","sign_all"))))))</formula1>
    </dataValidation>
    <dataValidation sqref="K5:K1204" showDropDown="0" showInputMessage="0" showErrorMessage="0" allowBlank="1" type="list">
      <formula1>INDIRECT(IF($F5="ШГН","node_shgn",IF($F5="ЭЦН","node_esp",IF($F5="ЭВН","node_evn",IF($F5="ШВН","node_shvn",IF($F5="НПУ-ВД","node_npu","node_all"))))))</formula1>
    </dataValidation>
    <dataValidation sqref="L5:L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P5:P1204" showDropDown="0" showInputMessage="0" showErrorMessage="0" allowBlank="1" type="list">
      <formula1>repair</formula1>
    </dataValidation>
    <dataValidation sqref="Q5:Q1204" showDropDown="0" showInputMessage="0" showErrorMessage="0" allowBlank="1" type="list">
      <formula1>repair</formula1>
    </dataValidation>
    <dataValidation sqref="R5:R1204" showDropDown="0" showInputMessage="0" showErrorMessage="0" allowBlank="1" type="list">
      <formula1>INDIRECT(IF($F5="ШГН","damage_shgn",IF($F5="ЭЦН","damage_esp",IF($F5="ЭВН","damage_evn",IF($F5="ШВН","damage_shvn",IF($F5="НПУ-ВД","damage_npu","damage_all"))))))</formula1>
    </dataValidation>
    <dataValidation sqref="S5:S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T5:T1204" showDropDown="0" showInputMessage="0" showErrorMessage="0" allowBlank="1" type="list">
      <formula1>comp</formula1>
    </dataValidation>
    <dataValidation sqref="U5:U1204" showDropDown="0" showInputMessage="0" showErrorMessage="0" allowBlank="1" type="list">
      <formula1>proof</formula1>
    </dataValidation>
    <dataValidation sqref="V5:V1204" showDropDown="0" showInputMessage="0" showErrorMessage="0" allowBlank="1" type="list">
      <formula1>status</formula1>
    </dataValidation>
    <dataValidation sqref="W5:W1204" showDropDown="0" showInputMessage="0" showErrorMessage="0" allowBlank="1" type="list">
      <formula1>confidence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204"/>
  <sheetViews>
    <sheetView workbookViewId="0">
      <selection activeCell="A1" sqref="A1"/>
    </sheetView>
  </sheetViews>
  <sheetFormatPr baseColWidth="8" defaultRowHeight="15"/>
  <cols>
    <col width="21" customWidth="1" style="210" min="1" max="1"/>
    <col width="13" customWidth="1" style="210" min="2" max="2"/>
    <col width="14" customWidth="1" style="210" min="3" max="3"/>
    <col width="17" customWidth="1" style="210" min="4" max="4"/>
    <col width="11" customWidth="1" style="210" min="5" max="5"/>
    <col width="20" customWidth="1" style="210" min="6" max="6"/>
    <col width="16" customWidth="1" style="210" min="7" max="7"/>
    <col width="45" customWidth="1" style="210" min="8" max="8"/>
    <col width="21" customWidth="1" style="210" min="9" max="9"/>
    <col width="42" customWidth="1" style="210" min="10" max="10"/>
    <col width="29" customWidth="1" style="210" min="11" max="11"/>
    <col width="56" customWidth="1" style="210" min="12" max="12"/>
    <col width="28" customWidth="1" style="210" min="13" max="13"/>
    <col width="28" customWidth="1" style="210" min="14" max="14"/>
    <col width="28" customWidth="1" style="210" min="15" max="15"/>
    <col width="18" customWidth="1" style="210" min="16" max="16"/>
    <col width="68" customWidth="1" style="210" min="17" max="17"/>
    <col width="50" customWidth="1" style="210" min="18" max="18"/>
    <col width="50" customWidth="1" style="210" min="19" max="19"/>
    <col width="27" customWidth="1" style="210" min="20" max="20"/>
    <col width="56" customWidth="1" style="210" min="21" max="21"/>
    <col width="28" customWidth="1" style="210" min="22" max="22"/>
    <col width="62" customWidth="1" style="210" min="23" max="23"/>
    <col width="62" customWidth="1" style="210" min="24" max="24"/>
    <col width="62" customWidth="1" style="210" min="25" max="25"/>
    <col width="62" customWidth="1" style="210" min="26" max="26"/>
    <col width="25" customWidth="1" style="210" min="27" max="27"/>
    <col width="25" customWidth="1" style="210" min="28" max="28"/>
    <col width="16" customWidth="1" style="210" min="29" max="29"/>
    <col width="52" customWidth="1" style="210" min="30" max="30"/>
    <col width="38" customWidth="1" style="210" min="31" max="31"/>
    <col width="17" customWidth="1" style="210" min="32" max="32"/>
    <col width="74" customWidth="1" style="210" min="33" max="33"/>
    <col width="48" customWidth="1" style="210" min="34" max="34"/>
    <col width="22" customWidth="1" style="210" min="35" max="35"/>
    <col width="24" customWidth="1" style="210" min="36" max="36"/>
    <col width="14" customWidth="1" style="210" min="37" max="37"/>
    <col width="12" customWidth="1" style="210" min="38" max="38"/>
    <col width="12" customWidth="1" style="210" min="39" max="39"/>
    <col width="10" customWidth="1" style="210" min="40" max="40"/>
    <col width="18" customWidth="1" style="210" min="41" max="41"/>
    <col width="25" customWidth="1" style="210" min="42" max="42"/>
    <col width="30" customWidth="1" style="210" min="43" max="43"/>
    <col width="12" customWidth="1" style="210" min="44" max="44"/>
    <col width="18" customWidth="1" style="210" min="45" max="45"/>
    <col width="30" customWidth="1" style="210" min="46" max="46"/>
    <col width="12" customWidth="1" style="210" min="47" max="47"/>
    <col width="18" customWidth="1" style="210" min="48" max="48"/>
    <col width="30" customWidth="1" style="210" min="49" max="49"/>
    <col width="12" customWidth="1" style="210" min="50" max="50"/>
    <col width="18" customWidth="1" style="210" min="51" max="51"/>
    <col width="25" customWidth="1" style="210" min="52" max="52"/>
    <col width="28" customWidth="1" style="210" min="53" max="53"/>
    <col width="12" customWidth="1" style="210" min="54" max="54"/>
    <col width="18" customWidth="1" style="210" min="55" max="55"/>
    <col width="24" customWidth="1" style="210" min="56" max="56"/>
    <col width="28" customWidth="1" style="210" min="57" max="57"/>
    <col width="12" customWidth="1" style="210" min="58" max="58"/>
  </cols>
  <sheetData>
    <row r="1" ht="28" customHeight="1" s="210">
      <c r="A1" s="254" t="inlineStr">
        <is>
          <t>РОСА — ПОДРОБНЫЙ НАКОПИТЕЛЬ ИСТОРИИ ОТКАЗОВ</t>
        </is>
      </c>
      <c r="B1" s="255" t="n"/>
      <c r="C1" s="255" t="n"/>
      <c r="D1" s="255" t="n"/>
      <c r="E1" s="255" t="n"/>
      <c r="F1" s="255" t="n"/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  <c r="AA1" s="255" t="n"/>
      <c r="AB1" s="255" t="n"/>
      <c r="AC1" s="255" t="n"/>
      <c r="AD1" s="255" t="n"/>
      <c r="AE1" s="255" t="n"/>
      <c r="AF1" s="255" t="n"/>
      <c r="AG1" s="255" t="n"/>
      <c r="AH1" s="255" t="n"/>
      <c r="AI1" s="255" t="n"/>
      <c r="AJ1" s="255" t="n"/>
      <c r="AK1" s="255" t="n"/>
      <c r="AL1" s="255" t="n"/>
      <c r="AM1" s="255" t="n"/>
      <c r="AN1" s="255" t="n"/>
      <c r="AO1" s="255" t="n"/>
      <c r="AP1" s="255" t="n"/>
      <c r="AQ1" s="255" t="n"/>
      <c r="AR1" s="255" t="n"/>
      <c r="AS1" s="255" t="n"/>
      <c r="AT1" s="255" t="n"/>
      <c r="AU1" s="255" t="n"/>
      <c r="AV1" s="255" t="n"/>
      <c r="AW1" s="255" t="n"/>
      <c r="AX1" s="255" t="n"/>
      <c r="AY1" s="255" t="n"/>
      <c r="AZ1" s="255" t="n"/>
      <c r="BA1" s="255" t="n"/>
      <c r="BB1" s="255" t="n"/>
      <c r="BC1" s="255" t="n"/>
      <c r="BD1" s="255" t="n"/>
      <c r="BE1" s="255" t="n"/>
      <c r="BF1" s="256" t="n"/>
    </row>
    <row r="2" ht="42" customHeight="1" s="210">
      <c r="A2" s="257" t="inlineStr">
        <is>
          <t>Общие сведения автоматически дублируются с листа «Оперативный ввод». Подробную комплектацию оборудования, методы и результаты расследования дополняйте здесь.</t>
        </is>
      </c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8" t="n"/>
      <c r="M2" s="258" t="n"/>
      <c r="N2" s="258" t="n"/>
      <c r="O2" s="258" t="n"/>
      <c r="P2" s="258" t="n"/>
      <c r="Q2" s="258" t="n"/>
      <c r="R2" s="258" t="n"/>
      <c r="S2" s="258" t="n"/>
      <c r="T2" s="258" t="n"/>
      <c r="U2" s="258" t="n"/>
      <c r="V2" s="258" t="n"/>
      <c r="W2" s="258" t="n"/>
      <c r="X2" s="258" t="n"/>
      <c r="Y2" s="258" t="n"/>
      <c r="Z2" s="258" t="n"/>
      <c r="AA2" s="258" t="n"/>
      <c r="AB2" s="258" t="n"/>
      <c r="AC2" s="258" t="n"/>
      <c r="AD2" s="258" t="n"/>
      <c r="AE2" s="258" t="n"/>
      <c r="AF2" s="258" t="n"/>
      <c r="AG2" s="258" t="n"/>
      <c r="AH2" s="258" t="n"/>
      <c r="AI2" s="258" t="n"/>
      <c r="AJ2" s="258" t="n"/>
      <c r="AK2" s="258" t="n"/>
      <c r="AL2" s="258" t="n"/>
      <c r="AM2" s="258" t="n"/>
      <c r="AN2" s="258" t="n"/>
      <c r="AO2" s="258" t="n"/>
      <c r="AP2" s="258" t="n"/>
      <c r="AQ2" s="258" t="n"/>
      <c r="AR2" s="258" t="n"/>
      <c r="AS2" s="258" t="n"/>
      <c r="AT2" s="258" t="n"/>
      <c r="AU2" s="258" t="n"/>
      <c r="AV2" s="258" t="n"/>
      <c r="AW2" s="258" t="n"/>
      <c r="AX2" s="258" t="n"/>
      <c r="AY2" s="258" t="n"/>
      <c r="AZ2" s="258" t="n"/>
      <c r="BA2" s="258" t="n"/>
      <c r="BB2" s="258" t="n"/>
      <c r="BC2" s="258" t="n"/>
      <c r="BD2" s="258" t="n"/>
      <c r="BE2" s="258" t="n"/>
      <c r="BF2" s="259" t="n"/>
    </row>
    <row r="3" ht="28" customHeight="1" s="210">
      <c r="A3" s="139" t="inlineStr">
        <is>
          <t>ОБЪЕКТ</t>
        </is>
      </c>
      <c r="B3" s="256" t="n"/>
      <c r="C3" s="139" t="inlineStr">
        <is>
          <t>ЦИКЛ И ГНО</t>
        </is>
      </c>
      <c r="D3" s="255" t="n"/>
      <c r="E3" s="255" t="n"/>
      <c r="F3" s="255" t="n"/>
      <c r="G3" s="255" t="n"/>
      <c r="H3" s="255" t="n"/>
      <c r="I3" s="256" t="n"/>
      <c r="J3" s="139" t="inlineStr">
        <is>
          <t>ПРЕДВАРИТЕЛЬНОЕ ЗАКЛЮЧЕНИЕ</t>
        </is>
      </c>
      <c r="K3" s="255" t="n"/>
      <c r="L3" s="255" t="n"/>
      <c r="M3" s="255" t="n"/>
      <c r="N3" s="255" t="n"/>
      <c r="O3" s="255" t="n"/>
      <c r="P3" s="255" t="n"/>
      <c r="Q3" s="256" t="n"/>
      <c r="R3" s="139" t="inlineStr">
        <is>
          <t>ПОЛНОЕ РАССЛЕДОВАНИЕ</t>
        </is>
      </c>
      <c r="AD3" s="263" t="inlineStr">
        <is>
          <t>НАСОС</t>
        </is>
      </c>
      <c r="AE3" s="1" t="n"/>
      <c r="AF3" s="264" t="inlineStr">
        <is>
          <t>НКТ</t>
        </is>
      </c>
      <c r="AG3" s="255" t="n"/>
      <c r="AH3" s="255" t="n"/>
      <c r="AI3" s="256" t="n"/>
      <c r="AJ3" s="263" t="inlineStr">
        <is>
          <t>ДВИГАТЕЛЬ</t>
        </is>
      </c>
      <c r="AK3" s="1" t="n"/>
      <c r="AL3" s="1" t="n"/>
      <c r="AM3" s="1" t="n"/>
      <c r="AN3" s="263" t="inlineStr">
        <is>
          <t>КАБЕЛЬ</t>
        </is>
      </c>
      <c r="AO3" s="1" t="n"/>
      <c r="AP3" s="1" t="n"/>
      <c r="AQ3" s="263" t="inlineStr">
        <is>
          <t>УДЛИНИТЕЛЬ</t>
        </is>
      </c>
      <c r="AR3" s="1" t="n"/>
      <c r="AS3" s="264" t="inlineStr">
        <is>
          <t>ГИДРОЗАЩИТА</t>
        </is>
      </c>
      <c r="AT3" s="255" t="n"/>
      <c r="AU3" s="255" t="n"/>
      <c r="AV3" s="256" t="n"/>
      <c r="AW3" s="263" t="inlineStr">
        <is>
          <t>ТМС</t>
        </is>
      </c>
      <c r="AX3" s="1" t="n"/>
      <c r="AY3" s="1" t="n"/>
      <c r="AZ3" s="1" t="n"/>
      <c r="BB3" s="265" t="inlineStr">
        <is>
          <t>ЗАКЛЮЧЕНИЕ КОМИССИИ</t>
        </is>
      </c>
      <c r="BC3" s="266" t="n"/>
      <c r="BD3" s="263" t="inlineStr">
        <is>
          <t>ИТОГ</t>
        </is>
      </c>
      <c r="BE3" s="1" t="n"/>
      <c r="BF3" s="267" t="inlineStr">
        <is>
          <t>КОММЕНТАРИЙ</t>
        </is>
      </c>
    </row>
    <row r="4" ht="28" customHeight="1" s="210">
      <c r="A4" s="160" t="inlineStr">
        <is>
          <t>Месторождение*</t>
        </is>
      </c>
      <c r="B4" s="161" t="inlineStr">
        <is>
          <t>№ скважины*</t>
        </is>
      </c>
      <c r="C4" s="161" t="inlineStr">
        <is>
          <t>Дата пуска*</t>
        </is>
      </c>
      <c r="D4" s="161" t="inlineStr">
        <is>
          <t>Дата отказа / окончания*</t>
        </is>
      </c>
      <c r="E4" s="49" t="inlineStr">
        <is>
          <t>МРП, сут. (авто)</t>
        </is>
      </c>
      <c r="F4" s="161" t="inlineStr">
        <is>
          <t>Способ эксплуатации*</t>
        </is>
      </c>
      <c r="G4" s="161" t="inlineStr">
        <is>
          <t>Типоразмер ГНО*</t>
        </is>
      </c>
      <c r="H4" s="161" t="inlineStr">
        <is>
          <t>Марка ГНО*</t>
        </is>
      </c>
      <c r="I4" s="161" t="inlineStr">
        <is>
          <t>Тип события*</t>
        </is>
      </c>
      <c r="J4" s="161" t="inlineStr">
        <is>
          <t>Признак / предпосылка*</t>
        </is>
      </c>
      <c r="K4" s="161" t="inlineStr">
        <is>
          <t>Отказавший узел*</t>
        </is>
      </c>
      <c r="L4" s="161" t="inlineStr">
        <is>
          <t>Предварительная причина*</t>
        </is>
      </c>
      <c r="M4" s="161" t="inlineStr">
        <is>
          <t>Основная категория осложнения*</t>
        </is>
      </c>
      <c r="N4" s="161" t="inlineStr">
        <is>
          <t>Сопутствующее осложнение 1</t>
        </is>
      </c>
      <c r="O4" s="161" t="inlineStr">
        <is>
          <t>Сопутствующее осложнение 2</t>
        </is>
      </c>
      <c r="P4" s="49" t="inlineStr">
        <is>
          <t>Статус предварительного (авто)</t>
        </is>
      </c>
      <c r="Q4" s="49" t="inlineStr">
        <is>
          <t>Предварительное заключение (авто)</t>
        </is>
      </c>
      <c r="R4" s="164" t="inlineStr">
        <is>
          <t>[ДОП] ТКРС 1</t>
        </is>
      </c>
      <c r="S4" s="164" t="inlineStr">
        <is>
          <t>[ДОП] ТКРС 2</t>
        </is>
      </c>
      <c r="T4" s="164" t="inlineStr">
        <is>
          <t>[ДОП] Вид повреждения</t>
        </is>
      </c>
      <c r="U4" s="164" t="inlineStr">
        <is>
          <t>[ДОП] Итоговая причина</t>
        </is>
      </c>
      <c r="V4" s="164" t="inlineStr">
        <is>
          <t>[ДОП] Уточнённая категория осложнения</t>
        </is>
      </c>
      <c r="W4" s="164" t="inlineStr">
        <is>
          <t>[ДОП] Метод до отказа 1</t>
        </is>
      </c>
      <c r="X4" s="164" t="inlineStr">
        <is>
          <t>[ДОП] Метод до отказа 2</t>
        </is>
      </c>
      <c r="Y4" s="164" t="inlineStr">
        <is>
          <t>[ДОП] Метод после отказа 1</t>
        </is>
      </c>
      <c r="Z4" s="164" t="inlineStr">
        <is>
          <t>[ДОП] Метод после отказа 2</t>
        </is>
      </c>
      <c r="AA4" s="164" t="inlineStr">
        <is>
          <t>[ДОП] Подтверждение</t>
        </is>
      </c>
      <c r="AB4" s="164" t="inlineStr">
        <is>
          <t>[ДОП] Статус расследования</t>
        </is>
      </c>
      <c r="AC4" s="164" t="inlineStr">
        <is>
          <t>[ДОП] Достоверность</t>
        </is>
      </c>
      <c r="AD4" s="251" t="inlineStr">
        <is>
          <t>Номинальная подача / размер (ШГН)</t>
        </is>
      </c>
      <c r="AE4" s="252" t="inlineStr">
        <is>
          <t>Производитель насоса</t>
        </is>
      </c>
      <c r="AF4" s="252" t="inlineStr">
        <is>
          <t>тип НКТ</t>
        </is>
      </c>
      <c r="AG4" s="252" t="inlineStr">
        <is>
          <t>длина НКТ</t>
        </is>
      </c>
      <c r="AH4" s="252" t="inlineStr">
        <is>
          <t>год НКТ</t>
        </is>
      </c>
      <c r="AI4" s="252" t="inlineStr">
        <is>
          <t>СПО</t>
        </is>
      </c>
      <c r="AJ4" s="252" t="inlineStr">
        <is>
          <t>состояние до спуска</t>
        </is>
      </c>
      <c r="AK4" s="252" t="inlineStr">
        <is>
          <t>Производитель двигателя</t>
        </is>
      </c>
      <c r="AL4" s="252" t="inlineStr">
        <is>
          <t>типоразмер двигателя</t>
        </is>
      </c>
      <c r="AM4" s="252" t="inlineStr">
        <is>
          <t>год двигателя</t>
        </is>
      </c>
      <c r="AN4" s="252" t="inlineStr">
        <is>
          <t>состояние до спуска</t>
        </is>
      </c>
      <c r="AO4" s="252" t="inlineStr">
        <is>
          <t>типоразмер кабеля</t>
        </is>
      </c>
      <c r="AP4" s="252" t="inlineStr">
        <is>
          <t>длина кабеля</t>
        </is>
      </c>
      <c r="AQ4" s="252" t="inlineStr">
        <is>
          <t>состояние до спуска</t>
        </is>
      </c>
      <c r="AR4" s="252" t="inlineStr">
        <is>
          <t>типоразмер удлинителя</t>
        </is>
      </c>
      <c r="AS4" s="252" t="inlineStr">
        <is>
          <t>длина удлинителя</t>
        </is>
      </c>
      <c r="AT4" s="252" t="inlineStr">
        <is>
          <t>состояние до спуска</t>
        </is>
      </c>
      <c r="AU4" s="252" t="inlineStr">
        <is>
          <t>Производитель гидрозащиты</t>
        </is>
      </c>
      <c r="AV4" s="252" t="inlineStr">
        <is>
          <t>типоразмер гидрозащиты</t>
        </is>
      </c>
      <c r="AW4" s="252" t="inlineStr">
        <is>
          <t>год гидрозащиты</t>
        </is>
      </c>
      <c r="AX4" s="252" t="inlineStr">
        <is>
          <t>состояние до спуска</t>
        </is>
      </c>
      <c r="AY4" s="252" t="inlineStr">
        <is>
          <t>Производитель ТМС</t>
        </is>
      </c>
      <c r="AZ4" s="252" t="inlineStr">
        <is>
          <t>типоразмер ТМС</t>
        </is>
      </c>
      <c r="BA4" s="253" t="inlineStr">
        <is>
          <t>год ТМС</t>
        </is>
      </c>
      <c r="BB4" s="164" t="inlineStr">
        <is>
          <t>[ДОП] Заключение комиссии / акт</t>
        </is>
      </c>
      <c r="BC4" s="164" t="inlineStr">
        <is>
          <t>[ДОП] Источник / документ</t>
        </is>
      </c>
      <c r="BD4" s="49" t="inlineStr">
        <is>
          <t>Статус полного (авто)</t>
        </is>
      </c>
      <c r="BE4" s="49" t="inlineStr">
        <is>
          <t>Полное заключение (авто)</t>
        </is>
      </c>
      <c r="BF4" s="166" t="inlineStr">
        <is>
          <t>Комментарий</t>
        </is>
      </c>
    </row>
    <row r="5">
      <c r="A5" s="168">
        <f>IF('Оперативный ввод'!A5="","",'Оперативный ввод'!A5)</f>
        <v/>
      </c>
      <c r="B5" s="169">
        <f>IF('Оперативный ввод'!B5="","",'Оперативный ввод'!B5)</f>
        <v/>
      </c>
      <c r="C5" s="268">
        <f>IF('Оперативный ввод'!C5="","",'Оперативный ввод'!C5)</f>
        <v/>
      </c>
      <c r="D5" s="268">
        <f>IF('Оперативный ввод'!D5="","",'Оперативный ввод'!D5)</f>
        <v/>
      </c>
      <c r="E5" s="269">
        <f>IF(OR(C5="",D5=""),"",D5-C5)</f>
        <v/>
      </c>
      <c r="F5" s="169">
        <f>IF('Оперативный ввод'!F5="","",'Оперативный ввод'!F5)</f>
        <v/>
      </c>
      <c r="G5" s="169">
        <f>IF('Оперативный ввод'!G5="","",'Оперативный ввод'!G5)</f>
        <v/>
      </c>
      <c r="H5" s="169">
        <f>IF('Оперативный ввод'!H5="","",'Оперативный ввод'!H5)</f>
        <v/>
      </c>
      <c r="I5" s="169">
        <f>IF('Оперативный ввод'!I5="","",'Оперативный ввод'!I5)</f>
        <v/>
      </c>
      <c r="J5" s="169">
        <f>IF('Оперативный ввод'!J5="","",'Оперативный ввод'!J5)</f>
        <v/>
      </c>
      <c r="K5" s="169">
        <f>IF('Оперативный ввод'!K5="","",'Оперативный ввод'!K5)</f>
        <v/>
      </c>
      <c r="L5" s="169">
        <f>IF('Оперативный ввод'!L5="","",'Оперативный ввод'!L5)</f>
        <v/>
      </c>
      <c r="M5" s="169">
        <f>IF('Оперативный ввод'!M5="","",'Оперативный ввод'!M5)</f>
        <v/>
      </c>
      <c r="N5" s="169">
        <f>IF('Оперативный ввод'!N5="","",'Оперативный ввод'!N5)</f>
        <v/>
      </c>
      <c r="O5" s="169">
        <f>IF('Оперативный ввод'!O5="","",'Оперативный ввод'!O5)</f>
        <v/>
      </c>
      <c r="P5" s="204">
        <f>IF(AND(A5="",B5=""),"",IF(AND(A5&lt;&gt;"",B5&lt;&gt;"",C5&lt;&gt;"",D5&lt;&gt;"",F5&lt;&gt;"",G5&lt;&gt;"",H5&lt;&gt;"",ISERROR(SEARCH("по паспорту",G5)),ISERROR(SEARCH("по паспорту",H5)),I5&lt;&gt;"",J5&lt;&gt;"",K5&lt;&gt;"",L5&lt;&gt;"",M5&lt;&gt;""),"ГОТОВО","НЕ ГОТОВО"))</f>
        <v/>
      </c>
      <c r="Q5" s="204">
        <f>IF(P5&lt;&gt;"ГОТОВО","", "Предварительное заключение: "&amp;A5&amp;", скв. "&amp;B5&amp;". МРП: "&amp;E5&amp;" сут. ГНО: "&amp;F5&amp;", типоразмер "&amp;G5&amp;", марка "&amp;H5&amp;". Событие: "&amp;I5&amp;". Признак: "&amp;J5&amp;". Узел: "&amp;K5&amp;". Предварительная причина: "&amp;L5&amp;". Основное осложнение: "&amp;M5&amp;IF(N5&lt;&gt;"","; сопутствующее: "&amp;N5,"")&amp;IF(O5&lt;&gt;"","; дополнительно: "&amp;O5,"")&amp;".")</f>
        <v/>
      </c>
      <c r="R5" s="169">
        <f>IF('Оперативный ввод'!P5="","",'Оперативный ввод'!P5)</f>
        <v/>
      </c>
      <c r="S5" s="169">
        <f>IF('Оперативный ввод'!Q5="","",'Оперативный ввод'!Q5)</f>
        <v/>
      </c>
      <c r="T5" s="169">
        <f>IF('Оперативный ввод'!R5="","",'Оперативный ввод'!R5)</f>
        <v/>
      </c>
      <c r="U5" s="169">
        <f>IF('Оперативный ввод'!S5="","",'Оперативный ввод'!S5)</f>
        <v/>
      </c>
      <c r="V5" s="169">
        <f>IF('Оперативный ввод'!T5="","",'Оперативный ввод'!T5)</f>
        <v/>
      </c>
      <c r="W5" s="169" t="n"/>
      <c r="X5" s="169" t="n"/>
      <c r="Y5" s="169" t="n"/>
      <c r="Z5" s="169" t="n"/>
      <c r="AA5" s="169">
        <f>IF('Оперативный ввод'!U5="","",'Оперативный ввод'!U5)</f>
        <v/>
      </c>
      <c r="AB5" s="169">
        <f>IF('Оперативный ввод'!V5="","",'Оперативный ввод'!V5)</f>
        <v/>
      </c>
      <c r="AC5" s="169">
        <f>IF('Оперативный ввод'!W5="","",'Оперативный ввод'!W5)</f>
        <v/>
      </c>
      <c r="BB5" s="169" t="n"/>
      <c r="BC5" s="169" t="n"/>
      <c r="BD5" s="204">
        <f>IF(AND(A5="",B5=""),"",IF(AND(P5="ГОТОВО",R5&lt;&gt;"",T5&lt;&gt;"",U5&lt;&gt;"",AA5&lt;&gt;"",AB5&lt;&gt;"",AC5&lt;&gt;"",BB5&lt;&gt;"",BC5&lt;&gt;""),"ГОТОВО","НЕ ГОТОВО"))</f>
        <v/>
      </c>
      <c r="BE5" s="204">
        <f>IF(BD5&lt;&gt;"ГОТОВО","","Полное заключение: "&amp;A5&amp;", скв. "&amp;B5&amp;". МРП: "&amp;E5&amp;" сут. ГНО: "&amp;F5&amp;"; причина: "&amp;U5&amp;"; категория: "&amp;V5&amp;"; решение комиссии: "&amp;BB5&amp;".")</f>
        <v/>
      </c>
      <c r="BF5" s="170">
        <f>IF('Оперативный ввод'!X5="","",'Оперативный ввод'!X5)</f>
        <v/>
      </c>
    </row>
    <row r="6">
      <c r="A6" s="171">
        <f>IF('Оперативный ввод'!A6="","",'Оперативный ввод'!A6)</f>
        <v/>
      </c>
      <c r="B6" s="172">
        <f>IF('Оперативный ввод'!B6="","",'Оперативный ввод'!B6)</f>
        <v/>
      </c>
      <c r="C6" s="270">
        <f>IF('Оперативный ввод'!C6="","",'Оперативный ввод'!C6)</f>
        <v/>
      </c>
      <c r="D6" s="270">
        <f>IF('Оперативный ввод'!D6="","",'Оперативный ввод'!D6)</f>
        <v/>
      </c>
      <c r="E6" s="271">
        <f>IF(OR(C6="",D6=""),"",D6-C6)</f>
        <v/>
      </c>
      <c r="F6" s="172">
        <f>IF('Оперативный ввод'!F6="","",'Оперативный ввод'!F6)</f>
        <v/>
      </c>
      <c r="G6" s="172">
        <f>IF('Оперативный ввод'!G6="","",'Оперативный ввод'!G6)</f>
        <v/>
      </c>
      <c r="H6" s="172">
        <f>IF('Оперативный ввод'!H6="","",'Оперативный ввод'!H6)</f>
        <v/>
      </c>
      <c r="I6" s="172">
        <f>IF('Оперативный ввод'!I6="","",'Оперативный ввод'!I6)</f>
        <v/>
      </c>
      <c r="J6" s="172">
        <f>IF('Оперативный ввод'!J6="","",'Оперативный ввод'!J6)</f>
        <v/>
      </c>
      <c r="K6" s="172">
        <f>IF('Оперативный ввод'!K6="","",'Оперативный ввод'!K6)</f>
        <v/>
      </c>
      <c r="L6" s="172">
        <f>IF('Оперативный ввод'!L6="","",'Оперативный ввод'!L6)</f>
        <v/>
      </c>
      <c r="M6" s="172">
        <f>IF('Оперативный ввод'!M6="","",'Оперативный ввод'!M6)</f>
        <v/>
      </c>
      <c r="N6" s="172">
        <f>IF('Оперативный ввод'!N6="","",'Оперативный ввод'!N6)</f>
        <v/>
      </c>
      <c r="O6" s="172">
        <f>IF('Оперативный ввод'!O6="","",'Оперативный ввод'!O6)</f>
        <v/>
      </c>
      <c r="P6" s="205">
        <f>IF(AND(A6="",B6=""),"",IF(AND(A6&lt;&gt;"",B6&lt;&gt;"",C6&lt;&gt;"",D6&lt;&gt;"",F6&lt;&gt;"",G6&lt;&gt;"",H6&lt;&gt;"",ISERROR(SEARCH("по паспорту",G6)),ISERROR(SEARCH("по паспорту",H6)),I6&lt;&gt;"",J6&lt;&gt;"",K6&lt;&gt;"",L6&lt;&gt;"",M6&lt;&gt;""),"ГОТОВО","НЕ ГОТОВО"))</f>
        <v/>
      </c>
      <c r="Q6" s="205">
        <f>IF(P6&lt;&gt;"ГОТОВО","", "Предварительное заключение: "&amp;A6&amp;", скв. "&amp;B6&amp;". МРП: "&amp;E6&amp;" сут. ГНО: "&amp;F6&amp;", типоразмер "&amp;G6&amp;", марка "&amp;H6&amp;". Событие: "&amp;I6&amp;". Признак: "&amp;J6&amp;". Узел: "&amp;K6&amp;". Предварительная причина: "&amp;L6&amp;". Основное осложнение: "&amp;M6&amp;IF(N6&lt;&gt;"","; сопутствующее: "&amp;N6,"")&amp;IF(O6&lt;&gt;"","; дополнительно: "&amp;O6,"")&amp;".")</f>
        <v/>
      </c>
      <c r="R6" s="172">
        <f>IF('Оперативный ввод'!P6="","",'Оперативный ввод'!P6)</f>
        <v/>
      </c>
      <c r="S6" s="172">
        <f>IF('Оперативный ввод'!Q6="","",'Оперативный ввод'!Q6)</f>
        <v/>
      </c>
      <c r="T6" s="172">
        <f>IF('Оперативный ввод'!R6="","",'Оперативный ввод'!R6)</f>
        <v/>
      </c>
      <c r="U6" s="172">
        <f>IF('Оперативный ввод'!S6="","",'Оперативный ввод'!S6)</f>
        <v/>
      </c>
      <c r="V6" s="172">
        <f>IF('Оперативный ввод'!T6="","",'Оперативный ввод'!T6)</f>
        <v/>
      </c>
      <c r="W6" s="172" t="n"/>
      <c r="X6" s="172" t="n"/>
      <c r="Y6" s="172" t="n"/>
      <c r="Z6" s="172" t="n"/>
      <c r="AA6" s="172">
        <f>IF('Оперативный ввод'!U6="","",'Оперативный ввод'!U6)</f>
        <v/>
      </c>
      <c r="AB6" s="172">
        <f>IF('Оперативный ввод'!V6="","",'Оперативный ввод'!V6)</f>
        <v/>
      </c>
      <c r="AC6" s="172">
        <f>IF('Оперативный ввод'!W6="","",'Оперативный ввод'!W6)</f>
        <v/>
      </c>
      <c r="BB6" s="172" t="n"/>
      <c r="BC6" s="172" t="n"/>
      <c r="BD6" s="205">
        <f>IF(AND(A6="",B6=""),"",IF(AND(P6="ГОТОВО",R6&lt;&gt;"",T6&lt;&gt;"",U6&lt;&gt;"",AA6&lt;&gt;"",AB6&lt;&gt;"",AC6&lt;&gt;"",BB6&lt;&gt;"",BC6&lt;&gt;""),"ГОТОВО","НЕ ГОТОВО"))</f>
        <v/>
      </c>
      <c r="BE6" s="205">
        <f>IF(BD6&lt;&gt;"ГОТОВО","","Полное заключение: "&amp;A6&amp;", скв. "&amp;B6&amp;". МРП: "&amp;E6&amp;" сут. ГНО: "&amp;F6&amp;"; причина: "&amp;U6&amp;"; категория: "&amp;V6&amp;"; решение комиссии: "&amp;BB6&amp;".")</f>
        <v/>
      </c>
      <c r="BF6" s="173">
        <f>IF('Оперативный ввод'!X6="","",'Оперативный ввод'!X6)</f>
        <v/>
      </c>
    </row>
    <row r="7">
      <c r="A7" s="171">
        <f>IF('Оперативный ввод'!A7="","",'Оперативный ввод'!A7)</f>
        <v/>
      </c>
      <c r="B7" s="172">
        <f>IF('Оперативный ввод'!B7="","",'Оперативный ввод'!B7)</f>
        <v/>
      </c>
      <c r="C7" s="270">
        <f>IF('Оперативный ввод'!C7="","",'Оперативный ввод'!C7)</f>
        <v/>
      </c>
      <c r="D7" s="270">
        <f>IF('Оперативный ввод'!D7="","",'Оперативный ввод'!D7)</f>
        <v/>
      </c>
      <c r="E7" s="271">
        <f>IF(OR(C7="",D7=""),"",D7-C7)</f>
        <v/>
      </c>
      <c r="F7" s="172">
        <f>IF('Оперативный ввод'!F7="","",'Оперативный ввод'!F7)</f>
        <v/>
      </c>
      <c r="G7" s="172">
        <f>IF('Оперативный ввод'!G7="","",'Оперативный ввод'!G7)</f>
        <v/>
      </c>
      <c r="H7" s="172">
        <f>IF('Оперативный ввод'!H7="","",'Оперативный ввод'!H7)</f>
        <v/>
      </c>
      <c r="I7" s="172">
        <f>IF('Оперативный ввод'!I7="","",'Оперативный ввод'!I7)</f>
        <v/>
      </c>
      <c r="J7" s="172">
        <f>IF('Оперативный ввод'!J7="","",'Оперативный ввод'!J7)</f>
        <v/>
      </c>
      <c r="K7" s="172">
        <f>IF('Оперативный ввод'!K7="","",'Оперативный ввод'!K7)</f>
        <v/>
      </c>
      <c r="L7" s="172">
        <f>IF('Оперативный ввод'!L7="","",'Оперативный ввод'!L7)</f>
        <v/>
      </c>
      <c r="M7" s="172">
        <f>IF('Оперативный ввод'!M7="","",'Оперативный ввод'!M7)</f>
        <v/>
      </c>
      <c r="N7" s="172">
        <f>IF('Оперативный ввод'!N7="","",'Оперативный ввод'!N7)</f>
        <v/>
      </c>
      <c r="O7" s="172">
        <f>IF('Оперативный ввод'!O7="","",'Оперативный ввод'!O7)</f>
        <v/>
      </c>
      <c r="P7" s="205">
        <f>IF(AND(A7="",B7=""),"",IF(AND(A7&lt;&gt;"",B7&lt;&gt;"",C7&lt;&gt;"",D7&lt;&gt;"",F7&lt;&gt;"",G7&lt;&gt;"",H7&lt;&gt;"",ISERROR(SEARCH("по паспорту",G7)),ISERROR(SEARCH("по паспорту",H7)),I7&lt;&gt;"",J7&lt;&gt;"",K7&lt;&gt;"",L7&lt;&gt;"",M7&lt;&gt;""),"ГОТОВО","НЕ ГОТОВО"))</f>
        <v/>
      </c>
      <c r="Q7" s="205">
        <f>IF(P7&lt;&gt;"ГОТОВО","", "Предварительное заключение: "&amp;A7&amp;", скв. "&amp;B7&amp;". МРП: "&amp;E7&amp;" сут. ГНО: "&amp;F7&amp;", типоразмер "&amp;G7&amp;", марка "&amp;H7&amp;". Событие: "&amp;I7&amp;". Признак: "&amp;J7&amp;". Узел: "&amp;K7&amp;". Предварительная причина: "&amp;L7&amp;". Основное осложнение: "&amp;M7&amp;IF(N7&lt;&gt;"","; сопутствующее: "&amp;N7,"")&amp;IF(O7&lt;&gt;"","; дополнительно: "&amp;O7,"")&amp;".")</f>
        <v/>
      </c>
      <c r="R7" s="172">
        <f>IF('Оперативный ввод'!P7="","",'Оперативный ввод'!P7)</f>
        <v/>
      </c>
      <c r="S7" s="172">
        <f>IF('Оперативный ввод'!Q7="","",'Оперативный ввод'!Q7)</f>
        <v/>
      </c>
      <c r="T7" s="172">
        <f>IF('Оперативный ввод'!R7="","",'Оперативный ввод'!R7)</f>
        <v/>
      </c>
      <c r="U7" s="172">
        <f>IF('Оперативный ввод'!S7="","",'Оперативный ввод'!S7)</f>
        <v/>
      </c>
      <c r="V7" s="172">
        <f>IF('Оперативный ввод'!T7="","",'Оперативный ввод'!T7)</f>
        <v/>
      </c>
      <c r="W7" s="172" t="n"/>
      <c r="X7" s="172" t="n"/>
      <c r="Y7" s="172" t="n"/>
      <c r="Z7" s="172" t="n"/>
      <c r="AA7" s="172">
        <f>IF('Оперативный ввод'!U7="","",'Оперативный ввод'!U7)</f>
        <v/>
      </c>
      <c r="AB7" s="172">
        <f>IF('Оперативный ввод'!V7="","",'Оперативный ввод'!V7)</f>
        <v/>
      </c>
      <c r="AC7" s="172">
        <f>IF('Оперативный ввод'!W7="","",'Оперативный ввод'!W7)</f>
        <v/>
      </c>
      <c r="BB7" s="172" t="n"/>
      <c r="BC7" s="172" t="n"/>
      <c r="BD7" s="205">
        <f>IF(AND(A7="",B7=""),"",IF(AND(P7="ГОТОВО",R7&lt;&gt;"",T7&lt;&gt;"",U7&lt;&gt;"",AA7&lt;&gt;"",AB7&lt;&gt;"",AC7&lt;&gt;"",BB7&lt;&gt;"",BC7&lt;&gt;""),"ГОТОВО","НЕ ГОТОВО"))</f>
        <v/>
      </c>
      <c r="BE7" s="205">
        <f>IF(BD7&lt;&gt;"ГОТОВО","","Полное заключение: "&amp;A7&amp;", скв. "&amp;B7&amp;". МРП: "&amp;E7&amp;" сут. ГНО: "&amp;F7&amp;"; причина: "&amp;U7&amp;"; категория: "&amp;V7&amp;"; решение комиссии: "&amp;BB7&amp;".")</f>
        <v/>
      </c>
      <c r="BF7" s="173">
        <f>IF('Оперативный ввод'!X7="","",'Оперативный ввод'!X7)</f>
        <v/>
      </c>
    </row>
    <row r="8">
      <c r="A8" s="171">
        <f>IF('Оперативный ввод'!A8="","",'Оперативный ввод'!A8)</f>
        <v/>
      </c>
      <c r="B8" s="172">
        <f>IF('Оперативный ввод'!B8="","",'Оперативный ввод'!B8)</f>
        <v/>
      </c>
      <c r="C8" s="270">
        <f>IF('Оперативный ввод'!C8="","",'Оперативный ввод'!C8)</f>
        <v/>
      </c>
      <c r="D8" s="270">
        <f>IF('Оперативный ввод'!D8="","",'Оперативный ввод'!D8)</f>
        <v/>
      </c>
      <c r="E8" s="271">
        <f>IF(OR(C8="",D8=""),"",D8-C8)</f>
        <v/>
      </c>
      <c r="F8" s="172">
        <f>IF('Оперативный ввод'!F8="","",'Оперативный ввод'!F8)</f>
        <v/>
      </c>
      <c r="G8" s="172">
        <f>IF('Оперативный ввод'!G8="","",'Оперативный ввод'!G8)</f>
        <v/>
      </c>
      <c r="H8" s="172">
        <f>IF('Оперативный ввод'!H8="","",'Оперативный ввод'!H8)</f>
        <v/>
      </c>
      <c r="I8" s="172">
        <f>IF('Оперативный ввод'!I8="","",'Оперативный ввод'!I8)</f>
        <v/>
      </c>
      <c r="J8" s="172">
        <f>IF('Оперативный ввод'!J8="","",'Оперативный ввод'!J8)</f>
        <v/>
      </c>
      <c r="K8" s="172">
        <f>IF('Оперативный ввод'!K8="","",'Оперативный ввод'!K8)</f>
        <v/>
      </c>
      <c r="L8" s="172">
        <f>IF('Оперативный ввод'!L8="","",'Оперативный ввод'!L8)</f>
        <v/>
      </c>
      <c r="M8" s="172">
        <f>IF('Оперативный ввод'!M8="","",'Оперативный ввод'!M8)</f>
        <v/>
      </c>
      <c r="N8" s="172">
        <f>IF('Оперативный ввод'!N8="","",'Оперативный ввод'!N8)</f>
        <v/>
      </c>
      <c r="O8" s="172">
        <f>IF('Оперативный ввод'!O8="","",'Оперативный ввод'!O8)</f>
        <v/>
      </c>
      <c r="P8" s="205">
        <f>IF(AND(A8="",B8=""),"",IF(AND(A8&lt;&gt;"",B8&lt;&gt;"",C8&lt;&gt;"",D8&lt;&gt;"",F8&lt;&gt;"",G8&lt;&gt;"",H8&lt;&gt;"",ISERROR(SEARCH("по паспорту",G8)),ISERROR(SEARCH("по паспорту",H8)),I8&lt;&gt;"",J8&lt;&gt;"",K8&lt;&gt;"",L8&lt;&gt;"",M8&lt;&gt;""),"ГОТОВО","НЕ ГОТОВО"))</f>
        <v/>
      </c>
      <c r="Q8" s="205">
        <f>IF(P8&lt;&gt;"ГОТОВО","", "Предварительное заключение: "&amp;A8&amp;", скв. "&amp;B8&amp;". МРП: "&amp;E8&amp;" сут. ГНО: "&amp;F8&amp;", типоразмер "&amp;G8&amp;", марка "&amp;H8&amp;". Событие: "&amp;I8&amp;". Признак: "&amp;J8&amp;". Узел: "&amp;K8&amp;". Предварительная причина: "&amp;L8&amp;". Основное осложнение: "&amp;M8&amp;IF(N8&lt;&gt;"","; сопутствующее: "&amp;N8,"")&amp;IF(O8&lt;&gt;"","; дополнительно: "&amp;O8,"")&amp;".")</f>
        <v/>
      </c>
      <c r="R8" s="172">
        <f>IF('Оперативный ввод'!P8="","",'Оперативный ввод'!P8)</f>
        <v/>
      </c>
      <c r="S8" s="172">
        <f>IF('Оперативный ввод'!Q8="","",'Оперативный ввод'!Q8)</f>
        <v/>
      </c>
      <c r="T8" s="172">
        <f>IF('Оперативный ввод'!R8="","",'Оперативный ввод'!R8)</f>
        <v/>
      </c>
      <c r="U8" s="172">
        <f>IF('Оперативный ввод'!S8="","",'Оперативный ввод'!S8)</f>
        <v/>
      </c>
      <c r="V8" s="172">
        <f>IF('Оперативный ввод'!T8="","",'Оперативный ввод'!T8)</f>
        <v/>
      </c>
      <c r="W8" s="172" t="n"/>
      <c r="X8" s="172" t="n"/>
      <c r="Y8" s="172" t="n"/>
      <c r="Z8" s="172" t="n"/>
      <c r="AA8" s="172">
        <f>IF('Оперативный ввод'!U8="","",'Оперативный ввод'!U8)</f>
        <v/>
      </c>
      <c r="AB8" s="172">
        <f>IF('Оперативный ввод'!V8="","",'Оперативный ввод'!V8)</f>
        <v/>
      </c>
      <c r="AC8" s="172">
        <f>IF('Оперативный ввод'!W8="","",'Оперативный ввод'!W8)</f>
        <v/>
      </c>
      <c r="BB8" s="172" t="n"/>
      <c r="BC8" s="172" t="n"/>
      <c r="BD8" s="205">
        <f>IF(AND(A8="",B8=""),"",IF(AND(P8="ГОТОВО",R8&lt;&gt;"",T8&lt;&gt;"",U8&lt;&gt;"",AA8&lt;&gt;"",AB8&lt;&gt;"",AC8&lt;&gt;"",BB8&lt;&gt;"",BC8&lt;&gt;""),"ГОТОВО","НЕ ГОТОВО"))</f>
        <v/>
      </c>
      <c r="BE8" s="205">
        <f>IF(BD8&lt;&gt;"ГОТОВО","","Полное заключение: "&amp;A8&amp;", скв. "&amp;B8&amp;". МРП: "&amp;E8&amp;" сут. ГНО: "&amp;F8&amp;"; причина: "&amp;U8&amp;"; категория: "&amp;V8&amp;"; решение комиссии: "&amp;BB8&amp;".")</f>
        <v/>
      </c>
      <c r="BF8" s="173">
        <f>IF('Оперативный ввод'!X8="","",'Оперативный ввод'!X8)</f>
        <v/>
      </c>
    </row>
    <row r="9">
      <c r="A9" s="171">
        <f>IF('Оперативный ввод'!A9="","",'Оперативный ввод'!A9)</f>
        <v/>
      </c>
      <c r="B9" s="172">
        <f>IF('Оперативный ввод'!B9="","",'Оперативный ввод'!B9)</f>
        <v/>
      </c>
      <c r="C9" s="270">
        <f>IF('Оперативный ввод'!C9="","",'Оперативный ввод'!C9)</f>
        <v/>
      </c>
      <c r="D9" s="270">
        <f>IF('Оперативный ввод'!D9="","",'Оперативный ввод'!D9)</f>
        <v/>
      </c>
      <c r="E9" s="271">
        <f>IF(OR(C9="",D9=""),"",D9-C9)</f>
        <v/>
      </c>
      <c r="F9" s="172">
        <f>IF('Оперативный ввод'!F9="","",'Оперативный ввод'!F9)</f>
        <v/>
      </c>
      <c r="G9" s="172">
        <f>IF('Оперативный ввод'!G9="","",'Оперативный ввод'!G9)</f>
        <v/>
      </c>
      <c r="H9" s="172">
        <f>IF('Оперативный ввод'!H9="","",'Оперативный ввод'!H9)</f>
        <v/>
      </c>
      <c r="I9" s="172">
        <f>IF('Оперативный ввод'!I9="","",'Оперативный ввод'!I9)</f>
        <v/>
      </c>
      <c r="J9" s="172">
        <f>IF('Оперативный ввод'!J9="","",'Оперативный ввод'!J9)</f>
        <v/>
      </c>
      <c r="K9" s="172">
        <f>IF('Оперативный ввод'!K9="","",'Оперативный ввод'!K9)</f>
        <v/>
      </c>
      <c r="L9" s="172">
        <f>IF('Оперативный ввод'!L9="","",'Оперативный ввод'!L9)</f>
        <v/>
      </c>
      <c r="M9" s="172">
        <f>IF('Оперативный ввод'!M9="","",'Оперативный ввод'!M9)</f>
        <v/>
      </c>
      <c r="N9" s="172">
        <f>IF('Оперативный ввод'!N9="","",'Оперативный ввод'!N9)</f>
        <v/>
      </c>
      <c r="O9" s="172">
        <f>IF('Оперативный ввод'!O9="","",'Оперативный ввод'!O9)</f>
        <v/>
      </c>
      <c r="P9" s="205">
        <f>IF(AND(A9="",B9=""),"",IF(AND(A9&lt;&gt;"",B9&lt;&gt;"",C9&lt;&gt;"",D9&lt;&gt;"",F9&lt;&gt;"",G9&lt;&gt;"",H9&lt;&gt;"",ISERROR(SEARCH("по паспорту",G9)),ISERROR(SEARCH("по паспорту",H9)),I9&lt;&gt;"",J9&lt;&gt;"",K9&lt;&gt;"",L9&lt;&gt;"",M9&lt;&gt;""),"ГОТОВО","НЕ ГОТОВО"))</f>
        <v/>
      </c>
      <c r="Q9" s="205">
        <f>IF(P9&lt;&gt;"ГОТОВО","", "Предварительное заключение: "&amp;A9&amp;", скв. "&amp;B9&amp;". МРП: "&amp;E9&amp;" сут. ГНО: "&amp;F9&amp;", типоразмер "&amp;G9&amp;", марка "&amp;H9&amp;". Событие: "&amp;I9&amp;". Признак: "&amp;J9&amp;". Узел: "&amp;K9&amp;". Предварительная причина: "&amp;L9&amp;". Основное осложнение: "&amp;M9&amp;IF(N9&lt;&gt;"","; сопутствующее: "&amp;N9,"")&amp;IF(O9&lt;&gt;"","; дополнительно: "&amp;O9,"")&amp;".")</f>
        <v/>
      </c>
      <c r="R9" s="172">
        <f>IF('Оперативный ввод'!P9="","",'Оперативный ввод'!P9)</f>
        <v/>
      </c>
      <c r="S9" s="172">
        <f>IF('Оперативный ввод'!Q9="","",'Оперативный ввод'!Q9)</f>
        <v/>
      </c>
      <c r="T9" s="172">
        <f>IF('Оперативный ввод'!R9="","",'Оперативный ввод'!R9)</f>
        <v/>
      </c>
      <c r="U9" s="172">
        <f>IF('Оперативный ввод'!S9="","",'Оперативный ввод'!S9)</f>
        <v/>
      </c>
      <c r="V9" s="172">
        <f>IF('Оперативный ввод'!T9="","",'Оперативный ввод'!T9)</f>
        <v/>
      </c>
      <c r="W9" s="172" t="n"/>
      <c r="X9" s="172" t="n"/>
      <c r="Y9" s="172" t="n"/>
      <c r="Z9" s="172" t="n"/>
      <c r="AA9" s="172">
        <f>IF('Оперативный ввод'!U9="","",'Оперативный ввод'!U9)</f>
        <v/>
      </c>
      <c r="AB9" s="172">
        <f>IF('Оперативный ввод'!V9="","",'Оперативный ввод'!V9)</f>
        <v/>
      </c>
      <c r="AC9" s="172">
        <f>IF('Оперативный ввод'!W9="","",'Оперативный ввод'!W9)</f>
        <v/>
      </c>
      <c r="BB9" s="172" t="n"/>
      <c r="BC9" s="172" t="n"/>
      <c r="BD9" s="205">
        <f>IF(AND(A9="",B9=""),"",IF(AND(P9="ГОТОВО",R9&lt;&gt;"",T9&lt;&gt;"",U9&lt;&gt;"",AA9&lt;&gt;"",AB9&lt;&gt;"",AC9&lt;&gt;"",BB9&lt;&gt;"",BC9&lt;&gt;""),"ГОТОВО","НЕ ГОТОВО"))</f>
        <v/>
      </c>
      <c r="BE9" s="205">
        <f>IF(BD9&lt;&gt;"ГОТОВО","","Полное заключение: "&amp;A9&amp;", скв. "&amp;B9&amp;". МРП: "&amp;E9&amp;" сут. ГНО: "&amp;F9&amp;"; причина: "&amp;U9&amp;"; категория: "&amp;V9&amp;"; решение комиссии: "&amp;BB9&amp;".")</f>
        <v/>
      </c>
      <c r="BF9" s="173">
        <f>IF('Оперативный ввод'!X9="","",'Оперативный ввод'!X9)</f>
        <v/>
      </c>
    </row>
    <row r="10">
      <c r="A10" s="171">
        <f>IF('Оперативный ввод'!A10="","",'Оперативный ввод'!A10)</f>
        <v/>
      </c>
      <c r="B10" s="172">
        <f>IF('Оперативный ввод'!B10="","",'Оперативный ввод'!B10)</f>
        <v/>
      </c>
      <c r="C10" s="270">
        <f>IF('Оперативный ввод'!C10="","",'Оперативный ввод'!C10)</f>
        <v/>
      </c>
      <c r="D10" s="270">
        <f>IF('Оперативный ввод'!D10="","",'Оперативный ввод'!D10)</f>
        <v/>
      </c>
      <c r="E10" s="271">
        <f>IF(OR(C10="",D10=""),"",D10-C10)</f>
        <v/>
      </c>
      <c r="F10" s="172">
        <f>IF('Оперативный ввод'!F10="","",'Оперативный ввод'!F10)</f>
        <v/>
      </c>
      <c r="G10" s="172">
        <f>IF('Оперативный ввод'!G10="","",'Оперативный ввод'!G10)</f>
        <v/>
      </c>
      <c r="H10" s="172">
        <f>IF('Оперативный ввод'!H10="","",'Оперативный ввод'!H10)</f>
        <v/>
      </c>
      <c r="I10" s="172">
        <f>IF('Оперативный ввод'!I10="","",'Оперативный ввод'!I10)</f>
        <v/>
      </c>
      <c r="J10" s="172">
        <f>IF('Оперативный ввод'!J10="","",'Оперативный ввод'!J10)</f>
        <v/>
      </c>
      <c r="K10" s="172">
        <f>IF('Оперативный ввод'!K10="","",'Оперативный ввод'!K10)</f>
        <v/>
      </c>
      <c r="L10" s="172">
        <f>IF('Оперативный ввод'!L10="","",'Оперативный ввод'!L10)</f>
        <v/>
      </c>
      <c r="M10" s="172">
        <f>IF('Оперативный ввод'!M10="","",'Оперативный ввод'!M10)</f>
        <v/>
      </c>
      <c r="N10" s="172">
        <f>IF('Оперативный ввод'!N10="","",'Оперативный ввод'!N10)</f>
        <v/>
      </c>
      <c r="O10" s="172">
        <f>IF('Оперативный ввод'!O10="","",'Оперативный ввод'!O10)</f>
        <v/>
      </c>
      <c r="P10" s="205">
        <f>IF(AND(A10="",B10=""),"",IF(AND(A10&lt;&gt;"",B10&lt;&gt;"",C10&lt;&gt;"",D10&lt;&gt;"",F10&lt;&gt;"",G10&lt;&gt;"",H10&lt;&gt;"",ISERROR(SEARCH("по паспорту",G10)),ISERROR(SEARCH("по паспорту",H10)),I10&lt;&gt;"",J10&lt;&gt;"",K10&lt;&gt;"",L10&lt;&gt;"",M10&lt;&gt;""),"ГОТОВО","НЕ ГОТОВО"))</f>
        <v/>
      </c>
      <c r="Q10" s="205">
        <f>IF(P10&lt;&gt;"ГОТОВО","", "Предварительное заключение: "&amp;A10&amp;", скв. "&amp;B10&amp;". МРП: "&amp;E10&amp;" сут. ГНО: "&amp;F10&amp;", типоразмер "&amp;G10&amp;", марка "&amp;H10&amp;". Событие: "&amp;I10&amp;". Признак: "&amp;J10&amp;". Узел: "&amp;K10&amp;". Предварительная причина: "&amp;L10&amp;". Основное осложнение: "&amp;M10&amp;IF(N10&lt;&gt;"","; сопутствующее: "&amp;N10,"")&amp;IF(O10&lt;&gt;"","; дополнительно: "&amp;O10,"")&amp;".")</f>
        <v/>
      </c>
      <c r="R10" s="172">
        <f>IF('Оперативный ввод'!P10="","",'Оперативный ввод'!P10)</f>
        <v/>
      </c>
      <c r="S10" s="172">
        <f>IF('Оперативный ввод'!Q10="","",'Оперативный ввод'!Q10)</f>
        <v/>
      </c>
      <c r="T10" s="172">
        <f>IF('Оперативный ввод'!R10="","",'Оперативный ввод'!R10)</f>
        <v/>
      </c>
      <c r="U10" s="172">
        <f>IF('Оперативный ввод'!S10="","",'Оперативный ввод'!S10)</f>
        <v/>
      </c>
      <c r="V10" s="172">
        <f>IF('Оперативный ввод'!T10="","",'Оперативный ввод'!T10)</f>
        <v/>
      </c>
      <c r="W10" s="172" t="n"/>
      <c r="X10" s="172" t="n"/>
      <c r="Y10" s="172" t="n"/>
      <c r="Z10" s="172" t="n"/>
      <c r="AA10" s="172">
        <f>IF('Оперативный ввод'!U10="","",'Оперативный ввод'!U10)</f>
        <v/>
      </c>
      <c r="AB10" s="172">
        <f>IF('Оперативный ввод'!V10="","",'Оперативный ввод'!V10)</f>
        <v/>
      </c>
      <c r="AC10" s="172">
        <f>IF('Оперативный ввод'!W10="","",'Оперативный ввод'!W10)</f>
        <v/>
      </c>
      <c r="BB10" s="172" t="n"/>
      <c r="BC10" s="172" t="n"/>
      <c r="BD10" s="205">
        <f>IF(AND(A10="",B10=""),"",IF(AND(P10="ГОТОВО",R10&lt;&gt;"",T10&lt;&gt;"",U10&lt;&gt;"",AA10&lt;&gt;"",AB10&lt;&gt;"",AC10&lt;&gt;"",BB10&lt;&gt;"",BC10&lt;&gt;""),"ГОТОВО","НЕ ГОТОВО"))</f>
        <v/>
      </c>
      <c r="BE10" s="205">
        <f>IF(BD10&lt;&gt;"ГОТОВО","","Полное заключение: "&amp;A10&amp;", скв. "&amp;B10&amp;". МРП: "&amp;E10&amp;" сут. ГНО: "&amp;F10&amp;"; причина: "&amp;U10&amp;"; категория: "&amp;V10&amp;"; решение комиссии: "&amp;BB10&amp;".")</f>
        <v/>
      </c>
      <c r="BF10" s="173">
        <f>IF('Оперативный ввод'!X10="","",'Оперативный ввод'!X10)</f>
        <v/>
      </c>
    </row>
    <row r="11">
      <c r="A11" s="171">
        <f>IF('Оперативный ввод'!A11="","",'Оперативный ввод'!A11)</f>
        <v/>
      </c>
      <c r="B11" s="172">
        <f>IF('Оперативный ввод'!B11="","",'Оперативный ввод'!B11)</f>
        <v/>
      </c>
      <c r="C11" s="270">
        <f>IF('Оперативный ввод'!C11="","",'Оперативный ввод'!C11)</f>
        <v/>
      </c>
      <c r="D11" s="270">
        <f>IF('Оперативный ввод'!D11="","",'Оперативный ввод'!D11)</f>
        <v/>
      </c>
      <c r="E11" s="271">
        <f>IF(OR(C11="",D11=""),"",D11-C11)</f>
        <v/>
      </c>
      <c r="F11" s="172">
        <f>IF('Оперативный ввод'!F11="","",'Оперативный ввод'!F11)</f>
        <v/>
      </c>
      <c r="G11" s="172">
        <f>IF('Оперативный ввод'!G11="","",'Оперативный ввод'!G11)</f>
        <v/>
      </c>
      <c r="H11" s="172">
        <f>IF('Оперативный ввод'!H11="","",'Оперативный ввод'!H11)</f>
        <v/>
      </c>
      <c r="I11" s="172">
        <f>IF('Оперативный ввод'!I11="","",'Оперативный ввод'!I11)</f>
        <v/>
      </c>
      <c r="J11" s="172">
        <f>IF('Оперативный ввод'!J11="","",'Оперативный ввод'!J11)</f>
        <v/>
      </c>
      <c r="K11" s="172">
        <f>IF('Оперативный ввод'!K11="","",'Оперативный ввод'!K11)</f>
        <v/>
      </c>
      <c r="L11" s="172">
        <f>IF('Оперативный ввод'!L11="","",'Оперативный ввод'!L11)</f>
        <v/>
      </c>
      <c r="M11" s="172">
        <f>IF('Оперативный ввод'!M11="","",'Оперативный ввод'!M11)</f>
        <v/>
      </c>
      <c r="N11" s="172">
        <f>IF('Оперативный ввод'!N11="","",'Оперативный ввод'!N11)</f>
        <v/>
      </c>
      <c r="O11" s="172">
        <f>IF('Оперативный ввод'!O11="","",'Оперативный ввод'!O11)</f>
        <v/>
      </c>
      <c r="P11" s="205">
        <f>IF(AND(A11="",B11=""),"",IF(AND(A11&lt;&gt;"",B11&lt;&gt;"",C11&lt;&gt;"",D11&lt;&gt;"",F11&lt;&gt;"",G11&lt;&gt;"",H11&lt;&gt;"",ISERROR(SEARCH("по паспорту",G11)),ISERROR(SEARCH("по паспорту",H11)),I11&lt;&gt;"",J11&lt;&gt;"",K11&lt;&gt;"",L11&lt;&gt;"",M11&lt;&gt;""),"ГОТОВО","НЕ ГОТОВО"))</f>
        <v/>
      </c>
      <c r="Q11" s="205">
        <f>IF(P11&lt;&gt;"ГОТОВО","", "Предварительное заключение: "&amp;A11&amp;", скв. "&amp;B11&amp;". МРП: "&amp;E11&amp;" сут. ГНО: "&amp;F11&amp;", типоразмер "&amp;G11&amp;", марка "&amp;H11&amp;". Событие: "&amp;I11&amp;". Признак: "&amp;J11&amp;". Узел: "&amp;K11&amp;". Предварительная причина: "&amp;L11&amp;". Основное осложнение: "&amp;M11&amp;IF(N11&lt;&gt;"","; сопутствующее: "&amp;N11,"")&amp;IF(O11&lt;&gt;"","; дополнительно: "&amp;O11,"")&amp;".")</f>
        <v/>
      </c>
      <c r="R11" s="172">
        <f>IF('Оперативный ввод'!P11="","",'Оперативный ввод'!P11)</f>
        <v/>
      </c>
      <c r="S11" s="172">
        <f>IF('Оперативный ввод'!Q11="","",'Оперативный ввод'!Q11)</f>
        <v/>
      </c>
      <c r="T11" s="172">
        <f>IF('Оперативный ввод'!R11="","",'Оперативный ввод'!R11)</f>
        <v/>
      </c>
      <c r="U11" s="172">
        <f>IF('Оперативный ввод'!S11="","",'Оперативный ввод'!S11)</f>
        <v/>
      </c>
      <c r="V11" s="172">
        <f>IF('Оперативный ввод'!T11="","",'Оперативный ввод'!T11)</f>
        <v/>
      </c>
      <c r="W11" s="172" t="n"/>
      <c r="X11" s="172" t="n"/>
      <c r="Y11" s="172" t="n"/>
      <c r="Z11" s="172" t="n"/>
      <c r="AA11" s="172">
        <f>IF('Оперативный ввод'!U11="","",'Оперативный ввод'!U11)</f>
        <v/>
      </c>
      <c r="AB11" s="172">
        <f>IF('Оперативный ввод'!V11="","",'Оперативный ввод'!V11)</f>
        <v/>
      </c>
      <c r="AC11" s="172">
        <f>IF('Оперативный ввод'!W11="","",'Оперативный ввод'!W11)</f>
        <v/>
      </c>
      <c r="BB11" s="172" t="n"/>
      <c r="BC11" s="172" t="n"/>
      <c r="BD11" s="205">
        <f>IF(AND(A11="",B11=""),"",IF(AND(P11="ГОТОВО",R11&lt;&gt;"",T11&lt;&gt;"",U11&lt;&gt;"",AA11&lt;&gt;"",AB11&lt;&gt;"",AC11&lt;&gt;"",BB11&lt;&gt;"",BC11&lt;&gt;""),"ГОТОВО","НЕ ГОТОВО"))</f>
        <v/>
      </c>
      <c r="BE11" s="205">
        <f>IF(BD11&lt;&gt;"ГОТОВО","","Полное заключение: "&amp;A11&amp;", скв. "&amp;B11&amp;". МРП: "&amp;E11&amp;" сут. ГНО: "&amp;F11&amp;"; причина: "&amp;U11&amp;"; категория: "&amp;V11&amp;"; решение комиссии: "&amp;BB11&amp;".")</f>
        <v/>
      </c>
      <c r="BF11" s="173">
        <f>IF('Оперативный ввод'!X11="","",'Оперативный ввод'!X11)</f>
        <v/>
      </c>
    </row>
    <row r="12">
      <c r="A12" s="171">
        <f>IF('Оперативный ввод'!A12="","",'Оперативный ввод'!A12)</f>
        <v/>
      </c>
      <c r="B12" s="172">
        <f>IF('Оперативный ввод'!B12="","",'Оперативный ввод'!B12)</f>
        <v/>
      </c>
      <c r="C12" s="270">
        <f>IF('Оперативный ввод'!C12="","",'Оперативный ввод'!C12)</f>
        <v/>
      </c>
      <c r="D12" s="270">
        <f>IF('Оперативный ввод'!D12="","",'Оперативный ввод'!D12)</f>
        <v/>
      </c>
      <c r="E12" s="271">
        <f>IF(OR(C12="",D12=""),"",D12-C12)</f>
        <v/>
      </c>
      <c r="F12" s="172">
        <f>IF('Оперативный ввод'!F12="","",'Оперативный ввод'!F12)</f>
        <v/>
      </c>
      <c r="G12" s="172">
        <f>IF('Оперативный ввод'!G12="","",'Оперативный ввод'!G12)</f>
        <v/>
      </c>
      <c r="H12" s="172">
        <f>IF('Оперативный ввод'!H12="","",'Оперативный ввод'!H12)</f>
        <v/>
      </c>
      <c r="I12" s="172">
        <f>IF('Оперативный ввод'!I12="","",'Оперативный ввод'!I12)</f>
        <v/>
      </c>
      <c r="J12" s="172">
        <f>IF('Оперативный ввод'!J12="","",'Оперативный ввод'!J12)</f>
        <v/>
      </c>
      <c r="K12" s="172">
        <f>IF('Оперативный ввод'!K12="","",'Оперативный ввод'!K12)</f>
        <v/>
      </c>
      <c r="L12" s="172">
        <f>IF('Оперативный ввод'!L12="","",'Оперативный ввод'!L12)</f>
        <v/>
      </c>
      <c r="M12" s="172">
        <f>IF('Оперативный ввод'!M12="","",'Оперативный ввод'!M12)</f>
        <v/>
      </c>
      <c r="N12" s="172">
        <f>IF('Оперативный ввод'!N12="","",'Оперативный ввод'!N12)</f>
        <v/>
      </c>
      <c r="O12" s="172">
        <f>IF('Оперативный ввод'!O12="","",'Оперативный ввод'!O12)</f>
        <v/>
      </c>
      <c r="P12" s="205">
        <f>IF(AND(A12="",B12=""),"",IF(AND(A12&lt;&gt;"",B12&lt;&gt;"",C12&lt;&gt;"",D12&lt;&gt;"",F12&lt;&gt;"",G12&lt;&gt;"",H12&lt;&gt;"",ISERROR(SEARCH("по паспорту",G12)),ISERROR(SEARCH("по паспорту",H12)),I12&lt;&gt;"",J12&lt;&gt;"",K12&lt;&gt;"",L12&lt;&gt;"",M12&lt;&gt;""),"ГОТОВО","НЕ ГОТОВО"))</f>
        <v/>
      </c>
      <c r="Q12" s="205">
        <f>IF(P12&lt;&gt;"ГОТОВО","", "Предварительное заключение: "&amp;A12&amp;", скв. "&amp;B12&amp;". МРП: "&amp;E12&amp;" сут. ГНО: "&amp;F12&amp;", типоразмер "&amp;G12&amp;", марка "&amp;H12&amp;". Событие: "&amp;I12&amp;". Признак: "&amp;J12&amp;". Узел: "&amp;K12&amp;". Предварительная причина: "&amp;L12&amp;". Основное осложнение: "&amp;M12&amp;IF(N12&lt;&gt;"","; сопутствующее: "&amp;N12,"")&amp;IF(O12&lt;&gt;"","; дополнительно: "&amp;O12,"")&amp;".")</f>
        <v/>
      </c>
      <c r="R12" s="172">
        <f>IF('Оперативный ввод'!P12="","",'Оперативный ввод'!P12)</f>
        <v/>
      </c>
      <c r="S12" s="172">
        <f>IF('Оперативный ввод'!Q12="","",'Оперативный ввод'!Q12)</f>
        <v/>
      </c>
      <c r="T12" s="172">
        <f>IF('Оперативный ввод'!R12="","",'Оперативный ввод'!R12)</f>
        <v/>
      </c>
      <c r="U12" s="172">
        <f>IF('Оперативный ввод'!S12="","",'Оперативный ввод'!S12)</f>
        <v/>
      </c>
      <c r="V12" s="172">
        <f>IF('Оперативный ввод'!T12="","",'Оперативный ввод'!T12)</f>
        <v/>
      </c>
      <c r="W12" s="172" t="n"/>
      <c r="X12" s="172" t="n"/>
      <c r="Y12" s="172" t="n"/>
      <c r="Z12" s="172" t="n"/>
      <c r="AA12" s="172">
        <f>IF('Оперативный ввод'!U12="","",'Оперативный ввод'!U12)</f>
        <v/>
      </c>
      <c r="AB12" s="172">
        <f>IF('Оперативный ввод'!V12="","",'Оперативный ввод'!V12)</f>
        <v/>
      </c>
      <c r="AC12" s="172">
        <f>IF('Оперативный ввод'!W12="","",'Оперативный ввод'!W12)</f>
        <v/>
      </c>
      <c r="BB12" s="172" t="n"/>
      <c r="BC12" s="172" t="n"/>
      <c r="BD12" s="205">
        <f>IF(AND(A12="",B12=""),"",IF(AND(P12="ГОТОВО",R12&lt;&gt;"",T12&lt;&gt;"",U12&lt;&gt;"",AA12&lt;&gt;"",AB12&lt;&gt;"",AC12&lt;&gt;"",BB12&lt;&gt;"",BC12&lt;&gt;""),"ГОТОВО","НЕ ГОТОВО"))</f>
        <v/>
      </c>
      <c r="BE12" s="205">
        <f>IF(BD12&lt;&gt;"ГОТОВО","","Полное заключение: "&amp;A12&amp;", скв. "&amp;B12&amp;". МРП: "&amp;E12&amp;" сут. ГНО: "&amp;F12&amp;"; причина: "&amp;U12&amp;"; категория: "&amp;V12&amp;"; решение комиссии: "&amp;BB12&amp;".")</f>
        <v/>
      </c>
      <c r="BF12" s="173">
        <f>IF('Оперативный ввод'!X12="","",'Оперативный ввод'!X12)</f>
        <v/>
      </c>
    </row>
    <row r="13">
      <c r="A13" s="171">
        <f>IF('Оперативный ввод'!A13="","",'Оперативный ввод'!A13)</f>
        <v/>
      </c>
      <c r="B13" s="172">
        <f>IF('Оперативный ввод'!B13="","",'Оперативный ввод'!B13)</f>
        <v/>
      </c>
      <c r="C13" s="270">
        <f>IF('Оперативный ввод'!C13="","",'Оперативный ввод'!C13)</f>
        <v/>
      </c>
      <c r="D13" s="270">
        <f>IF('Оперативный ввод'!D13="","",'Оперативный ввод'!D13)</f>
        <v/>
      </c>
      <c r="E13" s="271">
        <f>IF(OR(C13="",D13=""),"",D13-C13)</f>
        <v/>
      </c>
      <c r="F13" s="172">
        <f>IF('Оперативный ввод'!F13="","",'Оперативный ввод'!F13)</f>
        <v/>
      </c>
      <c r="G13" s="172">
        <f>IF('Оперативный ввод'!G13="","",'Оперативный ввод'!G13)</f>
        <v/>
      </c>
      <c r="H13" s="172">
        <f>IF('Оперативный ввод'!H13="","",'Оперативный ввод'!H13)</f>
        <v/>
      </c>
      <c r="I13" s="172">
        <f>IF('Оперативный ввод'!I13="","",'Оперативный ввод'!I13)</f>
        <v/>
      </c>
      <c r="J13" s="172">
        <f>IF('Оперативный ввод'!J13="","",'Оперативный ввод'!J13)</f>
        <v/>
      </c>
      <c r="K13" s="172">
        <f>IF('Оперативный ввод'!K13="","",'Оперативный ввод'!K13)</f>
        <v/>
      </c>
      <c r="L13" s="172">
        <f>IF('Оперативный ввод'!L13="","",'Оперативный ввод'!L13)</f>
        <v/>
      </c>
      <c r="M13" s="172">
        <f>IF('Оперативный ввод'!M13="","",'Оперативный ввод'!M13)</f>
        <v/>
      </c>
      <c r="N13" s="172">
        <f>IF('Оперативный ввод'!N13="","",'Оперативный ввод'!N13)</f>
        <v/>
      </c>
      <c r="O13" s="172">
        <f>IF('Оперативный ввод'!O13="","",'Оперативный ввод'!O13)</f>
        <v/>
      </c>
      <c r="P13" s="205">
        <f>IF(AND(A13="",B13=""),"",IF(AND(A13&lt;&gt;"",B13&lt;&gt;"",C13&lt;&gt;"",D13&lt;&gt;"",F13&lt;&gt;"",G13&lt;&gt;"",H13&lt;&gt;"",ISERROR(SEARCH("по паспорту",G13)),ISERROR(SEARCH("по паспорту",H13)),I13&lt;&gt;"",J13&lt;&gt;"",K13&lt;&gt;"",L13&lt;&gt;"",M13&lt;&gt;""),"ГОТОВО","НЕ ГОТОВО"))</f>
        <v/>
      </c>
      <c r="Q13" s="205">
        <f>IF(P13&lt;&gt;"ГОТОВО","", "Предварительное заключение: "&amp;A13&amp;", скв. "&amp;B13&amp;". МРП: "&amp;E13&amp;" сут. ГНО: "&amp;F13&amp;", типоразмер "&amp;G13&amp;", марка "&amp;H13&amp;". Событие: "&amp;I13&amp;". Признак: "&amp;J13&amp;". Узел: "&amp;K13&amp;". Предварительная причина: "&amp;L13&amp;". Основное осложнение: "&amp;M13&amp;IF(N13&lt;&gt;"","; сопутствующее: "&amp;N13,"")&amp;IF(O13&lt;&gt;"","; дополнительно: "&amp;O13,"")&amp;".")</f>
        <v/>
      </c>
      <c r="R13" s="172">
        <f>IF('Оперативный ввод'!P13="","",'Оперативный ввод'!P13)</f>
        <v/>
      </c>
      <c r="S13" s="172">
        <f>IF('Оперативный ввод'!Q13="","",'Оперативный ввод'!Q13)</f>
        <v/>
      </c>
      <c r="T13" s="172">
        <f>IF('Оперативный ввод'!R13="","",'Оперативный ввод'!R13)</f>
        <v/>
      </c>
      <c r="U13" s="172">
        <f>IF('Оперативный ввод'!S13="","",'Оперативный ввод'!S13)</f>
        <v/>
      </c>
      <c r="V13" s="172">
        <f>IF('Оперативный ввод'!T13="","",'Оперативный ввод'!T13)</f>
        <v/>
      </c>
      <c r="W13" s="172" t="n"/>
      <c r="X13" s="172" t="n"/>
      <c r="Y13" s="172" t="n"/>
      <c r="Z13" s="172" t="n"/>
      <c r="AA13" s="172">
        <f>IF('Оперативный ввод'!U13="","",'Оперативный ввод'!U13)</f>
        <v/>
      </c>
      <c r="AB13" s="172">
        <f>IF('Оперативный ввод'!V13="","",'Оперативный ввод'!V13)</f>
        <v/>
      </c>
      <c r="AC13" s="172">
        <f>IF('Оперативный ввод'!W13="","",'Оперативный ввод'!W13)</f>
        <v/>
      </c>
      <c r="BB13" s="172" t="n"/>
      <c r="BC13" s="172" t="n"/>
      <c r="BD13" s="205">
        <f>IF(AND(A13="",B13=""),"",IF(AND(P13="ГОТОВО",R13&lt;&gt;"",T13&lt;&gt;"",U13&lt;&gt;"",AA13&lt;&gt;"",AB13&lt;&gt;"",AC13&lt;&gt;"",BB13&lt;&gt;"",BC13&lt;&gt;""),"ГОТОВО","НЕ ГОТОВО"))</f>
        <v/>
      </c>
      <c r="BE13" s="205">
        <f>IF(BD13&lt;&gt;"ГОТОВО","","Полное заключение: "&amp;A13&amp;", скв. "&amp;B13&amp;". МРП: "&amp;E13&amp;" сут. ГНО: "&amp;F13&amp;"; причина: "&amp;U13&amp;"; категория: "&amp;V13&amp;"; решение комиссии: "&amp;BB13&amp;".")</f>
        <v/>
      </c>
      <c r="BF13" s="173">
        <f>IF('Оперативный ввод'!X13="","",'Оперативный ввод'!X13)</f>
        <v/>
      </c>
    </row>
    <row r="14">
      <c r="A14" s="171">
        <f>IF('Оперативный ввод'!A14="","",'Оперативный ввод'!A14)</f>
        <v/>
      </c>
      <c r="B14" s="172">
        <f>IF('Оперативный ввод'!B14="","",'Оперативный ввод'!B14)</f>
        <v/>
      </c>
      <c r="C14" s="270">
        <f>IF('Оперативный ввод'!C14="","",'Оперативный ввод'!C14)</f>
        <v/>
      </c>
      <c r="D14" s="270">
        <f>IF('Оперативный ввод'!D14="","",'Оперативный ввод'!D14)</f>
        <v/>
      </c>
      <c r="E14" s="271">
        <f>IF(OR(C14="",D14=""),"",D14-C14)</f>
        <v/>
      </c>
      <c r="F14" s="172">
        <f>IF('Оперативный ввод'!F14="","",'Оперативный ввод'!F14)</f>
        <v/>
      </c>
      <c r="G14" s="172">
        <f>IF('Оперативный ввод'!G14="","",'Оперативный ввод'!G14)</f>
        <v/>
      </c>
      <c r="H14" s="172">
        <f>IF('Оперативный ввод'!H14="","",'Оперативный ввод'!H14)</f>
        <v/>
      </c>
      <c r="I14" s="172">
        <f>IF('Оперативный ввод'!I14="","",'Оперативный ввод'!I14)</f>
        <v/>
      </c>
      <c r="J14" s="172">
        <f>IF('Оперативный ввод'!J14="","",'Оперативный ввод'!J14)</f>
        <v/>
      </c>
      <c r="K14" s="172">
        <f>IF('Оперативный ввод'!K14="","",'Оперативный ввод'!K14)</f>
        <v/>
      </c>
      <c r="L14" s="172">
        <f>IF('Оперативный ввод'!L14="","",'Оперативный ввод'!L14)</f>
        <v/>
      </c>
      <c r="M14" s="172">
        <f>IF('Оперативный ввод'!M14="","",'Оперативный ввод'!M14)</f>
        <v/>
      </c>
      <c r="N14" s="172">
        <f>IF('Оперативный ввод'!N14="","",'Оперативный ввод'!N14)</f>
        <v/>
      </c>
      <c r="O14" s="172">
        <f>IF('Оперативный ввод'!O14="","",'Оперативный ввод'!O14)</f>
        <v/>
      </c>
      <c r="P14" s="205">
        <f>IF(AND(A14="",B14=""),"",IF(AND(A14&lt;&gt;"",B14&lt;&gt;"",C14&lt;&gt;"",D14&lt;&gt;"",F14&lt;&gt;"",G14&lt;&gt;"",H14&lt;&gt;"",ISERROR(SEARCH("по паспорту",G14)),ISERROR(SEARCH("по паспорту",H14)),I14&lt;&gt;"",J14&lt;&gt;"",K14&lt;&gt;"",L14&lt;&gt;"",M14&lt;&gt;""),"ГОТОВО","НЕ ГОТОВО"))</f>
        <v/>
      </c>
      <c r="Q14" s="205">
        <f>IF(P14&lt;&gt;"ГОТОВО","", "Предварительное заключение: "&amp;A14&amp;", скв. "&amp;B14&amp;". МРП: "&amp;E14&amp;" сут. ГНО: "&amp;F14&amp;", типоразмер "&amp;G14&amp;", марка "&amp;H14&amp;". Событие: "&amp;I14&amp;". Признак: "&amp;J14&amp;". Узел: "&amp;K14&amp;". Предварительная причина: "&amp;L14&amp;". Основное осложнение: "&amp;M14&amp;IF(N14&lt;&gt;"","; сопутствующее: "&amp;N14,"")&amp;IF(O14&lt;&gt;"","; дополнительно: "&amp;O14,"")&amp;".")</f>
        <v/>
      </c>
      <c r="R14" s="172">
        <f>IF('Оперативный ввод'!P14="","",'Оперативный ввод'!P14)</f>
        <v/>
      </c>
      <c r="S14" s="172">
        <f>IF('Оперативный ввод'!Q14="","",'Оперативный ввод'!Q14)</f>
        <v/>
      </c>
      <c r="T14" s="172">
        <f>IF('Оперативный ввод'!R14="","",'Оперативный ввод'!R14)</f>
        <v/>
      </c>
      <c r="U14" s="172">
        <f>IF('Оперативный ввод'!S14="","",'Оперативный ввод'!S14)</f>
        <v/>
      </c>
      <c r="V14" s="172">
        <f>IF('Оперативный ввод'!T14="","",'Оперативный ввод'!T14)</f>
        <v/>
      </c>
      <c r="W14" s="172" t="n"/>
      <c r="X14" s="172" t="n"/>
      <c r="Y14" s="172" t="n"/>
      <c r="Z14" s="172" t="n"/>
      <c r="AA14" s="172">
        <f>IF('Оперативный ввод'!U14="","",'Оперативный ввод'!U14)</f>
        <v/>
      </c>
      <c r="AB14" s="172">
        <f>IF('Оперативный ввод'!V14="","",'Оперативный ввод'!V14)</f>
        <v/>
      </c>
      <c r="AC14" s="172">
        <f>IF('Оперативный ввод'!W14="","",'Оперативный ввод'!W14)</f>
        <v/>
      </c>
      <c r="BB14" s="172" t="n"/>
      <c r="BC14" s="172" t="n"/>
      <c r="BD14" s="205">
        <f>IF(AND(A14="",B14=""),"",IF(AND(P14="ГОТОВО",R14&lt;&gt;"",T14&lt;&gt;"",U14&lt;&gt;"",AA14&lt;&gt;"",AB14&lt;&gt;"",AC14&lt;&gt;"",BB14&lt;&gt;"",BC14&lt;&gt;""),"ГОТОВО","НЕ ГОТОВО"))</f>
        <v/>
      </c>
      <c r="BE14" s="205">
        <f>IF(BD14&lt;&gt;"ГОТОВО","","Полное заключение: "&amp;A14&amp;", скв. "&amp;B14&amp;". МРП: "&amp;E14&amp;" сут. ГНО: "&amp;F14&amp;"; причина: "&amp;U14&amp;"; категория: "&amp;V14&amp;"; решение комиссии: "&amp;BB14&amp;".")</f>
        <v/>
      </c>
      <c r="BF14" s="173">
        <f>IF('Оперативный ввод'!X14="","",'Оперативный ввод'!X14)</f>
        <v/>
      </c>
    </row>
    <row r="15">
      <c r="A15" s="171">
        <f>IF('Оперативный ввод'!A15="","",'Оперативный ввод'!A15)</f>
        <v/>
      </c>
      <c r="B15" s="172">
        <f>IF('Оперативный ввод'!B15="","",'Оперативный ввод'!B15)</f>
        <v/>
      </c>
      <c r="C15" s="270">
        <f>IF('Оперативный ввод'!C15="","",'Оперативный ввод'!C15)</f>
        <v/>
      </c>
      <c r="D15" s="270">
        <f>IF('Оперативный ввод'!D15="","",'Оперативный ввод'!D15)</f>
        <v/>
      </c>
      <c r="E15" s="271">
        <f>IF(OR(C15="",D15=""),"",D15-C15)</f>
        <v/>
      </c>
      <c r="F15" s="172">
        <f>IF('Оперативный ввод'!F15="","",'Оперативный ввод'!F15)</f>
        <v/>
      </c>
      <c r="G15" s="172">
        <f>IF('Оперативный ввод'!G15="","",'Оперативный ввод'!G15)</f>
        <v/>
      </c>
      <c r="H15" s="172">
        <f>IF('Оперативный ввод'!H15="","",'Оперативный ввод'!H15)</f>
        <v/>
      </c>
      <c r="I15" s="172">
        <f>IF('Оперативный ввод'!I15="","",'Оперативный ввод'!I15)</f>
        <v/>
      </c>
      <c r="J15" s="172">
        <f>IF('Оперативный ввод'!J15="","",'Оперативный ввод'!J15)</f>
        <v/>
      </c>
      <c r="K15" s="172">
        <f>IF('Оперативный ввод'!K15="","",'Оперативный ввод'!K15)</f>
        <v/>
      </c>
      <c r="L15" s="172">
        <f>IF('Оперативный ввод'!L15="","",'Оперативный ввод'!L15)</f>
        <v/>
      </c>
      <c r="M15" s="172">
        <f>IF('Оперативный ввод'!M15="","",'Оперативный ввод'!M15)</f>
        <v/>
      </c>
      <c r="N15" s="172">
        <f>IF('Оперативный ввод'!N15="","",'Оперативный ввод'!N15)</f>
        <v/>
      </c>
      <c r="O15" s="172">
        <f>IF('Оперативный ввод'!O15="","",'Оперативный ввод'!O15)</f>
        <v/>
      </c>
      <c r="P15" s="205">
        <f>IF(AND(A15="",B15=""),"",IF(AND(A15&lt;&gt;"",B15&lt;&gt;"",C15&lt;&gt;"",D15&lt;&gt;"",F15&lt;&gt;"",G15&lt;&gt;"",H15&lt;&gt;"",ISERROR(SEARCH("по паспорту",G15)),ISERROR(SEARCH("по паспорту",H15)),I15&lt;&gt;"",J15&lt;&gt;"",K15&lt;&gt;"",L15&lt;&gt;"",M15&lt;&gt;""),"ГОТОВО","НЕ ГОТОВО"))</f>
        <v/>
      </c>
      <c r="Q15" s="205">
        <f>IF(P15&lt;&gt;"ГОТОВО","", "Предварительное заключение: "&amp;A15&amp;", скв. "&amp;B15&amp;". МРП: "&amp;E15&amp;" сут. ГНО: "&amp;F15&amp;", типоразмер "&amp;G15&amp;", марка "&amp;H15&amp;". Событие: "&amp;I15&amp;". Признак: "&amp;J15&amp;". Узел: "&amp;K15&amp;". Предварительная причина: "&amp;L15&amp;". Основное осложнение: "&amp;M15&amp;IF(N15&lt;&gt;"","; сопутствующее: "&amp;N15,"")&amp;IF(O15&lt;&gt;"","; дополнительно: "&amp;O15,"")&amp;".")</f>
        <v/>
      </c>
      <c r="R15" s="172">
        <f>IF('Оперативный ввод'!P15="","",'Оперативный ввод'!P15)</f>
        <v/>
      </c>
      <c r="S15" s="172">
        <f>IF('Оперативный ввод'!Q15="","",'Оперативный ввод'!Q15)</f>
        <v/>
      </c>
      <c r="T15" s="172">
        <f>IF('Оперативный ввод'!R15="","",'Оперативный ввод'!R15)</f>
        <v/>
      </c>
      <c r="U15" s="172">
        <f>IF('Оперативный ввод'!S15="","",'Оперативный ввод'!S15)</f>
        <v/>
      </c>
      <c r="V15" s="172">
        <f>IF('Оперативный ввод'!T15="","",'Оперативный ввод'!T15)</f>
        <v/>
      </c>
      <c r="W15" s="172" t="n"/>
      <c r="X15" s="172" t="n"/>
      <c r="Y15" s="172" t="n"/>
      <c r="Z15" s="172" t="n"/>
      <c r="AA15" s="172">
        <f>IF('Оперативный ввод'!U15="","",'Оперативный ввод'!U15)</f>
        <v/>
      </c>
      <c r="AB15" s="172">
        <f>IF('Оперативный ввод'!V15="","",'Оперативный ввод'!V15)</f>
        <v/>
      </c>
      <c r="AC15" s="172">
        <f>IF('Оперативный ввод'!W15="","",'Оперативный ввод'!W15)</f>
        <v/>
      </c>
      <c r="BB15" s="172" t="n"/>
      <c r="BC15" s="172" t="n"/>
      <c r="BD15" s="205">
        <f>IF(AND(A15="",B15=""),"",IF(AND(P15="ГОТОВО",R15&lt;&gt;"",T15&lt;&gt;"",U15&lt;&gt;"",AA15&lt;&gt;"",AB15&lt;&gt;"",AC15&lt;&gt;"",BB15&lt;&gt;"",BC15&lt;&gt;""),"ГОТОВО","НЕ ГОТОВО"))</f>
        <v/>
      </c>
      <c r="BE15" s="205">
        <f>IF(BD15&lt;&gt;"ГОТОВО","","Полное заключение: "&amp;A15&amp;", скв. "&amp;B15&amp;". МРП: "&amp;E15&amp;" сут. ГНО: "&amp;F15&amp;"; причина: "&amp;U15&amp;"; категория: "&amp;V15&amp;"; решение комиссии: "&amp;BB15&amp;".")</f>
        <v/>
      </c>
      <c r="BF15" s="173">
        <f>IF('Оперативный ввод'!X15="","",'Оперативный ввод'!X15)</f>
        <v/>
      </c>
    </row>
    <row r="16">
      <c r="A16" s="171">
        <f>IF('Оперативный ввод'!A16="","",'Оперативный ввод'!A16)</f>
        <v/>
      </c>
      <c r="B16" s="172">
        <f>IF('Оперативный ввод'!B16="","",'Оперативный ввод'!B16)</f>
        <v/>
      </c>
      <c r="C16" s="270">
        <f>IF('Оперативный ввод'!C16="","",'Оперативный ввод'!C16)</f>
        <v/>
      </c>
      <c r="D16" s="270">
        <f>IF('Оперативный ввод'!D16="","",'Оперативный ввод'!D16)</f>
        <v/>
      </c>
      <c r="E16" s="271">
        <f>IF(OR(C16="",D16=""),"",D16-C16)</f>
        <v/>
      </c>
      <c r="F16" s="172">
        <f>IF('Оперативный ввод'!F16="","",'Оперативный ввод'!F16)</f>
        <v/>
      </c>
      <c r="G16" s="172">
        <f>IF('Оперативный ввод'!G16="","",'Оперативный ввод'!G16)</f>
        <v/>
      </c>
      <c r="H16" s="172">
        <f>IF('Оперативный ввод'!H16="","",'Оперативный ввод'!H16)</f>
        <v/>
      </c>
      <c r="I16" s="172">
        <f>IF('Оперативный ввод'!I16="","",'Оперативный ввод'!I16)</f>
        <v/>
      </c>
      <c r="J16" s="172">
        <f>IF('Оперативный ввод'!J16="","",'Оперативный ввод'!J16)</f>
        <v/>
      </c>
      <c r="K16" s="172">
        <f>IF('Оперативный ввод'!K16="","",'Оперативный ввод'!K16)</f>
        <v/>
      </c>
      <c r="L16" s="172">
        <f>IF('Оперативный ввод'!L16="","",'Оперативный ввод'!L16)</f>
        <v/>
      </c>
      <c r="M16" s="172">
        <f>IF('Оперативный ввод'!M16="","",'Оперативный ввод'!M16)</f>
        <v/>
      </c>
      <c r="N16" s="172">
        <f>IF('Оперативный ввод'!N16="","",'Оперативный ввод'!N16)</f>
        <v/>
      </c>
      <c r="O16" s="172">
        <f>IF('Оперативный ввод'!O16="","",'Оперативный ввод'!O16)</f>
        <v/>
      </c>
      <c r="P16" s="205">
        <f>IF(AND(A16="",B16=""),"",IF(AND(A16&lt;&gt;"",B16&lt;&gt;"",C16&lt;&gt;"",D16&lt;&gt;"",F16&lt;&gt;"",G16&lt;&gt;"",H16&lt;&gt;"",ISERROR(SEARCH("по паспорту",G16)),ISERROR(SEARCH("по паспорту",H16)),I16&lt;&gt;"",J16&lt;&gt;"",K16&lt;&gt;"",L16&lt;&gt;"",M16&lt;&gt;""),"ГОТОВО","НЕ ГОТОВО"))</f>
        <v/>
      </c>
      <c r="Q16" s="205">
        <f>IF(P16&lt;&gt;"ГОТОВО","", "Предварительное заключение: "&amp;A16&amp;", скв. "&amp;B16&amp;". МРП: "&amp;E16&amp;" сут. ГНО: "&amp;F16&amp;", типоразмер "&amp;G16&amp;", марка "&amp;H16&amp;". Событие: "&amp;I16&amp;". Признак: "&amp;J16&amp;". Узел: "&amp;K16&amp;". Предварительная причина: "&amp;L16&amp;". Основное осложнение: "&amp;M16&amp;IF(N16&lt;&gt;"","; сопутствующее: "&amp;N16,"")&amp;IF(O16&lt;&gt;"","; дополнительно: "&amp;O16,"")&amp;".")</f>
        <v/>
      </c>
      <c r="R16" s="172">
        <f>IF('Оперативный ввод'!P16="","",'Оперативный ввод'!P16)</f>
        <v/>
      </c>
      <c r="S16" s="172">
        <f>IF('Оперативный ввод'!Q16="","",'Оперативный ввод'!Q16)</f>
        <v/>
      </c>
      <c r="T16" s="172">
        <f>IF('Оперативный ввод'!R16="","",'Оперативный ввод'!R16)</f>
        <v/>
      </c>
      <c r="U16" s="172">
        <f>IF('Оперативный ввод'!S16="","",'Оперативный ввод'!S16)</f>
        <v/>
      </c>
      <c r="V16" s="172">
        <f>IF('Оперативный ввод'!T16="","",'Оперативный ввод'!T16)</f>
        <v/>
      </c>
      <c r="W16" s="172" t="n"/>
      <c r="X16" s="172" t="n"/>
      <c r="Y16" s="172" t="n"/>
      <c r="Z16" s="172" t="n"/>
      <c r="AA16" s="172">
        <f>IF('Оперативный ввод'!U16="","",'Оперативный ввод'!U16)</f>
        <v/>
      </c>
      <c r="AB16" s="172">
        <f>IF('Оперативный ввод'!V16="","",'Оперативный ввод'!V16)</f>
        <v/>
      </c>
      <c r="AC16" s="172">
        <f>IF('Оперативный ввод'!W16="","",'Оперативный ввод'!W16)</f>
        <v/>
      </c>
      <c r="BB16" s="172" t="n"/>
      <c r="BC16" s="172" t="n"/>
      <c r="BD16" s="205">
        <f>IF(AND(A16="",B16=""),"",IF(AND(P16="ГОТОВО",R16&lt;&gt;"",T16&lt;&gt;"",U16&lt;&gt;"",AA16&lt;&gt;"",AB16&lt;&gt;"",AC16&lt;&gt;"",BB16&lt;&gt;"",BC16&lt;&gt;""),"ГОТОВО","НЕ ГОТОВО"))</f>
        <v/>
      </c>
      <c r="BE16" s="205">
        <f>IF(BD16&lt;&gt;"ГОТОВО","","Полное заключение: "&amp;A16&amp;", скв. "&amp;B16&amp;". МРП: "&amp;E16&amp;" сут. ГНО: "&amp;F16&amp;"; причина: "&amp;U16&amp;"; категория: "&amp;V16&amp;"; решение комиссии: "&amp;BB16&amp;".")</f>
        <v/>
      </c>
      <c r="BF16" s="173">
        <f>IF('Оперативный ввод'!X16="","",'Оперативный ввод'!X16)</f>
        <v/>
      </c>
    </row>
    <row r="17">
      <c r="A17" s="171">
        <f>IF('Оперативный ввод'!A17="","",'Оперативный ввод'!A17)</f>
        <v/>
      </c>
      <c r="B17" s="172">
        <f>IF('Оперативный ввод'!B17="","",'Оперативный ввод'!B17)</f>
        <v/>
      </c>
      <c r="C17" s="270">
        <f>IF('Оперативный ввод'!C17="","",'Оперативный ввод'!C17)</f>
        <v/>
      </c>
      <c r="D17" s="270">
        <f>IF('Оперативный ввод'!D17="","",'Оперативный ввод'!D17)</f>
        <v/>
      </c>
      <c r="E17" s="271">
        <f>IF(OR(C17="",D17=""),"",D17-C17)</f>
        <v/>
      </c>
      <c r="F17" s="172">
        <f>IF('Оперативный ввод'!F17="","",'Оперативный ввод'!F17)</f>
        <v/>
      </c>
      <c r="G17" s="172">
        <f>IF('Оперативный ввод'!G17="","",'Оперативный ввод'!G17)</f>
        <v/>
      </c>
      <c r="H17" s="172">
        <f>IF('Оперативный ввод'!H17="","",'Оперативный ввод'!H17)</f>
        <v/>
      </c>
      <c r="I17" s="172">
        <f>IF('Оперативный ввод'!I17="","",'Оперативный ввод'!I17)</f>
        <v/>
      </c>
      <c r="J17" s="172">
        <f>IF('Оперативный ввод'!J17="","",'Оперативный ввод'!J17)</f>
        <v/>
      </c>
      <c r="K17" s="172">
        <f>IF('Оперативный ввод'!K17="","",'Оперативный ввод'!K17)</f>
        <v/>
      </c>
      <c r="L17" s="172">
        <f>IF('Оперативный ввод'!L17="","",'Оперативный ввод'!L17)</f>
        <v/>
      </c>
      <c r="M17" s="172">
        <f>IF('Оперативный ввод'!M17="","",'Оперативный ввод'!M17)</f>
        <v/>
      </c>
      <c r="N17" s="172">
        <f>IF('Оперативный ввод'!N17="","",'Оперативный ввод'!N17)</f>
        <v/>
      </c>
      <c r="O17" s="172">
        <f>IF('Оперативный ввод'!O17="","",'Оперативный ввод'!O17)</f>
        <v/>
      </c>
      <c r="P17" s="205">
        <f>IF(AND(A17="",B17=""),"",IF(AND(A17&lt;&gt;"",B17&lt;&gt;"",C17&lt;&gt;"",D17&lt;&gt;"",F17&lt;&gt;"",G17&lt;&gt;"",H17&lt;&gt;"",ISERROR(SEARCH("по паспорту",G17)),ISERROR(SEARCH("по паспорту",H17)),I17&lt;&gt;"",J17&lt;&gt;"",K17&lt;&gt;"",L17&lt;&gt;"",M17&lt;&gt;""),"ГОТОВО","НЕ ГОТОВО"))</f>
        <v/>
      </c>
      <c r="Q17" s="205">
        <f>IF(P17&lt;&gt;"ГОТОВО","", "Предварительное заключение: "&amp;A17&amp;", скв. "&amp;B17&amp;". МРП: "&amp;E17&amp;" сут. ГНО: "&amp;F17&amp;", типоразмер "&amp;G17&amp;", марка "&amp;H17&amp;". Событие: "&amp;I17&amp;". Признак: "&amp;J17&amp;". Узел: "&amp;K17&amp;". Предварительная причина: "&amp;L17&amp;". Основное осложнение: "&amp;M17&amp;IF(N17&lt;&gt;"","; сопутствующее: "&amp;N17,"")&amp;IF(O17&lt;&gt;"","; дополнительно: "&amp;O17,"")&amp;".")</f>
        <v/>
      </c>
      <c r="R17" s="172">
        <f>IF('Оперативный ввод'!P17="","",'Оперативный ввод'!P17)</f>
        <v/>
      </c>
      <c r="S17" s="172">
        <f>IF('Оперативный ввод'!Q17="","",'Оперативный ввод'!Q17)</f>
        <v/>
      </c>
      <c r="T17" s="172">
        <f>IF('Оперативный ввод'!R17="","",'Оперативный ввод'!R17)</f>
        <v/>
      </c>
      <c r="U17" s="172">
        <f>IF('Оперативный ввод'!S17="","",'Оперативный ввод'!S17)</f>
        <v/>
      </c>
      <c r="V17" s="172">
        <f>IF('Оперативный ввод'!T17="","",'Оперативный ввод'!T17)</f>
        <v/>
      </c>
      <c r="W17" s="172" t="n"/>
      <c r="X17" s="172" t="n"/>
      <c r="Y17" s="172" t="n"/>
      <c r="Z17" s="172" t="n"/>
      <c r="AA17" s="172">
        <f>IF('Оперативный ввод'!U17="","",'Оперативный ввод'!U17)</f>
        <v/>
      </c>
      <c r="AB17" s="172">
        <f>IF('Оперативный ввод'!V17="","",'Оперативный ввод'!V17)</f>
        <v/>
      </c>
      <c r="AC17" s="172">
        <f>IF('Оперативный ввод'!W17="","",'Оперативный ввод'!W17)</f>
        <v/>
      </c>
      <c r="BB17" s="172" t="n"/>
      <c r="BC17" s="172" t="n"/>
      <c r="BD17" s="205">
        <f>IF(AND(A17="",B17=""),"",IF(AND(P17="ГОТОВО",R17&lt;&gt;"",T17&lt;&gt;"",U17&lt;&gt;"",AA17&lt;&gt;"",AB17&lt;&gt;"",AC17&lt;&gt;"",BB17&lt;&gt;"",BC17&lt;&gt;""),"ГОТОВО","НЕ ГОТОВО"))</f>
        <v/>
      </c>
      <c r="BE17" s="205">
        <f>IF(BD17&lt;&gt;"ГОТОВО","","Полное заключение: "&amp;A17&amp;", скв. "&amp;B17&amp;". МРП: "&amp;E17&amp;" сут. ГНО: "&amp;F17&amp;"; причина: "&amp;U17&amp;"; категория: "&amp;V17&amp;"; решение комиссии: "&amp;BB17&amp;".")</f>
        <v/>
      </c>
      <c r="BF17" s="173">
        <f>IF('Оперативный ввод'!X17="","",'Оперативный ввод'!X17)</f>
        <v/>
      </c>
    </row>
    <row r="18">
      <c r="A18" s="171">
        <f>IF('Оперативный ввод'!A18="","",'Оперативный ввод'!A18)</f>
        <v/>
      </c>
      <c r="B18" s="172">
        <f>IF('Оперативный ввод'!B18="","",'Оперативный ввод'!B18)</f>
        <v/>
      </c>
      <c r="C18" s="270">
        <f>IF('Оперативный ввод'!C18="","",'Оперативный ввод'!C18)</f>
        <v/>
      </c>
      <c r="D18" s="270">
        <f>IF('Оперативный ввод'!D18="","",'Оперативный ввод'!D18)</f>
        <v/>
      </c>
      <c r="E18" s="271">
        <f>IF(OR(C18="",D18=""),"",D18-C18)</f>
        <v/>
      </c>
      <c r="F18" s="172">
        <f>IF('Оперативный ввод'!F18="","",'Оперативный ввод'!F18)</f>
        <v/>
      </c>
      <c r="G18" s="172">
        <f>IF('Оперативный ввод'!G18="","",'Оперативный ввод'!G18)</f>
        <v/>
      </c>
      <c r="H18" s="172">
        <f>IF('Оперативный ввод'!H18="","",'Оперативный ввод'!H18)</f>
        <v/>
      </c>
      <c r="I18" s="172">
        <f>IF('Оперативный ввод'!I18="","",'Оперативный ввод'!I18)</f>
        <v/>
      </c>
      <c r="J18" s="172">
        <f>IF('Оперативный ввод'!J18="","",'Оперативный ввод'!J18)</f>
        <v/>
      </c>
      <c r="K18" s="172">
        <f>IF('Оперативный ввод'!K18="","",'Оперативный ввод'!K18)</f>
        <v/>
      </c>
      <c r="L18" s="172">
        <f>IF('Оперативный ввод'!L18="","",'Оперативный ввод'!L18)</f>
        <v/>
      </c>
      <c r="M18" s="172">
        <f>IF('Оперативный ввод'!M18="","",'Оперативный ввод'!M18)</f>
        <v/>
      </c>
      <c r="N18" s="172">
        <f>IF('Оперативный ввод'!N18="","",'Оперативный ввод'!N18)</f>
        <v/>
      </c>
      <c r="O18" s="172">
        <f>IF('Оперативный ввод'!O18="","",'Оперативный ввод'!O18)</f>
        <v/>
      </c>
      <c r="P18" s="205">
        <f>IF(AND(A18="",B18=""),"",IF(AND(A18&lt;&gt;"",B18&lt;&gt;"",C18&lt;&gt;"",D18&lt;&gt;"",F18&lt;&gt;"",G18&lt;&gt;"",H18&lt;&gt;"",ISERROR(SEARCH("по паспорту",G18)),ISERROR(SEARCH("по паспорту",H18)),I18&lt;&gt;"",J18&lt;&gt;"",K18&lt;&gt;"",L18&lt;&gt;"",M18&lt;&gt;""),"ГОТОВО","НЕ ГОТОВО"))</f>
        <v/>
      </c>
      <c r="Q18" s="205">
        <f>IF(P18&lt;&gt;"ГОТОВО","", "Предварительное заключение: "&amp;A18&amp;", скв. "&amp;B18&amp;". МРП: "&amp;E18&amp;" сут. ГНО: "&amp;F18&amp;", типоразмер "&amp;G18&amp;", марка "&amp;H18&amp;". Событие: "&amp;I18&amp;". Признак: "&amp;J18&amp;". Узел: "&amp;K18&amp;". Предварительная причина: "&amp;L18&amp;". Основное осложнение: "&amp;M18&amp;IF(N18&lt;&gt;"","; сопутствующее: "&amp;N18,"")&amp;IF(O18&lt;&gt;"","; дополнительно: "&amp;O18,"")&amp;".")</f>
        <v/>
      </c>
      <c r="R18" s="172">
        <f>IF('Оперативный ввод'!P18="","",'Оперативный ввод'!P18)</f>
        <v/>
      </c>
      <c r="S18" s="172">
        <f>IF('Оперативный ввод'!Q18="","",'Оперативный ввод'!Q18)</f>
        <v/>
      </c>
      <c r="T18" s="172">
        <f>IF('Оперативный ввод'!R18="","",'Оперативный ввод'!R18)</f>
        <v/>
      </c>
      <c r="U18" s="172">
        <f>IF('Оперативный ввод'!S18="","",'Оперативный ввод'!S18)</f>
        <v/>
      </c>
      <c r="V18" s="172">
        <f>IF('Оперативный ввод'!T18="","",'Оперативный ввод'!T18)</f>
        <v/>
      </c>
      <c r="W18" s="172" t="n"/>
      <c r="X18" s="172" t="n"/>
      <c r="Y18" s="172" t="n"/>
      <c r="Z18" s="172" t="n"/>
      <c r="AA18" s="172">
        <f>IF('Оперативный ввод'!U18="","",'Оперативный ввод'!U18)</f>
        <v/>
      </c>
      <c r="AB18" s="172">
        <f>IF('Оперативный ввод'!V18="","",'Оперативный ввод'!V18)</f>
        <v/>
      </c>
      <c r="AC18" s="172">
        <f>IF('Оперативный ввод'!W18="","",'Оперативный ввод'!W18)</f>
        <v/>
      </c>
      <c r="BB18" s="172" t="n"/>
      <c r="BC18" s="172" t="n"/>
      <c r="BD18" s="205">
        <f>IF(AND(A18="",B18=""),"",IF(AND(P18="ГОТОВО",R18&lt;&gt;"",T18&lt;&gt;"",U18&lt;&gt;"",AA18&lt;&gt;"",AB18&lt;&gt;"",AC18&lt;&gt;"",BB18&lt;&gt;"",BC18&lt;&gt;""),"ГОТОВО","НЕ ГОТОВО"))</f>
        <v/>
      </c>
      <c r="BE18" s="205">
        <f>IF(BD18&lt;&gt;"ГОТОВО","","Полное заключение: "&amp;A18&amp;", скв. "&amp;B18&amp;". МРП: "&amp;E18&amp;" сут. ГНО: "&amp;F18&amp;"; причина: "&amp;U18&amp;"; категория: "&amp;V18&amp;"; решение комиссии: "&amp;BB18&amp;".")</f>
        <v/>
      </c>
      <c r="BF18" s="173">
        <f>IF('Оперативный ввод'!X18="","",'Оперативный ввод'!X18)</f>
        <v/>
      </c>
    </row>
    <row r="19">
      <c r="A19" s="171">
        <f>IF('Оперативный ввод'!A19="","",'Оперативный ввод'!A19)</f>
        <v/>
      </c>
      <c r="B19" s="172">
        <f>IF('Оперативный ввод'!B19="","",'Оперативный ввод'!B19)</f>
        <v/>
      </c>
      <c r="C19" s="270">
        <f>IF('Оперативный ввод'!C19="","",'Оперативный ввод'!C19)</f>
        <v/>
      </c>
      <c r="D19" s="270">
        <f>IF('Оперативный ввод'!D19="","",'Оперативный ввод'!D19)</f>
        <v/>
      </c>
      <c r="E19" s="271">
        <f>IF(OR(C19="",D19=""),"",D19-C19)</f>
        <v/>
      </c>
      <c r="F19" s="172">
        <f>IF('Оперативный ввод'!F19="","",'Оперативный ввод'!F19)</f>
        <v/>
      </c>
      <c r="G19" s="172">
        <f>IF('Оперативный ввод'!G19="","",'Оперативный ввод'!G19)</f>
        <v/>
      </c>
      <c r="H19" s="172">
        <f>IF('Оперативный ввод'!H19="","",'Оперативный ввод'!H19)</f>
        <v/>
      </c>
      <c r="I19" s="172">
        <f>IF('Оперативный ввод'!I19="","",'Оперативный ввод'!I19)</f>
        <v/>
      </c>
      <c r="J19" s="172">
        <f>IF('Оперативный ввод'!J19="","",'Оперативный ввод'!J19)</f>
        <v/>
      </c>
      <c r="K19" s="172">
        <f>IF('Оперативный ввод'!K19="","",'Оперативный ввод'!K19)</f>
        <v/>
      </c>
      <c r="L19" s="172">
        <f>IF('Оперативный ввод'!L19="","",'Оперативный ввод'!L19)</f>
        <v/>
      </c>
      <c r="M19" s="172">
        <f>IF('Оперативный ввод'!M19="","",'Оперативный ввод'!M19)</f>
        <v/>
      </c>
      <c r="N19" s="172">
        <f>IF('Оперативный ввод'!N19="","",'Оперативный ввод'!N19)</f>
        <v/>
      </c>
      <c r="O19" s="172">
        <f>IF('Оперативный ввод'!O19="","",'Оперативный ввод'!O19)</f>
        <v/>
      </c>
      <c r="P19" s="205">
        <f>IF(AND(A19="",B19=""),"",IF(AND(A19&lt;&gt;"",B19&lt;&gt;"",C19&lt;&gt;"",D19&lt;&gt;"",F19&lt;&gt;"",G19&lt;&gt;"",H19&lt;&gt;"",ISERROR(SEARCH("по паспорту",G19)),ISERROR(SEARCH("по паспорту",H19)),I19&lt;&gt;"",J19&lt;&gt;"",K19&lt;&gt;"",L19&lt;&gt;"",M19&lt;&gt;""),"ГОТОВО","НЕ ГОТОВО"))</f>
        <v/>
      </c>
      <c r="Q19" s="205">
        <f>IF(P19&lt;&gt;"ГОТОВО","", "Предварительное заключение: "&amp;A19&amp;", скв. "&amp;B19&amp;". МРП: "&amp;E19&amp;" сут. ГНО: "&amp;F19&amp;", типоразмер "&amp;G19&amp;", марка "&amp;H19&amp;". Событие: "&amp;I19&amp;". Признак: "&amp;J19&amp;". Узел: "&amp;K19&amp;". Предварительная причина: "&amp;L19&amp;". Основное осложнение: "&amp;M19&amp;IF(N19&lt;&gt;"","; сопутствующее: "&amp;N19,"")&amp;IF(O19&lt;&gt;"","; дополнительно: "&amp;O19,"")&amp;".")</f>
        <v/>
      </c>
      <c r="R19" s="172">
        <f>IF('Оперативный ввод'!P19="","",'Оперативный ввод'!P19)</f>
        <v/>
      </c>
      <c r="S19" s="172">
        <f>IF('Оперативный ввод'!Q19="","",'Оперативный ввод'!Q19)</f>
        <v/>
      </c>
      <c r="T19" s="172">
        <f>IF('Оперативный ввод'!R19="","",'Оперативный ввод'!R19)</f>
        <v/>
      </c>
      <c r="U19" s="172">
        <f>IF('Оперативный ввод'!S19="","",'Оперативный ввод'!S19)</f>
        <v/>
      </c>
      <c r="V19" s="172">
        <f>IF('Оперативный ввод'!T19="","",'Оперативный ввод'!T19)</f>
        <v/>
      </c>
      <c r="W19" s="172" t="n"/>
      <c r="X19" s="172" t="n"/>
      <c r="Y19" s="172" t="n"/>
      <c r="Z19" s="172" t="n"/>
      <c r="AA19" s="172">
        <f>IF('Оперативный ввод'!U19="","",'Оперативный ввод'!U19)</f>
        <v/>
      </c>
      <c r="AB19" s="172">
        <f>IF('Оперативный ввод'!V19="","",'Оперативный ввод'!V19)</f>
        <v/>
      </c>
      <c r="AC19" s="172">
        <f>IF('Оперативный ввод'!W19="","",'Оперативный ввод'!W19)</f>
        <v/>
      </c>
      <c r="BB19" s="172" t="n"/>
      <c r="BC19" s="172" t="n"/>
      <c r="BD19" s="205">
        <f>IF(AND(A19="",B19=""),"",IF(AND(P19="ГОТОВО",R19&lt;&gt;"",T19&lt;&gt;"",U19&lt;&gt;"",AA19&lt;&gt;"",AB19&lt;&gt;"",AC19&lt;&gt;"",BB19&lt;&gt;"",BC19&lt;&gt;""),"ГОТОВО","НЕ ГОТОВО"))</f>
        <v/>
      </c>
      <c r="BE19" s="205">
        <f>IF(BD19&lt;&gt;"ГОТОВО","","Полное заключение: "&amp;A19&amp;", скв. "&amp;B19&amp;". МРП: "&amp;E19&amp;" сут. ГНО: "&amp;F19&amp;"; причина: "&amp;U19&amp;"; категория: "&amp;V19&amp;"; решение комиссии: "&amp;BB19&amp;".")</f>
        <v/>
      </c>
      <c r="BF19" s="173">
        <f>IF('Оперативный ввод'!X19="","",'Оперативный ввод'!X19)</f>
        <v/>
      </c>
    </row>
    <row r="20">
      <c r="A20" s="171">
        <f>IF('Оперативный ввод'!A20="","",'Оперативный ввод'!A20)</f>
        <v/>
      </c>
      <c r="B20" s="172">
        <f>IF('Оперативный ввод'!B20="","",'Оперативный ввод'!B20)</f>
        <v/>
      </c>
      <c r="C20" s="270">
        <f>IF('Оперативный ввод'!C20="","",'Оперативный ввод'!C20)</f>
        <v/>
      </c>
      <c r="D20" s="270">
        <f>IF('Оперативный ввод'!D20="","",'Оперативный ввод'!D20)</f>
        <v/>
      </c>
      <c r="E20" s="271">
        <f>IF(OR(C20="",D20=""),"",D20-C20)</f>
        <v/>
      </c>
      <c r="F20" s="172">
        <f>IF('Оперативный ввод'!F20="","",'Оперативный ввод'!F20)</f>
        <v/>
      </c>
      <c r="G20" s="172">
        <f>IF('Оперативный ввод'!G20="","",'Оперативный ввод'!G20)</f>
        <v/>
      </c>
      <c r="H20" s="172">
        <f>IF('Оперативный ввод'!H20="","",'Оперативный ввод'!H20)</f>
        <v/>
      </c>
      <c r="I20" s="172">
        <f>IF('Оперативный ввод'!I20="","",'Оперативный ввод'!I20)</f>
        <v/>
      </c>
      <c r="J20" s="172">
        <f>IF('Оперативный ввод'!J20="","",'Оперативный ввод'!J20)</f>
        <v/>
      </c>
      <c r="K20" s="172">
        <f>IF('Оперативный ввод'!K20="","",'Оперативный ввод'!K20)</f>
        <v/>
      </c>
      <c r="L20" s="172">
        <f>IF('Оперативный ввод'!L20="","",'Оперативный ввод'!L20)</f>
        <v/>
      </c>
      <c r="M20" s="172">
        <f>IF('Оперативный ввод'!M20="","",'Оперативный ввод'!M20)</f>
        <v/>
      </c>
      <c r="N20" s="172">
        <f>IF('Оперативный ввод'!N20="","",'Оперативный ввод'!N20)</f>
        <v/>
      </c>
      <c r="O20" s="172">
        <f>IF('Оперативный ввод'!O20="","",'Оперативный ввод'!O20)</f>
        <v/>
      </c>
      <c r="P20" s="205">
        <f>IF(AND(A20="",B20=""),"",IF(AND(A20&lt;&gt;"",B20&lt;&gt;"",C20&lt;&gt;"",D20&lt;&gt;"",F20&lt;&gt;"",G20&lt;&gt;"",H20&lt;&gt;"",ISERROR(SEARCH("по паспорту",G20)),ISERROR(SEARCH("по паспорту",H20)),I20&lt;&gt;"",J20&lt;&gt;"",K20&lt;&gt;"",L20&lt;&gt;"",M20&lt;&gt;""),"ГОТОВО","НЕ ГОТОВО"))</f>
        <v/>
      </c>
      <c r="Q20" s="205">
        <f>IF(P20&lt;&gt;"ГОТОВО","", "Предварительное заключение: "&amp;A20&amp;", скв. "&amp;B20&amp;". МРП: "&amp;E20&amp;" сут. ГНО: "&amp;F20&amp;", типоразмер "&amp;G20&amp;", марка "&amp;H20&amp;". Событие: "&amp;I20&amp;". Признак: "&amp;J20&amp;". Узел: "&amp;K20&amp;". Предварительная причина: "&amp;L20&amp;". Основное осложнение: "&amp;M20&amp;IF(N20&lt;&gt;"","; сопутствующее: "&amp;N20,"")&amp;IF(O20&lt;&gt;"","; дополнительно: "&amp;O20,"")&amp;".")</f>
        <v/>
      </c>
      <c r="R20" s="172">
        <f>IF('Оперативный ввод'!P20="","",'Оперативный ввод'!P20)</f>
        <v/>
      </c>
      <c r="S20" s="172">
        <f>IF('Оперативный ввод'!Q20="","",'Оперативный ввод'!Q20)</f>
        <v/>
      </c>
      <c r="T20" s="172">
        <f>IF('Оперативный ввод'!R20="","",'Оперативный ввод'!R20)</f>
        <v/>
      </c>
      <c r="U20" s="172">
        <f>IF('Оперативный ввод'!S20="","",'Оперативный ввод'!S20)</f>
        <v/>
      </c>
      <c r="V20" s="172">
        <f>IF('Оперативный ввод'!T20="","",'Оперативный ввод'!T20)</f>
        <v/>
      </c>
      <c r="W20" s="172" t="n"/>
      <c r="X20" s="172" t="n"/>
      <c r="Y20" s="172" t="n"/>
      <c r="Z20" s="172" t="n"/>
      <c r="AA20" s="172">
        <f>IF('Оперативный ввод'!U20="","",'Оперативный ввод'!U20)</f>
        <v/>
      </c>
      <c r="AB20" s="172">
        <f>IF('Оперативный ввод'!V20="","",'Оперативный ввод'!V20)</f>
        <v/>
      </c>
      <c r="AC20" s="172">
        <f>IF('Оперативный ввод'!W20="","",'Оперативный ввод'!W20)</f>
        <v/>
      </c>
      <c r="BB20" s="172" t="n"/>
      <c r="BC20" s="172" t="n"/>
      <c r="BD20" s="205">
        <f>IF(AND(A20="",B20=""),"",IF(AND(P20="ГОТОВО",R20&lt;&gt;"",T20&lt;&gt;"",U20&lt;&gt;"",AA20&lt;&gt;"",AB20&lt;&gt;"",AC20&lt;&gt;"",BB20&lt;&gt;"",BC20&lt;&gt;""),"ГОТОВО","НЕ ГОТОВО"))</f>
        <v/>
      </c>
      <c r="BE20" s="205">
        <f>IF(BD20&lt;&gt;"ГОТОВО","","Полное заключение: "&amp;A20&amp;", скв. "&amp;B20&amp;". МРП: "&amp;E20&amp;" сут. ГНО: "&amp;F20&amp;"; причина: "&amp;U20&amp;"; категория: "&amp;V20&amp;"; решение комиссии: "&amp;BB20&amp;".")</f>
        <v/>
      </c>
      <c r="BF20" s="173">
        <f>IF('Оперативный ввод'!X20="","",'Оперативный ввод'!X20)</f>
        <v/>
      </c>
    </row>
    <row r="21">
      <c r="A21" s="171">
        <f>IF('Оперативный ввод'!A21="","",'Оперативный ввод'!A21)</f>
        <v/>
      </c>
      <c r="B21" s="172">
        <f>IF('Оперативный ввод'!B21="","",'Оперативный ввод'!B21)</f>
        <v/>
      </c>
      <c r="C21" s="270">
        <f>IF('Оперативный ввод'!C21="","",'Оперативный ввод'!C21)</f>
        <v/>
      </c>
      <c r="D21" s="270">
        <f>IF('Оперативный ввод'!D21="","",'Оперативный ввод'!D21)</f>
        <v/>
      </c>
      <c r="E21" s="271">
        <f>IF(OR(C21="",D21=""),"",D21-C21)</f>
        <v/>
      </c>
      <c r="F21" s="172">
        <f>IF('Оперативный ввод'!F21="","",'Оперативный ввод'!F21)</f>
        <v/>
      </c>
      <c r="G21" s="172">
        <f>IF('Оперативный ввод'!G21="","",'Оперативный ввод'!G21)</f>
        <v/>
      </c>
      <c r="H21" s="172">
        <f>IF('Оперативный ввод'!H21="","",'Оперативный ввод'!H21)</f>
        <v/>
      </c>
      <c r="I21" s="172">
        <f>IF('Оперативный ввод'!I21="","",'Оперативный ввод'!I21)</f>
        <v/>
      </c>
      <c r="J21" s="172">
        <f>IF('Оперативный ввод'!J21="","",'Оперативный ввод'!J21)</f>
        <v/>
      </c>
      <c r="K21" s="172">
        <f>IF('Оперативный ввод'!K21="","",'Оперативный ввод'!K21)</f>
        <v/>
      </c>
      <c r="L21" s="172">
        <f>IF('Оперативный ввод'!L21="","",'Оперативный ввод'!L21)</f>
        <v/>
      </c>
      <c r="M21" s="172">
        <f>IF('Оперативный ввод'!M21="","",'Оперативный ввод'!M21)</f>
        <v/>
      </c>
      <c r="N21" s="172">
        <f>IF('Оперативный ввод'!N21="","",'Оперативный ввод'!N21)</f>
        <v/>
      </c>
      <c r="O21" s="172">
        <f>IF('Оперативный ввод'!O21="","",'Оперативный ввод'!O21)</f>
        <v/>
      </c>
      <c r="P21" s="205">
        <f>IF(AND(A21="",B21=""),"",IF(AND(A21&lt;&gt;"",B21&lt;&gt;"",C21&lt;&gt;"",D21&lt;&gt;"",F21&lt;&gt;"",G21&lt;&gt;"",H21&lt;&gt;"",ISERROR(SEARCH("по паспорту",G21)),ISERROR(SEARCH("по паспорту",H21)),I21&lt;&gt;"",J21&lt;&gt;"",K21&lt;&gt;"",L21&lt;&gt;"",M21&lt;&gt;""),"ГОТОВО","НЕ ГОТОВО"))</f>
        <v/>
      </c>
      <c r="Q21" s="205">
        <f>IF(P21&lt;&gt;"ГОТОВО","", "Предварительное заключение: "&amp;A21&amp;", скв. "&amp;B21&amp;". МРП: "&amp;E21&amp;" сут. ГНО: "&amp;F21&amp;", типоразмер "&amp;G21&amp;", марка "&amp;H21&amp;". Событие: "&amp;I21&amp;". Признак: "&amp;J21&amp;". Узел: "&amp;K21&amp;". Предварительная причина: "&amp;L21&amp;". Основное осложнение: "&amp;M21&amp;IF(N21&lt;&gt;"","; сопутствующее: "&amp;N21,"")&amp;IF(O21&lt;&gt;"","; дополнительно: "&amp;O21,"")&amp;".")</f>
        <v/>
      </c>
      <c r="R21" s="172">
        <f>IF('Оперативный ввод'!P21="","",'Оперативный ввод'!P21)</f>
        <v/>
      </c>
      <c r="S21" s="172">
        <f>IF('Оперативный ввод'!Q21="","",'Оперативный ввод'!Q21)</f>
        <v/>
      </c>
      <c r="T21" s="172">
        <f>IF('Оперативный ввод'!R21="","",'Оперативный ввод'!R21)</f>
        <v/>
      </c>
      <c r="U21" s="172">
        <f>IF('Оперативный ввод'!S21="","",'Оперативный ввод'!S21)</f>
        <v/>
      </c>
      <c r="V21" s="172">
        <f>IF('Оперативный ввод'!T21="","",'Оперативный ввод'!T21)</f>
        <v/>
      </c>
      <c r="W21" s="172" t="n"/>
      <c r="X21" s="172" t="n"/>
      <c r="Y21" s="172" t="n"/>
      <c r="Z21" s="172" t="n"/>
      <c r="AA21" s="172">
        <f>IF('Оперативный ввод'!U21="","",'Оперативный ввод'!U21)</f>
        <v/>
      </c>
      <c r="AB21" s="172">
        <f>IF('Оперативный ввод'!V21="","",'Оперативный ввод'!V21)</f>
        <v/>
      </c>
      <c r="AC21" s="172">
        <f>IF('Оперативный ввод'!W21="","",'Оперативный ввод'!W21)</f>
        <v/>
      </c>
      <c r="BB21" s="172" t="n"/>
      <c r="BC21" s="172" t="n"/>
      <c r="BD21" s="205">
        <f>IF(AND(A21="",B21=""),"",IF(AND(P21="ГОТОВО",R21&lt;&gt;"",T21&lt;&gt;"",U21&lt;&gt;"",AA21&lt;&gt;"",AB21&lt;&gt;"",AC21&lt;&gt;"",BB21&lt;&gt;"",BC21&lt;&gt;""),"ГОТОВО","НЕ ГОТОВО"))</f>
        <v/>
      </c>
      <c r="BE21" s="205">
        <f>IF(BD21&lt;&gt;"ГОТОВО","","Полное заключение: "&amp;A21&amp;", скв. "&amp;B21&amp;". МРП: "&amp;E21&amp;" сут. ГНО: "&amp;F21&amp;"; причина: "&amp;U21&amp;"; категория: "&amp;V21&amp;"; решение комиссии: "&amp;BB21&amp;".")</f>
        <v/>
      </c>
      <c r="BF21" s="173">
        <f>IF('Оперативный ввод'!X21="","",'Оперативный ввод'!X21)</f>
        <v/>
      </c>
    </row>
    <row r="22">
      <c r="A22" s="171">
        <f>IF('Оперативный ввод'!A22="","",'Оперативный ввод'!A22)</f>
        <v/>
      </c>
      <c r="B22" s="172">
        <f>IF('Оперативный ввод'!B22="","",'Оперативный ввод'!B22)</f>
        <v/>
      </c>
      <c r="C22" s="270">
        <f>IF('Оперативный ввод'!C22="","",'Оперативный ввод'!C22)</f>
        <v/>
      </c>
      <c r="D22" s="270">
        <f>IF('Оперативный ввод'!D22="","",'Оперативный ввод'!D22)</f>
        <v/>
      </c>
      <c r="E22" s="271">
        <f>IF(OR(C22="",D22=""),"",D22-C22)</f>
        <v/>
      </c>
      <c r="F22" s="172">
        <f>IF('Оперативный ввод'!F22="","",'Оперативный ввод'!F22)</f>
        <v/>
      </c>
      <c r="G22" s="172">
        <f>IF('Оперативный ввод'!G22="","",'Оперативный ввод'!G22)</f>
        <v/>
      </c>
      <c r="H22" s="172">
        <f>IF('Оперативный ввод'!H22="","",'Оперативный ввод'!H22)</f>
        <v/>
      </c>
      <c r="I22" s="172">
        <f>IF('Оперативный ввод'!I22="","",'Оперативный ввод'!I22)</f>
        <v/>
      </c>
      <c r="J22" s="172">
        <f>IF('Оперативный ввод'!J22="","",'Оперативный ввод'!J22)</f>
        <v/>
      </c>
      <c r="K22" s="172">
        <f>IF('Оперативный ввод'!K22="","",'Оперативный ввод'!K22)</f>
        <v/>
      </c>
      <c r="L22" s="172">
        <f>IF('Оперативный ввод'!L22="","",'Оперативный ввод'!L22)</f>
        <v/>
      </c>
      <c r="M22" s="172">
        <f>IF('Оперативный ввод'!M22="","",'Оперативный ввод'!M22)</f>
        <v/>
      </c>
      <c r="N22" s="172">
        <f>IF('Оперативный ввод'!N22="","",'Оперативный ввод'!N22)</f>
        <v/>
      </c>
      <c r="O22" s="172">
        <f>IF('Оперативный ввод'!O22="","",'Оперативный ввод'!O22)</f>
        <v/>
      </c>
      <c r="P22" s="205">
        <f>IF(AND(A22="",B22=""),"",IF(AND(A22&lt;&gt;"",B22&lt;&gt;"",C22&lt;&gt;"",D22&lt;&gt;"",F22&lt;&gt;"",G22&lt;&gt;"",H22&lt;&gt;"",ISERROR(SEARCH("по паспорту",G22)),ISERROR(SEARCH("по паспорту",H22)),I22&lt;&gt;"",J22&lt;&gt;"",K22&lt;&gt;"",L22&lt;&gt;"",M22&lt;&gt;""),"ГОТОВО","НЕ ГОТОВО"))</f>
        <v/>
      </c>
      <c r="Q22" s="205">
        <f>IF(P22&lt;&gt;"ГОТОВО","", "Предварительное заключение: "&amp;A22&amp;", скв. "&amp;B22&amp;". МРП: "&amp;E22&amp;" сут. ГНО: "&amp;F22&amp;", типоразмер "&amp;G22&amp;", марка "&amp;H22&amp;". Событие: "&amp;I22&amp;". Признак: "&amp;J22&amp;". Узел: "&amp;K22&amp;". Предварительная причина: "&amp;L22&amp;". Основное осложнение: "&amp;M22&amp;IF(N22&lt;&gt;"","; сопутствующее: "&amp;N22,"")&amp;IF(O22&lt;&gt;"","; дополнительно: "&amp;O22,"")&amp;".")</f>
        <v/>
      </c>
      <c r="R22" s="172">
        <f>IF('Оперативный ввод'!P22="","",'Оперативный ввод'!P22)</f>
        <v/>
      </c>
      <c r="S22" s="172">
        <f>IF('Оперативный ввод'!Q22="","",'Оперативный ввод'!Q22)</f>
        <v/>
      </c>
      <c r="T22" s="172">
        <f>IF('Оперативный ввод'!R22="","",'Оперативный ввод'!R22)</f>
        <v/>
      </c>
      <c r="U22" s="172">
        <f>IF('Оперативный ввод'!S22="","",'Оперативный ввод'!S22)</f>
        <v/>
      </c>
      <c r="V22" s="172">
        <f>IF('Оперативный ввод'!T22="","",'Оперативный ввод'!T22)</f>
        <v/>
      </c>
      <c r="W22" s="172" t="n"/>
      <c r="X22" s="172" t="n"/>
      <c r="Y22" s="172" t="n"/>
      <c r="Z22" s="172" t="n"/>
      <c r="AA22" s="172">
        <f>IF('Оперативный ввод'!U22="","",'Оперативный ввод'!U22)</f>
        <v/>
      </c>
      <c r="AB22" s="172">
        <f>IF('Оперативный ввод'!V22="","",'Оперативный ввод'!V22)</f>
        <v/>
      </c>
      <c r="AC22" s="172">
        <f>IF('Оперативный ввод'!W22="","",'Оперативный ввод'!W22)</f>
        <v/>
      </c>
      <c r="BB22" s="172" t="n"/>
      <c r="BC22" s="172" t="n"/>
      <c r="BD22" s="205">
        <f>IF(AND(A22="",B22=""),"",IF(AND(P22="ГОТОВО",R22&lt;&gt;"",T22&lt;&gt;"",U22&lt;&gt;"",AA22&lt;&gt;"",AB22&lt;&gt;"",AC22&lt;&gt;"",BB22&lt;&gt;"",BC22&lt;&gt;""),"ГОТОВО","НЕ ГОТОВО"))</f>
        <v/>
      </c>
      <c r="BE22" s="205">
        <f>IF(BD22&lt;&gt;"ГОТОВО","","Полное заключение: "&amp;A22&amp;", скв. "&amp;B22&amp;". МРП: "&amp;E22&amp;" сут. ГНО: "&amp;F22&amp;"; причина: "&amp;U22&amp;"; категория: "&amp;V22&amp;"; решение комиссии: "&amp;BB22&amp;".")</f>
        <v/>
      </c>
      <c r="BF22" s="173">
        <f>IF('Оперативный ввод'!X22="","",'Оперативный ввод'!X22)</f>
        <v/>
      </c>
    </row>
    <row r="23">
      <c r="A23" s="171">
        <f>IF('Оперативный ввод'!A23="","",'Оперативный ввод'!A23)</f>
        <v/>
      </c>
      <c r="B23" s="172">
        <f>IF('Оперативный ввод'!B23="","",'Оперативный ввод'!B23)</f>
        <v/>
      </c>
      <c r="C23" s="270">
        <f>IF('Оперативный ввод'!C23="","",'Оперативный ввод'!C23)</f>
        <v/>
      </c>
      <c r="D23" s="270">
        <f>IF('Оперативный ввод'!D23="","",'Оперативный ввод'!D23)</f>
        <v/>
      </c>
      <c r="E23" s="271">
        <f>IF(OR(C23="",D23=""),"",D23-C23)</f>
        <v/>
      </c>
      <c r="F23" s="172">
        <f>IF('Оперативный ввод'!F23="","",'Оперативный ввод'!F23)</f>
        <v/>
      </c>
      <c r="G23" s="172">
        <f>IF('Оперативный ввод'!G23="","",'Оперативный ввод'!G23)</f>
        <v/>
      </c>
      <c r="H23" s="172">
        <f>IF('Оперативный ввод'!H23="","",'Оперативный ввод'!H23)</f>
        <v/>
      </c>
      <c r="I23" s="172">
        <f>IF('Оперативный ввод'!I23="","",'Оперативный ввод'!I23)</f>
        <v/>
      </c>
      <c r="J23" s="172">
        <f>IF('Оперативный ввод'!J23="","",'Оперативный ввод'!J23)</f>
        <v/>
      </c>
      <c r="K23" s="172">
        <f>IF('Оперативный ввод'!K23="","",'Оперативный ввод'!K23)</f>
        <v/>
      </c>
      <c r="L23" s="172">
        <f>IF('Оперативный ввод'!L23="","",'Оперативный ввод'!L23)</f>
        <v/>
      </c>
      <c r="M23" s="172">
        <f>IF('Оперативный ввод'!M23="","",'Оперативный ввод'!M23)</f>
        <v/>
      </c>
      <c r="N23" s="172">
        <f>IF('Оперативный ввод'!N23="","",'Оперативный ввод'!N23)</f>
        <v/>
      </c>
      <c r="O23" s="172">
        <f>IF('Оперативный ввод'!O23="","",'Оперативный ввод'!O23)</f>
        <v/>
      </c>
      <c r="P23" s="205">
        <f>IF(AND(A23="",B23=""),"",IF(AND(A23&lt;&gt;"",B23&lt;&gt;"",C23&lt;&gt;"",D23&lt;&gt;"",F23&lt;&gt;"",G23&lt;&gt;"",H23&lt;&gt;"",ISERROR(SEARCH("по паспорту",G23)),ISERROR(SEARCH("по паспорту",H23)),I23&lt;&gt;"",J23&lt;&gt;"",K23&lt;&gt;"",L23&lt;&gt;"",M23&lt;&gt;""),"ГОТОВО","НЕ ГОТОВО"))</f>
        <v/>
      </c>
      <c r="Q23" s="205">
        <f>IF(P23&lt;&gt;"ГОТОВО","", "Предварительное заключение: "&amp;A23&amp;", скв. "&amp;B23&amp;". МРП: "&amp;E23&amp;" сут. ГНО: "&amp;F23&amp;", типоразмер "&amp;G23&amp;", марка "&amp;H23&amp;". Событие: "&amp;I23&amp;". Признак: "&amp;J23&amp;". Узел: "&amp;K23&amp;". Предварительная причина: "&amp;L23&amp;". Основное осложнение: "&amp;M23&amp;IF(N23&lt;&gt;"","; сопутствующее: "&amp;N23,"")&amp;IF(O23&lt;&gt;"","; дополнительно: "&amp;O23,"")&amp;".")</f>
        <v/>
      </c>
      <c r="R23" s="172">
        <f>IF('Оперативный ввод'!P23="","",'Оперативный ввод'!P23)</f>
        <v/>
      </c>
      <c r="S23" s="172">
        <f>IF('Оперативный ввод'!Q23="","",'Оперативный ввод'!Q23)</f>
        <v/>
      </c>
      <c r="T23" s="172">
        <f>IF('Оперативный ввод'!R23="","",'Оперативный ввод'!R23)</f>
        <v/>
      </c>
      <c r="U23" s="172">
        <f>IF('Оперативный ввод'!S23="","",'Оперативный ввод'!S23)</f>
        <v/>
      </c>
      <c r="V23" s="172">
        <f>IF('Оперативный ввод'!T23="","",'Оперативный ввод'!T23)</f>
        <v/>
      </c>
      <c r="W23" s="172" t="n"/>
      <c r="X23" s="172" t="n"/>
      <c r="Y23" s="172" t="n"/>
      <c r="Z23" s="172" t="n"/>
      <c r="AA23" s="172">
        <f>IF('Оперативный ввод'!U23="","",'Оперативный ввод'!U23)</f>
        <v/>
      </c>
      <c r="AB23" s="172">
        <f>IF('Оперативный ввод'!V23="","",'Оперативный ввод'!V23)</f>
        <v/>
      </c>
      <c r="AC23" s="172">
        <f>IF('Оперативный ввод'!W23="","",'Оперативный ввод'!W23)</f>
        <v/>
      </c>
      <c r="BB23" s="172" t="n"/>
      <c r="BC23" s="172" t="n"/>
      <c r="BD23" s="205">
        <f>IF(AND(A23="",B23=""),"",IF(AND(P23="ГОТОВО",R23&lt;&gt;"",T23&lt;&gt;"",U23&lt;&gt;"",AA23&lt;&gt;"",AB23&lt;&gt;"",AC23&lt;&gt;"",BB23&lt;&gt;"",BC23&lt;&gt;""),"ГОТОВО","НЕ ГОТОВО"))</f>
        <v/>
      </c>
      <c r="BE23" s="205">
        <f>IF(BD23&lt;&gt;"ГОТОВО","","Полное заключение: "&amp;A23&amp;", скв. "&amp;B23&amp;". МРП: "&amp;E23&amp;" сут. ГНО: "&amp;F23&amp;"; причина: "&amp;U23&amp;"; категория: "&amp;V23&amp;"; решение комиссии: "&amp;BB23&amp;".")</f>
        <v/>
      </c>
      <c r="BF23" s="173">
        <f>IF('Оперативный ввод'!X23="","",'Оперативный ввод'!X23)</f>
        <v/>
      </c>
    </row>
    <row r="24">
      <c r="A24" s="171">
        <f>IF('Оперативный ввод'!A24="","",'Оперативный ввод'!A24)</f>
        <v/>
      </c>
      <c r="B24" s="172">
        <f>IF('Оперативный ввод'!B24="","",'Оперативный ввод'!B24)</f>
        <v/>
      </c>
      <c r="C24" s="270">
        <f>IF('Оперативный ввод'!C24="","",'Оперативный ввод'!C24)</f>
        <v/>
      </c>
      <c r="D24" s="270">
        <f>IF('Оперативный ввод'!D24="","",'Оперативный ввод'!D24)</f>
        <v/>
      </c>
      <c r="E24" s="271">
        <f>IF(OR(C24="",D24=""),"",D24-C24)</f>
        <v/>
      </c>
      <c r="F24" s="172">
        <f>IF('Оперативный ввод'!F24="","",'Оперативный ввод'!F24)</f>
        <v/>
      </c>
      <c r="G24" s="172">
        <f>IF('Оперативный ввод'!G24="","",'Оперативный ввод'!G24)</f>
        <v/>
      </c>
      <c r="H24" s="172">
        <f>IF('Оперативный ввод'!H24="","",'Оперативный ввод'!H24)</f>
        <v/>
      </c>
      <c r="I24" s="172">
        <f>IF('Оперативный ввод'!I24="","",'Оперативный ввод'!I24)</f>
        <v/>
      </c>
      <c r="J24" s="172">
        <f>IF('Оперативный ввод'!J24="","",'Оперативный ввод'!J24)</f>
        <v/>
      </c>
      <c r="K24" s="172">
        <f>IF('Оперативный ввод'!K24="","",'Оперативный ввод'!K24)</f>
        <v/>
      </c>
      <c r="L24" s="172">
        <f>IF('Оперативный ввод'!L24="","",'Оперативный ввод'!L24)</f>
        <v/>
      </c>
      <c r="M24" s="172">
        <f>IF('Оперативный ввод'!M24="","",'Оперативный ввод'!M24)</f>
        <v/>
      </c>
      <c r="N24" s="172">
        <f>IF('Оперативный ввод'!N24="","",'Оперативный ввод'!N24)</f>
        <v/>
      </c>
      <c r="O24" s="172">
        <f>IF('Оперативный ввод'!O24="","",'Оперативный ввод'!O24)</f>
        <v/>
      </c>
      <c r="P24" s="205">
        <f>IF(AND(A24="",B24=""),"",IF(AND(A24&lt;&gt;"",B24&lt;&gt;"",C24&lt;&gt;"",D24&lt;&gt;"",F24&lt;&gt;"",G24&lt;&gt;"",H24&lt;&gt;"",ISERROR(SEARCH("по паспорту",G24)),ISERROR(SEARCH("по паспорту",H24)),I24&lt;&gt;"",J24&lt;&gt;"",K24&lt;&gt;"",L24&lt;&gt;"",M24&lt;&gt;""),"ГОТОВО","НЕ ГОТОВО"))</f>
        <v/>
      </c>
      <c r="Q24" s="205">
        <f>IF(P24&lt;&gt;"ГОТОВО","", "Предварительное заключение: "&amp;A24&amp;", скв. "&amp;B24&amp;". МРП: "&amp;E24&amp;" сут. ГНО: "&amp;F24&amp;", типоразмер "&amp;G24&amp;", марка "&amp;H24&amp;". Событие: "&amp;I24&amp;". Признак: "&amp;J24&amp;". Узел: "&amp;K24&amp;". Предварительная причина: "&amp;L24&amp;". Основное осложнение: "&amp;M24&amp;IF(N24&lt;&gt;"","; сопутствующее: "&amp;N24,"")&amp;IF(O24&lt;&gt;"","; дополнительно: "&amp;O24,"")&amp;".")</f>
        <v/>
      </c>
      <c r="R24" s="172">
        <f>IF('Оперативный ввод'!P24="","",'Оперативный ввод'!P24)</f>
        <v/>
      </c>
      <c r="S24" s="172">
        <f>IF('Оперативный ввод'!Q24="","",'Оперативный ввод'!Q24)</f>
        <v/>
      </c>
      <c r="T24" s="172">
        <f>IF('Оперативный ввод'!R24="","",'Оперативный ввод'!R24)</f>
        <v/>
      </c>
      <c r="U24" s="172">
        <f>IF('Оперативный ввод'!S24="","",'Оперативный ввод'!S24)</f>
        <v/>
      </c>
      <c r="V24" s="172">
        <f>IF('Оперативный ввод'!T24="","",'Оперативный ввод'!T24)</f>
        <v/>
      </c>
      <c r="W24" s="172" t="n"/>
      <c r="X24" s="172" t="n"/>
      <c r="Y24" s="172" t="n"/>
      <c r="Z24" s="172" t="n"/>
      <c r="AA24" s="172">
        <f>IF('Оперативный ввод'!U24="","",'Оперативный ввод'!U24)</f>
        <v/>
      </c>
      <c r="AB24" s="172">
        <f>IF('Оперативный ввод'!V24="","",'Оперативный ввод'!V24)</f>
        <v/>
      </c>
      <c r="AC24" s="172">
        <f>IF('Оперативный ввод'!W24="","",'Оперативный ввод'!W24)</f>
        <v/>
      </c>
      <c r="BB24" s="172" t="n"/>
      <c r="BC24" s="172" t="n"/>
      <c r="BD24" s="205">
        <f>IF(AND(A24="",B24=""),"",IF(AND(P24="ГОТОВО",R24&lt;&gt;"",T24&lt;&gt;"",U24&lt;&gt;"",AA24&lt;&gt;"",AB24&lt;&gt;"",AC24&lt;&gt;"",BB24&lt;&gt;"",BC24&lt;&gt;""),"ГОТОВО","НЕ ГОТОВО"))</f>
        <v/>
      </c>
      <c r="BE24" s="205">
        <f>IF(BD24&lt;&gt;"ГОТОВО","","Полное заключение: "&amp;A24&amp;", скв. "&amp;B24&amp;". МРП: "&amp;E24&amp;" сут. ГНО: "&amp;F24&amp;"; причина: "&amp;U24&amp;"; категория: "&amp;V24&amp;"; решение комиссии: "&amp;BB24&amp;".")</f>
        <v/>
      </c>
      <c r="BF24" s="173">
        <f>IF('Оперативный ввод'!X24="","",'Оперативный ввод'!X24)</f>
        <v/>
      </c>
    </row>
    <row r="25">
      <c r="A25" s="171">
        <f>IF('Оперативный ввод'!A25="","",'Оперативный ввод'!A25)</f>
        <v/>
      </c>
      <c r="B25" s="172">
        <f>IF('Оперативный ввод'!B25="","",'Оперативный ввод'!B25)</f>
        <v/>
      </c>
      <c r="C25" s="270">
        <f>IF('Оперативный ввод'!C25="","",'Оперативный ввод'!C25)</f>
        <v/>
      </c>
      <c r="D25" s="270">
        <f>IF('Оперативный ввод'!D25="","",'Оперативный ввод'!D25)</f>
        <v/>
      </c>
      <c r="E25" s="271">
        <f>IF(OR(C25="",D25=""),"",D25-C25)</f>
        <v/>
      </c>
      <c r="F25" s="172">
        <f>IF('Оперативный ввод'!F25="","",'Оперативный ввод'!F25)</f>
        <v/>
      </c>
      <c r="G25" s="172">
        <f>IF('Оперативный ввод'!G25="","",'Оперативный ввод'!G25)</f>
        <v/>
      </c>
      <c r="H25" s="172">
        <f>IF('Оперативный ввод'!H25="","",'Оперативный ввод'!H25)</f>
        <v/>
      </c>
      <c r="I25" s="172">
        <f>IF('Оперативный ввод'!I25="","",'Оперативный ввод'!I25)</f>
        <v/>
      </c>
      <c r="J25" s="172">
        <f>IF('Оперативный ввод'!J25="","",'Оперативный ввод'!J25)</f>
        <v/>
      </c>
      <c r="K25" s="172">
        <f>IF('Оперативный ввод'!K25="","",'Оперативный ввод'!K25)</f>
        <v/>
      </c>
      <c r="L25" s="172">
        <f>IF('Оперативный ввод'!L25="","",'Оперативный ввод'!L25)</f>
        <v/>
      </c>
      <c r="M25" s="172">
        <f>IF('Оперативный ввод'!M25="","",'Оперативный ввод'!M25)</f>
        <v/>
      </c>
      <c r="N25" s="172">
        <f>IF('Оперативный ввод'!N25="","",'Оперативный ввод'!N25)</f>
        <v/>
      </c>
      <c r="O25" s="172">
        <f>IF('Оперативный ввод'!O25="","",'Оперативный ввод'!O25)</f>
        <v/>
      </c>
      <c r="P25" s="205">
        <f>IF(AND(A25="",B25=""),"",IF(AND(A25&lt;&gt;"",B25&lt;&gt;"",C25&lt;&gt;"",D25&lt;&gt;"",F25&lt;&gt;"",G25&lt;&gt;"",H25&lt;&gt;"",ISERROR(SEARCH("по паспорту",G25)),ISERROR(SEARCH("по паспорту",H25)),I25&lt;&gt;"",J25&lt;&gt;"",K25&lt;&gt;"",L25&lt;&gt;"",M25&lt;&gt;""),"ГОТОВО","НЕ ГОТОВО"))</f>
        <v/>
      </c>
      <c r="Q25" s="205">
        <f>IF(P25&lt;&gt;"ГОТОВО","", "Предварительное заключение: "&amp;A25&amp;", скв. "&amp;B25&amp;". МРП: "&amp;E25&amp;" сут. ГНО: "&amp;F25&amp;", типоразмер "&amp;G25&amp;", марка "&amp;H25&amp;". Событие: "&amp;I25&amp;". Признак: "&amp;J25&amp;". Узел: "&amp;K25&amp;". Предварительная причина: "&amp;L25&amp;". Основное осложнение: "&amp;M25&amp;IF(N25&lt;&gt;"","; сопутствующее: "&amp;N25,"")&amp;IF(O25&lt;&gt;"","; дополнительно: "&amp;O25,"")&amp;".")</f>
        <v/>
      </c>
      <c r="R25" s="172">
        <f>IF('Оперативный ввод'!P25="","",'Оперативный ввод'!P25)</f>
        <v/>
      </c>
      <c r="S25" s="172">
        <f>IF('Оперативный ввод'!Q25="","",'Оперативный ввод'!Q25)</f>
        <v/>
      </c>
      <c r="T25" s="172">
        <f>IF('Оперативный ввод'!R25="","",'Оперативный ввод'!R25)</f>
        <v/>
      </c>
      <c r="U25" s="172">
        <f>IF('Оперативный ввод'!S25="","",'Оперативный ввод'!S25)</f>
        <v/>
      </c>
      <c r="V25" s="172">
        <f>IF('Оперативный ввод'!T25="","",'Оперативный ввод'!T25)</f>
        <v/>
      </c>
      <c r="W25" s="172" t="n"/>
      <c r="X25" s="172" t="n"/>
      <c r="Y25" s="172" t="n"/>
      <c r="Z25" s="172" t="n"/>
      <c r="AA25" s="172">
        <f>IF('Оперативный ввод'!U25="","",'Оперативный ввод'!U25)</f>
        <v/>
      </c>
      <c r="AB25" s="172">
        <f>IF('Оперативный ввод'!V25="","",'Оперативный ввод'!V25)</f>
        <v/>
      </c>
      <c r="AC25" s="172">
        <f>IF('Оперативный ввод'!W25="","",'Оперативный ввод'!W25)</f>
        <v/>
      </c>
      <c r="BB25" s="172" t="n"/>
      <c r="BC25" s="172" t="n"/>
      <c r="BD25" s="205">
        <f>IF(AND(A25="",B25=""),"",IF(AND(P25="ГОТОВО",R25&lt;&gt;"",T25&lt;&gt;"",U25&lt;&gt;"",AA25&lt;&gt;"",AB25&lt;&gt;"",AC25&lt;&gt;"",BB25&lt;&gt;"",BC25&lt;&gt;""),"ГОТОВО","НЕ ГОТОВО"))</f>
        <v/>
      </c>
      <c r="BE25" s="205">
        <f>IF(BD25&lt;&gt;"ГОТОВО","","Полное заключение: "&amp;A25&amp;", скв. "&amp;B25&amp;". МРП: "&amp;E25&amp;" сут. ГНО: "&amp;F25&amp;"; причина: "&amp;U25&amp;"; категория: "&amp;V25&amp;"; решение комиссии: "&amp;BB25&amp;".")</f>
        <v/>
      </c>
      <c r="BF25" s="173">
        <f>IF('Оперативный ввод'!X25="","",'Оперативный ввод'!X25)</f>
        <v/>
      </c>
    </row>
    <row r="26">
      <c r="A26" s="171">
        <f>IF('Оперативный ввод'!A26="","",'Оперативный ввод'!A26)</f>
        <v/>
      </c>
      <c r="B26" s="172">
        <f>IF('Оперативный ввод'!B26="","",'Оперативный ввод'!B26)</f>
        <v/>
      </c>
      <c r="C26" s="270">
        <f>IF('Оперативный ввод'!C26="","",'Оперативный ввод'!C26)</f>
        <v/>
      </c>
      <c r="D26" s="270">
        <f>IF('Оперативный ввод'!D26="","",'Оперативный ввод'!D26)</f>
        <v/>
      </c>
      <c r="E26" s="271">
        <f>IF(OR(C26="",D26=""),"",D26-C26)</f>
        <v/>
      </c>
      <c r="F26" s="172">
        <f>IF('Оперативный ввод'!F26="","",'Оперативный ввод'!F26)</f>
        <v/>
      </c>
      <c r="G26" s="172">
        <f>IF('Оперативный ввод'!G26="","",'Оперативный ввод'!G26)</f>
        <v/>
      </c>
      <c r="H26" s="172">
        <f>IF('Оперативный ввод'!H26="","",'Оперативный ввод'!H26)</f>
        <v/>
      </c>
      <c r="I26" s="172">
        <f>IF('Оперативный ввод'!I26="","",'Оперативный ввод'!I26)</f>
        <v/>
      </c>
      <c r="J26" s="172">
        <f>IF('Оперативный ввод'!J26="","",'Оперативный ввод'!J26)</f>
        <v/>
      </c>
      <c r="K26" s="172">
        <f>IF('Оперативный ввод'!K26="","",'Оперативный ввод'!K26)</f>
        <v/>
      </c>
      <c r="L26" s="172">
        <f>IF('Оперативный ввод'!L26="","",'Оперативный ввод'!L26)</f>
        <v/>
      </c>
      <c r="M26" s="172">
        <f>IF('Оперативный ввод'!M26="","",'Оперативный ввод'!M26)</f>
        <v/>
      </c>
      <c r="N26" s="172">
        <f>IF('Оперативный ввод'!N26="","",'Оперативный ввод'!N26)</f>
        <v/>
      </c>
      <c r="O26" s="172">
        <f>IF('Оперативный ввод'!O26="","",'Оперативный ввод'!O26)</f>
        <v/>
      </c>
      <c r="P26" s="205">
        <f>IF(AND(A26="",B26=""),"",IF(AND(A26&lt;&gt;"",B26&lt;&gt;"",C26&lt;&gt;"",D26&lt;&gt;"",F26&lt;&gt;"",G26&lt;&gt;"",H26&lt;&gt;"",ISERROR(SEARCH("по паспорту",G26)),ISERROR(SEARCH("по паспорту",H26)),I26&lt;&gt;"",J26&lt;&gt;"",K26&lt;&gt;"",L26&lt;&gt;"",M26&lt;&gt;""),"ГОТОВО","НЕ ГОТОВО"))</f>
        <v/>
      </c>
      <c r="Q26" s="205">
        <f>IF(P26&lt;&gt;"ГОТОВО","", "Предварительное заключение: "&amp;A26&amp;", скв. "&amp;B26&amp;". МРП: "&amp;E26&amp;" сут. ГНО: "&amp;F26&amp;", типоразмер "&amp;G26&amp;", марка "&amp;H26&amp;". Событие: "&amp;I26&amp;". Признак: "&amp;J26&amp;". Узел: "&amp;K26&amp;". Предварительная причина: "&amp;L26&amp;". Основное осложнение: "&amp;M26&amp;IF(N26&lt;&gt;"","; сопутствующее: "&amp;N26,"")&amp;IF(O26&lt;&gt;"","; дополнительно: "&amp;O26,"")&amp;".")</f>
        <v/>
      </c>
      <c r="R26" s="172">
        <f>IF('Оперативный ввод'!P26="","",'Оперативный ввод'!P26)</f>
        <v/>
      </c>
      <c r="S26" s="172">
        <f>IF('Оперативный ввод'!Q26="","",'Оперативный ввод'!Q26)</f>
        <v/>
      </c>
      <c r="T26" s="172">
        <f>IF('Оперативный ввод'!R26="","",'Оперативный ввод'!R26)</f>
        <v/>
      </c>
      <c r="U26" s="172">
        <f>IF('Оперативный ввод'!S26="","",'Оперативный ввод'!S26)</f>
        <v/>
      </c>
      <c r="V26" s="172">
        <f>IF('Оперативный ввод'!T26="","",'Оперативный ввод'!T26)</f>
        <v/>
      </c>
      <c r="W26" s="172" t="n"/>
      <c r="X26" s="172" t="n"/>
      <c r="Y26" s="172" t="n"/>
      <c r="Z26" s="172" t="n"/>
      <c r="AA26" s="172">
        <f>IF('Оперативный ввод'!U26="","",'Оперативный ввод'!U26)</f>
        <v/>
      </c>
      <c r="AB26" s="172">
        <f>IF('Оперативный ввод'!V26="","",'Оперативный ввод'!V26)</f>
        <v/>
      </c>
      <c r="AC26" s="172">
        <f>IF('Оперативный ввод'!W26="","",'Оперативный ввод'!W26)</f>
        <v/>
      </c>
      <c r="BB26" s="172" t="n"/>
      <c r="BC26" s="172" t="n"/>
      <c r="BD26" s="205">
        <f>IF(AND(A26="",B26=""),"",IF(AND(P26="ГОТОВО",R26&lt;&gt;"",T26&lt;&gt;"",U26&lt;&gt;"",AA26&lt;&gt;"",AB26&lt;&gt;"",AC26&lt;&gt;"",BB26&lt;&gt;"",BC26&lt;&gt;""),"ГОТОВО","НЕ ГОТОВО"))</f>
        <v/>
      </c>
      <c r="BE26" s="205">
        <f>IF(BD26&lt;&gt;"ГОТОВО","","Полное заключение: "&amp;A26&amp;", скв. "&amp;B26&amp;". МРП: "&amp;E26&amp;" сут. ГНО: "&amp;F26&amp;"; причина: "&amp;U26&amp;"; категория: "&amp;V26&amp;"; решение комиссии: "&amp;BB26&amp;".")</f>
        <v/>
      </c>
      <c r="BF26" s="173">
        <f>IF('Оперативный ввод'!X26="","",'Оперативный ввод'!X26)</f>
        <v/>
      </c>
    </row>
    <row r="27">
      <c r="A27" s="171">
        <f>IF('Оперативный ввод'!A27="","",'Оперативный ввод'!A27)</f>
        <v/>
      </c>
      <c r="B27" s="172">
        <f>IF('Оперативный ввод'!B27="","",'Оперативный ввод'!B27)</f>
        <v/>
      </c>
      <c r="C27" s="270">
        <f>IF('Оперативный ввод'!C27="","",'Оперативный ввод'!C27)</f>
        <v/>
      </c>
      <c r="D27" s="270">
        <f>IF('Оперативный ввод'!D27="","",'Оперативный ввод'!D27)</f>
        <v/>
      </c>
      <c r="E27" s="271">
        <f>IF(OR(C27="",D27=""),"",D27-C27)</f>
        <v/>
      </c>
      <c r="F27" s="172">
        <f>IF('Оперативный ввод'!F27="","",'Оперативный ввод'!F27)</f>
        <v/>
      </c>
      <c r="G27" s="172">
        <f>IF('Оперативный ввод'!G27="","",'Оперативный ввод'!G27)</f>
        <v/>
      </c>
      <c r="H27" s="172">
        <f>IF('Оперативный ввод'!H27="","",'Оперативный ввод'!H27)</f>
        <v/>
      </c>
      <c r="I27" s="172">
        <f>IF('Оперативный ввод'!I27="","",'Оперативный ввод'!I27)</f>
        <v/>
      </c>
      <c r="J27" s="172">
        <f>IF('Оперативный ввод'!J27="","",'Оперативный ввод'!J27)</f>
        <v/>
      </c>
      <c r="K27" s="172">
        <f>IF('Оперативный ввод'!K27="","",'Оперативный ввод'!K27)</f>
        <v/>
      </c>
      <c r="L27" s="172">
        <f>IF('Оперативный ввод'!L27="","",'Оперативный ввод'!L27)</f>
        <v/>
      </c>
      <c r="M27" s="172">
        <f>IF('Оперативный ввод'!M27="","",'Оперативный ввод'!M27)</f>
        <v/>
      </c>
      <c r="N27" s="172">
        <f>IF('Оперативный ввод'!N27="","",'Оперативный ввод'!N27)</f>
        <v/>
      </c>
      <c r="O27" s="172">
        <f>IF('Оперативный ввод'!O27="","",'Оперативный ввод'!O27)</f>
        <v/>
      </c>
      <c r="P27" s="205">
        <f>IF(AND(A27="",B27=""),"",IF(AND(A27&lt;&gt;"",B27&lt;&gt;"",C27&lt;&gt;"",D27&lt;&gt;"",F27&lt;&gt;"",G27&lt;&gt;"",H27&lt;&gt;"",ISERROR(SEARCH("по паспорту",G27)),ISERROR(SEARCH("по паспорту",H27)),I27&lt;&gt;"",J27&lt;&gt;"",K27&lt;&gt;"",L27&lt;&gt;"",M27&lt;&gt;""),"ГОТОВО","НЕ ГОТОВО"))</f>
        <v/>
      </c>
      <c r="Q27" s="205">
        <f>IF(P27&lt;&gt;"ГОТОВО","", "Предварительное заключение: "&amp;A27&amp;", скв. "&amp;B27&amp;". МРП: "&amp;E27&amp;" сут. ГНО: "&amp;F27&amp;", типоразмер "&amp;G27&amp;", марка "&amp;H27&amp;". Событие: "&amp;I27&amp;". Признак: "&amp;J27&amp;". Узел: "&amp;K27&amp;". Предварительная причина: "&amp;L27&amp;". Основное осложнение: "&amp;M27&amp;IF(N27&lt;&gt;"","; сопутствующее: "&amp;N27,"")&amp;IF(O27&lt;&gt;"","; дополнительно: "&amp;O27,"")&amp;".")</f>
        <v/>
      </c>
      <c r="R27" s="172">
        <f>IF('Оперативный ввод'!P27="","",'Оперативный ввод'!P27)</f>
        <v/>
      </c>
      <c r="S27" s="172">
        <f>IF('Оперативный ввод'!Q27="","",'Оперативный ввод'!Q27)</f>
        <v/>
      </c>
      <c r="T27" s="172">
        <f>IF('Оперативный ввод'!R27="","",'Оперативный ввод'!R27)</f>
        <v/>
      </c>
      <c r="U27" s="172">
        <f>IF('Оперативный ввод'!S27="","",'Оперативный ввод'!S27)</f>
        <v/>
      </c>
      <c r="V27" s="172">
        <f>IF('Оперативный ввод'!T27="","",'Оперативный ввод'!T27)</f>
        <v/>
      </c>
      <c r="W27" s="172" t="n"/>
      <c r="X27" s="172" t="n"/>
      <c r="Y27" s="172" t="n"/>
      <c r="Z27" s="172" t="n"/>
      <c r="AA27" s="172">
        <f>IF('Оперативный ввод'!U27="","",'Оперативный ввод'!U27)</f>
        <v/>
      </c>
      <c r="AB27" s="172">
        <f>IF('Оперативный ввод'!V27="","",'Оперативный ввод'!V27)</f>
        <v/>
      </c>
      <c r="AC27" s="172">
        <f>IF('Оперативный ввод'!W27="","",'Оперативный ввод'!W27)</f>
        <v/>
      </c>
      <c r="BB27" s="172" t="n"/>
      <c r="BC27" s="172" t="n"/>
      <c r="BD27" s="205">
        <f>IF(AND(A27="",B27=""),"",IF(AND(P27="ГОТОВО",R27&lt;&gt;"",T27&lt;&gt;"",U27&lt;&gt;"",AA27&lt;&gt;"",AB27&lt;&gt;"",AC27&lt;&gt;"",BB27&lt;&gt;"",BC27&lt;&gt;""),"ГОТОВО","НЕ ГОТОВО"))</f>
        <v/>
      </c>
      <c r="BE27" s="205">
        <f>IF(BD27&lt;&gt;"ГОТОВО","","Полное заключение: "&amp;A27&amp;", скв. "&amp;B27&amp;". МРП: "&amp;E27&amp;" сут. ГНО: "&amp;F27&amp;"; причина: "&amp;U27&amp;"; категория: "&amp;V27&amp;"; решение комиссии: "&amp;BB27&amp;".")</f>
        <v/>
      </c>
      <c r="BF27" s="173">
        <f>IF('Оперативный ввод'!X27="","",'Оперативный ввод'!X27)</f>
        <v/>
      </c>
    </row>
    <row r="28">
      <c r="A28" s="171">
        <f>IF('Оперативный ввод'!A28="","",'Оперативный ввод'!A28)</f>
        <v/>
      </c>
      <c r="B28" s="172">
        <f>IF('Оперативный ввод'!B28="","",'Оперативный ввод'!B28)</f>
        <v/>
      </c>
      <c r="C28" s="270">
        <f>IF('Оперативный ввод'!C28="","",'Оперативный ввод'!C28)</f>
        <v/>
      </c>
      <c r="D28" s="270">
        <f>IF('Оперативный ввод'!D28="","",'Оперативный ввод'!D28)</f>
        <v/>
      </c>
      <c r="E28" s="271">
        <f>IF(OR(C28="",D28=""),"",D28-C28)</f>
        <v/>
      </c>
      <c r="F28" s="172">
        <f>IF('Оперативный ввод'!F28="","",'Оперативный ввод'!F28)</f>
        <v/>
      </c>
      <c r="G28" s="172">
        <f>IF('Оперативный ввод'!G28="","",'Оперативный ввод'!G28)</f>
        <v/>
      </c>
      <c r="H28" s="172">
        <f>IF('Оперативный ввод'!H28="","",'Оперативный ввод'!H28)</f>
        <v/>
      </c>
      <c r="I28" s="172">
        <f>IF('Оперативный ввод'!I28="","",'Оперативный ввод'!I28)</f>
        <v/>
      </c>
      <c r="J28" s="172">
        <f>IF('Оперативный ввод'!J28="","",'Оперативный ввод'!J28)</f>
        <v/>
      </c>
      <c r="K28" s="172">
        <f>IF('Оперативный ввод'!K28="","",'Оперативный ввод'!K28)</f>
        <v/>
      </c>
      <c r="L28" s="172">
        <f>IF('Оперативный ввод'!L28="","",'Оперативный ввод'!L28)</f>
        <v/>
      </c>
      <c r="M28" s="172">
        <f>IF('Оперативный ввод'!M28="","",'Оперативный ввод'!M28)</f>
        <v/>
      </c>
      <c r="N28" s="172">
        <f>IF('Оперативный ввод'!N28="","",'Оперативный ввод'!N28)</f>
        <v/>
      </c>
      <c r="O28" s="172">
        <f>IF('Оперативный ввод'!O28="","",'Оперативный ввод'!O28)</f>
        <v/>
      </c>
      <c r="P28" s="205">
        <f>IF(AND(A28="",B28=""),"",IF(AND(A28&lt;&gt;"",B28&lt;&gt;"",C28&lt;&gt;"",D28&lt;&gt;"",F28&lt;&gt;"",G28&lt;&gt;"",H28&lt;&gt;"",ISERROR(SEARCH("по паспорту",G28)),ISERROR(SEARCH("по паспорту",H28)),I28&lt;&gt;"",J28&lt;&gt;"",K28&lt;&gt;"",L28&lt;&gt;"",M28&lt;&gt;""),"ГОТОВО","НЕ ГОТОВО"))</f>
        <v/>
      </c>
      <c r="Q28" s="205">
        <f>IF(P28&lt;&gt;"ГОТОВО","", "Предварительное заключение: "&amp;A28&amp;", скв. "&amp;B28&amp;". МРП: "&amp;E28&amp;" сут. ГНО: "&amp;F28&amp;", типоразмер "&amp;G28&amp;", марка "&amp;H28&amp;". Событие: "&amp;I28&amp;". Признак: "&amp;J28&amp;". Узел: "&amp;K28&amp;". Предварительная причина: "&amp;L28&amp;". Основное осложнение: "&amp;M28&amp;IF(N28&lt;&gt;"","; сопутствующее: "&amp;N28,"")&amp;IF(O28&lt;&gt;"","; дополнительно: "&amp;O28,"")&amp;".")</f>
        <v/>
      </c>
      <c r="R28" s="172">
        <f>IF('Оперативный ввод'!P28="","",'Оперативный ввод'!P28)</f>
        <v/>
      </c>
      <c r="S28" s="172">
        <f>IF('Оперативный ввод'!Q28="","",'Оперативный ввод'!Q28)</f>
        <v/>
      </c>
      <c r="T28" s="172">
        <f>IF('Оперативный ввод'!R28="","",'Оперативный ввод'!R28)</f>
        <v/>
      </c>
      <c r="U28" s="172">
        <f>IF('Оперативный ввод'!S28="","",'Оперативный ввод'!S28)</f>
        <v/>
      </c>
      <c r="V28" s="172">
        <f>IF('Оперативный ввод'!T28="","",'Оперативный ввод'!T28)</f>
        <v/>
      </c>
      <c r="W28" s="172" t="n"/>
      <c r="X28" s="172" t="n"/>
      <c r="Y28" s="172" t="n"/>
      <c r="Z28" s="172" t="n"/>
      <c r="AA28" s="172">
        <f>IF('Оперативный ввод'!U28="","",'Оперативный ввод'!U28)</f>
        <v/>
      </c>
      <c r="AB28" s="172">
        <f>IF('Оперативный ввод'!V28="","",'Оперативный ввод'!V28)</f>
        <v/>
      </c>
      <c r="AC28" s="172">
        <f>IF('Оперативный ввод'!W28="","",'Оперативный ввод'!W28)</f>
        <v/>
      </c>
      <c r="BB28" s="172" t="n"/>
      <c r="BC28" s="172" t="n"/>
      <c r="BD28" s="205">
        <f>IF(AND(A28="",B28=""),"",IF(AND(P28="ГОТОВО",R28&lt;&gt;"",T28&lt;&gt;"",U28&lt;&gt;"",AA28&lt;&gt;"",AB28&lt;&gt;"",AC28&lt;&gt;"",BB28&lt;&gt;"",BC28&lt;&gt;""),"ГОТОВО","НЕ ГОТОВО"))</f>
        <v/>
      </c>
      <c r="BE28" s="205">
        <f>IF(BD28&lt;&gt;"ГОТОВО","","Полное заключение: "&amp;A28&amp;", скв. "&amp;B28&amp;". МРП: "&amp;E28&amp;" сут. ГНО: "&amp;F28&amp;"; причина: "&amp;U28&amp;"; категория: "&amp;V28&amp;"; решение комиссии: "&amp;BB28&amp;".")</f>
        <v/>
      </c>
      <c r="BF28" s="173">
        <f>IF('Оперативный ввод'!X28="","",'Оперативный ввод'!X28)</f>
        <v/>
      </c>
    </row>
    <row r="29">
      <c r="A29" s="171">
        <f>IF('Оперативный ввод'!A29="","",'Оперативный ввод'!A29)</f>
        <v/>
      </c>
      <c r="B29" s="172">
        <f>IF('Оперативный ввод'!B29="","",'Оперативный ввод'!B29)</f>
        <v/>
      </c>
      <c r="C29" s="270">
        <f>IF('Оперативный ввод'!C29="","",'Оперативный ввод'!C29)</f>
        <v/>
      </c>
      <c r="D29" s="270">
        <f>IF('Оперативный ввод'!D29="","",'Оперативный ввод'!D29)</f>
        <v/>
      </c>
      <c r="E29" s="271">
        <f>IF(OR(C29="",D29=""),"",D29-C29)</f>
        <v/>
      </c>
      <c r="F29" s="172">
        <f>IF('Оперативный ввод'!F29="","",'Оперативный ввод'!F29)</f>
        <v/>
      </c>
      <c r="G29" s="172">
        <f>IF('Оперативный ввод'!G29="","",'Оперативный ввод'!G29)</f>
        <v/>
      </c>
      <c r="H29" s="172">
        <f>IF('Оперативный ввод'!H29="","",'Оперативный ввод'!H29)</f>
        <v/>
      </c>
      <c r="I29" s="172">
        <f>IF('Оперативный ввод'!I29="","",'Оперативный ввод'!I29)</f>
        <v/>
      </c>
      <c r="J29" s="172">
        <f>IF('Оперативный ввод'!J29="","",'Оперативный ввод'!J29)</f>
        <v/>
      </c>
      <c r="K29" s="172">
        <f>IF('Оперативный ввод'!K29="","",'Оперативный ввод'!K29)</f>
        <v/>
      </c>
      <c r="L29" s="172">
        <f>IF('Оперативный ввод'!L29="","",'Оперативный ввод'!L29)</f>
        <v/>
      </c>
      <c r="M29" s="172">
        <f>IF('Оперативный ввод'!M29="","",'Оперативный ввод'!M29)</f>
        <v/>
      </c>
      <c r="N29" s="172">
        <f>IF('Оперативный ввод'!N29="","",'Оперативный ввод'!N29)</f>
        <v/>
      </c>
      <c r="O29" s="172">
        <f>IF('Оперативный ввод'!O29="","",'Оперативный ввод'!O29)</f>
        <v/>
      </c>
      <c r="P29" s="205">
        <f>IF(AND(A29="",B29=""),"",IF(AND(A29&lt;&gt;"",B29&lt;&gt;"",C29&lt;&gt;"",D29&lt;&gt;"",F29&lt;&gt;"",G29&lt;&gt;"",H29&lt;&gt;"",ISERROR(SEARCH("по паспорту",G29)),ISERROR(SEARCH("по паспорту",H29)),I29&lt;&gt;"",J29&lt;&gt;"",K29&lt;&gt;"",L29&lt;&gt;"",M29&lt;&gt;""),"ГОТОВО","НЕ ГОТОВО"))</f>
        <v/>
      </c>
      <c r="Q29" s="205">
        <f>IF(P29&lt;&gt;"ГОТОВО","", "Предварительное заключение: "&amp;A29&amp;", скв. "&amp;B29&amp;". МРП: "&amp;E29&amp;" сут. ГНО: "&amp;F29&amp;", типоразмер "&amp;G29&amp;", марка "&amp;H29&amp;". Событие: "&amp;I29&amp;". Признак: "&amp;J29&amp;". Узел: "&amp;K29&amp;". Предварительная причина: "&amp;L29&amp;". Основное осложнение: "&amp;M29&amp;IF(N29&lt;&gt;"","; сопутствующее: "&amp;N29,"")&amp;IF(O29&lt;&gt;"","; дополнительно: "&amp;O29,"")&amp;".")</f>
        <v/>
      </c>
      <c r="R29" s="172">
        <f>IF('Оперативный ввод'!P29="","",'Оперативный ввод'!P29)</f>
        <v/>
      </c>
      <c r="S29" s="172">
        <f>IF('Оперативный ввод'!Q29="","",'Оперативный ввод'!Q29)</f>
        <v/>
      </c>
      <c r="T29" s="172">
        <f>IF('Оперативный ввод'!R29="","",'Оперативный ввод'!R29)</f>
        <v/>
      </c>
      <c r="U29" s="172">
        <f>IF('Оперативный ввод'!S29="","",'Оперативный ввод'!S29)</f>
        <v/>
      </c>
      <c r="V29" s="172">
        <f>IF('Оперативный ввод'!T29="","",'Оперативный ввод'!T29)</f>
        <v/>
      </c>
      <c r="W29" s="172" t="n"/>
      <c r="X29" s="172" t="n"/>
      <c r="Y29" s="172" t="n"/>
      <c r="Z29" s="172" t="n"/>
      <c r="AA29" s="172">
        <f>IF('Оперативный ввод'!U29="","",'Оперативный ввод'!U29)</f>
        <v/>
      </c>
      <c r="AB29" s="172">
        <f>IF('Оперативный ввод'!V29="","",'Оперативный ввод'!V29)</f>
        <v/>
      </c>
      <c r="AC29" s="172">
        <f>IF('Оперативный ввод'!W29="","",'Оперативный ввод'!W29)</f>
        <v/>
      </c>
      <c r="BB29" s="172" t="n"/>
      <c r="BC29" s="172" t="n"/>
      <c r="BD29" s="205">
        <f>IF(AND(A29="",B29=""),"",IF(AND(P29="ГОТОВО",R29&lt;&gt;"",T29&lt;&gt;"",U29&lt;&gt;"",AA29&lt;&gt;"",AB29&lt;&gt;"",AC29&lt;&gt;"",BB29&lt;&gt;"",BC29&lt;&gt;""),"ГОТОВО","НЕ ГОТОВО"))</f>
        <v/>
      </c>
      <c r="BE29" s="205">
        <f>IF(BD29&lt;&gt;"ГОТОВО","","Полное заключение: "&amp;A29&amp;", скв. "&amp;B29&amp;". МРП: "&amp;E29&amp;" сут. ГНО: "&amp;F29&amp;"; причина: "&amp;U29&amp;"; категория: "&amp;V29&amp;"; решение комиссии: "&amp;BB29&amp;".")</f>
        <v/>
      </c>
      <c r="BF29" s="173">
        <f>IF('Оперативный ввод'!X29="","",'Оперативный ввод'!X29)</f>
        <v/>
      </c>
    </row>
    <row r="30">
      <c r="A30" s="171">
        <f>IF('Оперативный ввод'!A30="","",'Оперативный ввод'!A30)</f>
        <v/>
      </c>
      <c r="B30" s="172">
        <f>IF('Оперативный ввод'!B30="","",'Оперативный ввод'!B30)</f>
        <v/>
      </c>
      <c r="C30" s="270">
        <f>IF('Оперативный ввод'!C30="","",'Оперативный ввод'!C30)</f>
        <v/>
      </c>
      <c r="D30" s="270">
        <f>IF('Оперативный ввод'!D30="","",'Оперативный ввод'!D30)</f>
        <v/>
      </c>
      <c r="E30" s="271">
        <f>IF(OR(C30="",D30=""),"",D30-C30)</f>
        <v/>
      </c>
      <c r="F30" s="172">
        <f>IF('Оперативный ввод'!F30="","",'Оперативный ввод'!F30)</f>
        <v/>
      </c>
      <c r="G30" s="172">
        <f>IF('Оперативный ввод'!G30="","",'Оперативный ввод'!G30)</f>
        <v/>
      </c>
      <c r="H30" s="172">
        <f>IF('Оперативный ввод'!H30="","",'Оперативный ввод'!H30)</f>
        <v/>
      </c>
      <c r="I30" s="172">
        <f>IF('Оперативный ввод'!I30="","",'Оперативный ввод'!I30)</f>
        <v/>
      </c>
      <c r="J30" s="172">
        <f>IF('Оперативный ввод'!J30="","",'Оперативный ввод'!J30)</f>
        <v/>
      </c>
      <c r="K30" s="172">
        <f>IF('Оперативный ввод'!K30="","",'Оперативный ввод'!K30)</f>
        <v/>
      </c>
      <c r="L30" s="172">
        <f>IF('Оперативный ввод'!L30="","",'Оперативный ввод'!L30)</f>
        <v/>
      </c>
      <c r="M30" s="172">
        <f>IF('Оперативный ввод'!M30="","",'Оперативный ввод'!M30)</f>
        <v/>
      </c>
      <c r="N30" s="172">
        <f>IF('Оперативный ввод'!N30="","",'Оперативный ввод'!N30)</f>
        <v/>
      </c>
      <c r="O30" s="172">
        <f>IF('Оперативный ввод'!O30="","",'Оперативный ввод'!O30)</f>
        <v/>
      </c>
      <c r="P30" s="205">
        <f>IF(AND(A30="",B30=""),"",IF(AND(A30&lt;&gt;"",B30&lt;&gt;"",C30&lt;&gt;"",D30&lt;&gt;"",F30&lt;&gt;"",G30&lt;&gt;"",H30&lt;&gt;"",ISERROR(SEARCH("по паспорту",G30)),ISERROR(SEARCH("по паспорту",H30)),I30&lt;&gt;"",J30&lt;&gt;"",K30&lt;&gt;"",L30&lt;&gt;"",M30&lt;&gt;""),"ГОТОВО","НЕ ГОТОВО"))</f>
        <v/>
      </c>
      <c r="Q30" s="205">
        <f>IF(P30&lt;&gt;"ГОТОВО","", "Предварительное заключение: "&amp;A30&amp;", скв. "&amp;B30&amp;". МРП: "&amp;E30&amp;" сут. ГНО: "&amp;F30&amp;", типоразмер "&amp;G30&amp;", марка "&amp;H30&amp;". Событие: "&amp;I30&amp;". Признак: "&amp;J30&amp;". Узел: "&amp;K30&amp;". Предварительная причина: "&amp;L30&amp;". Основное осложнение: "&amp;M30&amp;IF(N30&lt;&gt;"","; сопутствующее: "&amp;N30,"")&amp;IF(O30&lt;&gt;"","; дополнительно: "&amp;O30,"")&amp;".")</f>
        <v/>
      </c>
      <c r="R30" s="172">
        <f>IF('Оперативный ввод'!P30="","",'Оперативный ввод'!P30)</f>
        <v/>
      </c>
      <c r="S30" s="172">
        <f>IF('Оперативный ввод'!Q30="","",'Оперативный ввод'!Q30)</f>
        <v/>
      </c>
      <c r="T30" s="172">
        <f>IF('Оперативный ввод'!R30="","",'Оперативный ввод'!R30)</f>
        <v/>
      </c>
      <c r="U30" s="172">
        <f>IF('Оперативный ввод'!S30="","",'Оперативный ввод'!S30)</f>
        <v/>
      </c>
      <c r="V30" s="172">
        <f>IF('Оперативный ввод'!T30="","",'Оперативный ввод'!T30)</f>
        <v/>
      </c>
      <c r="W30" s="172" t="n"/>
      <c r="X30" s="172" t="n"/>
      <c r="Y30" s="172" t="n"/>
      <c r="Z30" s="172" t="n"/>
      <c r="AA30" s="172">
        <f>IF('Оперативный ввод'!U30="","",'Оперативный ввод'!U30)</f>
        <v/>
      </c>
      <c r="AB30" s="172">
        <f>IF('Оперативный ввод'!V30="","",'Оперативный ввод'!V30)</f>
        <v/>
      </c>
      <c r="AC30" s="172">
        <f>IF('Оперативный ввод'!W30="","",'Оперативный ввод'!W30)</f>
        <v/>
      </c>
      <c r="BB30" s="172" t="n"/>
      <c r="BC30" s="172" t="n"/>
      <c r="BD30" s="205">
        <f>IF(AND(A30="",B30=""),"",IF(AND(P30="ГОТОВО",R30&lt;&gt;"",T30&lt;&gt;"",U30&lt;&gt;"",AA30&lt;&gt;"",AB30&lt;&gt;"",AC30&lt;&gt;"",BB30&lt;&gt;"",BC30&lt;&gt;""),"ГОТОВО","НЕ ГОТОВО"))</f>
        <v/>
      </c>
      <c r="BE30" s="205">
        <f>IF(BD30&lt;&gt;"ГОТОВО","","Полное заключение: "&amp;A30&amp;", скв. "&amp;B30&amp;". МРП: "&amp;E30&amp;" сут. ГНО: "&amp;F30&amp;"; причина: "&amp;U30&amp;"; категория: "&amp;V30&amp;"; решение комиссии: "&amp;BB30&amp;".")</f>
        <v/>
      </c>
      <c r="BF30" s="173">
        <f>IF('Оперативный ввод'!X30="","",'Оперативный ввод'!X30)</f>
        <v/>
      </c>
    </row>
    <row r="31">
      <c r="A31" s="171">
        <f>IF('Оперативный ввод'!A31="","",'Оперативный ввод'!A31)</f>
        <v/>
      </c>
      <c r="B31" s="172">
        <f>IF('Оперативный ввод'!B31="","",'Оперативный ввод'!B31)</f>
        <v/>
      </c>
      <c r="C31" s="270">
        <f>IF('Оперативный ввод'!C31="","",'Оперативный ввод'!C31)</f>
        <v/>
      </c>
      <c r="D31" s="270">
        <f>IF('Оперативный ввод'!D31="","",'Оперативный ввод'!D31)</f>
        <v/>
      </c>
      <c r="E31" s="271">
        <f>IF(OR(C31="",D31=""),"",D31-C31)</f>
        <v/>
      </c>
      <c r="F31" s="172">
        <f>IF('Оперативный ввод'!F31="","",'Оперативный ввод'!F31)</f>
        <v/>
      </c>
      <c r="G31" s="172">
        <f>IF('Оперативный ввод'!G31="","",'Оперативный ввод'!G31)</f>
        <v/>
      </c>
      <c r="H31" s="172">
        <f>IF('Оперативный ввод'!H31="","",'Оперативный ввод'!H31)</f>
        <v/>
      </c>
      <c r="I31" s="172">
        <f>IF('Оперативный ввод'!I31="","",'Оперативный ввод'!I31)</f>
        <v/>
      </c>
      <c r="J31" s="172">
        <f>IF('Оперативный ввод'!J31="","",'Оперативный ввод'!J31)</f>
        <v/>
      </c>
      <c r="K31" s="172">
        <f>IF('Оперативный ввод'!K31="","",'Оперативный ввод'!K31)</f>
        <v/>
      </c>
      <c r="L31" s="172">
        <f>IF('Оперативный ввод'!L31="","",'Оперативный ввод'!L31)</f>
        <v/>
      </c>
      <c r="M31" s="172">
        <f>IF('Оперативный ввод'!M31="","",'Оперативный ввод'!M31)</f>
        <v/>
      </c>
      <c r="N31" s="172">
        <f>IF('Оперативный ввод'!N31="","",'Оперативный ввод'!N31)</f>
        <v/>
      </c>
      <c r="O31" s="172">
        <f>IF('Оперативный ввод'!O31="","",'Оперативный ввод'!O31)</f>
        <v/>
      </c>
      <c r="P31" s="205">
        <f>IF(AND(A31="",B31=""),"",IF(AND(A31&lt;&gt;"",B31&lt;&gt;"",C31&lt;&gt;"",D31&lt;&gt;"",F31&lt;&gt;"",G31&lt;&gt;"",H31&lt;&gt;"",ISERROR(SEARCH("по паспорту",G31)),ISERROR(SEARCH("по паспорту",H31)),I31&lt;&gt;"",J31&lt;&gt;"",K31&lt;&gt;"",L31&lt;&gt;"",M31&lt;&gt;""),"ГОТОВО","НЕ ГОТОВО"))</f>
        <v/>
      </c>
      <c r="Q31" s="205">
        <f>IF(P31&lt;&gt;"ГОТОВО","", "Предварительное заключение: "&amp;A31&amp;", скв. "&amp;B31&amp;". МРП: "&amp;E31&amp;" сут. ГНО: "&amp;F31&amp;", типоразмер "&amp;G31&amp;", марка "&amp;H31&amp;". Событие: "&amp;I31&amp;". Признак: "&amp;J31&amp;". Узел: "&amp;K31&amp;". Предварительная причина: "&amp;L31&amp;". Основное осложнение: "&amp;M31&amp;IF(N31&lt;&gt;"","; сопутствующее: "&amp;N31,"")&amp;IF(O31&lt;&gt;"","; дополнительно: "&amp;O31,"")&amp;".")</f>
        <v/>
      </c>
      <c r="R31" s="172">
        <f>IF('Оперативный ввод'!P31="","",'Оперативный ввод'!P31)</f>
        <v/>
      </c>
      <c r="S31" s="172">
        <f>IF('Оперативный ввод'!Q31="","",'Оперативный ввод'!Q31)</f>
        <v/>
      </c>
      <c r="T31" s="172">
        <f>IF('Оперативный ввод'!R31="","",'Оперативный ввод'!R31)</f>
        <v/>
      </c>
      <c r="U31" s="172">
        <f>IF('Оперативный ввод'!S31="","",'Оперативный ввод'!S31)</f>
        <v/>
      </c>
      <c r="V31" s="172">
        <f>IF('Оперативный ввод'!T31="","",'Оперативный ввод'!T31)</f>
        <v/>
      </c>
      <c r="W31" s="172" t="n"/>
      <c r="X31" s="172" t="n"/>
      <c r="Y31" s="172" t="n"/>
      <c r="Z31" s="172" t="n"/>
      <c r="AA31" s="172">
        <f>IF('Оперативный ввод'!U31="","",'Оперативный ввод'!U31)</f>
        <v/>
      </c>
      <c r="AB31" s="172">
        <f>IF('Оперативный ввод'!V31="","",'Оперативный ввод'!V31)</f>
        <v/>
      </c>
      <c r="AC31" s="172">
        <f>IF('Оперативный ввод'!W31="","",'Оперативный ввод'!W31)</f>
        <v/>
      </c>
      <c r="BB31" s="172" t="n"/>
      <c r="BC31" s="172" t="n"/>
      <c r="BD31" s="205">
        <f>IF(AND(A31="",B31=""),"",IF(AND(P31="ГОТОВО",R31&lt;&gt;"",T31&lt;&gt;"",U31&lt;&gt;"",AA31&lt;&gt;"",AB31&lt;&gt;"",AC31&lt;&gt;"",BB31&lt;&gt;"",BC31&lt;&gt;""),"ГОТОВО","НЕ ГОТОВО"))</f>
        <v/>
      </c>
      <c r="BE31" s="205">
        <f>IF(BD31&lt;&gt;"ГОТОВО","","Полное заключение: "&amp;A31&amp;", скв. "&amp;B31&amp;". МРП: "&amp;E31&amp;" сут. ГНО: "&amp;F31&amp;"; причина: "&amp;U31&amp;"; категория: "&amp;V31&amp;"; решение комиссии: "&amp;BB31&amp;".")</f>
        <v/>
      </c>
      <c r="BF31" s="173">
        <f>IF('Оперативный ввод'!X31="","",'Оперативный ввод'!X31)</f>
        <v/>
      </c>
    </row>
    <row r="32">
      <c r="A32" s="171">
        <f>IF('Оперативный ввод'!A32="","",'Оперативный ввод'!A32)</f>
        <v/>
      </c>
      <c r="B32" s="172">
        <f>IF('Оперативный ввод'!B32="","",'Оперативный ввод'!B32)</f>
        <v/>
      </c>
      <c r="C32" s="270">
        <f>IF('Оперативный ввод'!C32="","",'Оперативный ввод'!C32)</f>
        <v/>
      </c>
      <c r="D32" s="270">
        <f>IF('Оперативный ввод'!D32="","",'Оперативный ввод'!D32)</f>
        <v/>
      </c>
      <c r="E32" s="271">
        <f>IF(OR(C32="",D32=""),"",D32-C32)</f>
        <v/>
      </c>
      <c r="F32" s="172">
        <f>IF('Оперативный ввод'!F32="","",'Оперативный ввод'!F32)</f>
        <v/>
      </c>
      <c r="G32" s="172">
        <f>IF('Оперативный ввод'!G32="","",'Оперативный ввод'!G32)</f>
        <v/>
      </c>
      <c r="H32" s="172">
        <f>IF('Оперативный ввод'!H32="","",'Оперативный ввод'!H32)</f>
        <v/>
      </c>
      <c r="I32" s="172">
        <f>IF('Оперативный ввод'!I32="","",'Оперативный ввод'!I32)</f>
        <v/>
      </c>
      <c r="J32" s="172">
        <f>IF('Оперативный ввод'!J32="","",'Оперативный ввод'!J32)</f>
        <v/>
      </c>
      <c r="K32" s="172">
        <f>IF('Оперативный ввод'!K32="","",'Оперативный ввод'!K32)</f>
        <v/>
      </c>
      <c r="L32" s="172">
        <f>IF('Оперативный ввод'!L32="","",'Оперативный ввод'!L32)</f>
        <v/>
      </c>
      <c r="M32" s="172">
        <f>IF('Оперативный ввод'!M32="","",'Оперативный ввод'!M32)</f>
        <v/>
      </c>
      <c r="N32" s="172">
        <f>IF('Оперативный ввод'!N32="","",'Оперативный ввод'!N32)</f>
        <v/>
      </c>
      <c r="O32" s="172">
        <f>IF('Оперативный ввод'!O32="","",'Оперативный ввод'!O32)</f>
        <v/>
      </c>
      <c r="P32" s="205">
        <f>IF(AND(A32="",B32=""),"",IF(AND(A32&lt;&gt;"",B32&lt;&gt;"",C32&lt;&gt;"",D32&lt;&gt;"",F32&lt;&gt;"",G32&lt;&gt;"",H32&lt;&gt;"",ISERROR(SEARCH("по паспорту",G32)),ISERROR(SEARCH("по паспорту",H32)),I32&lt;&gt;"",J32&lt;&gt;"",K32&lt;&gt;"",L32&lt;&gt;"",M32&lt;&gt;""),"ГОТОВО","НЕ ГОТОВО"))</f>
        <v/>
      </c>
      <c r="Q32" s="205">
        <f>IF(P32&lt;&gt;"ГОТОВО","", "Предварительное заключение: "&amp;A32&amp;", скв. "&amp;B32&amp;". МРП: "&amp;E32&amp;" сут. ГНО: "&amp;F32&amp;", типоразмер "&amp;G32&amp;", марка "&amp;H32&amp;". Событие: "&amp;I32&amp;". Признак: "&amp;J32&amp;". Узел: "&amp;K32&amp;". Предварительная причина: "&amp;L32&amp;". Основное осложнение: "&amp;M32&amp;IF(N32&lt;&gt;"","; сопутствующее: "&amp;N32,"")&amp;IF(O32&lt;&gt;"","; дополнительно: "&amp;O32,"")&amp;".")</f>
        <v/>
      </c>
      <c r="R32" s="172">
        <f>IF('Оперативный ввод'!P32="","",'Оперативный ввод'!P32)</f>
        <v/>
      </c>
      <c r="S32" s="172">
        <f>IF('Оперативный ввод'!Q32="","",'Оперативный ввод'!Q32)</f>
        <v/>
      </c>
      <c r="T32" s="172">
        <f>IF('Оперативный ввод'!R32="","",'Оперативный ввод'!R32)</f>
        <v/>
      </c>
      <c r="U32" s="172">
        <f>IF('Оперативный ввод'!S32="","",'Оперативный ввод'!S32)</f>
        <v/>
      </c>
      <c r="V32" s="172">
        <f>IF('Оперативный ввод'!T32="","",'Оперативный ввод'!T32)</f>
        <v/>
      </c>
      <c r="W32" s="172" t="n"/>
      <c r="X32" s="172" t="n"/>
      <c r="Y32" s="172" t="n"/>
      <c r="Z32" s="172" t="n"/>
      <c r="AA32" s="172">
        <f>IF('Оперативный ввод'!U32="","",'Оперативный ввод'!U32)</f>
        <v/>
      </c>
      <c r="AB32" s="172">
        <f>IF('Оперативный ввод'!V32="","",'Оперативный ввод'!V32)</f>
        <v/>
      </c>
      <c r="AC32" s="172">
        <f>IF('Оперативный ввод'!W32="","",'Оперативный ввод'!W32)</f>
        <v/>
      </c>
      <c r="BB32" s="172" t="n"/>
      <c r="BC32" s="172" t="n"/>
      <c r="BD32" s="205">
        <f>IF(AND(A32="",B32=""),"",IF(AND(P32="ГОТОВО",R32&lt;&gt;"",T32&lt;&gt;"",U32&lt;&gt;"",AA32&lt;&gt;"",AB32&lt;&gt;"",AC32&lt;&gt;"",BB32&lt;&gt;"",BC32&lt;&gt;""),"ГОТОВО","НЕ ГОТОВО"))</f>
        <v/>
      </c>
      <c r="BE32" s="205">
        <f>IF(BD32&lt;&gt;"ГОТОВО","","Полное заключение: "&amp;A32&amp;", скв. "&amp;B32&amp;". МРП: "&amp;E32&amp;" сут. ГНО: "&amp;F32&amp;"; причина: "&amp;U32&amp;"; категория: "&amp;V32&amp;"; решение комиссии: "&amp;BB32&amp;".")</f>
        <v/>
      </c>
      <c r="BF32" s="173">
        <f>IF('Оперативный ввод'!X32="","",'Оперативный ввод'!X32)</f>
        <v/>
      </c>
    </row>
    <row r="33">
      <c r="A33" s="171">
        <f>IF('Оперативный ввод'!A33="","",'Оперативный ввод'!A33)</f>
        <v/>
      </c>
      <c r="B33" s="172">
        <f>IF('Оперативный ввод'!B33="","",'Оперативный ввод'!B33)</f>
        <v/>
      </c>
      <c r="C33" s="270">
        <f>IF('Оперативный ввод'!C33="","",'Оперативный ввод'!C33)</f>
        <v/>
      </c>
      <c r="D33" s="270">
        <f>IF('Оперативный ввод'!D33="","",'Оперативный ввод'!D33)</f>
        <v/>
      </c>
      <c r="E33" s="271">
        <f>IF(OR(C33="",D33=""),"",D33-C33)</f>
        <v/>
      </c>
      <c r="F33" s="172">
        <f>IF('Оперативный ввод'!F33="","",'Оперативный ввод'!F33)</f>
        <v/>
      </c>
      <c r="G33" s="172">
        <f>IF('Оперативный ввод'!G33="","",'Оперативный ввод'!G33)</f>
        <v/>
      </c>
      <c r="H33" s="172">
        <f>IF('Оперативный ввод'!H33="","",'Оперативный ввод'!H33)</f>
        <v/>
      </c>
      <c r="I33" s="172">
        <f>IF('Оперативный ввод'!I33="","",'Оперативный ввод'!I33)</f>
        <v/>
      </c>
      <c r="J33" s="172">
        <f>IF('Оперативный ввод'!J33="","",'Оперативный ввод'!J33)</f>
        <v/>
      </c>
      <c r="K33" s="172">
        <f>IF('Оперативный ввод'!K33="","",'Оперативный ввод'!K33)</f>
        <v/>
      </c>
      <c r="L33" s="172">
        <f>IF('Оперативный ввод'!L33="","",'Оперативный ввод'!L33)</f>
        <v/>
      </c>
      <c r="M33" s="172">
        <f>IF('Оперативный ввод'!M33="","",'Оперативный ввод'!M33)</f>
        <v/>
      </c>
      <c r="N33" s="172">
        <f>IF('Оперативный ввод'!N33="","",'Оперативный ввод'!N33)</f>
        <v/>
      </c>
      <c r="O33" s="172">
        <f>IF('Оперативный ввод'!O33="","",'Оперативный ввод'!O33)</f>
        <v/>
      </c>
      <c r="P33" s="205">
        <f>IF(AND(A33="",B33=""),"",IF(AND(A33&lt;&gt;"",B33&lt;&gt;"",C33&lt;&gt;"",D33&lt;&gt;"",F33&lt;&gt;"",G33&lt;&gt;"",H33&lt;&gt;"",ISERROR(SEARCH("по паспорту",G33)),ISERROR(SEARCH("по паспорту",H33)),I33&lt;&gt;"",J33&lt;&gt;"",K33&lt;&gt;"",L33&lt;&gt;"",M33&lt;&gt;""),"ГОТОВО","НЕ ГОТОВО"))</f>
        <v/>
      </c>
      <c r="Q33" s="205">
        <f>IF(P33&lt;&gt;"ГОТОВО","", "Предварительное заключение: "&amp;A33&amp;", скв. "&amp;B33&amp;". МРП: "&amp;E33&amp;" сут. ГНО: "&amp;F33&amp;", типоразмер "&amp;G33&amp;", марка "&amp;H33&amp;". Событие: "&amp;I33&amp;". Признак: "&amp;J33&amp;". Узел: "&amp;K33&amp;". Предварительная причина: "&amp;L33&amp;". Основное осложнение: "&amp;M33&amp;IF(N33&lt;&gt;"","; сопутствующее: "&amp;N33,"")&amp;IF(O33&lt;&gt;"","; дополнительно: "&amp;O33,"")&amp;".")</f>
        <v/>
      </c>
      <c r="R33" s="172">
        <f>IF('Оперативный ввод'!P33="","",'Оперативный ввод'!P33)</f>
        <v/>
      </c>
      <c r="S33" s="172">
        <f>IF('Оперативный ввод'!Q33="","",'Оперативный ввод'!Q33)</f>
        <v/>
      </c>
      <c r="T33" s="172">
        <f>IF('Оперативный ввод'!R33="","",'Оперативный ввод'!R33)</f>
        <v/>
      </c>
      <c r="U33" s="172">
        <f>IF('Оперативный ввод'!S33="","",'Оперативный ввод'!S33)</f>
        <v/>
      </c>
      <c r="V33" s="172">
        <f>IF('Оперативный ввод'!T33="","",'Оперативный ввод'!T33)</f>
        <v/>
      </c>
      <c r="W33" s="172" t="n"/>
      <c r="X33" s="172" t="n"/>
      <c r="Y33" s="172" t="n"/>
      <c r="Z33" s="172" t="n"/>
      <c r="AA33" s="172">
        <f>IF('Оперативный ввод'!U33="","",'Оперативный ввод'!U33)</f>
        <v/>
      </c>
      <c r="AB33" s="172">
        <f>IF('Оперативный ввод'!V33="","",'Оперативный ввод'!V33)</f>
        <v/>
      </c>
      <c r="AC33" s="172">
        <f>IF('Оперативный ввод'!W33="","",'Оперативный ввод'!W33)</f>
        <v/>
      </c>
      <c r="BB33" s="172" t="n"/>
      <c r="BC33" s="172" t="n"/>
      <c r="BD33" s="205">
        <f>IF(AND(A33="",B33=""),"",IF(AND(P33="ГОТОВО",R33&lt;&gt;"",T33&lt;&gt;"",U33&lt;&gt;"",AA33&lt;&gt;"",AB33&lt;&gt;"",AC33&lt;&gt;"",BB33&lt;&gt;"",BC33&lt;&gt;""),"ГОТОВО","НЕ ГОТОВО"))</f>
        <v/>
      </c>
      <c r="BE33" s="205">
        <f>IF(BD33&lt;&gt;"ГОТОВО","","Полное заключение: "&amp;A33&amp;", скв. "&amp;B33&amp;". МРП: "&amp;E33&amp;" сут. ГНО: "&amp;F33&amp;"; причина: "&amp;U33&amp;"; категория: "&amp;V33&amp;"; решение комиссии: "&amp;BB33&amp;".")</f>
        <v/>
      </c>
      <c r="BF33" s="173">
        <f>IF('Оперативный ввод'!X33="","",'Оперативный ввод'!X33)</f>
        <v/>
      </c>
    </row>
    <row r="34">
      <c r="A34" s="171">
        <f>IF('Оперативный ввод'!A34="","",'Оперативный ввод'!A34)</f>
        <v/>
      </c>
      <c r="B34" s="172">
        <f>IF('Оперативный ввод'!B34="","",'Оперативный ввод'!B34)</f>
        <v/>
      </c>
      <c r="C34" s="270">
        <f>IF('Оперативный ввод'!C34="","",'Оперативный ввод'!C34)</f>
        <v/>
      </c>
      <c r="D34" s="270">
        <f>IF('Оперативный ввод'!D34="","",'Оперативный ввод'!D34)</f>
        <v/>
      </c>
      <c r="E34" s="271">
        <f>IF(OR(C34="",D34=""),"",D34-C34)</f>
        <v/>
      </c>
      <c r="F34" s="172">
        <f>IF('Оперативный ввод'!F34="","",'Оперативный ввод'!F34)</f>
        <v/>
      </c>
      <c r="G34" s="172">
        <f>IF('Оперативный ввод'!G34="","",'Оперативный ввод'!G34)</f>
        <v/>
      </c>
      <c r="H34" s="172">
        <f>IF('Оперативный ввод'!H34="","",'Оперативный ввод'!H34)</f>
        <v/>
      </c>
      <c r="I34" s="172">
        <f>IF('Оперативный ввод'!I34="","",'Оперативный ввод'!I34)</f>
        <v/>
      </c>
      <c r="J34" s="172">
        <f>IF('Оперативный ввод'!J34="","",'Оперативный ввод'!J34)</f>
        <v/>
      </c>
      <c r="K34" s="172">
        <f>IF('Оперативный ввод'!K34="","",'Оперативный ввод'!K34)</f>
        <v/>
      </c>
      <c r="L34" s="172">
        <f>IF('Оперативный ввод'!L34="","",'Оперативный ввод'!L34)</f>
        <v/>
      </c>
      <c r="M34" s="172">
        <f>IF('Оперативный ввод'!M34="","",'Оперативный ввод'!M34)</f>
        <v/>
      </c>
      <c r="N34" s="172">
        <f>IF('Оперативный ввод'!N34="","",'Оперативный ввод'!N34)</f>
        <v/>
      </c>
      <c r="O34" s="172">
        <f>IF('Оперативный ввод'!O34="","",'Оперативный ввод'!O34)</f>
        <v/>
      </c>
      <c r="P34" s="205">
        <f>IF(AND(A34="",B34=""),"",IF(AND(A34&lt;&gt;"",B34&lt;&gt;"",C34&lt;&gt;"",D34&lt;&gt;"",F34&lt;&gt;"",G34&lt;&gt;"",H34&lt;&gt;"",ISERROR(SEARCH("по паспорту",G34)),ISERROR(SEARCH("по паспорту",H34)),I34&lt;&gt;"",J34&lt;&gt;"",K34&lt;&gt;"",L34&lt;&gt;"",M34&lt;&gt;""),"ГОТОВО","НЕ ГОТОВО"))</f>
        <v/>
      </c>
      <c r="Q34" s="205">
        <f>IF(P34&lt;&gt;"ГОТОВО","", "Предварительное заключение: "&amp;A34&amp;", скв. "&amp;B34&amp;". МРП: "&amp;E34&amp;" сут. ГНО: "&amp;F34&amp;", типоразмер "&amp;G34&amp;", марка "&amp;H34&amp;". Событие: "&amp;I34&amp;". Признак: "&amp;J34&amp;". Узел: "&amp;K34&amp;". Предварительная причина: "&amp;L34&amp;". Основное осложнение: "&amp;M34&amp;IF(N34&lt;&gt;"","; сопутствующее: "&amp;N34,"")&amp;IF(O34&lt;&gt;"","; дополнительно: "&amp;O34,"")&amp;".")</f>
        <v/>
      </c>
      <c r="R34" s="172">
        <f>IF('Оперативный ввод'!P34="","",'Оперативный ввод'!P34)</f>
        <v/>
      </c>
      <c r="S34" s="172">
        <f>IF('Оперативный ввод'!Q34="","",'Оперативный ввод'!Q34)</f>
        <v/>
      </c>
      <c r="T34" s="172">
        <f>IF('Оперативный ввод'!R34="","",'Оперативный ввод'!R34)</f>
        <v/>
      </c>
      <c r="U34" s="172">
        <f>IF('Оперативный ввод'!S34="","",'Оперативный ввод'!S34)</f>
        <v/>
      </c>
      <c r="V34" s="172">
        <f>IF('Оперативный ввод'!T34="","",'Оперативный ввод'!T34)</f>
        <v/>
      </c>
      <c r="W34" s="172" t="n"/>
      <c r="X34" s="172" t="n"/>
      <c r="Y34" s="172" t="n"/>
      <c r="Z34" s="172" t="n"/>
      <c r="AA34" s="172">
        <f>IF('Оперативный ввод'!U34="","",'Оперативный ввод'!U34)</f>
        <v/>
      </c>
      <c r="AB34" s="172">
        <f>IF('Оперативный ввод'!V34="","",'Оперативный ввод'!V34)</f>
        <v/>
      </c>
      <c r="AC34" s="172">
        <f>IF('Оперативный ввод'!W34="","",'Оперативный ввод'!W34)</f>
        <v/>
      </c>
      <c r="BB34" s="172" t="n"/>
      <c r="BC34" s="172" t="n"/>
      <c r="BD34" s="205">
        <f>IF(AND(A34="",B34=""),"",IF(AND(P34="ГОТОВО",R34&lt;&gt;"",T34&lt;&gt;"",U34&lt;&gt;"",AA34&lt;&gt;"",AB34&lt;&gt;"",AC34&lt;&gt;"",BB34&lt;&gt;"",BC34&lt;&gt;""),"ГОТОВО","НЕ ГОТОВО"))</f>
        <v/>
      </c>
      <c r="BE34" s="205">
        <f>IF(BD34&lt;&gt;"ГОТОВО","","Полное заключение: "&amp;A34&amp;", скв. "&amp;B34&amp;". МРП: "&amp;E34&amp;" сут. ГНО: "&amp;F34&amp;"; причина: "&amp;U34&amp;"; категория: "&amp;V34&amp;"; решение комиссии: "&amp;BB34&amp;".")</f>
        <v/>
      </c>
      <c r="BF34" s="173">
        <f>IF('Оперативный ввод'!X34="","",'Оперативный ввод'!X34)</f>
        <v/>
      </c>
    </row>
    <row r="35">
      <c r="A35" s="171">
        <f>IF('Оперативный ввод'!A35="","",'Оперативный ввод'!A35)</f>
        <v/>
      </c>
      <c r="B35" s="172">
        <f>IF('Оперативный ввод'!B35="","",'Оперативный ввод'!B35)</f>
        <v/>
      </c>
      <c r="C35" s="270">
        <f>IF('Оперативный ввод'!C35="","",'Оперативный ввод'!C35)</f>
        <v/>
      </c>
      <c r="D35" s="270">
        <f>IF('Оперативный ввод'!D35="","",'Оперативный ввод'!D35)</f>
        <v/>
      </c>
      <c r="E35" s="271">
        <f>IF(OR(C35="",D35=""),"",D35-C35)</f>
        <v/>
      </c>
      <c r="F35" s="172">
        <f>IF('Оперативный ввод'!F35="","",'Оперативный ввод'!F35)</f>
        <v/>
      </c>
      <c r="G35" s="172">
        <f>IF('Оперативный ввод'!G35="","",'Оперативный ввод'!G35)</f>
        <v/>
      </c>
      <c r="H35" s="172">
        <f>IF('Оперативный ввод'!H35="","",'Оперативный ввод'!H35)</f>
        <v/>
      </c>
      <c r="I35" s="172">
        <f>IF('Оперативный ввод'!I35="","",'Оперативный ввод'!I35)</f>
        <v/>
      </c>
      <c r="J35" s="172">
        <f>IF('Оперативный ввод'!J35="","",'Оперативный ввод'!J35)</f>
        <v/>
      </c>
      <c r="K35" s="172">
        <f>IF('Оперативный ввод'!K35="","",'Оперативный ввод'!K35)</f>
        <v/>
      </c>
      <c r="L35" s="172">
        <f>IF('Оперативный ввод'!L35="","",'Оперативный ввод'!L35)</f>
        <v/>
      </c>
      <c r="M35" s="172">
        <f>IF('Оперативный ввод'!M35="","",'Оперативный ввод'!M35)</f>
        <v/>
      </c>
      <c r="N35" s="172">
        <f>IF('Оперативный ввод'!N35="","",'Оперативный ввод'!N35)</f>
        <v/>
      </c>
      <c r="O35" s="172">
        <f>IF('Оперативный ввод'!O35="","",'Оперативный ввод'!O35)</f>
        <v/>
      </c>
      <c r="P35" s="205">
        <f>IF(AND(A35="",B35=""),"",IF(AND(A35&lt;&gt;"",B35&lt;&gt;"",C35&lt;&gt;"",D35&lt;&gt;"",F35&lt;&gt;"",G35&lt;&gt;"",H35&lt;&gt;"",ISERROR(SEARCH("по паспорту",G35)),ISERROR(SEARCH("по паспорту",H35)),I35&lt;&gt;"",J35&lt;&gt;"",K35&lt;&gt;"",L35&lt;&gt;"",M35&lt;&gt;""),"ГОТОВО","НЕ ГОТОВО"))</f>
        <v/>
      </c>
      <c r="Q35" s="205">
        <f>IF(P35&lt;&gt;"ГОТОВО","", "Предварительное заключение: "&amp;A35&amp;", скв. "&amp;B35&amp;". МРП: "&amp;E35&amp;" сут. ГНО: "&amp;F35&amp;", типоразмер "&amp;G35&amp;", марка "&amp;H35&amp;". Событие: "&amp;I35&amp;". Признак: "&amp;J35&amp;". Узел: "&amp;K35&amp;". Предварительная причина: "&amp;L35&amp;". Основное осложнение: "&amp;M35&amp;IF(N35&lt;&gt;"","; сопутствующее: "&amp;N35,"")&amp;IF(O35&lt;&gt;"","; дополнительно: "&amp;O35,"")&amp;".")</f>
        <v/>
      </c>
      <c r="R35" s="172">
        <f>IF('Оперативный ввод'!P35="","",'Оперативный ввод'!P35)</f>
        <v/>
      </c>
      <c r="S35" s="172">
        <f>IF('Оперативный ввод'!Q35="","",'Оперативный ввод'!Q35)</f>
        <v/>
      </c>
      <c r="T35" s="172">
        <f>IF('Оперативный ввод'!R35="","",'Оперативный ввод'!R35)</f>
        <v/>
      </c>
      <c r="U35" s="172">
        <f>IF('Оперативный ввод'!S35="","",'Оперативный ввод'!S35)</f>
        <v/>
      </c>
      <c r="V35" s="172">
        <f>IF('Оперативный ввод'!T35="","",'Оперативный ввод'!T35)</f>
        <v/>
      </c>
      <c r="W35" s="172" t="n"/>
      <c r="X35" s="172" t="n"/>
      <c r="Y35" s="172" t="n"/>
      <c r="Z35" s="172" t="n"/>
      <c r="AA35" s="172">
        <f>IF('Оперативный ввод'!U35="","",'Оперативный ввод'!U35)</f>
        <v/>
      </c>
      <c r="AB35" s="172">
        <f>IF('Оперативный ввод'!V35="","",'Оперативный ввод'!V35)</f>
        <v/>
      </c>
      <c r="AC35" s="172">
        <f>IF('Оперативный ввод'!W35="","",'Оперативный ввод'!W35)</f>
        <v/>
      </c>
      <c r="BB35" s="172" t="n"/>
      <c r="BC35" s="172" t="n"/>
      <c r="BD35" s="205">
        <f>IF(AND(A35="",B35=""),"",IF(AND(P35="ГОТОВО",R35&lt;&gt;"",T35&lt;&gt;"",U35&lt;&gt;"",AA35&lt;&gt;"",AB35&lt;&gt;"",AC35&lt;&gt;"",BB35&lt;&gt;"",BC35&lt;&gt;""),"ГОТОВО","НЕ ГОТОВО"))</f>
        <v/>
      </c>
      <c r="BE35" s="205">
        <f>IF(BD35&lt;&gt;"ГОТОВО","","Полное заключение: "&amp;A35&amp;", скв. "&amp;B35&amp;". МРП: "&amp;E35&amp;" сут. ГНО: "&amp;F35&amp;"; причина: "&amp;U35&amp;"; категория: "&amp;V35&amp;"; решение комиссии: "&amp;BB35&amp;".")</f>
        <v/>
      </c>
      <c r="BF35" s="173">
        <f>IF('Оперативный ввод'!X35="","",'Оперативный ввод'!X35)</f>
        <v/>
      </c>
    </row>
    <row r="36">
      <c r="A36" s="171">
        <f>IF('Оперативный ввод'!A36="","",'Оперативный ввод'!A36)</f>
        <v/>
      </c>
      <c r="B36" s="172">
        <f>IF('Оперативный ввод'!B36="","",'Оперативный ввод'!B36)</f>
        <v/>
      </c>
      <c r="C36" s="270">
        <f>IF('Оперативный ввод'!C36="","",'Оперативный ввод'!C36)</f>
        <v/>
      </c>
      <c r="D36" s="270">
        <f>IF('Оперативный ввод'!D36="","",'Оперативный ввод'!D36)</f>
        <v/>
      </c>
      <c r="E36" s="271">
        <f>IF(OR(C36="",D36=""),"",D36-C36)</f>
        <v/>
      </c>
      <c r="F36" s="172">
        <f>IF('Оперативный ввод'!F36="","",'Оперативный ввод'!F36)</f>
        <v/>
      </c>
      <c r="G36" s="172">
        <f>IF('Оперативный ввод'!G36="","",'Оперативный ввод'!G36)</f>
        <v/>
      </c>
      <c r="H36" s="172">
        <f>IF('Оперативный ввод'!H36="","",'Оперативный ввод'!H36)</f>
        <v/>
      </c>
      <c r="I36" s="172">
        <f>IF('Оперативный ввод'!I36="","",'Оперативный ввод'!I36)</f>
        <v/>
      </c>
      <c r="J36" s="172">
        <f>IF('Оперативный ввод'!J36="","",'Оперативный ввод'!J36)</f>
        <v/>
      </c>
      <c r="K36" s="172">
        <f>IF('Оперативный ввод'!K36="","",'Оперативный ввод'!K36)</f>
        <v/>
      </c>
      <c r="L36" s="172">
        <f>IF('Оперативный ввод'!L36="","",'Оперативный ввод'!L36)</f>
        <v/>
      </c>
      <c r="M36" s="172">
        <f>IF('Оперативный ввод'!M36="","",'Оперативный ввод'!M36)</f>
        <v/>
      </c>
      <c r="N36" s="172">
        <f>IF('Оперативный ввод'!N36="","",'Оперативный ввод'!N36)</f>
        <v/>
      </c>
      <c r="O36" s="172">
        <f>IF('Оперативный ввод'!O36="","",'Оперативный ввод'!O36)</f>
        <v/>
      </c>
      <c r="P36" s="205">
        <f>IF(AND(A36="",B36=""),"",IF(AND(A36&lt;&gt;"",B36&lt;&gt;"",C36&lt;&gt;"",D36&lt;&gt;"",F36&lt;&gt;"",G36&lt;&gt;"",H36&lt;&gt;"",ISERROR(SEARCH("по паспорту",G36)),ISERROR(SEARCH("по паспорту",H36)),I36&lt;&gt;"",J36&lt;&gt;"",K36&lt;&gt;"",L36&lt;&gt;"",M36&lt;&gt;""),"ГОТОВО","НЕ ГОТОВО"))</f>
        <v/>
      </c>
      <c r="Q36" s="205">
        <f>IF(P36&lt;&gt;"ГОТОВО","", "Предварительное заключение: "&amp;A36&amp;", скв. "&amp;B36&amp;". МРП: "&amp;E36&amp;" сут. ГНО: "&amp;F36&amp;", типоразмер "&amp;G36&amp;", марка "&amp;H36&amp;". Событие: "&amp;I36&amp;". Признак: "&amp;J36&amp;". Узел: "&amp;K36&amp;". Предварительная причина: "&amp;L36&amp;". Основное осложнение: "&amp;M36&amp;IF(N36&lt;&gt;"","; сопутствующее: "&amp;N36,"")&amp;IF(O36&lt;&gt;"","; дополнительно: "&amp;O36,"")&amp;".")</f>
        <v/>
      </c>
      <c r="R36" s="172">
        <f>IF('Оперативный ввод'!P36="","",'Оперативный ввод'!P36)</f>
        <v/>
      </c>
      <c r="S36" s="172">
        <f>IF('Оперативный ввод'!Q36="","",'Оперативный ввод'!Q36)</f>
        <v/>
      </c>
      <c r="T36" s="172">
        <f>IF('Оперативный ввод'!R36="","",'Оперативный ввод'!R36)</f>
        <v/>
      </c>
      <c r="U36" s="172">
        <f>IF('Оперативный ввод'!S36="","",'Оперативный ввод'!S36)</f>
        <v/>
      </c>
      <c r="V36" s="172">
        <f>IF('Оперативный ввод'!T36="","",'Оперативный ввод'!T36)</f>
        <v/>
      </c>
      <c r="W36" s="172" t="n"/>
      <c r="X36" s="172" t="n"/>
      <c r="Y36" s="172" t="n"/>
      <c r="Z36" s="172" t="n"/>
      <c r="AA36" s="172">
        <f>IF('Оперативный ввод'!U36="","",'Оперативный ввод'!U36)</f>
        <v/>
      </c>
      <c r="AB36" s="172">
        <f>IF('Оперативный ввод'!V36="","",'Оперативный ввод'!V36)</f>
        <v/>
      </c>
      <c r="AC36" s="172">
        <f>IF('Оперативный ввод'!W36="","",'Оперативный ввод'!W36)</f>
        <v/>
      </c>
      <c r="BB36" s="172" t="n"/>
      <c r="BC36" s="172" t="n"/>
      <c r="BD36" s="205">
        <f>IF(AND(A36="",B36=""),"",IF(AND(P36="ГОТОВО",R36&lt;&gt;"",T36&lt;&gt;"",U36&lt;&gt;"",AA36&lt;&gt;"",AB36&lt;&gt;"",AC36&lt;&gt;"",BB36&lt;&gt;"",BC36&lt;&gt;""),"ГОТОВО","НЕ ГОТОВО"))</f>
        <v/>
      </c>
      <c r="BE36" s="205">
        <f>IF(BD36&lt;&gt;"ГОТОВО","","Полное заключение: "&amp;A36&amp;", скв. "&amp;B36&amp;". МРП: "&amp;E36&amp;" сут. ГНО: "&amp;F36&amp;"; причина: "&amp;U36&amp;"; категория: "&amp;V36&amp;"; решение комиссии: "&amp;BB36&amp;".")</f>
        <v/>
      </c>
      <c r="BF36" s="173">
        <f>IF('Оперативный ввод'!X36="","",'Оперативный ввод'!X36)</f>
        <v/>
      </c>
    </row>
    <row r="37">
      <c r="A37" s="171">
        <f>IF('Оперативный ввод'!A37="","",'Оперативный ввод'!A37)</f>
        <v/>
      </c>
      <c r="B37" s="172">
        <f>IF('Оперативный ввод'!B37="","",'Оперативный ввод'!B37)</f>
        <v/>
      </c>
      <c r="C37" s="270">
        <f>IF('Оперативный ввод'!C37="","",'Оперативный ввод'!C37)</f>
        <v/>
      </c>
      <c r="D37" s="270">
        <f>IF('Оперативный ввод'!D37="","",'Оперативный ввод'!D37)</f>
        <v/>
      </c>
      <c r="E37" s="271">
        <f>IF(OR(C37="",D37=""),"",D37-C37)</f>
        <v/>
      </c>
      <c r="F37" s="172">
        <f>IF('Оперативный ввод'!F37="","",'Оперативный ввод'!F37)</f>
        <v/>
      </c>
      <c r="G37" s="172">
        <f>IF('Оперативный ввод'!G37="","",'Оперативный ввод'!G37)</f>
        <v/>
      </c>
      <c r="H37" s="172">
        <f>IF('Оперативный ввод'!H37="","",'Оперативный ввод'!H37)</f>
        <v/>
      </c>
      <c r="I37" s="172">
        <f>IF('Оперативный ввод'!I37="","",'Оперативный ввод'!I37)</f>
        <v/>
      </c>
      <c r="J37" s="172">
        <f>IF('Оперативный ввод'!J37="","",'Оперативный ввод'!J37)</f>
        <v/>
      </c>
      <c r="K37" s="172">
        <f>IF('Оперативный ввод'!K37="","",'Оперативный ввод'!K37)</f>
        <v/>
      </c>
      <c r="L37" s="172">
        <f>IF('Оперативный ввод'!L37="","",'Оперативный ввод'!L37)</f>
        <v/>
      </c>
      <c r="M37" s="172">
        <f>IF('Оперативный ввод'!M37="","",'Оперативный ввод'!M37)</f>
        <v/>
      </c>
      <c r="N37" s="172">
        <f>IF('Оперативный ввод'!N37="","",'Оперативный ввод'!N37)</f>
        <v/>
      </c>
      <c r="O37" s="172">
        <f>IF('Оперативный ввод'!O37="","",'Оперативный ввод'!O37)</f>
        <v/>
      </c>
      <c r="P37" s="205">
        <f>IF(AND(A37="",B37=""),"",IF(AND(A37&lt;&gt;"",B37&lt;&gt;"",C37&lt;&gt;"",D37&lt;&gt;"",F37&lt;&gt;"",G37&lt;&gt;"",H37&lt;&gt;"",ISERROR(SEARCH("по паспорту",G37)),ISERROR(SEARCH("по паспорту",H37)),I37&lt;&gt;"",J37&lt;&gt;"",K37&lt;&gt;"",L37&lt;&gt;"",M37&lt;&gt;""),"ГОТОВО","НЕ ГОТОВО"))</f>
        <v/>
      </c>
      <c r="Q37" s="205">
        <f>IF(P37&lt;&gt;"ГОТОВО","", "Предварительное заключение: "&amp;A37&amp;", скв. "&amp;B37&amp;". МРП: "&amp;E37&amp;" сут. ГНО: "&amp;F37&amp;", типоразмер "&amp;G37&amp;", марка "&amp;H37&amp;". Событие: "&amp;I37&amp;". Признак: "&amp;J37&amp;". Узел: "&amp;K37&amp;". Предварительная причина: "&amp;L37&amp;". Основное осложнение: "&amp;M37&amp;IF(N37&lt;&gt;"","; сопутствующее: "&amp;N37,"")&amp;IF(O37&lt;&gt;"","; дополнительно: "&amp;O37,"")&amp;".")</f>
        <v/>
      </c>
      <c r="R37" s="172">
        <f>IF('Оперативный ввод'!P37="","",'Оперативный ввод'!P37)</f>
        <v/>
      </c>
      <c r="S37" s="172">
        <f>IF('Оперативный ввод'!Q37="","",'Оперативный ввод'!Q37)</f>
        <v/>
      </c>
      <c r="T37" s="172">
        <f>IF('Оперативный ввод'!R37="","",'Оперативный ввод'!R37)</f>
        <v/>
      </c>
      <c r="U37" s="172">
        <f>IF('Оперативный ввод'!S37="","",'Оперативный ввод'!S37)</f>
        <v/>
      </c>
      <c r="V37" s="172">
        <f>IF('Оперативный ввод'!T37="","",'Оперативный ввод'!T37)</f>
        <v/>
      </c>
      <c r="W37" s="172" t="n"/>
      <c r="X37" s="172" t="n"/>
      <c r="Y37" s="172" t="n"/>
      <c r="Z37" s="172" t="n"/>
      <c r="AA37" s="172">
        <f>IF('Оперативный ввод'!U37="","",'Оперативный ввод'!U37)</f>
        <v/>
      </c>
      <c r="AB37" s="172">
        <f>IF('Оперативный ввод'!V37="","",'Оперативный ввод'!V37)</f>
        <v/>
      </c>
      <c r="AC37" s="172">
        <f>IF('Оперативный ввод'!W37="","",'Оперативный ввод'!W37)</f>
        <v/>
      </c>
      <c r="BB37" s="172" t="n"/>
      <c r="BC37" s="172" t="n"/>
      <c r="BD37" s="205">
        <f>IF(AND(A37="",B37=""),"",IF(AND(P37="ГОТОВО",R37&lt;&gt;"",T37&lt;&gt;"",U37&lt;&gt;"",AA37&lt;&gt;"",AB37&lt;&gt;"",AC37&lt;&gt;"",BB37&lt;&gt;"",BC37&lt;&gt;""),"ГОТОВО","НЕ ГОТОВО"))</f>
        <v/>
      </c>
      <c r="BE37" s="205">
        <f>IF(BD37&lt;&gt;"ГОТОВО","","Полное заключение: "&amp;A37&amp;", скв. "&amp;B37&amp;". МРП: "&amp;E37&amp;" сут. ГНО: "&amp;F37&amp;"; причина: "&amp;U37&amp;"; категория: "&amp;V37&amp;"; решение комиссии: "&amp;BB37&amp;".")</f>
        <v/>
      </c>
      <c r="BF37" s="173">
        <f>IF('Оперативный ввод'!X37="","",'Оперативный ввод'!X37)</f>
        <v/>
      </c>
    </row>
    <row r="38">
      <c r="A38" s="171">
        <f>IF('Оперативный ввод'!A38="","",'Оперативный ввод'!A38)</f>
        <v/>
      </c>
      <c r="B38" s="172">
        <f>IF('Оперативный ввод'!B38="","",'Оперативный ввод'!B38)</f>
        <v/>
      </c>
      <c r="C38" s="270">
        <f>IF('Оперативный ввод'!C38="","",'Оперативный ввод'!C38)</f>
        <v/>
      </c>
      <c r="D38" s="270">
        <f>IF('Оперативный ввод'!D38="","",'Оперативный ввод'!D38)</f>
        <v/>
      </c>
      <c r="E38" s="271">
        <f>IF(OR(C38="",D38=""),"",D38-C38)</f>
        <v/>
      </c>
      <c r="F38" s="172">
        <f>IF('Оперативный ввод'!F38="","",'Оперативный ввод'!F38)</f>
        <v/>
      </c>
      <c r="G38" s="172">
        <f>IF('Оперативный ввод'!G38="","",'Оперативный ввод'!G38)</f>
        <v/>
      </c>
      <c r="H38" s="172">
        <f>IF('Оперативный ввод'!H38="","",'Оперативный ввод'!H38)</f>
        <v/>
      </c>
      <c r="I38" s="172">
        <f>IF('Оперативный ввод'!I38="","",'Оперативный ввод'!I38)</f>
        <v/>
      </c>
      <c r="J38" s="172">
        <f>IF('Оперативный ввод'!J38="","",'Оперативный ввод'!J38)</f>
        <v/>
      </c>
      <c r="K38" s="172">
        <f>IF('Оперативный ввод'!K38="","",'Оперативный ввод'!K38)</f>
        <v/>
      </c>
      <c r="L38" s="172">
        <f>IF('Оперативный ввод'!L38="","",'Оперативный ввод'!L38)</f>
        <v/>
      </c>
      <c r="M38" s="172">
        <f>IF('Оперативный ввод'!M38="","",'Оперативный ввод'!M38)</f>
        <v/>
      </c>
      <c r="N38" s="172">
        <f>IF('Оперативный ввод'!N38="","",'Оперативный ввод'!N38)</f>
        <v/>
      </c>
      <c r="O38" s="172">
        <f>IF('Оперативный ввод'!O38="","",'Оперативный ввод'!O38)</f>
        <v/>
      </c>
      <c r="P38" s="205">
        <f>IF(AND(A38="",B38=""),"",IF(AND(A38&lt;&gt;"",B38&lt;&gt;"",C38&lt;&gt;"",D38&lt;&gt;"",F38&lt;&gt;"",G38&lt;&gt;"",H38&lt;&gt;"",ISERROR(SEARCH("по паспорту",G38)),ISERROR(SEARCH("по паспорту",H38)),I38&lt;&gt;"",J38&lt;&gt;"",K38&lt;&gt;"",L38&lt;&gt;"",M38&lt;&gt;""),"ГОТОВО","НЕ ГОТОВО"))</f>
        <v/>
      </c>
      <c r="Q38" s="205">
        <f>IF(P38&lt;&gt;"ГОТОВО","", "Предварительное заключение: "&amp;A38&amp;", скв. "&amp;B38&amp;". МРП: "&amp;E38&amp;" сут. ГНО: "&amp;F38&amp;", типоразмер "&amp;G38&amp;", марка "&amp;H38&amp;". Событие: "&amp;I38&amp;". Признак: "&amp;J38&amp;". Узел: "&amp;K38&amp;". Предварительная причина: "&amp;L38&amp;". Основное осложнение: "&amp;M38&amp;IF(N38&lt;&gt;"","; сопутствующее: "&amp;N38,"")&amp;IF(O38&lt;&gt;"","; дополнительно: "&amp;O38,"")&amp;".")</f>
        <v/>
      </c>
      <c r="R38" s="172">
        <f>IF('Оперативный ввод'!P38="","",'Оперативный ввод'!P38)</f>
        <v/>
      </c>
      <c r="S38" s="172">
        <f>IF('Оперативный ввод'!Q38="","",'Оперативный ввод'!Q38)</f>
        <v/>
      </c>
      <c r="T38" s="172">
        <f>IF('Оперативный ввод'!R38="","",'Оперативный ввод'!R38)</f>
        <v/>
      </c>
      <c r="U38" s="172">
        <f>IF('Оперативный ввод'!S38="","",'Оперативный ввод'!S38)</f>
        <v/>
      </c>
      <c r="V38" s="172">
        <f>IF('Оперативный ввод'!T38="","",'Оперативный ввод'!T38)</f>
        <v/>
      </c>
      <c r="W38" s="172" t="n"/>
      <c r="X38" s="172" t="n"/>
      <c r="Y38" s="172" t="n"/>
      <c r="Z38" s="172" t="n"/>
      <c r="AA38" s="172">
        <f>IF('Оперативный ввод'!U38="","",'Оперативный ввод'!U38)</f>
        <v/>
      </c>
      <c r="AB38" s="172">
        <f>IF('Оперативный ввод'!V38="","",'Оперативный ввод'!V38)</f>
        <v/>
      </c>
      <c r="AC38" s="172">
        <f>IF('Оперативный ввод'!W38="","",'Оперативный ввод'!W38)</f>
        <v/>
      </c>
      <c r="BB38" s="172" t="n"/>
      <c r="BC38" s="172" t="n"/>
      <c r="BD38" s="205">
        <f>IF(AND(A38="",B38=""),"",IF(AND(P38="ГОТОВО",R38&lt;&gt;"",T38&lt;&gt;"",U38&lt;&gt;"",AA38&lt;&gt;"",AB38&lt;&gt;"",AC38&lt;&gt;"",BB38&lt;&gt;"",BC38&lt;&gt;""),"ГОТОВО","НЕ ГОТОВО"))</f>
        <v/>
      </c>
      <c r="BE38" s="205">
        <f>IF(BD38&lt;&gt;"ГОТОВО","","Полное заключение: "&amp;A38&amp;", скв. "&amp;B38&amp;". МРП: "&amp;E38&amp;" сут. ГНО: "&amp;F38&amp;"; причина: "&amp;U38&amp;"; категория: "&amp;V38&amp;"; решение комиссии: "&amp;BB38&amp;".")</f>
        <v/>
      </c>
      <c r="BF38" s="173">
        <f>IF('Оперативный ввод'!X38="","",'Оперативный ввод'!X38)</f>
        <v/>
      </c>
    </row>
    <row r="39">
      <c r="A39" s="171">
        <f>IF('Оперативный ввод'!A39="","",'Оперативный ввод'!A39)</f>
        <v/>
      </c>
      <c r="B39" s="172">
        <f>IF('Оперативный ввод'!B39="","",'Оперативный ввод'!B39)</f>
        <v/>
      </c>
      <c r="C39" s="270">
        <f>IF('Оперативный ввод'!C39="","",'Оперативный ввод'!C39)</f>
        <v/>
      </c>
      <c r="D39" s="270">
        <f>IF('Оперативный ввод'!D39="","",'Оперативный ввод'!D39)</f>
        <v/>
      </c>
      <c r="E39" s="271">
        <f>IF(OR(C39="",D39=""),"",D39-C39)</f>
        <v/>
      </c>
      <c r="F39" s="172">
        <f>IF('Оперативный ввод'!F39="","",'Оперативный ввод'!F39)</f>
        <v/>
      </c>
      <c r="G39" s="172">
        <f>IF('Оперативный ввод'!G39="","",'Оперативный ввод'!G39)</f>
        <v/>
      </c>
      <c r="H39" s="172">
        <f>IF('Оперативный ввод'!H39="","",'Оперативный ввод'!H39)</f>
        <v/>
      </c>
      <c r="I39" s="172">
        <f>IF('Оперативный ввод'!I39="","",'Оперативный ввод'!I39)</f>
        <v/>
      </c>
      <c r="J39" s="172">
        <f>IF('Оперативный ввод'!J39="","",'Оперативный ввод'!J39)</f>
        <v/>
      </c>
      <c r="K39" s="172">
        <f>IF('Оперативный ввод'!K39="","",'Оперативный ввод'!K39)</f>
        <v/>
      </c>
      <c r="L39" s="172">
        <f>IF('Оперативный ввод'!L39="","",'Оперативный ввод'!L39)</f>
        <v/>
      </c>
      <c r="M39" s="172">
        <f>IF('Оперативный ввод'!M39="","",'Оперативный ввод'!M39)</f>
        <v/>
      </c>
      <c r="N39" s="172">
        <f>IF('Оперативный ввод'!N39="","",'Оперативный ввод'!N39)</f>
        <v/>
      </c>
      <c r="O39" s="172">
        <f>IF('Оперативный ввод'!O39="","",'Оперативный ввод'!O39)</f>
        <v/>
      </c>
      <c r="P39" s="205">
        <f>IF(AND(A39="",B39=""),"",IF(AND(A39&lt;&gt;"",B39&lt;&gt;"",C39&lt;&gt;"",D39&lt;&gt;"",F39&lt;&gt;"",G39&lt;&gt;"",H39&lt;&gt;"",ISERROR(SEARCH("по паспорту",G39)),ISERROR(SEARCH("по паспорту",H39)),I39&lt;&gt;"",J39&lt;&gt;"",K39&lt;&gt;"",L39&lt;&gt;"",M39&lt;&gt;""),"ГОТОВО","НЕ ГОТОВО"))</f>
        <v/>
      </c>
      <c r="Q39" s="205">
        <f>IF(P39&lt;&gt;"ГОТОВО","", "Предварительное заключение: "&amp;A39&amp;", скв. "&amp;B39&amp;". МРП: "&amp;E39&amp;" сут. ГНО: "&amp;F39&amp;", типоразмер "&amp;G39&amp;", марка "&amp;H39&amp;". Событие: "&amp;I39&amp;". Признак: "&amp;J39&amp;". Узел: "&amp;K39&amp;". Предварительная причина: "&amp;L39&amp;". Основное осложнение: "&amp;M39&amp;IF(N39&lt;&gt;"","; сопутствующее: "&amp;N39,"")&amp;IF(O39&lt;&gt;"","; дополнительно: "&amp;O39,"")&amp;".")</f>
        <v/>
      </c>
      <c r="R39" s="172">
        <f>IF('Оперативный ввод'!P39="","",'Оперативный ввод'!P39)</f>
        <v/>
      </c>
      <c r="S39" s="172">
        <f>IF('Оперативный ввод'!Q39="","",'Оперативный ввод'!Q39)</f>
        <v/>
      </c>
      <c r="T39" s="172">
        <f>IF('Оперативный ввод'!R39="","",'Оперативный ввод'!R39)</f>
        <v/>
      </c>
      <c r="U39" s="172">
        <f>IF('Оперативный ввод'!S39="","",'Оперативный ввод'!S39)</f>
        <v/>
      </c>
      <c r="V39" s="172">
        <f>IF('Оперативный ввод'!T39="","",'Оперативный ввод'!T39)</f>
        <v/>
      </c>
      <c r="W39" s="172" t="n"/>
      <c r="X39" s="172" t="n"/>
      <c r="Y39" s="172" t="n"/>
      <c r="Z39" s="172" t="n"/>
      <c r="AA39" s="172">
        <f>IF('Оперативный ввод'!U39="","",'Оперативный ввод'!U39)</f>
        <v/>
      </c>
      <c r="AB39" s="172">
        <f>IF('Оперативный ввод'!V39="","",'Оперативный ввод'!V39)</f>
        <v/>
      </c>
      <c r="AC39" s="172">
        <f>IF('Оперативный ввод'!W39="","",'Оперативный ввод'!W39)</f>
        <v/>
      </c>
      <c r="BB39" s="172" t="n"/>
      <c r="BC39" s="172" t="n"/>
      <c r="BD39" s="205">
        <f>IF(AND(A39="",B39=""),"",IF(AND(P39="ГОТОВО",R39&lt;&gt;"",T39&lt;&gt;"",U39&lt;&gt;"",AA39&lt;&gt;"",AB39&lt;&gt;"",AC39&lt;&gt;"",BB39&lt;&gt;"",BC39&lt;&gt;""),"ГОТОВО","НЕ ГОТОВО"))</f>
        <v/>
      </c>
      <c r="BE39" s="205">
        <f>IF(BD39&lt;&gt;"ГОТОВО","","Полное заключение: "&amp;A39&amp;", скв. "&amp;B39&amp;". МРП: "&amp;E39&amp;" сут. ГНО: "&amp;F39&amp;"; причина: "&amp;U39&amp;"; категория: "&amp;V39&amp;"; решение комиссии: "&amp;BB39&amp;".")</f>
        <v/>
      </c>
      <c r="BF39" s="173">
        <f>IF('Оперативный ввод'!X39="","",'Оперативный ввод'!X39)</f>
        <v/>
      </c>
    </row>
    <row r="40">
      <c r="A40" s="171">
        <f>IF('Оперативный ввод'!A40="","",'Оперативный ввод'!A40)</f>
        <v/>
      </c>
      <c r="B40" s="172">
        <f>IF('Оперативный ввод'!B40="","",'Оперативный ввод'!B40)</f>
        <v/>
      </c>
      <c r="C40" s="270">
        <f>IF('Оперативный ввод'!C40="","",'Оперативный ввод'!C40)</f>
        <v/>
      </c>
      <c r="D40" s="270">
        <f>IF('Оперативный ввод'!D40="","",'Оперативный ввод'!D40)</f>
        <v/>
      </c>
      <c r="E40" s="271">
        <f>IF(OR(C40="",D40=""),"",D40-C40)</f>
        <v/>
      </c>
      <c r="F40" s="172">
        <f>IF('Оперативный ввод'!F40="","",'Оперативный ввод'!F40)</f>
        <v/>
      </c>
      <c r="G40" s="172">
        <f>IF('Оперативный ввод'!G40="","",'Оперативный ввод'!G40)</f>
        <v/>
      </c>
      <c r="H40" s="172">
        <f>IF('Оперативный ввод'!H40="","",'Оперативный ввод'!H40)</f>
        <v/>
      </c>
      <c r="I40" s="172">
        <f>IF('Оперативный ввод'!I40="","",'Оперативный ввод'!I40)</f>
        <v/>
      </c>
      <c r="J40" s="172">
        <f>IF('Оперативный ввод'!J40="","",'Оперативный ввод'!J40)</f>
        <v/>
      </c>
      <c r="K40" s="172">
        <f>IF('Оперативный ввод'!K40="","",'Оперативный ввод'!K40)</f>
        <v/>
      </c>
      <c r="L40" s="172">
        <f>IF('Оперативный ввод'!L40="","",'Оперативный ввод'!L40)</f>
        <v/>
      </c>
      <c r="M40" s="172">
        <f>IF('Оперативный ввод'!M40="","",'Оперативный ввод'!M40)</f>
        <v/>
      </c>
      <c r="N40" s="172">
        <f>IF('Оперативный ввод'!N40="","",'Оперативный ввод'!N40)</f>
        <v/>
      </c>
      <c r="O40" s="172">
        <f>IF('Оперативный ввод'!O40="","",'Оперативный ввод'!O40)</f>
        <v/>
      </c>
      <c r="P40" s="205">
        <f>IF(AND(A40="",B40=""),"",IF(AND(A40&lt;&gt;"",B40&lt;&gt;"",C40&lt;&gt;"",D40&lt;&gt;"",F40&lt;&gt;"",G40&lt;&gt;"",H40&lt;&gt;"",ISERROR(SEARCH("по паспорту",G40)),ISERROR(SEARCH("по паспорту",H40)),I40&lt;&gt;"",J40&lt;&gt;"",K40&lt;&gt;"",L40&lt;&gt;"",M40&lt;&gt;""),"ГОТОВО","НЕ ГОТОВО"))</f>
        <v/>
      </c>
      <c r="Q40" s="205">
        <f>IF(P40&lt;&gt;"ГОТОВО","", "Предварительное заключение: "&amp;A40&amp;", скв. "&amp;B40&amp;". МРП: "&amp;E40&amp;" сут. ГНО: "&amp;F40&amp;", типоразмер "&amp;G40&amp;", марка "&amp;H40&amp;". Событие: "&amp;I40&amp;". Признак: "&amp;J40&amp;". Узел: "&amp;K40&amp;". Предварительная причина: "&amp;L40&amp;". Основное осложнение: "&amp;M40&amp;IF(N40&lt;&gt;"","; сопутствующее: "&amp;N40,"")&amp;IF(O40&lt;&gt;"","; дополнительно: "&amp;O40,"")&amp;".")</f>
        <v/>
      </c>
      <c r="R40" s="172">
        <f>IF('Оперативный ввод'!P40="","",'Оперативный ввод'!P40)</f>
        <v/>
      </c>
      <c r="S40" s="172">
        <f>IF('Оперативный ввод'!Q40="","",'Оперативный ввод'!Q40)</f>
        <v/>
      </c>
      <c r="T40" s="172">
        <f>IF('Оперативный ввод'!R40="","",'Оперативный ввод'!R40)</f>
        <v/>
      </c>
      <c r="U40" s="172">
        <f>IF('Оперативный ввод'!S40="","",'Оперативный ввод'!S40)</f>
        <v/>
      </c>
      <c r="V40" s="172">
        <f>IF('Оперативный ввод'!T40="","",'Оперативный ввод'!T40)</f>
        <v/>
      </c>
      <c r="W40" s="172" t="n"/>
      <c r="X40" s="172" t="n"/>
      <c r="Y40" s="172" t="n"/>
      <c r="Z40" s="172" t="n"/>
      <c r="AA40" s="172">
        <f>IF('Оперативный ввод'!U40="","",'Оперативный ввод'!U40)</f>
        <v/>
      </c>
      <c r="AB40" s="172">
        <f>IF('Оперативный ввод'!V40="","",'Оперативный ввод'!V40)</f>
        <v/>
      </c>
      <c r="AC40" s="172">
        <f>IF('Оперативный ввод'!W40="","",'Оперативный ввод'!W40)</f>
        <v/>
      </c>
      <c r="BB40" s="172" t="n"/>
      <c r="BC40" s="172" t="n"/>
      <c r="BD40" s="205">
        <f>IF(AND(A40="",B40=""),"",IF(AND(P40="ГОТОВО",R40&lt;&gt;"",T40&lt;&gt;"",U40&lt;&gt;"",AA40&lt;&gt;"",AB40&lt;&gt;"",AC40&lt;&gt;"",BB40&lt;&gt;"",BC40&lt;&gt;""),"ГОТОВО","НЕ ГОТОВО"))</f>
        <v/>
      </c>
      <c r="BE40" s="205">
        <f>IF(BD40&lt;&gt;"ГОТОВО","","Полное заключение: "&amp;A40&amp;", скв. "&amp;B40&amp;". МРП: "&amp;E40&amp;" сут. ГНО: "&amp;F40&amp;"; причина: "&amp;U40&amp;"; категория: "&amp;V40&amp;"; решение комиссии: "&amp;BB40&amp;".")</f>
        <v/>
      </c>
      <c r="BF40" s="173">
        <f>IF('Оперативный ввод'!X40="","",'Оперативный ввод'!X40)</f>
        <v/>
      </c>
    </row>
    <row r="41">
      <c r="A41" s="171">
        <f>IF('Оперативный ввод'!A41="","",'Оперативный ввод'!A41)</f>
        <v/>
      </c>
      <c r="B41" s="172">
        <f>IF('Оперативный ввод'!B41="","",'Оперативный ввод'!B41)</f>
        <v/>
      </c>
      <c r="C41" s="270">
        <f>IF('Оперативный ввод'!C41="","",'Оперативный ввод'!C41)</f>
        <v/>
      </c>
      <c r="D41" s="270">
        <f>IF('Оперативный ввод'!D41="","",'Оперативный ввод'!D41)</f>
        <v/>
      </c>
      <c r="E41" s="271">
        <f>IF(OR(C41="",D41=""),"",D41-C41)</f>
        <v/>
      </c>
      <c r="F41" s="172">
        <f>IF('Оперативный ввод'!F41="","",'Оперативный ввод'!F41)</f>
        <v/>
      </c>
      <c r="G41" s="172">
        <f>IF('Оперативный ввод'!G41="","",'Оперативный ввод'!G41)</f>
        <v/>
      </c>
      <c r="H41" s="172">
        <f>IF('Оперативный ввод'!H41="","",'Оперативный ввод'!H41)</f>
        <v/>
      </c>
      <c r="I41" s="172">
        <f>IF('Оперативный ввод'!I41="","",'Оперативный ввод'!I41)</f>
        <v/>
      </c>
      <c r="J41" s="172">
        <f>IF('Оперативный ввод'!J41="","",'Оперативный ввод'!J41)</f>
        <v/>
      </c>
      <c r="K41" s="172">
        <f>IF('Оперативный ввод'!K41="","",'Оперативный ввод'!K41)</f>
        <v/>
      </c>
      <c r="L41" s="172">
        <f>IF('Оперативный ввод'!L41="","",'Оперативный ввод'!L41)</f>
        <v/>
      </c>
      <c r="M41" s="172">
        <f>IF('Оперативный ввод'!M41="","",'Оперативный ввод'!M41)</f>
        <v/>
      </c>
      <c r="N41" s="172">
        <f>IF('Оперативный ввод'!N41="","",'Оперативный ввод'!N41)</f>
        <v/>
      </c>
      <c r="O41" s="172">
        <f>IF('Оперативный ввод'!O41="","",'Оперативный ввод'!O41)</f>
        <v/>
      </c>
      <c r="P41" s="205">
        <f>IF(AND(A41="",B41=""),"",IF(AND(A41&lt;&gt;"",B41&lt;&gt;"",C41&lt;&gt;"",D41&lt;&gt;"",F41&lt;&gt;"",G41&lt;&gt;"",H41&lt;&gt;"",ISERROR(SEARCH("по паспорту",G41)),ISERROR(SEARCH("по паспорту",H41)),I41&lt;&gt;"",J41&lt;&gt;"",K41&lt;&gt;"",L41&lt;&gt;"",M41&lt;&gt;""),"ГОТОВО","НЕ ГОТОВО"))</f>
        <v/>
      </c>
      <c r="Q41" s="205">
        <f>IF(P41&lt;&gt;"ГОТОВО","", "Предварительное заключение: "&amp;A41&amp;", скв. "&amp;B41&amp;". МРП: "&amp;E41&amp;" сут. ГНО: "&amp;F41&amp;", типоразмер "&amp;G41&amp;", марка "&amp;H41&amp;". Событие: "&amp;I41&amp;". Признак: "&amp;J41&amp;". Узел: "&amp;K41&amp;". Предварительная причина: "&amp;L41&amp;". Основное осложнение: "&amp;M41&amp;IF(N41&lt;&gt;"","; сопутствующее: "&amp;N41,"")&amp;IF(O41&lt;&gt;"","; дополнительно: "&amp;O41,"")&amp;".")</f>
        <v/>
      </c>
      <c r="R41" s="172">
        <f>IF('Оперативный ввод'!P41="","",'Оперативный ввод'!P41)</f>
        <v/>
      </c>
      <c r="S41" s="172">
        <f>IF('Оперативный ввод'!Q41="","",'Оперативный ввод'!Q41)</f>
        <v/>
      </c>
      <c r="T41" s="172">
        <f>IF('Оперативный ввод'!R41="","",'Оперативный ввод'!R41)</f>
        <v/>
      </c>
      <c r="U41" s="172">
        <f>IF('Оперативный ввод'!S41="","",'Оперативный ввод'!S41)</f>
        <v/>
      </c>
      <c r="V41" s="172">
        <f>IF('Оперативный ввод'!T41="","",'Оперативный ввод'!T41)</f>
        <v/>
      </c>
      <c r="W41" s="172" t="n"/>
      <c r="X41" s="172" t="n"/>
      <c r="Y41" s="172" t="n"/>
      <c r="Z41" s="172" t="n"/>
      <c r="AA41" s="172">
        <f>IF('Оперативный ввод'!U41="","",'Оперативный ввод'!U41)</f>
        <v/>
      </c>
      <c r="AB41" s="172">
        <f>IF('Оперативный ввод'!V41="","",'Оперативный ввод'!V41)</f>
        <v/>
      </c>
      <c r="AC41" s="172">
        <f>IF('Оперативный ввод'!W41="","",'Оперативный ввод'!W41)</f>
        <v/>
      </c>
      <c r="BB41" s="172" t="n"/>
      <c r="BC41" s="172" t="n"/>
      <c r="BD41" s="205">
        <f>IF(AND(A41="",B41=""),"",IF(AND(P41="ГОТОВО",R41&lt;&gt;"",T41&lt;&gt;"",U41&lt;&gt;"",AA41&lt;&gt;"",AB41&lt;&gt;"",AC41&lt;&gt;"",BB41&lt;&gt;"",BC41&lt;&gt;""),"ГОТОВО","НЕ ГОТОВО"))</f>
        <v/>
      </c>
      <c r="BE41" s="205">
        <f>IF(BD41&lt;&gt;"ГОТОВО","","Полное заключение: "&amp;A41&amp;", скв. "&amp;B41&amp;". МРП: "&amp;E41&amp;" сут. ГНО: "&amp;F41&amp;"; причина: "&amp;U41&amp;"; категория: "&amp;V41&amp;"; решение комиссии: "&amp;BB41&amp;".")</f>
        <v/>
      </c>
      <c r="BF41" s="173">
        <f>IF('Оперативный ввод'!X41="","",'Оперативный ввод'!X41)</f>
        <v/>
      </c>
    </row>
    <row r="42">
      <c r="A42" s="171">
        <f>IF('Оперативный ввод'!A42="","",'Оперативный ввод'!A42)</f>
        <v/>
      </c>
      <c r="B42" s="172">
        <f>IF('Оперативный ввод'!B42="","",'Оперативный ввод'!B42)</f>
        <v/>
      </c>
      <c r="C42" s="270">
        <f>IF('Оперативный ввод'!C42="","",'Оперативный ввод'!C42)</f>
        <v/>
      </c>
      <c r="D42" s="270">
        <f>IF('Оперативный ввод'!D42="","",'Оперативный ввод'!D42)</f>
        <v/>
      </c>
      <c r="E42" s="271">
        <f>IF(OR(C42="",D42=""),"",D42-C42)</f>
        <v/>
      </c>
      <c r="F42" s="172">
        <f>IF('Оперативный ввод'!F42="","",'Оперативный ввод'!F42)</f>
        <v/>
      </c>
      <c r="G42" s="172">
        <f>IF('Оперативный ввод'!G42="","",'Оперативный ввод'!G42)</f>
        <v/>
      </c>
      <c r="H42" s="172">
        <f>IF('Оперативный ввод'!H42="","",'Оперативный ввод'!H42)</f>
        <v/>
      </c>
      <c r="I42" s="172">
        <f>IF('Оперативный ввод'!I42="","",'Оперативный ввод'!I42)</f>
        <v/>
      </c>
      <c r="J42" s="172">
        <f>IF('Оперативный ввод'!J42="","",'Оперативный ввод'!J42)</f>
        <v/>
      </c>
      <c r="K42" s="172">
        <f>IF('Оперативный ввод'!K42="","",'Оперативный ввод'!K42)</f>
        <v/>
      </c>
      <c r="L42" s="172">
        <f>IF('Оперативный ввод'!L42="","",'Оперативный ввод'!L42)</f>
        <v/>
      </c>
      <c r="M42" s="172">
        <f>IF('Оперативный ввод'!M42="","",'Оперативный ввод'!M42)</f>
        <v/>
      </c>
      <c r="N42" s="172">
        <f>IF('Оперативный ввод'!N42="","",'Оперативный ввод'!N42)</f>
        <v/>
      </c>
      <c r="O42" s="172">
        <f>IF('Оперативный ввод'!O42="","",'Оперативный ввод'!O42)</f>
        <v/>
      </c>
      <c r="P42" s="205">
        <f>IF(AND(A42="",B42=""),"",IF(AND(A42&lt;&gt;"",B42&lt;&gt;"",C42&lt;&gt;"",D42&lt;&gt;"",F42&lt;&gt;"",G42&lt;&gt;"",H42&lt;&gt;"",ISERROR(SEARCH("по паспорту",G42)),ISERROR(SEARCH("по паспорту",H42)),I42&lt;&gt;"",J42&lt;&gt;"",K42&lt;&gt;"",L42&lt;&gt;"",M42&lt;&gt;""),"ГОТОВО","НЕ ГОТОВО"))</f>
        <v/>
      </c>
      <c r="Q42" s="205">
        <f>IF(P42&lt;&gt;"ГОТОВО","", "Предварительное заключение: "&amp;A42&amp;", скв. "&amp;B42&amp;". МРП: "&amp;E42&amp;" сут. ГНО: "&amp;F42&amp;", типоразмер "&amp;G42&amp;", марка "&amp;H42&amp;". Событие: "&amp;I42&amp;". Признак: "&amp;J42&amp;". Узел: "&amp;K42&amp;". Предварительная причина: "&amp;L42&amp;". Основное осложнение: "&amp;M42&amp;IF(N42&lt;&gt;"","; сопутствующее: "&amp;N42,"")&amp;IF(O42&lt;&gt;"","; дополнительно: "&amp;O42,"")&amp;".")</f>
        <v/>
      </c>
      <c r="R42" s="172">
        <f>IF('Оперативный ввод'!P42="","",'Оперативный ввод'!P42)</f>
        <v/>
      </c>
      <c r="S42" s="172">
        <f>IF('Оперативный ввод'!Q42="","",'Оперативный ввод'!Q42)</f>
        <v/>
      </c>
      <c r="T42" s="172">
        <f>IF('Оперативный ввод'!R42="","",'Оперативный ввод'!R42)</f>
        <v/>
      </c>
      <c r="U42" s="172">
        <f>IF('Оперативный ввод'!S42="","",'Оперативный ввод'!S42)</f>
        <v/>
      </c>
      <c r="V42" s="172">
        <f>IF('Оперативный ввод'!T42="","",'Оперативный ввод'!T42)</f>
        <v/>
      </c>
      <c r="W42" s="172" t="n"/>
      <c r="X42" s="172" t="n"/>
      <c r="Y42" s="172" t="n"/>
      <c r="Z42" s="172" t="n"/>
      <c r="AA42" s="172">
        <f>IF('Оперативный ввод'!U42="","",'Оперативный ввод'!U42)</f>
        <v/>
      </c>
      <c r="AB42" s="172">
        <f>IF('Оперативный ввод'!V42="","",'Оперативный ввод'!V42)</f>
        <v/>
      </c>
      <c r="AC42" s="172">
        <f>IF('Оперативный ввод'!W42="","",'Оперативный ввод'!W42)</f>
        <v/>
      </c>
      <c r="BB42" s="172" t="n"/>
      <c r="BC42" s="172" t="n"/>
      <c r="BD42" s="205">
        <f>IF(AND(A42="",B42=""),"",IF(AND(P42="ГОТОВО",R42&lt;&gt;"",T42&lt;&gt;"",U42&lt;&gt;"",AA42&lt;&gt;"",AB42&lt;&gt;"",AC42&lt;&gt;"",BB42&lt;&gt;"",BC42&lt;&gt;""),"ГОТОВО","НЕ ГОТОВО"))</f>
        <v/>
      </c>
      <c r="BE42" s="205">
        <f>IF(BD42&lt;&gt;"ГОТОВО","","Полное заключение: "&amp;A42&amp;", скв. "&amp;B42&amp;". МРП: "&amp;E42&amp;" сут. ГНО: "&amp;F42&amp;"; причина: "&amp;U42&amp;"; категория: "&amp;V42&amp;"; решение комиссии: "&amp;BB42&amp;".")</f>
        <v/>
      </c>
      <c r="BF42" s="173">
        <f>IF('Оперативный ввод'!X42="","",'Оперативный ввод'!X42)</f>
        <v/>
      </c>
    </row>
    <row r="43">
      <c r="A43" s="171">
        <f>IF('Оперативный ввод'!A43="","",'Оперативный ввод'!A43)</f>
        <v/>
      </c>
      <c r="B43" s="172">
        <f>IF('Оперативный ввод'!B43="","",'Оперативный ввод'!B43)</f>
        <v/>
      </c>
      <c r="C43" s="270">
        <f>IF('Оперативный ввод'!C43="","",'Оперативный ввод'!C43)</f>
        <v/>
      </c>
      <c r="D43" s="270">
        <f>IF('Оперативный ввод'!D43="","",'Оперативный ввод'!D43)</f>
        <v/>
      </c>
      <c r="E43" s="271">
        <f>IF(OR(C43="",D43=""),"",D43-C43)</f>
        <v/>
      </c>
      <c r="F43" s="172">
        <f>IF('Оперативный ввод'!F43="","",'Оперативный ввод'!F43)</f>
        <v/>
      </c>
      <c r="G43" s="172">
        <f>IF('Оперативный ввод'!G43="","",'Оперативный ввод'!G43)</f>
        <v/>
      </c>
      <c r="H43" s="172">
        <f>IF('Оперативный ввод'!H43="","",'Оперативный ввод'!H43)</f>
        <v/>
      </c>
      <c r="I43" s="172">
        <f>IF('Оперативный ввод'!I43="","",'Оперативный ввод'!I43)</f>
        <v/>
      </c>
      <c r="J43" s="172">
        <f>IF('Оперативный ввод'!J43="","",'Оперативный ввод'!J43)</f>
        <v/>
      </c>
      <c r="K43" s="172">
        <f>IF('Оперативный ввод'!K43="","",'Оперативный ввод'!K43)</f>
        <v/>
      </c>
      <c r="L43" s="172">
        <f>IF('Оперативный ввод'!L43="","",'Оперативный ввод'!L43)</f>
        <v/>
      </c>
      <c r="M43" s="172">
        <f>IF('Оперативный ввод'!M43="","",'Оперативный ввод'!M43)</f>
        <v/>
      </c>
      <c r="N43" s="172">
        <f>IF('Оперативный ввод'!N43="","",'Оперативный ввод'!N43)</f>
        <v/>
      </c>
      <c r="O43" s="172">
        <f>IF('Оперативный ввод'!O43="","",'Оперативный ввод'!O43)</f>
        <v/>
      </c>
      <c r="P43" s="205">
        <f>IF(AND(A43="",B43=""),"",IF(AND(A43&lt;&gt;"",B43&lt;&gt;"",C43&lt;&gt;"",D43&lt;&gt;"",F43&lt;&gt;"",G43&lt;&gt;"",H43&lt;&gt;"",ISERROR(SEARCH("по паспорту",G43)),ISERROR(SEARCH("по паспорту",H43)),I43&lt;&gt;"",J43&lt;&gt;"",K43&lt;&gt;"",L43&lt;&gt;"",M43&lt;&gt;""),"ГОТОВО","НЕ ГОТОВО"))</f>
        <v/>
      </c>
      <c r="Q43" s="205">
        <f>IF(P43&lt;&gt;"ГОТОВО","", "Предварительное заключение: "&amp;A43&amp;", скв. "&amp;B43&amp;". МРП: "&amp;E43&amp;" сут. ГНО: "&amp;F43&amp;", типоразмер "&amp;G43&amp;", марка "&amp;H43&amp;". Событие: "&amp;I43&amp;". Признак: "&amp;J43&amp;". Узел: "&amp;K43&amp;". Предварительная причина: "&amp;L43&amp;". Основное осложнение: "&amp;M43&amp;IF(N43&lt;&gt;"","; сопутствующее: "&amp;N43,"")&amp;IF(O43&lt;&gt;"","; дополнительно: "&amp;O43,"")&amp;".")</f>
        <v/>
      </c>
      <c r="R43" s="172">
        <f>IF('Оперативный ввод'!P43="","",'Оперативный ввод'!P43)</f>
        <v/>
      </c>
      <c r="S43" s="172">
        <f>IF('Оперативный ввод'!Q43="","",'Оперативный ввод'!Q43)</f>
        <v/>
      </c>
      <c r="T43" s="172">
        <f>IF('Оперативный ввод'!R43="","",'Оперативный ввод'!R43)</f>
        <v/>
      </c>
      <c r="U43" s="172">
        <f>IF('Оперативный ввод'!S43="","",'Оперативный ввод'!S43)</f>
        <v/>
      </c>
      <c r="V43" s="172">
        <f>IF('Оперативный ввод'!T43="","",'Оперативный ввод'!T43)</f>
        <v/>
      </c>
      <c r="W43" s="172" t="n"/>
      <c r="X43" s="172" t="n"/>
      <c r="Y43" s="172" t="n"/>
      <c r="Z43" s="172" t="n"/>
      <c r="AA43" s="172">
        <f>IF('Оперативный ввод'!U43="","",'Оперативный ввод'!U43)</f>
        <v/>
      </c>
      <c r="AB43" s="172">
        <f>IF('Оперативный ввод'!V43="","",'Оперативный ввод'!V43)</f>
        <v/>
      </c>
      <c r="AC43" s="172">
        <f>IF('Оперативный ввод'!W43="","",'Оперативный ввод'!W43)</f>
        <v/>
      </c>
      <c r="BB43" s="172" t="n"/>
      <c r="BC43" s="172" t="n"/>
      <c r="BD43" s="205">
        <f>IF(AND(A43="",B43=""),"",IF(AND(P43="ГОТОВО",R43&lt;&gt;"",T43&lt;&gt;"",U43&lt;&gt;"",AA43&lt;&gt;"",AB43&lt;&gt;"",AC43&lt;&gt;"",BB43&lt;&gt;"",BC43&lt;&gt;""),"ГОТОВО","НЕ ГОТОВО"))</f>
        <v/>
      </c>
      <c r="BE43" s="205">
        <f>IF(BD43&lt;&gt;"ГОТОВО","","Полное заключение: "&amp;A43&amp;", скв. "&amp;B43&amp;". МРП: "&amp;E43&amp;" сут. ГНО: "&amp;F43&amp;"; причина: "&amp;U43&amp;"; категория: "&amp;V43&amp;"; решение комиссии: "&amp;BB43&amp;".")</f>
        <v/>
      </c>
      <c r="BF43" s="173">
        <f>IF('Оперативный ввод'!X43="","",'Оперативный ввод'!X43)</f>
        <v/>
      </c>
    </row>
    <row r="44">
      <c r="A44" s="171">
        <f>IF('Оперативный ввод'!A44="","",'Оперативный ввод'!A44)</f>
        <v/>
      </c>
      <c r="B44" s="172">
        <f>IF('Оперативный ввод'!B44="","",'Оперативный ввод'!B44)</f>
        <v/>
      </c>
      <c r="C44" s="270">
        <f>IF('Оперативный ввод'!C44="","",'Оперативный ввод'!C44)</f>
        <v/>
      </c>
      <c r="D44" s="270">
        <f>IF('Оперативный ввод'!D44="","",'Оперативный ввод'!D44)</f>
        <v/>
      </c>
      <c r="E44" s="271">
        <f>IF(OR(C44="",D44=""),"",D44-C44)</f>
        <v/>
      </c>
      <c r="F44" s="172">
        <f>IF('Оперативный ввод'!F44="","",'Оперативный ввод'!F44)</f>
        <v/>
      </c>
      <c r="G44" s="172">
        <f>IF('Оперативный ввод'!G44="","",'Оперативный ввод'!G44)</f>
        <v/>
      </c>
      <c r="H44" s="172">
        <f>IF('Оперативный ввод'!H44="","",'Оперативный ввод'!H44)</f>
        <v/>
      </c>
      <c r="I44" s="172">
        <f>IF('Оперативный ввод'!I44="","",'Оперативный ввод'!I44)</f>
        <v/>
      </c>
      <c r="J44" s="172">
        <f>IF('Оперативный ввод'!J44="","",'Оперативный ввод'!J44)</f>
        <v/>
      </c>
      <c r="K44" s="172">
        <f>IF('Оперативный ввод'!K44="","",'Оперативный ввод'!K44)</f>
        <v/>
      </c>
      <c r="L44" s="172">
        <f>IF('Оперативный ввод'!L44="","",'Оперативный ввод'!L44)</f>
        <v/>
      </c>
      <c r="M44" s="172">
        <f>IF('Оперативный ввод'!M44="","",'Оперативный ввод'!M44)</f>
        <v/>
      </c>
      <c r="N44" s="172">
        <f>IF('Оперативный ввод'!N44="","",'Оперативный ввод'!N44)</f>
        <v/>
      </c>
      <c r="O44" s="172">
        <f>IF('Оперативный ввод'!O44="","",'Оперативный ввод'!O44)</f>
        <v/>
      </c>
      <c r="P44" s="205">
        <f>IF(AND(A44="",B44=""),"",IF(AND(A44&lt;&gt;"",B44&lt;&gt;"",C44&lt;&gt;"",D44&lt;&gt;"",F44&lt;&gt;"",G44&lt;&gt;"",H44&lt;&gt;"",ISERROR(SEARCH("по паспорту",G44)),ISERROR(SEARCH("по паспорту",H44)),I44&lt;&gt;"",J44&lt;&gt;"",K44&lt;&gt;"",L44&lt;&gt;"",M44&lt;&gt;""),"ГОТОВО","НЕ ГОТОВО"))</f>
        <v/>
      </c>
      <c r="Q44" s="205">
        <f>IF(P44&lt;&gt;"ГОТОВО","", "Предварительное заключение: "&amp;A44&amp;", скв. "&amp;B44&amp;". МРП: "&amp;E44&amp;" сут. ГНО: "&amp;F44&amp;", типоразмер "&amp;G44&amp;", марка "&amp;H44&amp;". Событие: "&amp;I44&amp;". Признак: "&amp;J44&amp;". Узел: "&amp;K44&amp;". Предварительная причина: "&amp;L44&amp;". Основное осложнение: "&amp;M44&amp;IF(N44&lt;&gt;"","; сопутствующее: "&amp;N44,"")&amp;IF(O44&lt;&gt;"","; дополнительно: "&amp;O44,"")&amp;".")</f>
        <v/>
      </c>
      <c r="R44" s="172">
        <f>IF('Оперативный ввод'!P44="","",'Оперативный ввод'!P44)</f>
        <v/>
      </c>
      <c r="S44" s="172">
        <f>IF('Оперативный ввод'!Q44="","",'Оперативный ввод'!Q44)</f>
        <v/>
      </c>
      <c r="T44" s="172">
        <f>IF('Оперативный ввод'!R44="","",'Оперативный ввод'!R44)</f>
        <v/>
      </c>
      <c r="U44" s="172">
        <f>IF('Оперативный ввод'!S44="","",'Оперативный ввод'!S44)</f>
        <v/>
      </c>
      <c r="V44" s="172">
        <f>IF('Оперативный ввод'!T44="","",'Оперативный ввод'!T44)</f>
        <v/>
      </c>
      <c r="W44" s="172" t="n"/>
      <c r="X44" s="172" t="n"/>
      <c r="Y44" s="172" t="n"/>
      <c r="Z44" s="172" t="n"/>
      <c r="AA44" s="172">
        <f>IF('Оперативный ввод'!U44="","",'Оперативный ввод'!U44)</f>
        <v/>
      </c>
      <c r="AB44" s="172">
        <f>IF('Оперативный ввод'!V44="","",'Оперативный ввод'!V44)</f>
        <v/>
      </c>
      <c r="AC44" s="172">
        <f>IF('Оперативный ввод'!W44="","",'Оперативный ввод'!W44)</f>
        <v/>
      </c>
      <c r="BB44" s="172" t="n"/>
      <c r="BC44" s="172" t="n"/>
      <c r="BD44" s="205">
        <f>IF(AND(A44="",B44=""),"",IF(AND(P44="ГОТОВО",R44&lt;&gt;"",T44&lt;&gt;"",U44&lt;&gt;"",AA44&lt;&gt;"",AB44&lt;&gt;"",AC44&lt;&gt;"",BB44&lt;&gt;"",BC44&lt;&gt;""),"ГОТОВО","НЕ ГОТОВО"))</f>
        <v/>
      </c>
      <c r="BE44" s="205">
        <f>IF(BD44&lt;&gt;"ГОТОВО","","Полное заключение: "&amp;A44&amp;", скв. "&amp;B44&amp;". МРП: "&amp;E44&amp;" сут. ГНО: "&amp;F44&amp;"; причина: "&amp;U44&amp;"; категория: "&amp;V44&amp;"; решение комиссии: "&amp;BB44&amp;".")</f>
        <v/>
      </c>
      <c r="BF44" s="173">
        <f>IF('Оперативный ввод'!X44="","",'Оперативный ввод'!X44)</f>
        <v/>
      </c>
    </row>
    <row r="45">
      <c r="A45" s="171">
        <f>IF('Оперативный ввод'!A45="","",'Оперативный ввод'!A45)</f>
        <v/>
      </c>
      <c r="B45" s="172">
        <f>IF('Оперативный ввод'!B45="","",'Оперативный ввод'!B45)</f>
        <v/>
      </c>
      <c r="C45" s="270">
        <f>IF('Оперативный ввод'!C45="","",'Оперативный ввод'!C45)</f>
        <v/>
      </c>
      <c r="D45" s="270">
        <f>IF('Оперативный ввод'!D45="","",'Оперативный ввод'!D45)</f>
        <v/>
      </c>
      <c r="E45" s="271">
        <f>IF(OR(C45="",D45=""),"",D45-C45)</f>
        <v/>
      </c>
      <c r="F45" s="172">
        <f>IF('Оперативный ввод'!F45="","",'Оперативный ввод'!F45)</f>
        <v/>
      </c>
      <c r="G45" s="172">
        <f>IF('Оперативный ввод'!G45="","",'Оперативный ввод'!G45)</f>
        <v/>
      </c>
      <c r="H45" s="172">
        <f>IF('Оперативный ввод'!H45="","",'Оперативный ввод'!H45)</f>
        <v/>
      </c>
      <c r="I45" s="172">
        <f>IF('Оперативный ввод'!I45="","",'Оперативный ввод'!I45)</f>
        <v/>
      </c>
      <c r="J45" s="172">
        <f>IF('Оперативный ввод'!J45="","",'Оперативный ввод'!J45)</f>
        <v/>
      </c>
      <c r="K45" s="172">
        <f>IF('Оперативный ввод'!K45="","",'Оперативный ввод'!K45)</f>
        <v/>
      </c>
      <c r="L45" s="172">
        <f>IF('Оперативный ввод'!L45="","",'Оперативный ввод'!L45)</f>
        <v/>
      </c>
      <c r="M45" s="172">
        <f>IF('Оперативный ввод'!M45="","",'Оперативный ввод'!M45)</f>
        <v/>
      </c>
      <c r="N45" s="172">
        <f>IF('Оперативный ввод'!N45="","",'Оперативный ввод'!N45)</f>
        <v/>
      </c>
      <c r="O45" s="172">
        <f>IF('Оперативный ввод'!O45="","",'Оперативный ввод'!O45)</f>
        <v/>
      </c>
      <c r="P45" s="205">
        <f>IF(AND(A45="",B45=""),"",IF(AND(A45&lt;&gt;"",B45&lt;&gt;"",C45&lt;&gt;"",D45&lt;&gt;"",F45&lt;&gt;"",G45&lt;&gt;"",H45&lt;&gt;"",ISERROR(SEARCH("по паспорту",G45)),ISERROR(SEARCH("по паспорту",H45)),I45&lt;&gt;"",J45&lt;&gt;"",K45&lt;&gt;"",L45&lt;&gt;"",M45&lt;&gt;""),"ГОТОВО","НЕ ГОТОВО"))</f>
        <v/>
      </c>
      <c r="Q45" s="205">
        <f>IF(P45&lt;&gt;"ГОТОВО","", "Предварительное заключение: "&amp;A45&amp;", скв. "&amp;B45&amp;". МРП: "&amp;E45&amp;" сут. ГНО: "&amp;F45&amp;", типоразмер "&amp;G45&amp;", марка "&amp;H45&amp;". Событие: "&amp;I45&amp;". Признак: "&amp;J45&amp;". Узел: "&amp;K45&amp;". Предварительная причина: "&amp;L45&amp;". Основное осложнение: "&amp;M45&amp;IF(N45&lt;&gt;"","; сопутствующее: "&amp;N45,"")&amp;IF(O45&lt;&gt;"","; дополнительно: "&amp;O45,"")&amp;".")</f>
        <v/>
      </c>
      <c r="R45" s="172">
        <f>IF('Оперативный ввод'!P45="","",'Оперативный ввод'!P45)</f>
        <v/>
      </c>
      <c r="S45" s="172">
        <f>IF('Оперативный ввод'!Q45="","",'Оперативный ввод'!Q45)</f>
        <v/>
      </c>
      <c r="T45" s="172">
        <f>IF('Оперативный ввод'!R45="","",'Оперативный ввод'!R45)</f>
        <v/>
      </c>
      <c r="U45" s="172">
        <f>IF('Оперативный ввод'!S45="","",'Оперативный ввод'!S45)</f>
        <v/>
      </c>
      <c r="V45" s="172">
        <f>IF('Оперативный ввод'!T45="","",'Оперативный ввод'!T45)</f>
        <v/>
      </c>
      <c r="W45" s="172" t="n"/>
      <c r="X45" s="172" t="n"/>
      <c r="Y45" s="172" t="n"/>
      <c r="Z45" s="172" t="n"/>
      <c r="AA45" s="172">
        <f>IF('Оперативный ввод'!U45="","",'Оперативный ввод'!U45)</f>
        <v/>
      </c>
      <c r="AB45" s="172">
        <f>IF('Оперативный ввод'!V45="","",'Оперативный ввод'!V45)</f>
        <v/>
      </c>
      <c r="AC45" s="172">
        <f>IF('Оперативный ввод'!W45="","",'Оперативный ввод'!W45)</f>
        <v/>
      </c>
      <c r="BB45" s="172" t="n"/>
      <c r="BC45" s="172" t="n"/>
      <c r="BD45" s="205">
        <f>IF(AND(A45="",B45=""),"",IF(AND(P45="ГОТОВО",R45&lt;&gt;"",T45&lt;&gt;"",U45&lt;&gt;"",AA45&lt;&gt;"",AB45&lt;&gt;"",AC45&lt;&gt;"",BB45&lt;&gt;"",BC45&lt;&gt;""),"ГОТОВО","НЕ ГОТОВО"))</f>
        <v/>
      </c>
      <c r="BE45" s="205">
        <f>IF(BD45&lt;&gt;"ГОТОВО","","Полное заключение: "&amp;A45&amp;", скв. "&amp;B45&amp;". МРП: "&amp;E45&amp;" сут. ГНО: "&amp;F45&amp;"; причина: "&amp;U45&amp;"; категория: "&amp;V45&amp;"; решение комиссии: "&amp;BB45&amp;".")</f>
        <v/>
      </c>
      <c r="BF45" s="173">
        <f>IF('Оперативный ввод'!X45="","",'Оперативный ввод'!X45)</f>
        <v/>
      </c>
    </row>
    <row r="46">
      <c r="A46" s="171">
        <f>IF('Оперативный ввод'!A46="","",'Оперативный ввод'!A46)</f>
        <v/>
      </c>
      <c r="B46" s="172">
        <f>IF('Оперативный ввод'!B46="","",'Оперативный ввод'!B46)</f>
        <v/>
      </c>
      <c r="C46" s="270">
        <f>IF('Оперативный ввод'!C46="","",'Оперативный ввод'!C46)</f>
        <v/>
      </c>
      <c r="D46" s="270">
        <f>IF('Оперативный ввод'!D46="","",'Оперативный ввод'!D46)</f>
        <v/>
      </c>
      <c r="E46" s="271">
        <f>IF(OR(C46="",D46=""),"",D46-C46)</f>
        <v/>
      </c>
      <c r="F46" s="172">
        <f>IF('Оперативный ввод'!F46="","",'Оперативный ввод'!F46)</f>
        <v/>
      </c>
      <c r="G46" s="172">
        <f>IF('Оперативный ввод'!G46="","",'Оперативный ввод'!G46)</f>
        <v/>
      </c>
      <c r="H46" s="172">
        <f>IF('Оперативный ввод'!H46="","",'Оперативный ввод'!H46)</f>
        <v/>
      </c>
      <c r="I46" s="172">
        <f>IF('Оперативный ввод'!I46="","",'Оперативный ввод'!I46)</f>
        <v/>
      </c>
      <c r="J46" s="172">
        <f>IF('Оперативный ввод'!J46="","",'Оперативный ввод'!J46)</f>
        <v/>
      </c>
      <c r="K46" s="172">
        <f>IF('Оперативный ввод'!K46="","",'Оперативный ввод'!K46)</f>
        <v/>
      </c>
      <c r="L46" s="172">
        <f>IF('Оперативный ввод'!L46="","",'Оперативный ввод'!L46)</f>
        <v/>
      </c>
      <c r="M46" s="172">
        <f>IF('Оперативный ввод'!M46="","",'Оперативный ввод'!M46)</f>
        <v/>
      </c>
      <c r="N46" s="172">
        <f>IF('Оперативный ввод'!N46="","",'Оперативный ввод'!N46)</f>
        <v/>
      </c>
      <c r="O46" s="172">
        <f>IF('Оперативный ввод'!O46="","",'Оперативный ввод'!O46)</f>
        <v/>
      </c>
      <c r="P46" s="205">
        <f>IF(AND(A46="",B46=""),"",IF(AND(A46&lt;&gt;"",B46&lt;&gt;"",C46&lt;&gt;"",D46&lt;&gt;"",F46&lt;&gt;"",G46&lt;&gt;"",H46&lt;&gt;"",ISERROR(SEARCH("по паспорту",G46)),ISERROR(SEARCH("по паспорту",H46)),I46&lt;&gt;"",J46&lt;&gt;"",K46&lt;&gt;"",L46&lt;&gt;"",M46&lt;&gt;""),"ГОТОВО","НЕ ГОТОВО"))</f>
        <v/>
      </c>
      <c r="Q46" s="205">
        <f>IF(P46&lt;&gt;"ГОТОВО","", "Предварительное заключение: "&amp;A46&amp;", скв. "&amp;B46&amp;". МРП: "&amp;E46&amp;" сут. ГНО: "&amp;F46&amp;", типоразмер "&amp;G46&amp;", марка "&amp;H46&amp;". Событие: "&amp;I46&amp;". Признак: "&amp;J46&amp;". Узел: "&amp;K46&amp;". Предварительная причина: "&amp;L46&amp;". Основное осложнение: "&amp;M46&amp;IF(N46&lt;&gt;"","; сопутствующее: "&amp;N46,"")&amp;IF(O46&lt;&gt;"","; дополнительно: "&amp;O46,"")&amp;".")</f>
        <v/>
      </c>
      <c r="R46" s="172">
        <f>IF('Оперативный ввод'!P46="","",'Оперативный ввод'!P46)</f>
        <v/>
      </c>
      <c r="S46" s="172">
        <f>IF('Оперативный ввод'!Q46="","",'Оперативный ввод'!Q46)</f>
        <v/>
      </c>
      <c r="T46" s="172">
        <f>IF('Оперативный ввод'!R46="","",'Оперативный ввод'!R46)</f>
        <v/>
      </c>
      <c r="U46" s="172">
        <f>IF('Оперативный ввод'!S46="","",'Оперативный ввод'!S46)</f>
        <v/>
      </c>
      <c r="V46" s="172">
        <f>IF('Оперативный ввод'!T46="","",'Оперативный ввод'!T46)</f>
        <v/>
      </c>
      <c r="W46" s="172" t="n"/>
      <c r="X46" s="172" t="n"/>
      <c r="Y46" s="172" t="n"/>
      <c r="Z46" s="172" t="n"/>
      <c r="AA46" s="172">
        <f>IF('Оперативный ввод'!U46="","",'Оперативный ввод'!U46)</f>
        <v/>
      </c>
      <c r="AB46" s="172">
        <f>IF('Оперативный ввод'!V46="","",'Оперативный ввод'!V46)</f>
        <v/>
      </c>
      <c r="AC46" s="172">
        <f>IF('Оперативный ввод'!W46="","",'Оперативный ввод'!W46)</f>
        <v/>
      </c>
      <c r="BB46" s="172" t="n"/>
      <c r="BC46" s="172" t="n"/>
      <c r="BD46" s="205">
        <f>IF(AND(A46="",B46=""),"",IF(AND(P46="ГОТОВО",R46&lt;&gt;"",T46&lt;&gt;"",U46&lt;&gt;"",AA46&lt;&gt;"",AB46&lt;&gt;"",AC46&lt;&gt;"",BB46&lt;&gt;"",BC46&lt;&gt;""),"ГОТОВО","НЕ ГОТОВО"))</f>
        <v/>
      </c>
      <c r="BE46" s="205">
        <f>IF(BD46&lt;&gt;"ГОТОВО","","Полное заключение: "&amp;A46&amp;", скв. "&amp;B46&amp;". МРП: "&amp;E46&amp;" сут. ГНО: "&amp;F46&amp;"; причина: "&amp;U46&amp;"; категория: "&amp;V46&amp;"; решение комиссии: "&amp;BB46&amp;".")</f>
        <v/>
      </c>
      <c r="BF46" s="173">
        <f>IF('Оперативный ввод'!X46="","",'Оперативный ввод'!X46)</f>
        <v/>
      </c>
    </row>
    <row r="47">
      <c r="A47" s="171">
        <f>IF('Оперативный ввод'!A47="","",'Оперативный ввод'!A47)</f>
        <v/>
      </c>
      <c r="B47" s="172">
        <f>IF('Оперативный ввод'!B47="","",'Оперативный ввод'!B47)</f>
        <v/>
      </c>
      <c r="C47" s="270">
        <f>IF('Оперативный ввод'!C47="","",'Оперативный ввод'!C47)</f>
        <v/>
      </c>
      <c r="D47" s="270">
        <f>IF('Оперативный ввод'!D47="","",'Оперативный ввод'!D47)</f>
        <v/>
      </c>
      <c r="E47" s="271">
        <f>IF(OR(C47="",D47=""),"",D47-C47)</f>
        <v/>
      </c>
      <c r="F47" s="172">
        <f>IF('Оперативный ввод'!F47="","",'Оперативный ввод'!F47)</f>
        <v/>
      </c>
      <c r="G47" s="172">
        <f>IF('Оперативный ввод'!G47="","",'Оперативный ввод'!G47)</f>
        <v/>
      </c>
      <c r="H47" s="172">
        <f>IF('Оперативный ввод'!H47="","",'Оперативный ввод'!H47)</f>
        <v/>
      </c>
      <c r="I47" s="172">
        <f>IF('Оперативный ввод'!I47="","",'Оперативный ввод'!I47)</f>
        <v/>
      </c>
      <c r="J47" s="172">
        <f>IF('Оперативный ввод'!J47="","",'Оперативный ввод'!J47)</f>
        <v/>
      </c>
      <c r="K47" s="172">
        <f>IF('Оперативный ввод'!K47="","",'Оперативный ввод'!K47)</f>
        <v/>
      </c>
      <c r="L47" s="172">
        <f>IF('Оперативный ввод'!L47="","",'Оперативный ввод'!L47)</f>
        <v/>
      </c>
      <c r="M47" s="172">
        <f>IF('Оперативный ввод'!M47="","",'Оперативный ввод'!M47)</f>
        <v/>
      </c>
      <c r="N47" s="172">
        <f>IF('Оперативный ввод'!N47="","",'Оперативный ввод'!N47)</f>
        <v/>
      </c>
      <c r="O47" s="172">
        <f>IF('Оперативный ввод'!O47="","",'Оперативный ввод'!O47)</f>
        <v/>
      </c>
      <c r="P47" s="205">
        <f>IF(AND(A47="",B47=""),"",IF(AND(A47&lt;&gt;"",B47&lt;&gt;"",C47&lt;&gt;"",D47&lt;&gt;"",F47&lt;&gt;"",G47&lt;&gt;"",H47&lt;&gt;"",ISERROR(SEARCH("по паспорту",G47)),ISERROR(SEARCH("по паспорту",H47)),I47&lt;&gt;"",J47&lt;&gt;"",K47&lt;&gt;"",L47&lt;&gt;"",M47&lt;&gt;""),"ГОТОВО","НЕ ГОТОВО"))</f>
        <v/>
      </c>
      <c r="Q47" s="205">
        <f>IF(P47&lt;&gt;"ГОТОВО","", "Предварительное заключение: "&amp;A47&amp;", скв. "&amp;B47&amp;". МРП: "&amp;E47&amp;" сут. ГНО: "&amp;F47&amp;", типоразмер "&amp;G47&amp;", марка "&amp;H47&amp;". Событие: "&amp;I47&amp;". Признак: "&amp;J47&amp;". Узел: "&amp;K47&amp;". Предварительная причина: "&amp;L47&amp;". Основное осложнение: "&amp;M47&amp;IF(N47&lt;&gt;"","; сопутствующее: "&amp;N47,"")&amp;IF(O47&lt;&gt;"","; дополнительно: "&amp;O47,"")&amp;".")</f>
        <v/>
      </c>
      <c r="R47" s="172">
        <f>IF('Оперативный ввод'!P47="","",'Оперативный ввод'!P47)</f>
        <v/>
      </c>
      <c r="S47" s="172">
        <f>IF('Оперативный ввод'!Q47="","",'Оперативный ввод'!Q47)</f>
        <v/>
      </c>
      <c r="T47" s="172">
        <f>IF('Оперативный ввод'!R47="","",'Оперативный ввод'!R47)</f>
        <v/>
      </c>
      <c r="U47" s="172">
        <f>IF('Оперативный ввод'!S47="","",'Оперативный ввод'!S47)</f>
        <v/>
      </c>
      <c r="V47" s="172">
        <f>IF('Оперативный ввод'!T47="","",'Оперативный ввод'!T47)</f>
        <v/>
      </c>
      <c r="W47" s="172" t="n"/>
      <c r="X47" s="172" t="n"/>
      <c r="Y47" s="172" t="n"/>
      <c r="Z47" s="172" t="n"/>
      <c r="AA47" s="172">
        <f>IF('Оперативный ввод'!U47="","",'Оперативный ввод'!U47)</f>
        <v/>
      </c>
      <c r="AB47" s="172">
        <f>IF('Оперативный ввод'!V47="","",'Оперативный ввод'!V47)</f>
        <v/>
      </c>
      <c r="AC47" s="172">
        <f>IF('Оперативный ввод'!W47="","",'Оперативный ввод'!W47)</f>
        <v/>
      </c>
      <c r="BB47" s="172" t="n"/>
      <c r="BC47" s="172" t="n"/>
      <c r="BD47" s="205">
        <f>IF(AND(A47="",B47=""),"",IF(AND(P47="ГОТОВО",R47&lt;&gt;"",T47&lt;&gt;"",U47&lt;&gt;"",AA47&lt;&gt;"",AB47&lt;&gt;"",AC47&lt;&gt;"",BB47&lt;&gt;"",BC47&lt;&gt;""),"ГОТОВО","НЕ ГОТОВО"))</f>
        <v/>
      </c>
      <c r="BE47" s="205">
        <f>IF(BD47&lt;&gt;"ГОТОВО","","Полное заключение: "&amp;A47&amp;", скв. "&amp;B47&amp;". МРП: "&amp;E47&amp;" сут. ГНО: "&amp;F47&amp;"; причина: "&amp;U47&amp;"; категория: "&amp;V47&amp;"; решение комиссии: "&amp;BB47&amp;".")</f>
        <v/>
      </c>
      <c r="BF47" s="173">
        <f>IF('Оперативный ввод'!X47="","",'Оперативный ввод'!X47)</f>
        <v/>
      </c>
    </row>
    <row r="48">
      <c r="A48" s="171">
        <f>IF('Оперативный ввод'!A48="","",'Оперативный ввод'!A48)</f>
        <v/>
      </c>
      <c r="B48" s="172">
        <f>IF('Оперативный ввод'!B48="","",'Оперативный ввод'!B48)</f>
        <v/>
      </c>
      <c r="C48" s="270">
        <f>IF('Оперативный ввод'!C48="","",'Оперативный ввод'!C48)</f>
        <v/>
      </c>
      <c r="D48" s="270">
        <f>IF('Оперативный ввод'!D48="","",'Оперативный ввод'!D48)</f>
        <v/>
      </c>
      <c r="E48" s="271">
        <f>IF(OR(C48="",D48=""),"",D48-C48)</f>
        <v/>
      </c>
      <c r="F48" s="172">
        <f>IF('Оперативный ввод'!F48="","",'Оперативный ввод'!F48)</f>
        <v/>
      </c>
      <c r="G48" s="172">
        <f>IF('Оперативный ввод'!G48="","",'Оперативный ввод'!G48)</f>
        <v/>
      </c>
      <c r="H48" s="172">
        <f>IF('Оперативный ввод'!H48="","",'Оперативный ввод'!H48)</f>
        <v/>
      </c>
      <c r="I48" s="172">
        <f>IF('Оперативный ввод'!I48="","",'Оперативный ввод'!I48)</f>
        <v/>
      </c>
      <c r="J48" s="172">
        <f>IF('Оперативный ввод'!J48="","",'Оперативный ввод'!J48)</f>
        <v/>
      </c>
      <c r="K48" s="172">
        <f>IF('Оперативный ввод'!K48="","",'Оперативный ввод'!K48)</f>
        <v/>
      </c>
      <c r="L48" s="172">
        <f>IF('Оперативный ввод'!L48="","",'Оперативный ввод'!L48)</f>
        <v/>
      </c>
      <c r="M48" s="172">
        <f>IF('Оперативный ввод'!M48="","",'Оперативный ввод'!M48)</f>
        <v/>
      </c>
      <c r="N48" s="172">
        <f>IF('Оперативный ввод'!N48="","",'Оперативный ввод'!N48)</f>
        <v/>
      </c>
      <c r="O48" s="172">
        <f>IF('Оперативный ввод'!O48="","",'Оперативный ввод'!O48)</f>
        <v/>
      </c>
      <c r="P48" s="205">
        <f>IF(AND(A48="",B48=""),"",IF(AND(A48&lt;&gt;"",B48&lt;&gt;"",C48&lt;&gt;"",D48&lt;&gt;"",F48&lt;&gt;"",G48&lt;&gt;"",H48&lt;&gt;"",ISERROR(SEARCH("по паспорту",G48)),ISERROR(SEARCH("по паспорту",H48)),I48&lt;&gt;"",J48&lt;&gt;"",K48&lt;&gt;"",L48&lt;&gt;"",M48&lt;&gt;""),"ГОТОВО","НЕ ГОТОВО"))</f>
        <v/>
      </c>
      <c r="Q48" s="205">
        <f>IF(P48&lt;&gt;"ГОТОВО","", "Предварительное заключение: "&amp;A48&amp;", скв. "&amp;B48&amp;". МРП: "&amp;E48&amp;" сут. ГНО: "&amp;F48&amp;", типоразмер "&amp;G48&amp;", марка "&amp;H48&amp;". Событие: "&amp;I48&amp;". Признак: "&amp;J48&amp;". Узел: "&amp;K48&amp;". Предварительная причина: "&amp;L48&amp;". Основное осложнение: "&amp;M48&amp;IF(N48&lt;&gt;"","; сопутствующее: "&amp;N48,"")&amp;IF(O48&lt;&gt;"","; дополнительно: "&amp;O48,"")&amp;".")</f>
        <v/>
      </c>
      <c r="R48" s="172">
        <f>IF('Оперативный ввод'!P48="","",'Оперативный ввод'!P48)</f>
        <v/>
      </c>
      <c r="S48" s="172">
        <f>IF('Оперативный ввод'!Q48="","",'Оперативный ввод'!Q48)</f>
        <v/>
      </c>
      <c r="T48" s="172">
        <f>IF('Оперативный ввод'!R48="","",'Оперативный ввод'!R48)</f>
        <v/>
      </c>
      <c r="U48" s="172">
        <f>IF('Оперативный ввод'!S48="","",'Оперативный ввод'!S48)</f>
        <v/>
      </c>
      <c r="V48" s="172">
        <f>IF('Оперативный ввод'!T48="","",'Оперативный ввод'!T48)</f>
        <v/>
      </c>
      <c r="W48" s="172" t="n"/>
      <c r="X48" s="172" t="n"/>
      <c r="Y48" s="172" t="n"/>
      <c r="Z48" s="172" t="n"/>
      <c r="AA48" s="172">
        <f>IF('Оперативный ввод'!U48="","",'Оперативный ввод'!U48)</f>
        <v/>
      </c>
      <c r="AB48" s="172">
        <f>IF('Оперативный ввод'!V48="","",'Оперативный ввод'!V48)</f>
        <v/>
      </c>
      <c r="AC48" s="172">
        <f>IF('Оперативный ввод'!W48="","",'Оперативный ввод'!W48)</f>
        <v/>
      </c>
      <c r="BB48" s="172" t="n"/>
      <c r="BC48" s="172" t="n"/>
      <c r="BD48" s="205">
        <f>IF(AND(A48="",B48=""),"",IF(AND(P48="ГОТОВО",R48&lt;&gt;"",T48&lt;&gt;"",U48&lt;&gt;"",AA48&lt;&gt;"",AB48&lt;&gt;"",AC48&lt;&gt;"",BB48&lt;&gt;"",BC48&lt;&gt;""),"ГОТОВО","НЕ ГОТОВО"))</f>
        <v/>
      </c>
      <c r="BE48" s="205">
        <f>IF(BD48&lt;&gt;"ГОТОВО","","Полное заключение: "&amp;A48&amp;", скв. "&amp;B48&amp;". МРП: "&amp;E48&amp;" сут. ГНО: "&amp;F48&amp;"; причина: "&amp;U48&amp;"; категория: "&amp;V48&amp;"; решение комиссии: "&amp;BB48&amp;".")</f>
        <v/>
      </c>
      <c r="BF48" s="173">
        <f>IF('Оперативный ввод'!X48="","",'Оперативный ввод'!X48)</f>
        <v/>
      </c>
    </row>
    <row r="49">
      <c r="A49" s="171">
        <f>IF('Оперативный ввод'!A49="","",'Оперативный ввод'!A49)</f>
        <v/>
      </c>
      <c r="B49" s="172">
        <f>IF('Оперативный ввод'!B49="","",'Оперативный ввод'!B49)</f>
        <v/>
      </c>
      <c r="C49" s="270">
        <f>IF('Оперативный ввод'!C49="","",'Оперативный ввод'!C49)</f>
        <v/>
      </c>
      <c r="D49" s="270">
        <f>IF('Оперативный ввод'!D49="","",'Оперативный ввод'!D49)</f>
        <v/>
      </c>
      <c r="E49" s="271">
        <f>IF(OR(C49="",D49=""),"",D49-C49)</f>
        <v/>
      </c>
      <c r="F49" s="172">
        <f>IF('Оперативный ввод'!F49="","",'Оперативный ввод'!F49)</f>
        <v/>
      </c>
      <c r="G49" s="172">
        <f>IF('Оперативный ввод'!G49="","",'Оперативный ввод'!G49)</f>
        <v/>
      </c>
      <c r="H49" s="172">
        <f>IF('Оперативный ввод'!H49="","",'Оперативный ввод'!H49)</f>
        <v/>
      </c>
      <c r="I49" s="172">
        <f>IF('Оперативный ввод'!I49="","",'Оперативный ввод'!I49)</f>
        <v/>
      </c>
      <c r="J49" s="172">
        <f>IF('Оперативный ввод'!J49="","",'Оперативный ввод'!J49)</f>
        <v/>
      </c>
      <c r="K49" s="172">
        <f>IF('Оперативный ввод'!K49="","",'Оперативный ввод'!K49)</f>
        <v/>
      </c>
      <c r="L49" s="172">
        <f>IF('Оперативный ввод'!L49="","",'Оперативный ввод'!L49)</f>
        <v/>
      </c>
      <c r="M49" s="172">
        <f>IF('Оперативный ввод'!M49="","",'Оперативный ввод'!M49)</f>
        <v/>
      </c>
      <c r="N49" s="172">
        <f>IF('Оперативный ввод'!N49="","",'Оперативный ввод'!N49)</f>
        <v/>
      </c>
      <c r="O49" s="172">
        <f>IF('Оперативный ввод'!O49="","",'Оперативный ввод'!O49)</f>
        <v/>
      </c>
      <c r="P49" s="205">
        <f>IF(AND(A49="",B49=""),"",IF(AND(A49&lt;&gt;"",B49&lt;&gt;"",C49&lt;&gt;"",D49&lt;&gt;"",F49&lt;&gt;"",G49&lt;&gt;"",H49&lt;&gt;"",ISERROR(SEARCH("по паспорту",G49)),ISERROR(SEARCH("по паспорту",H49)),I49&lt;&gt;"",J49&lt;&gt;"",K49&lt;&gt;"",L49&lt;&gt;"",M49&lt;&gt;""),"ГОТОВО","НЕ ГОТОВО"))</f>
        <v/>
      </c>
      <c r="Q49" s="205">
        <f>IF(P49&lt;&gt;"ГОТОВО","", "Предварительное заключение: "&amp;A49&amp;", скв. "&amp;B49&amp;". МРП: "&amp;E49&amp;" сут. ГНО: "&amp;F49&amp;", типоразмер "&amp;G49&amp;", марка "&amp;H49&amp;". Событие: "&amp;I49&amp;". Признак: "&amp;J49&amp;". Узел: "&amp;K49&amp;". Предварительная причина: "&amp;L49&amp;". Основное осложнение: "&amp;M49&amp;IF(N49&lt;&gt;"","; сопутствующее: "&amp;N49,"")&amp;IF(O49&lt;&gt;"","; дополнительно: "&amp;O49,"")&amp;".")</f>
        <v/>
      </c>
      <c r="R49" s="172">
        <f>IF('Оперативный ввод'!P49="","",'Оперативный ввод'!P49)</f>
        <v/>
      </c>
      <c r="S49" s="172">
        <f>IF('Оперативный ввод'!Q49="","",'Оперативный ввод'!Q49)</f>
        <v/>
      </c>
      <c r="T49" s="172">
        <f>IF('Оперативный ввод'!R49="","",'Оперативный ввод'!R49)</f>
        <v/>
      </c>
      <c r="U49" s="172">
        <f>IF('Оперативный ввод'!S49="","",'Оперативный ввод'!S49)</f>
        <v/>
      </c>
      <c r="V49" s="172">
        <f>IF('Оперативный ввод'!T49="","",'Оперативный ввод'!T49)</f>
        <v/>
      </c>
      <c r="W49" s="172" t="n"/>
      <c r="X49" s="172" t="n"/>
      <c r="Y49" s="172" t="n"/>
      <c r="Z49" s="172" t="n"/>
      <c r="AA49" s="172">
        <f>IF('Оперативный ввод'!U49="","",'Оперативный ввод'!U49)</f>
        <v/>
      </c>
      <c r="AB49" s="172">
        <f>IF('Оперативный ввод'!V49="","",'Оперативный ввод'!V49)</f>
        <v/>
      </c>
      <c r="AC49" s="172">
        <f>IF('Оперативный ввод'!W49="","",'Оперативный ввод'!W49)</f>
        <v/>
      </c>
      <c r="BB49" s="172" t="n"/>
      <c r="BC49" s="172" t="n"/>
      <c r="BD49" s="205">
        <f>IF(AND(A49="",B49=""),"",IF(AND(P49="ГОТОВО",R49&lt;&gt;"",T49&lt;&gt;"",U49&lt;&gt;"",AA49&lt;&gt;"",AB49&lt;&gt;"",AC49&lt;&gt;"",BB49&lt;&gt;"",BC49&lt;&gt;""),"ГОТОВО","НЕ ГОТОВО"))</f>
        <v/>
      </c>
      <c r="BE49" s="205">
        <f>IF(BD49&lt;&gt;"ГОТОВО","","Полное заключение: "&amp;A49&amp;", скв. "&amp;B49&amp;". МРП: "&amp;E49&amp;" сут. ГНО: "&amp;F49&amp;"; причина: "&amp;U49&amp;"; категория: "&amp;V49&amp;"; решение комиссии: "&amp;BB49&amp;".")</f>
        <v/>
      </c>
      <c r="BF49" s="173">
        <f>IF('Оперативный ввод'!X49="","",'Оперативный ввод'!X49)</f>
        <v/>
      </c>
    </row>
    <row r="50">
      <c r="A50" s="171">
        <f>IF('Оперативный ввод'!A50="","",'Оперативный ввод'!A50)</f>
        <v/>
      </c>
      <c r="B50" s="172">
        <f>IF('Оперативный ввод'!B50="","",'Оперативный ввод'!B50)</f>
        <v/>
      </c>
      <c r="C50" s="270">
        <f>IF('Оперативный ввод'!C50="","",'Оперативный ввод'!C50)</f>
        <v/>
      </c>
      <c r="D50" s="270">
        <f>IF('Оперативный ввод'!D50="","",'Оперативный ввод'!D50)</f>
        <v/>
      </c>
      <c r="E50" s="271">
        <f>IF(OR(C50="",D50=""),"",D50-C50)</f>
        <v/>
      </c>
      <c r="F50" s="172">
        <f>IF('Оперативный ввод'!F50="","",'Оперативный ввод'!F50)</f>
        <v/>
      </c>
      <c r="G50" s="172">
        <f>IF('Оперативный ввод'!G50="","",'Оперативный ввод'!G50)</f>
        <v/>
      </c>
      <c r="H50" s="172">
        <f>IF('Оперативный ввод'!H50="","",'Оперативный ввод'!H50)</f>
        <v/>
      </c>
      <c r="I50" s="172">
        <f>IF('Оперативный ввод'!I50="","",'Оперативный ввод'!I50)</f>
        <v/>
      </c>
      <c r="J50" s="172">
        <f>IF('Оперативный ввод'!J50="","",'Оперативный ввод'!J50)</f>
        <v/>
      </c>
      <c r="K50" s="172">
        <f>IF('Оперативный ввод'!K50="","",'Оперативный ввод'!K50)</f>
        <v/>
      </c>
      <c r="L50" s="172">
        <f>IF('Оперативный ввод'!L50="","",'Оперативный ввод'!L50)</f>
        <v/>
      </c>
      <c r="M50" s="172">
        <f>IF('Оперативный ввод'!M50="","",'Оперативный ввод'!M50)</f>
        <v/>
      </c>
      <c r="N50" s="172">
        <f>IF('Оперативный ввод'!N50="","",'Оперативный ввод'!N50)</f>
        <v/>
      </c>
      <c r="O50" s="172">
        <f>IF('Оперативный ввод'!O50="","",'Оперативный ввод'!O50)</f>
        <v/>
      </c>
      <c r="P50" s="205">
        <f>IF(AND(A50="",B50=""),"",IF(AND(A50&lt;&gt;"",B50&lt;&gt;"",C50&lt;&gt;"",D50&lt;&gt;"",F50&lt;&gt;"",G50&lt;&gt;"",H50&lt;&gt;"",ISERROR(SEARCH("по паспорту",G50)),ISERROR(SEARCH("по паспорту",H50)),I50&lt;&gt;"",J50&lt;&gt;"",K50&lt;&gt;"",L50&lt;&gt;"",M50&lt;&gt;""),"ГОТОВО","НЕ ГОТОВО"))</f>
        <v/>
      </c>
      <c r="Q50" s="205">
        <f>IF(P50&lt;&gt;"ГОТОВО","", "Предварительное заключение: "&amp;A50&amp;", скв. "&amp;B50&amp;". МРП: "&amp;E50&amp;" сут. ГНО: "&amp;F50&amp;", типоразмер "&amp;G50&amp;", марка "&amp;H50&amp;". Событие: "&amp;I50&amp;". Признак: "&amp;J50&amp;". Узел: "&amp;K50&amp;". Предварительная причина: "&amp;L50&amp;". Основное осложнение: "&amp;M50&amp;IF(N50&lt;&gt;"","; сопутствующее: "&amp;N50,"")&amp;IF(O50&lt;&gt;"","; дополнительно: "&amp;O50,"")&amp;".")</f>
        <v/>
      </c>
      <c r="R50" s="172">
        <f>IF('Оперативный ввод'!P50="","",'Оперативный ввод'!P50)</f>
        <v/>
      </c>
      <c r="S50" s="172">
        <f>IF('Оперативный ввод'!Q50="","",'Оперативный ввод'!Q50)</f>
        <v/>
      </c>
      <c r="T50" s="172">
        <f>IF('Оперативный ввод'!R50="","",'Оперативный ввод'!R50)</f>
        <v/>
      </c>
      <c r="U50" s="172">
        <f>IF('Оперативный ввод'!S50="","",'Оперативный ввод'!S50)</f>
        <v/>
      </c>
      <c r="V50" s="172">
        <f>IF('Оперативный ввод'!T50="","",'Оперативный ввод'!T50)</f>
        <v/>
      </c>
      <c r="W50" s="172" t="n"/>
      <c r="X50" s="172" t="n"/>
      <c r="Y50" s="172" t="n"/>
      <c r="Z50" s="172" t="n"/>
      <c r="AA50" s="172">
        <f>IF('Оперативный ввод'!U50="","",'Оперативный ввод'!U50)</f>
        <v/>
      </c>
      <c r="AB50" s="172">
        <f>IF('Оперативный ввод'!V50="","",'Оперативный ввод'!V50)</f>
        <v/>
      </c>
      <c r="AC50" s="172">
        <f>IF('Оперативный ввод'!W50="","",'Оперативный ввод'!W50)</f>
        <v/>
      </c>
      <c r="BB50" s="172" t="n"/>
      <c r="BC50" s="172" t="n"/>
      <c r="BD50" s="205">
        <f>IF(AND(A50="",B50=""),"",IF(AND(P50="ГОТОВО",R50&lt;&gt;"",T50&lt;&gt;"",U50&lt;&gt;"",AA50&lt;&gt;"",AB50&lt;&gt;"",AC50&lt;&gt;"",BB50&lt;&gt;"",BC50&lt;&gt;""),"ГОТОВО","НЕ ГОТОВО"))</f>
        <v/>
      </c>
      <c r="BE50" s="205">
        <f>IF(BD50&lt;&gt;"ГОТОВО","","Полное заключение: "&amp;A50&amp;", скв. "&amp;B50&amp;". МРП: "&amp;E50&amp;" сут. ГНО: "&amp;F50&amp;"; причина: "&amp;U50&amp;"; категория: "&amp;V50&amp;"; решение комиссии: "&amp;BB50&amp;".")</f>
        <v/>
      </c>
      <c r="BF50" s="173">
        <f>IF('Оперативный ввод'!X50="","",'Оперативный ввод'!X50)</f>
        <v/>
      </c>
    </row>
    <row r="51">
      <c r="A51" s="171">
        <f>IF('Оперативный ввод'!A51="","",'Оперативный ввод'!A51)</f>
        <v/>
      </c>
      <c r="B51" s="172">
        <f>IF('Оперативный ввод'!B51="","",'Оперативный ввод'!B51)</f>
        <v/>
      </c>
      <c r="C51" s="270">
        <f>IF('Оперативный ввод'!C51="","",'Оперативный ввод'!C51)</f>
        <v/>
      </c>
      <c r="D51" s="270">
        <f>IF('Оперативный ввод'!D51="","",'Оперативный ввод'!D51)</f>
        <v/>
      </c>
      <c r="E51" s="271">
        <f>IF(OR(C51="",D51=""),"",D51-C51)</f>
        <v/>
      </c>
      <c r="F51" s="172">
        <f>IF('Оперативный ввод'!F51="","",'Оперативный ввод'!F51)</f>
        <v/>
      </c>
      <c r="G51" s="172">
        <f>IF('Оперативный ввод'!G51="","",'Оперативный ввод'!G51)</f>
        <v/>
      </c>
      <c r="H51" s="172">
        <f>IF('Оперативный ввод'!H51="","",'Оперативный ввод'!H51)</f>
        <v/>
      </c>
      <c r="I51" s="172">
        <f>IF('Оперативный ввод'!I51="","",'Оперативный ввод'!I51)</f>
        <v/>
      </c>
      <c r="J51" s="172">
        <f>IF('Оперативный ввод'!J51="","",'Оперативный ввод'!J51)</f>
        <v/>
      </c>
      <c r="K51" s="172">
        <f>IF('Оперативный ввод'!K51="","",'Оперативный ввод'!K51)</f>
        <v/>
      </c>
      <c r="L51" s="172">
        <f>IF('Оперативный ввод'!L51="","",'Оперативный ввод'!L51)</f>
        <v/>
      </c>
      <c r="M51" s="172">
        <f>IF('Оперативный ввод'!M51="","",'Оперативный ввод'!M51)</f>
        <v/>
      </c>
      <c r="N51" s="172">
        <f>IF('Оперативный ввод'!N51="","",'Оперативный ввод'!N51)</f>
        <v/>
      </c>
      <c r="O51" s="172">
        <f>IF('Оперативный ввод'!O51="","",'Оперативный ввод'!O51)</f>
        <v/>
      </c>
      <c r="P51" s="205">
        <f>IF(AND(A51="",B51=""),"",IF(AND(A51&lt;&gt;"",B51&lt;&gt;"",C51&lt;&gt;"",D51&lt;&gt;"",F51&lt;&gt;"",G51&lt;&gt;"",H51&lt;&gt;"",ISERROR(SEARCH("по паспорту",G51)),ISERROR(SEARCH("по паспорту",H51)),I51&lt;&gt;"",J51&lt;&gt;"",K51&lt;&gt;"",L51&lt;&gt;"",M51&lt;&gt;""),"ГОТОВО","НЕ ГОТОВО"))</f>
        <v/>
      </c>
      <c r="Q51" s="205">
        <f>IF(P51&lt;&gt;"ГОТОВО","", "Предварительное заключение: "&amp;A51&amp;", скв. "&amp;B51&amp;". МРП: "&amp;E51&amp;" сут. ГНО: "&amp;F51&amp;", типоразмер "&amp;G51&amp;", марка "&amp;H51&amp;". Событие: "&amp;I51&amp;". Признак: "&amp;J51&amp;". Узел: "&amp;K51&amp;". Предварительная причина: "&amp;L51&amp;". Основное осложнение: "&amp;M51&amp;IF(N51&lt;&gt;"","; сопутствующее: "&amp;N51,"")&amp;IF(O51&lt;&gt;"","; дополнительно: "&amp;O51,"")&amp;".")</f>
        <v/>
      </c>
      <c r="R51" s="172">
        <f>IF('Оперативный ввод'!P51="","",'Оперативный ввод'!P51)</f>
        <v/>
      </c>
      <c r="S51" s="172">
        <f>IF('Оперативный ввод'!Q51="","",'Оперативный ввод'!Q51)</f>
        <v/>
      </c>
      <c r="T51" s="172">
        <f>IF('Оперативный ввод'!R51="","",'Оперативный ввод'!R51)</f>
        <v/>
      </c>
      <c r="U51" s="172">
        <f>IF('Оперативный ввод'!S51="","",'Оперативный ввод'!S51)</f>
        <v/>
      </c>
      <c r="V51" s="172">
        <f>IF('Оперативный ввод'!T51="","",'Оперативный ввод'!T51)</f>
        <v/>
      </c>
      <c r="W51" s="172" t="n"/>
      <c r="X51" s="172" t="n"/>
      <c r="Y51" s="172" t="n"/>
      <c r="Z51" s="172" t="n"/>
      <c r="AA51" s="172">
        <f>IF('Оперативный ввод'!U51="","",'Оперативный ввод'!U51)</f>
        <v/>
      </c>
      <c r="AB51" s="172">
        <f>IF('Оперативный ввод'!V51="","",'Оперативный ввод'!V51)</f>
        <v/>
      </c>
      <c r="AC51" s="172">
        <f>IF('Оперативный ввод'!W51="","",'Оперативный ввод'!W51)</f>
        <v/>
      </c>
      <c r="BB51" s="172" t="n"/>
      <c r="BC51" s="172" t="n"/>
      <c r="BD51" s="205">
        <f>IF(AND(A51="",B51=""),"",IF(AND(P51="ГОТОВО",R51&lt;&gt;"",T51&lt;&gt;"",U51&lt;&gt;"",AA51&lt;&gt;"",AB51&lt;&gt;"",AC51&lt;&gt;"",BB51&lt;&gt;"",BC51&lt;&gt;""),"ГОТОВО","НЕ ГОТОВО"))</f>
        <v/>
      </c>
      <c r="BE51" s="205">
        <f>IF(BD51&lt;&gt;"ГОТОВО","","Полное заключение: "&amp;A51&amp;", скв. "&amp;B51&amp;". МРП: "&amp;E51&amp;" сут. ГНО: "&amp;F51&amp;"; причина: "&amp;U51&amp;"; категория: "&amp;V51&amp;"; решение комиссии: "&amp;BB51&amp;".")</f>
        <v/>
      </c>
      <c r="BF51" s="173">
        <f>IF('Оперативный ввод'!X51="","",'Оперативный ввод'!X51)</f>
        <v/>
      </c>
    </row>
    <row r="52">
      <c r="A52" s="171">
        <f>IF('Оперативный ввод'!A52="","",'Оперативный ввод'!A52)</f>
        <v/>
      </c>
      <c r="B52" s="172">
        <f>IF('Оперативный ввод'!B52="","",'Оперативный ввод'!B52)</f>
        <v/>
      </c>
      <c r="C52" s="270">
        <f>IF('Оперативный ввод'!C52="","",'Оперативный ввод'!C52)</f>
        <v/>
      </c>
      <c r="D52" s="270">
        <f>IF('Оперативный ввод'!D52="","",'Оперативный ввод'!D52)</f>
        <v/>
      </c>
      <c r="E52" s="271">
        <f>IF(OR(C52="",D52=""),"",D52-C52)</f>
        <v/>
      </c>
      <c r="F52" s="172">
        <f>IF('Оперативный ввод'!F52="","",'Оперативный ввод'!F52)</f>
        <v/>
      </c>
      <c r="G52" s="172">
        <f>IF('Оперативный ввод'!G52="","",'Оперативный ввод'!G52)</f>
        <v/>
      </c>
      <c r="H52" s="172">
        <f>IF('Оперативный ввод'!H52="","",'Оперативный ввод'!H52)</f>
        <v/>
      </c>
      <c r="I52" s="172">
        <f>IF('Оперативный ввод'!I52="","",'Оперативный ввод'!I52)</f>
        <v/>
      </c>
      <c r="J52" s="172">
        <f>IF('Оперативный ввод'!J52="","",'Оперативный ввод'!J52)</f>
        <v/>
      </c>
      <c r="K52" s="172">
        <f>IF('Оперативный ввод'!K52="","",'Оперативный ввод'!K52)</f>
        <v/>
      </c>
      <c r="L52" s="172">
        <f>IF('Оперативный ввод'!L52="","",'Оперативный ввод'!L52)</f>
        <v/>
      </c>
      <c r="M52" s="172">
        <f>IF('Оперативный ввод'!M52="","",'Оперативный ввод'!M52)</f>
        <v/>
      </c>
      <c r="N52" s="172">
        <f>IF('Оперативный ввод'!N52="","",'Оперативный ввод'!N52)</f>
        <v/>
      </c>
      <c r="O52" s="172">
        <f>IF('Оперативный ввод'!O52="","",'Оперативный ввод'!O52)</f>
        <v/>
      </c>
      <c r="P52" s="205">
        <f>IF(AND(A52="",B52=""),"",IF(AND(A52&lt;&gt;"",B52&lt;&gt;"",C52&lt;&gt;"",D52&lt;&gt;"",F52&lt;&gt;"",G52&lt;&gt;"",H52&lt;&gt;"",ISERROR(SEARCH("по паспорту",G52)),ISERROR(SEARCH("по паспорту",H52)),I52&lt;&gt;"",J52&lt;&gt;"",K52&lt;&gt;"",L52&lt;&gt;"",M52&lt;&gt;""),"ГОТОВО","НЕ ГОТОВО"))</f>
        <v/>
      </c>
      <c r="Q52" s="205">
        <f>IF(P52&lt;&gt;"ГОТОВО","", "Предварительное заключение: "&amp;A52&amp;", скв. "&amp;B52&amp;". МРП: "&amp;E52&amp;" сут. ГНО: "&amp;F52&amp;", типоразмер "&amp;G52&amp;", марка "&amp;H52&amp;". Событие: "&amp;I52&amp;". Признак: "&amp;J52&amp;". Узел: "&amp;K52&amp;". Предварительная причина: "&amp;L52&amp;". Основное осложнение: "&amp;M52&amp;IF(N52&lt;&gt;"","; сопутствующее: "&amp;N52,"")&amp;IF(O52&lt;&gt;"","; дополнительно: "&amp;O52,"")&amp;".")</f>
        <v/>
      </c>
      <c r="R52" s="172">
        <f>IF('Оперативный ввод'!P52="","",'Оперативный ввод'!P52)</f>
        <v/>
      </c>
      <c r="S52" s="172">
        <f>IF('Оперативный ввод'!Q52="","",'Оперативный ввод'!Q52)</f>
        <v/>
      </c>
      <c r="T52" s="172">
        <f>IF('Оперативный ввод'!R52="","",'Оперативный ввод'!R52)</f>
        <v/>
      </c>
      <c r="U52" s="172">
        <f>IF('Оперативный ввод'!S52="","",'Оперативный ввод'!S52)</f>
        <v/>
      </c>
      <c r="V52" s="172">
        <f>IF('Оперативный ввод'!T52="","",'Оперативный ввод'!T52)</f>
        <v/>
      </c>
      <c r="W52" s="172" t="n"/>
      <c r="X52" s="172" t="n"/>
      <c r="Y52" s="172" t="n"/>
      <c r="Z52" s="172" t="n"/>
      <c r="AA52" s="172">
        <f>IF('Оперативный ввод'!U52="","",'Оперативный ввод'!U52)</f>
        <v/>
      </c>
      <c r="AB52" s="172">
        <f>IF('Оперативный ввод'!V52="","",'Оперативный ввод'!V52)</f>
        <v/>
      </c>
      <c r="AC52" s="172">
        <f>IF('Оперативный ввод'!W52="","",'Оперативный ввод'!W52)</f>
        <v/>
      </c>
      <c r="BB52" s="172" t="n"/>
      <c r="BC52" s="172" t="n"/>
      <c r="BD52" s="205">
        <f>IF(AND(A52="",B52=""),"",IF(AND(P52="ГОТОВО",R52&lt;&gt;"",T52&lt;&gt;"",U52&lt;&gt;"",AA52&lt;&gt;"",AB52&lt;&gt;"",AC52&lt;&gt;"",BB52&lt;&gt;"",BC52&lt;&gt;""),"ГОТОВО","НЕ ГОТОВО"))</f>
        <v/>
      </c>
      <c r="BE52" s="205">
        <f>IF(BD52&lt;&gt;"ГОТОВО","","Полное заключение: "&amp;A52&amp;", скв. "&amp;B52&amp;". МРП: "&amp;E52&amp;" сут. ГНО: "&amp;F52&amp;"; причина: "&amp;U52&amp;"; категория: "&amp;V52&amp;"; решение комиссии: "&amp;BB52&amp;".")</f>
        <v/>
      </c>
      <c r="BF52" s="173">
        <f>IF('Оперативный ввод'!X52="","",'Оперативный ввод'!X52)</f>
        <v/>
      </c>
    </row>
    <row r="53">
      <c r="A53" s="171">
        <f>IF('Оперативный ввод'!A53="","",'Оперативный ввод'!A53)</f>
        <v/>
      </c>
      <c r="B53" s="172">
        <f>IF('Оперативный ввод'!B53="","",'Оперативный ввод'!B53)</f>
        <v/>
      </c>
      <c r="C53" s="270">
        <f>IF('Оперативный ввод'!C53="","",'Оперативный ввод'!C53)</f>
        <v/>
      </c>
      <c r="D53" s="270">
        <f>IF('Оперативный ввод'!D53="","",'Оперативный ввод'!D53)</f>
        <v/>
      </c>
      <c r="E53" s="271">
        <f>IF(OR(C53="",D53=""),"",D53-C53)</f>
        <v/>
      </c>
      <c r="F53" s="172">
        <f>IF('Оперативный ввод'!F53="","",'Оперативный ввод'!F53)</f>
        <v/>
      </c>
      <c r="G53" s="172">
        <f>IF('Оперативный ввод'!G53="","",'Оперативный ввод'!G53)</f>
        <v/>
      </c>
      <c r="H53" s="172">
        <f>IF('Оперативный ввод'!H53="","",'Оперативный ввод'!H53)</f>
        <v/>
      </c>
      <c r="I53" s="172">
        <f>IF('Оперативный ввод'!I53="","",'Оперативный ввод'!I53)</f>
        <v/>
      </c>
      <c r="J53" s="172">
        <f>IF('Оперативный ввод'!J53="","",'Оперативный ввод'!J53)</f>
        <v/>
      </c>
      <c r="K53" s="172">
        <f>IF('Оперативный ввод'!K53="","",'Оперативный ввод'!K53)</f>
        <v/>
      </c>
      <c r="L53" s="172">
        <f>IF('Оперативный ввод'!L53="","",'Оперативный ввод'!L53)</f>
        <v/>
      </c>
      <c r="M53" s="172">
        <f>IF('Оперативный ввод'!M53="","",'Оперативный ввод'!M53)</f>
        <v/>
      </c>
      <c r="N53" s="172">
        <f>IF('Оперативный ввод'!N53="","",'Оперативный ввод'!N53)</f>
        <v/>
      </c>
      <c r="O53" s="172">
        <f>IF('Оперативный ввод'!O53="","",'Оперативный ввод'!O53)</f>
        <v/>
      </c>
      <c r="P53" s="205">
        <f>IF(AND(A53="",B53=""),"",IF(AND(A53&lt;&gt;"",B53&lt;&gt;"",C53&lt;&gt;"",D53&lt;&gt;"",F53&lt;&gt;"",G53&lt;&gt;"",H53&lt;&gt;"",ISERROR(SEARCH("по паспорту",G53)),ISERROR(SEARCH("по паспорту",H53)),I53&lt;&gt;"",J53&lt;&gt;"",K53&lt;&gt;"",L53&lt;&gt;"",M53&lt;&gt;""),"ГОТОВО","НЕ ГОТОВО"))</f>
        <v/>
      </c>
      <c r="Q53" s="205">
        <f>IF(P53&lt;&gt;"ГОТОВО","", "Предварительное заключение: "&amp;A53&amp;", скв. "&amp;B53&amp;". МРП: "&amp;E53&amp;" сут. ГНО: "&amp;F53&amp;", типоразмер "&amp;G53&amp;", марка "&amp;H53&amp;". Событие: "&amp;I53&amp;". Признак: "&amp;J53&amp;". Узел: "&amp;K53&amp;". Предварительная причина: "&amp;L53&amp;". Основное осложнение: "&amp;M53&amp;IF(N53&lt;&gt;"","; сопутствующее: "&amp;N53,"")&amp;IF(O53&lt;&gt;"","; дополнительно: "&amp;O53,"")&amp;".")</f>
        <v/>
      </c>
      <c r="R53" s="172">
        <f>IF('Оперативный ввод'!P53="","",'Оперативный ввод'!P53)</f>
        <v/>
      </c>
      <c r="S53" s="172">
        <f>IF('Оперативный ввод'!Q53="","",'Оперативный ввод'!Q53)</f>
        <v/>
      </c>
      <c r="T53" s="172">
        <f>IF('Оперативный ввод'!R53="","",'Оперативный ввод'!R53)</f>
        <v/>
      </c>
      <c r="U53" s="172">
        <f>IF('Оперативный ввод'!S53="","",'Оперативный ввод'!S53)</f>
        <v/>
      </c>
      <c r="V53" s="172">
        <f>IF('Оперативный ввод'!T53="","",'Оперативный ввод'!T53)</f>
        <v/>
      </c>
      <c r="W53" s="172" t="n"/>
      <c r="X53" s="172" t="n"/>
      <c r="Y53" s="172" t="n"/>
      <c r="Z53" s="172" t="n"/>
      <c r="AA53" s="172">
        <f>IF('Оперативный ввод'!U53="","",'Оперативный ввод'!U53)</f>
        <v/>
      </c>
      <c r="AB53" s="172">
        <f>IF('Оперативный ввод'!V53="","",'Оперативный ввод'!V53)</f>
        <v/>
      </c>
      <c r="AC53" s="172">
        <f>IF('Оперативный ввод'!W53="","",'Оперативный ввод'!W53)</f>
        <v/>
      </c>
      <c r="BB53" s="172" t="n"/>
      <c r="BC53" s="172" t="n"/>
      <c r="BD53" s="205">
        <f>IF(AND(A53="",B53=""),"",IF(AND(P53="ГОТОВО",R53&lt;&gt;"",T53&lt;&gt;"",U53&lt;&gt;"",AA53&lt;&gt;"",AB53&lt;&gt;"",AC53&lt;&gt;"",BB53&lt;&gt;"",BC53&lt;&gt;""),"ГОТОВО","НЕ ГОТОВО"))</f>
        <v/>
      </c>
      <c r="BE53" s="205">
        <f>IF(BD53&lt;&gt;"ГОТОВО","","Полное заключение: "&amp;A53&amp;", скв. "&amp;B53&amp;". МРП: "&amp;E53&amp;" сут. ГНО: "&amp;F53&amp;"; причина: "&amp;U53&amp;"; категория: "&amp;V53&amp;"; решение комиссии: "&amp;BB53&amp;".")</f>
        <v/>
      </c>
      <c r="BF53" s="173">
        <f>IF('Оперативный ввод'!X53="","",'Оперативный ввод'!X53)</f>
        <v/>
      </c>
    </row>
    <row r="54">
      <c r="A54" s="171">
        <f>IF('Оперативный ввод'!A54="","",'Оперативный ввод'!A54)</f>
        <v/>
      </c>
      <c r="B54" s="172">
        <f>IF('Оперативный ввод'!B54="","",'Оперативный ввод'!B54)</f>
        <v/>
      </c>
      <c r="C54" s="270">
        <f>IF('Оперативный ввод'!C54="","",'Оперативный ввод'!C54)</f>
        <v/>
      </c>
      <c r="D54" s="270">
        <f>IF('Оперативный ввод'!D54="","",'Оперативный ввод'!D54)</f>
        <v/>
      </c>
      <c r="E54" s="271">
        <f>IF(OR(C54="",D54=""),"",D54-C54)</f>
        <v/>
      </c>
      <c r="F54" s="172">
        <f>IF('Оперативный ввод'!F54="","",'Оперативный ввод'!F54)</f>
        <v/>
      </c>
      <c r="G54" s="172">
        <f>IF('Оперативный ввод'!G54="","",'Оперативный ввод'!G54)</f>
        <v/>
      </c>
      <c r="H54" s="172">
        <f>IF('Оперативный ввод'!H54="","",'Оперативный ввод'!H54)</f>
        <v/>
      </c>
      <c r="I54" s="172">
        <f>IF('Оперативный ввод'!I54="","",'Оперативный ввод'!I54)</f>
        <v/>
      </c>
      <c r="J54" s="172">
        <f>IF('Оперативный ввод'!J54="","",'Оперативный ввод'!J54)</f>
        <v/>
      </c>
      <c r="K54" s="172">
        <f>IF('Оперативный ввод'!K54="","",'Оперативный ввод'!K54)</f>
        <v/>
      </c>
      <c r="L54" s="172">
        <f>IF('Оперативный ввод'!L54="","",'Оперативный ввод'!L54)</f>
        <v/>
      </c>
      <c r="M54" s="172">
        <f>IF('Оперативный ввод'!M54="","",'Оперативный ввод'!M54)</f>
        <v/>
      </c>
      <c r="N54" s="172">
        <f>IF('Оперативный ввод'!N54="","",'Оперативный ввод'!N54)</f>
        <v/>
      </c>
      <c r="O54" s="172">
        <f>IF('Оперативный ввод'!O54="","",'Оперативный ввод'!O54)</f>
        <v/>
      </c>
      <c r="P54" s="205">
        <f>IF(AND(A54="",B54=""),"",IF(AND(A54&lt;&gt;"",B54&lt;&gt;"",C54&lt;&gt;"",D54&lt;&gt;"",F54&lt;&gt;"",G54&lt;&gt;"",H54&lt;&gt;"",ISERROR(SEARCH("по паспорту",G54)),ISERROR(SEARCH("по паспорту",H54)),I54&lt;&gt;"",J54&lt;&gt;"",K54&lt;&gt;"",L54&lt;&gt;"",M54&lt;&gt;""),"ГОТОВО","НЕ ГОТОВО"))</f>
        <v/>
      </c>
      <c r="Q54" s="205">
        <f>IF(P54&lt;&gt;"ГОТОВО","", "Предварительное заключение: "&amp;A54&amp;", скв. "&amp;B54&amp;". МРП: "&amp;E54&amp;" сут. ГНО: "&amp;F54&amp;", типоразмер "&amp;G54&amp;", марка "&amp;H54&amp;". Событие: "&amp;I54&amp;". Признак: "&amp;J54&amp;". Узел: "&amp;K54&amp;". Предварительная причина: "&amp;L54&amp;". Основное осложнение: "&amp;M54&amp;IF(N54&lt;&gt;"","; сопутствующее: "&amp;N54,"")&amp;IF(O54&lt;&gt;"","; дополнительно: "&amp;O54,"")&amp;".")</f>
        <v/>
      </c>
      <c r="R54" s="172">
        <f>IF('Оперативный ввод'!P54="","",'Оперативный ввод'!P54)</f>
        <v/>
      </c>
      <c r="S54" s="172">
        <f>IF('Оперативный ввод'!Q54="","",'Оперативный ввод'!Q54)</f>
        <v/>
      </c>
      <c r="T54" s="172">
        <f>IF('Оперативный ввод'!R54="","",'Оперативный ввод'!R54)</f>
        <v/>
      </c>
      <c r="U54" s="172">
        <f>IF('Оперативный ввод'!S54="","",'Оперативный ввод'!S54)</f>
        <v/>
      </c>
      <c r="V54" s="172">
        <f>IF('Оперативный ввод'!T54="","",'Оперативный ввод'!T54)</f>
        <v/>
      </c>
      <c r="W54" s="172" t="n"/>
      <c r="X54" s="172" t="n"/>
      <c r="Y54" s="172" t="n"/>
      <c r="Z54" s="172" t="n"/>
      <c r="AA54" s="172">
        <f>IF('Оперативный ввод'!U54="","",'Оперативный ввод'!U54)</f>
        <v/>
      </c>
      <c r="AB54" s="172">
        <f>IF('Оперативный ввод'!V54="","",'Оперативный ввод'!V54)</f>
        <v/>
      </c>
      <c r="AC54" s="172">
        <f>IF('Оперативный ввод'!W54="","",'Оперативный ввод'!W54)</f>
        <v/>
      </c>
      <c r="BB54" s="172" t="n"/>
      <c r="BC54" s="172" t="n"/>
      <c r="BD54" s="205">
        <f>IF(AND(A54="",B54=""),"",IF(AND(P54="ГОТОВО",R54&lt;&gt;"",T54&lt;&gt;"",U54&lt;&gt;"",AA54&lt;&gt;"",AB54&lt;&gt;"",AC54&lt;&gt;"",BB54&lt;&gt;"",BC54&lt;&gt;""),"ГОТОВО","НЕ ГОТОВО"))</f>
        <v/>
      </c>
      <c r="BE54" s="205">
        <f>IF(BD54&lt;&gt;"ГОТОВО","","Полное заключение: "&amp;A54&amp;", скв. "&amp;B54&amp;". МРП: "&amp;E54&amp;" сут. ГНО: "&amp;F54&amp;"; причина: "&amp;U54&amp;"; категория: "&amp;V54&amp;"; решение комиссии: "&amp;BB54&amp;".")</f>
        <v/>
      </c>
      <c r="BF54" s="173">
        <f>IF('Оперативный ввод'!X54="","",'Оперативный ввод'!X54)</f>
        <v/>
      </c>
    </row>
    <row r="55">
      <c r="A55" s="171">
        <f>IF('Оперативный ввод'!A55="","",'Оперативный ввод'!A55)</f>
        <v/>
      </c>
      <c r="B55" s="172">
        <f>IF('Оперативный ввод'!B55="","",'Оперативный ввод'!B55)</f>
        <v/>
      </c>
      <c r="C55" s="270">
        <f>IF('Оперативный ввод'!C55="","",'Оперативный ввод'!C55)</f>
        <v/>
      </c>
      <c r="D55" s="270">
        <f>IF('Оперативный ввод'!D55="","",'Оперативный ввод'!D55)</f>
        <v/>
      </c>
      <c r="E55" s="271">
        <f>IF(OR(C55="",D55=""),"",D55-C55)</f>
        <v/>
      </c>
      <c r="F55" s="172">
        <f>IF('Оперативный ввод'!F55="","",'Оперативный ввод'!F55)</f>
        <v/>
      </c>
      <c r="G55" s="172">
        <f>IF('Оперативный ввод'!G55="","",'Оперативный ввод'!G55)</f>
        <v/>
      </c>
      <c r="H55" s="172">
        <f>IF('Оперативный ввод'!H55="","",'Оперативный ввод'!H55)</f>
        <v/>
      </c>
      <c r="I55" s="172">
        <f>IF('Оперативный ввод'!I55="","",'Оперативный ввод'!I55)</f>
        <v/>
      </c>
      <c r="J55" s="172">
        <f>IF('Оперативный ввод'!J55="","",'Оперативный ввод'!J55)</f>
        <v/>
      </c>
      <c r="K55" s="172">
        <f>IF('Оперативный ввод'!K55="","",'Оперативный ввод'!K55)</f>
        <v/>
      </c>
      <c r="L55" s="172">
        <f>IF('Оперативный ввод'!L55="","",'Оперативный ввод'!L55)</f>
        <v/>
      </c>
      <c r="M55" s="172">
        <f>IF('Оперативный ввод'!M55="","",'Оперативный ввод'!M55)</f>
        <v/>
      </c>
      <c r="N55" s="172">
        <f>IF('Оперативный ввод'!N55="","",'Оперативный ввод'!N55)</f>
        <v/>
      </c>
      <c r="O55" s="172">
        <f>IF('Оперативный ввод'!O55="","",'Оперативный ввод'!O55)</f>
        <v/>
      </c>
      <c r="P55" s="205">
        <f>IF(AND(A55="",B55=""),"",IF(AND(A55&lt;&gt;"",B55&lt;&gt;"",C55&lt;&gt;"",D55&lt;&gt;"",F55&lt;&gt;"",G55&lt;&gt;"",H55&lt;&gt;"",ISERROR(SEARCH("по паспорту",G55)),ISERROR(SEARCH("по паспорту",H55)),I55&lt;&gt;"",J55&lt;&gt;"",K55&lt;&gt;"",L55&lt;&gt;"",M55&lt;&gt;""),"ГОТОВО","НЕ ГОТОВО"))</f>
        <v/>
      </c>
      <c r="Q55" s="205">
        <f>IF(P55&lt;&gt;"ГОТОВО","", "Предварительное заключение: "&amp;A55&amp;", скв. "&amp;B55&amp;". МРП: "&amp;E55&amp;" сут. ГНО: "&amp;F55&amp;", типоразмер "&amp;G55&amp;", марка "&amp;H55&amp;". Событие: "&amp;I55&amp;". Признак: "&amp;J55&amp;". Узел: "&amp;K55&amp;". Предварительная причина: "&amp;L55&amp;". Основное осложнение: "&amp;M55&amp;IF(N55&lt;&gt;"","; сопутствующее: "&amp;N55,"")&amp;IF(O55&lt;&gt;"","; дополнительно: "&amp;O55,"")&amp;".")</f>
        <v/>
      </c>
      <c r="R55" s="172">
        <f>IF('Оперативный ввод'!P55="","",'Оперативный ввод'!P55)</f>
        <v/>
      </c>
      <c r="S55" s="172">
        <f>IF('Оперативный ввод'!Q55="","",'Оперативный ввод'!Q55)</f>
        <v/>
      </c>
      <c r="T55" s="172">
        <f>IF('Оперативный ввод'!R55="","",'Оперативный ввод'!R55)</f>
        <v/>
      </c>
      <c r="U55" s="172">
        <f>IF('Оперативный ввод'!S55="","",'Оперативный ввод'!S55)</f>
        <v/>
      </c>
      <c r="V55" s="172">
        <f>IF('Оперативный ввод'!T55="","",'Оперативный ввод'!T55)</f>
        <v/>
      </c>
      <c r="W55" s="172" t="n"/>
      <c r="X55" s="172" t="n"/>
      <c r="Y55" s="172" t="n"/>
      <c r="Z55" s="172" t="n"/>
      <c r="AA55" s="172">
        <f>IF('Оперативный ввод'!U55="","",'Оперативный ввод'!U55)</f>
        <v/>
      </c>
      <c r="AB55" s="172">
        <f>IF('Оперативный ввод'!V55="","",'Оперативный ввод'!V55)</f>
        <v/>
      </c>
      <c r="AC55" s="172">
        <f>IF('Оперативный ввод'!W55="","",'Оперативный ввод'!W55)</f>
        <v/>
      </c>
      <c r="BB55" s="172" t="n"/>
      <c r="BC55" s="172" t="n"/>
      <c r="BD55" s="205">
        <f>IF(AND(A55="",B55=""),"",IF(AND(P55="ГОТОВО",R55&lt;&gt;"",T55&lt;&gt;"",U55&lt;&gt;"",AA55&lt;&gt;"",AB55&lt;&gt;"",AC55&lt;&gt;"",BB55&lt;&gt;"",BC55&lt;&gt;""),"ГОТОВО","НЕ ГОТОВО"))</f>
        <v/>
      </c>
      <c r="BE55" s="205">
        <f>IF(BD55&lt;&gt;"ГОТОВО","","Полное заключение: "&amp;A55&amp;", скв. "&amp;B55&amp;". МРП: "&amp;E55&amp;" сут. ГНО: "&amp;F55&amp;"; причина: "&amp;U55&amp;"; категория: "&amp;V55&amp;"; решение комиссии: "&amp;BB55&amp;".")</f>
        <v/>
      </c>
      <c r="BF55" s="173">
        <f>IF('Оперативный ввод'!X55="","",'Оперативный ввод'!X55)</f>
        <v/>
      </c>
    </row>
    <row r="56">
      <c r="A56" s="171">
        <f>IF('Оперативный ввод'!A56="","",'Оперативный ввод'!A56)</f>
        <v/>
      </c>
      <c r="B56" s="172">
        <f>IF('Оперативный ввод'!B56="","",'Оперативный ввод'!B56)</f>
        <v/>
      </c>
      <c r="C56" s="270">
        <f>IF('Оперативный ввод'!C56="","",'Оперативный ввод'!C56)</f>
        <v/>
      </c>
      <c r="D56" s="270">
        <f>IF('Оперативный ввод'!D56="","",'Оперативный ввод'!D56)</f>
        <v/>
      </c>
      <c r="E56" s="271">
        <f>IF(OR(C56="",D56=""),"",D56-C56)</f>
        <v/>
      </c>
      <c r="F56" s="172">
        <f>IF('Оперативный ввод'!F56="","",'Оперативный ввод'!F56)</f>
        <v/>
      </c>
      <c r="G56" s="172">
        <f>IF('Оперативный ввод'!G56="","",'Оперативный ввод'!G56)</f>
        <v/>
      </c>
      <c r="H56" s="172">
        <f>IF('Оперативный ввод'!H56="","",'Оперативный ввод'!H56)</f>
        <v/>
      </c>
      <c r="I56" s="172">
        <f>IF('Оперативный ввод'!I56="","",'Оперативный ввод'!I56)</f>
        <v/>
      </c>
      <c r="J56" s="172">
        <f>IF('Оперативный ввод'!J56="","",'Оперативный ввод'!J56)</f>
        <v/>
      </c>
      <c r="K56" s="172">
        <f>IF('Оперативный ввод'!K56="","",'Оперативный ввод'!K56)</f>
        <v/>
      </c>
      <c r="L56" s="172">
        <f>IF('Оперативный ввод'!L56="","",'Оперативный ввод'!L56)</f>
        <v/>
      </c>
      <c r="M56" s="172">
        <f>IF('Оперативный ввод'!M56="","",'Оперативный ввод'!M56)</f>
        <v/>
      </c>
      <c r="N56" s="172">
        <f>IF('Оперативный ввод'!N56="","",'Оперативный ввод'!N56)</f>
        <v/>
      </c>
      <c r="O56" s="172">
        <f>IF('Оперативный ввод'!O56="","",'Оперативный ввод'!O56)</f>
        <v/>
      </c>
      <c r="P56" s="205">
        <f>IF(AND(A56="",B56=""),"",IF(AND(A56&lt;&gt;"",B56&lt;&gt;"",C56&lt;&gt;"",D56&lt;&gt;"",F56&lt;&gt;"",G56&lt;&gt;"",H56&lt;&gt;"",ISERROR(SEARCH("по паспорту",G56)),ISERROR(SEARCH("по паспорту",H56)),I56&lt;&gt;"",J56&lt;&gt;"",K56&lt;&gt;"",L56&lt;&gt;"",M56&lt;&gt;""),"ГОТОВО","НЕ ГОТОВО"))</f>
        <v/>
      </c>
      <c r="Q56" s="205">
        <f>IF(P56&lt;&gt;"ГОТОВО","", "Предварительное заключение: "&amp;A56&amp;", скв. "&amp;B56&amp;". МРП: "&amp;E56&amp;" сут. ГНО: "&amp;F56&amp;", типоразмер "&amp;G56&amp;", марка "&amp;H56&amp;". Событие: "&amp;I56&amp;". Признак: "&amp;J56&amp;". Узел: "&amp;K56&amp;". Предварительная причина: "&amp;L56&amp;". Основное осложнение: "&amp;M56&amp;IF(N56&lt;&gt;"","; сопутствующее: "&amp;N56,"")&amp;IF(O56&lt;&gt;"","; дополнительно: "&amp;O56,"")&amp;".")</f>
        <v/>
      </c>
      <c r="R56" s="172">
        <f>IF('Оперативный ввод'!P56="","",'Оперативный ввод'!P56)</f>
        <v/>
      </c>
      <c r="S56" s="172">
        <f>IF('Оперативный ввод'!Q56="","",'Оперативный ввод'!Q56)</f>
        <v/>
      </c>
      <c r="T56" s="172">
        <f>IF('Оперативный ввод'!R56="","",'Оперативный ввод'!R56)</f>
        <v/>
      </c>
      <c r="U56" s="172">
        <f>IF('Оперативный ввод'!S56="","",'Оперативный ввод'!S56)</f>
        <v/>
      </c>
      <c r="V56" s="172">
        <f>IF('Оперативный ввод'!T56="","",'Оперативный ввод'!T56)</f>
        <v/>
      </c>
      <c r="W56" s="172" t="n"/>
      <c r="X56" s="172" t="n"/>
      <c r="Y56" s="172" t="n"/>
      <c r="Z56" s="172" t="n"/>
      <c r="AA56" s="172">
        <f>IF('Оперативный ввод'!U56="","",'Оперативный ввод'!U56)</f>
        <v/>
      </c>
      <c r="AB56" s="172">
        <f>IF('Оперативный ввод'!V56="","",'Оперативный ввод'!V56)</f>
        <v/>
      </c>
      <c r="AC56" s="172">
        <f>IF('Оперативный ввод'!W56="","",'Оперативный ввод'!W56)</f>
        <v/>
      </c>
      <c r="BB56" s="172" t="n"/>
      <c r="BC56" s="172" t="n"/>
      <c r="BD56" s="205">
        <f>IF(AND(A56="",B56=""),"",IF(AND(P56="ГОТОВО",R56&lt;&gt;"",T56&lt;&gt;"",U56&lt;&gt;"",AA56&lt;&gt;"",AB56&lt;&gt;"",AC56&lt;&gt;"",BB56&lt;&gt;"",BC56&lt;&gt;""),"ГОТОВО","НЕ ГОТОВО"))</f>
        <v/>
      </c>
      <c r="BE56" s="205">
        <f>IF(BD56&lt;&gt;"ГОТОВО","","Полное заключение: "&amp;A56&amp;", скв. "&amp;B56&amp;". МРП: "&amp;E56&amp;" сут. ГНО: "&amp;F56&amp;"; причина: "&amp;U56&amp;"; категория: "&amp;V56&amp;"; решение комиссии: "&amp;BB56&amp;".")</f>
        <v/>
      </c>
      <c r="BF56" s="173">
        <f>IF('Оперативный ввод'!X56="","",'Оперативный ввод'!X56)</f>
        <v/>
      </c>
    </row>
    <row r="57">
      <c r="A57" s="171">
        <f>IF('Оперативный ввод'!A57="","",'Оперативный ввод'!A57)</f>
        <v/>
      </c>
      <c r="B57" s="172">
        <f>IF('Оперативный ввод'!B57="","",'Оперативный ввод'!B57)</f>
        <v/>
      </c>
      <c r="C57" s="270">
        <f>IF('Оперативный ввод'!C57="","",'Оперативный ввод'!C57)</f>
        <v/>
      </c>
      <c r="D57" s="270">
        <f>IF('Оперативный ввод'!D57="","",'Оперативный ввод'!D57)</f>
        <v/>
      </c>
      <c r="E57" s="271">
        <f>IF(OR(C57="",D57=""),"",D57-C57)</f>
        <v/>
      </c>
      <c r="F57" s="172">
        <f>IF('Оперативный ввод'!F57="","",'Оперативный ввод'!F57)</f>
        <v/>
      </c>
      <c r="G57" s="172">
        <f>IF('Оперативный ввод'!G57="","",'Оперативный ввод'!G57)</f>
        <v/>
      </c>
      <c r="H57" s="172">
        <f>IF('Оперативный ввод'!H57="","",'Оперативный ввод'!H57)</f>
        <v/>
      </c>
      <c r="I57" s="172">
        <f>IF('Оперативный ввод'!I57="","",'Оперативный ввод'!I57)</f>
        <v/>
      </c>
      <c r="J57" s="172">
        <f>IF('Оперативный ввод'!J57="","",'Оперативный ввод'!J57)</f>
        <v/>
      </c>
      <c r="K57" s="172">
        <f>IF('Оперативный ввод'!K57="","",'Оперативный ввод'!K57)</f>
        <v/>
      </c>
      <c r="L57" s="172">
        <f>IF('Оперативный ввод'!L57="","",'Оперативный ввод'!L57)</f>
        <v/>
      </c>
      <c r="M57" s="172">
        <f>IF('Оперативный ввод'!M57="","",'Оперативный ввод'!M57)</f>
        <v/>
      </c>
      <c r="N57" s="172">
        <f>IF('Оперативный ввод'!N57="","",'Оперативный ввод'!N57)</f>
        <v/>
      </c>
      <c r="O57" s="172">
        <f>IF('Оперативный ввод'!O57="","",'Оперативный ввод'!O57)</f>
        <v/>
      </c>
      <c r="P57" s="205">
        <f>IF(AND(A57="",B57=""),"",IF(AND(A57&lt;&gt;"",B57&lt;&gt;"",C57&lt;&gt;"",D57&lt;&gt;"",F57&lt;&gt;"",G57&lt;&gt;"",H57&lt;&gt;"",ISERROR(SEARCH("по паспорту",G57)),ISERROR(SEARCH("по паспорту",H57)),I57&lt;&gt;"",J57&lt;&gt;"",K57&lt;&gt;"",L57&lt;&gt;"",M57&lt;&gt;""),"ГОТОВО","НЕ ГОТОВО"))</f>
        <v/>
      </c>
      <c r="Q57" s="205">
        <f>IF(P57&lt;&gt;"ГОТОВО","", "Предварительное заключение: "&amp;A57&amp;", скв. "&amp;B57&amp;". МРП: "&amp;E57&amp;" сут. ГНО: "&amp;F57&amp;", типоразмер "&amp;G57&amp;", марка "&amp;H57&amp;". Событие: "&amp;I57&amp;". Признак: "&amp;J57&amp;". Узел: "&amp;K57&amp;". Предварительная причина: "&amp;L57&amp;". Основное осложнение: "&amp;M57&amp;IF(N57&lt;&gt;"","; сопутствующее: "&amp;N57,"")&amp;IF(O57&lt;&gt;"","; дополнительно: "&amp;O57,"")&amp;".")</f>
        <v/>
      </c>
      <c r="R57" s="172">
        <f>IF('Оперативный ввод'!P57="","",'Оперативный ввод'!P57)</f>
        <v/>
      </c>
      <c r="S57" s="172">
        <f>IF('Оперативный ввод'!Q57="","",'Оперативный ввод'!Q57)</f>
        <v/>
      </c>
      <c r="T57" s="172">
        <f>IF('Оперативный ввод'!R57="","",'Оперативный ввод'!R57)</f>
        <v/>
      </c>
      <c r="U57" s="172">
        <f>IF('Оперативный ввод'!S57="","",'Оперативный ввод'!S57)</f>
        <v/>
      </c>
      <c r="V57" s="172">
        <f>IF('Оперативный ввод'!T57="","",'Оперативный ввод'!T57)</f>
        <v/>
      </c>
      <c r="W57" s="172" t="n"/>
      <c r="X57" s="172" t="n"/>
      <c r="Y57" s="172" t="n"/>
      <c r="Z57" s="172" t="n"/>
      <c r="AA57" s="172">
        <f>IF('Оперативный ввод'!U57="","",'Оперативный ввод'!U57)</f>
        <v/>
      </c>
      <c r="AB57" s="172">
        <f>IF('Оперативный ввод'!V57="","",'Оперативный ввод'!V57)</f>
        <v/>
      </c>
      <c r="AC57" s="172">
        <f>IF('Оперативный ввод'!W57="","",'Оперативный ввод'!W57)</f>
        <v/>
      </c>
      <c r="BB57" s="172" t="n"/>
      <c r="BC57" s="172" t="n"/>
      <c r="BD57" s="205">
        <f>IF(AND(A57="",B57=""),"",IF(AND(P57="ГОТОВО",R57&lt;&gt;"",T57&lt;&gt;"",U57&lt;&gt;"",AA57&lt;&gt;"",AB57&lt;&gt;"",AC57&lt;&gt;"",BB57&lt;&gt;"",BC57&lt;&gt;""),"ГОТОВО","НЕ ГОТОВО"))</f>
        <v/>
      </c>
      <c r="BE57" s="205">
        <f>IF(BD57&lt;&gt;"ГОТОВО","","Полное заключение: "&amp;A57&amp;", скв. "&amp;B57&amp;". МРП: "&amp;E57&amp;" сут. ГНО: "&amp;F57&amp;"; причина: "&amp;U57&amp;"; категория: "&amp;V57&amp;"; решение комиссии: "&amp;BB57&amp;".")</f>
        <v/>
      </c>
      <c r="BF57" s="173">
        <f>IF('Оперативный ввод'!X57="","",'Оперативный ввод'!X57)</f>
        <v/>
      </c>
    </row>
    <row r="58">
      <c r="A58" s="171">
        <f>IF('Оперативный ввод'!A58="","",'Оперативный ввод'!A58)</f>
        <v/>
      </c>
      <c r="B58" s="172">
        <f>IF('Оперативный ввод'!B58="","",'Оперативный ввод'!B58)</f>
        <v/>
      </c>
      <c r="C58" s="270">
        <f>IF('Оперативный ввод'!C58="","",'Оперативный ввод'!C58)</f>
        <v/>
      </c>
      <c r="D58" s="270">
        <f>IF('Оперативный ввод'!D58="","",'Оперативный ввод'!D58)</f>
        <v/>
      </c>
      <c r="E58" s="271">
        <f>IF(OR(C58="",D58=""),"",D58-C58)</f>
        <v/>
      </c>
      <c r="F58" s="172">
        <f>IF('Оперативный ввод'!F58="","",'Оперативный ввод'!F58)</f>
        <v/>
      </c>
      <c r="G58" s="172">
        <f>IF('Оперативный ввод'!G58="","",'Оперативный ввод'!G58)</f>
        <v/>
      </c>
      <c r="H58" s="172">
        <f>IF('Оперативный ввод'!H58="","",'Оперативный ввод'!H58)</f>
        <v/>
      </c>
      <c r="I58" s="172">
        <f>IF('Оперативный ввод'!I58="","",'Оперативный ввод'!I58)</f>
        <v/>
      </c>
      <c r="J58" s="172">
        <f>IF('Оперативный ввод'!J58="","",'Оперативный ввод'!J58)</f>
        <v/>
      </c>
      <c r="K58" s="172">
        <f>IF('Оперативный ввод'!K58="","",'Оперативный ввод'!K58)</f>
        <v/>
      </c>
      <c r="L58" s="172">
        <f>IF('Оперативный ввод'!L58="","",'Оперативный ввод'!L58)</f>
        <v/>
      </c>
      <c r="M58" s="172">
        <f>IF('Оперативный ввод'!M58="","",'Оперативный ввод'!M58)</f>
        <v/>
      </c>
      <c r="N58" s="172">
        <f>IF('Оперативный ввод'!N58="","",'Оперативный ввод'!N58)</f>
        <v/>
      </c>
      <c r="O58" s="172">
        <f>IF('Оперативный ввод'!O58="","",'Оперативный ввод'!O58)</f>
        <v/>
      </c>
      <c r="P58" s="205">
        <f>IF(AND(A58="",B58=""),"",IF(AND(A58&lt;&gt;"",B58&lt;&gt;"",C58&lt;&gt;"",D58&lt;&gt;"",F58&lt;&gt;"",G58&lt;&gt;"",H58&lt;&gt;"",ISERROR(SEARCH("по паспорту",G58)),ISERROR(SEARCH("по паспорту",H58)),I58&lt;&gt;"",J58&lt;&gt;"",K58&lt;&gt;"",L58&lt;&gt;"",M58&lt;&gt;""),"ГОТОВО","НЕ ГОТОВО"))</f>
        <v/>
      </c>
      <c r="Q58" s="205">
        <f>IF(P58&lt;&gt;"ГОТОВО","", "Предварительное заключение: "&amp;A58&amp;", скв. "&amp;B58&amp;". МРП: "&amp;E58&amp;" сут. ГНО: "&amp;F58&amp;", типоразмер "&amp;G58&amp;", марка "&amp;H58&amp;". Событие: "&amp;I58&amp;". Признак: "&amp;J58&amp;". Узел: "&amp;K58&amp;". Предварительная причина: "&amp;L58&amp;". Основное осложнение: "&amp;M58&amp;IF(N58&lt;&gt;"","; сопутствующее: "&amp;N58,"")&amp;IF(O58&lt;&gt;"","; дополнительно: "&amp;O58,"")&amp;".")</f>
        <v/>
      </c>
      <c r="R58" s="172">
        <f>IF('Оперативный ввод'!P58="","",'Оперативный ввод'!P58)</f>
        <v/>
      </c>
      <c r="S58" s="172">
        <f>IF('Оперативный ввод'!Q58="","",'Оперативный ввод'!Q58)</f>
        <v/>
      </c>
      <c r="T58" s="172">
        <f>IF('Оперативный ввод'!R58="","",'Оперативный ввод'!R58)</f>
        <v/>
      </c>
      <c r="U58" s="172">
        <f>IF('Оперативный ввод'!S58="","",'Оперативный ввод'!S58)</f>
        <v/>
      </c>
      <c r="V58" s="172">
        <f>IF('Оперативный ввод'!T58="","",'Оперативный ввод'!T58)</f>
        <v/>
      </c>
      <c r="W58" s="172" t="n"/>
      <c r="X58" s="172" t="n"/>
      <c r="Y58" s="172" t="n"/>
      <c r="Z58" s="172" t="n"/>
      <c r="AA58" s="172">
        <f>IF('Оперативный ввод'!U58="","",'Оперативный ввод'!U58)</f>
        <v/>
      </c>
      <c r="AB58" s="172">
        <f>IF('Оперативный ввод'!V58="","",'Оперативный ввод'!V58)</f>
        <v/>
      </c>
      <c r="AC58" s="172">
        <f>IF('Оперативный ввод'!W58="","",'Оперативный ввод'!W58)</f>
        <v/>
      </c>
      <c r="BB58" s="172" t="n"/>
      <c r="BC58" s="172" t="n"/>
      <c r="BD58" s="205">
        <f>IF(AND(A58="",B58=""),"",IF(AND(P58="ГОТОВО",R58&lt;&gt;"",T58&lt;&gt;"",U58&lt;&gt;"",AA58&lt;&gt;"",AB58&lt;&gt;"",AC58&lt;&gt;"",BB58&lt;&gt;"",BC58&lt;&gt;""),"ГОТОВО","НЕ ГОТОВО"))</f>
        <v/>
      </c>
      <c r="BE58" s="205">
        <f>IF(BD58&lt;&gt;"ГОТОВО","","Полное заключение: "&amp;A58&amp;", скв. "&amp;B58&amp;". МРП: "&amp;E58&amp;" сут. ГНО: "&amp;F58&amp;"; причина: "&amp;U58&amp;"; категория: "&amp;V58&amp;"; решение комиссии: "&amp;BB58&amp;".")</f>
        <v/>
      </c>
      <c r="BF58" s="173">
        <f>IF('Оперативный ввод'!X58="","",'Оперативный ввод'!X58)</f>
        <v/>
      </c>
    </row>
    <row r="59">
      <c r="A59" s="171">
        <f>IF('Оперативный ввод'!A59="","",'Оперативный ввод'!A59)</f>
        <v/>
      </c>
      <c r="B59" s="172">
        <f>IF('Оперативный ввод'!B59="","",'Оперативный ввод'!B59)</f>
        <v/>
      </c>
      <c r="C59" s="270">
        <f>IF('Оперативный ввод'!C59="","",'Оперативный ввод'!C59)</f>
        <v/>
      </c>
      <c r="D59" s="270">
        <f>IF('Оперативный ввод'!D59="","",'Оперативный ввод'!D59)</f>
        <v/>
      </c>
      <c r="E59" s="271">
        <f>IF(OR(C59="",D59=""),"",D59-C59)</f>
        <v/>
      </c>
      <c r="F59" s="172">
        <f>IF('Оперативный ввод'!F59="","",'Оперативный ввод'!F59)</f>
        <v/>
      </c>
      <c r="G59" s="172">
        <f>IF('Оперативный ввод'!G59="","",'Оперативный ввод'!G59)</f>
        <v/>
      </c>
      <c r="H59" s="172">
        <f>IF('Оперативный ввод'!H59="","",'Оперативный ввод'!H59)</f>
        <v/>
      </c>
      <c r="I59" s="172">
        <f>IF('Оперативный ввод'!I59="","",'Оперативный ввод'!I59)</f>
        <v/>
      </c>
      <c r="J59" s="172">
        <f>IF('Оперативный ввод'!J59="","",'Оперативный ввод'!J59)</f>
        <v/>
      </c>
      <c r="K59" s="172">
        <f>IF('Оперативный ввод'!K59="","",'Оперативный ввод'!K59)</f>
        <v/>
      </c>
      <c r="L59" s="172">
        <f>IF('Оперативный ввод'!L59="","",'Оперативный ввод'!L59)</f>
        <v/>
      </c>
      <c r="M59" s="172">
        <f>IF('Оперативный ввод'!M59="","",'Оперативный ввод'!M59)</f>
        <v/>
      </c>
      <c r="N59" s="172">
        <f>IF('Оперативный ввод'!N59="","",'Оперативный ввод'!N59)</f>
        <v/>
      </c>
      <c r="O59" s="172">
        <f>IF('Оперативный ввод'!O59="","",'Оперативный ввод'!O59)</f>
        <v/>
      </c>
      <c r="P59" s="205">
        <f>IF(AND(A59="",B59=""),"",IF(AND(A59&lt;&gt;"",B59&lt;&gt;"",C59&lt;&gt;"",D59&lt;&gt;"",F59&lt;&gt;"",G59&lt;&gt;"",H59&lt;&gt;"",ISERROR(SEARCH("по паспорту",G59)),ISERROR(SEARCH("по паспорту",H59)),I59&lt;&gt;"",J59&lt;&gt;"",K59&lt;&gt;"",L59&lt;&gt;"",M59&lt;&gt;""),"ГОТОВО","НЕ ГОТОВО"))</f>
        <v/>
      </c>
      <c r="Q59" s="205">
        <f>IF(P59&lt;&gt;"ГОТОВО","", "Предварительное заключение: "&amp;A59&amp;", скв. "&amp;B59&amp;". МРП: "&amp;E59&amp;" сут. ГНО: "&amp;F59&amp;", типоразмер "&amp;G59&amp;", марка "&amp;H59&amp;". Событие: "&amp;I59&amp;". Признак: "&amp;J59&amp;". Узел: "&amp;K59&amp;". Предварительная причина: "&amp;L59&amp;". Основное осложнение: "&amp;M59&amp;IF(N59&lt;&gt;"","; сопутствующее: "&amp;N59,"")&amp;IF(O59&lt;&gt;"","; дополнительно: "&amp;O59,"")&amp;".")</f>
        <v/>
      </c>
      <c r="R59" s="172">
        <f>IF('Оперативный ввод'!P59="","",'Оперативный ввод'!P59)</f>
        <v/>
      </c>
      <c r="S59" s="172">
        <f>IF('Оперативный ввод'!Q59="","",'Оперативный ввод'!Q59)</f>
        <v/>
      </c>
      <c r="T59" s="172">
        <f>IF('Оперативный ввод'!R59="","",'Оперативный ввод'!R59)</f>
        <v/>
      </c>
      <c r="U59" s="172">
        <f>IF('Оперативный ввод'!S59="","",'Оперативный ввод'!S59)</f>
        <v/>
      </c>
      <c r="V59" s="172">
        <f>IF('Оперативный ввод'!T59="","",'Оперативный ввод'!T59)</f>
        <v/>
      </c>
      <c r="W59" s="172" t="n"/>
      <c r="X59" s="172" t="n"/>
      <c r="Y59" s="172" t="n"/>
      <c r="Z59" s="172" t="n"/>
      <c r="AA59" s="172">
        <f>IF('Оперативный ввод'!U59="","",'Оперативный ввод'!U59)</f>
        <v/>
      </c>
      <c r="AB59" s="172">
        <f>IF('Оперативный ввод'!V59="","",'Оперативный ввод'!V59)</f>
        <v/>
      </c>
      <c r="AC59" s="172">
        <f>IF('Оперативный ввод'!W59="","",'Оперативный ввод'!W59)</f>
        <v/>
      </c>
      <c r="BB59" s="172" t="n"/>
      <c r="BC59" s="172" t="n"/>
      <c r="BD59" s="205">
        <f>IF(AND(A59="",B59=""),"",IF(AND(P59="ГОТОВО",R59&lt;&gt;"",T59&lt;&gt;"",U59&lt;&gt;"",AA59&lt;&gt;"",AB59&lt;&gt;"",AC59&lt;&gt;"",BB59&lt;&gt;"",BC59&lt;&gt;""),"ГОТОВО","НЕ ГОТОВО"))</f>
        <v/>
      </c>
      <c r="BE59" s="205">
        <f>IF(BD59&lt;&gt;"ГОТОВО","","Полное заключение: "&amp;A59&amp;", скв. "&amp;B59&amp;". МРП: "&amp;E59&amp;" сут. ГНО: "&amp;F59&amp;"; причина: "&amp;U59&amp;"; категория: "&amp;V59&amp;"; решение комиссии: "&amp;BB59&amp;".")</f>
        <v/>
      </c>
      <c r="BF59" s="173">
        <f>IF('Оперативный ввод'!X59="","",'Оперативный ввод'!X59)</f>
        <v/>
      </c>
    </row>
    <row r="60">
      <c r="A60" s="171">
        <f>IF('Оперативный ввод'!A60="","",'Оперативный ввод'!A60)</f>
        <v/>
      </c>
      <c r="B60" s="172">
        <f>IF('Оперативный ввод'!B60="","",'Оперативный ввод'!B60)</f>
        <v/>
      </c>
      <c r="C60" s="270">
        <f>IF('Оперативный ввод'!C60="","",'Оперативный ввод'!C60)</f>
        <v/>
      </c>
      <c r="D60" s="270">
        <f>IF('Оперативный ввод'!D60="","",'Оперативный ввод'!D60)</f>
        <v/>
      </c>
      <c r="E60" s="271">
        <f>IF(OR(C60="",D60=""),"",D60-C60)</f>
        <v/>
      </c>
      <c r="F60" s="172">
        <f>IF('Оперативный ввод'!F60="","",'Оперативный ввод'!F60)</f>
        <v/>
      </c>
      <c r="G60" s="172">
        <f>IF('Оперативный ввод'!G60="","",'Оперативный ввод'!G60)</f>
        <v/>
      </c>
      <c r="H60" s="172">
        <f>IF('Оперативный ввод'!H60="","",'Оперативный ввод'!H60)</f>
        <v/>
      </c>
      <c r="I60" s="172">
        <f>IF('Оперативный ввод'!I60="","",'Оперативный ввод'!I60)</f>
        <v/>
      </c>
      <c r="J60" s="172">
        <f>IF('Оперативный ввод'!J60="","",'Оперативный ввод'!J60)</f>
        <v/>
      </c>
      <c r="K60" s="172">
        <f>IF('Оперативный ввод'!K60="","",'Оперативный ввод'!K60)</f>
        <v/>
      </c>
      <c r="L60" s="172">
        <f>IF('Оперативный ввод'!L60="","",'Оперативный ввод'!L60)</f>
        <v/>
      </c>
      <c r="M60" s="172">
        <f>IF('Оперативный ввод'!M60="","",'Оперативный ввод'!M60)</f>
        <v/>
      </c>
      <c r="N60" s="172">
        <f>IF('Оперативный ввод'!N60="","",'Оперативный ввод'!N60)</f>
        <v/>
      </c>
      <c r="O60" s="172">
        <f>IF('Оперативный ввод'!O60="","",'Оперативный ввод'!O60)</f>
        <v/>
      </c>
      <c r="P60" s="205">
        <f>IF(AND(A60="",B60=""),"",IF(AND(A60&lt;&gt;"",B60&lt;&gt;"",C60&lt;&gt;"",D60&lt;&gt;"",F60&lt;&gt;"",G60&lt;&gt;"",H60&lt;&gt;"",ISERROR(SEARCH("по паспорту",G60)),ISERROR(SEARCH("по паспорту",H60)),I60&lt;&gt;"",J60&lt;&gt;"",K60&lt;&gt;"",L60&lt;&gt;"",M60&lt;&gt;""),"ГОТОВО","НЕ ГОТОВО"))</f>
        <v/>
      </c>
      <c r="Q60" s="205">
        <f>IF(P60&lt;&gt;"ГОТОВО","", "Предварительное заключение: "&amp;A60&amp;", скв. "&amp;B60&amp;". МРП: "&amp;E60&amp;" сут. ГНО: "&amp;F60&amp;", типоразмер "&amp;G60&amp;", марка "&amp;H60&amp;". Событие: "&amp;I60&amp;". Признак: "&amp;J60&amp;". Узел: "&amp;K60&amp;". Предварительная причина: "&amp;L60&amp;". Основное осложнение: "&amp;M60&amp;IF(N60&lt;&gt;"","; сопутствующее: "&amp;N60,"")&amp;IF(O60&lt;&gt;"","; дополнительно: "&amp;O60,"")&amp;".")</f>
        <v/>
      </c>
      <c r="R60" s="172">
        <f>IF('Оперативный ввод'!P60="","",'Оперативный ввод'!P60)</f>
        <v/>
      </c>
      <c r="S60" s="172">
        <f>IF('Оперативный ввод'!Q60="","",'Оперативный ввод'!Q60)</f>
        <v/>
      </c>
      <c r="T60" s="172">
        <f>IF('Оперативный ввод'!R60="","",'Оперативный ввод'!R60)</f>
        <v/>
      </c>
      <c r="U60" s="172">
        <f>IF('Оперативный ввод'!S60="","",'Оперативный ввод'!S60)</f>
        <v/>
      </c>
      <c r="V60" s="172">
        <f>IF('Оперативный ввод'!T60="","",'Оперативный ввод'!T60)</f>
        <v/>
      </c>
      <c r="W60" s="172" t="n"/>
      <c r="X60" s="172" t="n"/>
      <c r="Y60" s="172" t="n"/>
      <c r="Z60" s="172" t="n"/>
      <c r="AA60" s="172">
        <f>IF('Оперативный ввод'!U60="","",'Оперативный ввод'!U60)</f>
        <v/>
      </c>
      <c r="AB60" s="172">
        <f>IF('Оперативный ввод'!V60="","",'Оперативный ввод'!V60)</f>
        <v/>
      </c>
      <c r="AC60" s="172">
        <f>IF('Оперативный ввод'!W60="","",'Оперативный ввод'!W60)</f>
        <v/>
      </c>
      <c r="BB60" s="172" t="n"/>
      <c r="BC60" s="172" t="n"/>
      <c r="BD60" s="205">
        <f>IF(AND(A60="",B60=""),"",IF(AND(P60="ГОТОВО",R60&lt;&gt;"",T60&lt;&gt;"",U60&lt;&gt;"",AA60&lt;&gt;"",AB60&lt;&gt;"",AC60&lt;&gt;"",BB60&lt;&gt;"",BC60&lt;&gt;""),"ГОТОВО","НЕ ГОТОВО"))</f>
        <v/>
      </c>
      <c r="BE60" s="205">
        <f>IF(BD60&lt;&gt;"ГОТОВО","","Полное заключение: "&amp;A60&amp;", скв. "&amp;B60&amp;". МРП: "&amp;E60&amp;" сут. ГНО: "&amp;F60&amp;"; причина: "&amp;U60&amp;"; категория: "&amp;V60&amp;"; решение комиссии: "&amp;BB60&amp;".")</f>
        <v/>
      </c>
      <c r="BF60" s="173">
        <f>IF('Оперативный ввод'!X60="","",'Оперативный ввод'!X60)</f>
        <v/>
      </c>
    </row>
    <row r="61">
      <c r="A61" s="171">
        <f>IF('Оперативный ввод'!A61="","",'Оперативный ввод'!A61)</f>
        <v/>
      </c>
      <c r="B61" s="172">
        <f>IF('Оперативный ввод'!B61="","",'Оперативный ввод'!B61)</f>
        <v/>
      </c>
      <c r="C61" s="270">
        <f>IF('Оперативный ввод'!C61="","",'Оперативный ввод'!C61)</f>
        <v/>
      </c>
      <c r="D61" s="270">
        <f>IF('Оперативный ввод'!D61="","",'Оперативный ввод'!D61)</f>
        <v/>
      </c>
      <c r="E61" s="271">
        <f>IF(OR(C61="",D61=""),"",D61-C61)</f>
        <v/>
      </c>
      <c r="F61" s="172">
        <f>IF('Оперативный ввод'!F61="","",'Оперативный ввод'!F61)</f>
        <v/>
      </c>
      <c r="G61" s="172">
        <f>IF('Оперативный ввод'!G61="","",'Оперативный ввод'!G61)</f>
        <v/>
      </c>
      <c r="H61" s="172">
        <f>IF('Оперативный ввод'!H61="","",'Оперативный ввод'!H61)</f>
        <v/>
      </c>
      <c r="I61" s="172">
        <f>IF('Оперативный ввод'!I61="","",'Оперативный ввод'!I61)</f>
        <v/>
      </c>
      <c r="J61" s="172">
        <f>IF('Оперативный ввод'!J61="","",'Оперативный ввод'!J61)</f>
        <v/>
      </c>
      <c r="K61" s="172">
        <f>IF('Оперативный ввод'!K61="","",'Оперативный ввод'!K61)</f>
        <v/>
      </c>
      <c r="L61" s="172">
        <f>IF('Оперативный ввод'!L61="","",'Оперативный ввод'!L61)</f>
        <v/>
      </c>
      <c r="M61" s="172">
        <f>IF('Оперативный ввод'!M61="","",'Оперативный ввод'!M61)</f>
        <v/>
      </c>
      <c r="N61" s="172">
        <f>IF('Оперативный ввод'!N61="","",'Оперативный ввод'!N61)</f>
        <v/>
      </c>
      <c r="O61" s="172">
        <f>IF('Оперативный ввод'!O61="","",'Оперативный ввод'!O61)</f>
        <v/>
      </c>
      <c r="P61" s="205">
        <f>IF(AND(A61="",B61=""),"",IF(AND(A61&lt;&gt;"",B61&lt;&gt;"",C61&lt;&gt;"",D61&lt;&gt;"",F61&lt;&gt;"",G61&lt;&gt;"",H61&lt;&gt;"",ISERROR(SEARCH("по паспорту",G61)),ISERROR(SEARCH("по паспорту",H61)),I61&lt;&gt;"",J61&lt;&gt;"",K61&lt;&gt;"",L61&lt;&gt;"",M61&lt;&gt;""),"ГОТОВО","НЕ ГОТОВО"))</f>
        <v/>
      </c>
      <c r="Q61" s="205">
        <f>IF(P61&lt;&gt;"ГОТОВО","", "Предварительное заключение: "&amp;A61&amp;", скв. "&amp;B61&amp;". МРП: "&amp;E61&amp;" сут. ГНО: "&amp;F61&amp;", типоразмер "&amp;G61&amp;", марка "&amp;H61&amp;". Событие: "&amp;I61&amp;". Признак: "&amp;J61&amp;". Узел: "&amp;K61&amp;". Предварительная причина: "&amp;L61&amp;". Основное осложнение: "&amp;M61&amp;IF(N61&lt;&gt;"","; сопутствующее: "&amp;N61,"")&amp;IF(O61&lt;&gt;"","; дополнительно: "&amp;O61,"")&amp;".")</f>
        <v/>
      </c>
      <c r="R61" s="172">
        <f>IF('Оперативный ввод'!P61="","",'Оперативный ввод'!P61)</f>
        <v/>
      </c>
      <c r="S61" s="172">
        <f>IF('Оперативный ввод'!Q61="","",'Оперативный ввод'!Q61)</f>
        <v/>
      </c>
      <c r="T61" s="172">
        <f>IF('Оперативный ввод'!R61="","",'Оперативный ввод'!R61)</f>
        <v/>
      </c>
      <c r="U61" s="172">
        <f>IF('Оперативный ввод'!S61="","",'Оперативный ввод'!S61)</f>
        <v/>
      </c>
      <c r="V61" s="172">
        <f>IF('Оперативный ввод'!T61="","",'Оперативный ввод'!T61)</f>
        <v/>
      </c>
      <c r="W61" s="172" t="n"/>
      <c r="X61" s="172" t="n"/>
      <c r="Y61" s="172" t="n"/>
      <c r="Z61" s="172" t="n"/>
      <c r="AA61" s="172">
        <f>IF('Оперативный ввод'!U61="","",'Оперативный ввод'!U61)</f>
        <v/>
      </c>
      <c r="AB61" s="172">
        <f>IF('Оперативный ввод'!V61="","",'Оперативный ввод'!V61)</f>
        <v/>
      </c>
      <c r="AC61" s="172">
        <f>IF('Оперативный ввод'!W61="","",'Оперативный ввод'!W61)</f>
        <v/>
      </c>
      <c r="BB61" s="172" t="n"/>
      <c r="BC61" s="172" t="n"/>
      <c r="BD61" s="205">
        <f>IF(AND(A61="",B61=""),"",IF(AND(P61="ГОТОВО",R61&lt;&gt;"",T61&lt;&gt;"",U61&lt;&gt;"",AA61&lt;&gt;"",AB61&lt;&gt;"",AC61&lt;&gt;"",BB61&lt;&gt;"",BC61&lt;&gt;""),"ГОТОВО","НЕ ГОТОВО"))</f>
        <v/>
      </c>
      <c r="BE61" s="205">
        <f>IF(BD61&lt;&gt;"ГОТОВО","","Полное заключение: "&amp;A61&amp;", скв. "&amp;B61&amp;". МРП: "&amp;E61&amp;" сут. ГНО: "&amp;F61&amp;"; причина: "&amp;U61&amp;"; категория: "&amp;V61&amp;"; решение комиссии: "&amp;BB61&amp;".")</f>
        <v/>
      </c>
      <c r="BF61" s="173">
        <f>IF('Оперативный ввод'!X61="","",'Оперативный ввод'!X61)</f>
        <v/>
      </c>
    </row>
    <row r="62">
      <c r="A62" s="171">
        <f>IF('Оперативный ввод'!A62="","",'Оперативный ввод'!A62)</f>
        <v/>
      </c>
      <c r="B62" s="172">
        <f>IF('Оперативный ввод'!B62="","",'Оперативный ввод'!B62)</f>
        <v/>
      </c>
      <c r="C62" s="270">
        <f>IF('Оперативный ввод'!C62="","",'Оперативный ввод'!C62)</f>
        <v/>
      </c>
      <c r="D62" s="270">
        <f>IF('Оперативный ввод'!D62="","",'Оперативный ввод'!D62)</f>
        <v/>
      </c>
      <c r="E62" s="271">
        <f>IF(OR(C62="",D62=""),"",D62-C62)</f>
        <v/>
      </c>
      <c r="F62" s="172">
        <f>IF('Оперативный ввод'!F62="","",'Оперативный ввод'!F62)</f>
        <v/>
      </c>
      <c r="G62" s="172">
        <f>IF('Оперативный ввод'!G62="","",'Оперативный ввод'!G62)</f>
        <v/>
      </c>
      <c r="H62" s="172">
        <f>IF('Оперативный ввод'!H62="","",'Оперативный ввод'!H62)</f>
        <v/>
      </c>
      <c r="I62" s="172">
        <f>IF('Оперативный ввод'!I62="","",'Оперативный ввод'!I62)</f>
        <v/>
      </c>
      <c r="J62" s="172">
        <f>IF('Оперативный ввод'!J62="","",'Оперативный ввод'!J62)</f>
        <v/>
      </c>
      <c r="K62" s="172">
        <f>IF('Оперативный ввод'!K62="","",'Оперативный ввод'!K62)</f>
        <v/>
      </c>
      <c r="L62" s="172">
        <f>IF('Оперативный ввод'!L62="","",'Оперативный ввод'!L62)</f>
        <v/>
      </c>
      <c r="M62" s="172">
        <f>IF('Оперативный ввод'!M62="","",'Оперативный ввод'!M62)</f>
        <v/>
      </c>
      <c r="N62" s="172">
        <f>IF('Оперативный ввод'!N62="","",'Оперативный ввод'!N62)</f>
        <v/>
      </c>
      <c r="O62" s="172">
        <f>IF('Оперативный ввод'!O62="","",'Оперативный ввод'!O62)</f>
        <v/>
      </c>
      <c r="P62" s="205">
        <f>IF(AND(A62="",B62=""),"",IF(AND(A62&lt;&gt;"",B62&lt;&gt;"",C62&lt;&gt;"",D62&lt;&gt;"",F62&lt;&gt;"",G62&lt;&gt;"",H62&lt;&gt;"",ISERROR(SEARCH("по паспорту",G62)),ISERROR(SEARCH("по паспорту",H62)),I62&lt;&gt;"",J62&lt;&gt;"",K62&lt;&gt;"",L62&lt;&gt;"",M62&lt;&gt;""),"ГОТОВО","НЕ ГОТОВО"))</f>
        <v/>
      </c>
      <c r="Q62" s="205">
        <f>IF(P62&lt;&gt;"ГОТОВО","", "Предварительное заключение: "&amp;A62&amp;", скв. "&amp;B62&amp;". МРП: "&amp;E62&amp;" сут. ГНО: "&amp;F62&amp;", типоразмер "&amp;G62&amp;", марка "&amp;H62&amp;". Событие: "&amp;I62&amp;". Признак: "&amp;J62&amp;". Узел: "&amp;K62&amp;". Предварительная причина: "&amp;L62&amp;". Основное осложнение: "&amp;M62&amp;IF(N62&lt;&gt;"","; сопутствующее: "&amp;N62,"")&amp;IF(O62&lt;&gt;"","; дополнительно: "&amp;O62,"")&amp;".")</f>
        <v/>
      </c>
      <c r="R62" s="172">
        <f>IF('Оперативный ввод'!P62="","",'Оперативный ввод'!P62)</f>
        <v/>
      </c>
      <c r="S62" s="172">
        <f>IF('Оперативный ввод'!Q62="","",'Оперативный ввод'!Q62)</f>
        <v/>
      </c>
      <c r="T62" s="172">
        <f>IF('Оперативный ввод'!R62="","",'Оперативный ввод'!R62)</f>
        <v/>
      </c>
      <c r="U62" s="172">
        <f>IF('Оперативный ввод'!S62="","",'Оперативный ввод'!S62)</f>
        <v/>
      </c>
      <c r="V62" s="172">
        <f>IF('Оперативный ввод'!T62="","",'Оперативный ввод'!T62)</f>
        <v/>
      </c>
      <c r="W62" s="172" t="n"/>
      <c r="X62" s="172" t="n"/>
      <c r="Y62" s="172" t="n"/>
      <c r="Z62" s="172" t="n"/>
      <c r="AA62" s="172">
        <f>IF('Оперативный ввод'!U62="","",'Оперативный ввод'!U62)</f>
        <v/>
      </c>
      <c r="AB62" s="172">
        <f>IF('Оперативный ввод'!V62="","",'Оперативный ввод'!V62)</f>
        <v/>
      </c>
      <c r="AC62" s="172">
        <f>IF('Оперативный ввод'!W62="","",'Оперативный ввод'!W62)</f>
        <v/>
      </c>
      <c r="BB62" s="172" t="n"/>
      <c r="BC62" s="172" t="n"/>
      <c r="BD62" s="205">
        <f>IF(AND(A62="",B62=""),"",IF(AND(P62="ГОТОВО",R62&lt;&gt;"",T62&lt;&gt;"",U62&lt;&gt;"",AA62&lt;&gt;"",AB62&lt;&gt;"",AC62&lt;&gt;"",BB62&lt;&gt;"",BC62&lt;&gt;""),"ГОТОВО","НЕ ГОТОВО"))</f>
        <v/>
      </c>
      <c r="BE62" s="205">
        <f>IF(BD62&lt;&gt;"ГОТОВО","","Полное заключение: "&amp;A62&amp;", скв. "&amp;B62&amp;". МРП: "&amp;E62&amp;" сут. ГНО: "&amp;F62&amp;"; причина: "&amp;U62&amp;"; категория: "&amp;V62&amp;"; решение комиссии: "&amp;BB62&amp;".")</f>
        <v/>
      </c>
      <c r="BF62" s="173">
        <f>IF('Оперативный ввод'!X62="","",'Оперативный ввод'!X62)</f>
        <v/>
      </c>
    </row>
    <row r="63">
      <c r="A63" s="171">
        <f>IF('Оперативный ввод'!A63="","",'Оперативный ввод'!A63)</f>
        <v/>
      </c>
      <c r="B63" s="172">
        <f>IF('Оперативный ввод'!B63="","",'Оперативный ввод'!B63)</f>
        <v/>
      </c>
      <c r="C63" s="270">
        <f>IF('Оперативный ввод'!C63="","",'Оперативный ввод'!C63)</f>
        <v/>
      </c>
      <c r="D63" s="270">
        <f>IF('Оперативный ввод'!D63="","",'Оперативный ввод'!D63)</f>
        <v/>
      </c>
      <c r="E63" s="271">
        <f>IF(OR(C63="",D63=""),"",D63-C63)</f>
        <v/>
      </c>
      <c r="F63" s="172">
        <f>IF('Оперативный ввод'!F63="","",'Оперативный ввод'!F63)</f>
        <v/>
      </c>
      <c r="G63" s="172">
        <f>IF('Оперативный ввод'!G63="","",'Оперативный ввод'!G63)</f>
        <v/>
      </c>
      <c r="H63" s="172">
        <f>IF('Оперативный ввод'!H63="","",'Оперативный ввод'!H63)</f>
        <v/>
      </c>
      <c r="I63" s="172">
        <f>IF('Оперативный ввод'!I63="","",'Оперативный ввод'!I63)</f>
        <v/>
      </c>
      <c r="J63" s="172">
        <f>IF('Оперативный ввод'!J63="","",'Оперативный ввод'!J63)</f>
        <v/>
      </c>
      <c r="K63" s="172">
        <f>IF('Оперативный ввод'!K63="","",'Оперативный ввод'!K63)</f>
        <v/>
      </c>
      <c r="L63" s="172">
        <f>IF('Оперативный ввод'!L63="","",'Оперативный ввод'!L63)</f>
        <v/>
      </c>
      <c r="M63" s="172">
        <f>IF('Оперативный ввод'!M63="","",'Оперативный ввод'!M63)</f>
        <v/>
      </c>
      <c r="N63" s="172">
        <f>IF('Оперативный ввод'!N63="","",'Оперативный ввод'!N63)</f>
        <v/>
      </c>
      <c r="O63" s="172">
        <f>IF('Оперативный ввод'!O63="","",'Оперативный ввод'!O63)</f>
        <v/>
      </c>
      <c r="P63" s="205">
        <f>IF(AND(A63="",B63=""),"",IF(AND(A63&lt;&gt;"",B63&lt;&gt;"",C63&lt;&gt;"",D63&lt;&gt;"",F63&lt;&gt;"",G63&lt;&gt;"",H63&lt;&gt;"",ISERROR(SEARCH("по паспорту",G63)),ISERROR(SEARCH("по паспорту",H63)),I63&lt;&gt;"",J63&lt;&gt;"",K63&lt;&gt;"",L63&lt;&gt;"",M63&lt;&gt;""),"ГОТОВО","НЕ ГОТОВО"))</f>
        <v/>
      </c>
      <c r="Q63" s="205">
        <f>IF(P63&lt;&gt;"ГОТОВО","", "Предварительное заключение: "&amp;A63&amp;", скв. "&amp;B63&amp;". МРП: "&amp;E63&amp;" сут. ГНО: "&amp;F63&amp;", типоразмер "&amp;G63&amp;", марка "&amp;H63&amp;". Событие: "&amp;I63&amp;". Признак: "&amp;J63&amp;". Узел: "&amp;K63&amp;". Предварительная причина: "&amp;L63&amp;". Основное осложнение: "&amp;M63&amp;IF(N63&lt;&gt;"","; сопутствующее: "&amp;N63,"")&amp;IF(O63&lt;&gt;"","; дополнительно: "&amp;O63,"")&amp;".")</f>
        <v/>
      </c>
      <c r="R63" s="172">
        <f>IF('Оперативный ввод'!P63="","",'Оперативный ввод'!P63)</f>
        <v/>
      </c>
      <c r="S63" s="172">
        <f>IF('Оперативный ввод'!Q63="","",'Оперативный ввод'!Q63)</f>
        <v/>
      </c>
      <c r="T63" s="172">
        <f>IF('Оперативный ввод'!R63="","",'Оперативный ввод'!R63)</f>
        <v/>
      </c>
      <c r="U63" s="172">
        <f>IF('Оперативный ввод'!S63="","",'Оперативный ввод'!S63)</f>
        <v/>
      </c>
      <c r="V63" s="172">
        <f>IF('Оперативный ввод'!T63="","",'Оперативный ввод'!T63)</f>
        <v/>
      </c>
      <c r="W63" s="172" t="n"/>
      <c r="X63" s="172" t="n"/>
      <c r="Y63" s="172" t="n"/>
      <c r="Z63" s="172" t="n"/>
      <c r="AA63" s="172">
        <f>IF('Оперативный ввод'!U63="","",'Оперативный ввод'!U63)</f>
        <v/>
      </c>
      <c r="AB63" s="172">
        <f>IF('Оперативный ввод'!V63="","",'Оперативный ввод'!V63)</f>
        <v/>
      </c>
      <c r="AC63" s="172">
        <f>IF('Оперативный ввод'!W63="","",'Оперативный ввод'!W63)</f>
        <v/>
      </c>
      <c r="BB63" s="172" t="n"/>
      <c r="BC63" s="172" t="n"/>
      <c r="BD63" s="205">
        <f>IF(AND(A63="",B63=""),"",IF(AND(P63="ГОТОВО",R63&lt;&gt;"",T63&lt;&gt;"",U63&lt;&gt;"",AA63&lt;&gt;"",AB63&lt;&gt;"",AC63&lt;&gt;"",BB63&lt;&gt;"",BC63&lt;&gt;""),"ГОТОВО","НЕ ГОТОВО"))</f>
        <v/>
      </c>
      <c r="BE63" s="205">
        <f>IF(BD63&lt;&gt;"ГОТОВО","","Полное заключение: "&amp;A63&amp;", скв. "&amp;B63&amp;". МРП: "&amp;E63&amp;" сут. ГНО: "&amp;F63&amp;"; причина: "&amp;U63&amp;"; категория: "&amp;V63&amp;"; решение комиссии: "&amp;BB63&amp;".")</f>
        <v/>
      </c>
      <c r="BF63" s="173">
        <f>IF('Оперативный ввод'!X63="","",'Оперативный ввод'!X63)</f>
        <v/>
      </c>
    </row>
    <row r="64">
      <c r="A64" s="171">
        <f>IF('Оперативный ввод'!A64="","",'Оперативный ввод'!A64)</f>
        <v/>
      </c>
      <c r="B64" s="172">
        <f>IF('Оперативный ввод'!B64="","",'Оперативный ввод'!B64)</f>
        <v/>
      </c>
      <c r="C64" s="270">
        <f>IF('Оперативный ввод'!C64="","",'Оперативный ввод'!C64)</f>
        <v/>
      </c>
      <c r="D64" s="270">
        <f>IF('Оперативный ввод'!D64="","",'Оперативный ввод'!D64)</f>
        <v/>
      </c>
      <c r="E64" s="271">
        <f>IF(OR(C64="",D64=""),"",D64-C64)</f>
        <v/>
      </c>
      <c r="F64" s="172">
        <f>IF('Оперативный ввод'!F64="","",'Оперативный ввод'!F64)</f>
        <v/>
      </c>
      <c r="G64" s="172">
        <f>IF('Оперативный ввод'!G64="","",'Оперативный ввод'!G64)</f>
        <v/>
      </c>
      <c r="H64" s="172">
        <f>IF('Оперативный ввод'!H64="","",'Оперативный ввод'!H64)</f>
        <v/>
      </c>
      <c r="I64" s="172">
        <f>IF('Оперативный ввод'!I64="","",'Оперативный ввод'!I64)</f>
        <v/>
      </c>
      <c r="J64" s="172">
        <f>IF('Оперативный ввод'!J64="","",'Оперативный ввод'!J64)</f>
        <v/>
      </c>
      <c r="K64" s="172">
        <f>IF('Оперативный ввод'!K64="","",'Оперативный ввод'!K64)</f>
        <v/>
      </c>
      <c r="L64" s="172">
        <f>IF('Оперативный ввод'!L64="","",'Оперативный ввод'!L64)</f>
        <v/>
      </c>
      <c r="M64" s="172">
        <f>IF('Оперативный ввод'!M64="","",'Оперативный ввод'!M64)</f>
        <v/>
      </c>
      <c r="N64" s="172">
        <f>IF('Оперативный ввод'!N64="","",'Оперативный ввод'!N64)</f>
        <v/>
      </c>
      <c r="O64" s="172">
        <f>IF('Оперативный ввод'!O64="","",'Оперативный ввод'!O64)</f>
        <v/>
      </c>
      <c r="P64" s="205">
        <f>IF(AND(A64="",B64=""),"",IF(AND(A64&lt;&gt;"",B64&lt;&gt;"",C64&lt;&gt;"",D64&lt;&gt;"",F64&lt;&gt;"",G64&lt;&gt;"",H64&lt;&gt;"",ISERROR(SEARCH("по паспорту",G64)),ISERROR(SEARCH("по паспорту",H64)),I64&lt;&gt;"",J64&lt;&gt;"",K64&lt;&gt;"",L64&lt;&gt;"",M64&lt;&gt;""),"ГОТОВО","НЕ ГОТОВО"))</f>
        <v/>
      </c>
      <c r="Q64" s="205">
        <f>IF(P64&lt;&gt;"ГОТОВО","", "Предварительное заключение: "&amp;A64&amp;", скв. "&amp;B64&amp;". МРП: "&amp;E64&amp;" сут. ГНО: "&amp;F64&amp;", типоразмер "&amp;G64&amp;", марка "&amp;H64&amp;". Событие: "&amp;I64&amp;". Признак: "&amp;J64&amp;". Узел: "&amp;K64&amp;". Предварительная причина: "&amp;L64&amp;". Основное осложнение: "&amp;M64&amp;IF(N64&lt;&gt;"","; сопутствующее: "&amp;N64,"")&amp;IF(O64&lt;&gt;"","; дополнительно: "&amp;O64,"")&amp;".")</f>
        <v/>
      </c>
      <c r="R64" s="172">
        <f>IF('Оперативный ввод'!P64="","",'Оперативный ввод'!P64)</f>
        <v/>
      </c>
      <c r="S64" s="172">
        <f>IF('Оперативный ввод'!Q64="","",'Оперативный ввод'!Q64)</f>
        <v/>
      </c>
      <c r="T64" s="172">
        <f>IF('Оперативный ввод'!R64="","",'Оперативный ввод'!R64)</f>
        <v/>
      </c>
      <c r="U64" s="172">
        <f>IF('Оперативный ввод'!S64="","",'Оперативный ввод'!S64)</f>
        <v/>
      </c>
      <c r="V64" s="172">
        <f>IF('Оперативный ввод'!T64="","",'Оперативный ввод'!T64)</f>
        <v/>
      </c>
      <c r="W64" s="172" t="n"/>
      <c r="X64" s="172" t="n"/>
      <c r="Y64" s="172" t="n"/>
      <c r="Z64" s="172" t="n"/>
      <c r="AA64" s="172">
        <f>IF('Оперативный ввод'!U64="","",'Оперативный ввод'!U64)</f>
        <v/>
      </c>
      <c r="AB64" s="172">
        <f>IF('Оперативный ввод'!V64="","",'Оперативный ввод'!V64)</f>
        <v/>
      </c>
      <c r="AC64" s="172">
        <f>IF('Оперативный ввод'!W64="","",'Оперативный ввод'!W64)</f>
        <v/>
      </c>
      <c r="BB64" s="172" t="n"/>
      <c r="BC64" s="172" t="n"/>
      <c r="BD64" s="205">
        <f>IF(AND(A64="",B64=""),"",IF(AND(P64="ГОТОВО",R64&lt;&gt;"",T64&lt;&gt;"",U64&lt;&gt;"",AA64&lt;&gt;"",AB64&lt;&gt;"",AC64&lt;&gt;"",BB64&lt;&gt;"",BC64&lt;&gt;""),"ГОТОВО","НЕ ГОТОВО"))</f>
        <v/>
      </c>
      <c r="BE64" s="205">
        <f>IF(BD64&lt;&gt;"ГОТОВО","","Полное заключение: "&amp;A64&amp;", скв. "&amp;B64&amp;". МРП: "&amp;E64&amp;" сут. ГНО: "&amp;F64&amp;"; причина: "&amp;U64&amp;"; категория: "&amp;V64&amp;"; решение комиссии: "&amp;BB64&amp;".")</f>
        <v/>
      </c>
      <c r="BF64" s="173">
        <f>IF('Оперативный ввод'!X64="","",'Оперативный ввод'!X64)</f>
        <v/>
      </c>
    </row>
    <row r="65">
      <c r="A65" s="171">
        <f>IF('Оперативный ввод'!A65="","",'Оперативный ввод'!A65)</f>
        <v/>
      </c>
      <c r="B65" s="172">
        <f>IF('Оперативный ввод'!B65="","",'Оперативный ввод'!B65)</f>
        <v/>
      </c>
      <c r="C65" s="270">
        <f>IF('Оперативный ввод'!C65="","",'Оперативный ввод'!C65)</f>
        <v/>
      </c>
      <c r="D65" s="270">
        <f>IF('Оперативный ввод'!D65="","",'Оперативный ввод'!D65)</f>
        <v/>
      </c>
      <c r="E65" s="271">
        <f>IF(OR(C65="",D65=""),"",D65-C65)</f>
        <v/>
      </c>
      <c r="F65" s="172">
        <f>IF('Оперативный ввод'!F65="","",'Оперативный ввод'!F65)</f>
        <v/>
      </c>
      <c r="G65" s="172">
        <f>IF('Оперативный ввод'!G65="","",'Оперативный ввод'!G65)</f>
        <v/>
      </c>
      <c r="H65" s="172">
        <f>IF('Оперативный ввод'!H65="","",'Оперативный ввод'!H65)</f>
        <v/>
      </c>
      <c r="I65" s="172">
        <f>IF('Оперативный ввод'!I65="","",'Оперативный ввод'!I65)</f>
        <v/>
      </c>
      <c r="J65" s="172">
        <f>IF('Оперативный ввод'!J65="","",'Оперативный ввод'!J65)</f>
        <v/>
      </c>
      <c r="K65" s="172">
        <f>IF('Оперативный ввод'!K65="","",'Оперативный ввод'!K65)</f>
        <v/>
      </c>
      <c r="L65" s="172">
        <f>IF('Оперативный ввод'!L65="","",'Оперативный ввод'!L65)</f>
        <v/>
      </c>
      <c r="M65" s="172">
        <f>IF('Оперативный ввод'!M65="","",'Оперативный ввод'!M65)</f>
        <v/>
      </c>
      <c r="N65" s="172">
        <f>IF('Оперативный ввод'!N65="","",'Оперативный ввод'!N65)</f>
        <v/>
      </c>
      <c r="O65" s="172">
        <f>IF('Оперативный ввод'!O65="","",'Оперативный ввод'!O65)</f>
        <v/>
      </c>
      <c r="P65" s="205">
        <f>IF(AND(A65="",B65=""),"",IF(AND(A65&lt;&gt;"",B65&lt;&gt;"",C65&lt;&gt;"",D65&lt;&gt;"",F65&lt;&gt;"",G65&lt;&gt;"",H65&lt;&gt;"",ISERROR(SEARCH("по паспорту",G65)),ISERROR(SEARCH("по паспорту",H65)),I65&lt;&gt;"",J65&lt;&gt;"",K65&lt;&gt;"",L65&lt;&gt;"",M65&lt;&gt;""),"ГОТОВО","НЕ ГОТОВО"))</f>
        <v/>
      </c>
      <c r="Q65" s="205">
        <f>IF(P65&lt;&gt;"ГОТОВО","", "Предварительное заключение: "&amp;A65&amp;", скв. "&amp;B65&amp;". МРП: "&amp;E65&amp;" сут. ГНО: "&amp;F65&amp;", типоразмер "&amp;G65&amp;", марка "&amp;H65&amp;". Событие: "&amp;I65&amp;". Признак: "&amp;J65&amp;". Узел: "&amp;K65&amp;". Предварительная причина: "&amp;L65&amp;". Основное осложнение: "&amp;M65&amp;IF(N65&lt;&gt;"","; сопутствующее: "&amp;N65,"")&amp;IF(O65&lt;&gt;"","; дополнительно: "&amp;O65,"")&amp;".")</f>
        <v/>
      </c>
      <c r="R65" s="172">
        <f>IF('Оперативный ввод'!P65="","",'Оперативный ввод'!P65)</f>
        <v/>
      </c>
      <c r="S65" s="172">
        <f>IF('Оперативный ввод'!Q65="","",'Оперативный ввод'!Q65)</f>
        <v/>
      </c>
      <c r="T65" s="172">
        <f>IF('Оперативный ввод'!R65="","",'Оперативный ввод'!R65)</f>
        <v/>
      </c>
      <c r="U65" s="172">
        <f>IF('Оперативный ввод'!S65="","",'Оперативный ввод'!S65)</f>
        <v/>
      </c>
      <c r="V65" s="172">
        <f>IF('Оперативный ввод'!T65="","",'Оперативный ввод'!T65)</f>
        <v/>
      </c>
      <c r="W65" s="172" t="n"/>
      <c r="X65" s="172" t="n"/>
      <c r="Y65" s="172" t="n"/>
      <c r="Z65" s="172" t="n"/>
      <c r="AA65" s="172">
        <f>IF('Оперативный ввод'!U65="","",'Оперативный ввод'!U65)</f>
        <v/>
      </c>
      <c r="AB65" s="172">
        <f>IF('Оперативный ввод'!V65="","",'Оперативный ввод'!V65)</f>
        <v/>
      </c>
      <c r="AC65" s="172">
        <f>IF('Оперативный ввод'!W65="","",'Оперативный ввод'!W65)</f>
        <v/>
      </c>
      <c r="BB65" s="172" t="n"/>
      <c r="BC65" s="172" t="n"/>
      <c r="BD65" s="205">
        <f>IF(AND(A65="",B65=""),"",IF(AND(P65="ГОТОВО",R65&lt;&gt;"",T65&lt;&gt;"",U65&lt;&gt;"",AA65&lt;&gt;"",AB65&lt;&gt;"",AC65&lt;&gt;"",BB65&lt;&gt;"",BC65&lt;&gt;""),"ГОТОВО","НЕ ГОТОВО"))</f>
        <v/>
      </c>
      <c r="BE65" s="205">
        <f>IF(BD65&lt;&gt;"ГОТОВО","","Полное заключение: "&amp;A65&amp;", скв. "&amp;B65&amp;". МРП: "&amp;E65&amp;" сут. ГНО: "&amp;F65&amp;"; причина: "&amp;U65&amp;"; категория: "&amp;V65&amp;"; решение комиссии: "&amp;BB65&amp;".")</f>
        <v/>
      </c>
      <c r="BF65" s="173">
        <f>IF('Оперативный ввод'!X65="","",'Оперативный ввод'!X65)</f>
        <v/>
      </c>
    </row>
    <row r="66">
      <c r="A66" s="171">
        <f>IF('Оперативный ввод'!A66="","",'Оперативный ввод'!A66)</f>
        <v/>
      </c>
      <c r="B66" s="172">
        <f>IF('Оперативный ввод'!B66="","",'Оперативный ввод'!B66)</f>
        <v/>
      </c>
      <c r="C66" s="270">
        <f>IF('Оперативный ввод'!C66="","",'Оперативный ввод'!C66)</f>
        <v/>
      </c>
      <c r="D66" s="270">
        <f>IF('Оперативный ввод'!D66="","",'Оперативный ввод'!D66)</f>
        <v/>
      </c>
      <c r="E66" s="271">
        <f>IF(OR(C66="",D66=""),"",D66-C66)</f>
        <v/>
      </c>
      <c r="F66" s="172">
        <f>IF('Оперативный ввод'!F66="","",'Оперативный ввод'!F66)</f>
        <v/>
      </c>
      <c r="G66" s="172">
        <f>IF('Оперативный ввод'!G66="","",'Оперативный ввод'!G66)</f>
        <v/>
      </c>
      <c r="H66" s="172">
        <f>IF('Оперативный ввод'!H66="","",'Оперативный ввод'!H66)</f>
        <v/>
      </c>
      <c r="I66" s="172">
        <f>IF('Оперативный ввод'!I66="","",'Оперативный ввод'!I66)</f>
        <v/>
      </c>
      <c r="J66" s="172">
        <f>IF('Оперативный ввод'!J66="","",'Оперативный ввод'!J66)</f>
        <v/>
      </c>
      <c r="K66" s="172">
        <f>IF('Оперативный ввод'!K66="","",'Оперативный ввод'!K66)</f>
        <v/>
      </c>
      <c r="L66" s="172">
        <f>IF('Оперативный ввод'!L66="","",'Оперативный ввод'!L66)</f>
        <v/>
      </c>
      <c r="M66" s="172">
        <f>IF('Оперативный ввод'!M66="","",'Оперативный ввод'!M66)</f>
        <v/>
      </c>
      <c r="N66" s="172">
        <f>IF('Оперативный ввод'!N66="","",'Оперативный ввод'!N66)</f>
        <v/>
      </c>
      <c r="O66" s="172">
        <f>IF('Оперативный ввод'!O66="","",'Оперативный ввод'!O66)</f>
        <v/>
      </c>
      <c r="P66" s="205">
        <f>IF(AND(A66="",B66=""),"",IF(AND(A66&lt;&gt;"",B66&lt;&gt;"",C66&lt;&gt;"",D66&lt;&gt;"",F66&lt;&gt;"",G66&lt;&gt;"",H66&lt;&gt;"",ISERROR(SEARCH("по паспорту",G66)),ISERROR(SEARCH("по паспорту",H66)),I66&lt;&gt;"",J66&lt;&gt;"",K66&lt;&gt;"",L66&lt;&gt;"",M66&lt;&gt;""),"ГОТОВО","НЕ ГОТОВО"))</f>
        <v/>
      </c>
      <c r="Q66" s="205">
        <f>IF(P66&lt;&gt;"ГОТОВО","", "Предварительное заключение: "&amp;A66&amp;", скв. "&amp;B66&amp;". МРП: "&amp;E66&amp;" сут. ГНО: "&amp;F66&amp;", типоразмер "&amp;G66&amp;", марка "&amp;H66&amp;". Событие: "&amp;I66&amp;". Признак: "&amp;J66&amp;". Узел: "&amp;K66&amp;". Предварительная причина: "&amp;L66&amp;". Основное осложнение: "&amp;M66&amp;IF(N66&lt;&gt;"","; сопутствующее: "&amp;N66,"")&amp;IF(O66&lt;&gt;"","; дополнительно: "&amp;O66,"")&amp;".")</f>
        <v/>
      </c>
      <c r="R66" s="172">
        <f>IF('Оперативный ввод'!P66="","",'Оперативный ввод'!P66)</f>
        <v/>
      </c>
      <c r="S66" s="172">
        <f>IF('Оперативный ввод'!Q66="","",'Оперативный ввод'!Q66)</f>
        <v/>
      </c>
      <c r="T66" s="172">
        <f>IF('Оперативный ввод'!R66="","",'Оперативный ввод'!R66)</f>
        <v/>
      </c>
      <c r="U66" s="172">
        <f>IF('Оперативный ввод'!S66="","",'Оперативный ввод'!S66)</f>
        <v/>
      </c>
      <c r="V66" s="172">
        <f>IF('Оперативный ввод'!T66="","",'Оперативный ввод'!T66)</f>
        <v/>
      </c>
      <c r="W66" s="172" t="n"/>
      <c r="X66" s="172" t="n"/>
      <c r="Y66" s="172" t="n"/>
      <c r="Z66" s="172" t="n"/>
      <c r="AA66" s="172">
        <f>IF('Оперативный ввод'!U66="","",'Оперативный ввод'!U66)</f>
        <v/>
      </c>
      <c r="AB66" s="172">
        <f>IF('Оперативный ввод'!V66="","",'Оперативный ввод'!V66)</f>
        <v/>
      </c>
      <c r="AC66" s="172">
        <f>IF('Оперативный ввод'!W66="","",'Оперативный ввод'!W66)</f>
        <v/>
      </c>
      <c r="BB66" s="172" t="n"/>
      <c r="BC66" s="172" t="n"/>
      <c r="BD66" s="205">
        <f>IF(AND(A66="",B66=""),"",IF(AND(P66="ГОТОВО",R66&lt;&gt;"",T66&lt;&gt;"",U66&lt;&gt;"",AA66&lt;&gt;"",AB66&lt;&gt;"",AC66&lt;&gt;"",BB66&lt;&gt;"",BC66&lt;&gt;""),"ГОТОВО","НЕ ГОТОВО"))</f>
        <v/>
      </c>
      <c r="BE66" s="205">
        <f>IF(BD66&lt;&gt;"ГОТОВО","","Полное заключение: "&amp;A66&amp;", скв. "&amp;B66&amp;". МРП: "&amp;E66&amp;" сут. ГНО: "&amp;F66&amp;"; причина: "&amp;U66&amp;"; категория: "&amp;V66&amp;"; решение комиссии: "&amp;BB66&amp;".")</f>
        <v/>
      </c>
      <c r="BF66" s="173">
        <f>IF('Оперативный ввод'!X66="","",'Оперативный ввод'!X66)</f>
        <v/>
      </c>
    </row>
    <row r="67">
      <c r="A67" s="171">
        <f>IF('Оперативный ввод'!A67="","",'Оперативный ввод'!A67)</f>
        <v/>
      </c>
      <c r="B67" s="172">
        <f>IF('Оперативный ввод'!B67="","",'Оперативный ввод'!B67)</f>
        <v/>
      </c>
      <c r="C67" s="270">
        <f>IF('Оперативный ввод'!C67="","",'Оперативный ввод'!C67)</f>
        <v/>
      </c>
      <c r="D67" s="270">
        <f>IF('Оперативный ввод'!D67="","",'Оперативный ввод'!D67)</f>
        <v/>
      </c>
      <c r="E67" s="271">
        <f>IF(OR(C67="",D67=""),"",D67-C67)</f>
        <v/>
      </c>
      <c r="F67" s="172">
        <f>IF('Оперативный ввод'!F67="","",'Оперативный ввод'!F67)</f>
        <v/>
      </c>
      <c r="G67" s="172">
        <f>IF('Оперативный ввод'!G67="","",'Оперативный ввод'!G67)</f>
        <v/>
      </c>
      <c r="H67" s="172">
        <f>IF('Оперативный ввод'!H67="","",'Оперативный ввод'!H67)</f>
        <v/>
      </c>
      <c r="I67" s="172">
        <f>IF('Оперативный ввод'!I67="","",'Оперативный ввод'!I67)</f>
        <v/>
      </c>
      <c r="J67" s="172">
        <f>IF('Оперативный ввод'!J67="","",'Оперативный ввод'!J67)</f>
        <v/>
      </c>
      <c r="K67" s="172">
        <f>IF('Оперативный ввод'!K67="","",'Оперативный ввод'!K67)</f>
        <v/>
      </c>
      <c r="L67" s="172">
        <f>IF('Оперативный ввод'!L67="","",'Оперативный ввод'!L67)</f>
        <v/>
      </c>
      <c r="M67" s="172">
        <f>IF('Оперативный ввод'!M67="","",'Оперативный ввод'!M67)</f>
        <v/>
      </c>
      <c r="N67" s="172">
        <f>IF('Оперативный ввод'!N67="","",'Оперативный ввод'!N67)</f>
        <v/>
      </c>
      <c r="O67" s="172">
        <f>IF('Оперативный ввод'!O67="","",'Оперативный ввод'!O67)</f>
        <v/>
      </c>
      <c r="P67" s="205">
        <f>IF(AND(A67="",B67=""),"",IF(AND(A67&lt;&gt;"",B67&lt;&gt;"",C67&lt;&gt;"",D67&lt;&gt;"",F67&lt;&gt;"",G67&lt;&gt;"",H67&lt;&gt;"",ISERROR(SEARCH("по паспорту",G67)),ISERROR(SEARCH("по паспорту",H67)),I67&lt;&gt;"",J67&lt;&gt;"",K67&lt;&gt;"",L67&lt;&gt;"",M67&lt;&gt;""),"ГОТОВО","НЕ ГОТОВО"))</f>
        <v/>
      </c>
      <c r="Q67" s="205">
        <f>IF(P67&lt;&gt;"ГОТОВО","", "Предварительное заключение: "&amp;A67&amp;", скв. "&amp;B67&amp;". МРП: "&amp;E67&amp;" сут. ГНО: "&amp;F67&amp;", типоразмер "&amp;G67&amp;", марка "&amp;H67&amp;". Событие: "&amp;I67&amp;". Признак: "&amp;J67&amp;". Узел: "&amp;K67&amp;". Предварительная причина: "&amp;L67&amp;". Основное осложнение: "&amp;M67&amp;IF(N67&lt;&gt;"","; сопутствующее: "&amp;N67,"")&amp;IF(O67&lt;&gt;"","; дополнительно: "&amp;O67,"")&amp;".")</f>
        <v/>
      </c>
      <c r="R67" s="172">
        <f>IF('Оперативный ввод'!P67="","",'Оперативный ввод'!P67)</f>
        <v/>
      </c>
      <c r="S67" s="172">
        <f>IF('Оперативный ввод'!Q67="","",'Оперативный ввод'!Q67)</f>
        <v/>
      </c>
      <c r="T67" s="172">
        <f>IF('Оперативный ввод'!R67="","",'Оперативный ввод'!R67)</f>
        <v/>
      </c>
      <c r="U67" s="172">
        <f>IF('Оперативный ввод'!S67="","",'Оперативный ввод'!S67)</f>
        <v/>
      </c>
      <c r="V67" s="172">
        <f>IF('Оперативный ввод'!T67="","",'Оперативный ввод'!T67)</f>
        <v/>
      </c>
      <c r="W67" s="172" t="n"/>
      <c r="X67" s="172" t="n"/>
      <c r="Y67" s="172" t="n"/>
      <c r="Z67" s="172" t="n"/>
      <c r="AA67" s="172">
        <f>IF('Оперативный ввод'!U67="","",'Оперативный ввод'!U67)</f>
        <v/>
      </c>
      <c r="AB67" s="172">
        <f>IF('Оперативный ввод'!V67="","",'Оперативный ввод'!V67)</f>
        <v/>
      </c>
      <c r="AC67" s="172">
        <f>IF('Оперативный ввод'!W67="","",'Оперативный ввод'!W67)</f>
        <v/>
      </c>
      <c r="BB67" s="172" t="n"/>
      <c r="BC67" s="172" t="n"/>
      <c r="BD67" s="205">
        <f>IF(AND(A67="",B67=""),"",IF(AND(P67="ГОТОВО",R67&lt;&gt;"",T67&lt;&gt;"",U67&lt;&gt;"",AA67&lt;&gt;"",AB67&lt;&gt;"",AC67&lt;&gt;"",BB67&lt;&gt;"",BC67&lt;&gt;""),"ГОТОВО","НЕ ГОТОВО"))</f>
        <v/>
      </c>
      <c r="BE67" s="205">
        <f>IF(BD67&lt;&gt;"ГОТОВО","","Полное заключение: "&amp;A67&amp;", скв. "&amp;B67&amp;". МРП: "&amp;E67&amp;" сут. ГНО: "&amp;F67&amp;"; причина: "&amp;U67&amp;"; категория: "&amp;V67&amp;"; решение комиссии: "&amp;BB67&amp;".")</f>
        <v/>
      </c>
      <c r="BF67" s="173">
        <f>IF('Оперативный ввод'!X67="","",'Оперативный ввод'!X67)</f>
        <v/>
      </c>
    </row>
    <row r="68">
      <c r="A68" s="171">
        <f>IF('Оперативный ввод'!A68="","",'Оперативный ввод'!A68)</f>
        <v/>
      </c>
      <c r="B68" s="172">
        <f>IF('Оперативный ввод'!B68="","",'Оперативный ввод'!B68)</f>
        <v/>
      </c>
      <c r="C68" s="270">
        <f>IF('Оперативный ввод'!C68="","",'Оперативный ввод'!C68)</f>
        <v/>
      </c>
      <c r="D68" s="270">
        <f>IF('Оперативный ввод'!D68="","",'Оперативный ввод'!D68)</f>
        <v/>
      </c>
      <c r="E68" s="271">
        <f>IF(OR(C68="",D68=""),"",D68-C68)</f>
        <v/>
      </c>
      <c r="F68" s="172">
        <f>IF('Оперативный ввод'!F68="","",'Оперативный ввод'!F68)</f>
        <v/>
      </c>
      <c r="G68" s="172">
        <f>IF('Оперативный ввод'!G68="","",'Оперативный ввод'!G68)</f>
        <v/>
      </c>
      <c r="H68" s="172">
        <f>IF('Оперативный ввод'!H68="","",'Оперативный ввод'!H68)</f>
        <v/>
      </c>
      <c r="I68" s="172">
        <f>IF('Оперативный ввод'!I68="","",'Оперативный ввод'!I68)</f>
        <v/>
      </c>
      <c r="J68" s="172">
        <f>IF('Оперативный ввод'!J68="","",'Оперативный ввод'!J68)</f>
        <v/>
      </c>
      <c r="K68" s="172">
        <f>IF('Оперативный ввод'!K68="","",'Оперативный ввод'!K68)</f>
        <v/>
      </c>
      <c r="L68" s="172">
        <f>IF('Оперативный ввод'!L68="","",'Оперативный ввод'!L68)</f>
        <v/>
      </c>
      <c r="M68" s="172">
        <f>IF('Оперативный ввод'!M68="","",'Оперативный ввод'!M68)</f>
        <v/>
      </c>
      <c r="N68" s="172">
        <f>IF('Оперативный ввод'!N68="","",'Оперативный ввод'!N68)</f>
        <v/>
      </c>
      <c r="O68" s="172">
        <f>IF('Оперативный ввод'!O68="","",'Оперативный ввод'!O68)</f>
        <v/>
      </c>
      <c r="P68" s="205">
        <f>IF(AND(A68="",B68=""),"",IF(AND(A68&lt;&gt;"",B68&lt;&gt;"",C68&lt;&gt;"",D68&lt;&gt;"",F68&lt;&gt;"",G68&lt;&gt;"",H68&lt;&gt;"",ISERROR(SEARCH("по паспорту",G68)),ISERROR(SEARCH("по паспорту",H68)),I68&lt;&gt;"",J68&lt;&gt;"",K68&lt;&gt;"",L68&lt;&gt;"",M68&lt;&gt;""),"ГОТОВО","НЕ ГОТОВО"))</f>
        <v/>
      </c>
      <c r="Q68" s="205">
        <f>IF(P68&lt;&gt;"ГОТОВО","", "Предварительное заключение: "&amp;A68&amp;", скв. "&amp;B68&amp;". МРП: "&amp;E68&amp;" сут. ГНО: "&amp;F68&amp;", типоразмер "&amp;G68&amp;", марка "&amp;H68&amp;". Событие: "&amp;I68&amp;". Признак: "&amp;J68&amp;". Узел: "&amp;K68&amp;". Предварительная причина: "&amp;L68&amp;". Основное осложнение: "&amp;M68&amp;IF(N68&lt;&gt;"","; сопутствующее: "&amp;N68,"")&amp;IF(O68&lt;&gt;"","; дополнительно: "&amp;O68,"")&amp;".")</f>
        <v/>
      </c>
      <c r="R68" s="172">
        <f>IF('Оперативный ввод'!P68="","",'Оперативный ввод'!P68)</f>
        <v/>
      </c>
      <c r="S68" s="172">
        <f>IF('Оперативный ввод'!Q68="","",'Оперативный ввод'!Q68)</f>
        <v/>
      </c>
      <c r="T68" s="172">
        <f>IF('Оперативный ввод'!R68="","",'Оперативный ввод'!R68)</f>
        <v/>
      </c>
      <c r="U68" s="172">
        <f>IF('Оперативный ввод'!S68="","",'Оперативный ввод'!S68)</f>
        <v/>
      </c>
      <c r="V68" s="172">
        <f>IF('Оперативный ввод'!T68="","",'Оперативный ввод'!T68)</f>
        <v/>
      </c>
      <c r="W68" s="172" t="n"/>
      <c r="X68" s="172" t="n"/>
      <c r="Y68" s="172" t="n"/>
      <c r="Z68" s="172" t="n"/>
      <c r="AA68" s="172">
        <f>IF('Оперативный ввод'!U68="","",'Оперативный ввод'!U68)</f>
        <v/>
      </c>
      <c r="AB68" s="172">
        <f>IF('Оперативный ввод'!V68="","",'Оперативный ввод'!V68)</f>
        <v/>
      </c>
      <c r="AC68" s="172">
        <f>IF('Оперативный ввод'!W68="","",'Оперативный ввод'!W68)</f>
        <v/>
      </c>
      <c r="BB68" s="172" t="n"/>
      <c r="BC68" s="172" t="n"/>
      <c r="BD68" s="205">
        <f>IF(AND(A68="",B68=""),"",IF(AND(P68="ГОТОВО",R68&lt;&gt;"",T68&lt;&gt;"",U68&lt;&gt;"",AA68&lt;&gt;"",AB68&lt;&gt;"",AC68&lt;&gt;"",BB68&lt;&gt;"",BC68&lt;&gt;""),"ГОТОВО","НЕ ГОТОВО"))</f>
        <v/>
      </c>
      <c r="BE68" s="205">
        <f>IF(BD68&lt;&gt;"ГОТОВО","","Полное заключение: "&amp;A68&amp;", скв. "&amp;B68&amp;". МРП: "&amp;E68&amp;" сут. ГНО: "&amp;F68&amp;"; причина: "&amp;U68&amp;"; категория: "&amp;V68&amp;"; решение комиссии: "&amp;BB68&amp;".")</f>
        <v/>
      </c>
      <c r="BF68" s="173">
        <f>IF('Оперативный ввод'!X68="","",'Оперативный ввод'!X68)</f>
        <v/>
      </c>
    </row>
    <row r="69">
      <c r="A69" s="171">
        <f>IF('Оперативный ввод'!A69="","",'Оперативный ввод'!A69)</f>
        <v/>
      </c>
      <c r="B69" s="172">
        <f>IF('Оперативный ввод'!B69="","",'Оперативный ввод'!B69)</f>
        <v/>
      </c>
      <c r="C69" s="270">
        <f>IF('Оперативный ввод'!C69="","",'Оперативный ввод'!C69)</f>
        <v/>
      </c>
      <c r="D69" s="270">
        <f>IF('Оперативный ввод'!D69="","",'Оперативный ввод'!D69)</f>
        <v/>
      </c>
      <c r="E69" s="271">
        <f>IF(OR(C69="",D69=""),"",D69-C69)</f>
        <v/>
      </c>
      <c r="F69" s="172">
        <f>IF('Оперативный ввод'!F69="","",'Оперативный ввод'!F69)</f>
        <v/>
      </c>
      <c r="G69" s="172">
        <f>IF('Оперативный ввод'!G69="","",'Оперативный ввод'!G69)</f>
        <v/>
      </c>
      <c r="H69" s="172">
        <f>IF('Оперативный ввод'!H69="","",'Оперативный ввод'!H69)</f>
        <v/>
      </c>
      <c r="I69" s="172">
        <f>IF('Оперативный ввод'!I69="","",'Оперативный ввод'!I69)</f>
        <v/>
      </c>
      <c r="J69" s="172">
        <f>IF('Оперативный ввод'!J69="","",'Оперативный ввод'!J69)</f>
        <v/>
      </c>
      <c r="K69" s="172">
        <f>IF('Оперативный ввод'!K69="","",'Оперативный ввод'!K69)</f>
        <v/>
      </c>
      <c r="L69" s="172">
        <f>IF('Оперативный ввод'!L69="","",'Оперативный ввод'!L69)</f>
        <v/>
      </c>
      <c r="M69" s="172">
        <f>IF('Оперативный ввод'!M69="","",'Оперативный ввод'!M69)</f>
        <v/>
      </c>
      <c r="N69" s="172">
        <f>IF('Оперативный ввод'!N69="","",'Оперативный ввод'!N69)</f>
        <v/>
      </c>
      <c r="O69" s="172">
        <f>IF('Оперативный ввод'!O69="","",'Оперативный ввод'!O69)</f>
        <v/>
      </c>
      <c r="P69" s="205">
        <f>IF(AND(A69="",B69=""),"",IF(AND(A69&lt;&gt;"",B69&lt;&gt;"",C69&lt;&gt;"",D69&lt;&gt;"",F69&lt;&gt;"",G69&lt;&gt;"",H69&lt;&gt;"",ISERROR(SEARCH("по паспорту",G69)),ISERROR(SEARCH("по паспорту",H69)),I69&lt;&gt;"",J69&lt;&gt;"",K69&lt;&gt;"",L69&lt;&gt;"",M69&lt;&gt;""),"ГОТОВО","НЕ ГОТОВО"))</f>
        <v/>
      </c>
      <c r="Q69" s="205">
        <f>IF(P69&lt;&gt;"ГОТОВО","", "Предварительное заключение: "&amp;A69&amp;", скв. "&amp;B69&amp;". МРП: "&amp;E69&amp;" сут. ГНО: "&amp;F69&amp;", типоразмер "&amp;G69&amp;", марка "&amp;H69&amp;". Событие: "&amp;I69&amp;". Признак: "&amp;J69&amp;". Узел: "&amp;K69&amp;". Предварительная причина: "&amp;L69&amp;". Основное осложнение: "&amp;M69&amp;IF(N69&lt;&gt;"","; сопутствующее: "&amp;N69,"")&amp;IF(O69&lt;&gt;"","; дополнительно: "&amp;O69,"")&amp;".")</f>
        <v/>
      </c>
      <c r="R69" s="172">
        <f>IF('Оперативный ввод'!P69="","",'Оперативный ввод'!P69)</f>
        <v/>
      </c>
      <c r="S69" s="172">
        <f>IF('Оперативный ввод'!Q69="","",'Оперативный ввод'!Q69)</f>
        <v/>
      </c>
      <c r="T69" s="172">
        <f>IF('Оперативный ввод'!R69="","",'Оперативный ввод'!R69)</f>
        <v/>
      </c>
      <c r="U69" s="172">
        <f>IF('Оперативный ввод'!S69="","",'Оперативный ввод'!S69)</f>
        <v/>
      </c>
      <c r="V69" s="172">
        <f>IF('Оперативный ввод'!T69="","",'Оперативный ввод'!T69)</f>
        <v/>
      </c>
      <c r="W69" s="172" t="n"/>
      <c r="X69" s="172" t="n"/>
      <c r="Y69" s="172" t="n"/>
      <c r="Z69" s="172" t="n"/>
      <c r="AA69" s="172">
        <f>IF('Оперативный ввод'!U69="","",'Оперативный ввод'!U69)</f>
        <v/>
      </c>
      <c r="AB69" s="172">
        <f>IF('Оперативный ввод'!V69="","",'Оперативный ввод'!V69)</f>
        <v/>
      </c>
      <c r="AC69" s="172">
        <f>IF('Оперативный ввод'!W69="","",'Оперативный ввод'!W69)</f>
        <v/>
      </c>
      <c r="BB69" s="172" t="n"/>
      <c r="BC69" s="172" t="n"/>
      <c r="BD69" s="205">
        <f>IF(AND(A69="",B69=""),"",IF(AND(P69="ГОТОВО",R69&lt;&gt;"",T69&lt;&gt;"",U69&lt;&gt;"",AA69&lt;&gt;"",AB69&lt;&gt;"",AC69&lt;&gt;"",BB69&lt;&gt;"",BC69&lt;&gt;""),"ГОТОВО","НЕ ГОТОВО"))</f>
        <v/>
      </c>
      <c r="BE69" s="205">
        <f>IF(BD69&lt;&gt;"ГОТОВО","","Полное заключение: "&amp;A69&amp;", скв. "&amp;B69&amp;". МРП: "&amp;E69&amp;" сут. ГНО: "&amp;F69&amp;"; причина: "&amp;U69&amp;"; категория: "&amp;V69&amp;"; решение комиссии: "&amp;BB69&amp;".")</f>
        <v/>
      </c>
      <c r="BF69" s="173">
        <f>IF('Оперативный ввод'!X69="","",'Оперативный ввод'!X69)</f>
        <v/>
      </c>
    </row>
    <row r="70">
      <c r="A70" s="171">
        <f>IF('Оперативный ввод'!A70="","",'Оперативный ввод'!A70)</f>
        <v/>
      </c>
      <c r="B70" s="172">
        <f>IF('Оперативный ввод'!B70="","",'Оперативный ввод'!B70)</f>
        <v/>
      </c>
      <c r="C70" s="270">
        <f>IF('Оперативный ввод'!C70="","",'Оперативный ввод'!C70)</f>
        <v/>
      </c>
      <c r="D70" s="270">
        <f>IF('Оперативный ввод'!D70="","",'Оперативный ввод'!D70)</f>
        <v/>
      </c>
      <c r="E70" s="271">
        <f>IF(OR(C70="",D70=""),"",D70-C70)</f>
        <v/>
      </c>
      <c r="F70" s="172">
        <f>IF('Оперативный ввод'!F70="","",'Оперативный ввод'!F70)</f>
        <v/>
      </c>
      <c r="G70" s="172">
        <f>IF('Оперативный ввод'!G70="","",'Оперативный ввод'!G70)</f>
        <v/>
      </c>
      <c r="H70" s="172">
        <f>IF('Оперативный ввод'!H70="","",'Оперативный ввод'!H70)</f>
        <v/>
      </c>
      <c r="I70" s="172">
        <f>IF('Оперативный ввод'!I70="","",'Оперативный ввод'!I70)</f>
        <v/>
      </c>
      <c r="J70" s="172">
        <f>IF('Оперативный ввод'!J70="","",'Оперативный ввод'!J70)</f>
        <v/>
      </c>
      <c r="K70" s="172">
        <f>IF('Оперативный ввод'!K70="","",'Оперативный ввод'!K70)</f>
        <v/>
      </c>
      <c r="L70" s="172">
        <f>IF('Оперативный ввод'!L70="","",'Оперативный ввод'!L70)</f>
        <v/>
      </c>
      <c r="M70" s="172">
        <f>IF('Оперативный ввод'!M70="","",'Оперативный ввод'!M70)</f>
        <v/>
      </c>
      <c r="N70" s="172">
        <f>IF('Оперативный ввод'!N70="","",'Оперативный ввод'!N70)</f>
        <v/>
      </c>
      <c r="O70" s="172">
        <f>IF('Оперативный ввод'!O70="","",'Оперативный ввод'!O70)</f>
        <v/>
      </c>
      <c r="P70" s="205">
        <f>IF(AND(A70="",B70=""),"",IF(AND(A70&lt;&gt;"",B70&lt;&gt;"",C70&lt;&gt;"",D70&lt;&gt;"",F70&lt;&gt;"",G70&lt;&gt;"",H70&lt;&gt;"",ISERROR(SEARCH("по паспорту",G70)),ISERROR(SEARCH("по паспорту",H70)),I70&lt;&gt;"",J70&lt;&gt;"",K70&lt;&gt;"",L70&lt;&gt;"",M70&lt;&gt;""),"ГОТОВО","НЕ ГОТОВО"))</f>
        <v/>
      </c>
      <c r="Q70" s="205">
        <f>IF(P70&lt;&gt;"ГОТОВО","", "Предварительное заключение: "&amp;A70&amp;", скв. "&amp;B70&amp;". МРП: "&amp;E70&amp;" сут. ГНО: "&amp;F70&amp;", типоразмер "&amp;G70&amp;", марка "&amp;H70&amp;". Событие: "&amp;I70&amp;". Признак: "&amp;J70&amp;". Узел: "&amp;K70&amp;". Предварительная причина: "&amp;L70&amp;". Основное осложнение: "&amp;M70&amp;IF(N70&lt;&gt;"","; сопутствующее: "&amp;N70,"")&amp;IF(O70&lt;&gt;"","; дополнительно: "&amp;O70,"")&amp;".")</f>
        <v/>
      </c>
      <c r="R70" s="172">
        <f>IF('Оперативный ввод'!P70="","",'Оперативный ввод'!P70)</f>
        <v/>
      </c>
      <c r="S70" s="172">
        <f>IF('Оперативный ввод'!Q70="","",'Оперативный ввод'!Q70)</f>
        <v/>
      </c>
      <c r="T70" s="172">
        <f>IF('Оперативный ввод'!R70="","",'Оперативный ввод'!R70)</f>
        <v/>
      </c>
      <c r="U70" s="172">
        <f>IF('Оперативный ввод'!S70="","",'Оперативный ввод'!S70)</f>
        <v/>
      </c>
      <c r="V70" s="172">
        <f>IF('Оперативный ввод'!T70="","",'Оперативный ввод'!T70)</f>
        <v/>
      </c>
      <c r="W70" s="172" t="n"/>
      <c r="X70" s="172" t="n"/>
      <c r="Y70" s="172" t="n"/>
      <c r="Z70" s="172" t="n"/>
      <c r="AA70" s="172">
        <f>IF('Оперативный ввод'!U70="","",'Оперативный ввод'!U70)</f>
        <v/>
      </c>
      <c r="AB70" s="172">
        <f>IF('Оперативный ввод'!V70="","",'Оперативный ввод'!V70)</f>
        <v/>
      </c>
      <c r="AC70" s="172">
        <f>IF('Оперативный ввод'!W70="","",'Оперативный ввод'!W70)</f>
        <v/>
      </c>
      <c r="BB70" s="172" t="n"/>
      <c r="BC70" s="172" t="n"/>
      <c r="BD70" s="205">
        <f>IF(AND(A70="",B70=""),"",IF(AND(P70="ГОТОВО",R70&lt;&gt;"",T70&lt;&gt;"",U70&lt;&gt;"",AA70&lt;&gt;"",AB70&lt;&gt;"",AC70&lt;&gt;"",BB70&lt;&gt;"",BC70&lt;&gt;""),"ГОТОВО","НЕ ГОТОВО"))</f>
        <v/>
      </c>
      <c r="BE70" s="205">
        <f>IF(BD70&lt;&gt;"ГОТОВО","","Полное заключение: "&amp;A70&amp;", скв. "&amp;B70&amp;". МРП: "&amp;E70&amp;" сут. ГНО: "&amp;F70&amp;"; причина: "&amp;U70&amp;"; категория: "&amp;V70&amp;"; решение комиссии: "&amp;BB70&amp;".")</f>
        <v/>
      </c>
      <c r="BF70" s="173">
        <f>IF('Оперативный ввод'!X70="","",'Оперативный ввод'!X70)</f>
        <v/>
      </c>
    </row>
    <row r="71">
      <c r="A71" s="171">
        <f>IF('Оперативный ввод'!A71="","",'Оперативный ввод'!A71)</f>
        <v/>
      </c>
      <c r="B71" s="172">
        <f>IF('Оперативный ввод'!B71="","",'Оперативный ввод'!B71)</f>
        <v/>
      </c>
      <c r="C71" s="270">
        <f>IF('Оперативный ввод'!C71="","",'Оперативный ввод'!C71)</f>
        <v/>
      </c>
      <c r="D71" s="270">
        <f>IF('Оперативный ввод'!D71="","",'Оперативный ввод'!D71)</f>
        <v/>
      </c>
      <c r="E71" s="271">
        <f>IF(OR(C71="",D71=""),"",D71-C71)</f>
        <v/>
      </c>
      <c r="F71" s="172">
        <f>IF('Оперативный ввод'!F71="","",'Оперативный ввод'!F71)</f>
        <v/>
      </c>
      <c r="G71" s="172">
        <f>IF('Оперативный ввод'!G71="","",'Оперативный ввод'!G71)</f>
        <v/>
      </c>
      <c r="H71" s="172">
        <f>IF('Оперативный ввод'!H71="","",'Оперативный ввод'!H71)</f>
        <v/>
      </c>
      <c r="I71" s="172">
        <f>IF('Оперативный ввод'!I71="","",'Оперативный ввод'!I71)</f>
        <v/>
      </c>
      <c r="J71" s="172">
        <f>IF('Оперативный ввод'!J71="","",'Оперативный ввод'!J71)</f>
        <v/>
      </c>
      <c r="K71" s="172">
        <f>IF('Оперативный ввод'!K71="","",'Оперативный ввод'!K71)</f>
        <v/>
      </c>
      <c r="L71" s="172">
        <f>IF('Оперативный ввод'!L71="","",'Оперативный ввод'!L71)</f>
        <v/>
      </c>
      <c r="M71" s="172">
        <f>IF('Оперативный ввод'!M71="","",'Оперативный ввод'!M71)</f>
        <v/>
      </c>
      <c r="N71" s="172">
        <f>IF('Оперативный ввод'!N71="","",'Оперативный ввод'!N71)</f>
        <v/>
      </c>
      <c r="O71" s="172">
        <f>IF('Оперативный ввод'!O71="","",'Оперативный ввод'!O71)</f>
        <v/>
      </c>
      <c r="P71" s="205">
        <f>IF(AND(A71="",B71=""),"",IF(AND(A71&lt;&gt;"",B71&lt;&gt;"",C71&lt;&gt;"",D71&lt;&gt;"",F71&lt;&gt;"",G71&lt;&gt;"",H71&lt;&gt;"",ISERROR(SEARCH("по паспорту",G71)),ISERROR(SEARCH("по паспорту",H71)),I71&lt;&gt;"",J71&lt;&gt;"",K71&lt;&gt;"",L71&lt;&gt;"",M71&lt;&gt;""),"ГОТОВО","НЕ ГОТОВО"))</f>
        <v/>
      </c>
      <c r="Q71" s="205">
        <f>IF(P71&lt;&gt;"ГОТОВО","", "Предварительное заключение: "&amp;A71&amp;", скв. "&amp;B71&amp;". МРП: "&amp;E71&amp;" сут. ГНО: "&amp;F71&amp;", типоразмер "&amp;G71&amp;", марка "&amp;H71&amp;". Событие: "&amp;I71&amp;". Признак: "&amp;J71&amp;". Узел: "&amp;K71&amp;". Предварительная причина: "&amp;L71&amp;". Основное осложнение: "&amp;M71&amp;IF(N71&lt;&gt;"","; сопутствующее: "&amp;N71,"")&amp;IF(O71&lt;&gt;"","; дополнительно: "&amp;O71,"")&amp;".")</f>
        <v/>
      </c>
      <c r="R71" s="172">
        <f>IF('Оперативный ввод'!P71="","",'Оперативный ввод'!P71)</f>
        <v/>
      </c>
      <c r="S71" s="172">
        <f>IF('Оперативный ввод'!Q71="","",'Оперативный ввод'!Q71)</f>
        <v/>
      </c>
      <c r="T71" s="172">
        <f>IF('Оперативный ввод'!R71="","",'Оперативный ввод'!R71)</f>
        <v/>
      </c>
      <c r="U71" s="172">
        <f>IF('Оперативный ввод'!S71="","",'Оперативный ввод'!S71)</f>
        <v/>
      </c>
      <c r="V71" s="172">
        <f>IF('Оперативный ввод'!T71="","",'Оперативный ввод'!T71)</f>
        <v/>
      </c>
      <c r="W71" s="172" t="n"/>
      <c r="X71" s="172" t="n"/>
      <c r="Y71" s="172" t="n"/>
      <c r="Z71" s="172" t="n"/>
      <c r="AA71" s="172">
        <f>IF('Оперативный ввод'!U71="","",'Оперативный ввод'!U71)</f>
        <v/>
      </c>
      <c r="AB71" s="172">
        <f>IF('Оперативный ввод'!V71="","",'Оперативный ввод'!V71)</f>
        <v/>
      </c>
      <c r="AC71" s="172">
        <f>IF('Оперативный ввод'!W71="","",'Оперативный ввод'!W71)</f>
        <v/>
      </c>
      <c r="BB71" s="172" t="n"/>
      <c r="BC71" s="172" t="n"/>
      <c r="BD71" s="205">
        <f>IF(AND(A71="",B71=""),"",IF(AND(P71="ГОТОВО",R71&lt;&gt;"",T71&lt;&gt;"",U71&lt;&gt;"",AA71&lt;&gt;"",AB71&lt;&gt;"",AC71&lt;&gt;"",BB71&lt;&gt;"",BC71&lt;&gt;""),"ГОТОВО","НЕ ГОТОВО"))</f>
        <v/>
      </c>
      <c r="BE71" s="205">
        <f>IF(BD71&lt;&gt;"ГОТОВО","","Полное заключение: "&amp;A71&amp;", скв. "&amp;B71&amp;". МРП: "&amp;E71&amp;" сут. ГНО: "&amp;F71&amp;"; причина: "&amp;U71&amp;"; категория: "&amp;V71&amp;"; решение комиссии: "&amp;BB71&amp;".")</f>
        <v/>
      </c>
      <c r="BF71" s="173">
        <f>IF('Оперативный ввод'!X71="","",'Оперативный ввод'!X71)</f>
        <v/>
      </c>
    </row>
    <row r="72">
      <c r="A72" s="171">
        <f>IF('Оперативный ввод'!A72="","",'Оперативный ввод'!A72)</f>
        <v/>
      </c>
      <c r="B72" s="172">
        <f>IF('Оперативный ввод'!B72="","",'Оперативный ввод'!B72)</f>
        <v/>
      </c>
      <c r="C72" s="270">
        <f>IF('Оперативный ввод'!C72="","",'Оперативный ввод'!C72)</f>
        <v/>
      </c>
      <c r="D72" s="270">
        <f>IF('Оперативный ввод'!D72="","",'Оперативный ввод'!D72)</f>
        <v/>
      </c>
      <c r="E72" s="271">
        <f>IF(OR(C72="",D72=""),"",D72-C72)</f>
        <v/>
      </c>
      <c r="F72" s="172">
        <f>IF('Оперативный ввод'!F72="","",'Оперативный ввод'!F72)</f>
        <v/>
      </c>
      <c r="G72" s="172">
        <f>IF('Оперативный ввод'!G72="","",'Оперативный ввод'!G72)</f>
        <v/>
      </c>
      <c r="H72" s="172">
        <f>IF('Оперативный ввод'!H72="","",'Оперативный ввод'!H72)</f>
        <v/>
      </c>
      <c r="I72" s="172">
        <f>IF('Оперативный ввод'!I72="","",'Оперативный ввод'!I72)</f>
        <v/>
      </c>
      <c r="J72" s="172">
        <f>IF('Оперативный ввод'!J72="","",'Оперативный ввод'!J72)</f>
        <v/>
      </c>
      <c r="K72" s="172">
        <f>IF('Оперативный ввод'!K72="","",'Оперативный ввод'!K72)</f>
        <v/>
      </c>
      <c r="L72" s="172">
        <f>IF('Оперативный ввод'!L72="","",'Оперативный ввод'!L72)</f>
        <v/>
      </c>
      <c r="M72" s="172">
        <f>IF('Оперативный ввод'!M72="","",'Оперативный ввод'!M72)</f>
        <v/>
      </c>
      <c r="N72" s="172">
        <f>IF('Оперативный ввод'!N72="","",'Оперативный ввод'!N72)</f>
        <v/>
      </c>
      <c r="O72" s="172">
        <f>IF('Оперативный ввод'!O72="","",'Оперативный ввод'!O72)</f>
        <v/>
      </c>
      <c r="P72" s="205">
        <f>IF(AND(A72="",B72=""),"",IF(AND(A72&lt;&gt;"",B72&lt;&gt;"",C72&lt;&gt;"",D72&lt;&gt;"",F72&lt;&gt;"",G72&lt;&gt;"",H72&lt;&gt;"",ISERROR(SEARCH("по паспорту",G72)),ISERROR(SEARCH("по паспорту",H72)),I72&lt;&gt;"",J72&lt;&gt;"",K72&lt;&gt;"",L72&lt;&gt;"",M72&lt;&gt;""),"ГОТОВО","НЕ ГОТОВО"))</f>
        <v/>
      </c>
      <c r="Q72" s="205">
        <f>IF(P72&lt;&gt;"ГОТОВО","", "Предварительное заключение: "&amp;A72&amp;", скв. "&amp;B72&amp;". МРП: "&amp;E72&amp;" сут. ГНО: "&amp;F72&amp;", типоразмер "&amp;G72&amp;", марка "&amp;H72&amp;". Событие: "&amp;I72&amp;". Признак: "&amp;J72&amp;". Узел: "&amp;K72&amp;". Предварительная причина: "&amp;L72&amp;". Основное осложнение: "&amp;M72&amp;IF(N72&lt;&gt;"","; сопутствующее: "&amp;N72,"")&amp;IF(O72&lt;&gt;"","; дополнительно: "&amp;O72,"")&amp;".")</f>
        <v/>
      </c>
      <c r="R72" s="172">
        <f>IF('Оперативный ввод'!P72="","",'Оперативный ввод'!P72)</f>
        <v/>
      </c>
      <c r="S72" s="172">
        <f>IF('Оперативный ввод'!Q72="","",'Оперативный ввод'!Q72)</f>
        <v/>
      </c>
      <c r="T72" s="172">
        <f>IF('Оперативный ввод'!R72="","",'Оперативный ввод'!R72)</f>
        <v/>
      </c>
      <c r="U72" s="172">
        <f>IF('Оперативный ввод'!S72="","",'Оперативный ввод'!S72)</f>
        <v/>
      </c>
      <c r="V72" s="172">
        <f>IF('Оперативный ввод'!T72="","",'Оперативный ввод'!T72)</f>
        <v/>
      </c>
      <c r="W72" s="172" t="n"/>
      <c r="X72" s="172" t="n"/>
      <c r="Y72" s="172" t="n"/>
      <c r="Z72" s="172" t="n"/>
      <c r="AA72" s="172">
        <f>IF('Оперативный ввод'!U72="","",'Оперативный ввод'!U72)</f>
        <v/>
      </c>
      <c r="AB72" s="172">
        <f>IF('Оперативный ввод'!V72="","",'Оперативный ввод'!V72)</f>
        <v/>
      </c>
      <c r="AC72" s="172">
        <f>IF('Оперативный ввод'!W72="","",'Оперативный ввод'!W72)</f>
        <v/>
      </c>
      <c r="BB72" s="172" t="n"/>
      <c r="BC72" s="172" t="n"/>
      <c r="BD72" s="205">
        <f>IF(AND(A72="",B72=""),"",IF(AND(P72="ГОТОВО",R72&lt;&gt;"",T72&lt;&gt;"",U72&lt;&gt;"",AA72&lt;&gt;"",AB72&lt;&gt;"",AC72&lt;&gt;"",BB72&lt;&gt;"",BC72&lt;&gt;""),"ГОТОВО","НЕ ГОТОВО"))</f>
        <v/>
      </c>
      <c r="BE72" s="205">
        <f>IF(BD72&lt;&gt;"ГОТОВО","","Полное заключение: "&amp;A72&amp;", скв. "&amp;B72&amp;". МРП: "&amp;E72&amp;" сут. ГНО: "&amp;F72&amp;"; причина: "&amp;U72&amp;"; категория: "&amp;V72&amp;"; решение комиссии: "&amp;BB72&amp;".")</f>
        <v/>
      </c>
      <c r="BF72" s="173">
        <f>IF('Оперативный ввод'!X72="","",'Оперативный ввод'!X72)</f>
        <v/>
      </c>
    </row>
    <row r="73">
      <c r="A73" s="171">
        <f>IF('Оперативный ввод'!A73="","",'Оперативный ввод'!A73)</f>
        <v/>
      </c>
      <c r="B73" s="172">
        <f>IF('Оперативный ввод'!B73="","",'Оперативный ввод'!B73)</f>
        <v/>
      </c>
      <c r="C73" s="270">
        <f>IF('Оперативный ввод'!C73="","",'Оперативный ввод'!C73)</f>
        <v/>
      </c>
      <c r="D73" s="270">
        <f>IF('Оперативный ввод'!D73="","",'Оперативный ввод'!D73)</f>
        <v/>
      </c>
      <c r="E73" s="271">
        <f>IF(OR(C73="",D73=""),"",D73-C73)</f>
        <v/>
      </c>
      <c r="F73" s="172">
        <f>IF('Оперативный ввод'!F73="","",'Оперативный ввод'!F73)</f>
        <v/>
      </c>
      <c r="G73" s="172">
        <f>IF('Оперативный ввод'!G73="","",'Оперативный ввод'!G73)</f>
        <v/>
      </c>
      <c r="H73" s="172">
        <f>IF('Оперативный ввод'!H73="","",'Оперативный ввод'!H73)</f>
        <v/>
      </c>
      <c r="I73" s="172">
        <f>IF('Оперативный ввод'!I73="","",'Оперативный ввод'!I73)</f>
        <v/>
      </c>
      <c r="J73" s="172">
        <f>IF('Оперативный ввод'!J73="","",'Оперативный ввод'!J73)</f>
        <v/>
      </c>
      <c r="K73" s="172">
        <f>IF('Оперативный ввод'!K73="","",'Оперативный ввод'!K73)</f>
        <v/>
      </c>
      <c r="L73" s="172">
        <f>IF('Оперативный ввод'!L73="","",'Оперативный ввод'!L73)</f>
        <v/>
      </c>
      <c r="M73" s="172">
        <f>IF('Оперативный ввод'!M73="","",'Оперативный ввод'!M73)</f>
        <v/>
      </c>
      <c r="N73" s="172">
        <f>IF('Оперативный ввод'!N73="","",'Оперативный ввод'!N73)</f>
        <v/>
      </c>
      <c r="O73" s="172">
        <f>IF('Оперативный ввод'!O73="","",'Оперативный ввод'!O73)</f>
        <v/>
      </c>
      <c r="P73" s="205">
        <f>IF(AND(A73="",B73=""),"",IF(AND(A73&lt;&gt;"",B73&lt;&gt;"",C73&lt;&gt;"",D73&lt;&gt;"",F73&lt;&gt;"",G73&lt;&gt;"",H73&lt;&gt;"",ISERROR(SEARCH("по паспорту",G73)),ISERROR(SEARCH("по паспорту",H73)),I73&lt;&gt;"",J73&lt;&gt;"",K73&lt;&gt;"",L73&lt;&gt;"",M73&lt;&gt;""),"ГОТОВО","НЕ ГОТОВО"))</f>
        <v/>
      </c>
      <c r="Q73" s="205">
        <f>IF(P73&lt;&gt;"ГОТОВО","", "Предварительное заключение: "&amp;A73&amp;", скв. "&amp;B73&amp;". МРП: "&amp;E73&amp;" сут. ГНО: "&amp;F73&amp;", типоразмер "&amp;G73&amp;", марка "&amp;H73&amp;". Событие: "&amp;I73&amp;". Признак: "&amp;J73&amp;". Узел: "&amp;K73&amp;". Предварительная причина: "&amp;L73&amp;". Основное осложнение: "&amp;M73&amp;IF(N73&lt;&gt;"","; сопутствующее: "&amp;N73,"")&amp;IF(O73&lt;&gt;"","; дополнительно: "&amp;O73,"")&amp;".")</f>
        <v/>
      </c>
      <c r="R73" s="172">
        <f>IF('Оперативный ввод'!P73="","",'Оперативный ввод'!P73)</f>
        <v/>
      </c>
      <c r="S73" s="172">
        <f>IF('Оперативный ввод'!Q73="","",'Оперативный ввод'!Q73)</f>
        <v/>
      </c>
      <c r="T73" s="172">
        <f>IF('Оперативный ввод'!R73="","",'Оперативный ввод'!R73)</f>
        <v/>
      </c>
      <c r="U73" s="172">
        <f>IF('Оперативный ввод'!S73="","",'Оперативный ввод'!S73)</f>
        <v/>
      </c>
      <c r="V73" s="172">
        <f>IF('Оперативный ввод'!T73="","",'Оперативный ввод'!T73)</f>
        <v/>
      </c>
      <c r="W73" s="172" t="n"/>
      <c r="X73" s="172" t="n"/>
      <c r="Y73" s="172" t="n"/>
      <c r="Z73" s="172" t="n"/>
      <c r="AA73" s="172">
        <f>IF('Оперативный ввод'!U73="","",'Оперативный ввод'!U73)</f>
        <v/>
      </c>
      <c r="AB73" s="172">
        <f>IF('Оперативный ввод'!V73="","",'Оперативный ввод'!V73)</f>
        <v/>
      </c>
      <c r="AC73" s="172">
        <f>IF('Оперативный ввод'!W73="","",'Оперативный ввод'!W73)</f>
        <v/>
      </c>
      <c r="BB73" s="172" t="n"/>
      <c r="BC73" s="172" t="n"/>
      <c r="BD73" s="205">
        <f>IF(AND(A73="",B73=""),"",IF(AND(P73="ГОТОВО",R73&lt;&gt;"",T73&lt;&gt;"",U73&lt;&gt;"",AA73&lt;&gt;"",AB73&lt;&gt;"",AC73&lt;&gt;"",BB73&lt;&gt;"",BC73&lt;&gt;""),"ГОТОВО","НЕ ГОТОВО"))</f>
        <v/>
      </c>
      <c r="BE73" s="205">
        <f>IF(BD73&lt;&gt;"ГОТОВО","","Полное заключение: "&amp;A73&amp;", скв. "&amp;B73&amp;". МРП: "&amp;E73&amp;" сут. ГНО: "&amp;F73&amp;"; причина: "&amp;U73&amp;"; категория: "&amp;V73&amp;"; решение комиссии: "&amp;BB73&amp;".")</f>
        <v/>
      </c>
      <c r="BF73" s="173">
        <f>IF('Оперативный ввод'!X73="","",'Оперативный ввод'!X73)</f>
        <v/>
      </c>
    </row>
    <row r="74">
      <c r="A74" s="171">
        <f>IF('Оперативный ввод'!A74="","",'Оперативный ввод'!A74)</f>
        <v/>
      </c>
      <c r="B74" s="172">
        <f>IF('Оперативный ввод'!B74="","",'Оперативный ввод'!B74)</f>
        <v/>
      </c>
      <c r="C74" s="270">
        <f>IF('Оперативный ввод'!C74="","",'Оперативный ввод'!C74)</f>
        <v/>
      </c>
      <c r="D74" s="270">
        <f>IF('Оперативный ввод'!D74="","",'Оперативный ввод'!D74)</f>
        <v/>
      </c>
      <c r="E74" s="271">
        <f>IF(OR(C74="",D74=""),"",D74-C74)</f>
        <v/>
      </c>
      <c r="F74" s="172">
        <f>IF('Оперативный ввод'!F74="","",'Оперативный ввод'!F74)</f>
        <v/>
      </c>
      <c r="G74" s="172">
        <f>IF('Оперативный ввод'!G74="","",'Оперативный ввод'!G74)</f>
        <v/>
      </c>
      <c r="H74" s="172">
        <f>IF('Оперативный ввод'!H74="","",'Оперативный ввод'!H74)</f>
        <v/>
      </c>
      <c r="I74" s="172">
        <f>IF('Оперативный ввод'!I74="","",'Оперативный ввод'!I74)</f>
        <v/>
      </c>
      <c r="J74" s="172">
        <f>IF('Оперативный ввод'!J74="","",'Оперативный ввод'!J74)</f>
        <v/>
      </c>
      <c r="K74" s="172">
        <f>IF('Оперативный ввод'!K74="","",'Оперативный ввод'!K74)</f>
        <v/>
      </c>
      <c r="L74" s="172">
        <f>IF('Оперативный ввод'!L74="","",'Оперативный ввод'!L74)</f>
        <v/>
      </c>
      <c r="M74" s="172">
        <f>IF('Оперативный ввод'!M74="","",'Оперативный ввод'!M74)</f>
        <v/>
      </c>
      <c r="N74" s="172">
        <f>IF('Оперативный ввод'!N74="","",'Оперативный ввод'!N74)</f>
        <v/>
      </c>
      <c r="O74" s="172">
        <f>IF('Оперативный ввод'!O74="","",'Оперативный ввод'!O74)</f>
        <v/>
      </c>
      <c r="P74" s="205">
        <f>IF(AND(A74="",B74=""),"",IF(AND(A74&lt;&gt;"",B74&lt;&gt;"",C74&lt;&gt;"",D74&lt;&gt;"",F74&lt;&gt;"",G74&lt;&gt;"",H74&lt;&gt;"",ISERROR(SEARCH("по паспорту",G74)),ISERROR(SEARCH("по паспорту",H74)),I74&lt;&gt;"",J74&lt;&gt;"",K74&lt;&gt;"",L74&lt;&gt;"",M74&lt;&gt;""),"ГОТОВО","НЕ ГОТОВО"))</f>
        <v/>
      </c>
      <c r="Q74" s="205">
        <f>IF(P74&lt;&gt;"ГОТОВО","", "Предварительное заключение: "&amp;A74&amp;", скв. "&amp;B74&amp;". МРП: "&amp;E74&amp;" сут. ГНО: "&amp;F74&amp;", типоразмер "&amp;G74&amp;", марка "&amp;H74&amp;". Событие: "&amp;I74&amp;". Признак: "&amp;J74&amp;". Узел: "&amp;K74&amp;". Предварительная причина: "&amp;L74&amp;". Основное осложнение: "&amp;M74&amp;IF(N74&lt;&gt;"","; сопутствующее: "&amp;N74,"")&amp;IF(O74&lt;&gt;"","; дополнительно: "&amp;O74,"")&amp;".")</f>
        <v/>
      </c>
      <c r="R74" s="172">
        <f>IF('Оперативный ввод'!P74="","",'Оперативный ввод'!P74)</f>
        <v/>
      </c>
      <c r="S74" s="172">
        <f>IF('Оперативный ввод'!Q74="","",'Оперативный ввод'!Q74)</f>
        <v/>
      </c>
      <c r="T74" s="172">
        <f>IF('Оперативный ввод'!R74="","",'Оперативный ввод'!R74)</f>
        <v/>
      </c>
      <c r="U74" s="172">
        <f>IF('Оперативный ввод'!S74="","",'Оперативный ввод'!S74)</f>
        <v/>
      </c>
      <c r="V74" s="172">
        <f>IF('Оперативный ввод'!T74="","",'Оперативный ввод'!T74)</f>
        <v/>
      </c>
      <c r="W74" s="172" t="n"/>
      <c r="X74" s="172" t="n"/>
      <c r="Y74" s="172" t="n"/>
      <c r="Z74" s="172" t="n"/>
      <c r="AA74" s="172">
        <f>IF('Оперативный ввод'!U74="","",'Оперативный ввод'!U74)</f>
        <v/>
      </c>
      <c r="AB74" s="172">
        <f>IF('Оперативный ввод'!V74="","",'Оперативный ввод'!V74)</f>
        <v/>
      </c>
      <c r="AC74" s="172">
        <f>IF('Оперативный ввод'!W74="","",'Оперативный ввод'!W74)</f>
        <v/>
      </c>
      <c r="BB74" s="172" t="n"/>
      <c r="BC74" s="172" t="n"/>
      <c r="BD74" s="205">
        <f>IF(AND(A74="",B74=""),"",IF(AND(P74="ГОТОВО",R74&lt;&gt;"",T74&lt;&gt;"",U74&lt;&gt;"",AA74&lt;&gt;"",AB74&lt;&gt;"",AC74&lt;&gt;"",BB74&lt;&gt;"",BC74&lt;&gt;""),"ГОТОВО","НЕ ГОТОВО"))</f>
        <v/>
      </c>
      <c r="BE74" s="205">
        <f>IF(BD74&lt;&gt;"ГОТОВО","","Полное заключение: "&amp;A74&amp;", скв. "&amp;B74&amp;". МРП: "&amp;E74&amp;" сут. ГНО: "&amp;F74&amp;"; причина: "&amp;U74&amp;"; категория: "&amp;V74&amp;"; решение комиссии: "&amp;BB74&amp;".")</f>
        <v/>
      </c>
      <c r="BF74" s="173">
        <f>IF('Оперативный ввод'!X74="","",'Оперативный ввод'!X74)</f>
        <v/>
      </c>
    </row>
    <row r="75">
      <c r="A75" s="171">
        <f>IF('Оперативный ввод'!A75="","",'Оперативный ввод'!A75)</f>
        <v/>
      </c>
      <c r="B75" s="172">
        <f>IF('Оперативный ввод'!B75="","",'Оперативный ввод'!B75)</f>
        <v/>
      </c>
      <c r="C75" s="270">
        <f>IF('Оперативный ввод'!C75="","",'Оперативный ввод'!C75)</f>
        <v/>
      </c>
      <c r="D75" s="270">
        <f>IF('Оперативный ввод'!D75="","",'Оперативный ввод'!D75)</f>
        <v/>
      </c>
      <c r="E75" s="271">
        <f>IF(OR(C75="",D75=""),"",D75-C75)</f>
        <v/>
      </c>
      <c r="F75" s="172">
        <f>IF('Оперативный ввод'!F75="","",'Оперативный ввод'!F75)</f>
        <v/>
      </c>
      <c r="G75" s="172">
        <f>IF('Оперативный ввод'!G75="","",'Оперативный ввод'!G75)</f>
        <v/>
      </c>
      <c r="H75" s="172">
        <f>IF('Оперативный ввод'!H75="","",'Оперативный ввод'!H75)</f>
        <v/>
      </c>
      <c r="I75" s="172">
        <f>IF('Оперативный ввод'!I75="","",'Оперативный ввод'!I75)</f>
        <v/>
      </c>
      <c r="J75" s="172">
        <f>IF('Оперативный ввод'!J75="","",'Оперативный ввод'!J75)</f>
        <v/>
      </c>
      <c r="K75" s="172">
        <f>IF('Оперативный ввод'!K75="","",'Оперативный ввод'!K75)</f>
        <v/>
      </c>
      <c r="L75" s="172">
        <f>IF('Оперативный ввод'!L75="","",'Оперативный ввод'!L75)</f>
        <v/>
      </c>
      <c r="M75" s="172">
        <f>IF('Оперативный ввод'!M75="","",'Оперативный ввод'!M75)</f>
        <v/>
      </c>
      <c r="N75" s="172">
        <f>IF('Оперативный ввод'!N75="","",'Оперативный ввод'!N75)</f>
        <v/>
      </c>
      <c r="O75" s="172">
        <f>IF('Оперативный ввод'!O75="","",'Оперативный ввод'!O75)</f>
        <v/>
      </c>
      <c r="P75" s="205">
        <f>IF(AND(A75="",B75=""),"",IF(AND(A75&lt;&gt;"",B75&lt;&gt;"",C75&lt;&gt;"",D75&lt;&gt;"",F75&lt;&gt;"",G75&lt;&gt;"",H75&lt;&gt;"",ISERROR(SEARCH("по паспорту",G75)),ISERROR(SEARCH("по паспорту",H75)),I75&lt;&gt;"",J75&lt;&gt;"",K75&lt;&gt;"",L75&lt;&gt;"",M75&lt;&gt;""),"ГОТОВО","НЕ ГОТОВО"))</f>
        <v/>
      </c>
      <c r="Q75" s="205">
        <f>IF(P75&lt;&gt;"ГОТОВО","", "Предварительное заключение: "&amp;A75&amp;", скв. "&amp;B75&amp;". МРП: "&amp;E75&amp;" сут. ГНО: "&amp;F75&amp;", типоразмер "&amp;G75&amp;", марка "&amp;H75&amp;". Событие: "&amp;I75&amp;". Признак: "&amp;J75&amp;". Узел: "&amp;K75&amp;". Предварительная причина: "&amp;L75&amp;". Основное осложнение: "&amp;M75&amp;IF(N75&lt;&gt;"","; сопутствующее: "&amp;N75,"")&amp;IF(O75&lt;&gt;"","; дополнительно: "&amp;O75,"")&amp;".")</f>
        <v/>
      </c>
      <c r="R75" s="172">
        <f>IF('Оперативный ввод'!P75="","",'Оперативный ввод'!P75)</f>
        <v/>
      </c>
      <c r="S75" s="172">
        <f>IF('Оперативный ввод'!Q75="","",'Оперативный ввод'!Q75)</f>
        <v/>
      </c>
      <c r="T75" s="172">
        <f>IF('Оперативный ввод'!R75="","",'Оперативный ввод'!R75)</f>
        <v/>
      </c>
      <c r="U75" s="172">
        <f>IF('Оперативный ввод'!S75="","",'Оперативный ввод'!S75)</f>
        <v/>
      </c>
      <c r="V75" s="172">
        <f>IF('Оперативный ввод'!T75="","",'Оперативный ввод'!T75)</f>
        <v/>
      </c>
      <c r="W75" s="172" t="n"/>
      <c r="X75" s="172" t="n"/>
      <c r="Y75" s="172" t="n"/>
      <c r="Z75" s="172" t="n"/>
      <c r="AA75" s="172">
        <f>IF('Оперативный ввод'!U75="","",'Оперативный ввод'!U75)</f>
        <v/>
      </c>
      <c r="AB75" s="172">
        <f>IF('Оперативный ввод'!V75="","",'Оперативный ввод'!V75)</f>
        <v/>
      </c>
      <c r="AC75" s="172">
        <f>IF('Оперативный ввод'!W75="","",'Оперативный ввод'!W75)</f>
        <v/>
      </c>
      <c r="BB75" s="172" t="n"/>
      <c r="BC75" s="172" t="n"/>
      <c r="BD75" s="205">
        <f>IF(AND(A75="",B75=""),"",IF(AND(P75="ГОТОВО",R75&lt;&gt;"",T75&lt;&gt;"",U75&lt;&gt;"",AA75&lt;&gt;"",AB75&lt;&gt;"",AC75&lt;&gt;"",BB75&lt;&gt;"",BC75&lt;&gt;""),"ГОТОВО","НЕ ГОТОВО"))</f>
        <v/>
      </c>
      <c r="BE75" s="205">
        <f>IF(BD75&lt;&gt;"ГОТОВО","","Полное заключение: "&amp;A75&amp;", скв. "&amp;B75&amp;". МРП: "&amp;E75&amp;" сут. ГНО: "&amp;F75&amp;"; причина: "&amp;U75&amp;"; категория: "&amp;V75&amp;"; решение комиссии: "&amp;BB75&amp;".")</f>
        <v/>
      </c>
      <c r="BF75" s="173">
        <f>IF('Оперативный ввод'!X75="","",'Оперативный ввод'!X75)</f>
        <v/>
      </c>
    </row>
    <row r="76">
      <c r="A76" s="171">
        <f>IF('Оперативный ввод'!A76="","",'Оперативный ввод'!A76)</f>
        <v/>
      </c>
      <c r="B76" s="172">
        <f>IF('Оперативный ввод'!B76="","",'Оперативный ввод'!B76)</f>
        <v/>
      </c>
      <c r="C76" s="270">
        <f>IF('Оперативный ввод'!C76="","",'Оперативный ввод'!C76)</f>
        <v/>
      </c>
      <c r="D76" s="270">
        <f>IF('Оперативный ввод'!D76="","",'Оперативный ввод'!D76)</f>
        <v/>
      </c>
      <c r="E76" s="271">
        <f>IF(OR(C76="",D76=""),"",D76-C76)</f>
        <v/>
      </c>
      <c r="F76" s="172">
        <f>IF('Оперативный ввод'!F76="","",'Оперативный ввод'!F76)</f>
        <v/>
      </c>
      <c r="G76" s="172">
        <f>IF('Оперативный ввод'!G76="","",'Оперативный ввод'!G76)</f>
        <v/>
      </c>
      <c r="H76" s="172">
        <f>IF('Оперативный ввод'!H76="","",'Оперативный ввод'!H76)</f>
        <v/>
      </c>
      <c r="I76" s="172">
        <f>IF('Оперативный ввод'!I76="","",'Оперативный ввод'!I76)</f>
        <v/>
      </c>
      <c r="J76" s="172">
        <f>IF('Оперативный ввод'!J76="","",'Оперативный ввод'!J76)</f>
        <v/>
      </c>
      <c r="K76" s="172">
        <f>IF('Оперативный ввод'!K76="","",'Оперативный ввод'!K76)</f>
        <v/>
      </c>
      <c r="L76" s="172">
        <f>IF('Оперативный ввод'!L76="","",'Оперативный ввод'!L76)</f>
        <v/>
      </c>
      <c r="M76" s="172">
        <f>IF('Оперативный ввод'!M76="","",'Оперативный ввод'!M76)</f>
        <v/>
      </c>
      <c r="N76" s="172">
        <f>IF('Оперативный ввод'!N76="","",'Оперативный ввод'!N76)</f>
        <v/>
      </c>
      <c r="O76" s="172">
        <f>IF('Оперативный ввод'!O76="","",'Оперативный ввод'!O76)</f>
        <v/>
      </c>
      <c r="P76" s="205">
        <f>IF(AND(A76="",B76=""),"",IF(AND(A76&lt;&gt;"",B76&lt;&gt;"",C76&lt;&gt;"",D76&lt;&gt;"",F76&lt;&gt;"",G76&lt;&gt;"",H76&lt;&gt;"",ISERROR(SEARCH("по паспорту",G76)),ISERROR(SEARCH("по паспорту",H76)),I76&lt;&gt;"",J76&lt;&gt;"",K76&lt;&gt;"",L76&lt;&gt;"",M76&lt;&gt;""),"ГОТОВО","НЕ ГОТОВО"))</f>
        <v/>
      </c>
      <c r="Q76" s="205">
        <f>IF(P76&lt;&gt;"ГОТОВО","", "Предварительное заключение: "&amp;A76&amp;", скв. "&amp;B76&amp;". МРП: "&amp;E76&amp;" сут. ГНО: "&amp;F76&amp;", типоразмер "&amp;G76&amp;", марка "&amp;H76&amp;". Событие: "&amp;I76&amp;". Признак: "&amp;J76&amp;". Узел: "&amp;K76&amp;". Предварительная причина: "&amp;L76&amp;". Основное осложнение: "&amp;M76&amp;IF(N76&lt;&gt;"","; сопутствующее: "&amp;N76,"")&amp;IF(O76&lt;&gt;"","; дополнительно: "&amp;O76,"")&amp;".")</f>
        <v/>
      </c>
      <c r="R76" s="172">
        <f>IF('Оперативный ввод'!P76="","",'Оперативный ввод'!P76)</f>
        <v/>
      </c>
      <c r="S76" s="172">
        <f>IF('Оперативный ввод'!Q76="","",'Оперативный ввод'!Q76)</f>
        <v/>
      </c>
      <c r="T76" s="172">
        <f>IF('Оперативный ввод'!R76="","",'Оперативный ввод'!R76)</f>
        <v/>
      </c>
      <c r="U76" s="172">
        <f>IF('Оперативный ввод'!S76="","",'Оперативный ввод'!S76)</f>
        <v/>
      </c>
      <c r="V76" s="172">
        <f>IF('Оперативный ввод'!T76="","",'Оперативный ввод'!T76)</f>
        <v/>
      </c>
      <c r="W76" s="172" t="n"/>
      <c r="X76" s="172" t="n"/>
      <c r="Y76" s="172" t="n"/>
      <c r="Z76" s="172" t="n"/>
      <c r="AA76" s="172">
        <f>IF('Оперативный ввод'!U76="","",'Оперативный ввод'!U76)</f>
        <v/>
      </c>
      <c r="AB76" s="172">
        <f>IF('Оперативный ввод'!V76="","",'Оперативный ввод'!V76)</f>
        <v/>
      </c>
      <c r="AC76" s="172">
        <f>IF('Оперативный ввод'!W76="","",'Оперативный ввод'!W76)</f>
        <v/>
      </c>
      <c r="BB76" s="172" t="n"/>
      <c r="BC76" s="172" t="n"/>
      <c r="BD76" s="205">
        <f>IF(AND(A76="",B76=""),"",IF(AND(P76="ГОТОВО",R76&lt;&gt;"",T76&lt;&gt;"",U76&lt;&gt;"",AA76&lt;&gt;"",AB76&lt;&gt;"",AC76&lt;&gt;"",BB76&lt;&gt;"",BC76&lt;&gt;""),"ГОТОВО","НЕ ГОТОВО"))</f>
        <v/>
      </c>
      <c r="BE76" s="205">
        <f>IF(BD76&lt;&gt;"ГОТОВО","","Полное заключение: "&amp;A76&amp;", скв. "&amp;B76&amp;". МРП: "&amp;E76&amp;" сут. ГНО: "&amp;F76&amp;"; причина: "&amp;U76&amp;"; категория: "&amp;V76&amp;"; решение комиссии: "&amp;BB76&amp;".")</f>
        <v/>
      </c>
      <c r="BF76" s="173">
        <f>IF('Оперативный ввод'!X76="","",'Оперативный ввод'!X76)</f>
        <v/>
      </c>
    </row>
    <row r="77">
      <c r="A77" s="171">
        <f>IF('Оперативный ввод'!A77="","",'Оперативный ввод'!A77)</f>
        <v/>
      </c>
      <c r="B77" s="172">
        <f>IF('Оперативный ввод'!B77="","",'Оперативный ввод'!B77)</f>
        <v/>
      </c>
      <c r="C77" s="270">
        <f>IF('Оперативный ввод'!C77="","",'Оперативный ввод'!C77)</f>
        <v/>
      </c>
      <c r="D77" s="270">
        <f>IF('Оперативный ввод'!D77="","",'Оперативный ввод'!D77)</f>
        <v/>
      </c>
      <c r="E77" s="271">
        <f>IF(OR(C77="",D77=""),"",D77-C77)</f>
        <v/>
      </c>
      <c r="F77" s="172">
        <f>IF('Оперативный ввод'!F77="","",'Оперативный ввод'!F77)</f>
        <v/>
      </c>
      <c r="G77" s="172">
        <f>IF('Оперативный ввод'!G77="","",'Оперативный ввод'!G77)</f>
        <v/>
      </c>
      <c r="H77" s="172">
        <f>IF('Оперативный ввод'!H77="","",'Оперативный ввод'!H77)</f>
        <v/>
      </c>
      <c r="I77" s="172">
        <f>IF('Оперативный ввод'!I77="","",'Оперативный ввод'!I77)</f>
        <v/>
      </c>
      <c r="J77" s="172">
        <f>IF('Оперативный ввод'!J77="","",'Оперативный ввод'!J77)</f>
        <v/>
      </c>
      <c r="K77" s="172">
        <f>IF('Оперативный ввод'!K77="","",'Оперативный ввод'!K77)</f>
        <v/>
      </c>
      <c r="L77" s="172">
        <f>IF('Оперативный ввод'!L77="","",'Оперативный ввод'!L77)</f>
        <v/>
      </c>
      <c r="M77" s="172">
        <f>IF('Оперативный ввод'!M77="","",'Оперативный ввод'!M77)</f>
        <v/>
      </c>
      <c r="N77" s="172">
        <f>IF('Оперативный ввод'!N77="","",'Оперативный ввод'!N77)</f>
        <v/>
      </c>
      <c r="O77" s="172">
        <f>IF('Оперативный ввод'!O77="","",'Оперативный ввод'!O77)</f>
        <v/>
      </c>
      <c r="P77" s="205">
        <f>IF(AND(A77="",B77=""),"",IF(AND(A77&lt;&gt;"",B77&lt;&gt;"",C77&lt;&gt;"",D77&lt;&gt;"",F77&lt;&gt;"",G77&lt;&gt;"",H77&lt;&gt;"",ISERROR(SEARCH("по паспорту",G77)),ISERROR(SEARCH("по паспорту",H77)),I77&lt;&gt;"",J77&lt;&gt;"",K77&lt;&gt;"",L77&lt;&gt;"",M77&lt;&gt;""),"ГОТОВО","НЕ ГОТОВО"))</f>
        <v/>
      </c>
      <c r="Q77" s="205">
        <f>IF(P77&lt;&gt;"ГОТОВО","", "Предварительное заключение: "&amp;A77&amp;", скв. "&amp;B77&amp;". МРП: "&amp;E77&amp;" сут. ГНО: "&amp;F77&amp;", типоразмер "&amp;G77&amp;", марка "&amp;H77&amp;". Событие: "&amp;I77&amp;". Признак: "&amp;J77&amp;". Узел: "&amp;K77&amp;". Предварительная причина: "&amp;L77&amp;". Основное осложнение: "&amp;M77&amp;IF(N77&lt;&gt;"","; сопутствующее: "&amp;N77,"")&amp;IF(O77&lt;&gt;"","; дополнительно: "&amp;O77,"")&amp;".")</f>
        <v/>
      </c>
      <c r="R77" s="172">
        <f>IF('Оперативный ввод'!P77="","",'Оперативный ввод'!P77)</f>
        <v/>
      </c>
      <c r="S77" s="172">
        <f>IF('Оперативный ввод'!Q77="","",'Оперативный ввод'!Q77)</f>
        <v/>
      </c>
      <c r="T77" s="172">
        <f>IF('Оперативный ввод'!R77="","",'Оперативный ввод'!R77)</f>
        <v/>
      </c>
      <c r="U77" s="172">
        <f>IF('Оперативный ввод'!S77="","",'Оперативный ввод'!S77)</f>
        <v/>
      </c>
      <c r="V77" s="172">
        <f>IF('Оперативный ввод'!T77="","",'Оперативный ввод'!T77)</f>
        <v/>
      </c>
      <c r="W77" s="172" t="n"/>
      <c r="X77" s="172" t="n"/>
      <c r="Y77" s="172" t="n"/>
      <c r="Z77" s="172" t="n"/>
      <c r="AA77" s="172">
        <f>IF('Оперативный ввод'!U77="","",'Оперативный ввод'!U77)</f>
        <v/>
      </c>
      <c r="AB77" s="172">
        <f>IF('Оперативный ввод'!V77="","",'Оперативный ввод'!V77)</f>
        <v/>
      </c>
      <c r="AC77" s="172">
        <f>IF('Оперативный ввод'!W77="","",'Оперативный ввод'!W77)</f>
        <v/>
      </c>
      <c r="BB77" s="172" t="n"/>
      <c r="BC77" s="172" t="n"/>
      <c r="BD77" s="205">
        <f>IF(AND(A77="",B77=""),"",IF(AND(P77="ГОТОВО",R77&lt;&gt;"",T77&lt;&gt;"",U77&lt;&gt;"",AA77&lt;&gt;"",AB77&lt;&gt;"",AC77&lt;&gt;"",BB77&lt;&gt;"",BC77&lt;&gt;""),"ГОТОВО","НЕ ГОТОВО"))</f>
        <v/>
      </c>
      <c r="BE77" s="205">
        <f>IF(BD77&lt;&gt;"ГОТОВО","","Полное заключение: "&amp;A77&amp;", скв. "&amp;B77&amp;". МРП: "&amp;E77&amp;" сут. ГНО: "&amp;F77&amp;"; причина: "&amp;U77&amp;"; категория: "&amp;V77&amp;"; решение комиссии: "&amp;BB77&amp;".")</f>
        <v/>
      </c>
      <c r="BF77" s="173">
        <f>IF('Оперативный ввод'!X77="","",'Оперативный ввод'!X77)</f>
        <v/>
      </c>
    </row>
    <row r="78">
      <c r="A78" s="171">
        <f>IF('Оперативный ввод'!A78="","",'Оперативный ввод'!A78)</f>
        <v/>
      </c>
      <c r="B78" s="172">
        <f>IF('Оперативный ввод'!B78="","",'Оперативный ввод'!B78)</f>
        <v/>
      </c>
      <c r="C78" s="270">
        <f>IF('Оперативный ввод'!C78="","",'Оперативный ввод'!C78)</f>
        <v/>
      </c>
      <c r="D78" s="270">
        <f>IF('Оперативный ввод'!D78="","",'Оперативный ввод'!D78)</f>
        <v/>
      </c>
      <c r="E78" s="271">
        <f>IF(OR(C78="",D78=""),"",D78-C78)</f>
        <v/>
      </c>
      <c r="F78" s="172">
        <f>IF('Оперативный ввод'!F78="","",'Оперативный ввод'!F78)</f>
        <v/>
      </c>
      <c r="G78" s="172">
        <f>IF('Оперативный ввод'!G78="","",'Оперативный ввод'!G78)</f>
        <v/>
      </c>
      <c r="H78" s="172">
        <f>IF('Оперативный ввод'!H78="","",'Оперативный ввод'!H78)</f>
        <v/>
      </c>
      <c r="I78" s="172">
        <f>IF('Оперативный ввод'!I78="","",'Оперативный ввод'!I78)</f>
        <v/>
      </c>
      <c r="J78" s="172">
        <f>IF('Оперативный ввод'!J78="","",'Оперативный ввод'!J78)</f>
        <v/>
      </c>
      <c r="K78" s="172">
        <f>IF('Оперативный ввод'!K78="","",'Оперативный ввод'!K78)</f>
        <v/>
      </c>
      <c r="L78" s="172">
        <f>IF('Оперативный ввод'!L78="","",'Оперативный ввод'!L78)</f>
        <v/>
      </c>
      <c r="M78" s="172">
        <f>IF('Оперативный ввод'!M78="","",'Оперативный ввод'!M78)</f>
        <v/>
      </c>
      <c r="N78" s="172">
        <f>IF('Оперативный ввод'!N78="","",'Оперативный ввод'!N78)</f>
        <v/>
      </c>
      <c r="O78" s="172">
        <f>IF('Оперативный ввод'!O78="","",'Оперативный ввод'!O78)</f>
        <v/>
      </c>
      <c r="P78" s="205">
        <f>IF(AND(A78="",B78=""),"",IF(AND(A78&lt;&gt;"",B78&lt;&gt;"",C78&lt;&gt;"",D78&lt;&gt;"",F78&lt;&gt;"",G78&lt;&gt;"",H78&lt;&gt;"",ISERROR(SEARCH("по паспорту",G78)),ISERROR(SEARCH("по паспорту",H78)),I78&lt;&gt;"",J78&lt;&gt;"",K78&lt;&gt;"",L78&lt;&gt;"",M78&lt;&gt;""),"ГОТОВО","НЕ ГОТОВО"))</f>
        <v/>
      </c>
      <c r="Q78" s="205">
        <f>IF(P78&lt;&gt;"ГОТОВО","", "Предварительное заключение: "&amp;A78&amp;", скв. "&amp;B78&amp;". МРП: "&amp;E78&amp;" сут. ГНО: "&amp;F78&amp;", типоразмер "&amp;G78&amp;", марка "&amp;H78&amp;". Событие: "&amp;I78&amp;". Признак: "&amp;J78&amp;". Узел: "&amp;K78&amp;". Предварительная причина: "&amp;L78&amp;". Основное осложнение: "&amp;M78&amp;IF(N78&lt;&gt;"","; сопутствующее: "&amp;N78,"")&amp;IF(O78&lt;&gt;"","; дополнительно: "&amp;O78,"")&amp;".")</f>
        <v/>
      </c>
      <c r="R78" s="172">
        <f>IF('Оперативный ввод'!P78="","",'Оперативный ввод'!P78)</f>
        <v/>
      </c>
      <c r="S78" s="172">
        <f>IF('Оперативный ввод'!Q78="","",'Оперативный ввод'!Q78)</f>
        <v/>
      </c>
      <c r="T78" s="172">
        <f>IF('Оперативный ввод'!R78="","",'Оперативный ввод'!R78)</f>
        <v/>
      </c>
      <c r="U78" s="172">
        <f>IF('Оперативный ввод'!S78="","",'Оперативный ввод'!S78)</f>
        <v/>
      </c>
      <c r="V78" s="172">
        <f>IF('Оперативный ввод'!T78="","",'Оперативный ввод'!T78)</f>
        <v/>
      </c>
      <c r="W78" s="172" t="n"/>
      <c r="X78" s="172" t="n"/>
      <c r="Y78" s="172" t="n"/>
      <c r="Z78" s="172" t="n"/>
      <c r="AA78" s="172">
        <f>IF('Оперативный ввод'!U78="","",'Оперативный ввод'!U78)</f>
        <v/>
      </c>
      <c r="AB78" s="172">
        <f>IF('Оперативный ввод'!V78="","",'Оперативный ввод'!V78)</f>
        <v/>
      </c>
      <c r="AC78" s="172">
        <f>IF('Оперативный ввод'!W78="","",'Оперативный ввод'!W78)</f>
        <v/>
      </c>
      <c r="BB78" s="172" t="n"/>
      <c r="BC78" s="172" t="n"/>
      <c r="BD78" s="205">
        <f>IF(AND(A78="",B78=""),"",IF(AND(P78="ГОТОВО",R78&lt;&gt;"",T78&lt;&gt;"",U78&lt;&gt;"",AA78&lt;&gt;"",AB78&lt;&gt;"",AC78&lt;&gt;"",BB78&lt;&gt;"",BC78&lt;&gt;""),"ГОТОВО","НЕ ГОТОВО"))</f>
        <v/>
      </c>
      <c r="BE78" s="205">
        <f>IF(BD78&lt;&gt;"ГОТОВО","","Полное заключение: "&amp;A78&amp;", скв. "&amp;B78&amp;". МРП: "&amp;E78&amp;" сут. ГНО: "&amp;F78&amp;"; причина: "&amp;U78&amp;"; категория: "&amp;V78&amp;"; решение комиссии: "&amp;BB78&amp;".")</f>
        <v/>
      </c>
      <c r="BF78" s="173">
        <f>IF('Оперативный ввод'!X78="","",'Оперативный ввод'!X78)</f>
        <v/>
      </c>
    </row>
    <row r="79">
      <c r="A79" s="171">
        <f>IF('Оперативный ввод'!A79="","",'Оперативный ввод'!A79)</f>
        <v/>
      </c>
      <c r="B79" s="172">
        <f>IF('Оперативный ввод'!B79="","",'Оперативный ввод'!B79)</f>
        <v/>
      </c>
      <c r="C79" s="270">
        <f>IF('Оперативный ввод'!C79="","",'Оперативный ввод'!C79)</f>
        <v/>
      </c>
      <c r="D79" s="270">
        <f>IF('Оперативный ввод'!D79="","",'Оперативный ввод'!D79)</f>
        <v/>
      </c>
      <c r="E79" s="271">
        <f>IF(OR(C79="",D79=""),"",D79-C79)</f>
        <v/>
      </c>
      <c r="F79" s="172">
        <f>IF('Оперативный ввод'!F79="","",'Оперативный ввод'!F79)</f>
        <v/>
      </c>
      <c r="G79" s="172">
        <f>IF('Оперативный ввод'!G79="","",'Оперативный ввод'!G79)</f>
        <v/>
      </c>
      <c r="H79" s="172">
        <f>IF('Оперативный ввод'!H79="","",'Оперативный ввод'!H79)</f>
        <v/>
      </c>
      <c r="I79" s="172">
        <f>IF('Оперативный ввод'!I79="","",'Оперативный ввод'!I79)</f>
        <v/>
      </c>
      <c r="J79" s="172">
        <f>IF('Оперативный ввод'!J79="","",'Оперативный ввод'!J79)</f>
        <v/>
      </c>
      <c r="K79" s="172">
        <f>IF('Оперативный ввод'!K79="","",'Оперативный ввод'!K79)</f>
        <v/>
      </c>
      <c r="L79" s="172">
        <f>IF('Оперативный ввод'!L79="","",'Оперативный ввод'!L79)</f>
        <v/>
      </c>
      <c r="M79" s="172">
        <f>IF('Оперативный ввод'!M79="","",'Оперативный ввод'!M79)</f>
        <v/>
      </c>
      <c r="N79" s="172">
        <f>IF('Оперативный ввод'!N79="","",'Оперативный ввод'!N79)</f>
        <v/>
      </c>
      <c r="O79" s="172">
        <f>IF('Оперативный ввод'!O79="","",'Оперативный ввод'!O79)</f>
        <v/>
      </c>
      <c r="P79" s="205">
        <f>IF(AND(A79="",B79=""),"",IF(AND(A79&lt;&gt;"",B79&lt;&gt;"",C79&lt;&gt;"",D79&lt;&gt;"",F79&lt;&gt;"",G79&lt;&gt;"",H79&lt;&gt;"",ISERROR(SEARCH("по паспорту",G79)),ISERROR(SEARCH("по паспорту",H79)),I79&lt;&gt;"",J79&lt;&gt;"",K79&lt;&gt;"",L79&lt;&gt;"",M79&lt;&gt;""),"ГОТОВО","НЕ ГОТОВО"))</f>
        <v/>
      </c>
      <c r="Q79" s="205">
        <f>IF(P79&lt;&gt;"ГОТОВО","", "Предварительное заключение: "&amp;A79&amp;", скв. "&amp;B79&amp;". МРП: "&amp;E79&amp;" сут. ГНО: "&amp;F79&amp;", типоразмер "&amp;G79&amp;", марка "&amp;H79&amp;". Событие: "&amp;I79&amp;". Признак: "&amp;J79&amp;". Узел: "&amp;K79&amp;". Предварительная причина: "&amp;L79&amp;". Основное осложнение: "&amp;M79&amp;IF(N79&lt;&gt;"","; сопутствующее: "&amp;N79,"")&amp;IF(O79&lt;&gt;"","; дополнительно: "&amp;O79,"")&amp;".")</f>
        <v/>
      </c>
      <c r="R79" s="172">
        <f>IF('Оперативный ввод'!P79="","",'Оперативный ввод'!P79)</f>
        <v/>
      </c>
      <c r="S79" s="172">
        <f>IF('Оперативный ввод'!Q79="","",'Оперативный ввод'!Q79)</f>
        <v/>
      </c>
      <c r="T79" s="172">
        <f>IF('Оперативный ввод'!R79="","",'Оперативный ввод'!R79)</f>
        <v/>
      </c>
      <c r="U79" s="172">
        <f>IF('Оперативный ввод'!S79="","",'Оперативный ввод'!S79)</f>
        <v/>
      </c>
      <c r="V79" s="172">
        <f>IF('Оперативный ввод'!T79="","",'Оперативный ввод'!T79)</f>
        <v/>
      </c>
      <c r="W79" s="172" t="n"/>
      <c r="X79" s="172" t="n"/>
      <c r="Y79" s="172" t="n"/>
      <c r="Z79" s="172" t="n"/>
      <c r="AA79" s="172">
        <f>IF('Оперативный ввод'!U79="","",'Оперативный ввод'!U79)</f>
        <v/>
      </c>
      <c r="AB79" s="172">
        <f>IF('Оперативный ввод'!V79="","",'Оперативный ввод'!V79)</f>
        <v/>
      </c>
      <c r="AC79" s="172">
        <f>IF('Оперативный ввод'!W79="","",'Оперативный ввод'!W79)</f>
        <v/>
      </c>
      <c r="BB79" s="172" t="n"/>
      <c r="BC79" s="172" t="n"/>
      <c r="BD79" s="205">
        <f>IF(AND(A79="",B79=""),"",IF(AND(P79="ГОТОВО",R79&lt;&gt;"",T79&lt;&gt;"",U79&lt;&gt;"",AA79&lt;&gt;"",AB79&lt;&gt;"",AC79&lt;&gt;"",BB79&lt;&gt;"",BC79&lt;&gt;""),"ГОТОВО","НЕ ГОТОВО"))</f>
        <v/>
      </c>
      <c r="BE79" s="205">
        <f>IF(BD79&lt;&gt;"ГОТОВО","","Полное заключение: "&amp;A79&amp;", скв. "&amp;B79&amp;". МРП: "&amp;E79&amp;" сут. ГНО: "&amp;F79&amp;"; причина: "&amp;U79&amp;"; категория: "&amp;V79&amp;"; решение комиссии: "&amp;BB79&amp;".")</f>
        <v/>
      </c>
      <c r="BF79" s="173">
        <f>IF('Оперативный ввод'!X79="","",'Оперативный ввод'!X79)</f>
        <v/>
      </c>
    </row>
    <row r="80">
      <c r="A80" s="171">
        <f>IF('Оперативный ввод'!A80="","",'Оперативный ввод'!A80)</f>
        <v/>
      </c>
      <c r="B80" s="172">
        <f>IF('Оперативный ввод'!B80="","",'Оперативный ввод'!B80)</f>
        <v/>
      </c>
      <c r="C80" s="270">
        <f>IF('Оперативный ввод'!C80="","",'Оперативный ввод'!C80)</f>
        <v/>
      </c>
      <c r="D80" s="270">
        <f>IF('Оперативный ввод'!D80="","",'Оперативный ввод'!D80)</f>
        <v/>
      </c>
      <c r="E80" s="271">
        <f>IF(OR(C80="",D80=""),"",D80-C80)</f>
        <v/>
      </c>
      <c r="F80" s="172">
        <f>IF('Оперативный ввод'!F80="","",'Оперативный ввод'!F80)</f>
        <v/>
      </c>
      <c r="G80" s="172">
        <f>IF('Оперативный ввод'!G80="","",'Оперативный ввод'!G80)</f>
        <v/>
      </c>
      <c r="H80" s="172">
        <f>IF('Оперативный ввод'!H80="","",'Оперативный ввод'!H80)</f>
        <v/>
      </c>
      <c r="I80" s="172">
        <f>IF('Оперативный ввод'!I80="","",'Оперативный ввод'!I80)</f>
        <v/>
      </c>
      <c r="J80" s="172">
        <f>IF('Оперативный ввод'!J80="","",'Оперативный ввод'!J80)</f>
        <v/>
      </c>
      <c r="K80" s="172">
        <f>IF('Оперативный ввод'!K80="","",'Оперативный ввод'!K80)</f>
        <v/>
      </c>
      <c r="L80" s="172">
        <f>IF('Оперативный ввод'!L80="","",'Оперативный ввод'!L80)</f>
        <v/>
      </c>
      <c r="M80" s="172">
        <f>IF('Оперативный ввод'!M80="","",'Оперативный ввод'!M80)</f>
        <v/>
      </c>
      <c r="N80" s="172">
        <f>IF('Оперативный ввод'!N80="","",'Оперативный ввод'!N80)</f>
        <v/>
      </c>
      <c r="O80" s="172">
        <f>IF('Оперативный ввод'!O80="","",'Оперативный ввод'!O80)</f>
        <v/>
      </c>
      <c r="P80" s="205">
        <f>IF(AND(A80="",B80=""),"",IF(AND(A80&lt;&gt;"",B80&lt;&gt;"",C80&lt;&gt;"",D80&lt;&gt;"",F80&lt;&gt;"",G80&lt;&gt;"",H80&lt;&gt;"",ISERROR(SEARCH("по паспорту",G80)),ISERROR(SEARCH("по паспорту",H80)),I80&lt;&gt;"",J80&lt;&gt;"",K80&lt;&gt;"",L80&lt;&gt;"",M80&lt;&gt;""),"ГОТОВО","НЕ ГОТОВО"))</f>
        <v/>
      </c>
      <c r="Q80" s="205">
        <f>IF(P80&lt;&gt;"ГОТОВО","", "Предварительное заключение: "&amp;A80&amp;", скв. "&amp;B80&amp;". МРП: "&amp;E80&amp;" сут. ГНО: "&amp;F80&amp;", типоразмер "&amp;G80&amp;", марка "&amp;H80&amp;". Событие: "&amp;I80&amp;". Признак: "&amp;J80&amp;". Узел: "&amp;K80&amp;". Предварительная причина: "&amp;L80&amp;". Основное осложнение: "&amp;M80&amp;IF(N80&lt;&gt;"","; сопутствующее: "&amp;N80,"")&amp;IF(O80&lt;&gt;"","; дополнительно: "&amp;O80,"")&amp;".")</f>
        <v/>
      </c>
      <c r="R80" s="172">
        <f>IF('Оперативный ввод'!P80="","",'Оперативный ввод'!P80)</f>
        <v/>
      </c>
      <c r="S80" s="172">
        <f>IF('Оперативный ввод'!Q80="","",'Оперативный ввод'!Q80)</f>
        <v/>
      </c>
      <c r="T80" s="172">
        <f>IF('Оперативный ввод'!R80="","",'Оперативный ввод'!R80)</f>
        <v/>
      </c>
      <c r="U80" s="172">
        <f>IF('Оперативный ввод'!S80="","",'Оперативный ввод'!S80)</f>
        <v/>
      </c>
      <c r="V80" s="172">
        <f>IF('Оперативный ввод'!T80="","",'Оперативный ввод'!T80)</f>
        <v/>
      </c>
      <c r="W80" s="172" t="n"/>
      <c r="X80" s="172" t="n"/>
      <c r="Y80" s="172" t="n"/>
      <c r="Z80" s="172" t="n"/>
      <c r="AA80" s="172">
        <f>IF('Оперативный ввод'!U80="","",'Оперативный ввод'!U80)</f>
        <v/>
      </c>
      <c r="AB80" s="172">
        <f>IF('Оперативный ввод'!V80="","",'Оперативный ввод'!V80)</f>
        <v/>
      </c>
      <c r="AC80" s="172">
        <f>IF('Оперативный ввод'!W80="","",'Оперативный ввод'!W80)</f>
        <v/>
      </c>
      <c r="BB80" s="172" t="n"/>
      <c r="BC80" s="172" t="n"/>
      <c r="BD80" s="205">
        <f>IF(AND(A80="",B80=""),"",IF(AND(P80="ГОТОВО",R80&lt;&gt;"",T80&lt;&gt;"",U80&lt;&gt;"",AA80&lt;&gt;"",AB80&lt;&gt;"",AC80&lt;&gt;"",BB80&lt;&gt;"",BC80&lt;&gt;""),"ГОТОВО","НЕ ГОТОВО"))</f>
        <v/>
      </c>
      <c r="BE80" s="205">
        <f>IF(BD80&lt;&gt;"ГОТОВО","","Полное заключение: "&amp;A80&amp;", скв. "&amp;B80&amp;". МРП: "&amp;E80&amp;" сут. ГНО: "&amp;F80&amp;"; причина: "&amp;U80&amp;"; категория: "&amp;V80&amp;"; решение комиссии: "&amp;BB80&amp;".")</f>
        <v/>
      </c>
      <c r="BF80" s="173">
        <f>IF('Оперативный ввод'!X80="","",'Оперативный ввод'!X80)</f>
        <v/>
      </c>
    </row>
    <row r="81">
      <c r="A81" s="171">
        <f>IF('Оперативный ввод'!A81="","",'Оперативный ввод'!A81)</f>
        <v/>
      </c>
      <c r="B81" s="172">
        <f>IF('Оперативный ввод'!B81="","",'Оперативный ввод'!B81)</f>
        <v/>
      </c>
      <c r="C81" s="270">
        <f>IF('Оперативный ввод'!C81="","",'Оперативный ввод'!C81)</f>
        <v/>
      </c>
      <c r="D81" s="270">
        <f>IF('Оперативный ввод'!D81="","",'Оперативный ввод'!D81)</f>
        <v/>
      </c>
      <c r="E81" s="271">
        <f>IF(OR(C81="",D81=""),"",D81-C81)</f>
        <v/>
      </c>
      <c r="F81" s="172">
        <f>IF('Оперативный ввод'!F81="","",'Оперативный ввод'!F81)</f>
        <v/>
      </c>
      <c r="G81" s="172">
        <f>IF('Оперативный ввод'!G81="","",'Оперативный ввод'!G81)</f>
        <v/>
      </c>
      <c r="H81" s="172">
        <f>IF('Оперативный ввод'!H81="","",'Оперативный ввод'!H81)</f>
        <v/>
      </c>
      <c r="I81" s="172">
        <f>IF('Оперативный ввод'!I81="","",'Оперативный ввод'!I81)</f>
        <v/>
      </c>
      <c r="J81" s="172">
        <f>IF('Оперативный ввод'!J81="","",'Оперативный ввод'!J81)</f>
        <v/>
      </c>
      <c r="K81" s="172">
        <f>IF('Оперативный ввод'!K81="","",'Оперативный ввод'!K81)</f>
        <v/>
      </c>
      <c r="L81" s="172">
        <f>IF('Оперативный ввод'!L81="","",'Оперативный ввод'!L81)</f>
        <v/>
      </c>
      <c r="M81" s="172">
        <f>IF('Оперативный ввод'!M81="","",'Оперативный ввод'!M81)</f>
        <v/>
      </c>
      <c r="N81" s="172">
        <f>IF('Оперативный ввод'!N81="","",'Оперативный ввод'!N81)</f>
        <v/>
      </c>
      <c r="O81" s="172">
        <f>IF('Оперативный ввод'!O81="","",'Оперативный ввод'!O81)</f>
        <v/>
      </c>
      <c r="P81" s="205">
        <f>IF(AND(A81="",B81=""),"",IF(AND(A81&lt;&gt;"",B81&lt;&gt;"",C81&lt;&gt;"",D81&lt;&gt;"",F81&lt;&gt;"",G81&lt;&gt;"",H81&lt;&gt;"",ISERROR(SEARCH("по паспорту",G81)),ISERROR(SEARCH("по паспорту",H81)),I81&lt;&gt;"",J81&lt;&gt;"",K81&lt;&gt;"",L81&lt;&gt;"",M81&lt;&gt;""),"ГОТОВО","НЕ ГОТОВО"))</f>
        <v/>
      </c>
      <c r="Q81" s="205">
        <f>IF(P81&lt;&gt;"ГОТОВО","", "Предварительное заключение: "&amp;A81&amp;", скв. "&amp;B81&amp;". МРП: "&amp;E81&amp;" сут. ГНО: "&amp;F81&amp;", типоразмер "&amp;G81&amp;", марка "&amp;H81&amp;". Событие: "&amp;I81&amp;". Признак: "&amp;J81&amp;". Узел: "&amp;K81&amp;". Предварительная причина: "&amp;L81&amp;". Основное осложнение: "&amp;M81&amp;IF(N81&lt;&gt;"","; сопутствующее: "&amp;N81,"")&amp;IF(O81&lt;&gt;"","; дополнительно: "&amp;O81,"")&amp;".")</f>
        <v/>
      </c>
      <c r="R81" s="172">
        <f>IF('Оперативный ввод'!P81="","",'Оперативный ввод'!P81)</f>
        <v/>
      </c>
      <c r="S81" s="172">
        <f>IF('Оперативный ввод'!Q81="","",'Оперативный ввод'!Q81)</f>
        <v/>
      </c>
      <c r="T81" s="172">
        <f>IF('Оперативный ввод'!R81="","",'Оперативный ввод'!R81)</f>
        <v/>
      </c>
      <c r="U81" s="172">
        <f>IF('Оперативный ввод'!S81="","",'Оперативный ввод'!S81)</f>
        <v/>
      </c>
      <c r="V81" s="172">
        <f>IF('Оперативный ввод'!T81="","",'Оперативный ввод'!T81)</f>
        <v/>
      </c>
      <c r="W81" s="172" t="n"/>
      <c r="X81" s="172" t="n"/>
      <c r="Y81" s="172" t="n"/>
      <c r="Z81" s="172" t="n"/>
      <c r="AA81" s="172">
        <f>IF('Оперативный ввод'!U81="","",'Оперативный ввод'!U81)</f>
        <v/>
      </c>
      <c r="AB81" s="172">
        <f>IF('Оперативный ввод'!V81="","",'Оперативный ввод'!V81)</f>
        <v/>
      </c>
      <c r="AC81" s="172">
        <f>IF('Оперативный ввод'!W81="","",'Оперативный ввод'!W81)</f>
        <v/>
      </c>
      <c r="BB81" s="172" t="n"/>
      <c r="BC81" s="172" t="n"/>
      <c r="BD81" s="205">
        <f>IF(AND(A81="",B81=""),"",IF(AND(P81="ГОТОВО",R81&lt;&gt;"",T81&lt;&gt;"",U81&lt;&gt;"",AA81&lt;&gt;"",AB81&lt;&gt;"",AC81&lt;&gt;"",BB81&lt;&gt;"",BC81&lt;&gt;""),"ГОТОВО","НЕ ГОТОВО"))</f>
        <v/>
      </c>
      <c r="BE81" s="205">
        <f>IF(BD81&lt;&gt;"ГОТОВО","","Полное заключение: "&amp;A81&amp;", скв. "&amp;B81&amp;". МРП: "&amp;E81&amp;" сут. ГНО: "&amp;F81&amp;"; причина: "&amp;U81&amp;"; категория: "&amp;V81&amp;"; решение комиссии: "&amp;BB81&amp;".")</f>
        <v/>
      </c>
      <c r="BF81" s="173">
        <f>IF('Оперативный ввод'!X81="","",'Оперативный ввод'!X81)</f>
        <v/>
      </c>
    </row>
    <row r="82">
      <c r="A82" s="171">
        <f>IF('Оперативный ввод'!A82="","",'Оперативный ввод'!A82)</f>
        <v/>
      </c>
      <c r="B82" s="172">
        <f>IF('Оперативный ввод'!B82="","",'Оперативный ввод'!B82)</f>
        <v/>
      </c>
      <c r="C82" s="270">
        <f>IF('Оперативный ввод'!C82="","",'Оперативный ввод'!C82)</f>
        <v/>
      </c>
      <c r="D82" s="270">
        <f>IF('Оперативный ввод'!D82="","",'Оперативный ввод'!D82)</f>
        <v/>
      </c>
      <c r="E82" s="271">
        <f>IF(OR(C82="",D82=""),"",D82-C82)</f>
        <v/>
      </c>
      <c r="F82" s="172">
        <f>IF('Оперативный ввод'!F82="","",'Оперативный ввод'!F82)</f>
        <v/>
      </c>
      <c r="G82" s="172">
        <f>IF('Оперативный ввод'!G82="","",'Оперативный ввод'!G82)</f>
        <v/>
      </c>
      <c r="H82" s="172">
        <f>IF('Оперативный ввод'!H82="","",'Оперативный ввод'!H82)</f>
        <v/>
      </c>
      <c r="I82" s="172">
        <f>IF('Оперативный ввод'!I82="","",'Оперативный ввод'!I82)</f>
        <v/>
      </c>
      <c r="J82" s="172">
        <f>IF('Оперативный ввод'!J82="","",'Оперативный ввод'!J82)</f>
        <v/>
      </c>
      <c r="K82" s="172">
        <f>IF('Оперативный ввод'!K82="","",'Оперативный ввод'!K82)</f>
        <v/>
      </c>
      <c r="L82" s="172">
        <f>IF('Оперативный ввод'!L82="","",'Оперативный ввод'!L82)</f>
        <v/>
      </c>
      <c r="M82" s="172">
        <f>IF('Оперативный ввод'!M82="","",'Оперативный ввод'!M82)</f>
        <v/>
      </c>
      <c r="N82" s="172">
        <f>IF('Оперативный ввод'!N82="","",'Оперативный ввод'!N82)</f>
        <v/>
      </c>
      <c r="O82" s="172">
        <f>IF('Оперативный ввод'!O82="","",'Оперативный ввод'!O82)</f>
        <v/>
      </c>
      <c r="P82" s="205">
        <f>IF(AND(A82="",B82=""),"",IF(AND(A82&lt;&gt;"",B82&lt;&gt;"",C82&lt;&gt;"",D82&lt;&gt;"",F82&lt;&gt;"",G82&lt;&gt;"",H82&lt;&gt;"",ISERROR(SEARCH("по паспорту",G82)),ISERROR(SEARCH("по паспорту",H82)),I82&lt;&gt;"",J82&lt;&gt;"",K82&lt;&gt;"",L82&lt;&gt;"",M82&lt;&gt;""),"ГОТОВО","НЕ ГОТОВО"))</f>
        <v/>
      </c>
      <c r="Q82" s="205">
        <f>IF(P82&lt;&gt;"ГОТОВО","", "Предварительное заключение: "&amp;A82&amp;", скв. "&amp;B82&amp;". МРП: "&amp;E82&amp;" сут. ГНО: "&amp;F82&amp;", типоразмер "&amp;G82&amp;", марка "&amp;H82&amp;". Событие: "&amp;I82&amp;". Признак: "&amp;J82&amp;". Узел: "&amp;K82&amp;". Предварительная причина: "&amp;L82&amp;". Основное осложнение: "&amp;M82&amp;IF(N82&lt;&gt;"","; сопутствующее: "&amp;N82,"")&amp;IF(O82&lt;&gt;"","; дополнительно: "&amp;O82,"")&amp;".")</f>
        <v/>
      </c>
      <c r="R82" s="172">
        <f>IF('Оперативный ввод'!P82="","",'Оперативный ввод'!P82)</f>
        <v/>
      </c>
      <c r="S82" s="172">
        <f>IF('Оперативный ввод'!Q82="","",'Оперативный ввод'!Q82)</f>
        <v/>
      </c>
      <c r="T82" s="172">
        <f>IF('Оперативный ввод'!R82="","",'Оперативный ввод'!R82)</f>
        <v/>
      </c>
      <c r="U82" s="172">
        <f>IF('Оперативный ввод'!S82="","",'Оперативный ввод'!S82)</f>
        <v/>
      </c>
      <c r="V82" s="172">
        <f>IF('Оперативный ввод'!T82="","",'Оперативный ввод'!T82)</f>
        <v/>
      </c>
      <c r="W82" s="172" t="n"/>
      <c r="X82" s="172" t="n"/>
      <c r="Y82" s="172" t="n"/>
      <c r="Z82" s="172" t="n"/>
      <c r="AA82" s="172">
        <f>IF('Оперативный ввод'!U82="","",'Оперативный ввод'!U82)</f>
        <v/>
      </c>
      <c r="AB82" s="172">
        <f>IF('Оперативный ввод'!V82="","",'Оперативный ввод'!V82)</f>
        <v/>
      </c>
      <c r="AC82" s="172">
        <f>IF('Оперативный ввод'!W82="","",'Оперативный ввод'!W82)</f>
        <v/>
      </c>
      <c r="BB82" s="172" t="n"/>
      <c r="BC82" s="172" t="n"/>
      <c r="BD82" s="205">
        <f>IF(AND(A82="",B82=""),"",IF(AND(P82="ГОТОВО",R82&lt;&gt;"",T82&lt;&gt;"",U82&lt;&gt;"",AA82&lt;&gt;"",AB82&lt;&gt;"",AC82&lt;&gt;"",BB82&lt;&gt;"",BC82&lt;&gt;""),"ГОТОВО","НЕ ГОТОВО"))</f>
        <v/>
      </c>
      <c r="BE82" s="205">
        <f>IF(BD82&lt;&gt;"ГОТОВО","","Полное заключение: "&amp;A82&amp;", скв. "&amp;B82&amp;". МРП: "&amp;E82&amp;" сут. ГНО: "&amp;F82&amp;"; причина: "&amp;U82&amp;"; категория: "&amp;V82&amp;"; решение комиссии: "&amp;BB82&amp;".")</f>
        <v/>
      </c>
      <c r="BF82" s="173">
        <f>IF('Оперативный ввод'!X82="","",'Оперативный ввод'!X82)</f>
        <v/>
      </c>
    </row>
    <row r="83">
      <c r="A83" s="171">
        <f>IF('Оперативный ввод'!A83="","",'Оперативный ввод'!A83)</f>
        <v/>
      </c>
      <c r="B83" s="172">
        <f>IF('Оперативный ввод'!B83="","",'Оперативный ввод'!B83)</f>
        <v/>
      </c>
      <c r="C83" s="270">
        <f>IF('Оперативный ввод'!C83="","",'Оперативный ввод'!C83)</f>
        <v/>
      </c>
      <c r="D83" s="270">
        <f>IF('Оперативный ввод'!D83="","",'Оперативный ввод'!D83)</f>
        <v/>
      </c>
      <c r="E83" s="271">
        <f>IF(OR(C83="",D83=""),"",D83-C83)</f>
        <v/>
      </c>
      <c r="F83" s="172">
        <f>IF('Оперативный ввод'!F83="","",'Оперативный ввод'!F83)</f>
        <v/>
      </c>
      <c r="G83" s="172">
        <f>IF('Оперативный ввод'!G83="","",'Оперативный ввод'!G83)</f>
        <v/>
      </c>
      <c r="H83" s="172">
        <f>IF('Оперативный ввод'!H83="","",'Оперативный ввод'!H83)</f>
        <v/>
      </c>
      <c r="I83" s="172">
        <f>IF('Оперативный ввод'!I83="","",'Оперативный ввод'!I83)</f>
        <v/>
      </c>
      <c r="J83" s="172">
        <f>IF('Оперативный ввод'!J83="","",'Оперативный ввод'!J83)</f>
        <v/>
      </c>
      <c r="K83" s="172">
        <f>IF('Оперативный ввод'!K83="","",'Оперативный ввод'!K83)</f>
        <v/>
      </c>
      <c r="L83" s="172">
        <f>IF('Оперативный ввод'!L83="","",'Оперативный ввод'!L83)</f>
        <v/>
      </c>
      <c r="M83" s="172">
        <f>IF('Оперативный ввод'!M83="","",'Оперативный ввод'!M83)</f>
        <v/>
      </c>
      <c r="N83" s="172">
        <f>IF('Оперативный ввод'!N83="","",'Оперативный ввод'!N83)</f>
        <v/>
      </c>
      <c r="O83" s="172">
        <f>IF('Оперативный ввод'!O83="","",'Оперативный ввод'!O83)</f>
        <v/>
      </c>
      <c r="P83" s="205">
        <f>IF(AND(A83="",B83=""),"",IF(AND(A83&lt;&gt;"",B83&lt;&gt;"",C83&lt;&gt;"",D83&lt;&gt;"",F83&lt;&gt;"",G83&lt;&gt;"",H83&lt;&gt;"",ISERROR(SEARCH("по паспорту",G83)),ISERROR(SEARCH("по паспорту",H83)),I83&lt;&gt;"",J83&lt;&gt;"",K83&lt;&gt;"",L83&lt;&gt;"",M83&lt;&gt;""),"ГОТОВО","НЕ ГОТОВО"))</f>
        <v/>
      </c>
      <c r="Q83" s="205">
        <f>IF(P83&lt;&gt;"ГОТОВО","", "Предварительное заключение: "&amp;A83&amp;", скв. "&amp;B83&amp;". МРП: "&amp;E83&amp;" сут. ГНО: "&amp;F83&amp;", типоразмер "&amp;G83&amp;", марка "&amp;H83&amp;". Событие: "&amp;I83&amp;". Признак: "&amp;J83&amp;". Узел: "&amp;K83&amp;". Предварительная причина: "&amp;L83&amp;". Основное осложнение: "&amp;M83&amp;IF(N83&lt;&gt;"","; сопутствующее: "&amp;N83,"")&amp;IF(O83&lt;&gt;"","; дополнительно: "&amp;O83,"")&amp;".")</f>
        <v/>
      </c>
      <c r="R83" s="172">
        <f>IF('Оперативный ввод'!P83="","",'Оперативный ввод'!P83)</f>
        <v/>
      </c>
      <c r="S83" s="172">
        <f>IF('Оперативный ввод'!Q83="","",'Оперативный ввод'!Q83)</f>
        <v/>
      </c>
      <c r="T83" s="172">
        <f>IF('Оперативный ввод'!R83="","",'Оперативный ввод'!R83)</f>
        <v/>
      </c>
      <c r="U83" s="172">
        <f>IF('Оперативный ввод'!S83="","",'Оперативный ввод'!S83)</f>
        <v/>
      </c>
      <c r="V83" s="172">
        <f>IF('Оперативный ввод'!T83="","",'Оперативный ввод'!T83)</f>
        <v/>
      </c>
      <c r="W83" s="172" t="n"/>
      <c r="X83" s="172" t="n"/>
      <c r="Y83" s="172" t="n"/>
      <c r="Z83" s="172" t="n"/>
      <c r="AA83" s="172">
        <f>IF('Оперативный ввод'!U83="","",'Оперативный ввод'!U83)</f>
        <v/>
      </c>
      <c r="AB83" s="172">
        <f>IF('Оперативный ввод'!V83="","",'Оперативный ввод'!V83)</f>
        <v/>
      </c>
      <c r="AC83" s="172">
        <f>IF('Оперативный ввод'!W83="","",'Оперативный ввод'!W83)</f>
        <v/>
      </c>
      <c r="BB83" s="172" t="n"/>
      <c r="BC83" s="172" t="n"/>
      <c r="BD83" s="205">
        <f>IF(AND(A83="",B83=""),"",IF(AND(P83="ГОТОВО",R83&lt;&gt;"",T83&lt;&gt;"",U83&lt;&gt;"",AA83&lt;&gt;"",AB83&lt;&gt;"",AC83&lt;&gt;"",BB83&lt;&gt;"",BC83&lt;&gt;""),"ГОТОВО","НЕ ГОТОВО"))</f>
        <v/>
      </c>
      <c r="BE83" s="205">
        <f>IF(BD83&lt;&gt;"ГОТОВО","","Полное заключение: "&amp;A83&amp;", скв. "&amp;B83&amp;". МРП: "&amp;E83&amp;" сут. ГНО: "&amp;F83&amp;"; причина: "&amp;U83&amp;"; категория: "&amp;V83&amp;"; решение комиссии: "&amp;BB83&amp;".")</f>
        <v/>
      </c>
      <c r="BF83" s="173">
        <f>IF('Оперативный ввод'!X83="","",'Оперативный ввод'!X83)</f>
        <v/>
      </c>
    </row>
    <row r="84">
      <c r="A84" s="171">
        <f>IF('Оперативный ввод'!A84="","",'Оперативный ввод'!A84)</f>
        <v/>
      </c>
      <c r="B84" s="172">
        <f>IF('Оперативный ввод'!B84="","",'Оперативный ввод'!B84)</f>
        <v/>
      </c>
      <c r="C84" s="270">
        <f>IF('Оперативный ввод'!C84="","",'Оперативный ввод'!C84)</f>
        <v/>
      </c>
      <c r="D84" s="270">
        <f>IF('Оперативный ввод'!D84="","",'Оперативный ввод'!D84)</f>
        <v/>
      </c>
      <c r="E84" s="271">
        <f>IF(OR(C84="",D84=""),"",D84-C84)</f>
        <v/>
      </c>
      <c r="F84" s="172">
        <f>IF('Оперативный ввод'!F84="","",'Оперативный ввод'!F84)</f>
        <v/>
      </c>
      <c r="G84" s="172">
        <f>IF('Оперативный ввод'!G84="","",'Оперативный ввод'!G84)</f>
        <v/>
      </c>
      <c r="H84" s="172">
        <f>IF('Оперативный ввод'!H84="","",'Оперативный ввод'!H84)</f>
        <v/>
      </c>
      <c r="I84" s="172">
        <f>IF('Оперативный ввод'!I84="","",'Оперативный ввод'!I84)</f>
        <v/>
      </c>
      <c r="J84" s="172">
        <f>IF('Оперативный ввод'!J84="","",'Оперативный ввод'!J84)</f>
        <v/>
      </c>
      <c r="K84" s="172">
        <f>IF('Оперативный ввод'!K84="","",'Оперативный ввод'!K84)</f>
        <v/>
      </c>
      <c r="L84" s="172">
        <f>IF('Оперативный ввод'!L84="","",'Оперативный ввод'!L84)</f>
        <v/>
      </c>
      <c r="M84" s="172">
        <f>IF('Оперативный ввод'!M84="","",'Оперативный ввод'!M84)</f>
        <v/>
      </c>
      <c r="N84" s="172">
        <f>IF('Оперативный ввод'!N84="","",'Оперативный ввод'!N84)</f>
        <v/>
      </c>
      <c r="O84" s="172">
        <f>IF('Оперативный ввод'!O84="","",'Оперативный ввод'!O84)</f>
        <v/>
      </c>
      <c r="P84" s="205">
        <f>IF(AND(A84="",B84=""),"",IF(AND(A84&lt;&gt;"",B84&lt;&gt;"",C84&lt;&gt;"",D84&lt;&gt;"",F84&lt;&gt;"",G84&lt;&gt;"",H84&lt;&gt;"",ISERROR(SEARCH("по паспорту",G84)),ISERROR(SEARCH("по паспорту",H84)),I84&lt;&gt;"",J84&lt;&gt;"",K84&lt;&gt;"",L84&lt;&gt;"",M84&lt;&gt;""),"ГОТОВО","НЕ ГОТОВО"))</f>
        <v/>
      </c>
      <c r="Q84" s="205">
        <f>IF(P84&lt;&gt;"ГОТОВО","", "Предварительное заключение: "&amp;A84&amp;", скв. "&amp;B84&amp;". МРП: "&amp;E84&amp;" сут. ГНО: "&amp;F84&amp;", типоразмер "&amp;G84&amp;", марка "&amp;H84&amp;". Событие: "&amp;I84&amp;". Признак: "&amp;J84&amp;". Узел: "&amp;K84&amp;". Предварительная причина: "&amp;L84&amp;". Основное осложнение: "&amp;M84&amp;IF(N84&lt;&gt;"","; сопутствующее: "&amp;N84,"")&amp;IF(O84&lt;&gt;"","; дополнительно: "&amp;O84,"")&amp;".")</f>
        <v/>
      </c>
      <c r="R84" s="172">
        <f>IF('Оперативный ввод'!P84="","",'Оперативный ввод'!P84)</f>
        <v/>
      </c>
      <c r="S84" s="172">
        <f>IF('Оперативный ввод'!Q84="","",'Оперативный ввод'!Q84)</f>
        <v/>
      </c>
      <c r="T84" s="172">
        <f>IF('Оперативный ввод'!R84="","",'Оперативный ввод'!R84)</f>
        <v/>
      </c>
      <c r="U84" s="172">
        <f>IF('Оперативный ввод'!S84="","",'Оперативный ввод'!S84)</f>
        <v/>
      </c>
      <c r="V84" s="172">
        <f>IF('Оперативный ввод'!T84="","",'Оперативный ввод'!T84)</f>
        <v/>
      </c>
      <c r="W84" s="172" t="n"/>
      <c r="X84" s="172" t="n"/>
      <c r="Y84" s="172" t="n"/>
      <c r="Z84" s="172" t="n"/>
      <c r="AA84" s="172">
        <f>IF('Оперативный ввод'!U84="","",'Оперативный ввод'!U84)</f>
        <v/>
      </c>
      <c r="AB84" s="172">
        <f>IF('Оперативный ввод'!V84="","",'Оперативный ввод'!V84)</f>
        <v/>
      </c>
      <c r="AC84" s="172">
        <f>IF('Оперативный ввод'!W84="","",'Оперативный ввод'!W84)</f>
        <v/>
      </c>
      <c r="BB84" s="172" t="n"/>
      <c r="BC84" s="172" t="n"/>
      <c r="BD84" s="205">
        <f>IF(AND(A84="",B84=""),"",IF(AND(P84="ГОТОВО",R84&lt;&gt;"",T84&lt;&gt;"",U84&lt;&gt;"",AA84&lt;&gt;"",AB84&lt;&gt;"",AC84&lt;&gt;"",BB84&lt;&gt;"",BC84&lt;&gt;""),"ГОТОВО","НЕ ГОТОВО"))</f>
        <v/>
      </c>
      <c r="BE84" s="205">
        <f>IF(BD84&lt;&gt;"ГОТОВО","","Полное заключение: "&amp;A84&amp;", скв. "&amp;B84&amp;". МРП: "&amp;E84&amp;" сут. ГНО: "&amp;F84&amp;"; причина: "&amp;U84&amp;"; категория: "&amp;V84&amp;"; решение комиссии: "&amp;BB84&amp;".")</f>
        <v/>
      </c>
      <c r="BF84" s="173">
        <f>IF('Оперативный ввод'!X84="","",'Оперативный ввод'!X84)</f>
        <v/>
      </c>
    </row>
    <row r="85">
      <c r="A85" s="171">
        <f>IF('Оперативный ввод'!A85="","",'Оперативный ввод'!A85)</f>
        <v/>
      </c>
      <c r="B85" s="172">
        <f>IF('Оперативный ввод'!B85="","",'Оперативный ввод'!B85)</f>
        <v/>
      </c>
      <c r="C85" s="270">
        <f>IF('Оперативный ввод'!C85="","",'Оперативный ввод'!C85)</f>
        <v/>
      </c>
      <c r="D85" s="270">
        <f>IF('Оперативный ввод'!D85="","",'Оперативный ввод'!D85)</f>
        <v/>
      </c>
      <c r="E85" s="271">
        <f>IF(OR(C85="",D85=""),"",D85-C85)</f>
        <v/>
      </c>
      <c r="F85" s="172">
        <f>IF('Оперативный ввод'!F85="","",'Оперативный ввод'!F85)</f>
        <v/>
      </c>
      <c r="G85" s="172">
        <f>IF('Оперативный ввод'!G85="","",'Оперативный ввод'!G85)</f>
        <v/>
      </c>
      <c r="H85" s="172">
        <f>IF('Оперативный ввод'!H85="","",'Оперативный ввод'!H85)</f>
        <v/>
      </c>
      <c r="I85" s="172">
        <f>IF('Оперативный ввод'!I85="","",'Оперативный ввод'!I85)</f>
        <v/>
      </c>
      <c r="J85" s="172">
        <f>IF('Оперативный ввод'!J85="","",'Оперативный ввод'!J85)</f>
        <v/>
      </c>
      <c r="K85" s="172">
        <f>IF('Оперативный ввод'!K85="","",'Оперативный ввод'!K85)</f>
        <v/>
      </c>
      <c r="L85" s="172">
        <f>IF('Оперативный ввод'!L85="","",'Оперативный ввод'!L85)</f>
        <v/>
      </c>
      <c r="M85" s="172">
        <f>IF('Оперативный ввод'!M85="","",'Оперативный ввод'!M85)</f>
        <v/>
      </c>
      <c r="N85" s="172">
        <f>IF('Оперативный ввод'!N85="","",'Оперативный ввод'!N85)</f>
        <v/>
      </c>
      <c r="O85" s="172">
        <f>IF('Оперативный ввод'!O85="","",'Оперативный ввод'!O85)</f>
        <v/>
      </c>
      <c r="P85" s="205">
        <f>IF(AND(A85="",B85=""),"",IF(AND(A85&lt;&gt;"",B85&lt;&gt;"",C85&lt;&gt;"",D85&lt;&gt;"",F85&lt;&gt;"",G85&lt;&gt;"",H85&lt;&gt;"",ISERROR(SEARCH("по паспорту",G85)),ISERROR(SEARCH("по паспорту",H85)),I85&lt;&gt;"",J85&lt;&gt;"",K85&lt;&gt;"",L85&lt;&gt;"",M85&lt;&gt;""),"ГОТОВО","НЕ ГОТОВО"))</f>
        <v/>
      </c>
      <c r="Q85" s="205">
        <f>IF(P85&lt;&gt;"ГОТОВО","", "Предварительное заключение: "&amp;A85&amp;", скв. "&amp;B85&amp;". МРП: "&amp;E85&amp;" сут. ГНО: "&amp;F85&amp;", типоразмер "&amp;G85&amp;", марка "&amp;H85&amp;". Событие: "&amp;I85&amp;". Признак: "&amp;J85&amp;". Узел: "&amp;K85&amp;". Предварительная причина: "&amp;L85&amp;". Основное осложнение: "&amp;M85&amp;IF(N85&lt;&gt;"","; сопутствующее: "&amp;N85,"")&amp;IF(O85&lt;&gt;"","; дополнительно: "&amp;O85,"")&amp;".")</f>
        <v/>
      </c>
      <c r="R85" s="172">
        <f>IF('Оперативный ввод'!P85="","",'Оперативный ввод'!P85)</f>
        <v/>
      </c>
      <c r="S85" s="172">
        <f>IF('Оперативный ввод'!Q85="","",'Оперативный ввод'!Q85)</f>
        <v/>
      </c>
      <c r="T85" s="172">
        <f>IF('Оперативный ввод'!R85="","",'Оперативный ввод'!R85)</f>
        <v/>
      </c>
      <c r="U85" s="172">
        <f>IF('Оперативный ввод'!S85="","",'Оперативный ввод'!S85)</f>
        <v/>
      </c>
      <c r="V85" s="172">
        <f>IF('Оперативный ввод'!T85="","",'Оперативный ввод'!T85)</f>
        <v/>
      </c>
      <c r="W85" s="172" t="n"/>
      <c r="X85" s="172" t="n"/>
      <c r="Y85" s="172" t="n"/>
      <c r="Z85" s="172" t="n"/>
      <c r="AA85" s="172">
        <f>IF('Оперативный ввод'!U85="","",'Оперативный ввод'!U85)</f>
        <v/>
      </c>
      <c r="AB85" s="172">
        <f>IF('Оперативный ввод'!V85="","",'Оперативный ввод'!V85)</f>
        <v/>
      </c>
      <c r="AC85" s="172">
        <f>IF('Оперативный ввод'!W85="","",'Оперативный ввод'!W85)</f>
        <v/>
      </c>
      <c r="BB85" s="172" t="n"/>
      <c r="BC85" s="172" t="n"/>
      <c r="BD85" s="205">
        <f>IF(AND(A85="",B85=""),"",IF(AND(P85="ГОТОВО",R85&lt;&gt;"",T85&lt;&gt;"",U85&lt;&gt;"",AA85&lt;&gt;"",AB85&lt;&gt;"",AC85&lt;&gt;"",BB85&lt;&gt;"",BC85&lt;&gt;""),"ГОТОВО","НЕ ГОТОВО"))</f>
        <v/>
      </c>
      <c r="BE85" s="205">
        <f>IF(BD85&lt;&gt;"ГОТОВО","","Полное заключение: "&amp;A85&amp;", скв. "&amp;B85&amp;". МРП: "&amp;E85&amp;" сут. ГНО: "&amp;F85&amp;"; причина: "&amp;U85&amp;"; категория: "&amp;V85&amp;"; решение комиссии: "&amp;BB85&amp;".")</f>
        <v/>
      </c>
      <c r="BF85" s="173">
        <f>IF('Оперативный ввод'!X85="","",'Оперативный ввод'!X85)</f>
        <v/>
      </c>
    </row>
    <row r="86">
      <c r="A86" s="171">
        <f>IF('Оперативный ввод'!A86="","",'Оперативный ввод'!A86)</f>
        <v/>
      </c>
      <c r="B86" s="172">
        <f>IF('Оперативный ввод'!B86="","",'Оперативный ввод'!B86)</f>
        <v/>
      </c>
      <c r="C86" s="270">
        <f>IF('Оперативный ввод'!C86="","",'Оперативный ввод'!C86)</f>
        <v/>
      </c>
      <c r="D86" s="270">
        <f>IF('Оперативный ввод'!D86="","",'Оперативный ввод'!D86)</f>
        <v/>
      </c>
      <c r="E86" s="271">
        <f>IF(OR(C86="",D86=""),"",D86-C86)</f>
        <v/>
      </c>
      <c r="F86" s="172">
        <f>IF('Оперативный ввод'!F86="","",'Оперативный ввод'!F86)</f>
        <v/>
      </c>
      <c r="G86" s="172">
        <f>IF('Оперативный ввод'!G86="","",'Оперативный ввод'!G86)</f>
        <v/>
      </c>
      <c r="H86" s="172">
        <f>IF('Оперативный ввод'!H86="","",'Оперативный ввод'!H86)</f>
        <v/>
      </c>
      <c r="I86" s="172">
        <f>IF('Оперативный ввод'!I86="","",'Оперативный ввод'!I86)</f>
        <v/>
      </c>
      <c r="J86" s="172">
        <f>IF('Оперативный ввод'!J86="","",'Оперативный ввод'!J86)</f>
        <v/>
      </c>
      <c r="K86" s="172">
        <f>IF('Оперативный ввод'!K86="","",'Оперативный ввод'!K86)</f>
        <v/>
      </c>
      <c r="L86" s="172">
        <f>IF('Оперативный ввод'!L86="","",'Оперативный ввод'!L86)</f>
        <v/>
      </c>
      <c r="M86" s="172">
        <f>IF('Оперативный ввод'!M86="","",'Оперативный ввод'!M86)</f>
        <v/>
      </c>
      <c r="N86" s="172">
        <f>IF('Оперативный ввод'!N86="","",'Оперативный ввод'!N86)</f>
        <v/>
      </c>
      <c r="O86" s="172">
        <f>IF('Оперативный ввод'!O86="","",'Оперативный ввод'!O86)</f>
        <v/>
      </c>
      <c r="P86" s="205">
        <f>IF(AND(A86="",B86=""),"",IF(AND(A86&lt;&gt;"",B86&lt;&gt;"",C86&lt;&gt;"",D86&lt;&gt;"",F86&lt;&gt;"",G86&lt;&gt;"",H86&lt;&gt;"",ISERROR(SEARCH("по паспорту",G86)),ISERROR(SEARCH("по паспорту",H86)),I86&lt;&gt;"",J86&lt;&gt;"",K86&lt;&gt;"",L86&lt;&gt;"",M86&lt;&gt;""),"ГОТОВО","НЕ ГОТОВО"))</f>
        <v/>
      </c>
      <c r="Q86" s="205">
        <f>IF(P86&lt;&gt;"ГОТОВО","", "Предварительное заключение: "&amp;A86&amp;", скв. "&amp;B86&amp;". МРП: "&amp;E86&amp;" сут. ГНО: "&amp;F86&amp;", типоразмер "&amp;G86&amp;", марка "&amp;H86&amp;". Событие: "&amp;I86&amp;". Признак: "&amp;J86&amp;". Узел: "&amp;K86&amp;". Предварительная причина: "&amp;L86&amp;". Основное осложнение: "&amp;M86&amp;IF(N86&lt;&gt;"","; сопутствующее: "&amp;N86,"")&amp;IF(O86&lt;&gt;"","; дополнительно: "&amp;O86,"")&amp;".")</f>
        <v/>
      </c>
      <c r="R86" s="172">
        <f>IF('Оперативный ввод'!P86="","",'Оперативный ввод'!P86)</f>
        <v/>
      </c>
      <c r="S86" s="172">
        <f>IF('Оперативный ввод'!Q86="","",'Оперативный ввод'!Q86)</f>
        <v/>
      </c>
      <c r="T86" s="172">
        <f>IF('Оперативный ввод'!R86="","",'Оперативный ввод'!R86)</f>
        <v/>
      </c>
      <c r="U86" s="172">
        <f>IF('Оперативный ввод'!S86="","",'Оперативный ввод'!S86)</f>
        <v/>
      </c>
      <c r="V86" s="172">
        <f>IF('Оперативный ввод'!T86="","",'Оперативный ввод'!T86)</f>
        <v/>
      </c>
      <c r="W86" s="172" t="n"/>
      <c r="X86" s="172" t="n"/>
      <c r="Y86" s="172" t="n"/>
      <c r="Z86" s="172" t="n"/>
      <c r="AA86" s="172">
        <f>IF('Оперативный ввод'!U86="","",'Оперативный ввод'!U86)</f>
        <v/>
      </c>
      <c r="AB86" s="172">
        <f>IF('Оперативный ввод'!V86="","",'Оперативный ввод'!V86)</f>
        <v/>
      </c>
      <c r="AC86" s="172">
        <f>IF('Оперативный ввод'!W86="","",'Оперативный ввод'!W86)</f>
        <v/>
      </c>
      <c r="BB86" s="172" t="n"/>
      <c r="BC86" s="172" t="n"/>
      <c r="BD86" s="205">
        <f>IF(AND(A86="",B86=""),"",IF(AND(P86="ГОТОВО",R86&lt;&gt;"",T86&lt;&gt;"",U86&lt;&gt;"",AA86&lt;&gt;"",AB86&lt;&gt;"",AC86&lt;&gt;"",BB86&lt;&gt;"",BC86&lt;&gt;""),"ГОТОВО","НЕ ГОТОВО"))</f>
        <v/>
      </c>
      <c r="BE86" s="205">
        <f>IF(BD86&lt;&gt;"ГОТОВО","","Полное заключение: "&amp;A86&amp;", скв. "&amp;B86&amp;". МРП: "&amp;E86&amp;" сут. ГНО: "&amp;F86&amp;"; причина: "&amp;U86&amp;"; категория: "&amp;V86&amp;"; решение комиссии: "&amp;BB86&amp;".")</f>
        <v/>
      </c>
      <c r="BF86" s="173">
        <f>IF('Оперативный ввод'!X86="","",'Оперативный ввод'!X86)</f>
        <v/>
      </c>
    </row>
    <row r="87">
      <c r="A87" s="171">
        <f>IF('Оперативный ввод'!A87="","",'Оперативный ввод'!A87)</f>
        <v/>
      </c>
      <c r="B87" s="172">
        <f>IF('Оперативный ввод'!B87="","",'Оперативный ввод'!B87)</f>
        <v/>
      </c>
      <c r="C87" s="270">
        <f>IF('Оперативный ввод'!C87="","",'Оперативный ввод'!C87)</f>
        <v/>
      </c>
      <c r="D87" s="270">
        <f>IF('Оперативный ввод'!D87="","",'Оперативный ввод'!D87)</f>
        <v/>
      </c>
      <c r="E87" s="271">
        <f>IF(OR(C87="",D87=""),"",D87-C87)</f>
        <v/>
      </c>
      <c r="F87" s="172">
        <f>IF('Оперативный ввод'!F87="","",'Оперативный ввод'!F87)</f>
        <v/>
      </c>
      <c r="G87" s="172">
        <f>IF('Оперативный ввод'!G87="","",'Оперативный ввод'!G87)</f>
        <v/>
      </c>
      <c r="H87" s="172">
        <f>IF('Оперативный ввод'!H87="","",'Оперативный ввод'!H87)</f>
        <v/>
      </c>
      <c r="I87" s="172">
        <f>IF('Оперативный ввод'!I87="","",'Оперативный ввод'!I87)</f>
        <v/>
      </c>
      <c r="J87" s="172">
        <f>IF('Оперативный ввод'!J87="","",'Оперативный ввод'!J87)</f>
        <v/>
      </c>
      <c r="K87" s="172">
        <f>IF('Оперативный ввод'!K87="","",'Оперативный ввод'!K87)</f>
        <v/>
      </c>
      <c r="L87" s="172">
        <f>IF('Оперативный ввод'!L87="","",'Оперативный ввод'!L87)</f>
        <v/>
      </c>
      <c r="M87" s="172">
        <f>IF('Оперативный ввод'!M87="","",'Оперативный ввод'!M87)</f>
        <v/>
      </c>
      <c r="N87" s="172">
        <f>IF('Оперативный ввод'!N87="","",'Оперативный ввод'!N87)</f>
        <v/>
      </c>
      <c r="O87" s="172">
        <f>IF('Оперативный ввод'!O87="","",'Оперативный ввод'!O87)</f>
        <v/>
      </c>
      <c r="P87" s="205">
        <f>IF(AND(A87="",B87=""),"",IF(AND(A87&lt;&gt;"",B87&lt;&gt;"",C87&lt;&gt;"",D87&lt;&gt;"",F87&lt;&gt;"",G87&lt;&gt;"",H87&lt;&gt;"",ISERROR(SEARCH("по паспорту",G87)),ISERROR(SEARCH("по паспорту",H87)),I87&lt;&gt;"",J87&lt;&gt;"",K87&lt;&gt;"",L87&lt;&gt;"",M87&lt;&gt;""),"ГОТОВО","НЕ ГОТОВО"))</f>
        <v/>
      </c>
      <c r="Q87" s="205">
        <f>IF(P87&lt;&gt;"ГОТОВО","", "Предварительное заключение: "&amp;A87&amp;", скв. "&amp;B87&amp;". МРП: "&amp;E87&amp;" сут. ГНО: "&amp;F87&amp;", типоразмер "&amp;G87&amp;", марка "&amp;H87&amp;". Событие: "&amp;I87&amp;". Признак: "&amp;J87&amp;". Узел: "&amp;K87&amp;". Предварительная причина: "&amp;L87&amp;". Основное осложнение: "&amp;M87&amp;IF(N87&lt;&gt;"","; сопутствующее: "&amp;N87,"")&amp;IF(O87&lt;&gt;"","; дополнительно: "&amp;O87,"")&amp;".")</f>
        <v/>
      </c>
      <c r="R87" s="172">
        <f>IF('Оперативный ввод'!P87="","",'Оперативный ввод'!P87)</f>
        <v/>
      </c>
      <c r="S87" s="172">
        <f>IF('Оперативный ввод'!Q87="","",'Оперативный ввод'!Q87)</f>
        <v/>
      </c>
      <c r="T87" s="172">
        <f>IF('Оперативный ввод'!R87="","",'Оперативный ввод'!R87)</f>
        <v/>
      </c>
      <c r="U87" s="172">
        <f>IF('Оперативный ввод'!S87="","",'Оперативный ввод'!S87)</f>
        <v/>
      </c>
      <c r="V87" s="172">
        <f>IF('Оперативный ввод'!T87="","",'Оперативный ввод'!T87)</f>
        <v/>
      </c>
      <c r="W87" s="172" t="n"/>
      <c r="X87" s="172" t="n"/>
      <c r="Y87" s="172" t="n"/>
      <c r="Z87" s="172" t="n"/>
      <c r="AA87" s="172">
        <f>IF('Оперативный ввод'!U87="","",'Оперативный ввод'!U87)</f>
        <v/>
      </c>
      <c r="AB87" s="172">
        <f>IF('Оперативный ввод'!V87="","",'Оперативный ввод'!V87)</f>
        <v/>
      </c>
      <c r="AC87" s="172">
        <f>IF('Оперативный ввод'!W87="","",'Оперативный ввод'!W87)</f>
        <v/>
      </c>
      <c r="BB87" s="172" t="n"/>
      <c r="BC87" s="172" t="n"/>
      <c r="BD87" s="205">
        <f>IF(AND(A87="",B87=""),"",IF(AND(P87="ГОТОВО",R87&lt;&gt;"",T87&lt;&gt;"",U87&lt;&gt;"",AA87&lt;&gt;"",AB87&lt;&gt;"",AC87&lt;&gt;"",BB87&lt;&gt;"",BC87&lt;&gt;""),"ГОТОВО","НЕ ГОТОВО"))</f>
        <v/>
      </c>
      <c r="BE87" s="205">
        <f>IF(BD87&lt;&gt;"ГОТОВО","","Полное заключение: "&amp;A87&amp;", скв. "&amp;B87&amp;". МРП: "&amp;E87&amp;" сут. ГНО: "&amp;F87&amp;"; причина: "&amp;U87&amp;"; категория: "&amp;V87&amp;"; решение комиссии: "&amp;BB87&amp;".")</f>
        <v/>
      </c>
      <c r="BF87" s="173">
        <f>IF('Оперативный ввод'!X87="","",'Оперативный ввод'!X87)</f>
        <v/>
      </c>
    </row>
    <row r="88">
      <c r="A88" s="171">
        <f>IF('Оперативный ввод'!A88="","",'Оперативный ввод'!A88)</f>
        <v/>
      </c>
      <c r="B88" s="172">
        <f>IF('Оперативный ввод'!B88="","",'Оперативный ввод'!B88)</f>
        <v/>
      </c>
      <c r="C88" s="270">
        <f>IF('Оперативный ввод'!C88="","",'Оперативный ввод'!C88)</f>
        <v/>
      </c>
      <c r="D88" s="270">
        <f>IF('Оперативный ввод'!D88="","",'Оперативный ввод'!D88)</f>
        <v/>
      </c>
      <c r="E88" s="271">
        <f>IF(OR(C88="",D88=""),"",D88-C88)</f>
        <v/>
      </c>
      <c r="F88" s="172">
        <f>IF('Оперативный ввод'!F88="","",'Оперативный ввод'!F88)</f>
        <v/>
      </c>
      <c r="G88" s="172">
        <f>IF('Оперативный ввод'!G88="","",'Оперативный ввод'!G88)</f>
        <v/>
      </c>
      <c r="H88" s="172">
        <f>IF('Оперативный ввод'!H88="","",'Оперативный ввод'!H88)</f>
        <v/>
      </c>
      <c r="I88" s="172">
        <f>IF('Оперативный ввод'!I88="","",'Оперативный ввод'!I88)</f>
        <v/>
      </c>
      <c r="J88" s="172">
        <f>IF('Оперативный ввод'!J88="","",'Оперативный ввод'!J88)</f>
        <v/>
      </c>
      <c r="K88" s="172">
        <f>IF('Оперативный ввод'!K88="","",'Оперативный ввод'!K88)</f>
        <v/>
      </c>
      <c r="L88" s="172">
        <f>IF('Оперативный ввод'!L88="","",'Оперативный ввод'!L88)</f>
        <v/>
      </c>
      <c r="M88" s="172">
        <f>IF('Оперативный ввод'!M88="","",'Оперативный ввод'!M88)</f>
        <v/>
      </c>
      <c r="N88" s="172">
        <f>IF('Оперативный ввод'!N88="","",'Оперативный ввод'!N88)</f>
        <v/>
      </c>
      <c r="O88" s="172">
        <f>IF('Оперативный ввод'!O88="","",'Оперативный ввод'!O88)</f>
        <v/>
      </c>
      <c r="P88" s="205">
        <f>IF(AND(A88="",B88=""),"",IF(AND(A88&lt;&gt;"",B88&lt;&gt;"",C88&lt;&gt;"",D88&lt;&gt;"",F88&lt;&gt;"",G88&lt;&gt;"",H88&lt;&gt;"",ISERROR(SEARCH("по паспорту",G88)),ISERROR(SEARCH("по паспорту",H88)),I88&lt;&gt;"",J88&lt;&gt;"",K88&lt;&gt;"",L88&lt;&gt;"",M88&lt;&gt;""),"ГОТОВО","НЕ ГОТОВО"))</f>
        <v/>
      </c>
      <c r="Q88" s="205">
        <f>IF(P88&lt;&gt;"ГОТОВО","", "Предварительное заключение: "&amp;A88&amp;", скв. "&amp;B88&amp;". МРП: "&amp;E88&amp;" сут. ГНО: "&amp;F88&amp;", типоразмер "&amp;G88&amp;", марка "&amp;H88&amp;". Событие: "&amp;I88&amp;". Признак: "&amp;J88&amp;". Узел: "&amp;K88&amp;". Предварительная причина: "&amp;L88&amp;". Основное осложнение: "&amp;M88&amp;IF(N88&lt;&gt;"","; сопутствующее: "&amp;N88,"")&amp;IF(O88&lt;&gt;"","; дополнительно: "&amp;O88,"")&amp;".")</f>
        <v/>
      </c>
      <c r="R88" s="172">
        <f>IF('Оперативный ввод'!P88="","",'Оперативный ввод'!P88)</f>
        <v/>
      </c>
      <c r="S88" s="172">
        <f>IF('Оперативный ввод'!Q88="","",'Оперативный ввод'!Q88)</f>
        <v/>
      </c>
      <c r="T88" s="172">
        <f>IF('Оперативный ввод'!R88="","",'Оперативный ввод'!R88)</f>
        <v/>
      </c>
      <c r="U88" s="172">
        <f>IF('Оперативный ввод'!S88="","",'Оперативный ввод'!S88)</f>
        <v/>
      </c>
      <c r="V88" s="172">
        <f>IF('Оперативный ввод'!T88="","",'Оперативный ввод'!T88)</f>
        <v/>
      </c>
      <c r="W88" s="172" t="n"/>
      <c r="X88" s="172" t="n"/>
      <c r="Y88" s="172" t="n"/>
      <c r="Z88" s="172" t="n"/>
      <c r="AA88" s="172">
        <f>IF('Оперативный ввод'!U88="","",'Оперативный ввод'!U88)</f>
        <v/>
      </c>
      <c r="AB88" s="172">
        <f>IF('Оперативный ввод'!V88="","",'Оперативный ввод'!V88)</f>
        <v/>
      </c>
      <c r="AC88" s="172">
        <f>IF('Оперативный ввод'!W88="","",'Оперативный ввод'!W88)</f>
        <v/>
      </c>
      <c r="BB88" s="172" t="n"/>
      <c r="BC88" s="172" t="n"/>
      <c r="BD88" s="205">
        <f>IF(AND(A88="",B88=""),"",IF(AND(P88="ГОТОВО",R88&lt;&gt;"",T88&lt;&gt;"",U88&lt;&gt;"",AA88&lt;&gt;"",AB88&lt;&gt;"",AC88&lt;&gt;"",BB88&lt;&gt;"",BC88&lt;&gt;""),"ГОТОВО","НЕ ГОТОВО"))</f>
        <v/>
      </c>
      <c r="BE88" s="205">
        <f>IF(BD88&lt;&gt;"ГОТОВО","","Полное заключение: "&amp;A88&amp;", скв. "&amp;B88&amp;". МРП: "&amp;E88&amp;" сут. ГНО: "&amp;F88&amp;"; причина: "&amp;U88&amp;"; категория: "&amp;V88&amp;"; решение комиссии: "&amp;BB88&amp;".")</f>
        <v/>
      </c>
      <c r="BF88" s="173">
        <f>IF('Оперативный ввод'!X88="","",'Оперативный ввод'!X88)</f>
        <v/>
      </c>
    </row>
    <row r="89">
      <c r="A89" s="171">
        <f>IF('Оперативный ввод'!A89="","",'Оперативный ввод'!A89)</f>
        <v/>
      </c>
      <c r="B89" s="172">
        <f>IF('Оперативный ввод'!B89="","",'Оперативный ввод'!B89)</f>
        <v/>
      </c>
      <c r="C89" s="270">
        <f>IF('Оперативный ввод'!C89="","",'Оперативный ввод'!C89)</f>
        <v/>
      </c>
      <c r="D89" s="270">
        <f>IF('Оперативный ввод'!D89="","",'Оперативный ввод'!D89)</f>
        <v/>
      </c>
      <c r="E89" s="271">
        <f>IF(OR(C89="",D89=""),"",D89-C89)</f>
        <v/>
      </c>
      <c r="F89" s="172">
        <f>IF('Оперативный ввод'!F89="","",'Оперативный ввод'!F89)</f>
        <v/>
      </c>
      <c r="G89" s="172">
        <f>IF('Оперативный ввод'!G89="","",'Оперативный ввод'!G89)</f>
        <v/>
      </c>
      <c r="H89" s="172">
        <f>IF('Оперативный ввод'!H89="","",'Оперативный ввод'!H89)</f>
        <v/>
      </c>
      <c r="I89" s="172">
        <f>IF('Оперативный ввод'!I89="","",'Оперативный ввод'!I89)</f>
        <v/>
      </c>
      <c r="J89" s="172">
        <f>IF('Оперативный ввод'!J89="","",'Оперативный ввод'!J89)</f>
        <v/>
      </c>
      <c r="K89" s="172">
        <f>IF('Оперативный ввод'!K89="","",'Оперативный ввод'!K89)</f>
        <v/>
      </c>
      <c r="L89" s="172">
        <f>IF('Оперативный ввод'!L89="","",'Оперативный ввод'!L89)</f>
        <v/>
      </c>
      <c r="M89" s="172">
        <f>IF('Оперативный ввод'!M89="","",'Оперативный ввод'!M89)</f>
        <v/>
      </c>
      <c r="N89" s="172">
        <f>IF('Оперативный ввод'!N89="","",'Оперативный ввод'!N89)</f>
        <v/>
      </c>
      <c r="O89" s="172">
        <f>IF('Оперативный ввод'!O89="","",'Оперативный ввод'!O89)</f>
        <v/>
      </c>
      <c r="P89" s="205">
        <f>IF(AND(A89="",B89=""),"",IF(AND(A89&lt;&gt;"",B89&lt;&gt;"",C89&lt;&gt;"",D89&lt;&gt;"",F89&lt;&gt;"",G89&lt;&gt;"",H89&lt;&gt;"",ISERROR(SEARCH("по паспорту",G89)),ISERROR(SEARCH("по паспорту",H89)),I89&lt;&gt;"",J89&lt;&gt;"",K89&lt;&gt;"",L89&lt;&gt;"",M89&lt;&gt;""),"ГОТОВО","НЕ ГОТОВО"))</f>
        <v/>
      </c>
      <c r="Q89" s="205">
        <f>IF(P89&lt;&gt;"ГОТОВО","", "Предварительное заключение: "&amp;A89&amp;", скв. "&amp;B89&amp;". МРП: "&amp;E89&amp;" сут. ГНО: "&amp;F89&amp;", типоразмер "&amp;G89&amp;", марка "&amp;H89&amp;". Событие: "&amp;I89&amp;". Признак: "&amp;J89&amp;". Узел: "&amp;K89&amp;". Предварительная причина: "&amp;L89&amp;". Основное осложнение: "&amp;M89&amp;IF(N89&lt;&gt;"","; сопутствующее: "&amp;N89,"")&amp;IF(O89&lt;&gt;"","; дополнительно: "&amp;O89,"")&amp;".")</f>
        <v/>
      </c>
      <c r="R89" s="172">
        <f>IF('Оперативный ввод'!P89="","",'Оперативный ввод'!P89)</f>
        <v/>
      </c>
      <c r="S89" s="172">
        <f>IF('Оперативный ввод'!Q89="","",'Оперативный ввод'!Q89)</f>
        <v/>
      </c>
      <c r="T89" s="172">
        <f>IF('Оперативный ввод'!R89="","",'Оперативный ввод'!R89)</f>
        <v/>
      </c>
      <c r="U89" s="172">
        <f>IF('Оперативный ввод'!S89="","",'Оперативный ввод'!S89)</f>
        <v/>
      </c>
      <c r="V89" s="172">
        <f>IF('Оперативный ввод'!T89="","",'Оперативный ввод'!T89)</f>
        <v/>
      </c>
      <c r="W89" s="172" t="n"/>
      <c r="X89" s="172" t="n"/>
      <c r="Y89" s="172" t="n"/>
      <c r="Z89" s="172" t="n"/>
      <c r="AA89" s="172">
        <f>IF('Оперативный ввод'!U89="","",'Оперативный ввод'!U89)</f>
        <v/>
      </c>
      <c r="AB89" s="172">
        <f>IF('Оперативный ввод'!V89="","",'Оперативный ввод'!V89)</f>
        <v/>
      </c>
      <c r="AC89" s="172">
        <f>IF('Оперативный ввод'!W89="","",'Оперативный ввод'!W89)</f>
        <v/>
      </c>
      <c r="BB89" s="172" t="n"/>
      <c r="BC89" s="172" t="n"/>
      <c r="BD89" s="205">
        <f>IF(AND(A89="",B89=""),"",IF(AND(P89="ГОТОВО",R89&lt;&gt;"",T89&lt;&gt;"",U89&lt;&gt;"",AA89&lt;&gt;"",AB89&lt;&gt;"",AC89&lt;&gt;"",BB89&lt;&gt;"",BC89&lt;&gt;""),"ГОТОВО","НЕ ГОТОВО"))</f>
        <v/>
      </c>
      <c r="BE89" s="205">
        <f>IF(BD89&lt;&gt;"ГОТОВО","","Полное заключение: "&amp;A89&amp;", скв. "&amp;B89&amp;". МРП: "&amp;E89&amp;" сут. ГНО: "&amp;F89&amp;"; причина: "&amp;U89&amp;"; категория: "&amp;V89&amp;"; решение комиссии: "&amp;BB89&amp;".")</f>
        <v/>
      </c>
      <c r="BF89" s="173">
        <f>IF('Оперативный ввод'!X89="","",'Оперативный ввод'!X89)</f>
        <v/>
      </c>
    </row>
    <row r="90">
      <c r="A90" s="171">
        <f>IF('Оперативный ввод'!A90="","",'Оперативный ввод'!A90)</f>
        <v/>
      </c>
      <c r="B90" s="172">
        <f>IF('Оперативный ввод'!B90="","",'Оперативный ввод'!B90)</f>
        <v/>
      </c>
      <c r="C90" s="270">
        <f>IF('Оперативный ввод'!C90="","",'Оперативный ввод'!C90)</f>
        <v/>
      </c>
      <c r="D90" s="270">
        <f>IF('Оперативный ввод'!D90="","",'Оперативный ввод'!D90)</f>
        <v/>
      </c>
      <c r="E90" s="271">
        <f>IF(OR(C90="",D90=""),"",D90-C90)</f>
        <v/>
      </c>
      <c r="F90" s="172">
        <f>IF('Оперативный ввод'!F90="","",'Оперативный ввод'!F90)</f>
        <v/>
      </c>
      <c r="G90" s="172">
        <f>IF('Оперативный ввод'!G90="","",'Оперативный ввод'!G90)</f>
        <v/>
      </c>
      <c r="H90" s="172">
        <f>IF('Оперативный ввод'!H90="","",'Оперативный ввод'!H90)</f>
        <v/>
      </c>
      <c r="I90" s="172">
        <f>IF('Оперативный ввод'!I90="","",'Оперативный ввод'!I90)</f>
        <v/>
      </c>
      <c r="J90" s="172">
        <f>IF('Оперативный ввод'!J90="","",'Оперативный ввод'!J90)</f>
        <v/>
      </c>
      <c r="K90" s="172">
        <f>IF('Оперативный ввод'!K90="","",'Оперативный ввод'!K90)</f>
        <v/>
      </c>
      <c r="L90" s="172">
        <f>IF('Оперативный ввод'!L90="","",'Оперативный ввод'!L90)</f>
        <v/>
      </c>
      <c r="M90" s="172">
        <f>IF('Оперативный ввод'!M90="","",'Оперативный ввод'!M90)</f>
        <v/>
      </c>
      <c r="N90" s="172">
        <f>IF('Оперативный ввод'!N90="","",'Оперативный ввод'!N90)</f>
        <v/>
      </c>
      <c r="O90" s="172">
        <f>IF('Оперативный ввод'!O90="","",'Оперативный ввод'!O90)</f>
        <v/>
      </c>
      <c r="P90" s="205">
        <f>IF(AND(A90="",B90=""),"",IF(AND(A90&lt;&gt;"",B90&lt;&gt;"",C90&lt;&gt;"",D90&lt;&gt;"",F90&lt;&gt;"",G90&lt;&gt;"",H90&lt;&gt;"",ISERROR(SEARCH("по паспорту",G90)),ISERROR(SEARCH("по паспорту",H90)),I90&lt;&gt;"",J90&lt;&gt;"",K90&lt;&gt;"",L90&lt;&gt;"",M90&lt;&gt;""),"ГОТОВО","НЕ ГОТОВО"))</f>
        <v/>
      </c>
      <c r="Q90" s="205">
        <f>IF(P90&lt;&gt;"ГОТОВО","", "Предварительное заключение: "&amp;A90&amp;", скв. "&amp;B90&amp;". МРП: "&amp;E90&amp;" сут. ГНО: "&amp;F90&amp;", типоразмер "&amp;G90&amp;", марка "&amp;H90&amp;". Событие: "&amp;I90&amp;". Признак: "&amp;J90&amp;". Узел: "&amp;K90&amp;". Предварительная причина: "&amp;L90&amp;". Основное осложнение: "&amp;M90&amp;IF(N90&lt;&gt;"","; сопутствующее: "&amp;N90,"")&amp;IF(O90&lt;&gt;"","; дополнительно: "&amp;O90,"")&amp;".")</f>
        <v/>
      </c>
      <c r="R90" s="172">
        <f>IF('Оперативный ввод'!P90="","",'Оперативный ввод'!P90)</f>
        <v/>
      </c>
      <c r="S90" s="172">
        <f>IF('Оперативный ввод'!Q90="","",'Оперативный ввод'!Q90)</f>
        <v/>
      </c>
      <c r="T90" s="172">
        <f>IF('Оперативный ввод'!R90="","",'Оперативный ввод'!R90)</f>
        <v/>
      </c>
      <c r="U90" s="172">
        <f>IF('Оперативный ввод'!S90="","",'Оперативный ввод'!S90)</f>
        <v/>
      </c>
      <c r="V90" s="172">
        <f>IF('Оперативный ввод'!T90="","",'Оперативный ввод'!T90)</f>
        <v/>
      </c>
      <c r="W90" s="172" t="n"/>
      <c r="X90" s="172" t="n"/>
      <c r="Y90" s="172" t="n"/>
      <c r="Z90" s="172" t="n"/>
      <c r="AA90" s="172">
        <f>IF('Оперативный ввод'!U90="","",'Оперативный ввод'!U90)</f>
        <v/>
      </c>
      <c r="AB90" s="172">
        <f>IF('Оперативный ввод'!V90="","",'Оперативный ввод'!V90)</f>
        <v/>
      </c>
      <c r="AC90" s="172">
        <f>IF('Оперативный ввод'!W90="","",'Оперативный ввод'!W90)</f>
        <v/>
      </c>
      <c r="BB90" s="172" t="n"/>
      <c r="BC90" s="172" t="n"/>
      <c r="BD90" s="205">
        <f>IF(AND(A90="",B90=""),"",IF(AND(P90="ГОТОВО",R90&lt;&gt;"",T90&lt;&gt;"",U90&lt;&gt;"",AA90&lt;&gt;"",AB90&lt;&gt;"",AC90&lt;&gt;"",BB90&lt;&gt;"",BC90&lt;&gt;""),"ГОТОВО","НЕ ГОТОВО"))</f>
        <v/>
      </c>
      <c r="BE90" s="205">
        <f>IF(BD90&lt;&gt;"ГОТОВО","","Полное заключение: "&amp;A90&amp;", скв. "&amp;B90&amp;". МРП: "&amp;E90&amp;" сут. ГНО: "&amp;F90&amp;"; причина: "&amp;U90&amp;"; категория: "&amp;V90&amp;"; решение комиссии: "&amp;BB90&amp;".")</f>
        <v/>
      </c>
      <c r="BF90" s="173">
        <f>IF('Оперативный ввод'!X90="","",'Оперативный ввод'!X90)</f>
        <v/>
      </c>
    </row>
    <row r="91">
      <c r="A91" s="171">
        <f>IF('Оперативный ввод'!A91="","",'Оперативный ввод'!A91)</f>
        <v/>
      </c>
      <c r="B91" s="172">
        <f>IF('Оперативный ввод'!B91="","",'Оперативный ввод'!B91)</f>
        <v/>
      </c>
      <c r="C91" s="270">
        <f>IF('Оперативный ввод'!C91="","",'Оперативный ввод'!C91)</f>
        <v/>
      </c>
      <c r="D91" s="270">
        <f>IF('Оперативный ввод'!D91="","",'Оперативный ввод'!D91)</f>
        <v/>
      </c>
      <c r="E91" s="271">
        <f>IF(OR(C91="",D91=""),"",D91-C91)</f>
        <v/>
      </c>
      <c r="F91" s="172">
        <f>IF('Оперативный ввод'!F91="","",'Оперативный ввод'!F91)</f>
        <v/>
      </c>
      <c r="G91" s="172">
        <f>IF('Оперативный ввод'!G91="","",'Оперативный ввод'!G91)</f>
        <v/>
      </c>
      <c r="H91" s="172">
        <f>IF('Оперативный ввод'!H91="","",'Оперативный ввод'!H91)</f>
        <v/>
      </c>
      <c r="I91" s="172">
        <f>IF('Оперативный ввод'!I91="","",'Оперативный ввод'!I91)</f>
        <v/>
      </c>
      <c r="J91" s="172">
        <f>IF('Оперативный ввод'!J91="","",'Оперативный ввод'!J91)</f>
        <v/>
      </c>
      <c r="K91" s="172">
        <f>IF('Оперативный ввод'!K91="","",'Оперативный ввод'!K91)</f>
        <v/>
      </c>
      <c r="L91" s="172">
        <f>IF('Оперативный ввод'!L91="","",'Оперативный ввод'!L91)</f>
        <v/>
      </c>
      <c r="M91" s="172">
        <f>IF('Оперативный ввод'!M91="","",'Оперативный ввод'!M91)</f>
        <v/>
      </c>
      <c r="N91" s="172">
        <f>IF('Оперативный ввод'!N91="","",'Оперативный ввод'!N91)</f>
        <v/>
      </c>
      <c r="O91" s="172">
        <f>IF('Оперативный ввод'!O91="","",'Оперативный ввод'!O91)</f>
        <v/>
      </c>
      <c r="P91" s="205">
        <f>IF(AND(A91="",B91=""),"",IF(AND(A91&lt;&gt;"",B91&lt;&gt;"",C91&lt;&gt;"",D91&lt;&gt;"",F91&lt;&gt;"",G91&lt;&gt;"",H91&lt;&gt;"",ISERROR(SEARCH("по паспорту",G91)),ISERROR(SEARCH("по паспорту",H91)),I91&lt;&gt;"",J91&lt;&gt;"",K91&lt;&gt;"",L91&lt;&gt;"",M91&lt;&gt;""),"ГОТОВО","НЕ ГОТОВО"))</f>
        <v/>
      </c>
      <c r="Q91" s="205">
        <f>IF(P91&lt;&gt;"ГОТОВО","", "Предварительное заключение: "&amp;A91&amp;", скв. "&amp;B91&amp;". МРП: "&amp;E91&amp;" сут. ГНО: "&amp;F91&amp;", типоразмер "&amp;G91&amp;", марка "&amp;H91&amp;". Событие: "&amp;I91&amp;". Признак: "&amp;J91&amp;". Узел: "&amp;K91&amp;". Предварительная причина: "&amp;L91&amp;". Основное осложнение: "&amp;M91&amp;IF(N91&lt;&gt;"","; сопутствующее: "&amp;N91,"")&amp;IF(O91&lt;&gt;"","; дополнительно: "&amp;O91,"")&amp;".")</f>
        <v/>
      </c>
      <c r="R91" s="172">
        <f>IF('Оперативный ввод'!P91="","",'Оперативный ввод'!P91)</f>
        <v/>
      </c>
      <c r="S91" s="172">
        <f>IF('Оперативный ввод'!Q91="","",'Оперативный ввод'!Q91)</f>
        <v/>
      </c>
      <c r="T91" s="172">
        <f>IF('Оперативный ввод'!R91="","",'Оперативный ввод'!R91)</f>
        <v/>
      </c>
      <c r="U91" s="172">
        <f>IF('Оперативный ввод'!S91="","",'Оперативный ввод'!S91)</f>
        <v/>
      </c>
      <c r="V91" s="172">
        <f>IF('Оперативный ввод'!T91="","",'Оперативный ввод'!T91)</f>
        <v/>
      </c>
      <c r="W91" s="172" t="n"/>
      <c r="X91" s="172" t="n"/>
      <c r="Y91" s="172" t="n"/>
      <c r="Z91" s="172" t="n"/>
      <c r="AA91" s="172">
        <f>IF('Оперативный ввод'!U91="","",'Оперативный ввод'!U91)</f>
        <v/>
      </c>
      <c r="AB91" s="172">
        <f>IF('Оперативный ввод'!V91="","",'Оперативный ввод'!V91)</f>
        <v/>
      </c>
      <c r="AC91" s="172">
        <f>IF('Оперативный ввод'!W91="","",'Оперативный ввод'!W91)</f>
        <v/>
      </c>
      <c r="BB91" s="172" t="n"/>
      <c r="BC91" s="172" t="n"/>
      <c r="BD91" s="205">
        <f>IF(AND(A91="",B91=""),"",IF(AND(P91="ГОТОВО",R91&lt;&gt;"",T91&lt;&gt;"",U91&lt;&gt;"",AA91&lt;&gt;"",AB91&lt;&gt;"",AC91&lt;&gt;"",BB91&lt;&gt;"",BC91&lt;&gt;""),"ГОТОВО","НЕ ГОТОВО"))</f>
        <v/>
      </c>
      <c r="BE91" s="205">
        <f>IF(BD91&lt;&gt;"ГОТОВО","","Полное заключение: "&amp;A91&amp;", скв. "&amp;B91&amp;". МРП: "&amp;E91&amp;" сут. ГНО: "&amp;F91&amp;"; причина: "&amp;U91&amp;"; категория: "&amp;V91&amp;"; решение комиссии: "&amp;BB91&amp;".")</f>
        <v/>
      </c>
      <c r="BF91" s="173">
        <f>IF('Оперативный ввод'!X91="","",'Оперативный ввод'!X91)</f>
        <v/>
      </c>
    </row>
    <row r="92">
      <c r="A92" s="171">
        <f>IF('Оперативный ввод'!A92="","",'Оперативный ввод'!A92)</f>
        <v/>
      </c>
      <c r="B92" s="172">
        <f>IF('Оперативный ввод'!B92="","",'Оперативный ввод'!B92)</f>
        <v/>
      </c>
      <c r="C92" s="270">
        <f>IF('Оперативный ввод'!C92="","",'Оперативный ввод'!C92)</f>
        <v/>
      </c>
      <c r="D92" s="270">
        <f>IF('Оперативный ввод'!D92="","",'Оперативный ввод'!D92)</f>
        <v/>
      </c>
      <c r="E92" s="271">
        <f>IF(OR(C92="",D92=""),"",D92-C92)</f>
        <v/>
      </c>
      <c r="F92" s="172">
        <f>IF('Оперативный ввод'!F92="","",'Оперативный ввод'!F92)</f>
        <v/>
      </c>
      <c r="G92" s="172">
        <f>IF('Оперативный ввод'!G92="","",'Оперативный ввод'!G92)</f>
        <v/>
      </c>
      <c r="H92" s="172">
        <f>IF('Оперативный ввод'!H92="","",'Оперативный ввод'!H92)</f>
        <v/>
      </c>
      <c r="I92" s="172">
        <f>IF('Оперативный ввод'!I92="","",'Оперативный ввод'!I92)</f>
        <v/>
      </c>
      <c r="J92" s="172">
        <f>IF('Оперативный ввод'!J92="","",'Оперативный ввод'!J92)</f>
        <v/>
      </c>
      <c r="K92" s="172">
        <f>IF('Оперативный ввод'!K92="","",'Оперативный ввод'!K92)</f>
        <v/>
      </c>
      <c r="L92" s="172">
        <f>IF('Оперативный ввод'!L92="","",'Оперативный ввод'!L92)</f>
        <v/>
      </c>
      <c r="M92" s="172">
        <f>IF('Оперативный ввод'!M92="","",'Оперативный ввод'!M92)</f>
        <v/>
      </c>
      <c r="N92" s="172">
        <f>IF('Оперативный ввод'!N92="","",'Оперативный ввод'!N92)</f>
        <v/>
      </c>
      <c r="O92" s="172">
        <f>IF('Оперативный ввод'!O92="","",'Оперативный ввод'!O92)</f>
        <v/>
      </c>
      <c r="P92" s="205">
        <f>IF(AND(A92="",B92=""),"",IF(AND(A92&lt;&gt;"",B92&lt;&gt;"",C92&lt;&gt;"",D92&lt;&gt;"",F92&lt;&gt;"",G92&lt;&gt;"",H92&lt;&gt;"",ISERROR(SEARCH("по паспорту",G92)),ISERROR(SEARCH("по паспорту",H92)),I92&lt;&gt;"",J92&lt;&gt;"",K92&lt;&gt;"",L92&lt;&gt;"",M92&lt;&gt;""),"ГОТОВО","НЕ ГОТОВО"))</f>
        <v/>
      </c>
      <c r="Q92" s="205">
        <f>IF(P92&lt;&gt;"ГОТОВО","", "Предварительное заключение: "&amp;A92&amp;", скв. "&amp;B92&amp;". МРП: "&amp;E92&amp;" сут. ГНО: "&amp;F92&amp;", типоразмер "&amp;G92&amp;", марка "&amp;H92&amp;". Событие: "&amp;I92&amp;". Признак: "&amp;J92&amp;". Узел: "&amp;K92&amp;". Предварительная причина: "&amp;L92&amp;". Основное осложнение: "&amp;M92&amp;IF(N92&lt;&gt;"","; сопутствующее: "&amp;N92,"")&amp;IF(O92&lt;&gt;"","; дополнительно: "&amp;O92,"")&amp;".")</f>
        <v/>
      </c>
      <c r="R92" s="172">
        <f>IF('Оперативный ввод'!P92="","",'Оперативный ввод'!P92)</f>
        <v/>
      </c>
      <c r="S92" s="172">
        <f>IF('Оперативный ввод'!Q92="","",'Оперативный ввод'!Q92)</f>
        <v/>
      </c>
      <c r="T92" s="172">
        <f>IF('Оперативный ввод'!R92="","",'Оперативный ввод'!R92)</f>
        <v/>
      </c>
      <c r="U92" s="172">
        <f>IF('Оперативный ввод'!S92="","",'Оперативный ввод'!S92)</f>
        <v/>
      </c>
      <c r="V92" s="172">
        <f>IF('Оперативный ввод'!T92="","",'Оперативный ввод'!T92)</f>
        <v/>
      </c>
      <c r="W92" s="172" t="n"/>
      <c r="X92" s="172" t="n"/>
      <c r="Y92" s="172" t="n"/>
      <c r="Z92" s="172" t="n"/>
      <c r="AA92" s="172">
        <f>IF('Оперативный ввод'!U92="","",'Оперативный ввод'!U92)</f>
        <v/>
      </c>
      <c r="AB92" s="172">
        <f>IF('Оперативный ввод'!V92="","",'Оперативный ввод'!V92)</f>
        <v/>
      </c>
      <c r="AC92" s="172">
        <f>IF('Оперативный ввод'!W92="","",'Оперативный ввод'!W92)</f>
        <v/>
      </c>
      <c r="BB92" s="172" t="n"/>
      <c r="BC92" s="172" t="n"/>
      <c r="BD92" s="205">
        <f>IF(AND(A92="",B92=""),"",IF(AND(P92="ГОТОВО",R92&lt;&gt;"",T92&lt;&gt;"",U92&lt;&gt;"",AA92&lt;&gt;"",AB92&lt;&gt;"",AC92&lt;&gt;"",BB92&lt;&gt;"",BC92&lt;&gt;""),"ГОТОВО","НЕ ГОТОВО"))</f>
        <v/>
      </c>
      <c r="BE92" s="205">
        <f>IF(BD92&lt;&gt;"ГОТОВО","","Полное заключение: "&amp;A92&amp;", скв. "&amp;B92&amp;". МРП: "&amp;E92&amp;" сут. ГНО: "&amp;F92&amp;"; причина: "&amp;U92&amp;"; категория: "&amp;V92&amp;"; решение комиссии: "&amp;BB92&amp;".")</f>
        <v/>
      </c>
      <c r="BF92" s="173">
        <f>IF('Оперативный ввод'!X92="","",'Оперативный ввод'!X92)</f>
        <v/>
      </c>
    </row>
    <row r="93">
      <c r="A93" s="171">
        <f>IF('Оперативный ввод'!A93="","",'Оперативный ввод'!A93)</f>
        <v/>
      </c>
      <c r="B93" s="172">
        <f>IF('Оперативный ввод'!B93="","",'Оперативный ввод'!B93)</f>
        <v/>
      </c>
      <c r="C93" s="270">
        <f>IF('Оперативный ввод'!C93="","",'Оперативный ввод'!C93)</f>
        <v/>
      </c>
      <c r="D93" s="270">
        <f>IF('Оперативный ввод'!D93="","",'Оперативный ввод'!D93)</f>
        <v/>
      </c>
      <c r="E93" s="271">
        <f>IF(OR(C93="",D93=""),"",D93-C93)</f>
        <v/>
      </c>
      <c r="F93" s="172">
        <f>IF('Оперативный ввод'!F93="","",'Оперативный ввод'!F93)</f>
        <v/>
      </c>
      <c r="G93" s="172">
        <f>IF('Оперативный ввод'!G93="","",'Оперативный ввод'!G93)</f>
        <v/>
      </c>
      <c r="H93" s="172">
        <f>IF('Оперативный ввод'!H93="","",'Оперативный ввод'!H93)</f>
        <v/>
      </c>
      <c r="I93" s="172">
        <f>IF('Оперативный ввод'!I93="","",'Оперативный ввод'!I93)</f>
        <v/>
      </c>
      <c r="J93" s="172">
        <f>IF('Оперативный ввод'!J93="","",'Оперативный ввод'!J93)</f>
        <v/>
      </c>
      <c r="K93" s="172">
        <f>IF('Оперативный ввод'!K93="","",'Оперативный ввод'!K93)</f>
        <v/>
      </c>
      <c r="L93" s="172">
        <f>IF('Оперативный ввод'!L93="","",'Оперативный ввод'!L93)</f>
        <v/>
      </c>
      <c r="M93" s="172">
        <f>IF('Оперативный ввод'!M93="","",'Оперативный ввод'!M93)</f>
        <v/>
      </c>
      <c r="N93" s="172">
        <f>IF('Оперативный ввод'!N93="","",'Оперативный ввод'!N93)</f>
        <v/>
      </c>
      <c r="O93" s="172">
        <f>IF('Оперативный ввод'!O93="","",'Оперативный ввод'!O93)</f>
        <v/>
      </c>
      <c r="P93" s="205">
        <f>IF(AND(A93="",B93=""),"",IF(AND(A93&lt;&gt;"",B93&lt;&gt;"",C93&lt;&gt;"",D93&lt;&gt;"",F93&lt;&gt;"",G93&lt;&gt;"",H93&lt;&gt;"",ISERROR(SEARCH("по паспорту",G93)),ISERROR(SEARCH("по паспорту",H93)),I93&lt;&gt;"",J93&lt;&gt;"",K93&lt;&gt;"",L93&lt;&gt;"",M93&lt;&gt;""),"ГОТОВО","НЕ ГОТОВО"))</f>
        <v/>
      </c>
      <c r="Q93" s="205">
        <f>IF(P93&lt;&gt;"ГОТОВО","", "Предварительное заключение: "&amp;A93&amp;", скв. "&amp;B93&amp;". МРП: "&amp;E93&amp;" сут. ГНО: "&amp;F93&amp;", типоразмер "&amp;G93&amp;", марка "&amp;H93&amp;". Событие: "&amp;I93&amp;". Признак: "&amp;J93&amp;". Узел: "&amp;K93&amp;". Предварительная причина: "&amp;L93&amp;". Основное осложнение: "&amp;M93&amp;IF(N93&lt;&gt;"","; сопутствующее: "&amp;N93,"")&amp;IF(O93&lt;&gt;"","; дополнительно: "&amp;O93,"")&amp;".")</f>
        <v/>
      </c>
      <c r="R93" s="172">
        <f>IF('Оперативный ввод'!P93="","",'Оперативный ввод'!P93)</f>
        <v/>
      </c>
      <c r="S93" s="172">
        <f>IF('Оперативный ввод'!Q93="","",'Оперативный ввод'!Q93)</f>
        <v/>
      </c>
      <c r="T93" s="172">
        <f>IF('Оперативный ввод'!R93="","",'Оперативный ввод'!R93)</f>
        <v/>
      </c>
      <c r="U93" s="172">
        <f>IF('Оперативный ввод'!S93="","",'Оперативный ввод'!S93)</f>
        <v/>
      </c>
      <c r="V93" s="172">
        <f>IF('Оперативный ввод'!T93="","",'Оперативный ввод'!T93)</f>
        <v/>
      </c>
      <c r="W93" s="172" t="n"/>
      <c r="X93" s="172" t="n"/>
      <c r="Y93" s="172" t="n"/>
      <c r="Z93" s="172" t="n"/>
      <c r="AA93" s="172">
        <f>IF('Оперативный ввод'!U93="","",'Оперативный ввод'!U93)</f>
        <v/>
      </c>
      <c r="AB93" s="172">
        <f>IF('Оперативный ввод'!V93="","",'Оперативный ввод'!V93)</f>
        <v/>
      </c>
      <c r="AC93" s="172">
        <f>IF('Оперативный ввод'!W93="","",'Оперативный ввод'!W93)</f>
        <v/>
      </c>
      <c r="BB93" s="172" t="n"/>
      <c r="BC93" s="172" t="n"/>
      <c r="BD93" s="205">
        <f>IF(AND(A93="",B93=""),"",IF(AND(P93="ГОТОВО",R93&lt;&gt;"",T93&lt;&gt;"",U93&lt;&gt;"",AA93&lt;&gt;"",AB93&lt;&gt;"",AC93&lt;&gt;"",BB93&lt;&gt;"",BC93&lt;&gt;""),"ГОТОВО","НЕ ГОТОВО"))</f>
        <v/>
      </c>
      <c r="BE93" s="205">
        <f>IF(BD93&lt;&gt;"ГОТОВО","","Полное заключение: "&amp;A93&amp;", скв. "&amp;B93&amp;". МРП: "&amp;E93&amp;" сут. ГНО: "&amp;F93&amp;"; причина: "&amp;U93&amp;"; категория: "&amp;V93&amp;"; решение комиссии: "&amp;BB93&amp;".")</f>
        <v/>
      </c>
      <c r="BF93" s="173">
        <f>IF('Оперативный ввод'!X93="","",'Оперативный ввод'!X93)</f>
        <v/>
      </c>
    </row>
    <row r="94">
      <c r="A94" s="171">
        <f>IF('Оперативный ввод'!A94="","",'Оперативный ввод'!A94)</f>
        <v/>
      </c>
      <c r="B94" s="172">
        <f>IF('Оперативный ввод'!B94="","",'Оперативный ввод'!B94)</f>
        <v/>
      </c>
      <c r="C94" s="270">
        <f>IF('Оперативный ввод'!C94="","",'Оперативный ввод'!C94)</f>
        <v/>
      </c>
      <c r="D94" s="270">
        <f>IF('Оперативный ввод'!D94="","",'Оперативный ввод'!D94)</f>
        <v/>
      </c>
      <c r="E94" s="271">
        <f>IF(OR(C94="",D94=""),"",D94-C94)</f>
        <v/>
      </c>
      <c r="F94" s="172">
        <f>IF('Оперативный ввод'!F94="","",'Оперативный ввод'!F94)</f>
        <v/>
      </c>
      <c r="G94" s="172">
        <f>IF('Оперативный ввод'!G94="","",'Оперативный ввод'!G94)</f>
        <v/>
      </c>
      <c r="H94" s="172">
        <f>IF('Оперативный ввод'!H94="","",'Оперативный ввод'!H94)</f>
        <v/>
      </c>
      <c r="I94" s="172">
        <f>IF('Оперативный ввод'!I94="","",'Оперативный ввод'!I94)</f>
        <v/>
      </c>
      <c r="J94" s="172">
        <f>IF('Оперативный ввод'!J94="","",'Оперативный ввод'!J94)</f>
        <v/>
      </c>
      <c r="K94" s="172">
        <f>IF('Оперативный ввод'!K94="","",'Оперативный ввод'!K94)</f>
        <v/>
      </c>
      <c r="L94" s="172">
        <f>IF('Оперативный ввод'!L94="","",'Оперативный ввод'!L94)</f>
        <v/>
      </c>
      <c r="M94" s="172">
        <f>IF('Оперативный ввод'!M94="","",'Оперативный ввод'!M94)</f>
        <v/>
      </c>
      <c r="N94" s="172">
        <f>IF('Оперативный ввод'!N94="","",'Оперативный ввод'!N94)</f>
        <v/>
      </c>
      <c r="O94" s="172">
        <f>IF('Оперативный ввод'!O94="","",'Оперативный ввод'!O94)</f>
        <v/>
      </c>
      <c r="P94" s="205">
        <f>IF(AND(A94="",B94=""),"",IF(AND(A94&lt;&gt;"",B94&lt;&gt;"",C94&lt;&gt;"",D94&lt;&gt;"",F94&lt;&gt;"",G94&lt;&gt;"",H94&lt;&gt;"",ISERROR(SEARCH("по паспорту",G94)),ISERROR(SEARCH("по паспорту",H94)),I94&lt;&gt;"",J94&lt;&gt;"",K94&lt;&gt;"",L94&lt;&gt;"",M94&lt;&gt;""),"ГОТОВО","НЕ ГОТОВО"))</f>
        <v/>
      </c>
      <c r="Q94" s="205">
        <f>IF(P94&lt;&gt;"ГОТОВО","", "Предварительное заключение: "&amp;A94&amp;", скв. "&amp;B94&amp;". МРП: "&amp;E94&amp;" сут. ГНО: "&amp;F94&amp;", типоразмер "&amp;G94&amp;", марка "&amp;H94&amp;". Событие: "&amp;I94&amp;". Признак: "&amp;J94&amp;". Узел: "&amp;K94&amp;". Предварительная причина: "&amp;L94&amp;". Основное осложнение: "&amp;M94&amp;IF(N94&lt;&gt;"","; сопутствующее: "&amp;N94,"")&amp;IF(O94&lt;&gt;"","; дополнительно: "&amp;O94,"")&amp;".")</f>
        <v/>
      </c>
      <c r="R94" s="172">
        <f>IF('Оперативный ввод'!P94="","",'Оперативный ввод'!P94)</f>
        <v/>
      </c>
      <c r="S94" s="172">
        <f>IF('Оперативный ввод'!Q94="","",'Оперативный ввод'!Q94)</f>
        <v/>
      </c>
      <c r="T94" s="172">
        <f>IF('Оперативный ввод'!R94="","",'Оперативный ввод'!R94)</f>
        <v/>
      </c>
      <c r="U94" s="172">
        <f>IF('Оперативный ввод'!S94="","",'Оперативный ввод'!S94)</f>
        <v/>
      </c>
      <c r="V94" s="172">
        <f>IF('Оперативный ввод'!T94="","",'Оперативный ввод'!T94)</f>
        <v/>
      </c>
      <c r="W94" s="172" t="n"/>
      <c r="X94" s="172" t="n"/>
      <c r="Y94" s="172" t="n"/>
      <c r="Z94" s="172" t="n"/>
      <c r="AA94" s="172">
        <f>IF('Оперативный ввод'!U94="","",'Оперативный ввод'!U94)</f>
        <v/>
      </c>
      <c r="AB94" s="172">
        <f>IF('Оперативный ввод'!V94="","",'Оперативный ввод'!V94)</f>
        <v/>
      </c>
      <c r="AC94" s="172">
        <f>IF('Оперативный ввод'!W94="","",'Оперативный ввод'!W94)</f>
        <v/>
      </c>
      <c r="BB94" s="172" t="n"/>
      <c r="BC94" s="172" t="n"/>
      <c r="BD94" s="205">
        <f>IF(AND(A94="",B94=""),"",IF(AND(P94="ГОТОВО",R94&lt;&gt;"",T94&lt;&gt;"",U94&lt;&gt;"",AA94&lt;&gt;"",AB94&lt;&gt;"",AC94&lt;&gt;"",BB94&lt;&gt;"",BC94&lt;&gt;""),"ГОТОВО","НЕ ГОТОВО"))</f>
        <v/>
      </c>
      <c r="BE94" s="205">
        <f>IF(BD94&lt;&gt;"ГОТОВО","","Полное заключение: "&amp;A94&amp;", скв. "&amp;B94&amp;". МРП: "&amp;E94&amp;" сут. ГНО: "&amp;F94&amp;"; причина: "&amp;U94&amp;"; категория: "&amp;V94&amp;"; решение комиссии: "&amp;BB94&amp;".")</f>
        <v/>
      </c>
      <c r="BF94" s="173">
        <f>IF('Оперативный ввод'!X94="","",'Оперативный ввод'!X94)</f>
        <v/>
      </c>
    </row>
    <row r="95">
      <c r="A95" s="171">
        <f>IF('Оперативный ввод'!A95="","",'Оперативный ввод'!A95)</f>
        <v/>
      </c>
      <c r="B95" s="172">
        <f>IF('Оперативный ввод'!B95="","",'Оперативный ввод'!B95)</f>
        <v/>
      </c>
      <c r="C95" s="270">
        <f>IF('Оперативный ввод'!C95="","",'Оперативный ввод'!C95)</f>
        <v/>
      </c>
      <c r="D95" s="270">
        <f>IF('Оперативный ввод'!D95="","",'Оперативный ввод'!D95)</f>
        <v/>
      </c>
      <c r="E95" s="271">
        <f>IF(OR(C95="",D95=""),"",D95-C95)</f>
        <v/>
      </c>
      <c r="F95" s="172">
        <f>IF('Оперативный ввод'!F95="","",'Оперативный ввод'!F95)</f>
        <v/>
      </c>
      <c r="G95" s="172">
        <f>IF('Оперативный ввод'!G95="","",'Оперативный ввод'!G95)</f>
        <v/>
      </c>
      <c r="H95" s="172">
        <f>IF('Оперативный ввод'!H95="","",'Оперативный ввод'!H95)</f>
        <v/>
      </c>
      <c r="I95" s="172">
        <f>IF('Оперативный ввод'!I95="","",'Оперативный ввод'!I95)</f>
        <v/>
      </c>
      <c r="J95" s="172">
        <f>IF('Оперативный ввод'!J95="","",'Оперативный ввод'!J95)</f>
        <v/>
      </c>
      <c r="K95" s="172">
        <f>IF('Оперативный ввод'!K95="","",'Оперативный ввод'!K95)</f>
        <v/>
      </c>
      <c r="L95" s="172">
        <f>IF('Оперативный ввод'!L95="","",'Оперативный ввод'!L95)</f>
        <v/>
      </c>
      <c r="M95" s="172">
        <f>IF('Оперативный ввод'!M95="","",'Оперативный ввод'!M95)</f>
        <v/>
      </c>
      <c r="N95" s="172">
        <f>IF('Оперативный ввод'!N95="","",'Оперативный ввод'!N95)</f>
        <v/>
      </c>
      <c r="O95" s="172">
        <f>IF('Оперативный ввод'!O95="","",'Оперативный ввод'!O95)</f>
        <v/>
      </c>
      <c r="P95" s="205">
        <f>IF(AND(A95="",B95=""),"",IF(AND(A95&lt;&gt;"",B95&lt;&gt;"",C95&lt;&gt;"",D95&lt;&gt;"",F95&lt;&gt;"",G95&lt;&gt;"",H95&lt;&gt;"",ISERROR(SEARCH("по паспорту",G95)),ISERROR(SEARCH("по паспорту",H95)),I95&lt;&gt;"",J95&lt;&gt;"",K95&lt;&gt;"",L95&lt;&gt;"",M95&lt;&gt;""),"ГОТОВО","НЕ ГОТОВО"))</f>
        <v/>
      </c>
      <c r="Q95" s="205">
        <f>IF(P95&lt;&gt;"ГОТОВО","", "Предварительное заключение: "&amp;A95&amp;", скв. "&amp;B95&amp;". МРП: "&amp;E95&amp;" сут. ГНО: "&amp;F95&amp;", типоразмер "&amp;G95&amp;", марка "&amp;H95&amp;". Событие: "&amp;I95&amp;". Признак: "&amp;J95&amp;". Узел: "&amp;K95&amp;". Предварительная причина: "&amp;L95&amp;". Основное осложнение: "&amp;M95&amp;IF(N95&lt;&gt;"","; сопутствующее: "&amp;N95,"")&amp;IF(O95&lt;&gt;"","; дополнительно: "&amp;O95,"")&amp;".")</f>
        <v/>
      </c>
      <c r="R95" s="172">
        <f>IF('Оперативный ввод'!P95="","",'Оперативный ввод'!P95)</f>
        <v/>
      </c>
      <c r="S95" s="172">
        <f>IF('Оперативный ввод'!Q95="","",'Оперативный ввод'!Q95)</f>
        <v/>
      </c>
      <c r="T95" s="172">
        <f>IF('Оперативный ввод'!R95="","",'Оперативный ввод'!R95)</f>
        <v/>
      </c>
      <c r="U95" s="172">
        <f>IF('Оперативный ввод'!S95="","",'Оперативный ввод'!S95)</f>
        <v/>
      </c>
      <c r="V95" s="172">
        <f>IF('Оперативный ввод'!T95="","",'Оперативный ввод'!T95)</f>
        <v/>
      </c>
      <c r="W95" s="172" t="n"/>
      <c r="X95" s="172" t="n"/>
      <c r="Y95" s="172" t="n"/>
      <c r="Z95" s="172" t="n"/>
      <c r="AA95" s="172">
        <f>IF('Оперативный ввод'!U95="","",'Оперативный ввод'!U95)</f>
        <v/>
      </c>
      <c r="AB95" s="172">
        <f>IF('Оперативный ввод'!V95="","",'Оперативный ввод'!V95)</f>
        <v/>
      </c>
      <c r="AC95" s="172">
        <f>IF('Оперативный ввод'!W95="","",'Оперативный ввод'!W95)</f>
        <v/>
      </c>
      <c r="BB95" s="172" t="n"/>
      <c r="BC95" s="172" t="n"/>
      <c r="BD95" s="205">
        <f>IF(AND(A95="",B95=""),"",IF(AND(P95="ГОТОВО",R95&lt;&gt;"",T95&lt;&gt;"",U95&lt;&gt;"",AA95&lt;&gt;"",AB95&lt;&gt;"",AC95&lt;&gt;"",BB95&lt;&gt;"",BC95&lt;&gt;""),"ГОТОВО","НЕ ГОТОВО"))</f>
        <v/>
      </c>
      <c r="BE95" s="205">
        <f>IF(BD95&lt;&gt;"ГОТОВО","","Полное заключение: "&amp;A95&amp;", скв. "&amp;B95&amp;". МРП: "&amp;E95&amp;" сут. ГНО: "&amp;F95&amp;"; причина: "&amp;U95&amp;"; категория: "&amp;V95&amp;"; решение комиссии: "&amp;BB95&amp;".")</f>
        <v/>
      </c>
      <c r="BF95" s="173">
        <f>IF('Оперативный ввод'!X95="","",'Оперативный ввод'!X95)</f>
        <v/>
      </c>
    </row>
    <row r="96">
      <c r="A96" s="171">
        <f>IF('Оперативный ввод'!A96="","",'Оперативный ввод'!A96)</f>
        <v/>
      </c>
      <c r="B96" s="172">
        <f>IF('Оперативный ввод'!B96="","",'Оперативный ввод'!B96)</f>
        <v/>
      </c>
      <c r="C96" s="270">
        <f>IF('Оперативный ввод'!C96="","",'Оперативный ввод'!C96)</f>
        <v/>
      </c>
      <c r="D96" s="270">
        <f>IF('Оперативный ввод'!D96="","",'Оперативный ввод'!D96)</f>
        <v/>
      </c>
      <c r="E96" s="271">
        <f>IF(OR(C96="",D96=""),"",D96-C96)</f>
        <v/>
      </c>
      <c r="F96" s="172">
        <f>IF('Оперативный ввод'!F96="","",'Оперативный ввод'!F96)</f>
        <v/>
      </c>
      <c r="G96" s="172">
        <f>IF('Оперативный ввод'!G96="","",'Оперативный ввод'!G96)</f>
        <v/>
      </c>
      <c r="H96" s="172">
        <f>IF('Оперативный ввод'!H96="","",'Оперативный ввод'!H96)</f>
        <v/>
      </c>
      <c r="I96" s="172">
        <f>IF('Оперативный ввод'!I96="","",'Оперативный ввод'!I96)</f>
        <v/>
      </c>
      <c r="J96" s="172">
        <f>IF('Оперативный ввод'!J96="","",'Оперативный ввод'!J96)</f>
        <v/>
      </c>
      <c r="K96" s="172">
        <f>IF('Оперативный ввод'!K96="","",'Оперативный ввод'!K96)</f>
        <v/>
      </c>
      <c r="L96" s="172">
        <f>IF('Оперативный ввод'!L96="","",'Оперативный ввод'!L96)</f>
        <v/>
      </c>
      <c r="M96" s="172">
        <f>IF('Оперативный ввод'!M96="","",'Оперативный ввод'!M96)</f>
        <v/>
      </c>
      <c r="N96" s="172">
        <f>IF('Оперативный ввод'!N96="","",'Оперативный ввод'!N96)</f>
        <v/>
      </c>
      <c r="O96" s="172">
        <f>IF('Оперативный ввод'!O96="","",'Оперативный ввод'!O96)</f>
        <v/>
      </c>
      <c r="P96" s="205">
        <f>IF(AND(A96="",B96=""),"",IF(AND(A96&lt;&gt;"",B96&lt;&gt;"",C96&lt;&gt;"",D96&lt;&gt;"",F96&lt;&gt;"",G96&lt;&gt;"",H96&lt;&gt;"",ISERROR(SEARCH("по паспорту",G96)),ISERROR(SEARCH("по паспорту",H96)),I96&lt;&gt;"",J96&lt;&gt;"",K96&lt;&gt;"",L96&lt;&gt;"",M96&lt;&gt;""),"ГОТОВО","НЕ ГОТОВО"))</f>
        <v/>
      </c>
      <c r="Q96" s="205">
        <f>IF(P96&lt;&gt;"ГОТОВО","", "Предварительное заключение: "&amp;A96&amp;", скв. "&amp;B96&amp;". МРП: "&amp;E96&amp;" сут. ГНО: "&amp;F96&amp;", типоразмер "&amp;G96&amp;", марка "&amp;H96&amp;". Событие: "&amp;I96&amp;". Признак: "&amp;J96&amp;". Узел: "&amp;K96&amp;". Предварительная причина: "&amp;L96&amp;". Основное осложнение: "&amp;M96&amp;IF(N96&lt;&gt;"","; сопутствующее: "&amp;N96,"")&amp;IF(O96&lt;&gt;"","; дополнительно: "&amp;O96,"")&amp;".")</f>
        <v/>
      </c>
      <c r="R96" s="172">
        <f>IF('Оперативный ввод'!P96="","",'Оперативный ввод'!P96)</f>
        <v/>
      </c>
      <c r="S96" s="172">
        <f>IF('Оперативный ввод'!Q96="","",'Оперативный ввод'!Q96)</f>
        <v/>
      </c>
      <c r="T96" s="172">
        <f>IF('Оперативный ввод'!R96="","",'Оперативный ввод'!R96)</f>
        <v/>
      </c>
      <c r="U96" s="172">
        <f>IF('Оперативный ввод'!S96="","",'Оперативный ввод'!S96)</f>
        <v/>
      </c>
      <c r="V96" s="172">
        <f>IF('Оперативный ввод'!T96="","",'Оперативный ввод'!T96)</f>
        <v/>
      </c>
      <c r="W96" s="172" t="n"/>
      <c r="X96" s="172" t="n"/>
      <c r="Y96" s="172" t="n"/>
      <c r="Z96" s="172" t="n"/>
      <c r="AA96" s="172">
        <f>IF('Оперативный ввод'!U96="","",'Оперативный ввод'!U96)</f>
        <v/>
      </c>
      <c r="AB96" s="172">
        <f>IF('Оперативный ввод'!V96="","",'Оперативный ввод'!V96)</f>
        <v/>
      </c>
      <c r="AC96" s="172">
        <f>IF('Оперативный ввод'!W96="","",'Оперативный ввод'!W96)</f>
        <v/>
      </c>
      <c r="BB96" s="172" t="n"/>
      <c r="BC96" s="172" t="n"/>
      <c r="BD96" s="205">
        <f>IF(AND(A96="",B96=""),"",IF(AND(P96="ГОТОВО",R96&lt;&gt;"",T96&lt;&gt;"",U96&lt;&gt;"",AA96&lt;&gt;"",AB96&lt;&gt;"",AC96&lt;&gt;"",BB96&lt;&gt;"",BC96&lt;&gt;""),"ГОТОВО","НЕ ГОТОВО"))</f>
        <v/>
      </c>
      <c r="BE96" s="205">
        <f>IF(BD96&lt;&gt;"ГОТОВО","","Полное заключение: "&amp;A96&amp;", скв. "&amp;B96&amp;". МРП: "&amp;E96&amp;" сут. ГНО: "&amp;F96&amp;"; причина: "&amp;U96&amp;"; категория: "&amp;V96&amp;"; решение комиссии: "&amp;BB96&amp;".")</f>
        <v/>
      </c>
      <c r="BF96" s="173">
        <f>IF('Оперативный ввод'!X96="","",'Оперативный ввод'!X96)</f>
        <v/>
      </c>
    </row>
    <row r="97">
      <c r="A97" s="171">
        <f>IF('Оперативный ввод'!A97="","",'Оперативный ввод'!A97)</f>
        <v/>
      </c>
      <c r="B97" s="172">
        <f>IF('Оперативный ввод'!B97="","",'Оперативный ввод'!B97)</f>
        <v/>
      </c>
      <c r="C97" s="270">
        <f>IF('Оперативный ввод'!C97="","",'Оперативный ввод'!C97)</f>
        <v/>
      </c>
      <c r="D97" s="270">
        <f>IF('Оперативный ввод'!D97="","",'Оперативный ввод'!D97)</f>
        <v/>
      </c>
      <c r="E97" s="271">
        <f>IF(OR(C97="",D97=""),"",D97-C97)</f>
        <v/>
      </c>
      <c r="F97" s="172">
        <f>IF('Оперативный ввод'!F97="","",'Оперативный ввод'!F97)</f>
        <v/>
      </c>
      <c r="G97" s="172">
        <f>IF('Оперативный ввод'!G97="","",'Оперативный ввод'!G97)</f>
        <v/>
      </c>
      <c r="H97" s="172">
        <f>IF('Оперативный ввод'!H97="","",'Оперативный ввод'!H97)</f>
        <v/>
      </c>
      <c r="I97" s="172">
        <f>IF('Оперативный ввод'!I97="","",'Оперативный ввод'!I97)</f>
        <v/>
      </c>
      <c r="J97" s="172">
        <f>IF('Оперативный ввод'!J97="","",'Оперативный ввод'!J97)</f>
        <v/>
      </c>
      <c r="K97" s="172">
        <f>IF('Оперативный ввод'!K97="","",'Оперативный ввод'!K97)</f>
        <v/>
      </c>
      <c r="L97" s="172">
        <f>IF('Оперативный ввод'!L97="","",'Оперативный ввод'!L97)</f>
        <v/>
      </c>
      <c r="M97" s="172">
        <f>IF('Оперативный ввод'!M97="","",'Оперативный ввод'!M97)</f>
        <v/>
      </c>
      <c r="N97" s="172">
        <f>IF('Оперативный ввод'!N97="","",'Оперативный ввод'!N97)</f>
        <v/>
      </c>
      <c r="O97" s="172">
        <f>IF('Оперативный ввод'!O97="","",'Оперативный ввод'!O97)</f>
        <v/>
      </c>
      <c r="P97" s="205">
        <f>IF(AND(A97="",B97=""),"",IF(AND(A97&lt;&gt;"",B97&lt;&gt;"",C97&lt;&gt;"",D97&lt;&gt;"",F97&lt;&gt;"",G97&lt;&gt;"",H97&lt;&gt;"",ISERROR(SEARCH("по паспорту",G97)),ISERROR(SEARCH("по паспорту",H97)),I97&lt;&gt;"",J97&lt;&gt;"",K97&lt;&gt;"",L97&lt;&gt;"",M97&lt;&gt;""),"ГОТОВО","НЕ ГОТОВО"))</f>
        <v/>
      </c>
      <c r="Q97" s="205">
        <f>IF(P97&lt;&gt;"ГОТОВО","", "Предварительное заключение: "&amp;A97&amp;", скв. "&amp;B97&amp;". МРП: "&amp;E97&amp;" сут. ГНО: "&amp;F97&amp;", типоразмер "&amp;G97&amp;", марка "&amp;H97&amp;". Событие: "&amp;I97&amp;". Признак: "&amp;J97&amp;". Узел: "&amp;K97&amp;". Предварительная причина: "&amp;L97&amp;". Основное осложнение: "&amp;M97&amp;IF(N97&lt;&gt;"","; сопутствующее: "&amp;N97,"")&amp;IF(O97&lt;&gt;"","; дополнительно: "&amp;O97,"")&amp;".")</f>
        <v/>
      </c>
      <c r="R97" s="172">
        <f>IF('Оперативный ввод'!P97="","",'Оперативный ввод'!P97)</f>
        <v/>
      </c>
      <c r="S97" s="172">
        <f>IF('Оперативный ввод'!Q97="","",'Оперативный ввод'!Q97)</f>
        <v/>
      </c>
      <c r="T97" s="172">
        <f>IF('Оперативный ввод'!R97="","",'Оперативный ввод'!R97)</f>
        <v/>
      </c>
      <c r="U97" s="172">
        <f>IF('Оперативный ввод'!S97="","",'Оперативный ввод'!S97)</f>
        <v/>
      </c>
      <c r="V97" s="172">
        <f>IF('Оперативный ввод'!T97="","",'Оперативный ввод'!T97)</f>
        <v/>
      </c>
      <c r="W97" s="172" t="n"/>
      <c r="X97" s="172" t="n"/>
      <c r="Y97" s="172" t="n"/>
      <c r="Z97" s="172" t="n"/>
      <c r="AA97" s="172">
        <f>IF('Оперативный ввод'!U97="","",'Оперативный ввод'!U97)</f>
        <v/>
      </c>
      <c r="AB97" s="172">
        <f>IF('Оперативный ввод'!V97="","",'Оперативный ввод'!V97)</f>
        <v/>
      </c>
      <c r="AC97" s="172">
        <f>IF('Оперативный ввод'!W97="","",'Оперативный ввод'!W97)</f>
        <v/>
      </c>
      <c r="BB97" s="172" t="n"/>
      <c r="BC97" s="172" t="n"/>
      <c r="BD97" s="205">
        <f>IF(AND(A97="",B97=""),"",IF(AND(P97="ГОТОВО",R97&lt;&gt;"",T97&lt;&gt;"",U97&lt;&gt;"",AA97&lt;&gt;"",AB97&lt;&gt;"",AC97&lt;&gt;"",BB97&lt;&gt;"",BC97&lt;&gt;""),"ГОТОВО","НЕ ГОТОВО"))</f>
        <v/>
      </c>
      <c r="BE97" s="205">
        <f>IF(BD97&lt;&gt;"ГОТОВО","","Полное заключение: "&amp;A97&amp;", скв. "&amp;B97&amp;". МРП: "&amp;E97&amp;" сут. ГНО: "&amp;F97&amp;"; причина: "&amp;U97&amp;"; категория: "&amp;V97&amp;"; решение комиссии: "&amp;BB97&amp;".")</f>
        <v/>
      </c>
      <c r="BF97" s="173">
        <f>IF('Оперативный ввод'!X97="","",'Оперативный ввод'!X97)</f>
        <v/>
      </c>
    </row>
    <row r="98">
      <c r="A98" s="171">
        <f>IF('Оперативный ввод'!A98="","",'Оперативный ввод'!A98)</f>
        <v/>
      </c>
      <c r="B98" s="172">
        <f>IF('Оперативный ввод'!B98="","",'Оперативный ввод'!B98)</f>
        <v/>
      </c>
      <c r="C98" s="270">
        <f>IF('Оперативный ввод'!C98="","",'Оперативный ввод'!C98)</f>
        <v/>
      </c>
      <c r="D98" s="270">
        <f>IF('Оперативный ввод'!D98="","",'Оперативный ввод'!D98)</f>
        <v/>
      </c>
      <c r="E98" s="271">
        <f>IF(OR(C98="",D98=""),"",D98-C98)</f>
        <v/>
      </c>
      <c r="F98" s="172">
        <f>IF('Оперативный ввод'!F98="","",'Оперативный ввод'!F98)</f>
        <v/>
      </c>
      <c r="G98" s="172">
        <f>IF('Оперативный ввод'!G98="","",'Оперативный ввод'!G98)</f>
        <v/>
      </c>
      <c r="H98" s="172">
        <f>IF('Оперативный ввод'!H98="","",'Оперативный ввод'!H98)</f>
        <v/>
      </c>
      <c r="I98" s="172">
        <f>IF('Оперативный ввод'!I98="","",'Оперативный ввод'!I98)</f>
        <v/>
      </c>
      <c r="J98" s="172">
        <f>IF('Оперативный ввод'!J98="","",'Оперативный ввод'!J98)</f>
        <v/>
      </c>
      <c r="K98" s="172">
        <f>IF('Оперативный ввод'!K98="","",'Оперативный ввод'!K98)</f>
        <v/>
      </c>
      <c r="L98" s="172">
        <f>IF('Оперативный ввод'!L98="","",'Оперативный ввод'!L98)</f>
        <v/>
      </c>
      <c r="M98" s="172">
        <f>IF('Оперативный ввод'!M98="","",'Оперативный ввод'!M98)</f>
        <v/>
      </c>
      <c r="N98" s="172">
        <f>IF('Оперативный ввод'!N98="","",'Оперативный ввод'!N98)</f>
        <v/>
      </c>
      <c r="O98" s="172">
        <f>IF('Оперативный ввод'!O98="","",'Оперативный ввод'!O98)</f>
        <v/>
      </c>
      <c r="P98" s="205">
        <f>IF(AND(A98="",B98=""),"",IF(AND(A98&lt;&gt;"",B98&lt;&gt;"",C98&lt;&gt;"",D98&lt;&gt;"",F98&lt;&gt;"",G98&lt;&gt;"",H98&lt;&gt;"",ISERROR(SEARCH("по паспорту",G98)),ISERROR(SEARCH("по паспорту",H98)),I98&lt;&gt;"",J98&lt;&gt;"",K98&lt;&gt;"",L98&lt;&gt;"",M98&lt;&gt;""),"ГОТОВО","НЕ ГОТОВО"))</f>
        <v/>
      </c>
      <c r="Q98" s="205">
        <f>IF(P98&lt;&gt;"ГОТОВО","", "Предварительное заключение: "&amp;A98&amp;", скв. "&amp;B98&amp;". МРП: "&amp;E98&amp;" сут. ГНО: "&amp;F98&amp;", типоразмер "&amp;G98&amp;", марка "&amp;H98&amp;". Событие: "&amp;I98&amp;". Признак: "&amp;J98&amp;". Узел: "&amp;K98&amp;". Предварительная причина: "&amp;L98&amp;". Основное осложнение: "&amp;M98&amp;IF(N98&lt;&gt;"","; сопутствующее: "&amp;N98,"")&amp;IF(O98&lt;&gt;"","; дополнительно: "&amp;O98,"")&amp;".")</f>
        <v/>
      </c>
      <c r="R98" s="172">
        <f>IF('Оперативный ввод'!P98="","",'Оперативный ввод'!P98)</f>
        <v/>
      </c>
      <c r="S98" s="172">
        <f>IF('Оперативный ввод'!Q98="","",'Оперативный ввод'!Q98)</f>
        <v/>
      </c>
      <c r="T98" s="172">
        <f>IF('Оперативный ввод'!R98="","",'Оперативный ввод'!R98)</f>
        <v/>
      </c>
      <c r="U98" s="172">
        <f>IF('Оперативный ввод'!S98="","",'Оперативный ввод'!S98)</f>
        <v/>
      </c>
      <c r="V98" s="172">
        <f>IF('Оперативный ввод'!T98="","",'Оперативный ввод'!T98)</f>
        <v/>
      </c>
      <c r="W98" s="172" t="n"/>
      <c r="X98" s="172" t="n"/>
      <c r="Y98" s="172" t="n"/>
      <c r="Z98" s="172" t="n"/>
      <c r="AA98" s="172">
        <f>IF('Оперативный ввод'!U98="","",'Оперативный ввод'!U98)</f>
        <v/>
      </c>
      <c r="AB98" s="172">
        <f>IF('Оперативный ввод'!V98="","",'Оперативный ввод'!V98)</f>
        <v/>
      </c>
      <c r="AC98" s="172">
        <f>IF('Оперативный ввод'!W98="","",'Оперативный ввод'!W98)</f>
        <v/>
      </c>
      <c r="BB98" s="172" t="n"/>
      <c r="BC98" s="172" t="n"/>
      <c r="BD98" s="205">
        <f>IF(AND(A98="",B98=""),"",IF(AND(P98="ГОТОВО",R98&lt;&gt;"",T98&lt;&gt;"",U98&lt;&gt;"",AA98&lt;&gt;"",AB98&lt;&gt;"",AC98&lt;&gt;"",BB98&lt;&gt;"",BC98&lt;&gt;""),"ГОТОВО","НЕ ГОТОВО"))</f>
        <v/>
      </c>
      <c r="BE98" s="205">
        <f>IF(BD98&lt;&gt;"ГОТОВО","","Полное заключение: "&amp;A98&amp;", скв. "&amp;B98&amp;". МРП: "&amp;E98&amp;" сут. ГНО: "&amp;F98&amp;"; причина: "&amp;U98&amp;"; категория: "&amp;V98&amp;"; решение комиссии: "&amp;BB98&amp;".")</f>
        <v/>
      </c>
      <c r="BF98" s="173">
        <f>IF('Оперативный ввод'!X98="","",'Оперативный ввод'!X98)</f>
        <v/>
      </c>
    </row>
    <row r="99">
      <c r="A99" s="171">
        <f>IF('Оперативный ввод'!A99="","",'Оперативный ввод'!A99)</f>
        <v/>
      </c>
      <c r="B99" s="172">
        <f>IF('Оперативный ввод'!B99="","",'Оперативный ввод'!B99)</f>
        <v/>
      </c>
      <c r="C99" s="270">
        <f>IF('Оперативный ввод'!C99="","",'Оперативный ввод'!C99)</f>
        <v/>
      </c>
      <c r="D99" s="270">
        <f>IF('Оперативный ввод'!D99="","",'Оперативный ввод'!D99)</f>
        <v/>
      </c>
      <c r="E99" s="271">
        <f>IF(OR(C99="",D99=""),"",D99-C99)</f>
        <v/>
      </c>
      <c r="F99" s="172">
        <f>IF('Оперативный ввод'!F99="","",'Оперативный ввод'!F99)</f>
        <v/>
      </c>
      <c r="G99" s="172">
        <f>IF('Оперативный ввод'!G99="","",'Оперативный ввод'!G99)</f>
        <v/>
      </c>
      <c r="H99" s="172">
        <f>IF('Оперативный ввод'!H99="","",'Оперативный ввод'!H99)</f>
        <v/>
      </c>
      <c r="I99" s="172">
        <f>IF('Оперативный ввод'!I99="","",'Оперативный ввод'!I99)</f>
        <v/>
      </c>
      <c r="J99" s="172">
        <f>IF('Оперативный ввод'!J99="","",'Оперативный ввод'!J99)</f>
        <v/>
      </c>
      <c r="K99" s="172">
        <f>IF('Оперативный ввод'!K99="","",'Оперативный ввод'!K99)</f>
        <v/>
      </c>
      <c r="L99" s="172">
        <f>IF('Оперативный ввод'!L99="","",'Оперативный ввод'!L99)</f>
        <v/>
      </c>
      <c r="M99" s="172">
        <f>IF('Оперативный ввод'!M99="","",'Оперативный ввод'!M99)</f>
        <v/>
      </c>
      <c r="N99" s="172">
        <f>IF('Оперативный ввод'!N99="","",'Оперативный ввод'!N99)</f>
        <v/>
      </c>
      <c r="O99" s="172">
        <f>IF('Оперативный ввод'!O99="","",'Оперативный ввод'!O99)</f>
        <v/>
      </c>
      <c r="P99" s="205">
        <f>IF(AND(A99="",B99=""),"",IF(AND(A99&lt;&gt;"",B99&lt;&gt;"",C99&lt;&gt;"",D99&lt;&gt;"",F99&lt;&gt;"",G99&lt;&gt;"",H99&lt;&gt;"",ISERROR(SEARCH("по паспорту",G99)),ISERROR(SEARCH("по паспорту",H99)),I99&lt;&gt;"",J99&lt;&gt;"",K99&lt;&gt;"",L99&lt;&gt;"",M99&lt;&gt;""),"ГОТОВО","НЕ ГОТОВО"))</f>
        <v/>
      </c>
      <c r="Q99" s="205">
        <f>IF(P99&lt;&gt;"ГОТОВО","", "Предварительное заключение: "&amp;A99&amp;", скв. "&amp;B99&amp;". МРП: "&amp;E99&amp;" сут. ГНО: "&amp;F99&amp;", типоразмер "&amp;G99&amp;", марка "&amp;H99&amp;". Событие: "&amp;I99&amp;". Признак: "&amp;J99&amp;". Узел: "&amp;K99&amp;". Предварительная причина: "&amp;L99&amp;". Основное осложнение: "&amp;M99&amp;IF(N99&lt;&gt;"","; сопутствующее: "&amp;N99,"")&amp;IF(O99&lt;&gt;"","; дополнительно: "&amp;O99,"")&amp;".")</f>
        <v/>
      </c>
      <c r="R99" s="172">
        <f>IF('Оперативный ввод'!P99="","",'Оперативный ввод'!P99)</f>
        <v/>
      </c>
      <c r="S99" s="172">
        <f>IF('Оперативный ввод'!Q99="","",'Оперативный ввод'!Q99)</f>
        <v/>
      </c>
      <c r="T99" s="172">
        <f>IF('Оперативный ввод'!R99="","",'Оперативный ввод'!R99)</f>
        <v/>
      </c>
      <c r="U99" s="172">
        <f>IF('Оперативный ввод'!S99="","",'Оперативный ввод'!S99)</f>
        <v/>
      </c>
      <c r="V99" s="172">
        <f>IF('Оперативный ввод'!T99="","",'Оперативный ввод'!T99)</f>
        <v/>
      </c>
      <c r="W99" s="172" t="n"/>
      <c r="X99" s="172" t="n"/>
      <c r="Y99" s="172" t="n"/>
      <c r="Z99" s="172" t="n"/>
      <c r="AA99" s="172">
        <f>IF('Оперативный ввод'!U99="","",'Оперативный ввод'!U99)</f>
        <v/>
      </c>
      <c r="AB99" s="172">
        <f>IF('Оперативный ввод'!V99="","",'Оперативный ввод'!V99)</f>
        <v/>
      </c>
      <c r="AC99" s="172">
        <f>IF('Оперативный ввод'!W99="","",'Оперативный ввод'!W99)</f>
        <v/>
      </c>
      <c r="BB99" s="172" t="n"/>
      <c r="BC99" s="172" t="n"/>
      <c r="BD99" s="205">
        <f>IF(AND(A99="",B99=""),"",IF(AND(P99="ГОТОВО",R99&lt;&gt;"",T99&lt;&gt;"",U99&lt;&gt;"",AA99&lt;&gt;"",AB99&lt;&gt;"",AC99&lt;&gt;"",BB99&lt;&gt;"",BC99&lt;&gt;""),"ГОТОВО","НЕ ГОТОВО"))</f>
        <v/>
      </c>
      <c r="BE99" s="205">
        <f>IF(BD99&lt;&gt;"ГОТОВО","","Полное заключение: "&amp;A99&amp;", скв. "&amp;B99&amp;". МРП: "&amp;E99&amp;" сут. ГНО: "&amp;F99&amp;"; причина: "&amp;U99&amp;"; категория: "&amp;V99&amp;"; решение комиссии: "&amp;BB99&amp;".")</f>
        <v/>
      </c>
      <c r="BF99" s="173">
        <f>IF('Оперативный ввод'!X99="","",'Оперативный ввод'!X99)</f>
        <v/>
      </c>
    </row>
    <row r="100">
      <c r="A100" s="171">
        <f>IF('Оперативный ввод'!A100="","",'Оперативный ввод'!A100)</f>
        <v/>
      </c>
      <c r="B100" s="172">
        <f>IF('Оперативный ввод'!B100="","",'Оперативный ввод'!B100)</f>
        <v/>
      </c>
      <c r="C100" s="270">
        <f>IF('Оперативный ввод'!C100="","",'Оперативный ввод'!C100)</f>
        <v/>
      </c>
      <c r="D100" s="270">
        <f>IF('Оперативный ввод'!D100="","",'Оперативный ввод'!D100)</f>
        <v/>
      </c>
      <c r="E100" s="271">
        <f>IF(OR(C100="",D100=""),"",D100-C100)</f>
        <v/>
      </c>
      <c r="F100" s="172">
        <f>IF('Оперативный ввод'!F100="","",'Оперативный ввод'!F100)</f>
        <v/>
      </c>
      <c r="G100" s="172">
        <f>IF('Оперативный ввод'!G100="","",'Оперативный ввод'!G100)</f>
        <v/>
      </c>
      <c r="H100" s="172">
        <f>IF('Оперативный ввод'!H100="","",'Оперативный ввод'!H100)</f>
        <v/>
      </c>
      <c r="I100" s="172">
        <f>IF('Оперативный ввод'!I100="","",'Оперативный ввод'!I100)</f>
        <v/>
      </c>
      <c r="J100" s="172">
        <f>IF('Оперативный ввод'!J100="","",'Оперативный ввод'!J100)</f>
        <v/>
      </c>
      <c r="K100" s="172">
        <f>IF('Оперативный ввод'!K100="","",'Оперативный ввод'!K100)</f>
        <v/>
      </c>
      <c r="L100" s="172">
        <f>IF('Оперативный ввод'!L100="","",'Оперативный ввод'!L100)</f>
        <v/>
      </c>
      <c r="M100" s="172">
        <f>IF('Оперативный ввод'!M100="","",'Оперативный ввод'!M100)</f>
        <v/>
      </c>
      <c r="N100" s="172">
        <f>IF('Оперативный ввод'!N100="","",'Оперативный ввод'!N100)</f>
        <v/>
      </c>
      <c r="O100" s="172">
        <f>IF('Оперативный ввод'!O100="","",'Оперативный ввод'!O100)</f>
        <v/>
      </c>
      <c r="P100" s="205">
        <f>IF(AND(A100="",B100=""),"",IF(AND(A100&lt;&gt;"",B100&lt;&gt;"",C100&lt;&gt;"",D100&lt;&gt;"",F100&lt;&gt;"",G100&lt;&gt;"",H100&lt;&gt;"",ISERROR(SEARCH("по паспорту",G100)),ISERROR(SEARCH("по паспорту",H100)),I100&lt;&gt;"",J100&lt;&gt;"",K100&lt;&gt;"",L100&lt;&gt;"",M100&lt;&gt;""),"ГОТОВО","НЕ ГОТОВО"))</f>
        <v/>
      </c>
      <c r="Q100" s="205">
        <f>IF(P100&lt;&gt;"ГОТОВО","", "Предварительное заключение: "&amp;A100&amp;", скв. "&amp;B100&amp;". МРП: "&amp;E100&amp;" сут. ГНО: "&amp;F100&amp;", типоразмер "&amp;G100&amp;", марка "&amp;H100&amp;". Событие: "&amp;I100&amp;". Признак: "&amp;J100&amp;". Узел: "&amp;K100&amp;". Предварительная причина: "&amp;L100&amp;". Основное осложнение: "&amp;M100&amp;IF(N100&lt;&gt;"","; сопутствующее: "&amp;N100,"")&amp;IF(O100&lt;&gt;"","; дополнительно: "&amp;O100,"")&amp;".")</f>
        <v/>
      </c>
      <c r="R100" s="172">
        <f>IF('Оперативный ввод'!P100="","",'Оперативный ввод'!P100)</f>
        <v/>
      </c>
      <c r="S100" s="172">
        <f>IF('Оперативный ввод'!Q100="","",'Оперативный ввод'!Q100)</f>
        <v/>
      </c>
      <c r="T100" s="172">
        <f>IF('Оперативный ввод'!R100="","",'Оперативный ввод'!R100)</f>
        <v/>
      </c>
      <c r="U100" s="172">
        <f>IF('Оперативный ввод'!S100="","",'Оперативный ввод'!S100)</f>
        <v/>
      </c>
      <c r="V100" s="172">
        <f>IF('Оперативный ввод'!T100="","",'Оперативный ввод'!T100)</f>
        <v/>
      </c>
      <c r="W100" s="172" t="n"/>
      <c r="X100" s="172" t="n"/>
      <c r="Y100" s="172" t="n"/>
      <c r="Z100" s="172" t="n"/>
      <c r="AA100" s="172">
        <f>IF('Оперативный ввод'!U100="","",'Оперативный ввод'!U100)</f>
        <v/>
      </c>
      <c r="AB100" s="172">
        <f>IF('Оперативный ввод'!V100="","",'Оперативный ввод'!V100)</f>
        <v/>
      </c>
      <c r="AC100" s="172">
        <f>IF('Оперативный ввод'!W100="","",'Оперативный ввод'!W100)</f>
        <v/>
      </c>
      <c r="BB100" s="172" t="n"/>
      <c r="BC100" s="172" t="n"/>
      <c r="BD100" s="205">
        <f>IF(AND(A100="",B100=""),"",IF(AND(P100="ГОТОВО",R100&lt;&gt;"",T100&lt;&gt;"",U100&lt;&gt;"",AA100&lt;&gt;"",AB100&lt;&gt;"",AC100&lt;&gt;"",BB100&lt;&gt;"",BC100&lt;&gt;""),"ГОТОВО","НЕ ГОТОВО"))</f>
        <v/>
      </c>
      <c r="BE100" s="205">
        <f>IF(BD100&lt;&gt;"ГОТОВО","","Полное заключение: "&amp;A100&amp;", скв. "&amp;B100&amp;". МРП: "&amp;E100&amp;" сут. ГНО: "&amp;F100&amp;"; причина: "&amp;U100&amp;"; категория: "&amp;V100&amp;"; решение комиссии: "&amp;BB100&amp;".")</f>
        <v/>
      </c>
      <c r="BF100" s="173">
        <f>IF('Оперативный ввод'!X100="","",'Оперативный ввод'!X100)</f>
        <v/>
      </c>
    </row>
    <row r="101">
      <c r="A101" s="171">
        <f>IF('Оперативный ввод'!A101="","",'Оперативный ввод'!A101)</f>
        <v/>
      </c>
      <c r="B101" s="172">
        <f>IF('Оперативный ввод'!B101="","",'Оперативный ввод'!B101)</f>
        <v/>
      </c>
      <c r="C101" s="270">
        <f>IF('Оперативный ввод'!C101="","",'Оперативный ввод'!C101)</f>
        <v/>
      </c>
      <c r="D101" s="270">
        <f>IF('Оперативный ввод'!D101="","",'Оперативный ввод'!D101)</f>
        <v/>
      </c>
      <c r="E101" s="271">
        <f>IF(OR(C101="",D101=""),"",D101-C101)</f>
        <v/>
      </c>
      <c r="F101" s="172">
        <f>IF('Оперативный ввод'!F101="","",'Оперативный ввод'!F101)</f>
        <v/>
      </c>
      <c r="G101" s="172">
        <f>IF('Оперативный ввод'!G101="","",'Оперативный ввод'!G101)</f>
        <v/>
      </c>
      <c r="H101" s="172">
        <f>IF('Оперативный ввод'!H101="","",'Оперативный ввод'!H101)</f>
        <v/>
      </c>
      <c r="I101" s="172">
        <f>IF('Оперативный ввод'!I101="","",'Оперативный ввод'!I101)</f>
        <v/>
      </c>
      <c r="J101" s="172">
        <f>IF('Оперативный ввод'!J101="","",'Оперативный ввод'!J101)</f>
        <v/>
      </c>
      <c r="K101" s="172">
        <f>IF('Оперативный ввод'!K101="","",'Оперативный ввод'!K101)</f>
        <v/>
      </c>
      <c r="L101" s="172">
        <f>IF('Оперативный ввод'!L101="","",'Оперативный ввод'!L101)</f>
        <v/>
      </c>
      <c r="M101" s="172">
        <f>IF('Оперативный ввод'!M101="","",'Оперативный ввод'!M101)</f>
        <v/>
      </c>
      <c r="N101" s="172">
        <f>IF('Оперативный ввод'!N101="","",'Оперативный ввод'!N101)</f>
        <v/>
      </c>
      <c r="O101" s="172">
        <f>IF('Оперативный ввод'!O101="","",'Оперативный ввод'!O101)</f>
        <v/>
      </c>
      <c r="P101" s="205">
        <f>IF(AND(A101="",B101=""),"",IF(AND(A101&lt;&gt;"",B101&lt;&gt;"",C101&lt;&gt;"",D101&lt;&gt;"",F101&lt;&gt;"",G101&lt;&gt;"",H101&lt;&gt;"",ISERROR(SEARCH("по паспорту",G101)),ISERROR(SEARCH("по паспорту",H101)),I101&lt;&gt;"",J101&lt;&gt;"",K101&lt;&gt;"",L101&lt;&gt;"",M101&lt;&gt;""),"ГОТОВО","НЕ ГОТОВО"))</f>
        <v/>
      </c>
      <c r="Q101" s="205">
        <f>IF(P101&lt;&gt;"ГОТОВО","", "Предварительное заключение: "&amp;A101&amp;", скв. "&amp;B101&amp;". МРП: "&amp;E101&amp;" сут. ГНО: "&amp;F101&amp;", типоразмер "&amp;G101&amp;", марка "&amp;H101&amp;". Событие: "&amp;I101&amp;". Признак: "&amp;J101&amp;". Узел: "&amp;K101&amp;". Предварительная причина: "&amp;L101&amp;". Основное осложнение: "&amp;M101&amp;IF(N101&lt;&gt;"","; сопутствующее: "&amp;N101,"")&amp;IF(O101&lt;&gt;"","; дополнительно: "&amp;O101,"")&amp;".")</f>
        <v/>
      </c>
      <c r="R101" s="172">
        <f>IF('Оперативный ввод'!P101="","",'Оперативный ввод'!P101)</f>
        <v/>
      </c>
      <c r="S101" s="172">
        <f>IF('Оперативный ввод'!Q101="","",'Оперативный ввод'!Q101)</f>
        <v/>
      </c>
      <c r="T101" s="172">
        <f>IF('Оперативный ввод'!R101="","",'Оперативный ввод'!R101)</f>
        <v/>
      </c>
      <c r="U101" s="172">
        <f>IF('Оперативный ввод'!S101="","",'Оперативный ввод'!S101)</f>
        <v/>
      </c>
      <c r="V101" s="172">
        <f>IF('Оперативный ввод'!T101="","",'Оперативный ввод'!T101)</f>
        <v/>
      </c>
      <c r="W101" s="172" t="n"/>
      <c r="X101" s="172" t="n"/>
      <c r="Y101" s="172" t="n"/>
      <c r="Z101" s="172" t="n"/>
      <c r="AA101" s="172">
        <f>IF('Оперативный ввод'!U101="","",'Оперативный ввод'!U101)</f>
        <v/>
      </c>
      <c r="AB101" s="172">
        <f>IF('Оперативный ввод'!V101="","",'Оперативный ввод'!V101)</f>
        <v/>
      </c>
      <c r="AC101" s="172">
        <f>IF('Оперативный ввод'!W101="","",'Оперативный ввод'!W101)</f>
        <v/>
      </c>
      <c r="BB101" s="172" t="n"/>
      <c r="BC101" s="172" t="n"/>
      <c r="BD101" s="205">
        <f>IF(AND(A101="",B101=""),"",IF(AND(P101="ГОТОВО",R101&lt;&gt;"",T101&lt;&gt;"",U101&lt;&gt;"",AA101&lt;&gt;"",AB101&lt;&gt;"",AC101&lt;&gt;"",BB101&lt;&gt;"",BC101&lt;&gt;""),"ГОТОВО","НЕ ГОТОВО"))</f>
        <v/>
      </c>
      <c r="BE101" s="205">
        <f>IF(BD101&lt;&gt;"ГОТОВО","","Полное заключение: "&amp;A101&amp;", скв. "&amp;B101&amp;". МРП: "&amp;E101&amp;" сут. ГНО: "&amp;F101&amp;"; причина: "&amp;U101&amp;"; категория: "&amp;V101&amp;"; решение комиссии: "&amp;BB101&amp;".")</f>
        <v/>
      </c>
      <c r="BF101" s="173">
        <f>IF('Оперативный ввод'!X101="","",'Оперативный ввод'!X101)</f>
        <v/>
      </c>
    </row>
    <row r="102">
      <c r="A102" s="171">
        <f>IF('Оперативный ввод'!A102="","",'Оперативный ввод'!A102)</f>
        <v/>
      </c>
      <c r="B102" s="172">
        <f>IF('Оперативный ввод'!B102="","",'Оперативный ввод'!B102)</f>
        <v/>
      </c>
      <c r="C102" s="270">
        <f>IF('Оперативный ввод'!C102="","",'Оперативный ввод'!C102)</f>
        <v/>
      </c>
      <c r="D102" s="270">
        <f>IF('Оперативный ввод'!D102="","",'Оперативный ввод'!D102)</f>
        <v/>
      </c>
      <c r="E102" s="271">
        <f>IF(OR(C102="",D102=""),"",D102-C102)</f>
        <v/>
      </c>
      <c r="F102" s="172">
        <f>IF('Оперативный ввод'!F102="","",'Оперативный ввод'!F102)</f>
        <v/>
      </c>
      <c r="G102" s="172">
        <f>IF('Оперативный ввод'!G102="","",'Оперативный ввод'!G102)</f>
        <v/>
      </c>
      <c r="H102" s="172">
        <f>IF('Оперативный ввод'!H102="","",'Оперативный ввод'!H102)</f>
        <v/>
      </c>
      <c r="I102" s="172">
        <f>IF('Оперативный ввод'!I102="","",'Оперативный ввод'!I102)</f>
        <v/>
      </c>
      <c r="J102" s="172">
        <f>IF('Оперативный ввод'!J102="","",'Оперативный ввод'!J102)</f>
        <v/>
      </c>
      <c r="K102" s="172">
        <f>IF('Оперативный ввод'!K102="","",'Оперативный ввод'!K102)</f>
        <v/>
      </c>
      <c r="L102" s="172">
        <f>IF('Оперативный ввод'!L102="","",'Оперативный ввод'!L102)</f>
        <v/>
      </c>
      <c r="M102" s="172">
        <f>IF('Оперативный ввод'!M102="","",'Оперативный ввод'!M102)</f>
        <v/>
      </c>
      <c r="N102" s="172">
        <f>IF('Оперативный ввод'!N102="","",'Оперативный ввод'!N102)</f>
        <v/>
      </c>
      <c r="O102" s="172">
        <f>IF('Оперативный ввод'!O102="","",'Оперативный ввод'!O102)</f>
        <v/>
      </c>
      <c r="P102" s="205">
        <f>IF(AND(A102="",B102=""),"",IF(AND(A102&lt;&gt;"",B102&lt;&gt;"",C102&lt;&gt;"",D102&lt;&gt;"",F102&lt;&gt;"",G102&lt;&gt;"",H102&lt;&gt;"",ISERROR(SEARCH("по паспорту",G102)),ISERROR(SEARCH("по паспорту",H102)),I102&lt;&gt;"",J102&lt;&gt;"",K102&lt;&gt;"",L102&lt;&gt;"",M102&lt;&gt;""),"ГОТОВО","НЕ ГОТОВО"))</f>
        <v/>
      </c>
      <c r="Q102" s="205">
        <f>IF(P102&lt;&gt;"ГОТОВО","", "Предварительное заключение: "&amp;A102&amp;", скв. "&amp;B102&amp;". МРП: "&amp;E102&amp;" сут. ГНО: "&amp;F102&amp;", типоразмер "&amp;G102&amp;", марка "&amp;H102&amp;". Событие: "&amp;I102&amp;". Признак: "&amp;J102&amp;". Узел: "&amp;K102&amp;". Предварительная причина: "&amp;L102&amp;". Основное осложнение: "&amp;M102&amp;IF(N102&lt;&gt;"","; сопутствующее: "&amp;N102,"")&amp;IF(O102&lt;&gt;"","; дополнительно: "&amp;O102,"")&amp;".")</f>
        <v/>
      </c>
      <c r="R102" s="172">
        <f>IF('Оперативный ввод'!P102="","",'Оперативный ввод'!P102)</f>
        <v/>
      </c>
      <c r="S102" s="172">
        <f>IF('Оперативный ввод'!Q102="","",'Оперативный ввод'!Q102)</f>
        <v/>
      </c>
      <c r="T102" s="172">
        <f>IF('Оперативный ввод'!R102="","",'Оперативный ввод'!R102)</f>
        <v/>
      </c>
      <c r="U102" s="172">
        <f>IF('Оперативный ввод'!S102="","",'Оперативный ввод'!S102)</f>
        <v/>
      </c>
      <c r="V102" s="172">
        <f>IF('Оперативный ввод'!T102="","",'Оперативный ввод'!T102)</f>
        <v/>
      </c>
      <c r="W102" s="172" t="n"/>
      <c r="X102" s="172" t="n"/>
      <c r="Y102" s="172" t="n"/>
      <c r="Z102" s="172" t="n"/>
      <c r="AA102" s="172">
        <f>IF('Оперативный ввод'!U102="","",'Оперативный ввод'!U102)</f>
        <v/>
      </c>
      <c r="AB102" s="172">
        <f>IF('Оперативный ввод'!V102="","",'Оперативный ввод'!V102)</f>
        <v/>
      </c>
      <c r="AC102" s="172">
        <f>IF('Оперативный ввод'!W102="","",'Оперативный ввод'!W102)</f>
        <v/>
      </c>
      <c r="BB102" s="172" t="n"/>
      <c r="BC102" s="172" t="n"/>
      <c r="BD102" s="205">
        <f>IF(AND(A102="",B102=""),"",IF(AND(P102="ГОТОВО",R102&lt;&gt;"",T102&lt;&gt;"",U102&lt;&gt;"",AA102&lt;&gt;"",AB102&lt;&gt;"",AC102&lt;&gt;"",BB102&lt;&gt;"",BC102&lt;&gt;""),"ГОТОВО","НЕ ГОТОВО"))</f>
        <v/>
      </c>
      <c r="BE102" s="205">
        <f>IF(BD102&lt;&gt;"ГОТОВО","","Полное заключение: "&amp;A102&amp;", скв. "&amp;B102&amp;". МРП: "&amp;E102&amp;" сут. ГНО: "&amp;F102&amp;"; причина: "&amp;U102&amp;"; категория: "&amp;V102&amp;"; решение комиссии: "&amp;BB102&amp;".")</f>
        <v/>
      </c>
      <c r="BF102" s="173">
        <f>IF('Оперативный ввод'!X102="","",'Оперативный ввод'!X102)</f>
        <v/>
      </c>
    </row>
    <row r="103">
      <c r="A103" s="171">
        <f>IF('Оперативный ввод'!A103="","",'Оперативный ввод'!A103)</f>
        <v/>
      </c>
      <c r="B103" s="172">
        <f>IF('Оперативный ввод'!B103="","",'Оперативный ввод'!B103)</f>
        <v/>
      </c>
      <c r="C103" s="270">
        <f>IF('Оперативный ввод'!C103="","",'Оперативный ввод'!C103)</f>
        <v/>
      </c>
      <c r="D103" s="270">
        <f>IF('Оперативный ввод'!D103="","",'Оперативный ввод'!D103)</f>
        <v/>
      </c>
      <c r="E103" s="271">
        <f>IF(OR(C103="",D103=""),"",D103-C103)</f>
        <v/>
      </c>
      <c r="F103" s="172">
        <f>IF('Оперативный ввод'!F103="","",'Оперативный ввод'!F103)</f>
        <v/>
      </c>
      <c r="G103" s="172">
        <f>IF('Оперативный ввод'!G103="","",'Оперативный ввод'!G103)</f>
        <v/>
      </c>
      <c r="H103" s="172">
        <f>IF('Оперативный ввод'!H103="","",'Оперативный ввод'!H103)</f>
        <v/>
      </c>
      <c r="I103" s="172">
        <f>IF('Оперативный ввод'!I103="","",'Оперативный ввод'!I103)</f>
        <v/>
      </c>
      <c r="J103" s="172">
        <f>IF('Оперативный ввод'!J103="","",'Оперативный ввод'!J103)</f>
        <v/>
      </c>
      <c r="K103" s="172">
        <f>IF('Оперативный ввод'!K103="","",'Оперативный ввод'!K103)</f>
        <v/>
      </c>
      <c r="L103" s="172">
        <f>IF('Оперативный ввод'!L103="","",'Оперативный ввод'!L103)</f>
        <v/>
      </c>
      <c r="M103" s="172">
        <f>IF('Оперативный ввод'!M103="","",'Оперативный ввод'!M103)</f>
        <v/>
      </c>
      <c r="N103" s="172">
        <f>IF('Оперативный ввод'!N103="","",'Оперативный ввод'!N103)</f>
        <v/>
      </c>
      <c r="O103" s="172">
        <f>IF('Оперативный ввод'!O103="","",'Оперативный ввод'!O103)</f>
        <v/>
      </c>
      <c r="P103" s="205">
        <f>IF(AND(A103="",B103=""),"",IF(AND(A103&lt;&gt;"",B103&lt;&gt;"",C103&lt;&gt;"",D103&lt;&gt;"",F103&lt;&gt;"",G103&lt;&gt;"",H103&lt;&gt;"",ISERROR(SEARCH("по паспорту",G103)),ISERROR(SEARCH("по паспорту",H103)),I103&lt;&gt;"",J103&lt;&gt;"",K103&lt;&gt;"",L103&lt;&gt;"",M103&lt;&gt;""),"ГОТОВО","НЕ ГОТОВО"))</f>
        <v/>
      </c>
      <c r="Q103" s="205">
        <f>IF(P103&lt;&gt;"ГОТОВО","", "Предварительное заключение: "&amp;A103&amp;", скв. "&amp;B103&amp;". МРП: "&amp;E103&amp;" сут. ГНО: "&amp;F103&amp;", типоразмер "&amp;G103&amp;", марка "&amp;H103&amp;". Событие: "&amp;I103&amp;". Признак: "&amp;J103&amp;". Узел: "&amp;K103&amp;". Предварительная причина: "&amp;L103&amp;". Основное осложнение: "&amp;M103&amp;IF(N103&lt;&gt;"","; сопутствующее: "&amp;N103,"")&amp;IF(O103&lt;&gt;"","; дополнительно: "&amp;O103,"")&amp;".")</f>
        <v/>
      </c>
      <c r="R103" s="172">
        <f>IF('Оперативный ввод'!P103="","",'Оперативный ввод'!P103)</f>
        <v/>
      </c>
      <c r="S103" s="172">
        <f>IF('Оперативный ввод'!Q103="","",'Оперативный ввод'!Q103)</f>
        <v/>
      </c>
      <c r="T103" s="172">
        <f>IF('Оперативный ввод'!R103="","",'Оперативный ввод'!R103)</f>
        <v/>
      </c>
      <c r="U103" s="172">
        <f>IF('Оперативный ввод'!S103="","",'Оперативный ввод'!S103)</f>
        <v/>
      </c>
      <c r="V103" s="172">
        <f>IF('Оперативный ввод'!T103="","",'Оперативный ввод'!T103)</f>
        <v/>
      </c>
      <c r="W103" s="172" t="n"/>
      <c r="X103" s="172" t="n"/>
      <c r="Y103" s="172" t="n"/>
      <c r="Z103" s="172" t="n"/>
      <c r="AA103" s="172">
        <f>IF('Оперативный ввод'!U103="","",'Оперативный ввод'!U103)</f>
        <v/>
      </c>
      <c r="AB103" s="172">
        <f>IF('Оперативный ввод'!V103="","",'Оперативный ввод'!V103)</f>
        <v/>
      </c>
      <c r="AC103" s="172">
        <f>IF('Оперативный ввод'!W103="","",'Оперативный ввод'!W103)</f>
        <v/>
      </c>
      <c r="BB103" s="172" t="n"/>
      <c r="BC103" s="172" t="n"/>
      <c r="BD103" s="205">
        <f>IF(AND(A103="",B103=""),"",IF(AND(P103="ГОТОВО",R103&lt;&gt;"",T103&lt;&gt;"",U103&lt;&gt;"",AA103&lt;&gt;"",AB103&lt;&gt;"",AC103&lt;&gt;"",BB103&lt;&gt;"",BC103&lt;&gt;""),"ГОТОВО","НЕ ГОТОВО"))</f>
        <v/>
      </c>
      <c r="BE103" s="205">
        <f>IF(BD103&lt;&gt;"ГОТОВО","","Полное заключение: "&amp;A103&amp;", скв. "&amp;B103&amp;". МРП: "&amp;E103&amp;" сут. ГНО: "&amp;F103&amp;"; причина: "&amp;U103&amp;"; категория: "&amp;V103&amp;"; решение комиссии: "&amp;BB103&amp;".")</f>
        <v/>
      </c>
      <c r="BF103" s="173">
        <f>IF('Оперативный ввод'!X103="","",'Оперативный ввод'!X103)</f>
        <v/>
      </c>
    </row>
    <row r="104">
      <c r="A104" s="171">
        <f>IF('Оперативный ввод'!A104="","",'Оперативный ввод'!A104)</f>
        <v/>
      </c>
      <c r="B104" s="172">
        <f>IF('Оперативный ввод'!B104="","",'Оперативный ввод'!B104)</f>
        <v/>
      </c>
      <c r="C104" s="270">
        <f>IF('Оперативный ввод'!C104="","",'Оперативный ввод'!C104)</f>
        <v/>
      </c>
      <c r="D104" s="270">
        <f>IF('Оперативный ввод'!D104="","",'Оперативный ввод'!D104)</f>
        <v/>
      </c>
      <c r="E104" s="271">
        <f>IF(OR(C104="",D104=""),"",D104-C104)</f>
        <v/>
      </c>
      <c r="F104" s="172">
        <f>IF('Оперативный ввод'!F104="","",'Оперативный ввод'!F104)</f>
        <v/>
      </c>
      <c r="G104" s="172">
        <f>IF('Оперативный ввод'!G104="","",'Оперативный ввод'!G104)</f>
        <v/>
      </c>
      <c r="H104" s="172">
        <f>IF('Оперативный ввод'!H104="","",'Оперативный ввод'!H104)</f>
        <v/>
      </c>
      <c r="I104" s="172">
        <f>IF('Оперативный ввод'!I104="","",'Оперативный ввод'!I104)</f>
        <v/>
      </c>
      <c r="J104" s="172">
        <f>IF('Оперативный ввод'!J104="","",'Оперативный ввод'!J104)</f>
        <v/>
      </c>
      <c r="K104" s="172">
        <f>IF('Оперативный ввод'!K104="","",'Оперативный ввод'!K104)</f>
        <v/>
      </c>
      <c r="L104" s="172">
        <f>IF('Оперативный ввод'!L104="","",'Оперативный ввод'!L104)</f>
        <v/>
      </c>
      <c r="M104" s="172">
        <f>IF('Оперативный ввод'!M104="","",'Оперативный ввод'!M104)</f>
        <v/>
      </c>
      <c r="N104" s="172">
        <f>IF('Оперативный ввод'!N104="","",'Оперативный ввод'!N104)</f>
        <v/>
      </c>
      <c r="O104" s="172">
        <f>IF('Оперативный ввод'!O104="","",'Оперативный ввод'!O104)</f>
        <v/>
      </c>
      <c r="P104" s="205">
        <f>IF(AND(A104="",B104=""),"",IF(AND(A104&lt;&gt;"",B104&lt;&gt;"",C104&lt;&gt;"",D104&lt;&gt;"",F104&lt;&gt;"",G104&lt;&gt;"",H104&lt;&gt;"",ISERROR(SEARCH("по паспорту",G104)),ISERROR(SEARCH("по паспорту",H104)),I104&lt;&gt;"",J104&lt;&gt;"",K104&lt;&gt;"",L104&lt;&gt;"",M104&lt;&gt;""),"ГОТОВО","НЕ ГОТОВО"))</f>
        <v/>
      </c>
      <c r="Q104" s="205">
        <f>IF(P104&lt;&gt;"ГОТОВО","", "Предварительное заключение: "&amp;A104&amp;", скв. "&amp;B104&amp;". МРП: "&amp;E104&amp;" сут. ГНО: "&amp;F104&amp;", типоразмер "&amp;G104&amp;", марка "&amp;H104&amp;". Событие: "&amp;I104&amp;". Признак: "&amp;J104&amp;". Узел: "&amp;K104&amp;". Предварительная причина: "&amp;L104&amp;". Основное осложнение: "&amp;M104&amp;IF(N104&lt;&gt;"","; сопутствующее: "&amp;N104,"")&amp;IF(O104&lt;&gt;"","; дополнительно: "&amp;O104,"")&amp;".")</f>
        <v/>
      </c>
      <c r="R104" s="172">
        <f>IF('Оперативный ввод'!P104="","",'Оперативный ввод'!P104)</f>
        <v/>
      </c>
      <c r="S104" s="172">
        <f>IF('Оперативный ввод'!Q104="","",'Оперативный ввод'!Q104)</f>
        <v/>
      </c>
      <c r="T104" s="172">
        <f>IF('Оперативный ввод'!R104="","",'Оперативный ввод'!R104)</f>
        <v/>
      </c>
      <c r="U104" s="172">
        <f>IF('Оперативный ввод'!S104="","",'Оперативный ввод'!S104)</f>
        <v/>
      </c>
      <c r="V104" s="172">
        <f>IF('Оперативный ввод'!T104="","",'Оперативный ввод'!T104)</f>
        <v/>
      </c>
      <c r="W104" s="172" t="n"/>
      <c r="X104" s="172" t="n"/>
      <c r="Y104" s="172" t="n"/>
      <c r="Z104" s="172" t="n"/>
      <c r="AA104" s="172">
        <f>IF('Оперативный ввод'!U104="","",'Оперативный ввод'!U104)</f>
        <v/>
      </c>
      <c r="AB104" s="172">
        <f>IF('Оперативный ввод'!V104="","",'Оперативный ввод'!V104)</f>
        <v/>
      </c>
      <c r="AC104" s="172">
        <f>IF('Оперативный ввод'!W104="","",'Оперативный ввод'!W104)</f>
        <v/>
      </c>
      <c r="BB104" s="172" t="n"/>
      <c r="BC104" s="172" t="n"/>
      <c r="BD104" s="205">
        <f>IF(AND(A104="",B104=""),"",IF(AND(P104="ГОТОВО",R104&lt;&gt;"",T104&lt;&gt;"",U104&lt;&gt;"",AA104&lt;&gt;"",AB104&lt;&gt;"",AC104&lt;&gt;"",BB104&lt;&gt;"",BC104&lt;&gt;""),"ГОТОВО","НЕ ГОТОВО"))</f>
        <v/>
      </c>
      <c r="BE104" s="205">
        <f>IF(BD104&lt;&gt;"ГОТОВО","","Полное заключение: "&amp;A104&amp;", скв. "&amp;B104&amp;". МРП: "&amp;E104&amp;" сут. ГНО: "&amp;F104&amp;"; причина: "&amp;U104&amp;"; категория: "&amp;V104&amp;"; решение комиссии: "&amp;BB104&amp;".")</f>
        <v/>
      </c>
      <c r="BF104" s="173">
        <f>IF('Оперативный ввод'!X104="","",'Оперативный ввод'!X104)</f>
        <v/>
      </c>
    </row>
    <row r="105">
      <c r="A105" s="171">
        <f>IF('Оперативный ввод'!A105="","",'Оперативный ввод'!A105)</f>
        <v/>
      </c>
      <c r="B105" s="172">
        <f>IF('Оперативный ввод'!B105="","",'Оперативный ввод'!B105)</f>
        <v/>
      </c>
      <c r="C105" s="270">
        <f>IF('Оперативный ввод'!C105="","",'Оперативный ввод'!C105)</f>
        <v/>
      </c>
      <c r="D105" s="270">
        <f>IF('Оперативный ввод'!D105="","",'Оперативный ввод'!D105)</f>
        <v/>
      </c>
      <c r="E105" s="271">
        <f>IF(OR(C105="",D105=""),"",D105-C105)</f>
        <v/>
      </c>
      <c r="F105" s="172">
        <f>IF('Оперативный ввод'!F105="","",'Оперативный ввод'!F105)</f>
        <v/>
      </c>
      <c r="G105" s="172">
        <f>IF('Оперативный ввод'!G105="","",'Оперативный ввод'!G105)</f>
        <v/>
      </c>
      <c r="H105" s="172">
        <f>IF('Оперативный ввод'!H105="","",'Оперативный ввод'!H105)</f>
        <v/>
      </c>
      <c r="I105" s="172">
        <f>IF('Оперативный ввод'!I105="","",'Оперативный ввод'!I105)</f>
        <v/>
      </c>
      <c r="J105" s="172">
        <f>IF('Оперативный ввод'!J105="","",'Оперативный ввод'!J105)</f>
        <v/>
      </c>
      <c r="K105" s="172">
        <f>IF('Оперативный ввод'!K105="","",'Оперативный ввод'!K105)</f>
        <v/>
      </c>
      <c r="L105" s="172">
        <f>IF('Оперативный ввод'!L105="","",'Оперативный ввод'!L105)</f>
        <v/>
      </c>
      <c r="M105" s="172">
        <f>IF('Оперативный ввод'!M105="","",'Оперативный ввод'!M105)</f>
        <v/>
      </c>
      <c r="N105" s="172">
        <f>IF('Оперативный ввод'!N105="","",'Оперативный ввод'!N105)</f>
        <v/>
      </c>
      <c r="O105" s="172">
        <f>IF('Оперативный ввод'!O105="","",'Оперативный ввод'!O105)</f>
        <v/>
      </c>
      <c r="P105" s="205">
        <f>IF(AND(A105="",B105=""),"",IF(AND(A105&lt;&gt;"",B105&lt;&gt;"",C105&lt;&gt;"",D105&lt;&gt;"",F105&lt;&gt;"",G105&lt;&gt;"",H105&lt;&gt;"",ISERROR(SEARCH("по паспорту",G105)),ISERROR(SEARCH("по паспорту",H105)),I105&lt;&gt;"",J105&lt;&gt;"",K105&lt;&gt;"",L105&lt;&gt;"",M105&lt;&gt;""),"ГОТОВО","НЕ ГОТОВО"))</f>
        <v/>
      </c>
      <c r="Q105" s="205">
        <f>IF(P105&lt;&gt;"ГОТОВО","", "Предварительное заключение: "&amp;A105&amp;", скв. "&amp;B105&amp;". МРП: "&amp;E105&amp;" сут. ГНО: "&amp;F105&amp;", типоразмер "&amp;G105&amp;", марка "&amp;H105&amp;". Событие: "&amp;I105&amp;". Признак: "&amp;J105&amp;". Узел: "&amp;K105&amp;". Предварительная причина: "&amp;L105&amp;". Основное осложнение: "&amp;M105&amp;IF(N105&lt;&gt;"","; сопутствующее: "&amp;N105,"")&amp;IF(O105&lt;&gt;"","; дополнительно: "&amp;O105,"")&amp;".")</f>
        <v/>
      </c>
      <c r="R105" s="172">
        <f>IF('Оперативный ввод'!P105="","",'Оперативный ввод'!P105)</f>
        <v/>
      </c>
      <c r="S105" s="172">
        <f>IF('Оперативный ввод'!Q105="","",'Оперативный ввод'!Q105)</f>
        <v/>
      </c>
      <c r="T105" s="172">
        <f>IF('Оперативный ввод'!R105="","",'Оперативный ввод'!R105)</f>
        <v/>
      </c>
      <c r="U105" s="172">
        <f>IF('Оперативный ввод'!S105="","",'Оперативный ввод'!S105)</f>
        <v/>
      </c>
      <c r="V105" s="172">
        <f>IF('Оперативный ввод'!T105="","",'Оперативный ввод'!T105)</f>
        <v/>
      </c>
      <c r="W105" s="172" t="n"/>
      <c r="X105" s="172" t="n"/>
      <c r="Y105" s="172" t="n"/>
      <c r="Z105" s="172" t="n"/>
      <c r="AA105" s="172">
        <f>IF('Оперативный ввод'!U105="","",'Оперативный ввод'!U105)</f>
        <v/>
      </c>
      <c r="AB105" s="172">
        <f>IF('Оперативный ввод'!V105="","",'Оперативный ввод'!V105)</f>
        <v/>
      </c>
      <c r="AC105" s="172">
        <f>IF('Оперативный ввод'!W105="","",'Оперативный ввод'!W105)</f>
        <v/>
      </c>
      <c r="BB105" s="172" t="n"/>
      <c r="BC105" s="172" t="n"/>
      <c r="BD105" s="205">
        <f>IF(AND(A105="",B105=""),"",IF(AND(P105="ГОТОВО",R105&lt;&gt;"",T105&lt;&gt;"",U105&lt;&gt;"",AA105&lt;&gt;"",AB105&lt;&gt;"",AC105&lt;&gt;"",BB105&lt;&gt;"",BC105&lt;&gt;""),"ГОТОВО","НЕ ГОТОВО"))</f>
        <v/>
      </c>
      <c r="BE105" s="205">
        <f>IF(BD105&lt;&gt;"ГОТОВО","","Полное заключение: "&amp;A105&amp;", скв. "&amp;B105&amp;". МРП: "&amp;E105&amp;" сут. ГНО: "&amp;F105&amp;"; причина: "&amp;U105&amp;"; категория: "&amp;V105&amp;"; решение комиссии: "&amp;BB105&amp;".")</f>
        <v/>
      </c>
      <c r="BF105" s="173">
        <f>IF('Оперативный ввод'!X105="","",'Оперативный ввод'!X105)</f>
        <v/>
      </c>
    </row>
    <row r="106">
      <c r="A106" s="171">
        <f>IF('Оперативный ввод'!A106="","",'Оперативный ввод'!A106)</f>
        <v/>
      </c>
      <c r="B106" s="172">
        <f>IF('Оперативный ввод'!B106="","",'Оперативный ввод'!B106)</f>
        <v/>
      </c>
      <c r="C106" s="270">
        <f>IF('Оперативный ввод'!C106="","",'Оперативный ввод'!C106)</f>
        <v/>
      </c>
      <c r="D106" s="270">
        <f>IF('Оперативный ввод'!D106="","",'Оперативный ввод'!D106)</f>
        <v/>
      </c>
      <c r="E106" s="271">
        <f>IF(OR(C106="",D106=""),"",D106-C106)</f>
        <v/>
      </c>
      <c r="F106" s="172">
        <f>IF('Оперативный ввод'!F106="","",'Оперативный ввод'!F106)</f>
        <v/>
      </c>
      <c r="G106" s="172">
        <f>IF('Оперативный ввод'!G106="","",'Оперативный ввод'!G106)</f>
        <v/>
      </c>
      <c r="H106" s="172">
        <f>IF('Оперативный ввод'!H106="","",'Оперативный ввод'!H106)</f>
        <v/>
      </c>
      <c r="I106" s="172">
        <f>IF('Оперативный ввод'!I106="","",'Оперативный ввод'!I106)</f>
        <v/>
      </c>
      <c r="J106" s="172">
        <f>IF('Оперативный ввод'!J106="","",'Оперативный ввод'!J106)</f>
        <v/>
      </c>
      <c r="K106" s="172">
        <f>IF('Оперативный ввод'!K106="","",'Оперативный ввод'!K106)</f>
        <v/>
      </c>
      <c r="L106" s="172">
        <f>IF('Оперативный ввод'!L106="","",'Оперативный ввод'!L106)</f>
        <v/>
      </c>
      <c r="M106" s="172">
        <f>IF('Оперативный ввод'!M106="","",'Оперативный ввод'!M106)</f>
        <v/>
      </c>
      <c r="N106" s="172">
        <f>IF('Оперативный ввод'!N106="","",'Оперативный ввод'!N106)</f>
        <v/>
      </c>
      <c r="O106" s="172">
        <f>IF('Оперативный ввод'!O106="","",'Оперативный ввод'!O106)</f>
        <v/>
      </c>
      <c r="P106" s="205">
        <f>IF(AND(A106="",B106=""),"",IF(AND(A106&lt;&gt;"",B106&lt;&gt;"",C106&lt;&gt;"",D106&lt;&gt;"",F106&lt;&gt;"",G106&lt;&gt;"",H106&lt;&gt;"",ISERROR(SEARCH("по паспорту",G106)),ISERROR(SEARCH("по паспорту",H106)),I106&lt;&gt;"",J106&lt;&gt;"",K106&lt;&gt;"",L106&lt;&gt;"",M106&lt;&gt;""),"ГОТОВО","НЕ ГОТОВО"))</f>
        <v/>
      </c>
      <c r="Q106" s="205">
        <f>IF(P106&lt;&gt;"ГОТОВО","", "Предварительное заключение: "&amp;A106&amp;", скв. "&amp;B106&amp;". МРП: "&amp;E106&amp;" сут. ГНО: "&amp;F106&amp;", типоразмер "&amp;G106&amp;", марка "&amp;H106&amp;". Событие: "&amp;I106&amp;". Признак: "&amp;J106&amp;". Узел: "&amp;K106&amp;". Предварительная причина: "&amp;L106&amp;". Основное осложнение: "&amp;M106&amp;IF(N106&lt;&gt;"","; сопутствующее: "&amp;N106,"")&amp;IF(O106&lt;&gt;"","; дополнительно: "&amp;O106,"")&amp;".")</f>
        <v/>
      </c>
      <c r="R106" s="172">
        <f>IF('Оперативный ввод'!P106="","",'Оперативный ввод'!P106)</f>
        <v/>
      </c>
      <c r="S106" s="172">
        <f>IF('Оперативный ввод'!Q106="","",'Оперативный ввод'!Q106)</f>
        <v/>
      </c>
      <c r="T106" s="172">
        <f>IF('Оперативный ввод'!R106="","",'Оперативный ввод'!R106)</f>
        <v/>
      </c>
      <c r="U106" s="172">
        <f>IF('Оперативный ввод'!S106="","",'Оперативный ввод'!S106)</f>
        <v/>
      </c>
      <c r="V106" s="172">
        <f>IF('Оперативный ввод'!T106="","",'Оперативный ввод'!T106)</f>
        <v/>
      </c>
      <c r="W106" s="172" t="n"/>
      <c r="X106" s="172" t="n"/>
      <c r="Y106" s="172" t="n"/>
      <c r="Z106" s="172" t="n"/>
      <c r="AA106" s="172">
        <f>IF('Оперативный ввод'!U106="","",'Оперативный ввод'!U106)</f>
        <v/>
      </c>
      <c r="AB106" s="172">
        <f>IF('Оперативный ввод'!V106="","",'Оперативный ввод'!V106)</f>
        <v/>
      </c>
      <c r="AC106" s="172">
        <f>IF('Оперативный ввод'!W106="","",'Оперативный ввод'!W106)</f>
        <v/>
      </c>
      <c r="BB106" s="172" t="n"/>
      <c r="BC106" s="172" t="n"/>
      <c r="BD106" s="205">
        <f>IF(AND(A106="",B106=""),"",IF(AND(P106="ГОТОВО",R106&lt;&gt;"",T106&lt;&gt;"",U106&lt;&gt;"",AA106&lt;&gt;"",AB106&lt;&gt;"",AC106&lt;&gt;"",BB106&lt;&gt;"",BC106&lt;&gt;""),"ГОТОВО","НЕ ГОТОВО"))</f>
        <v/>
      </c>
      <c r="BE106" s="205">
        <f>IF(BD106&lt;&gt;"ГОТОВО","","Полное заключение: "&amp;A106&amp;", скв. "&amp;B106&amp;". МРП: "&amp;E106&amp;" сут. ГНО: "&amp;F106&amp;"; причина: "&amp;U106&amp;"; категория: "&amp;V106&amp;"; решение комиссии: "&amp;BB106&amp;".")</f>
        <v/>
      </c>
      <c r="BF106" s="173">
        <f>IF('Оперативный ввод'!X106="","",'Оперативный ввод'!X106)</f>
        <v/>
      </c>
    </row>
    <row r="107">
      <c r="A107" s="171">
        <f>IF('Оперативный ввод'!A107="","",'Оперативный ввод'!A107)</f>
        <v/>
      </c>
      <c r="B107" s="172">
        <f>IF('Оперативный ввод'!B107="","",'Оперативный ввод'!B107)</f>
        <v/>
      </c>
      <c r="C107" s="270">
        <f>IF('Оперативный ввод'!C107="","",'Оперативный ввод'!C107)</f>
        <v/>
      </c>
      <c r="D107" s="270">
        <f>IF('Оперативный ввод'!D107="","",'Оперативный ввод'!D107)</f>
        <v/>
      </c>
      <c r="E107" s="271">
        <f>IF(OR(C107="",D107=""),"",D107-C107)</f>
        <v/>
      </c>
      <c r="F107" s="172">
        <f>IF('Оперативный ввод'!F107="","",'Оперативный ввод'!F107)</f>
        <v/>
      </c>
      <c r="G107" s="172">
        <f>IF('Оперативный ввод'!G107="","",'Оперативный ввод'!G107)</f>
        <v/>
      </c>
      <c r="H107" s="172">
        <f>IF('Оперативный ввод'!H107="","",'Оперативный ввод'!H107)</f>
        <v/>
      </c>
      <c r="I107" s="172">
        <f>IF('Оперативный ввод'!I107="","",'Оперативный ввод'!I107)</f>
        <v/>
      </c>
      <c r="J107" s="172">
        <f>IF('Оперативный ввод'!J107="","",'Оперативный ввод'!J107)</f>
        <v/>
      </c>
      <c r="K107" s="172">
        <f>IF('Оперативный ввод'!K107="","",'Оперативный ввод'!K107)</f>
        <v/>
      </c>
      <c r="L107" s="172">
        <f>IF('Оперативный ввод'!L107="","",'Оперативный ввод'!L107)</f>
        <v/>
      </c>
      <c r="M107" s="172">
        <f>IF('Оперативный ввод'!M107="","",'Оперативный ввод'!M107)</f>
        <v/>
      </c>
      <c r="N107" s="172">
        <f>IF('Оперативный ввод'!N107="","",'Оперативный ввод'!N107)</f>
        <v/>
      </c>
      <c r="O107" s="172">
        <f>IF('Оперативный ввод'!O107="","",'Оперативный ввод'!O107)</f>
        <v/>
      </c>
      <c r="P107" s="205">
        <f>IF(AND(A107="",B107=""),"",IF(AND(A107&lt;&gt;"",B107&lt;&gt;"",C107&lt;&gt;"",D107&lt;&gt;"",F107&lt;&gt;"",G107&lt;&gt;"",H107&lt;&gt;"",ISERROR(SEARCH("по паспорту",G107)),ISERROR(SEARCH("по паспорту",H107)),I107&lt;&gt;"",J107&lt;&gt;"",K107&lt;&gt;"",L107&lt;&gt;"",M107&lt;&gt;""),"ГОТОВО","НЕ ГОТОВО"))</f>
        <v/>
      </c>
      <c r="Q107" s="205">
        <f>IF(P107&lt;&gt;"ГОТОВО","", "Предварительное заключение: "&amp;A107&amp;", скв. "&amp;B107&amp;". МРП: "&amp;E107&amp;" сут. ГНО: "&amp;F107&amp;", типоразмер "&amp;G107&amp;", марка "&amp;H107&amp;". Событие: "&amp;I107&amp;". Признак: "&amp;J107&amp;". Узел: "&amp;K107&amp;". Предварительная причина: "&amp;L107&amp;". Основное осложнение: "&amp;M107&amp;IF(N107&lt;&gt;"","; сопутствующее: "&amp;N107,"")&amp;IF(O107&lt;&gt;"","; дополнительно: "&amp;O107,"")&amp;".")</f>
        <v/>
      </c>
      <c r="R107" s="172">
        <f>IF('Оперативный ввод'!P107="","",'Оперативный ввод'!P107)</f>
        <v/>
      </c>
      <c r="S107" s="172">
        <f>IF('Оперативный ввод'!Q107="","",'Оперативный ввод'!Q107)</f>
        <v/>
      </c>
      <c r="T107" s="172">
        <f>IF('Оперативный ввод'!R107="","",'Оперативный ввод'!R107)</f>
        <v/>
      </c>
      <c r="U107" s="172">
        <f>IF('Оперативный ввод'!S107="","",'Оперативный ввод'!S107)</f>
        <v/>
      </c>
      <c r="V107" s="172">
        <f>IF('Оперативный ввод'!T107="","",'Оперативный ввод'!T107)</f>
        <v/>
      </c>
      <c r="W107" s="172" t="n"/>
      <c r="X107" s="172" t="n"/>
      <c r="Y107" s="172" t="n"/>
      <c r="Z107" s="172" t="n"/>
      <c r="AA107" s="172">
        <f>IF('Оперативный ввод'!U107="","",'Оперативный ввод'!U107)</f>
        <v/>
      </c>
      <c r="AB107" s="172">
        <f>IF('Оперативный ввод'!V107="","",'Оперативный ввод'!V107)</f>
        <v/>
      </c>
      <c r="AC107" s="172">
        <f>IF('Оперативный ввод'!W107="","",'Оперативный ввод'!W107)</f>
        <v/>
      </c>
      <c r="BB107" s="172" t="n"/>
      <c r="BC107" s="172" t="n"/>
      <c r="BD107" s="205">
        <f>IF(AND(A107="",B107=""),"",IF(AND(P107="ГОТОВО",R107&lt;&gt;"",T107&lt;&gt;"",U107&lt;&gt;"",AA107&lt;&gt;"",AB107&lt;&gt;"",AC107&lt;&gt;"",BB107&lt;&gt;"",BC107&lt;&gt;""),"ГОТОВО","НЕ ГОТОВО"))</f>
        <v/>
      </c>
      <c r="BE107" s="205">
        <f>IF(BD107&lt;&gt;"ГОТОВО","","Полное заключение: "&amp;A107&amp;", скв. "&amp;B107&amp;". МРП: "&amp;E107&amp;" сут. ГНО: "&amp;F107&amp;"; причина: "&amp;U107&amp;"; категория: "&amp;V107&amp;"; решение комиссии: "&amp;BB107&amp;".")</f>
        <v/>
      </c>
      <c r="BF107" s="173">
        <f>IF('Оперативный ввод'!X107="","",'Оперативный ввод'!X107)</f>
        <v/>
      </c>
    </row>
    <row r="108">
      <c r="A108" s="171">
        <f>IF('Оперативный ввод'!A108="","",'Оперативный ввод'!A108)</f>
        <v/>
      </c>
      <c r="B108" s="172">
        <f>IF('Оперативный ввод'!B108="","",'Оперативный ввод'!B108)</f>
        <v/>
      </c>
      <c r="C108" s="270">
        <f>IF('Оперативный ввод'!C108="","",'Оперативный ввод'!C108)</f>
        <v/>
      </c>
      <c r="D108" s="270">
        <f>IF('Оперативный ввод'!D108="","",'Оперативный ввод'!D108)</f>
        <v/>
      </c>
      <c r="E108" s="271">
        <f>IF(OR(C108="",D108=""),"",D108-C108)</f>
        <v/>
      </c>
      <c r="F108" s="172">
        <f>IF('Оперативный ввод'!F108="","",'Оперативный ввод'!F108)</f>
        <v/>
      </c>
      <c r="G108" s="172">
        <f>IF('Оперативный ввод'!G108="","",'Оперативный ввод'!G108)</f>
        <v/>
      </c>
      <c r="H108" s="172">
        <f>IF('Оперативный ввод'!H108="","",'Оперативный ввод'!H108)</f>
        <v/>
      </c>
      <c r="I108" s="172">
        <f>IF('Оперативный ввод'!I108="","",'Оперативный ввод'!I108)</f>
        <v/>
      </c>
      <c r="J108" s="172">
        <f>IF('Оперативный ввод'!J108="","",'Оперативный ввод'!J108)</f>
        <v/>
      </c>
      <c r="K108" s="172">
        <f>IF('Оперативный ввод'!K108="","",'Оперативный ввод'!K108)</f>
        <v/>
      </c>
      <c r="L108" s="172">
        <f>IF('Оперативный ввод'!L108="","",'Оперативный ввод'!L108)</f>
        <v/>
      </c>
      <c r="M108" s="172">
        <f>IF('Оперативный ввод'!M108="","",'Оперативный ввод'!M108)</f>
        <v/>
      </c>
      <c r="N108" s="172">
        <f>IF('Оперативный ввод'!N108="","",'Оперативный ввод'!N108)</f>
        <v/>
      </c>
      <c r="O108" s="172">
        <f>IF('Оперативный ввод'!O108="","",'Оперативный ввод'!O108)</f>
        <v/>
      </c>
      <c r="P108" s="205">
        <f>IF(AND(A108="",B108=""),"",IF(AND(A108&lt;&gt;"",B108&lt;&gt;"",C108&lt;&gt;"",D108&lt;&gt;"",F108&lt;&gt;"",G108&lt;&gt;"",H108&lt;&gt;"",ISERROR(SEARCH("по паспорту",G108)),ISERROR(SEARCH("по паспорту",H108)),I108&lt;&gt;"",J108&lt;&gt;"",K108&lt;&gt;"",L108&lt;&gt;"",M108&lt;&gt;""),"ГОТОВО","НЕ ГОТОВО"))</f>
        <v/>
      </c>
      <c r="Q108" s="205">
        <f>IF(P108&lt;&gt;"ГОТОВО","", "Предварительное заключение: "&amp;A108&amp;", скв. "&amp;B108&amp;". МРП: "&amp;E108&amp;" сут. ГНО: "&amp;F108&amp;", типоразмер "&amp;G108&amp;", марка "&amp;H108&amp;". Событие: "&amp;I108&amp;". Признак: "&amp;J108&amp;". Узел: "&amp;K108&amp;". Предварительная причина: "&amp;L108&amp;". Основное осложнение: "&amp;M108&amp;IF(N108&lt;&gt;"","; сопутствующее: "&amp;N108,"")&amp;IF(O108&lt;&gt;"","; дополнительно: "&amp;O108,"")&amp;".")</f>
        <v/>
      </c>
      <c r="R108" s="172">
        <f>IF('Оперативный ввод'!P108="","",'Оперативный ввод'!P108)</f>
        <v/>
      </c>
      <c r="S108" s="172">
        <f>IF('Оперативный ввод'!Q108="","",'Оперативный ввод'!Q108)</f>
        <v/>
      </c>
      <c r="T108" s="172">
        <f>IF('Оперативный ввод'!R108="","",'Оперативный ввод'!R108)</f>
        <v/>
      </c>
      <c r="U108" s="172">
        <f>IF('Оперативный ввод'!S108="","",'Оперативный ввод'!S108)</f>
        <v/>
      </c>
      <c r="V108" s="172">
        <f>IF('Оперативный ввод'!T108="","",'Оперативный ввод'!T108)</f>
        <v/>
      </c>
      <c r="W108" s="172" t="n"/>
      <c r="X108" s="172" t="n"/>
      <c r="Y108" s="172" t="n"/>
      <c r="Z108" s="172" t="n"/>
      <c r="AA108" s="172">
        <f>IF('Оперативный ввод'!U108="","",'Оперативный ввод'!U108)</f>
        <v/>
      </c>
      <c r="AB108" s="172">
        <f>IF('Оперативный ввод'!V108="","",'Оперативный ввод'!V108)</f>
        <v/>
      </c>
      <c r="AC108" s="172">
        <f>IF('Оперативный ввод'!W108="","",'Оперативный ввод'!W108)</f>
        <v/>
      </c>
      <c r="BB108" s="172" t="n"/>
      <c r="BC108" s="172" t="n"/>
      <c r="BD108" s="205">
        <f>IF(AND(A108="",B108=""),"",IF(AND(P108="ГОТОВО",R108&lt;&gt;"",T108&lt;&gt;"",U108&lt;&gt;"",AA108&lt;&gt;"",AB108&lt;&gt;"",AC108&lt;&gt;"",BB108&lt;&gt;"",BC108&lt;&gt;""),"ГОТОВО","НЕ ГОТОВО"))</f>
        <v/>
      </c>
      <c r="BE108" s="205">
        <f>IF(BD108&lt;&gt;"ГОТОВО","","Полное заключение: "&amp;A108&amp;", скв. "&amp;B108&amp;". МРП: "&amp;E108&amp;" сут. ГНО: "&amp;F108&amp;"; причина: "&amp;U108&amp;"; категория: "&amp;V108&amp;"; решение комиссии: "&amp;BB108&amp;".")</f>
        <v/>
      </c>
      <c r="BF108" s="173">
        <f>IF('Оперативный ввод'!X108="","",'Оперативный ввод'!X108)</f>
        <v/>
      </c>
    </row>
    <row r="109">
      <c r="A109" s="171">
        <f>IF('Оперативный ввод'!A109="","",'Оперативный ввод'!A109)</f>
        <v/>
      </c>
      <c r="B109" s="172">
        <f>IF('Оперативный ввод'!B109="","",'Оперативный ввод'!B109)</f>
        <v/>
      </c>
      <c r="C109" s="270">
        <f>IF('Оперативный ввод'!C109="","",'Оперативный ввод'!C109)</f>
        <v/>
      </c>
      <c r="D109" s="270">
        <f>IF('Оперативный ввод'!D109="","",'Оперативный ввод'!D109)</f>
        <v/>
      </c>
      <c r="E109" s="271">
        <f>IF(OR(C109="",D109=""),"",D109-C109)</f>
        <v/>
      </c>
      <c r="F109" s="172">
        <f>IF('Оперативный ввод'!F109="","",'Оперативный ввод'!F109)</f>
        <v/>
      </c>
      <c r="G109" s="172">
        <f>IF('Оперативный ввод'!G109="","",'Оперативный ввод'!G109)</f>
        <v/>
      </c>
      <c r="H109" s="172">
        <f>IF('Оперативный ввод'!H109="","",'Оперативный ввод'!H109)</f>
        <v/>
      </c>
      <c r="I109" s="172">
        <f>IF('Оперативный ввод'!I109="","",'Оперативный ввод'!I109)</f>
        <v/>
      </c>
      <c r="J109" s="172">
        <f>IF('Оперативный ввод'!J109="","",'Оперативный ввод'!J109)</f>
        <v/>
      </c>
      <c r="K109" s="172">
        <f>IF('Оперативный ввод'!K109="","",'Оперативный ввод'!K109)</f>
        <v/>
      </c>
      <c r="L109" s="172">
        <f>IF('Оперативный ввод'!L109="","",'Оперативный ввод'!L109)</f>
        <v/>
      </c>
      <c r="M109" s="172">
        <f>IF('Оперативный ввод'!M109="","",'Оперативный ввод'!M109)</f>
        <v/>
      </c>
      <c r="N109" s="172">
        <f>IF('Оперативный ввод'!N109="","",'Оперативный ввод'!N109)</f>
        <v/>
      </c>
      <c r="O109" s="172">
        <f>IF('Оперативный ввод'!O109="","",'Оперативный ввод'!O109)</f>
        <v/>
      </c>
      <c r="P109" s="205">
        <f>IF(AND(A109="",B109=""),"",IF(AND(A109&lt;&gt;"",B109&lt;&gt;"",C109&lt;&gt;"",D109&lt;&gt;"",F109&lt;&gt;"",G109&lt;&gt;"",H109&lt;&gt;"",ISERROR(SEARCH("по паспорту",G109)),ISERROR(SEARCH("по паспорту",H109)),I109&lt;&gt;"",J109&lt;&gt;"",K109&lt;&gt;"",L109&lt;&gt;"",M109&lt;&gt;""),"ГОТОВО","НЕ ГОТОВО"))</f>
        <v/>
      </c>
      <c r="Q109" s="205">
        <f>IF(P109&lt;&gt;"ГОТОВО","", "Предварительное заключение: "&amp;A109&amp;", скв. "&amp;B109&amp;". МРП: "&amp;E109&amp;" сут. ГНО: "&amp;F109&amp;", типоразмер "&amp;G109&amp;", марка "&amp;H109&amp;". Событие: "&amp;I109&amp;". Признак: "&amp;J109&amp;". Узел: "&amp;K109&amp;". Предварительная причина: "&amp;L109&amp;". Основное осложнение: "&amp;M109&amp;IF(N109&lt;&gt;"","; сопутствующее: "&amp;N109,"")&amp;IF(O109&lt;&gt;"","; дополнительно: "&amp;O109,"")&amp;".")</f>
        <v/>
      </c>
      <c r="R109" s="172">
        <f>IF('Оперативный ввод'!P109="","",'Оперативный ввод'!P109)</f>
        <v/>
      </c>
      <c r="S109" s="172">
        <f>IF('Оперативный ввод'!Q109="","",'Оперативный ввод'!Q109)</f>
        <v/>
      </c>
      <c r="T109" s="172">
        <f>IF('Оперативный ввод'!R109="","",'Оперативный ввод'!R109)</f>
        <v/>
      </c>
      <c r="U109" s="172">
        <f>IF('Оперативный ввод'!S109="","",'Оперативный ввод'!S109)</f>
        <v/>
      </c>
      <c r="V109" s="172">
        <f>IF('Оперативный ввод'!T109="","",'Оперативный ввод'!T109)</f>
        <v/>
      </c>
      <c r="W109" s="172" t="n"/>
      <c r="X109" s="172" t="n"/>
      <c r="Y109" s="172" t="n"/>
      <c r="Z109" s="172" t="n"/>
      <c r="AA109" s="172">
        <f>IF('Оперативный ввод'!U109="","",'Оперативный ввод'!U109)</f>
        <v/>
      </c>
      <c r="AB109" s="172">
        <f>IF('Оперативный ввод'!V109="","",'Оперативный ввод'!V109)</f>
        <v/>
      </c>
      <c r="AC109" s="172">
        <f>IF('Оперативный ввод'!W109="","",'Оперативный ввод'!W109)</f>
        <v/>
      </c>
      <c r="BB109" s="172" t="n"/>
      <c r="BC109" s="172" t="n"/>
      <c r="BD109" s="205">
        <f>IF(AND(A109="",B109=""),"",IF(AND(P109="ГОТОВО",R109&lt;&gt;"",T109&lt;&gt;"",U109&lt;&gt;"",AA109&lt;&gt;"",AB109&lt;&gt;"",AC109&lt;&gt;"",BB109&lt;&gt;"",BC109&lt;&gt;""),"ГОТОВО","НЕ ГОТОВО"))</f>
        <v/>
      </c>
      <c r="BE109" s="205">
        <f>IF(BD109&lt;&gt;"ГОТОВО","","Полное заключение: "&amp;A109&amp;", скв. "&amp;B109&amp;". МРП: "&amp;E109&amp;" сут. ГНО: "&amp;F109&amp;"; причина: "&amp;U109&amp;"; категория: "&amp;V109&amp;"; решение комиссии: "&amp;BB109&amp;".")</f>
        <v/>
      </c>
      <c r="BF109" s="173">
        <f>IF('Оперативный ввод'!X109="","",'Оперативный ввод'!X109)</f>
        <v/>
      </c>
    </row>
    <row r="110">
      <c r="A110" s="171">
        <f>IF('Оперативный ввод'!A110="","",'Оперативный ввод'!A110)</f>
        <v/>
      </c>
      <c r="B110" s="172">
        <f>IF('Оперативный ввод'!B110="","",'Оперативный ввод'!B110)</f>
        <v/>
      </c>
      <c r="C110" s="270">
        <f>IF('Оперативный ввод'!C110="","",'Оперативный ввод'!C110)</f>
        <v/>
      </c>
      <c r="D110" s="270">
        <f>IF('Оперативный ввод'!D110="","",'Оперативный ввод'!D110)</f>
        <v/>
      </c>
      <c r="E110" s="271">
        <f>IF(OR(C110="",D110=""),"",D110-C110)</f>
        <v/>
      </c>
      <c r="F110" s="172">
        <f>IF('Оперативный ввод'!F110="","",'Оперативный ввод'!F110)</f>
        <v/>
      </c>
      <c r="G110" s="172">
        <f>IF('Оперативный ввод'!G110="","",'Оперативный ввод'!G110)</f>
        <v/>
      </c>
      <c r="H110" s="172">
        <f>IF('Оперативный ввод'!H110="","",'Оперативный ввод'!H110)</f>
        <v/>
      </c>
      <c r="I110" s="172">
        <f>IF('Оперативный ввод'!I110="","",'Оперативный ввод'!I110)</f>
        <v/>
      </c>
      <c r="J110" s="172">
        <f>IF('Оперативный ввод'!J110="","",'Оперативный ввод'!J110)</f>
        <v/>
      </c>
      <c r="K110" s="172">
        <f>IF('Оперативный ввод'!K110="","",'Оперативный ввод'!K110)</f>
        <v/>
      </c>
      <c r="L110" s="172">
        <f>IF('Оперативный ввод'!L110="","",'Оперативный ввод'!L110)</f>
        <v/>
      </c>
      <c r="M110" s="172">
        <f>IF('Оперативный ввод'!M110="","",'Оперативный ввод'!M110)</f>
        <v/>
      </c>
      <c r="N110" s="172">
        <f>IF('Оперативный ввод'!N110="","",'Оперативный ввод'!N110)</f>
        <v/>
      </c>
      <c r="O110" s="172">
        <f>IF('Оперативный ввод'!O110="","",'Оперативный ввод'!O110)</f>
        <v/>
      </c>
      <c r="P110" s="205">
        <f>IF(AND(A110="",B110=""),"",IF(AND(A110&lt;&gt;"",B110&lt;&gt;"",C110&lt;&gt;"",D110&lt;&gt;"",F110&lt;&gt;"",G110&lt;&gt;"",H110&lt;&gt;"",ISERROR(SEARCH("по паспорту",G110)),ISERROR(SEARCH("по паспорту",H110)),I110&lt;&gt;"",J110&lt;&gt;"",K110&lt;&gt;"",L110&lt;&gt;"",M110&lt;&gt;""),"ГОТОВО","НЕ ГОТОВО"))</f>
        <v/>
      </c>
      <c r="Q110" s="205">
        <f>IF(P110&lt;&gt;"ГОТОВО","", "Предварительное заключение: "&amp;A110&amp;", скв. "&amp;B110&amp;". МРП: "&amp;E110&amp;" сут. ГНО: "&amp;F110&amp;", типоразмер "&amp;G110&amp;", марка "&amp;H110&amp;". Событие: "&amp;I110&amp;". Признак: "&amp;J110&amp;". Узел: "&amp;K110&amp;". Предварительная причина: "&amp;L110&amp;". Основное осложнение: "&amp;M110&amp;IF(N110&lt;&gt;"","; сопутствующее: "&amp;N110,"")&amp;IF(O110&lt;&gt;"","; дополнительно: "&amp;O110,"")&amp;".")</f>
        <v/>
      </c>
      <c r="R110" s="172">
        <f>IF('Оперативный ввод'!P110="","",'Оперативный ввод'!P110)</f>
        <v/>
      </c>
      <c r="S110" s="172">
        <f>IF('Оперативный ввод'!Q110="","",'Оперативный ввод'!Q110)</f>
        <v/>
      </c>
      <c r="T110" s="172">
        <f>IF('Оперативный ввод'!R110="","",'Оперативный ввод'!R110)</f>
        <v/>
      </c>
      <c r="U110" s="172">
        <f>IF('Оперативный ввод'!S110="","",'Оперативный ввод'!S110)</f>
        <v/>
      </c>
      <c r="V110" s="172">
        <f>IF('Оперативный ввод'!T110="","",'Оперативный ввод'!T110)</f>
        <v/>
      </c>
      <c r="W110" s="172" t="n"/>
      <c r="X110" s="172" t="n"/>
      <c r="Y110" s="172" t="n"/>
      <c r="Z110" s="172" t="n"/>
      <c r="AA110" s="172">
        <f>IF('Оперативный ввод'!U110="","",'Оперативный ввод'!U110)</f>
        <v/>
      </c>
      <c r="AB110" s="172">
        <f>IF('Оперативный ввод'!V110="","",'Оперативный ввод'!V110)</f>
        <v/>
      </c>
      <c r="AC110" s="172">
        <f>IF('Оперативный ввод'!W110="","",'Оперативный ввод'!W110)</f>
        <v/>
      </c>
      <c r="BB110" s="172" t="n"/>
      <c r="BC110" s="172" t="n"/>
      <c r="BD110" s="205">
        <f>IF(AND(A110="",B110=""),"",IF(AND(P110="ГОТОВО",R110&lt;&gt;"",T110&lt;&gt;"",U110&lt;&gt;"",AA110&lt;&gt;"",AB110&lt;&gt;"",AC110&lt;&gt;"",BB110&lt;&gt;"",BC110&lt;&gt;""),"ГОТОВО","НЕ ГОТОВО"))</f>
        <v/>
      </c>
      <c r="BE110" s="205">
        <f>IF(BD110&lt;&gt;"ГОТОВО","","Полное заключение: "&amp;A110&amp;", скв. "&amp;B110&amp;". МРП: "&amp;E110&amp;" сут. ГНО: "&amp;F110&amp;"; причина: "&amp;U110&amp;"; категория: "&amp;V110&amp;"; решение комиссии: "&amp;BB110&amp;".")</f>
        <v/>
      </c>
      <c r="BF110" s="173">
        <f>IF('Оперативный ввод'!X110="","",'Оперативный ввод'!X110)</f>
        <v/>
      </c>
    </row>
    <row r="111">
      <c r="A111" s="171">
        <f>IF('Оперативный ввод'!A111="","",'Оперативный ввод'!A111)</f>
        <v/>
      </c>
      <c r="B111" s="172">
        <f>IF('Оперативный ввод'!B111="","",'Оперативный ввод'!B111)</f>
        <v/>
      </c>
      <c r="C111" s="270">
        <f>IF('Оперативный ввод'!C111="","",'Оперативный ввод'!C111)</f>
        <v/>
      </c>
      <c r="D111" s="270">
        <f>IF('Оперативный ввод'!D111="","",'Оперативный ввод'!D111)</f>
        <v/>
      </c>
      <c r="E111" s="271">
        <f>IF(OR(C111="",D111=""),"",D111-C111)</f>
        <v/>
      </c>
      <c r="F111" s="172">
        <f>IF('Оперативный ввод'!F111="","",'Оперативный ввод'!F111)</f>
        <v/>
      </c>
      <c r="G111" s="172">
        <f>IF('Оперативный ввод'!G111="","",'Оперативный ввод'!G111)</f>
        <v/>
      </c>
      <c r="H111" s="172">
        <f>IF('Оперативный ввод'!H111="","",'Оперативный ввод'!H111)</f>
        <v/>
      </c>
      <c r="I111" s="172">
        <f>IF('Оперативный ввод'!I111="","",'Оперативный ввод'!I111)</f>
        <v/>
      </c>
      <c r="J111" s="172">
        <f>IF('Оперативный ввод'!J111="","",'Оперативный ввод'!J111)</f>
        <v/>
      </c>
      <c r="K111" s="172">
        <f>IF('Оперативный ввод'!K111="","",'Оперативный ввод'!K111)</f>
        <v/>
      </c>
      <c r="L111" s="172">
        <f>IF('Оперативный ввод'!L111="","",'Оперативный ввод'!L111)</f>
        <v/>
      </c>
      <c r="M111" s="172">
        <f>IF('Оперативный ввод'!M111="","",'Оперативный ввод'!M111)</f>
        <v/>
      </c>
      <c r="N111" s="172">
        <f>IF('Оперативный ввод'!N111="","",'Оперативный ввод'!N111)</f>
        <v/>
      </c>
      <c r="O111" s="172">
        <f>IF('Оперативный ввод'!O111="","",'Оперативный ввод'!O111)</f>
        <v/>
      </c>
      <c r="P111" s="205">
        <f>IF(AND(A111="",B111=""),"",IF(AND(A111&lt;&gt;"",B111&lt;&gt;"",C111&lt;&gt;"",D111&lt;&gt;"",F111&lt;&gt;"",G111&lt;&gt;"",H111&lt;&gt;"",ISERROR(SEARCH("по паспорту",G111)),ISERROR(SEARCH("по паспорту",H111)),I111&lt;&gt;"",J111&lt;&gt;"",K111&lt;&gt;"",L111&lt;&gt;"",M111&lt;&gt;""),"ГОТОВО","НЕ ГОТОВО"))</f>
        <v/>
      </c>
      <c r="Q111" s="205">
        <f>IF(P111&lt;&gt;"ГОТОВО","", "Предварительное заключение: "&amp;A111&amp;", скв. "&amp;B111&amp;". МРП: "&amp;E111&amp;" сут. ГНО: "&amp;F111&amp;", типоразмер "&amp;G111&amp;", марка "&amp;H111&amp;". Событие: "&amp;I111&amp;". Признак: "&amp;J111&amp;". Узел: "&amp;K111&amp;". Предварительная причина: "&amp;L111&amp;". Основное осложнение: "&amp;M111&amp;IF(N111&lt;&gt;"","; сопутствующее: "&amp;N111,"")&amp;IF(O111&lt;&gt;"","; дополнительно: "&amp;O111,"")&amp;".")</f>
        <v/>
      </c>
      <c r="R111" s="172">
        <f>IF('Оперативный ввод'!P111="","",'Оперативный ввод'!P111)</f>
        <v/>
      </c>
      <c r="S111" s="172">
        <f>IF('Оперативный ввод'!Q111="","",'Оперативный ввод'!Q111)</f>
        <v/>
      </c>
      <c r="T111" s="172">
        <f>IF('Оперативный ввод'!R111="","",'Оперативный ввод'!R111)</f>
        <v/>
      </c>
      <c r="U111" s="172">
        <f>IF('Оперативный ввод'!S111="","",'Оперативный ввод'!S111)</f>
        <v/>
      </c>
      <c r="V111" s="172">
        <f>IF('Оперативный ввод'!T111="","",'Оперативный ввод'!T111)</f>
        <v/>
      </c>
      <c r="W111" s="172" t="n"/>
      <c r="X111" s="172" t="n"/>
      <c r="Y111" s="172" t="n"/>
      <c r="Z111" s="172" t="n"/>
      <c r="AA111" s="172">
        <f>IF('Оперативный ввод'!U111="","",'Оперативный ввод'!U111)</f>
        <v/>
      </c>
      <c r="AB111" s="172">
        <f>IF('Оперативный ввод'!V111="","",'Оперативный ввод'!V111)</f>
        <v/>
      </c>
      <c r="AC111" s="172">
        <f>IF('Оперативный ввод'!W111="","",'Оперативный ввод'!W111)</f>
        <v/>
      </c>
      <c r="BB111" s="172" t="n"/>
      <c r="BC111" s="172" t="n"/>
      <c r="BD111" s="205">
        <f>IF(AND(A111="",B111=""),"",IF(AND(P111="ГОТОВО",R111&lt;&gt;"",T111&lt;&gt;"",U111&lt;&gt;"",AA111&lt;&gt;"",AB111&lt;&gt;"",AC111&lt;&gt;"",BB111&lt;&gt;"",BC111&lt;&gt;""),"ГОТОВО","НЕ ГОТОВО"))</f>
        <v/>
      </c>
      <c r="BE111" s="205">
        <f>IF(BD111&lt;&gt;"ГОТОВО","","Полное заключение: "&amp;A111&amp;", скв. "&amp;B111&amp;". МРП: "&amp;E111&amp;" сут. ГНО: "&amp;F111&amp;"; причина: "&amp;U111&amp;"; категория: "&amp;V111&amp;"; решение комиссии: "&amp;BB111&amp;".")</f>
        <v/>
      </c>
      <c r="BF111" s="173">
        <f>IF('Оперативный ввод'!X111="","",'Оперативный ввод'!X111)</f>
        <v/>
      </c>
    </row>
    <row r="112">
      <c r="A112" s="171">
        <f>IF('Оперативный ввод'!A112="","",'Оперативный ввод'!A112)</f>
        <v/>
      </c>
      <c r="B112" s="172">
        <f>IF('Оперативный ввод'!B112="","",'Оперативный ввод'!B112)</f>
        <v/>
      </c>
      <c r="C112" s="270">
        <f>IF('Оперативный ввод'!C112="","",'Оперативный ввод'!C112)</f>
        <v/>
      </c>
      <c r="D112" s="270">
        <f>IF('Оперативный ввод'!D112="","",'Оперативный ввод'!D112)</f>
        <v/>
      </c>
      <c r="E112" s="271">
        <f>IF(OR(C112="",D112=""),"",D112-C112)</f>
        <v/>
      </c>
      <c r="F112" s="172">
        <f>IF('Оперативный ввод'!F112="","",'Оперативный ввод'!F112)</f>
        <v/>
      </c>
      <c r="G112" s="172">
        <f>IF('Оперативный ввод'!G112="","",'Оперативный ввод'!G112)</f>
        <v/>
      </c>
      <c r="H112" s="172">
        <f>IF('Оперативный ввод'!H112="","",'Оперативный ввод'!H112)</f>
        <v/>
      </c>
      <c r="I112" s="172">
        <f>IF('Оперативный ввод'!I112="","",'Оперативный ввод'!I112)</f>
        <v/>
      </c>
      <c r="J112" s="172">
        <f>IF('Оперативный ввод'!J112="","",'Оперативный ввод'!J112)</f>
        <v/>
      </c>
      <c r="K112" s="172">
        <f>IF('Оперативный ввод'!K112="","",'Оперативный ввод'!K112)</f>
        <v/>
      </c>
      <c r="L112" s="172">
        <f>IF('Оперативный ввод'!L112="","",'Оперативный ввод'!L112)</f>
        <v/>
      </c>
      <c r="M112" s="172">
        <f>IF('Оперативный ввод'!M112="","",'Оперативный ввод'!M112)</f>
        <v/>
      </c>
      <c r="N112" s="172">
        <f>IF('Оперативный ввод'!N112="","",'Оперативный ввод'!N112)</f>
        <v/>
      </c>
      <c r="O112" s="172">
        <f>IF('Оперативный ввод'!O112="","",'Оперативный ввод'!O112)</f>
        <v/>
      </c>
      <c r="P112" s="205">
        <f>IF(AND(A112="",B112=""),"",IF(AND(A112&lt;&gt;"",B112&lt;&gt;"",C112&lt;&gt;"",D112&lt;&gt;"",F112&lt;&gt;"",G112&lt;&gt;"",H112&lt;&gt;"",ISERROR(SEARCH("по паспорту",G112)),ISERROR(SEARCH("по паспорту",H112)),I112&lt;&gt;"",J112&lt;&gt;"",K112&lt;&gt;"",L112&lt;&gt;"",M112&lt;&gt;""),"ГОТОВО","НЕ ГОТОВО"))</f>
        <v/>
      </c>
      <c r="Q112" s="205">
        <f>IF(P112&lt;&gt;"ГОТОВО","", "Предварительное заключение: "&amp;A112&amp;", скв. "&amp;B112&amp;". МРП: "&amp;E112&amp;" сут. ГНО: "&amp;F112&amp;", типоразмер "&amp;G112&amp;", марка "&amp;H112&amp;". Событие: "&amp;I112&amp;". Признак: "&amp;J112&amp;". Узел: "&amp;K112&amp;". Предварительная причина: "&amp;L112&amp;". Основное осложнение: "&amp;M112&amp;IF(N112&lt;&gt;"","; сопутствующее: "&amp;N112,"")&amp;IF(O112&lt;&gt;"","; дополнительно: "&amp;O112,"")&amp;".")</f>
        <v/>
      </c>
      <c r="R112" s="172">
        <f>IF('Оперативный ввод'!P112="","",'Оперативный ввод'!P112)</f>
        <v/>
      </c>
      <c r="S112" s="172">
        <f>IF('Оперативный ввод'!Q112="","",'Оперативный ввод'!Q112)</f>
        <v/>
      </c>
      <c r="T112" s="172">
        <f>IF('Оперативный ввод'!R112="","",'Оперативный ввод'!R112)</f>
        <v/>
      </c>
      <c r="U112" s="172">
        <f>IF('Оперативный ввод'!S112="","",'Оперативный ввод'!S112)</f>
        <v/>
      </c>
      <c r="V112" s="172">
        <f>IF('Оперативный ввод'!T112="","",'Оперативный ввод'!T112)</f>
        <v/>
      </c>
      <c r="W112" s="172" t="n"/>
      <c r="X112" s="172" t="n"/>
      <c r="Y112" s="172" t="n"/>
      <c r="Z112" s="172" t="n"/>
      <c r="AA112" s="172">
        <f>IF('Оперативный ввод'!U112="","",'Оперативный ввод'!U112)</f>
        <v/>
      </c>
      <c r="AB112" s="172">
        <f>IF('Оперативный ввод'!V112="","",'Оперативный ввод'!V112)</f>
        <v/>
      </c>
      <c r="AC112" s="172">
        <f>IF('Оперативный ввод'!W112="","",'Оперативный ввод'!W112)</f>
        <v/>
      </c>
      <c r="BB112" s="172" t="n"/>
      <c r="BC112" s="172" t="n"/>
      <c r="BD112" s="205">
        <f>IF(AND(A112="",B112=""),"",IF(AND(P112="ГОТОВО",R112&lt;&gt;"",T112&lt;&gt;"",U112&lt;&gt;"",AA112&lt;&gt;"",AB112&lt;&gt;"",AC112&lt;&gt;"",BB112&lt;&gt;"",BC112&lt;&gt;""),"ГОТОВО","НЕ ГОТОВО"))</f>
        <v/>
      </c>
      <c r="BE112" s="205">
        <f>IF(BD112&lt;&gt;"ГОТОВО","","Полное заключение: "&amp;A112&amp;", скв. "&amp;B112&amp;". МРП: "&amp;E112&amp;" сут. ГНО: "&amp;F112&amp;"; причина: "&amp;U112&amp;"; категория: "&amp;V112&amp;"; решение комиссии: "&amp;BB112&amp;".")</f>
        <v/>
      </c>
      <c r="BF112" s="173">
        <f>IF('Оперативный ввод'!X112="","",'Оперативный ввод'!X112)</f>
        <v/>
      </c>
    </row>
    <row r="113">
      <c r="A113" s="171">
        <f>IF('Оперативный ввод'!A113="","",'Оперативный ввод'!A113)</f>
        <v/>
      </c>
      <c r="B113" s="172">
        <f>IF('Оперативный ввод'!B113="","",'Оперативный ввод'!B113)</f>
        <v/>
      </c>
      <c r="C113" s="270">
        <f>IF('Оперативный ввод'!C113="","",'Оперативный ввод'!C113)</f>
        <v/>
      </c>
      <c r="D113" s="270">
        <f>IF('Оперативный ввод'!D113="","",'Оперативный ввод'!D113)</f>
        <v/>
      </c>
      <c r="E113" s="271">
        <f>IF(OR(C113="",D113=""),"",D113-C113)</f>
        <v/>
      </c>
      <c r="F113" s="172">
        <f>IF('Оперативный ввод'!F113="","",'Оперативный ввод'!F113)</f>
        <v/>
      </c>
      <c r="G113" s="172">
        <f>IF('Оперативный ввод'!G113="","",'Оперативный ввод'!G113)</f>
        <v/>
      </c>
      <c r="H113" s="172">
        <f>IF('Оперативный ввод'!H113="","",'Оперативный ввод'!H113)</f>
        <v/>
      </c>
      <c r="I113" s="172">
        <f>IF('Оперативный ввод'!I113="","",'Оперативный ввод'!I113)</f>
        <v/>
      </c>
      <c r="J113" s="172">
        <f>IF('Оперативный ввод'!J113="","",'Оперативный ввод'!J113)</f>
        <v/>
      </c>
      <c r="K113" s="172">
        <f>IF('Оперативный ввод'!K113="","",'Оперативный ввод'!K113)</f>
        <v/>
      </c>
      <c r="L113" s="172">
        <f>IF('Оперативный ввод'!L113="","",'Оперативный ввод'!L113)</f>
        <v/>
      </c>
      <c r="M113" s="172">
        <f>IF('Оперативный ввод'!M113="","",'Оперативный ввод'!M113)</f>
        <v/>
      </c>
      <c r="N113" s="172">
        <f>IF('Оперативный ввод'!N113="","",'Оперативный ввод'!N113)</f>
        <v/>
      </c>
      <c r="O113" s="172">
        <f>IF('Оперативный ввод'!O113="","",'Оперативный ввод'!O113)</f>
        <v/>
      </c>
      <c r="P113" s="205">
        <f>IF(AND(A113="",B113=""),"",IF(AND(A113&lt;&gt;"",B113&lt;&gt;"",C113&lt;&gt;"",D113&lt;&gt;"",F113&lt;&gt;"",G113&lt;&gt;"",H113&lt;&gt;"",ISERROR(SEARCH("по паспорту",G113)),ISERROR(SEARCH("по паспорту",H113)),I113&lt;&gt;"",J113&lt;&gt;"",K113&lt;&gt;"",L113&lt;&gt;"",M113&lt;&gt;""),"ГОТОВО","НЕ ГОТОВО"))</f>
        <v/>
      </c>
      <c r="Q113" s="205">
        <f>IF(P113&lt;&gt;"ГОТОВО","", "Предварительное заключение: "&amp;A113&amp;", скв. "&amp;B113&amp;". МРП: "&amp;E113&amp;" сут. ГНО: "&amp;F113&amp;", типоразмер "&amp;G113&amp;", марка "&amp;H113&amp;". Событие: "&amp;I113&amp;". Признак: "&amp;J113&amp;". Узел: "&amp;K113&amp;". Предварительная причина: "&amp;L113&amp;". Основное осложнение: "&amp;M113&amp;IF(N113&lt;&gt;"","; сопутствующее: "&amp;N113,"")&amp;IF(O113&lt;&gt;"","; дополнительно: "&amp;O113,"")&amp;".")</f>
        <v/>
      </c>
      <c r="R113" s="172">
        <f>IF('Оперативный ввод'!P113="","",'Оперативный ввод'!P113)</f>
        <v/>
      </c>
      <c r="S113" s="172">
        <f>IF('Оперативный ввод'!Q113="","",'Оперативный ввод'!Q113)</f>
        <v/>
      </c>
      <c r="T113" s="172">
        <f>IF('Оперативный ввод'!R113="","",'Оперативный ввод'!R113)</f>
        <v/>
      </c>
      <c r="U113" s="172">
        <f>IF('Оперативный ввод'!S113="","",'Оперативный ввод'!S113)</f>
        <v/>
      </c>
      <c r="V113" s="172">
        <f>IF('Оперативный ввод'!T113="","",'Оперативный ввод'!T113)</f>
        <v/>
      </c>
      <c r="W113" s="172" t="n"/>
      <c r="X113" s="172" t="n"/>
      <c r="Y113" s="172" t="n"/>
      <c r="Z113" s="172" t="n"/>
      <c r="AA113" s="172">
        <f>IF('Оперативный ввод'!U113="","",'Оперативный ввод'!U113)</f>
        <v/>
      </c>
      <c r="AB113" s="172">
        <f>IF('Оперативный ввод'!V113="","",'Оперативный ввод'!V113)</f>
        <v/>
      </c>
      <c r="AC113" s="172">
        <f>IF('Оперативный ввод'!W113="","",'Оперативный ввод'!W113)</f>
        <v/>
      </c>
      <c r="BB113" s="172" t="n"/>
      <c r="BC113" s="172" t="n"/>
      <c r="BD113" s="205">
        <f>IF(AND(A113="",B113=""),"",IF(AND(P113="ГОТОВО",R113&lt;&gt;"",T113&lt;&gt;"",U113&lt;&gt;"",AA113&lt;&gt;"",AB113&lt;&gt;"",AC113&lt;&gt;"",BB113&lt;&gt;"",BC113&lt;&gt;""),"ГОТОВО","НЕ ГОТОВО"))</f>
        <v/>
      </c>
      <c r="BE113" s="205">
        <f>IF(BD113&lt;&gt;"ГОТОВО","","Полное заключение: "&amp;A113&amp;", скв. "&amp;B113&amp;". МРП: "&amp;E113&amp;" сут. ГНО: "&amp;F113&amp;"; причина: "&amp;U113&amp;"; категория: "&amp;V113&amp;"; решение комиссии: "&amp;BB113&amp;".")</f>
        <v/>
      </c>
      <c r="BF113" s="173">
        <f>IF('Оперативный ввод'!X113="","",'Оперативный ввод'!X113)</f>
        <v/>
      </c>
    </row>
    <row r="114">
      <c r="A114" s="171">
        <f>IF('Оперативный ввод'!A114="","",'Оперативный ввод'!A114)</f>
        <v/>
      </c>
      <c r="B114" s="172">
        <f>IF('Оперативный ввод'!B114="","",'Оперативный ввод'!B114)</f>
        <v/>
      </c>
      <c r="C114" s="270">
        <f>IF('Оперативный ввод'!C114="","",'Оперативный ввод'!C114)</f>
        <v/>
      </c>
      <c r="D114" s="270">
        <f>IF('Оперативный ввод'!D114="","",'Оперативный ввод'!D114)</f>
        <v/>
      </c>
      <c r="E114" s="271">
        <f>IF(OR(C114="",D114=""),"",D114-C114)</f>
        <v/>
      </c>
      <c r="F114" s="172">
        <f>IF('Оперативный ввод'!F114="","",'Оперативный ввод'!F114)</f>
        <v/>
      </c>
      <c r="G114" s="172">
        <f>IF('Оперативный ввод'!G114="","",'Оперативный ввод'!G114)</f>
        <v/>
      </c>
      <c r="H114" s="172">
        <f>IF('Оперативный ввод'!H114="","",'Оперативный ввод'!H114)</f>
        <v/>
      </c>
      <c r="I114" s="172">
        <f>IF('Оперативный ввод'!I114="","",'Оперативный ввод'!I114)</f>
        <v/>
      </c>
      <c r="J114" s="172">
        <f>IF('Оперативный ввод'!J114="","",'Оперативный ввод'!J114)</f>
        <v/>
      </c>
      <c r="K114" s="172">
        <f>IF('Оперативный ввод'!K114="","",'Оперативный ввод'!K114)</f>
        <v/>
      </c>
      <c r="L114" s="172">
        <f>IF('Оперативный ввод'!L114="","",'Оперативный ввод'!L114)</f>
        <v/>
      </c>
      <c r="M114" s="172">
        <f>IF('Оперативный ввод'!M114="","",'Оперативный ввод'!M114)</f>
        <v/>
      </c>
      <c r="N114" s="172">
        <f>IF('Оперативный ввод'!N114="","",'Оперативный ввод'!N114)</f>
        <v/>
      </c>
      <c r="O114" s="172">
        <f>IF('Оперативный ввод'!O114="","",'Оперативный ввод'!O114)</f>
        <v/>
      </c>
      <c r="P114" s="205">
        <f>IF(AND(A114="",B114=""),"",IF(AND(A114&lt;&gt;"",B114&lt;&gt;"",C114&lt;&gt;"",D114&lt;&gt;"",F114&lt;&gt;"",G114&lt;&gt;"",H114&lt;&gt;"",ISERROR(SEARCH("по паспорту",G114)),ISERROR(SEARCH("по паспорту",H114)),I114&lt;&gt;"",J114&lt;&gt;"",K114&lt;&gt;"",L114&lt;&gt;"",M114&lt;&gt;""),"ГОТОВО","НЕ ГОТОВО"))</f>
        <v/>
      </c>
      <c r="Q114" s="205">
        <f>IF(P114&lt;&gt;"ГОТОВО","", "Предварительное заключение: "&amp;A114&amp;", скв. "&amp;B114&amp;". МРП: "&amp;E114&amp;" сут. ГНО: "&amp;F114&amp;", типоразмер "&amp;G114&amp;", марка "&amp;H114&amp;". Событие: "&amp;I114&amp;". Признак: "&amp;J114&amp;". Узел: "&amp;K114&amp;". Предварительная причина: "&amp;L114&amp;". Основное осложнение: "&amp;M114&amp;IF(N114&lt;&gt;"","; сопутствующее: "&amp;N114,"")&amp;IF(O114&lt;&gt;"","; дополнительно: "&amp;O114,"")&amp;".")</f>
        <v/>
      </c>
      <c r="R114" s="172">
        <f>IF('Оперативный ввод'!P114="","",'Оперативный ввод'!P114)</f>
        <v/>
      </c>
      <c r="S114" s="172">
        <f>IF('Оперативный ввод'!Q114="","",'Оперативный ввод'!Q114)</f>
        <v/>
      </c>
      <c r="T114" s="172">
        <f>IF('Оперативный ввод'!R114="","",'Оперативный ввод'!R114)</f>
        <v/>
      </c>
      <c r="U114" s="172">
        <f>IF('Оперативный ввод'!S114="","",'Оперативный ввод'!S114)</f>
        <v/>
      </c>
      <c r="V114" s="172">
        <f>IF('Оперативный ввод'!T114="","",'Оперативный ввод'!T114)</f>
        <v/>
      </c>
      <c r="W114" s="172" t="n"/>
      <c r="X114" s="172" t="n"/>
      <c r="Y114" s="172" t="n"/>
      <c r="Z114" s="172" t="n"/>
      <c r="AA114" s="172">
        <f>IF('Оперативный ввод'!U114="","",'Оперативный ввод'!U114)</f>
        <v/>
      </c>
      <c r="AB114" s="172">
        <f>IF('Оперативный ввод'!V114="","",'Оперативный ввод'!V114)</f>
        <v/>
      </c>
      <c r="AC114" s="172">
        <f>IF('Оперативный ввод'!W114="","",'Оперативный ввод'!W114)</f>
        <v/>
      </c>
      <c r="BB114" s="172" t="n"/>
      <c r="BC114" s="172" t="n"/>
      <c r="BD114" s="205">
        <f>IF(AND(A114="",B114=""),"",IF(AND(P114="ГОТОВО",R114&lt;&gt;"",T114&lt;&gt;"",U114&lt;&gt;"",AA114&lt;&gt;"",AB114&lt;&gt;"",AC114&lt;&gt;"",BB114&lt;&gt;"",BC114&lt;&gt;""),"ГОТОВО","НЕ ГОТОВО"))</f>
        <v/>
      </c>
      <c r="BE114" s="205">
        <f>IF(BD114&lt;&gt;"ГОТОВО","","Полное заключение: "&amp;A114&amp;", скв. "&amp;B114&amp;". МРП: "&amp;E114&amp;" сут. ГНО: "&amp;F114&amp;"; причина: "&amp;U114&amp;"; категория: "&amp;V114&amp;"; решение комиссии: "&amp;BB114&amp;".")</f>
        <v/>
      </c>
      <c r="BF114" s="173">
        <f>IF('Оперативный ввод'!X114="","",'Оперативный ввод'!X114)</f>
        <v/>
      </c>
    </row>
    <row r="115">
      <c r="A115" s="171">
        <f>IF('Оперативный ввод'!A115="","",'Оперативный ввод'!A115)</f>
        <v/>
      </c>
      <c r="B115" s="172">
        <f>IF('Оперативный ввод'!B115="","",'Оперативный ввод'!B115)</f>
        <v/>
      </c>
      <c r="C115" s="270">
        <f>IF('Оперативный ввод'!C115="","",'Оперативный ввод'!C115)</f>
        <v/>
      </c>
      <c r="D115" s="270">
        <f>IF('Оперативный ввод'!D115="","",'Оперативный ввод'!D115)</f>
        <v/>
      </c>
      <c r="E115" s="271">
        <f>IF(OR(C115="",D115=""),"",D115-C115)</f>
        <v/>
      </c>
      <c r="F115" s="172">
        <f>IF('Оперативный ввод'!F115="","",'Оперативный ввод'!F115)</f>
        <v/>
      </c>
      <c r="G115" s="172">
        <f>IF('Оперативный ввод'!G115="","",'Оперативный ввод'!G115)</f>
        <v/>
      </c>
      <c r="H115" s="172">
        <f>IF('Оперативный ввод'!H115="","",'Оперативный ввод'!H115)</f>
        <v/>
      </c>
      <c r="I115" s="172">
        <f>IF('Оперативный ввод'!I115="","",'Оперативный ввод'!I115)</f>
        <v/>
      </c>
      <c r="J115" s="172">
        <f>IF('Оперативный ввод'!J115="","",'Оперативный ввод'!J115)</f>
        <v/>
      </c>
      <c r="K115" s="172">
        <f>IF('Оперативный ввод'!K115="","",'Оперативный ввод'!K115)</f>
        <v/>
      </c>
      <c r="L115" s="172">
        <f>IF('Оперативный ввод'!L115="","",'Оперативный ввод'!L115)</f>
        <v/>
      </c>
      <c r="M115" s="172">
        <f>IF('Оперативный ввод'!M115="","",'Оперативный ввод'!M115)</f>
        <v/>
      </c>
      <c r="N115" s="172">
        <f>IF('Оперативный ввод'!N115="","",'Оперативный ввод'!N115)</f>
        <v/>
      </c>
      <c r="O115" s="172">
        <f>IF('Оперативный ввод'!O115="","",'Оперативный ввод'!O115)</f>
        <v/>
      </c>
      <c r="P115" s="205">
        <f>IF(AND(A115="",B115=""),"",IF(AND(A115&lt;&gt;"",B115&lt;&gt;"",C115&lt;&gt;"",D115&lt;&gt;"",F115&lt;&gt;"",G115&lt;&gt;"",H115&lt;&gt;"",ISERROR(SEARCH("по паспорту",G115)),ISERROR(SEARCH("по паспорту",H115)),I115&lt;&gt;"",J115&lt;&gt;"",K115&lt;&gt;"",L115&lt;&gt;"",M115&lt;&gt;""),"ГОТОВО","НЕ ГОТОВО"))</f>
        <v/>
      </c>
      <c r="Q115" s="205">
        <f>IF(P115&lt;&gt;"ГОТОВО","", "Предварительное заключение: "&amp;A115&amp;", скв. "&amp;B115&amp;". МРП: "&amp;E115&amp;" сут. ГНО: "&amp;F115&amp;", типоразмер "&amp;G115&amp;", марка "&amp;H115&amp;". Событие: "&amp;I115&amp;". Признак: "&amp;J115&amp;". Узел: "&amp;K115&amp;". Предварительная причина: "&amp;L115&amp;". Основное осложнение: "&amp;M115&amp;IF(N115&lt;&gt;"","; сопутствующее: "&amp;N115,"")&amp;IF(O115&lt;&gt;"","; дополнительно: "&amp;O115,"")&amp;".")</f>
        <v/>
      </c>
      <c r="R115" s="172">
        <f>IF('Оперативный ввод'!P115="","",'Оперативный ввод'!P115)</f>
        <v/>
      </c>
      <c r="S115" s="172">
        <f>IF('Оперативный ввод'!Q115="","",'Оперативный ввод'!Q115)</f>
        <v/>
      </c>
      <c r="T115" s="172">
        <f>IF('Оперативный ввод'!R115="","",'Оперативный ввод'!R115)</f>
        <v/>
      </c>
      <c r="U115" s="172">
        <f>IF('Оперативный ввод'!S115="","",'Оперативный ввод'!S115)</f>
        <v/>
      </c>
      <c r="V115" s="172">
        <f>IF('Оперативный ввод'!T115="","",'Оперативный ввод'!T115)</f>
        <v/>
      </c>
      <c r="W115" s="172" t="n"/>
      <c r="X115" s="172" t="n"/>
      <c r="Y115" s="172" t="n"/>
      <c r="Z115" s="172" t="n"/>
      <c r="AA115" s="172">
        <f>IF('Оперативный ввод'!U115="","",'Оперативный ввод'!U115)</f>
        <v/>
      </c>
      <c r="AB115" s="172">
        <f>IF('Оперативный ввод'!V115="","",'Оперативный ввод'!V115)</f>
        <v/>
      </c>
      <c r="AC115" s="172">
        <f>IF('Оперативный ввод'!W115="","",'Оперативный ввод'!W115)</f>
        <v/>
      </c>
      <c r="BB115" s="172" t="n"/>
      <c r="BC115" s="172" t="n"/>
      <c r="BD115" s="205">
        <f>IF(AND(A115="",B115=""),"",IF(AND(P115="ГОТОВО",R115&lt;&gt;"",T115&lt;&gt;"",U115&lt;&gt;"",AA115&lt;&gt;"",AB115&lt;&gt;"",AC115&lt;&gt;"",BB115&lt;&gt;"",BC115&lt;&gt;""),"ГОТОВО","НЕ ГОТОВО"))</f>
        <v/>
      </c>
      <c r="BE115" s="205">
        <f>IF(BD115&lt;&gt;"ГОТОВО","","Полное заключение: "&amp;A115&amp;", скв. "&amp;B115&amp;". МРП: "&amp;E115&amp;" сут. ГНО: "&amp;F115&amp;"; причина: "&amp;U115&amp;"; категория: "&amp;V115&amp;"; решение комиссии: "&amp;BB115&amp;".")</f>
        <v/>
      </c>
      <c r="BF115" s="173">
        <f>IF('Оперативный ввод'!X115="","",'Оперативный ввод'!X115)</f>
        <v/>
      </c>
    </row>
    <row r="116">
      <c r="A116" s="171">
        <f>IF('Оперативный ввод'!A116="","",'Оперативный ввод'!A116)</f>
        <v/>
      </c>
      <c r="B116" s="172">
        <f>IF('Оперативный ввод'!B116="","",'Оперативный ввод'!B116)</f>
        <v/>
      </c>
      <c r="C116" s="270">
        <f>IF('Оперативный ввод'!C116="","",'Оперативный ввод'!C116)</f>
        <v/>
      </c>
      <c r="D116" s="270">
        <f>IF('Оперативный ввод'!D116="","",'Оперативный ввод'!D116)</f>
        <v/>
      </c>
      <c r="E116" s="271">
        <f>IF(OR(C116="",D116=""),"",D116-C116)</f>
        <v/>
      </c>
      <c r="F116" s="172">
        <f>IF('Оперативный ввод'!F116="","",'Оперативный ввод'!F116)</f>
        <v/>
      </c>
      <c r="G116" s="172">
        <f>IF('Оперативный ввод'!G116="","",'Оперативный ввод'!G116)</f>
        <v/>
      </c>
      <c r="H116" s="172">
        <f>IF('Оперативный ввод'!H116="","",'Оперативный ввод'!H116)</f>
        <v/>
      </c>
      <c r="I116" s="172">
        <f>IF('Оперативный ввод'!I116="","",'Оперативный ввод'!I116)</f>
        <v/>
      </c>
      <c r="J116" s="172">
        <f>IF('Оперативный ввод'!J116="","",'Оперативный ввод'!J116)</f>
        <v/>
      </c>
      <c r="K116" s="172">
        <f>IF('Оперативный ввод'!K116="","",'Оперативный ввод'!K116)</f>
        <v/>
      </c>
      <c r="L116" s="172">
        <f>IF('Оперативный ввод'!L116="","",'Оперативный ввод'!L116)</f>
        <v/>
      </c>
      <c r="M116" s="172">
        <f>IF('Оперативный ввод'!M116="","",'Оперативный ввод'!M116)</f>
        <v/>
      </c>
      <c r="N116" s="172">
        <f>IF('Оперативный ввод'!N116="","",'Оперативный ввод'!N116)</f>
        <v/>
      </c>
      <c r="O116" s="172">
        <f>IF('Оперативный ввод'!O116="","",'Оперативный ввод'!O116)</f>
        <v/>
      </c>
      <c r="P116" s="205">
        <f>IF(AND(A116="",B116=""),"",IF(AND(A116&lt;&gt;"",B116&lt;&gt;"",C116&lt;&gt;"",D116&lt;&gt;"",F116&lt;&gt;"",G116&lt;&gt;"",H116&lt;&gt;"",ISERROR(SEARCH("по паспорту",G116)),ISERROR(SEARCH("по паспорту",H116)),I116&lt;&gt;"",J116&lt;&gt;"",K116&lt;&gt;"",L116&lt;&gt;"",M116&lt;&gt;""),"ГОТОВО","НЕ ГОТОВО"))</f>
        <v/>
      </c>
      <c r="Q116" s="205">
        <f>IF(P116&lt;&gt;"ГОТОВО","", "Предварительное заключение: "&amp;A116&amp;", скв. "&amp;B116&amp;". МРП: "&amp;E116&amp;" сут. ГНО: "&amp;F116&amp;", типоразмер "&amp;G116&amp;", марка "&amp;H116&amp;". Событие: "&amp;I116&amp;". Признак: "&amp;J116&amp;". Узел: "&amp;K116&amp;". Предварительная причина: "&amp;L116&amp;". Основное осложнение: "&amp;M116&amp;IF(N116&lt;&gt;"","; сопутствующее: "&amp;N116,"")&amp;IF(O116&lt;&gt;"","; дополнительно: "&amp;O116,"")&amp;".")</f>
        <v/>
      </c>
      <c r="R116" s="172">
        <f>IF('Оперативный ввод'!P116="","",'Оперативный ввод'!P116)</f>
        <v/>
      </c>
      <c r="S116" s="172">
        <f>IF('Оперативный ввод'!Q116="","",'Оперативный ввод'!Q116)</f>
        <v/>
      </c>
      <c r="T116" s="172">
        <f>IF('Оперативный ввод'!R116="","",'Оперативный ввод'!R116)</f>
        <v/>
      </c>
      <c r="U116" s="172">
        <f>IF('Оперативный ввод'!S116="","",'Оперативный ввод'!S116)</f>
        <v/>
      </c>
      <c r="V116" s="172">
        <f>IF('Оперативный ввод'!T116="","",'Оперативный ввод'!T116)</f>
        <v/>
      </c>
      <c r="W116" s="172" t="n"/>
      <c r="X116" s="172" t="n"/>
      <c r="Y116" s="172" t="n"/>
      <c r="Z116" s="172" t="n"/>
      <c r="AA116" s="172">
        <f>IF('Оперативный ввод'!U116="","",'Оперативный ввод'!U116)</f>
        <v/>
      </c>
      <c r="AB116" s="172">
        <f>IF('Оперативный ввод'!V116="","",'Оперативный ввод'!V116)</f>
        <v/>
      </c>
      <c r="AC116" s="172">
        <f>IF('Оперативный ввод'!W116="","",'Оперативный ввод'!W116)</f>
        <v/>
      </c>
      <c r="BB116" s="172" t="n"/>
      <c r="BC116" s="172" t="n"/>
      <c r="BD116" s="205">
        <f>IF(AND(A116="",B116=""),"",IF(AND(P116="ГОТОВО",R116&lt;&gt;"",T116&lt;&gt;"",U116&lt;&gt;"",AA116&lt;&gt;"",AB116&lt;&gt;"",AC116&lt;&gt;"",BB116&lt;&gt;"",BC116&lt;&gt;""),"ГОТОВО","НЕ ГОТОВО"))</f>
        <v/>
      </c>
      <c r="BE116" s="205">
        <f>IF(BD116&lt;&gt;"ГОТОВО","","Полное заключение: "&amp;A116&amp;", скв. "&amp;B116&amp;". МРП: "&amp;E116&amp;" сут. ГНО: "&amp;F116&amp;"; причина: "&amp;U116&amp;"; категория: "&amp;V116&amp;"; решение комиссии: "&amp;BB116&amp;".")</f>
        <v/>
      </c>
      <c r="BF116" s="173">
        <f>IF('Оперативный ввод'!X116="","",'Оперативный ввод'!X116)</f>
        <v/>
      </c>
    </row>
    <row r="117">
      <c r="A117" s="171">
        <f>IF('Оперативный ввод'!A117="","",'Оперативный ввод'!A117)</f>
        <v/>
      </c>
      <c r="B117" s="172">
        <f>IF('Оперативный ввод'!B117="","",'Оперативный ввод'!B117)</f>
        <v/>
      </c>
      <c r="C117" s="270">
        <f>IF('Оперативный ввод'!C117="","",'Оперативный ввод'!C117)</f>
        <v/>
      </c>
      <c r="D117" s="270">
        <f>IF('Оперативный ввод'!D117="","",'Оперативный ввод'!D117)</f>
        <v/>
      </c>
      <c r="E117" s="271">
        <f>IF(OR(C117="",D117=""),"",D117-C117)</f>
        <v/>
      </c>
      <c r="F117" s="172">
        <f>IF('Оперативный ввод'!F117="","",'Оперативный ввод'!F117)</f>
        <v/>
      </c>
      <c r="G117" s="172">
        <f>IF('Оперативный ввод'!G117="","",'Оперативный ввод'!G117)</f>
        <v/>
      </c>
      <c r="H117" s="172">
        <f>IF('Оперативный ввод'!H117="","",'Оперативный ввод'!H117)</f>
        <v/>
      </c>
      <c r="I117" s="172">
        <f>IF('Оперативный ввод'!I117="","",'Оперативный ввод'!I117)</f>
        <v/>
      </c>
      <c r="J117" s="172">
        <f>IF('Оперативный ввод'!J117="","",'Оперативный ввод'!J117)</f>
        <v/>
      </c>
      <c r="K117" s="172">
        <f>IF('Оперативный ввод'!K117="","",'Оперативный ввод'!K117)</f>
        <v/>
      </c>
      <c r="L117" s="172">
        <f>IF('Оперативный ввод'!L117="","",'Оперативный ввод'!L117)</f>
        <v/>
      </c>
      <c r="M117" s="172">
        <f>IF('Оперативный ввод'!M117="","",'Оперативный ввод'!M117)</f>
        <v/>
      </c>
      <c r="N117" s="172">
        <f>IF('Оперативный ввод'!N117="","",'Оперативный ввод'!N117)</f>
        <v/>
      </c>
      <c r="O117" s="172">
        <f>IF('Оперативный ввод'!O117="","",'Оперативный ввод'!O117)</f>
        <v/>
      </c>
      <c r="P117" s="205">
        <f>IF(AND(A117="",B117=""),"",IF(AND(A117&lt;&gt;"",B117&lt;&gt;"",C117&lt;&gt;"",D117&lt;&gt;"",F117&lt;&gt;"",G117&lt;&gt;"",H117&lt;&gt;"",ISERROR(SEARCH("по паспорту",G117)),ISERROR(SEARCH("по паспорту",H117)),I117&lt;&gt;"",J117&lt;&gt;"",K117&lt;&gt;"",L117&lt;&gt;"",M117&lt;&gt;""),"ГОТОВО","НЕ ГОТОВО"))</f>
        <v/>
      </c>
      <c r="Q117" s="205">
        <f>IF(P117&lt;&gt;"ГОТОВО","", "Предварительное заключение: "&amp;A117&amp;", скв. "&amp;B117&amp;". МРП: "&amp;E117&amp;" сут. ГНО: "&amp;F117&amp;", типоразмер "&amp;G117&amp;", марка "&amp;H117&amp;". Событие: "&amp;I117&amp;". Признак: "&amp;J117&amp;". Узел: "&amp;K117&amp;". Предварительная причина: "&amp;L117&amp;". Основное осложнение: "&amp;M117&amp;IF(N117&lt;&gt;"","; сопутствующее: "&amp;N117,"")&amp;IF(O117&lt;&gt;"","; дополнительно: "&amp;O117,"")&amp;".")</f>
        <v/>
      </c>
      <c r="R117" s="172">
        <f>IF('Оперативный ввод'!P117="","",'Оперативный ввод'!P117)</f>
        <v/>
      </c>
      <c r="S117" s="172">
        <f>IF('Оперативный ввод'!Q117="","",'Оперативный ввод'!Q117)</f>
        <v/>
      </c>
      <c r="T117" s="172">
        <f>IF('Оперативный ввод'!R117="","",'Оперативный ввод'!R117)</f>
        <v/>
      </c>
      <c r="U117" s="172">
        <f>IF('Оперативный ввод'!S117="","",'Оперативный ввод'!S117)</f>
        <v/>
      </c>
      <c r="V117" s="172">
        <f>IF('Оперативный ввод'!T117="","",'Оперативный ввод'!T117)</f>
        <v/>
      </c>
      <c r="W117" s="172" t="n"/>
      <c r="X117" s="172" t="n"/>
      <c r="Y117" s="172" t="n"/>
      <c r="Z117" s="172" t="n"/>
      <c r="AA117" s="172">
        <f>IF('Оперативный ввод'!U117="","",'Оперативный ввод'!U117)</f>
        <v/>
      </c>
      <c r="AB117" s="172">
        <f>IF('Оперативный ввод'!V117="","",'Оперативный ввод'!V117)</f>
        <v/>
      </c>
      <c r="AC117" s="172">
        <f>IF('Оперативный ввод'!W117="","",'Оперативный ввод'!W117)</f>
        <v/>
      </c>
      <c r="BB117" s="172" t="n"/>
      <c r="BC117" s="172" t="n"/>
      <c r="BD117" s="205">
        <f>IF(AND(A117="",B117=""),"",IF(AND(P117="ГОТОВО",R117&lt;&gt;"",T117&lt;&gt;"",U117&lt;&gt;"",AA117&lt;&gt;"",AB117&lt;&gt;"",AC117&lt;&gt;"",BB117&lt;&gt;"",BC117&lt;&gt;""),"ГОТОВО","НЕ ГОТОВО"))</f>
        <v/>
      </c>
      <c r="BE117" s="205">
        <f>IF(BD117&lt;&gt;"ГОТОВО","","Полное заключение: "&amp;A117&amp;", скв. "&amp;B117&amp;". МРП: "&amp;E117&amp;" сут. ГНО: "&amp;F117&amp;"; причина: "&amp;U117&amp;"; категория: "&amp;V117&amp;"; решение комиссии: "&amp;BB117&amp;".")</f>
        <v/>
      </c>
      <c r="BF117" s="173">
        <f>IF('Оперативный ввод'!X117="","",'Оперативный ввод'!X117)</f>
        <v/>
      </c>
    </row>
    <row r="118">
      <c r="A118" s="171">
        <f>IF('Оперативный ввод'!A118="","",'Оперативный ввод'!A118)</f>
        <v/>
      </c>
      <c r="B118" s="172">
        <f>IF('Оперативный ввод'!B118="","",'Оперативный ввод'!B118)</f>
        <v/>
      </c>
      <c r="C118" s="270">
        <f>IF('Оперативный ввод'!C118="","",'Оперативный ввод'!C118)</f>
        <v/>
      </c>
      <c r="D118" s="270">
        <f>IF('Оперативный ввод'!D118="","",'Оперативный ввод'!D118)</f>
        <v/>
      </c>
      <c r="E118" s="271">
        <f>IF(OR(C118="",D118=""),"",D118-C118)</f>
        <v/>
      </c>
      <c r="F118" s="172">
        <f>IF('Оперативный ввод'!F118="","",'Оперативный ввод'!F118)</f>
        <v/>
      </c>
      <c r="G118" s="172">
        <f>IF('Оперативный ввод'!G118="","",'Оперативный ввод'!G118)</f>
        <v/>
      </c>
      <c r="H118" s="172">
        <f>IF('Оперативный ввод'!H118="","",'Оперативный ввод'!H118)</f>
        <v/>
      </c>
      <c r="I118" s="172">
        <f>IF('Оперативный ввод'!I118="","",'Оперативный ввод'!I118)</f>
        <v/>
      </c>
      <c r="J118" s="172">
        <f>IF('Оперативный ввод'!J118="","",'Оперативный ввод'!J118)</f>
        <v/>
      </c>
      <c r="K118" s="172">
        <f>IF('Оперативный ввод'!K118="","",'Оперативный ввод'!K118)</f>
        <v/>
      </c>
      <c r="L118" s="172">
        <f>IF('Оперативный ввод'!L118="","",'Оперативный ввод'!L118)</f>
        <v/>
      </c>
      <c r="M118" s="172">
        <f>IF('Оперативный ввод'!M118="","",'Оперативный ввод'!M118)</f>
        <v/>
      </c>
      <c r="N118" s="172">
        <f>IF('Оперативный ввод'!N118="","",'Оперативный ввод'!N118)</f>
        <v/>
      </c>
      <c r="O118" s="172">
        <f>IF('Оперативный ввод'!O118="","",'Оперативный ввод'!O118)</f>
        <v/>
      </c>
      <c r="P118" s="205">
        <f>IF(AND(A118="",B118=""),"",IF(AND(A118&lt;&gt;"",B118&lt;&gt;"",C118&lt;&gt;"",D118&lt;&gt;"",F118&lt;&gt;"",G118&lt;&gt;"",H118&lt;&gt;"",ISERROR(SEARCH("по паспорту",G118)),ISERROR(SEARCH("по паспорту",H118)),I118&lt;&gt;"",J118&lt;&gt;"",K118&lt;&gt;"",L118&lt;&gt;"",M118&lt;&gt;""),"ГОТОВО","НЕ ГОТОВО"))</f>
        <v/>
      </c>
      <c r="Q118" s="205">
        <f>IF(P118&lt;&gt;"ГОТОВО","", "Предварительное заключение: "&amp;A118&amp;", скв. "&amp;B118&amp;". МРП: "&amp;E118&amp;" сут. ГНО: "&amp;F118&amp;", типоразмер "&amp;G118&amp;", марка "&amp;H118&amp;". Событие: "&amp;I118&amp;". Признак: "&amp;J118&amp;". Узел: "&amp;K118&amp;". Предварительная причина: "&amp;L118&amp;". Основное осложнение: "&amp;M118&amp;IF(N118&lt;&gt;"","; сопутствующее: "&amp;N118,"")&amp;IF(O118&lt;&gt;"","; дополнительно: "&amp;O118,"")&amp;".")</f>
        <v/>
      </c>
      <c r="R118" s="172">
        <f>IF('Оперативный ввод'!P118="","",'Оперативный ввод'!P118)</f>
        <v/>
      </c>
      <c r="S118" s="172">
        <f>IF('Оперативный ввод'!Q118="","",'Оперативный ввод'!Q118)</f>
        <v/>
      </c>
      <c r="T118" s="172">
        <f>IF('Оперативный ввод'!R118="","",'Оперативный ввод'!R118)</f>
        <v/>
      </c>
      <c r="U118" s="172">
        <f>IF('Оперативный ввод'!S118="","",'Оперативный ввод'!S118)</f>
        <v/>
      </c>
      <c r="V118" s="172">
        <f>IF('Оперативный ввод'!T118="","",'Оперативный ввод'!T118)</f>
        <v/>
      </c>
      <c r="W118" s="172" t="n"/>
      <c r="X118" s="172" t="n"/>
      <c r="Y118" s="172" t="n"/>
      <c r="Z118" s="172" t="n"/>
      <c r="AA118" s="172">
        <f>IF('Оперативный ввод'!U118="","",'Оперативный ввод'!U118)</f>
        <v/>
      </c>
      <c r="AB118" s="172">
        <f>IF('Оперативный ввод'!V118="","",'Оперативный ввод'!V118)</f>
        <v/>
      </c>
      <c r="AC118" s="172">
        <f>IF('Оперативный ввод'!W118="","",'Оперативный ввод'!W118)</f>
        <v/>
      </c>
      <c r="BB118" s="172" t="n"/>
      <c r="BC118" s="172" t="n"/>
      <c r="BD118" s="205">
        <f>IF(AND(A118="",B118=""),"",IF(AND(P118="ГОТОВО",R118&lt;&gt;"",T118&lt;&gt;"",U118&lt;&gt;"",AA118&lt;&gt;"",AB118&lt;&gt;"",AC118&lt;&gt;"",BB118&lt;&gt;"",BC118&lt;&gt;""),"ГОТОВО","НЕ ГОТОВО"))</f>
        <v/>
      </c>
      <c r="BE118" s="205">
        <f>IF(BD118&lt;&gt;"ГОТОВО","","Полное заключение: "&amp;A118&amp;", скв. "&amp;B118&amp;". МРП: "&amp;E118&amp;" сут. ГНО: "&amp;F118&amp;"; причина: "&amp;U118&amp;"; категория: "&amp;V118&amp;"; решение комиссии: "&amp;BB118&amp;".")</f>
        <v/>
      </c>
      <c r="BF118" s="173">
        <f>IF('Оперативный ввод'!X118="","",'Оперативный ввод'!X118)</f>
        <v/>
      </c>
    </row>
    <row r="119">
      <c r="A119" s="171">
        <f>IF('Оперативный ввод'!A119="","",'Оперативный ввод'!A119)</f>
        <v/>
      </c>
      <c r="B119" s="172">
        <f>IF('Оперативный ввод'!B119="","",'Оперативный ввод'!B119)</f>
        <v/>
      </c>
      <c r="C119" s="270">
        <f>IF('Оперативный ввод'!C119="","",'Оперативный ввод'!C119)</f>
        <v/>
      </c>
      <c r="D119" s="270">
        <f>IF('Оперативный ввод'!D119="","",'Оперативный ввод'!D119)</f>
        <v/>
      </c>
      <c r="E119" s="271">
        <f>IF(OR(C119="",D119=""),"",D119-C119)</f>
        <v/>
      </c>
      <c r="F119" s="172">
        <f>IF('Оперативный ввод'!F119="","",'Оперативный ввод'!F119)</f>
        <v/>
      </c>
      <c r="G119" s="172">
        <f>IF('Оперативный ввод'!G119="","",'Оперативный ввод'!G119)</f>
        <v/>
      </c>
      <c r="H119" s="172">
        <f>IF('Оперативный ввод'!H119="","",'Оперативный ввод'!H119)</f>
        <v/>
      </c>
      <c r="I119" s="172">
        <f>IF('Оперативный ввод'!I119="","",'Оперативный ввод'!I119)</f>
        <v/>
      </c>
      <c r="J119" s="172">
        <f>IF('Оперативный ввод'!J119="","",'Оперативный ввод'!J119)</f>
        <v/>
      </c>
      <c r="K119" s="172">
        <f>IF('Оперативный ввод'!K119="","",'Оперативный ввод'!K119)</f>
        <v/>
      </c>
      <c r="L119" s="172">
        <f>IF('Оперативный ввод'!L119="","",'Оперативный ввод'!L119)</f>
        <v/>
      </c>
      <c r="M119" s="172">
        <f>IF('Оперативный ввод'!M119="","",'Оперативный ввод'!M119)</f>
        <v/>
      </c>
      <c r="N119" s="172">
        <f>IF('Оперативный ввод'!N119="","",'Оперативный ввод'!N119)</f>
        <v/>
      </c>
      <c r="O119" s="172">
        <f>IF('Оперативный ввод'!O119="","",'Оперативный ввод'!O119)</f>
        <v/>
      </c>
      <c r="P119" s="205">
        <f>IF(AND(A119="",B119=""),"",IF(AND(A119&lt;&gt;"",B119&lt;&gt;"",C119&lt;&gt;"",D119&lt;&gt;"",F119&lt;&gt;"",G119&lt;&gt;"",H119&lt;&gt;"",ISERROR(SEARCH("по паспорту",G119)),ISERROR(SEARCH("по паспорту",H119)),I119&lt;&gt;"",J119&lt;&gt;"",K119&lt;&gt;"",L119&lt;&gt;"",M119&lt;&gt;""),"ГОТОВО","НЕ ГОТОВО"))</f>
        <v/>
      </c>
      <c r="Q119" s="205">
        <f>IF(P119&lt;&gt;"ГОТОВО","", "Предварительное заключение: "&amp;A119&amp;", скв. "&amp;B119&amp;". МРП: "&amp;E119&amp;" сут. ГНО: "&amp;F119&amp;", типоразмер "&amp;G119&amp;", марка "&amp;H119&amp;". Событие: "&amp;I119&amp;". Признак: "&amp;J119&amp;". Узел: "&amp;K119&amp;". Предварительная причина: "&amp;L119&amp;". Основное осложнение: "&amp;M119&amp;IF(N119&lt;&gt;"","; сопутствующее: "&amp;N119,"")&amp;IF(O119&lt;&gt;"","; дополнительно: "&amp;O119,"")&amp;".")</f>
        <v/>
      </c>
      <c r="R119" s="172">
        <f>IF('Оперативный ввод'!P119="","",'Оперативный ввод'!P119)</f>
        <v/>
      </c>
      <c r="S119" s="172">
        <f>IF('Оперативный ввод'!Q119="","",'Оперативный ввод'!Q119)</f>
        <v/>
      </c>
      <c r="T119" s="172">
        <f>IF('Оперативный ввод'!R119="","",'Оперативный ввод'!R119)</f>
        <v/>
      </c>
      <c r="U119" s="172">
        <f>IF('Оперативный ввод'!S119="","",'Оперативный ввод'!S119)</f>
        <v/>
      </c>
      <c r="V119" s="172">
        <f>IF('Оперативный ввод'!T119="","",'Оперативный ввод'!T119)</f>
        <v/>
      </c>
      <c r="W119" s="172" t="n"/>
      <c r="X119" s="172" t="n"/>
      <c r="Y119" s="172" t="n"/>
      <c r="Z119" s="172" t="n"/>
      <c r="AA119" s="172">
        <f>IF('Оперативный ввод'!U119="","",'Оперативный ввод'!U119)</f>
        <v/>
      </c>
      <c r="AB119" s="172">
        <f>IF('Оперативный ввод'!V119="","",'Оперативный ввод'!V119)</f>
        <v/>
      </c>
      <c r="AC119" s="172">
        <f>IF('Оперативный ввод'!W119="","",'Оперативный ввод'!W119)</f>
        <v/>
      </c>
      <c r="BB119" s="172" t="n"/>
      <c r="BC119" s="172" t="n"/>
      <c r="BD119" s="205">
        <f>IF(AND(A119="",B119=""),"",IF(AND(P119="ГОТОВО",R119&lt;&gt;"",T119&lt;&gt;"",U119&lt;&gt;"",AA119&lt;&gt;"",AB119&lt;&gt;"",AC119&lt;&gt;"",BB119&lt;&gt;"",BC119&lt;&gt;""),"ГОТОВО","НЕ ГОТОВО"))</f>
        <v/>
      </c>
      <c r="BE119" s="205">
        <f>IF(BD119&lt;&gt;"ГОТОВО","","Полное заключение: "&amp;A119&amp;", скв. "&amp;B119&amp;". МРП: "&amp;E119&amp;" сут. ГНО: "&amp;F119&amp;"; причина: "&amp;U119&amp;"; категория: "&amp;V119&amp;"; решение комиссии: "&amp;BB119&amp;".")</f>
        <v/>
      </c>
      <c r="BF119" s="173">
        <f>IF('Оперативный ввод'!X119="","",'Оперативный ввод'!X119)</f>
        <v/>
      </c>
    </row>
    <row r="120">
      <c r="A120" s="171">
        <f>IF('Оперативный ввод'!A120="","",'Оперативный ввод'!A120)</f>
        <v/>
      </c>
      <c r="B120" s="172">
        <f>IF('Оперативный ввод'!B120="","",'Оперативный ввод'!B120)</f>
        <v/>
      </c>
      <c r="C120" s="270">
        <f>IF('Оперативный ввод'!C120="","",'Оперативный ввод'!C120)</f>
        <v/>
      </c>
      <c r="D120" s="270">
        <f>IF('Оперативный ввод'!D120="","",'Оперативный ввод'!D120)</f>
        <v/>
      </c>
      <c r="E120" s="271">
        <f>IF(OR(C120="",D120=""),"",D120-C120)</f>
        <v/>
      </c>
      <c r="F120" s="172">
        <f>IF('Оперативный ввод'!F120="","",'Оперативный ввод'!F120)</f>
        <v/>
      </c>
      <c r="G120" s="172">
        <f>IF('Оперативный ввод'!G120="","",'Оперативный ввод'!G120)</f>
        <v/>
      </c>
      <c r="H120" s="172">
        <f>IF('Оперативный ввод'!H120="","",'Оперативный ввод'!H120)</f>
        <v/>
      </c>
      <c r="I120" s="172">
        <f>IF('Оперативный ввод'!I120="","",'Оперативный ввод'!I120)</f>
        <v/>
      </c>
      <c r="J120" s="172">
        <f>IF('Оперативный ввод'!J120="","",'Оперативный ввод'!J120)</f>
        <v/>
      </c>
      <c r="K120" s="172">
        <f>IF('Оперативный ввод'!K120="","",'Оперативный ввод'!K120)</f>
        <v/>
      </c>
      <c r="L120" s="172">
        <f>IF('Оперативный ввод'!L120="","",'Оперативный ввод'!L120)</f>
        <v/>
      </c>
      <c r="M120" s="172">
        <f>IF('Оперативный ввод'!M120="","",'Оперативный ввод'!M120)</f>
        <v/>
      </c>
      <c r="N120" s="172">
        <f>IF('Оперативный ввод'!N120="","",'Оперативный ввод'!N120)</f>
        <v/>
      </c>
      <c r="O120" s="172">
        <f>IF('Оперативный ввод'!O120="","",'Оперативный ввод'!O120)</f>
        <v/>
      </c>
      <c r="P120" s="205">
        <f>IF(AND(A120="",B120=""),"",IF(AND(A120&lt;&gt;"",B120&lt;&gt;"",C120&lt;&gt;"",D120&lt;&gt;"",F120&lt;&gt;"",G120&lt;&gt;"",H120&lt;&gt;"",ISERROR(SEARCH("по паспорту",G120)),ISERROR(SEARCH("по паспорту",H120)),I120&lt;&gt;"",J120&lt;&gt;"",K120&lt;&gt;"",L120&lt;&gt;"",M120&lt;&gt;""),"ГОТОВО","НЕ ГОТОВО"))</f>
        <v/>
      </c>
      <c r="Q120" s="205">
        <f>IF(P120&lt;&gt;"ГОТОВО","", "Предварительное заключение: "&amp;A120&amp;", скв. "&amp;B120&amp;". МРП: "&amp;E120&amp;" сут. ГНО: "&amp;F120&amp;", типоразмер "&amp;G120&amp;", марка "&amp;H120&amp;". Событие: "&amp;I120&amp;". Признак: "&amp;J120&amp;". Узел: "&amp;K120&amp;". Предварительная причина: "&amp;L120&amp;". Основное осложнение: "&amp;M120&amp;IF(N120&lt;&gt;"","; сопутствующее: "&amp;N120,"")&amp;IF(O120&lt;&gt;"","; дополнительно: "&amp;O120,"")&amp;".")</f>
        <v/>
      </c>
      <c r="R120" s="172">
        <f>IF('Оперативный ввод'!P120="","",'Оперативный ввод'!P120)</f>
        <v/>
      </c>
      <c r="S120" s="172">
        <f>IF('Оперативный ввод'!Q120="","",'Оперативный ввод'!Q120)</f>
        <v/>
      </c>
      <c r="T120" s="172">
        <f>IF('Оперативный ввод'!R120="","",'Оперативный ввод'!R120)</f>
        <v/>
      </c>
      <c r="U120" s="172">
        <f>IF('Оперативный ввод'!S120="","",'Оперативный ввод'!S120)</f>
        <v/>
      </c>
      <c r="V120" s="172">
        <f>IF('Оперативный ввод'!T120="","",'Оперативный ввод'!T120)</f>
        <v/>
      </c>
      <c r="W120" s="172" t="n"/>
      <c r="X120" s="172" t="n"/>
      <c r="Y120" s="172" t="n"/>
      <c r="Z120" s="172" t="n"/>
      <c r="AA120" s="172">
        <f>IF('Оперативный ввод'!U120="","",'Оперативный ввод'!U120)</f>
        <v/>
      </c>
      <c r="AB120" s="172">
        <f>IF('Оперативный ввод'!V120="","",'Оперативный ввод'!V120)</f>
        <v/>
      </c>
      <c r="AC120" s="172">
        <f>IF('Оперативный ввод'!W120="","",'Оперативный ввод'!W120)</f>
        <v/>
      </c>
      <c r="BB120" s="172" t="n"/>
      <c r="BC120" s="172" t="n"/>
      <c r="BD120" s="205">
        <f>IF(AND(A120="",B120=""),"",IF(AND(P120="ГОТОВО",R120&lt;&gt;"",T120&lt;&gt;"",U120&lt;&gt;"",AA120&lt;&gt;"",AB120&lt;&gt;"",AC120&lt;&gt;"",BB120&lt;&gt;"",BC120&lt;&gt;""),"ГОТОВО","НЕ ГОТОВО"))</f>
        <v/>
      </c>
      <c r="BE120" s="205">
        <f>IF(BD120&lt;&gt;"ГОТОВО","","Полное заключение: "&amp;A120&amp;", скв. "&amp;B120&amp;". МРП: "&amp;E120&amp;" сут. ГНО: "&amp;F120&amp;"; причина: "&amp;U120&amp;"; категория: "&amp;V120&amp;"; решение комиссии: "&amp;BB120&amp;".")</f>
        <v/>
      </c>
      <c r="BF120" s="173">
        <f>IF('Оперативный ввод'!X120="","",'Оперативный ввод'!X120)</f>
        <v/>
      </c>
    </row>
    <row r="121">
      <c r="A121" s="171">
        <f>IF('Оперативный ввод'!A121="","",'Оперативный ввод'!A121)</f>
        <v/>
      </c>
      <c r="B121" s="172">
        <f>IF('Оперативный ввод'!B121="","",'Оперативный ввод'!B121)</f>
        <v/>
      </c>
      <c r="C121" s="270">
        <f>IF('Оперативный ввод'!C121="","",'Оперативный ввод'!C121)</f>
        <v/>
      </c>
      <c r="D121" s="270">
        <f>IF('Оперативный ввод'!D121="","",'Оперативный ввод'!D121)</f>
        <v/>
      </c>
      <c r="E121" s="271">
        <f>IF(OR(C121="",D121=""),"",D121-C121)</f>
        <v/>
      </c>
      <c r="F121" s="172">
        <f>IF('Оперативный ввод'!F121="","",'Оперативный ввод'!F121)</f>
        <v/>
      </c>
      <c r="G121" s="172">
        <f>IF('Оперативный ввод'!G121="","",'Оперативный ввод'!G121)</f>
        <v/>
      </c>
      <c r="H121" s="172">
        <f>IF('Оперативный ввод'!H121="","",'Оперативный ввод'!H121)</f>
        <v/>
      </c>
      <c r="I121" s="172">
        <f>IF('Оперативный ввод'!I121="","",'Оперативный ввод'!I121)</f>
        <v/>
      </c>
      <c r="J121" s="172">
        <f>IF('Оперативный ввод'!J121="","",'Оперативный ввод'!J121)</f>
        <v/>
      </c>
      <c r="K121" s="172">
        <f>IF('Оперативный ввод'!K121="","",'Оперативный ввод'!K121)</f>
        <v/>
      </c>
      <c r="L121" s="172">
        <f>IF('Оперативный ввод'!L121="","",'Оперативный ввод'!L121)</f>
        <v/>
      </c>
      <c r="M121" s="172">
        <f>IF('Оперативный ввод'!M121="","",'Оперативный ввод'!M121)</f>
        <v/>
      </c>
      <c r="N121" s="172">
        <f>IF('Оперативный ввод'!N121="","",'Оперативный ввод'!N121)</f>
        <v/>
      </c>
      <c r="O121" s="172">
        <f>IF('Оперативный ввод'!O121="","",'Оперативный ввод'!O121)</f>
        <v/>
      </c>
      <c r="P121" s="205">
        <f>IF(AND(A121="",B121=""),"",IF(AND(A121&lt;&gt;"",B121&lt;&gt;"",C121&lt;&gt;"",D121&lt;&gt;"",F121&lt;&gt;"",G121&lt;&gt;"",H121&lt;&gt;"",ISERROR(SEARCH("по паспорту",G121)),ISERROR(SEARCH("по паспорту",H121)),I121&lt;&gt;"",J121&lt;&gt;"",K121&lt;&gt;"",L121&lt;&gt;"",M121&lt;&gt;""),"ГОТОВО","НЕ ГОТОВО"))</f>
        <v/>
      </c>
      <c r="Q121" s="205">
        <f>IF(P121&lt;&gt;"ГОТОВО","", "Предварительное заключение: "&amp;A121&amp;", скв. "&amp;B121&amp;". МРП: "&amp;E121&amp;" сут. ГНО: "&amp;F121&amp;", типоразмер "&amp;G121&amp;", марка "&amp;H121&amp;". Событие: "&amp;I121&amp;". Признак: "&amp;J121&amp;". Узел: "&amp;K121&amp;". Предварительная причина: "&amp;L121&amp;". Основное осложнение: "&amp;M121&amp;IF(N121&lt;&gt;"","; сопутствующее: "&amp;N121,"")&amp;IF(O121&lt;&gt;"","; дополнительно: "&amp;O121,"")&amp;".")</f>
        <v/>
      </c>
      <c r="R121" s="172">
        <f>IF('Оперативный ввод'!P121="","",'Оперативный ввод'!P121)</f>
        <v/>
      </c>
      <c r="S121" s="172">
        <f>IF('Оперативный ввод'!Q121="","",'Оперативный ввод'!Q121)</f>
        <v/>
      </c>
      <c r="T121" s="172">
        <f>IF('Оперативный ввод'!R121="","",'Оперативный ввод'!R121)</f>
        <v/>
      </c>
      <c r="U121" s="172">
        <f>IF('Оперативный ввод'!S121="","",'Оперативный ввод'!S121)</f>
        <v/>
      </c>
      <c r="V121" s="172">
        <f>IF('Оперативный ввод'!T121="","",'Оперативный ввод'!T121)</f>
        <v/>
      </c>
      <c r="W121" s="172" t="n"/>
      <c r="X121" s="172" t="n"/>
      <c r="Y121" s="172" t="n"/>
      <c r="Z121" s="172" t="n"/>
      <c r="AA121" s="172">
        <f>IF('Оперативный ввод'!U121="","",'Оперативный ввод'!U121)</f>
        <v/>
      </c>
      <c r="AB121" s="172">
        <f>IF('Оперативный ввод'!V121="","",'Оперативный ввод'!V121)</f>
        <v/>
      </c>
      <c r="AC121" s="172">
        <f>IF('Оперативный ввод'!W121="","",'Оперативный ввод'!W121)</f>
        <v/>
      </c>
      <c r="BB121" s="172" t="n"/>
      <c r="BC121" s="172" t="n"/>
      <c r="BD121" s="205">
        <f>IF(AND(A121="",B121=""),"",IF(AND(P121="ГОТОВО",R121&lt;&gt;"",T121&lt;&gt;"",U121&lt;&gt;"",AA121&lt;&gt;"",AB121&lt;&gt;"",AC121&lt;&gt;"",BB121&lt;&gt;"",BC121&lt;&gt;""),"ГОТОВО","НЕ ГОТОВО"))</f>
        <v/>
      </c>
      <c r="BE121" s="205">
        <f>IF(BD121&lt;&gt;"ГОТОВО","","Полное заключение: "&amp;A121&amp;", скв. "&amp;B121&amp;". МРП: "&amp;E121&amp;" сут. ГНО: "&amp;F121&amp;"; причина: "&amp;U121&amp;"; категория: "&amp;V121&amp;"; решение комиссии: "&amp;BB121&amp;".")</f>
        <v/>
      </c>
      <c r="BF121" s="173">
        <f>IF('Оперативный ввод'!X121="","",'Оперативный ввод'!X121)</f>
        <v/>
      </c>
    </row>
    <row r="122">
      <c r="A122" s="171">
        <f>IF('Оперативный ввод'!A122="","",'Оперативный ввод'!A122)</f>
        <v/>
      </c>
      <c r="B122" s="172">
        <f>IF('Оперативный ввод'!B122="","",'Оперативный ввод'!B122)</f>
        <v/>
      </c>
      <c r="C122" s="270">
        <f>IF('Оперативный ввод'!C122="","",'Оперативный ввод'!C122)</f>
        <v/>
      </c>
      <c r="D122" s="270">
        <f>IF('Оперативный ввод'!D122="","",'Оперативный ввод'!D122)</f>
        <v/>
      </c>
      <c r="E122" s="271">
        <f>IF(OR(C122="",D122=""),"",D122-C122)</f>
        <v/>
      </c>
      <c r="F122" s="172">
        <f>IF('Оперативный ввод'!F122="","",'Оперативный ввод'!F122)</f>
        <v/>
      </c>
      <c r="G122" s="172">
        <f>IF('Оперативный ввод'!G122="","",'Оперативный ввод'!G122)</f>
        <v/>
      </c>
      <c r="H122" s="172">
        <f>IF('Оперативный ввод'!H122="","",'Оперативный ввод'!H122)</f>
        <v/>
      </c>
      <c r="I122" s="172">
        <f>IF('Оперативный ввод'!I122="","",'Оперативный ввод'!I122)</f>
        <v/>
      </c>
      <c r="J122" s="172">
        <f>IF('Оперативный ввод'!J122="","",'Оперативный ввод'!J122)</f>
        <v/>
      </c>
      <c r="K122" s="172">
        <f>IF('Оперативный ввод'!K122="","",'Оперативный ввод'!K122)</f>
        <v/>
      </c>
      <c r="L122" s="172">
        <f>IF('Оперативный ввод'!L122="","",'Оперативный ввод'!L122)</f>
        <v/>
      </c>
      <c r="M122" s="172">
        <f>IF('Оперативный ввод'!M122="","",'Оперативный ввод'!M122)</f>
        <v/>
      </c>
      <c r="N122" s="172">
        <f>IF('Оперативный ввод'!N122="","",'Оперативный ввод'!N122)</f>
        <v/>
      </c>
      <c r="O122" s="172">
        <f>IF('Оперативный ввод'!O122="","",'Оперативный ввод'!O122)</f>
        <v/>
      </c>
      <c r="P122" s="205">
        <f>IF(AND(A122="",B122=""),"",IF(AND(A122&lt;&gt;"",B122&lt;&gt;"",C122&lt;&gt;"",D122&lt;&gt;"",F122&lt;&gt;"",G122&lt;&gt;"",H122&lt;&gt;"",ISERROR(SEARCH("по паспорту",G122)),ISERROR(SEARCH("по паспорту",H122)),I122&lt;&gt;"",J122&lt;&gt;"",K122&lt;&gt;"",L122&lt;&gt;"",M122&lt;&gt;""),"ГОТОВО","НЕ ГОТОВО"))</f>
        <v/>
      </c>
      <c r="Q122" s="205">
        <f>IF(P122&lt;&gt;"ГОТОВО","", "Предварительное заключение: "&amp;A122&amp;", скв. "&amp;B122&amp;". МРП: "&amp;E122&amp;" сут. ГНО: "&amp;F122&amp;", типоразмер "&amp;G122&amp;", марка "&amp;H122&amp;". Событие: "&amp;I122&amp;". Признак: "&amp;J122&amp;". Узел: "&amp;K122&amp;". Предварительная причина: "&amp;L122&amp;". Основное осложнение: "&amp;M122&amp;IF(N122&lt;&gt;"","; сопутствующее: "&amp;N122,"")&amp;IF(O122&lt;&gt;"","; дополнительно: "&amp;O122,"")&amp;".")</f>
        <v/>
      </c>
      <c r="R122" s="172">
        <f>IF('Оперативный ввод'!P122="","",'Оперативный ввод'!P122)</f>
        <v/>
      </c>
      <c r="S122" s="172">
        <f>IF('Оперативный ввод'!Q122="","",'Оперативный ввод'!Q122)</f>
        <v/>
      </c>
      <c r="T122" s="172">
        <f>IF('Оперативный ввод'!R122="","",'Оперативный ввод'!R122)</f>
        <v/>
      </c>
      <c r="U122" s="172">
        <f>IF('Оперативный ввод'!S122="","",'Оперативный ввод'!S122)</f>
        <v/>
      </c>
      <c r="V122" s="172">
        <f>IF('Оперативный ввод'!T122="","",'Оперативный ввод'!T122)</f>
        <v/>
      </c>
      <c r="W122" s="172" t="n"/>
      <c r="X122" s="172" t="n"/>
      <c r="Y122" s="172" t="n"/>
      <c r="Z122" s="172" t="n"/>
      <c r="AA122" s="172">
        <f>IF('Оперативный ввод'!U122="","",'Оперативный ввод'!U122)</f>
        <v/>
      </c>
      <c r="AB122" s="172">
        <f>IF('Оперативный ввод'!V122="","",'Оперативный ввод'!V122)</f>
        <v/>
      </c>
      <c r="AC122" s="172">
        <f>IF('Оперативный ввод'!W122="","",'Оперативный ввод'!W122)</f>
        <v/>
      </c>
      <c r="BB122" s="172" t="n"/>
      <c r="BC122" s="172" t="n"/>
      <c r="BD122" s="205">
        <f>IF(AND(A122="",B122=""),"",IF(AND(P122="ГОТОВО",R122&lt;&gt;"",T122&lt;&gt;"",U122&lt;&gt;"",AA122&lt;&gt;"",AB122&lt;&gt;"",AC122&lt;&gt;"",BB122&lt;&gt;"",BC122&lt;&gt;""),"ГОТОВО","НЕ ГОТОВО"))</f>
        <v/>
      </c>
      <c r="BE122" s="205">
        <f>IF(BD122&lt;&gt;"ГОТОВО","","Полное заключение: "&amp;A122&amp;", скв. "&amp;B122&amp;". МРП: "&amp;E122&amp;" сут. ГНО: "&amp;F122&amp;"; причина: "&amp;U122&amp;"; категория: "&amp;V122&amp;"; решение комиссии: "&amp;BB122&amp;".")</f>
        <v/>
      </c>
      <c r="BF122" s="173">
        <f>IF('Оперативный ввод'!X122="","",'Оперативный ввод'!X122)</f>
        <v/>
      </c>
    </row>
    <row r="123">
      <c r="A123" s="171">
        <f>IF('Оперативный ввод'!A123="","",'Оперативный ввод'!A123)</f>
        <v/>
      </c>
      <c r="B123" s="172">
        <f>IF('Оперативный ввод'!B123="","",'Оперативный ввод'!B123)</f>
        <v/>
      </c>
      <c r="C123" s="270">
        <f>IF('Оперативный ввод'!C123="","",'Оперативный ввод'!C123)</f>
        <v/>
      </c>
      <c r="D123" s="270">
        <f>IF('Оперативный ввод'!D123="","",'Оперативный ввод'!D123)</f>
        <v/>
      </c>
      <c r="E123" s="271">
        <f>IF(OR(C123="",D123=""),"",D123-C123)</f>
        <v/>
      </c>
      <c r="F123" s="172">
        <f>IF('Оперативный ввод'!F123="","",'Оперативный ввод'!F123)</f>
        <v/>
      </c>
      <c r="G123" s="172">
        <f>IF('Оперативный ввод'!G123="","",'Оперативный ввод'!G123)</f>
        <v/>
      </c>
      <c r="H123" s="172">
        <f>IF('Оперативный ввод'!H123="","",'Оперативный ввод'!H123)</f>
        <v/>
      </c>
      <c r="I123" s="172">
        <f>IF('Оперативный ввод'!I123="","",'Оперативный ввод'!I123)</f>
        <v/>
      </c>
      <c r="J123" s="172">
        <f>IF('Оперативный ввод'!J123="","",'Оперативный ввод'!J123)</f>
        <v/>
      </c>
      <c r="K123" s="172">
        <f>IF('Оперативный ввод'!K123="","",'Оперативный ввод'!K123)</f>
        <v/>
      </c>
      <c r="L123" s="172">
        <f>IF('Оперативный ввод'!L123="","",'Оперативный ввод'!L123)</f>
        <v/>
      </c>
      <c r="M123" s="172">
        <f>IF('Оперативный ввод'!M123="","",'Оперативный ввод'!M123)</f>
        <v/>
      </c>
      <c r="N123" s="172">
        <f>IF('Оперативный ввод'!N123="","",'Оперативный ввод'!N123)</f>
        <v/>
      </c>
      <c r="O123" s="172">
        <f>IF('Оперативный ввод'!O123="","",'Оперативный ввод'!O123)</f>
        <v/>
      </c>
      <c r="P123" s="205">
        <f>IF(AND(A123="",B123=""),"",IF(AND(A123&lt;&gt;"",B123&lt;&gt;"",C123&lt;&gt;"",D123&lt;&gt;"",F123&lt;&gt;"",G123&lt;&gt;"",H123&lt;&gt;"",ISERROR(SEARCH("по паспорту",G123)),ISERROR(SEARCH("по паспорту",H123)),I123&lt;&gt;"",J123&lt;&gt;"",K123&lt;&gt;"",L123&lt;&gt;"",M123&lt;&gt;""),"ГОТОВО","НЕ ГОТОВО"))</f>
        <v/>
      </c>
      <c r="Q123" s="205">
        <f>IF(P123&lt;&gt;"ГОТОВО","", "Предварительное заключение: "&amp;A123&amp;", скв. "&amp;B123&amp;". МРП: "&amp;E123&amp;" сут. ГНО: "&amp;F123&amp;", типоразмер "&amp;G123&amp;", марка "&amp;H123&amp;". Событие: "&amp;I123&amp;". Признак: "&amp;J123&amp;". Узел: "&amp;K123&amp;". Предварительная причина: "&amp;L123&amp;". Основное осложнение: "&amp;M123&amp;IF(N123&lt;&gt;"","; сопутствующее: "&amp;N123,"")&amp;IF(O123&lt;&gt;"","; дополнительно: "&amp;O123,"")&amp;".")</f>
        <v/>
      </c>
      <c r="R123" s="172">
        <f>IF('Оперативный ввод'!P123="","",'Оперативный ввод'!P123)</f>
        <v/>
      </c>
      <c r="S123" s="172">
        <f>IF('Оперативный ввод'!Q123="","",'Оперативный ввод'!Q123)</f>
        <v/>
      </c>
      <c r="T123" s="172">
        <f>IF('Оперативный ввод'!R123="","",'Оперативный ввод'!R123)</f>
        <v/>
      </c>
      <c r="U123" s="172">
        <f>IF('Оперативный ввод'!S123="","",'Оперативный ввод'!S123)</f>
        <v/>
      </c>
      <c r="V123" s="172">
        <f>IF('Оперативный ввод'!T123="","",'Оперативный ввод'!T123)</f>
        <v/>
      </c>
      <c r="W123" s="172" t="n"/>
      <c r="X123" s="172" t="n"/>
      <c r="Y123" s="172" t="n"/>
      <c r="Z123" s="172" t="n"/>
      <c r="AA123" s="172">
        <f>IF('Оперативный ввод'!U123="","",'Оперативный ввод'!U123)</f>
        <v/>
      </c>
      <c r="AB123" s="172">
        <f>IF('Оперативный ввод'!V123="","",'Оперативный ввод'!V123)</f>
        <v/>
      </c>
      <c r="AC123" s="172">
        <f>IF('Оперативный ввод'!W123="","",'Оперативный ввод'!W123)</f>
        <v/>
      </c>
      <c r="BB123" s="172" t="n"/>
      <c r="BC123" s="172" t="n"/>
      <c r="BD123" s="205">
        <f>IF(AND(A123="",B123=""),"",IF(AND(P123="ГОТОВО",R123&lt;&gt;"",T123&lt;&gt;"",U123&lt;&gt;"",AA123&lt;&gt;"",AB123&lt;&gt;"",AC123&lt;&gt;"",BB123&lt;&gt;"",BC123&lt;&gt;""),"ГОТОВО","НЕ ГОТОВО"))</f>
        <v/>
      </c>
      <c r="BE123" s="205">
        <f>IF(BD123&lt;&gt;"ГОТОВО","","Полное заключение: "&amp;A123&amp;", скв. "&amp;B123&amp;". МРП: "&amp;E123&amp;" сут. ГНО: "&amp;F123&amp;"; причина: "&amp;U123&amp;"; категория: "&amp;V123&amp;"; решение комиссии: "&amp;BB123&amp;".")</f>
        <v/>
      </c>
      <c r="BF123" s="173">
        <f>IF('Оперативный ввод'!X123="","",'Оперативный ввод'!X123)</f>
        <v/>
      </c>
    </row>
    <row r="124">
      <c r="A124" s="171">
        <f>IF('Оперативный ввод'!A124="","",'Оперативный ввод'!A124)</f>
        <v/>
      </c>
      <c r="B124" s="172">
        <f>IF('Оперативный ввод'!B124="","",'Оперативный ввод'!B124)</f>
        <v/>
      </c>
      <c r="C124" s="270">
        <f>IF('Оперативный ввод'!C124="","",'Оперативный ввод'!C124)</f>
        <v/>
      </c>
      <c r="D124" s="270">
        <f>IF('Оперативный ввод'!D124="","",'Оперативный ввод'!D124)</f>
        <v/>
      </c>
      <c r="E124" s="271">
        <f>IF(OR(C124="",D124=""),"",D124-C124)</f>
        <v/>
      </c>
      <c r="F124" s="172">
        <f>IF('Оперативный ввод'!F124="","",'Оперативный ввод'!F124)</f>
        <v/>
      </c>
      <c r="G124" s="172">
        <f>IF('Оперативный ввод'!G124="","",'Оперативный ввод'!G124)</f>
        <v/>
      </c>
      <c r="H124" s="172">
        <f>IF('Оперативный ввод'!H124="","",'Оперативный ввод'!H124)</f>
        <v/>
      </c>
      <c r="I124" s="172">
        <f>IF('Оперативный ввод'!I124="","",'Оперативный ввод'!I124)</f>
        <v/>
      </c>
      <c r="J124" s="172">
        <f>IF('Оперативный ввод'!J124="","",'Оперативный ввод'!J124)</f>
        <v/>
      </c>
      <c r="K124" s="172">
        <f>IF('Оперативный ввод'!K124="","",'Оперативный ввод'!K124)</f>
        <v/>
      </c>
      <c r="L124" s="172">
        <f>IF('Оперативный ввод'!L124="","",'Оперативный ввод'!L124)</f>
        <v/>
      </c>
      <c r="M124" s="172">
        <f>IF('Оперативный ввод'!M124="","",'Оперативный ввод'!M124)</f>
        <v/>
      </c>
      <c r="N124" s="172">
        <f>IF('Оперативный ввод'!N124="","",'Оперативный ввод'!N124)</f>
        <v/>
      </c>
      <c r="O124" s="172">
        <f>IF('Оперативный ввод'!O124="","",'Оперативный ввод'!O124)</f>
        <v/>
      </c>
      <c r="P124" s="205">
        <f>IF(AND(A124="",B124=""),"",IF(AND(A124&lt;&gt;"",B124&lt;&gt;"",C124&lt;&gt;"",D124&lt;&gt;"",F124&lt;&gt;"",G124&lt;&gt;"",H124&lt;&gt;"",ISERROR(SEARCH("по паспорту",G124)),ISERROR(SEARCH("по паспорту",H124)),I124&lt;&gt;"",J124&lt;&gt;"",K124&lt;&gt;"",L124&lt;&gt;"",M124&lt;&gt;""),"ГОТОВО","НЕ ГОТОВО"))</f>
        <v/>
      </c>
      <c r="Q124" s="205">
        <f>IF(P124&lt;&gt;"ГОТОВО","", "Предварительное заключение: "&amp;A124&amp;", скв. "&amp;B124&amp;". МРП: "&amp;E124&amp;" сут. ГНО: "&amp;F124&amp;", типоразмер "&amp;G124&amp;", марка "&amp;H124&amp;". Событие: "&amp;I124&amp;". Признак: "&amp;J124&amp;". Узел: "&amp;K124&amp;". Предварительная причина: "&amp;L124&amp;". Основное осложнение: "&amp;M124&amp;IF(N124&lt;&gt;"","; сопутствующее: "&amp;N124,"")&amp;IF(O124&lt;&gt;"","; дополнительно: "&amp;O124,"")&amp;".")</f>
        <v/>
      </c>
      <c r="R124" s="172">
        <f>IF('Оперативный ввод'!P124="","",'Оперативный ввод'!P124)</f>
        <v/>
      </c>
      <c r="S124" s="172">
        <f>IF('Оперативный ввод'!Q124="","",'Оперативный ввод'!Q124)</f>
        <v/>
      </c>
      <c r="T124" s="172">
        <f>IF('Оперативный ввод'!R124="","",'Оперативный ввод'!R124)</f>
        <v/>
      </c>
      <c r="U124" s="172">
        <f>IF('Оперативный ввод'!S124="","",'Оперативный ввод'!S124)</f>
        <v/>
      </c>
      <c r="V124" s="172">
        <f>IF('Оперативный ввод'!T124="","",'Оперативный ввод'!T124)</f>
        <v/>
      </c>
      <c r="W124" s="172" t="n"/>
      <c r="X124" s="172" t="n"/>
      <c r="Y124" s="172" t="n"/>
      <c r="Z124" s="172" t="n"/>
      <c r="AA124" s="172">
        <f>IF('Оперативный ввод'!U124="","",'Оперативный ввод'!U124)</f>
        <v/>
      </c>
      <c r="AB124" s="172">
        <f>IF('Оперативный ввод'!V124="","",'Оперативный ввод'!V124)</f>
        <v/>
      </c>
      <c r="AC124" s="172">
        <f>IF('Оперативный ввод'!W124="","",'Оперативный ввод'!W124)</f>
        <v/>
      </c>
      <c r="BB124" s="172" t="n"/>
      <c r="BC124" s="172" t="n"/>
      <c r="BD124" s="205">
        <f>IF(AND(A124="",B124=""),"",IF(AND(P124="ГОТОВО",R124&lt;&gt;"",T124&lt;&gt;"",U124&lt;&gt;"",AA124&lt;&gt;"",AB124&lt;&gt;"",AC124&lt;&gt;"",BB124&lt;&gt;"",BC124&lt;&gt;""),"ГОТОВО","НЕ ГОТОВО"))</f>
        <v/>
      </c>
      <c r="BE124" s="205">
        <f>IF(BD124&lt;&gt;"ГОТОВО","","Полное заключение: "&amp;A124&amp;", скв. "&amp;B124&amp;". МРП: "&amp;E124&amp;" сут. ГНО: "&amp;F124&amp;"; причина: "&amp;U124&amp;"; категория: "&amp;V124&amp;"; решение комиссии: "&amp;BB124&amp;".")</f>
        <v/>
      </c>
      <c r="BF124" s="173">
        <f>IF('Оперативный ввод'!X124="","",'Оперативный ввод'!X124)</f>
        <v/>
      </c>
    </row>
    <row r="125">
      <c r="A125" s="171">
        <f>IF('Оперативный ввод'!A125="","",'Оперативный ввод'!A125)</f>
        <v/>
      </c>
      <c r="B125" s="172">
        <f>IF('Оперативный ввод'!B125="","",'Оперативный ввод'!B125)</f>
        <v/>
      </c>
      <c r="C125" s="270">
        <f>IF('Оперативный ввод'!C125="","",'Оперативный ввод'!C125)</f>
        <v/>
      </c>
      <c r="D125" s="270">
        <f>IF('Оперативный ввод'!D125="","",'Оперативный ввод'!D125)</f>
        <v/>
      </c>
      <c r="E125" s="271">
        <f>IF(OR(C125="",D125=""),"",D125-C125)</f>
        <v/>
      </c>
      <c r="F125" s="172">
        <f>IF('Оперативный ввод'!F125="","",'Оперативный ввод'!F125)</f>
        <v/>
      </c>
      <c r="G125" s="172">
        <f>IF('Оперативный ввод'!G125="","",'Оперативный ввод'!G125)</f>
        <v/>
      </c>
      <c r="H125" s="172">
        <f>IF('Оперативный ввод'!H125="","",'Оперативный ввод'!H125)</f>
        <v/>
      </c>
      <c r="I125" s="172">
        <f>IF('Оперативный ввод'!I125="","",'Оперативный ввод'!I125)</f>
        <v/>
      </c>
      <c r="J125" s="172">
        <f>IF('Оперативный ввод'!J125="","",'Оперативный ввод'!J125)</f>
        <v/>
      </c>
      <c r="K125" s="172">
        <f>IF('Оперативный ввод'!K125="","",'Оперативный ввод'!K125)</f>
        <v/>
      </c>
      <c r="L125" s="172">
        <f>IF('Оперативный ввод'!L125="","",'Оперативный ввод'!L125)</f>
        <v/>
      </c>
      <c r="M125" s="172">
        <f>IF('Оперативный ввод'!M125="","",'Оперативный ввод'!M125)</f>
        <v/>
      </c>
      <c r="N125" s="172">
        <f>IF('Оперативный ввод'!N125="","",'Оперативный ввод'!N125)</f>
        <v/>
      </c>
      <c r="O125" s="172">
        <f>IF('Оперативный ввод'!O125="","",'Оперативный ввод'!O125)</f>
        <v/>
      </c>
      <c r="P125" s="205">
        <f>IF(AND(A125="",B125=""),"",IF(AND(A125&lt;&gt;"",B125&lt;&gt;"",C125&lt;&gt;"",D125&lt;&gt;"",F125&lt;&gt;"",G125&lt;&gt;"",H125&lt;&gt;"",ISERROR(SEARCH("по паспорту",G125)),ISERROR(SEARCH("по паспорту",H125)),I125&lt;&gt;"",J125&lt;&gt;"",K125&lt;&gt;"",L125&lt;&gt;"",M125&lt;&gt;""),"ГОТОВО","НЕ ГОТОВО"))</f>
        <v/>
      </c>
      <c r="Q125" s="205">
        <f>IF(P125&lt;&gt;"ГОТОВО","", "Предварительное заключение: "&amp;A125&amp;", скв. "&amp;B125&amp;". МРП: "&amp;E125&amp;" сут. ГНО: "&amp;F125&amp;", типоразмер "&amp;G125&amp;", марка "&amp;H125&amp;". Событие: "&amp;I125&amp;". Признак: "&amp;J125&amp;". Узел: "&amp;K125&amp;". Предварительная причина: "&amp;L125&amp;". Основное осложнение: "&amp;M125&amp;IF(N125&lt;&gt;"","; сопутствующее: "&amp;N125,"")&amp;IF(O125&lt;&gt;"","; дополнительно: "&amp;O125,"")&amp;".")</f>
        <v/>
      </c>
      <c r="R125" s="172">
        <f>IF('Оперативный ввод'!P125="","",'Оперативный ввод'!P125)</f>
        <v/>
      </c>
      <c r="S125" s="172">
        <f>IF('Оперативный ввод'!Q125="","",'Оперативный ввод'!Q125)</f>
        <v/>
      </c>
      <c r="T125" s="172">
        <f>IF('Оперативный ввод'!R125="","",'Оперативный ввод'!R125)</f>
        <v/>
      </c>
      <c r="U125" s="172">
        <f>IF('Оперативный ввод'!S125="","",'Оперативный ввод'!S125)</f>
        <v/>
      </c>
      <c r="V125" s="172">
        <f>IF('Оперативный ввод'!T125="","",'Оперативный ввод'!T125)</f>
        <v/>
      </c>
      <c r="W125" s="172" t="n"/>
      <c r="X125" s="172" t="n"/>
      <c r="Y125" s="172" t="n"/>
      <c r="Z125" s="172" t="n"/>
      <c r="AA125" s="172">
        <f>IF('Оперативный ввод'!U125="","",'Оперативный ввод'!U125)</f>
        <v/>
      </c>
      <c r="AB125" s="172">
        <f>IF('Оперативный ввод'!V125="","",'Оперативный ввод'!V125)</f>
        <v/>
      </c>
      <c r="AC125" s="172">
        <f>IF('Оперативный ввод'!W125="","",'Оперативный ввод'!W125)</f>
        <v/>
      </c>
      <c r="BB125" s="172" t="n"/>
      <c r="BC125" s="172" t="n"/>
      <c r="BD125" s="205">
        <f>IF(AND(A125="",B125=""),"",IF(AND(P125="ГОТОВО",R125&lt;&gt;"",T125&lt;&gt;"",U125&lt;&gt;"",AA125&lt;&gt;"",AB125&lt;&gt;"",AC125&lt;&gt;"",BB125&lt;&gt;"",BC125&lt;&gt;""),"ГОТОВО","НЕ ГОТОВО"))</f>
        <v/>
      </c>
      <c r="BE125" s="205">
        <f>IF(BD125&lt;&gt;"ГОТОВО","","Полное заключение: "&amp;A125&amp;", скв. "&amp;B125&amp;". МРП: "&amp;E125&amp;" сут. ГНО: "&amp;F125&amp;"; причина: "&amp;U125&amp;"; категория: "&amp;V125&amp;"; решение комиссии: "&amp;BB125&amp;".")</f>
        <v/>
      </c>
      <c r="BF125" s="173">
        <f>IF('Оперативный ввод'!X125="","",'Оперативный ввод'!X125)</f>
        <v/>
      </c>
    </row>
    <row r="126">
      <c r="A126" s="171">
        <f>IF('Оперативный ввод'!A126="","",'Оперативный ввод'!A126)</f>
        <v/>
      </c>
      <c r="B126" s="172">
        <f>IF('Оперативный ввод'!B126="","",'Оперативный ввод'!B126)</f>
        <v/>
      </c>
      <c r="C126" s="270">
        <f>IF('Оперативный ввод'!C126="","",'Оперативный ввод'!C126)</f>
        <v/>
      </c>
      <c r="D126" s="270">
        <f>IF('Оперативный ввод'!D126="","",'Оперативный ввод'!D126)</f>
        <v/>
      </c>
      <c r="E126" s="271">
        <f>IF(OR(C126="",D126=""),"",D126-C126)</f>
        <v/>
      </c>
      <c r="F126" s="172">
        <f>IF('Оперативный ввод'!F126="","",'Оперативный ввод'!F126)</f>
        <v/>
      </c>
      <c r="G126" s="172">
        <f>IF('Оперативный ввод'!G126="","",'Оперативный ввод'!G126)</f>
        <v/>
      </c>
      <c r="H126" s="172">
        <f>IF('Оперативный ввод'!H126="","",'Оперативный ввод'!H126)</f>
        <v/>
      </c>
      <c r="I126" s="172">
        <f>IF('Оперативный ввод'!I126="","",'Оперативный ввод'!I126)</f>
        <v/>
      </c>
      <c r="J126" s="172">
        <f>IF('Оперативный ввод'!J126="","",'Оперативный ввод'!J126)</f>
        <v/>
      </c>
      <c r="K126" s="172">
        <f>IF('Оперативный ввод'!K126="","",'Оперативный ввод'!K126)</f>
        <v/>
      </c>
      <c r="L126" s="172">
        <f>IF('Оперативный ввод'!L126="","",'Оперативный ввод'!L126)</f>
        <v/>
      </c>
      <c r="M126" s="172">
        <f>IF('Оперативный ввод'!M126="","",'Оперативный ввод'!M126)</f>
        <v/>
      </c>
      <c r="N126" s="172">
        <f>IF('Оперативный ввод'!N126="","",'Оперативный ввод'!N126)</f>
        <v/>
      </c>
      <c r="O126" s="172">
        <f>IF('Оперативный ввод'!O126="","",'Оперативный ввод'!O126)</f>
        <v/>
      </c>
      <c r="P126" s="205">
        <f>IF(AND(A126="",B126=""),"",IF(AND(A126&lt;&gt;"",B126&lt;&gt;"",C126&lt;&gt;"",D126&lt;&gt;"",F126&lt;&gt;"",G126&lt;&gt;"",H126&lt;&gt;"",ISERROR(SEARCH("по паспорту",G126)),ISERROR(SEARCH("по паспорту",H126)),I126&lt;&gt;"",J126&lt;&gt;"",K126&lt;&gt;"",L126&lt;&gt;"",M126&lt;&gt;""),"ГОТОВО","НЕ ГОТОВО"))</f>
        <v/>
      </c>
      <c r="Q126" s="205">
        <f>IF(P126&lt;&gt;"ГОТОВО","", "Предварительное заключение: "&amp;A126&amp;", скв. "&amp;B126&amp;". МРП: "&amp;E126&amp;" сут. ГНО: "&amp;F126&amp;", типоразмер "&amp;G126&amp;", марка "&amp;H126&amp;". Событие: "&amp;I126&amp;". Признак: "&amp;J126&amp;". Узел: "&amp;K126&amp;". Предварительная причина: "&amp;L126&amp;". Основное осложнение: "&amp;M126&amp;IF(N126&lt;&gt;"","; сопутствующее: "&amp;N126,"")&amp;IF(O126&lt;&gt;"","; дополнительно: "&amp;O126,"")&amp;".")</f>
        <v/>
      </c>
      <c r="R126" s="172">
        <f>IF('Оперативный ввод'!P126="","",'Оперативный ввод'!P126)</f>
        <v/>
      </c>
      <c r="S126" s="172">
        <f>IF('Оперативный ввод'!Q126="","",'Оперативный ввод'!Q126)</f>
        <v/>
      </c>
      <c r="T126" s="172">
        <f>IF('Оперативный ввод'!R126="","",'Оперативный ввод'!R126)</f>
        <v/>
      </c>
      <c r="U126" s="172">
        <f>IF('Оперативный ввод'!S126="","",'Оперативный ввод'!S126)</f>
        <v/>
      </c>
      <c r="V126" s="172">
        <f>IF('Оперативный ввод'!T126="","",'Оперативный ввод'!T126)</f>
        <v/>
      </c>
      <c r="W126" s="172" t="n"/>
      <c r="X126" s="172" t="n"/>
      <c r="Y126" s="172" t="n"/>
      <c r="Z126" s="172" t="n"/>
      <c r="AA126" s="172">
        <f>IF('Оперативный ввод'!U126="","",'Оперативный ввод'!U126)</f>
        <v/>
      </c>
      <c r="AB126" s="172">
        <f>IF('Оперативный ввод'!V126="","",'Оперативный ввод'!V126)</f>
        <v/>
      </c>
      <c r="AC126" s="172">
        <f>IF('Оперативный ввод'!W126="","",'Оперативный ввод'!W126)</f>
        <v/>
      </c>
      <c r="BB126" s="172" t="n"/>
      <c r="BC126" s="172" t="n"/>
      <c r="BD126" s="205">
        <f>IF(AND(A126="",B126=""),"",IF(AND(P126="ГОТОВО",R126&lt;&gt;"",T126&lt;&gt;"",U126&lt;&gt;"",AA126&lt;&gt;"",AB126&lt;&gt;"",AC126&lt;&gt;"",BB126&lt;&gt;"",BC126&lt;&gt;""),"ГОТОВО","НЕ ГОТОВО"))</f>
        <v/>
      </c>
      <c r="BE126" s="205">
        <f>IF(BD126&lt;&gt;"ГОТОВО","","Полное заключение: "&amp;A126&amp;", скв. "&amp;B126&amp;". МРП: "&amp;E126&amp;" сут. ГНО: "&amp;F126&amp;"; причина: "&amp;U126&amp;"; категория: "&amp;V126&amp;"; решение комиссии: "&amp;BB126&amp;".")</f>
        <v/>
      </c>
      <c r="BF126" s="173">
        <f>IF('Оперативный ввод'!X126="","",'Оперативный ввод'!X126)</f>
        <v/>
      </c>
    </row>
    <row r="127">
      <c r="A127" s="171">
        <f>IF('Оперативный ввод'!A127="","",'Оперативный ввод'!A127)</f>
        <v/>
      </c>
      <c r="B127" s="172">
        <f>IF('Оперативный ввод'!B127="","",'Оперативный ввод'!B127)</f>
        <v/>
      </c>
      <c r="C127" s="270">
        <f>IF('Оперативный ввод'!C127="","",'Оперативный ввод'!C127)</f>
        <v/>
      </c>
      <c r="D127" s="270">
        <f>IF('Оперативный ввод'!D127="","",'Оперативный ввод'!D127)</f>
        <v/>
      </c>
      <c r="E127" s="271">
        <f>IF(OR(C127="",D127=""),"",D127-C127)</f>
        <v/>
      </c>
      <c r="F127" s="172">
        <f>IF('Оперативный ввод'!F127="","",'Оперативный ввод'!F127)</f>
        <v/>
      </c>
      <c r="G127" s="172">
        <f>IF('Оперативный ввод'!G127="","",'Оперативный ввод'!G127)</f>
        <v/>
      </c>
      <c r="H127" s="172">
        <f>IF('Оперативный ввод'!H127="","",'Оперативный ввод'!H127)</f>
        <v/>
      </c>
      <c r="I127" s="172">
        <f>IF('Оперативный ввод'!I127="","",'Оперативный ввод'!I127)</f>
        <v/>
      </c>
      <c r="J127" s="172">
        <f>IF('Оперативный ввод'!J127="","",'Оперативный ввод'!J127)</f>
        <v/>
      </c>
      <c r="K127" s="172">
        <f>IF('Оперативный ввод'!K127="","",'Оперативный ввод'!K127)</f>
        <v/>
      </c>
      <c r="L127" s="172">
        <f>IF('Оперативный ввод'!L127="","",'Оперативный ввод'!L127)</f>
        <v/>
      </c>
      <c r="M127" s="172">
        <f>IF('Оперативный ввод'!M127="","",'Оперативный ввод'!M127)</f>
        <v/>
      </c>
      <c r="N127" s="172">
        <f>IF('Оперативный ввод'!N127="","",'Оперативный ввод'!N127)</f>
        <v/>
      </c>
      <c r="O127" s="172">
        <f>IF('Оперативный ввод'!O127="","",'Оперативный ввод'!O127)</f>
        <v/>
      </c>
      <c r="P127" s="205">
        <f>IF(AND(A127="",B127=""),"",IF(AND(A127&lt;&gt;"",B127&lt;&gt;"",C127&lt;&gt;"",D127&lt;&gt;"",F127&lt;&gt;"",G127&lt;&gt;"",H127&lt;&gt;"",ISERROR(SEARCH("по паспорту",G127)),ISERROR(SEARCH("по паспорту",H127)),I127&lt;&gt;"",J127&lt;&gt;"",K127&lt;&gt;"",L127&lt;&gt;"",M127&lt;&gt;""),"ГОТОВО","НЕ ГОТОВО"))</f>
        <v/>
      </c>
      <c r="Q127" s="205">
        <f>IF(P127&lt;&gt;"ГОТОВО","", "Предварительное заключение: "&amp;A127&amp;", скв. "&amp;B127&amp;". МРП: "&amp;E127&amp;" сут. ГНО: "&amp;F127&amp;", типоразмер "&amp;G127&amp;", марка "&amp;H127&amp;". Событие: "&amp;I127&amp;". Признак: "&amp;J127&amp;". Узел: "&amp;K127&amp;". Предварительная причина: "&amp;L127&amp;". Основное осложнение: "&amp;M127&amp;IF(N127&lt;&gt;"","; сопутствующее: "&amp;N127,"")&amp;IF(O127&lt;&gt;"","; дополнительно: "&amp;O127,"")&amp;".")</f>
        <v/>
      </c>
      <c r="R127" s="172">
        <f>IF('Оперативный ввод'!P127="","",'Оперативный ввод'!P127)</f>
        <v/>
      </c>
      <c r="S127" s="172">
        <f>IF('Оперативный ввод'!Q127="","",'Оперативный ввод'!Q127)</f>
        <v/>
      </c>
      <c r="T127" s="172">
        <f>IF('Оперативный ввод'!R127="","",'Оперативный ввод'!R127)</f>
        <v/>
      </c>
      <c r="U127" s="172">
        <f>IF('Оперативный ввод'!S127="","",'Оперативный ввод'!S127)</f>
        <v/>
      </c>
      <c r="V127" s="172">
        <f>IF('Оперативный ввод'!T127="","",'Оперативный ввод'!T127)</f>
        <v/>
      </c>
      <c r="W127" s="172" t="n"/>
      <c r="X127" s="172" t="n"/>
      <c r="Y127" s="172" t="n"/>
      <c r="Z127" s="172" t="n"/>
      <c r="AA127" s="172">
        <f>IF('Оперативный ввод'!U127="","",'Оперативный ввод'!U127)</f>
        <v/>
      </c>
      <c r="AB127" s="172">
        <f>IF('Оперативный ввод'!V127="","",'Оперативный ввод'!V127)</f>
        <v/>
      </c>
      <c r="AC127" s="172">
        <f>IF('Оперативный ввод'!W127="","",'Оперативный ввод'!W127)</f>
        <v/>
      </c>
      <c r="BB127" s="172" t="n"/>
      <c r="BC127" s="172" t="n"/>
      <c r="BD127" s="205">
        <f>IF(AND(A127="",B127=""),"",IF(AND(P127="ГОТОВО",R127&lt;&gt;"",T127&lt;&gt;"",U127&lt;&gt;"",AA127&lt;&gt;"",AB127&lt;&gt;"",AC127&lt;&gt;"",BB127&lt;&gt;"",BC127&lt;&gt;""),"ГОТОВО","НЕ ГОТОВО"))</f>
        <v/>
      </c>
      <c r="BE127" s="205">
        <f>IF(BD127&lt;&gt;"ГОТОВО","","Полное заключение: "&amp;A127&amp;", скв. "&amp;B127&amp;". МРП: "&amp;E127&amp;" сут. ГНО: "&amp;F127&amp;"; причина: "&amp;U127&amp;"; категория: "&amp;V127&amp;"; решение комиссии: "&amp;BB127&amp;".")</f>
        <v/>
      </c>
      <c r="BF127" s="173">
        <f>IF('Оперативный ввод'!X127="","",'Оперативный ввод'!X127)</f>
        <v/>
      </c>
    </row>
    <row r="128">
      <c r="A128" s="171">
        <f>IF('Оперативный ввод'!A128="","",'Оперативный ввод'!A128)</f>
        <v/>
      </c>
      <c r="B128" s="172">
        <f>IF('Оперативный ввод'!B128="","",'Оперативный ввод'!B128)</f>
        <v/>
      </c>
      <c r="C128" s="270">
        <f>IF('Оперативный ввод'!C128="","",'Оперативный ввод'!C128)</f>
        <v/>
      </c>
      <c r="D128" s="270">
        <f>IF('Оперативный ввод'!D128="","",'Оперативный ввод'!D128)</f>
        <v/>
      </c>
      <c r="E128" s="271">
        <f>IF(OR(C128="",D128=""),"",D128-C128)</f>
        <v/>
      </c>
      <c r="F128" s="172">
        <f>IF('Оперативный ввод'!F128="","",'Оперативный ввод'!F128)</f>
        <v/>
      </c>
      <c r="G128" s="172">
        <f>IF('Оперативный ввод'!G128="","",'Оперативный ввод'!G128)</f>
        <v/>
      </c>
      <c r="H128" s="172">
        <f>IF('Оперативный ввод'!H128="","",'Оперативный ввод'!H128)</f>
        <v/>
      </c>
      <c r="I128" s="172">
        <f>IF('Оперативный ввод'!I128="","",'Оперативный ввод'!I128)</f>
        <v/>
      </c>
      <c r="J128" s="172">
        <f>IF('Оперативный ввод'!J128="","",'Оперативный ввод'!J128)</f>
        <v/>
      </c>
      <c r="K128" s="172">
        <f>IF('Оперативный ввод'!K128="","",'Оперативный ввод'!K128)</f>
        <v/>
      </c>
      <c r="L128" s="172">
        <f>IF('Оперативный ввод'!L128="","",'Оперативный ввод'!L128)</f>
        <v/>
      </c>
      <c r="M128" s="172">
        <f>IF('Оперативный ввод'!M128="","",'Оперативный ввод'!M128)</f>
        <v/>
      </c>
      <c r="N128" s="172">
        <f>IF('Оперативный ввод'!N128="","",'Оперативный ввод'!N128)</f>
        <v/>
      </c>
      <c r="O128" s="172">
        <f>IF('Оперативный ввод'!O128="","",'Оперативный ввод'!O128)</f>
        <v/>
      </c>
      <c r="P128" s="205">
        <f>IF(AND(A128="",B128=""),"",IF(AND(A128&lt;&gt;"",B128&lt;&gt;"",C128&lt;&gt;"",D128&lt;&gt;"",F128&lt;&gt;"",G128&lt;&gt;"",H128&lt;&gt;"",ISERROR(SEARCH("по паспорту",G128)),ISERROR(SEARCH("по паспорту",H128)),I128&lt;&gt;"",J128&lt;&gt;"",K128&lt;&gt;"",L128&lt;&gt;"",M128&lt;&gt;""),"ГОТОВО","НЕ ГОТОВО"))</f>
        <v/>
      </c>
      <c r="Q128" s="205">
        <f>IF(P128&lt;&gt;"ГОТОВО","", "Предварительное заключение: "&amp;A128&amp;", скв. "&amp;B128&amp;". МРП: "&amp;E128&amp;" сут. ГНО: "&amp;F128&amp;", типоразмер "&amp;G128&amp;", марка "&amp;H128&amp;". Событие: "&amp;I128&amp;". Признак: "&amp;J128&amp;". Узел: "&amp;K128&amp;". Предварительная причина: "&amp;L128&amp;". Основное осложнение: "&amp;M128&amp;IF(N128&lt;&gt;"","; сопутствующее: "&amp;N128,"")&amp;IF(O128&lt;&gt;"","; дополнительно: "&amp;O128,"")&amp;".")</f>
        <v/>
      </c>
      <c r="R128" s="172">
        <f>IF('Оперативный ввод'!P128="","",'Оперативный ввод'!P128)</f>
        <v/>
      </c>
      <c r="S128" s="172">
        <f>IF('Оперативный ввод'!Q128="","",'Оперативный ввод'!Q128)</f>
        <v/>
      </c>
      <c r="T128" s="172">
        <f>IF('Оперативный ввод'!R128="","",'Оперативный ввод'!R128)</f>
        <v/>
      </c>
      <c r="U128" s="172">
        <f>IF('Оперативный ввод'!S128="","",'Оперативный ввод'!S128)</f>
        <v/>
      </c>
      <c r="V128" s="172">
        <f>IF('Оперативный ввод'!T128="","",'Оперативный ввод'!T128)</f>
        <v/>
      </c>
      <c r="W128" s="172" t="n"/>
      <c r="X128" s="172" t="n"/>
      <c r="Y128" s="172" t="n"/>
      <c r="Z128" s="172" t="n"/>
      <c r="AA128" s="172">
        <f>IF('Оперативный ввод'!U128="","",'Оперативный ввод'!U128)</f>
        <v/>
      </c>
      <c r="AB128" s="172">
        <f>IF('Оперативный ввод'!V128="","",'Оперативный ввод'!V128)</f>
        <v/>
      </c>
      <c r="AC128" s="172">
        <f>IF('Оперативный ввод'!W128="","",'Оперативный ввод'!W128)</f>
        <v/>
      </c>
      <c r="BB128" s="172" t="n"/>
      <c r="BC128" s="172" t="n"/>
      <c r="BD128" s="205">
        <f>IF(AND(A128="",B128=""),"",IF(AND(P128="ГОТОВО",R128&lt;&gt;"",T128&lt;&gt;"",U128&lt;&gt;"",AA128&lt;&gt;"",AB128&lt;&gt;"",AC128&lt;&gt;"",BB128&lt;&gt;"",BC128&lt;&gt;""),"ГОТОВО","НЕ ГОТОВО"))</f>
        <v/>
      </c>
      <c r="BE128" s="205">
        <f>IF(BD128&lt;&gt;"ГОТОВО","","Полное заключение: "&amp;A128&amp;", скв. "&amp;B128&amp;". МРП: "&amp;E128&amp;" сут. ГНО: "&amp;F128&amp;"; причина: "&amp;U128&amp;"; категория: "&amp;V128&amp;"; решение комиссии: "&amp;BB128&amp;".")</f>
        <v/>
      </c>
      <c r="BF128" s="173">
        <f>IF('Оперативный ввод'!X128="","",'Оперативный ввод'!X128)</f>
        <v/>
      </c>
    </row>
    <row r="129">
      <c r="A129" s="171">
        <f>IF('Оперативный ввод'!A129="","",'Оперативный ввод'!A129)</f>
        <v/>
      </c>
      <c r="B129" s="172">
        <f>IF('Оперативный ввод'!B129="","",'Оперативный ввод'!B129)</f>
        <v/>
      </c>
      <c r="C129" s="270">
        <f>IF('Оперативный ввод'!C129="","",'Оперативный ввод'!C129)</f>
        <v/>
      </c>
      <c r="D129" s="270">
        <f>IF('Оперативный ввод'!D129="","",'Оперативный ввод'!D129)</f>
        <v/>
      </c>
      <c r="E129" s="271">
        <f>IF(OR(C129="",D129=""),"",D129-C129)</f>
        <v/>
      </c>
      <c r="F129" s="172">
        <f>IF('Оперативный ввод'!F129="","",'Оперативный ввод'!F129)</f>
        <v/>
      </c>
      <c r="G129" s="172">
        <f>IF('Оперативный ввод'!G129="","",'Оперативный ввод'!G129)</f>
        <v/>
      </c>
      <c r="H129" s="172">
        <f>IF('Оперативный ввод'!H129="","",'Оперативный ввод'!H129)</f>
        <v/>
      </c>
      <c r="I129" s="172">
        <f>IF('Оперативный ввод'!I129="","",'Оперативный ввод'!I129)</f>
        <v/>
      </c>
      <c r="J129" s="172">
        <f>IF('Оперативный ввод'!J129="","",'Оперативный ввод'!J129)</f>
        <v/>
      </c>
      <c r="K129" s="172">
        <f>IF('Оперативный ввод'!K129="","",'Оперативный ввод'!K129)</f>
        <v/>
      </c>
      <c r="L129" s="172">
        <f>IF('Оперативный ввод'!L129="","",'Оперативный ввод'!L129)</f>
        <v/>
      </c>
      <c r="M129" s="172">
        <f>IF('Оперативный ввод'!M129="","",'Оперативный ввод'!M129)</f>
        <v/>
      </c>
      <c r="N129" s="172">
        <f>IF('Оперативный ввод'!N129="","",'Оперативный ввод'!N129)</f>
        <v/>
      </c>
      <c r="O129" s="172">
        <f>IF('Оперативный ввод'!O129="","",'Оперативный ввод'!O129)</f>
        <v/>
      </c>
      <c r="P129" s="205">
        <f>IF(AND(A129="",B129=""),"",IF(AND(A129&lt;&gt;"",B129&lt;&gt;"",C129&lt;&gt;"",D129&lt;&gt;"",F129&lt;&gt;"",G129&lt;&gt;"",H129&lt;&gt;"",ISERROR(SEARCH("по паспорту",G129)),ISERROR(SEARCH("по паспорту",H129)),I129&lt;&gt;"",J129&lt;&gt;"",K129&lt;&gt;"",L129&lt;&gt;"",M129&lt;&gt;""),"ГОТОВО","НЕ ГОТОВО"))</f>
        <v/>
      </c>
      <c r="Q129" s="205">
        <f>IF(P129&lt;&gt;"ГОТОВО","", "Предварительное заключение: "&amp;A129&amp;", скв. "&amp;B129&amp;". МРП: "&amp;E129&amp;" сут. ГНО: "&amp;F129&amp;", типоразмер "&amp;G129&amp;", марка "&amp;H129&amp;". Событие: "&amp;I129&amp;". Признак: "&amp;J129&amp;". Узел: "&amp;K129&amp;". Предварительная причина: "&amp;L129&amp;". Основное осложнение: "&amp;M129&amp;IF(N129&lt;&gt;"","; сопутствующее: "&amp;N129,"")&amp;IF(O129&lt;&gt;"","; дополнительно: "&amp;O129,"")&amp;".")</f>
        <v/>
      </c>
      <c r="R129" s="172">
        <f>IF('Оперативный ввод'!P129="","",'Оперативный ввод'!P129)</f>
        <v/>
      </c>
      <c r="S129" s="172">
        <f>IF('Оперативный ввод'!Q129="","",'Оперативный ввод'!Q129)</f>
        <v/>
      </c>
      <c r="T129" s="172">
        <f>IF('Оперативный ввод'!R129="","",'Оперативный ввод'!R129)</f>
        <v/>
      </c>
      <c r="U129" s="172">
        <f>IF('Оперативный ввод'!S129="","",'Оперативный ввод'!S129)</f>
        <v/>
      </c>
      <c r="V129" s="172">
        <f>IF('Оперативный ввод'!T129="","",'Оперативный ввод'!T129)</f>
        <v/>
      </c>
      <c r="W129" s="172" t="n"/>
      <c r="X129" s="172" t="n"/>
      <c r="Y129" s="172" t="n"/>
      <c r="Z129" s="172" t="n"/>
      <c r="AA129" s="172">
        <f>IF('Оперативный ввод'!U129="","",'Оперативный ввод'!U129)</f>
        <v/>
      </c>
      <c r="AB129" s="172">
        <f>IF('Оперативный ввод'!V129="","",'Оперативный ввод'!V129)</f>
        <v/>
      </c>
      <c r="AC129" s="172">
        <f>IF('Оперативный ввод'!W129="","",'Оперативный ввод'!W129)</f>
        <v/>
      </c>
      <c r="BB129" s="172" t="n"/>
      <c r="BC129" s="172" t="n"/>
      <c r="BD129" s="205">
        <f>IF(AND(A129="",B129=""),"",IF(AND(P129="ГОТОВО",R129&lt;&gt;"",T129&lt;&gt;"",U129&lt;&gt;"",AA129&lt;&gt;"",AB129&lt;&gt;"",AC129&lt;&gt;"",BB129&lt;&gt;"",BC129&lt;&gt;""),"ГОТОВО","НЕ ГОТОВО"))</f>
        <v/>
      </c>
      <c r="BE129" s="205">
        <f>IF(BD129&lt;&gt;"ГОТОВО","","Полное заключение: "&amp;A129&amp;", скв. "&amp;B129&amp;". МРП: "&amp;E129&amp;" сут. ГНО: "&amp;F129&amp;"; причина: "&amp;U129&amp;"; категория: "&amp;V129&amp;"; решение комиссии: "&amp;BB129&amp;".")</f>
        <v/>
      </c>
      <c r="BF129" s="173">
        <f>IF('Оперативный ввод'!X129="","",'Оперативный ввод'!X129)</f>
        <v/>
      </c>
    </row>
    <row r="130">
      <c r="A130" s="171">
        <f>IF('Оперативный ввод'!A130="","",'Оперативный ввод'!A130)</f>
        <v/>
      </c>
      <c r="B130" s="172">
        <f>IF('Оперативный ввод'!B130="","",'Оперативный ввод'!B130)</f>
        <v/>
      </c>
      <c r="C130" s="270">
        <f>IF('Оперативный ввод'!C130="","",'Оперативный ввод'!C130)</f>
        <v/>
      </c>
      <c r="D130" s="270">
        <f>IF('Оперативный ввод'!D130="","",'Оперативный ввод'!D130)</f>
        <v/>
      </c>
      <c r="E130" s="271">
        <f>IF(OR(C130="",D130=""),"",D130-C130)</f>
        <v/>
      </c>
      <c r="F130" s="172">
        <f>IF('Оперативный ввод'!F130="","",'Оперативный ввод'!F130)</f>
        <v/>
      </c>
      <c r="G130" s="172">
        <f>IF('Оперативный ввод'!G130="","",'Оперативный ввод'!G130)</f>
        <v/>
      </c>
      <c r="H130" s="172">
        <f>IF('Оперативный ввод'!H130="","",'Оперативный ввод'!H130)</f>
        <v/>
      </c>
      <c r="I130" s="172">
        <f>IF('Оперативный ввод'!I130="","",'Оперативный ввод'!I130)</f>
        <v/>
      </c>
      <c r="J130" s="172">
        <f>IF('Оперативный ввод'!J130="","",'Оперативный ввод'!J130)</f>
        <v/>
      </c>
      <c r="K130" s="172">
        <f>IF('Оперативный ввод'!K130="","",'Оперативный ввод'!K130)</f>
        <v/>
      </c>
      <c r="L130" s="172">
        <f>IF('Оперативный ввод'!L130="","",'Оперативный ввод'!L130)</f>
        <v/>
      </c>
      <c r="M130" s="172">
        <f>IF('Оперативный ввод'!M130="","",'Оперативный ввод'!M130)</f>
        <v/>
      </c>
      <c r="N130" s="172">
        <f>IF('Оперативный ввод'!N130="","",'Оперативный ввод'!N130)</f>
        <v/>
      </c>
      <c r="O130" s="172">
        <f>IF('Оперативный ввод'!O130="","",'Оперативный ввод'!O130)</f>
        <v/>
      </c>
      <c r="P130" s="205">
        <f>IF(AND(A130="",B130=""),"",IF(AND(A130&lt;&gt;"",B130&lt;&gt;"",C130&lt;&gt;"",D130&lt;&gt;"",F130&lt;&gt;"",G130&lt;&gt;"",H130&lt;&gt;"",ISERROR(SEARCH("по паспорту",G130)),ISERROR(SEARCH("по паспорту",H130)),I130&lt;&gt;"",J130&lt;&gt;"",K130&lt;&gt;"",L130&lt;&gt;"",M130&lt;&gt;""),"ГОТОВО","НЕ ГОТОВО"))</f>
        <v/>
      </c>
      <c r="Q130" s="205">
        <f>IF(P130&lt;&gt;"ГОТОВО","", "Предварительное заключение: "&amp;A130&amp;", скв. "&amp;B130&amp;". МРП: "&amp;E130&amp;" сут. ГНО: "&amp;F130&amp;", типоразмер "&amp;G130&amp;", марка "&amp;H130&amp;". Событие: "&amp;I130&amp;". Признак: "&amp;J130&amp;". Узел: "&amp;K130&amp;". Предварительная причина: "&amp;L130&amp;". Основное осложнение: "&amp;M130&amp;IF(N130&lt;&gt;"","; сопутствующее: "&amp;N130,"")&amp;IF(O130&lt;&gt;"","; дополнительно: "&amp;O130,"")&amp;".")</f>
        <v/>
      </c>
      <c r="R130" s="172">
        <f>IF('Оперативный ввод'!P130="","",'Оперативный ввод'!P130)</f>
        <v/>
      </c>
      <c r="S130" s="172">
        <f>IF('Оперативный ввод'!Q130="","",'Оперативный ввод'!Q130)</f>
        <v/>
      </c>
      <c r="T130" s="172">
        <f>IF('Оперативный ввод'!R130="","",'Оперативный ввод'!R130)</f>
        <v/>
      </c>
      <c r="U130" s="172">
        <f>IF('Оперативный ввод'!S130="","",'Оперативный ввод'!S130)</f>
        <v/>
      </c>
      <c r="V130" s="172">
        <f>IF('Оперативный ввод'!T130="","",'Оперативный ввод'!T130)</f>
        <v/>
      </c>
      <c r="W130" s="172" t="n"/>
      <c r="X130" s="172" t="n"/>
      <c r="Y130" s="172" t="n"/>
      <c r="Z130" s="172" t="n"/>
      <c r="AA130" s="172">
        <f>IF('Оперативный ввод'!U130="","",'Оперативный ввод'!U130)</f>
        <v/>
      </c>
      <c r="AB130" s="172">
        <f>IF('Оперативный ввод'!V130="","",'Оперативный ввод'!V130)</f>
        <v/>
      </c>
      <c r="AC130" s="172">
        <f>IF('Оперативный ввод'!W130="","",'Оперативный ввод'!W130)</f>
        <v/>
      </c>
      <c r="BB130" s="172" t="n"/>
      <c r="BC130" s="172" t="n"/>
      <c r="BD130" s="205">
        <f>IF(AND(A130="",B130=""),"",IF(AND(P130="ГОТОВО",R130&lt;&gt;"",T130&lt;&gt;"",U130&lt;&gt;"",AA130&lt;&gt;"",AB130&lt;&gt;"",AC130&lt;&gt;"",BB130&lt;&gt;"",BC130&lt;&gt;""),"ГОТОВО","НЕ ГОТОВО"))</f>
        <v/>
      </c>
      <c r="BE130" s="205">
        <f>IF(BD130&lt;&gt;"ГОТОВО","","Полное заключение: "&amp;A130&amp;", скв. "&amp;B130&amp;". МРП: "&amp;E130&amp;" сут. ГНО: "&amp;F130&amp;"; причина: "&amp;U130&amp;"; категория: "&amp;V130&amp;"; решение комиссии: "&amp;BB130&amp;".")</f>
        <v/>
      </c>
      <c r="BF130" s="173">
        <f>IF('Оперативный ввод'!X130="","",'Оперативный ввод'!X130)</f>
        <v/>
      </c>
    </row>
    <row r="131">
      <c r="A131" s="171">
        <f>IF('Оперативный ввод'!A131="","",'Оперативный ввод'!A131)</f>
        <v/>
      </c>
      <c r="B131" s="172">
        <f>IF('Оперативный ввод'!B131="","",'Оперативный ввод'!B131)</f>
        <v/>
      </c>
      <c r="C131" s="270">
        <f>IF('Оперативный ввод'!C131="","",'Оперативный ввод'!C131)</f>
        <v/>
      </c>
      <c r="D131" s="270">
        <f>IF('Оперативный ввод'!D131="","",'Оперативный ввод'!D131)</f>
        <v/>
      </c>
      <c r="E131" s="271">
        <f>IF(OR(C131="",D131=""),"",D131-C131)</f>
        <v/>
      </c>
      <c r="F131" s="172">
        <f>IF('Оперативный ввод'!F131="","",'Оперативный ввод'!F131)</f>
        <v/>
      </c>
      <c r="G131" s="172">
        <f>IF('Оперативный ввод'!G131="","",'Оперативный ввод'!G131)</f>
        <v/>
      </c>
      <c r="H131" s="172">
        <f>IF('Оперативный ввод'!H131="","",'Оперативный ввод'!H131)</f>
        <v/>
      </c>
      <c r="I131" s="172">
        <f>IF('Оперативный ввод'!I131="","",'Оперативный ввод'!I131)</f>
        <v/>
      </c>
      <c r="J131" s="172">
        <f>IF('Оперативный ввод'!J131="","",'Оперативный ввод'!J131)</f>
        <v/>
      </c>
      <c r="K131" s="172">
        <f>IF('Оперативный ввод'!K131="","",'Оперативный ввод'!K131)</f>
        <v/>
      </c>
      <c r="L131" s="172">
        <f>IF('Оперативный ввод'!L131="","",'Оперативный ввод'!L131)</f>
        <v/>
      </c>
      <c r="M131" s="172">
        <f>IF('Оперативный ввод'!M131="","",'Оперативный ввод'!M131)</f>
        <v/>
      </c>
      <c r="N131" s="172">
        <f>IF('Оперативный ввод'!N131="","",'Оперативный ввод'!N131)</f>
        <v/>
      </c>
      <c r="O131" s="172">
        <f>IF('Оперативный ввод'!O131="","",'Оперативный ввод'!O131)</f>
        <v/>
      </c>
      <c r="P131" s="205">
        <f>IF(AND(A131="",B131=""),"",IF(AND(A131&lt;&gt;"",B131&lt;&gt;"",C131&lt;&gt;"",D131&lt;&gt;"",F131&lt;&gt;"",G131&lt;&gt;"",H131&lt;&gt;"",ISERROR(SEARCH("по паспорту",G131)),ISERROR(SEARCH("по паспорту",H131)),I131&lt;&gt;"",J131&lt;&gt;"",K131&lt;&gt;"",L131&lt;&gt;"",M131&lt;&gt;""),"ГОТОВО","НЕ ГОТОВО"))</f>
        <v/>
      </c>
      <c r="Q131" s="205">
        <f>IF(P131&lt;&gt;"ГОТОВО","", "Предварительное заключение: "&amp;A131&amp;", скв. "&amp;B131&amp;". МРП: "&amp;E131&amp;" сут. ГНО: "&amp;F131&amp;", типоразмер "&amp;G131&amp;", марка "&amp;H131&amp;". Событие: "&amp;I131&amp;". Признак: "&amp;J131&amp;". Узел: "&amp;K131&amp;". Предварительная причина: "&amp;L131&amp;". Основное осложнение: "&amp;M131&amp;IF(N131&lt;&gt;"","; сопутствующее: "&amp;N131,"")&amp;IF(O131&lt;&gt;"","; дополнительно: "&amp;O131,"")&amp;".")</f>
        <v/>
      </c>
      <c r="R131" s="172">
        <f>IF('Оперативный ввод'!P131="","",'Оперативный ввод'!P131)</f>
        <v/>
      </c>
      <c r="S131" s="172">
        <f>IF('Оперативный ввод'!Q131="","",'Оперативный ввод'!Q131)</f>
        <v/>
      </c>
      <c r="T131" s="172">
        <f>IF('Оперативный ввод'!R131="","",'Оперативный ввод'!R131)</f>
        <v/>
      </c>
      <c r="U131" s="172">
        <f>IF('Оперативный ввод'!S131="","",'Оперативный ввод'!S131)</f>
        <v/>
      </c>
      <c r="V131" s="172">
        <f>IF('Оперативный ввод'!T131="","",'Оперативный ввод'!T131)</f>
        <v/>
      </c>
      <c r="W131" s="172" t="n"/>
      <c r="X131" s="172" t="n"/>
      <c r="Y131" s="172" t="n"/>
      <c r="Z131" s="172" t="n"/>
      <c r="AA131" s="172">
        <f>IF('Оперативный ввод'!U131="","",'Оперативный ввод'!U131)</f>
        <v/>
      </c>
      <c r="AB131" s="172">
        <f>IF('Оперативный ввод'!V131="","",'Оперативный ввод'!V131)</f>
        <v/>
      </c>
      <c r="AC131" s="172">
        <f>IF('Оперативный ввод'!W131="","",'Оперативный ввод'!W131)</f>
        <v/>
      </c>
      <c r="BB131" s="172" t="n"/>
      <c r="BC131" s="172" t="n"/>
      <c r="BD131" s="205">
        <f>IF(AND(A131="",B131=""),"",IF(AND(P131="ГОТОВО",R131&lt;&gt;"",T131&lt;&gt;"",U131&lt;&gt;"",AA131&lt;&gt;"",AB131&lt;&gt;"",AC131&lt;&gt;"",BB131&lt;&gt;"",BC131&lt;&gt;""),"ГОТОВО","НЕ ГОТОВО"))</f>
        <v/>
      </c>
      <c r="BE131" s="205">
        <f>IF(BD131&lt;&gt;"ГОТОВО","","Полное заключение: "&amp;A131&amp;", скв. "&amp;B131&amp;". МРП: "&amp;E131&amp;" сут. ГНО: "&amp;F131&amp;"; причина: "&amp;U131&amp;"; категория: "&amp;V131&amp;"; решение комиссии: "&amp;BB131&amp;".")</f>
        <v/>
      </c>
      <c r="BF131" s="173">
        <f>IF('Оперативный ввод'!X131="","",'Оперативный ввод'!X131)</f>
        <v/>
      </c>
    </row>
    <row r="132">
      <c r="A132" s="171">
        <f>IF('Оперативный ввод'!A132="","",'Оперативный ввод'!A132)</f>
        <v/>
      </c>
      <c r="B132" s="172">
        <f>IF('Оперативный ввод'!B132="","",'Оперативный ввод'!B132)</f>
        <v/>
      </c>
      <c r="C132" s="270">
        <f>IF('Оперативный ввод'!C132="","",'Оперативный ввод'!C132)</f>
        <v/>
      </c>
      <c r="D132" s="270">
        <f>IF('Оперативный ввод'!D132="","",'Оперативный ввод'!D132)</f>
        <v/>
      </c>
      <c r="E132" s="271">
        <f>IF(OR(C132="",D132=""),"",D132-C132)</f>
        <v/>
      </c>
      <c r="F132" s="172">
        <f>IF('Оперативный ввод'!F132="","",'Оперативный ввод'!F132)</f>
        <v/>
      </c>
      <c r="G132" s="172">
        <f>IF('Оперативный ввод'!G132="","",'Оперативный ввод'!G132)</f>
        <v/>
      </c>
      <c r="H132" s="172">
        <f>IF('Оперативный ввод'!H132="","",'Оперативный ввод'!H132)</f>
        <v/>
      </c>
      <c r="I132" s="172">
        <f>IF('Оперативный ввод'!I132="","",'Оперативный ввод'!I132)</f>
        <v/>
      </c>
      <c r="J132" s="172">
        <f>IF('Оперативный ввод'!J132="","",'Оперативный ввод'!J132)</f>
        <v/>
      </c>
      <c r="K132" s="172">
        <f>IF('Оперативный ввод'!K132="","",'Оперативный ввод'!K132)</f>
        <v/>
      </c>
      <c r="L132" s="172">
        <f>IF('Оперативный ввод'!L132="","",'Оперативный ввод'!L132)</f>
        <v/>
      </c>
      <c r="M132" s="172">
        <f>IF('Оперативный ввод'!M132="","",'Оперативный ввод'!M132)</f>
        <v/>
      </c>
      <c r="N132" s="172">
        <f>IF('Оперативный ввод'!N132="","",'Оперативный ввод'!N132)</f>
        <v/>
      </c>
      <c r="O132" s="172">
        <f>IF('Оперативный ввод'!O132="","",'Оперативный ввод'!O132)</f>
        <v/>
      </c>
      <c r="P132" s="205">
        <f>IF(AND(A132="",B132=""),"",IF(AND(A132&lt;&gt;"",B132&lt;&gt;"",C132&lt;&gt;"",D132&lt;&gt;"",F132&lt;&gt;"",G132&lt;&gt;"",H132&lt;&gt;"",ISERROR(SEARCH("по паспорту",G132)),ISERROR(SEARCH("по паспорту",H132)),I132&lt;&gt;"",J132&lt;&gt;"",K132&lt;&gt;"",L132&lt;&gt;"",M132&lt;&gt;""),"ГОТОВО","НЕ ГОТОВО"))</f>
        <v/>
      </c>
      <c r="Q132" s="205">
        <f>IF(P132&lt;&gt;"ГОТОВО","", "Предварительное заключение: "&amp;A132&amp;", скв. "&amp;B132&amp;". МРП: "&amp;E132&amp;" сут. ГНО: "&amp;F132&amp;", типоразмер "&amp;G132&amp;", марка "&amp;H132&amp;". Событие: "&amp;I132&amp;". Признак: "&amp;J132&amp;". Узел: "&amp;K132&amp;". Предварительная причина: "&amp;L132&amp;". Основное осложнение: "&amp;M132&amp;IF(N132&lt;&gt;"","; сопутствующее: "&amp;N132,"")&amp;IF(O132&lt;&gt;"","; дополнительно: "&amp;O132,"")&amp;".")</f>
        <v/>
      </c>
      <c r="R132" s="172">
        <f>IF('Оперативный ввод'!P132="","",'Оперативный ввод'!P132)</f>
        <v/>
      </c>
      <c r="S132" s="172">
        <f>IF('Оперативный ввод'!Q132="","",'Оперативный ввод'!Q132)</f>
        <v/>
      </c>
      <c r="T132" s="172">
        <f>IF('Оперативный ввод'!R132="","",'Оперативный ввод'!R132)</f>
        <v/>
      </c>
      <c r="U132" s="172">
        <f>IF('Оперативный ввод'!S132="","",'Оперативный ввод'!S132)</f>
        <v/>
      </c>
      <c r="V132" s="172">
        <f>IF('Оперативный ввод'!T132="","",'Оперативный ввод'!T132)</f>
        <v/>
      </c>
      <c r="W132" s="172" t="n"/>
      <c r="X132" s="172" t="n"/>
      <c r="Y132" s="172" t="n"/>
      <c r="Z132" s="172" t="n"/>
      <c r="AA132" s="172">
        <f>IF('Оперативный ввод'!U132="","",'Оперативный ввод'!U132)</f>
        <v/>
      </c>
      <c r="AB132" s="172">
        <f>IF('Оперативный ввод'!V132="","",'Оперативный ввод'!V132)</f>
        <v/>
      </c>
      <c r="AC132" s="172">
        <f>IF('Оперативный ввод'!W132="","",'Оперативный ввод'!W132)</f>
        <v/>
      </c>
      <c r="BB132" s="172" t="n"/>
      <c r="BC132" s="172" t="n"/>
      <c r="BD132" s="205">
        <f>IF(AND(A132="",B132=""),"",IF(AND(P132="ГОТОВО",R132&lt;&gt;"",T132&lt;&gt;"",U132&lt;&gt;"",AA132&lt;&gt;"",AB132&lt;&gt;"",AC132&lt;&gt;"",BB132&lt;&gt;"",BC132&lt;&gt;""),"ГОТОВО","НЕ ГОТОВО"))</f>
        <v/>
      </c>
      <c r="BE132" s="205">
        <f>IF(BD132&lt;&gt;"ГОТОВО","","Полное заключение: "&amp;A132&amp;", скв. "&amp;B132&amp;". МРП: "&amp;E132&amp;" сут. ГНО: "&amp;F132&amp;"; причина: "&amp;U132&amp;"; категория: "&amp;V132&amp;"; решение комиссии: "&amp;BB132&amp;".")</f>
        <v/>
      </c>
      <c r="BF132" s="173">
        <f>IF('Оперативный ввод'!X132="","",'Оперативный ввод'!X132)</f>
        <v/>
      </c>
    </row>
    <row r="133">
      <c r="A133" s="171">
        <f>IF('Оперативный ввод'!A133="","",'Оперативный ввод'!A133)</f>
        <v/>
      </c>
      <c r="B133" s="172">
        <f>IF('Оперативный ввод'!B133="","",'Оперативный ввод'!B133)</f>
        <v/>
      </c>
      <c r="C133" s="270">
        <f>IF('Оперативный ввод'!C133="","",'Оперативный ввод'!C133)</f>
        <v/>
      </c>
      <c r="D133" s="270">
        <f>IF('Оперативный ввод'!D133="","",'Оперативный ввод'!D133)</f>
        <v/>
      </c>
      <c r="E133" s="271">
        <f>IF(OR(C133="",D133=""),"",D133-C133)</f>
        <v/>
      </c>
      <c r="F133" s="172">
        <f>IF('Оперативный ввод'!F133="","",'Оперативный ввод'!F133)</f>
        <v/>
      </c>
      <c r="G133" s="172">
        <f>IF('Оперативный ввод'!G133="","",'Оперативный ввод'!G133)</f>
        <v/>
      </c>
      <c r="H133" s="172">
        <f>IF('Оперативный ввод'!H133="","",'Оперативный ввод'!H133)</f>
        <v/>
      </c>
      <c r="I133" s="172">
        <f>IF('Оперативный ввод'!I133="","",'Оперативный ввод'!I133)</f>
        <v/>
      </c>
      <c r="J133" s="172">
        <f>IF('Оперативный ввод'!J133="","",'Оперативный ввод'!J133)</f>
        <v/>
      </c>
      <c r="K133" s="172">
        <f>IF('Оперативный ввод'!K133="","",'Оперативный ввод'!K133)</f>
        <v/>
      </c>
      <c r="L133" s="172">
        <f>IF('Оперативный ввод'!L133="","",'Оперативный ввод'!L133)</f>
        <v/>
      </c>
      <c r="M133" s="172">
        <f>IF('Оперативный ввод'!M133="","",'Оперативный ввод'!M133)</f>
        <v/>
      </c>
      <c r="N133" s="172">
        <f>IF('Оперативный ввод'!N133="","",'Оперативный ввод'!N133)</f>
        <v/>
      </c>
      <c r="O133" s="172">
        <f>IF('Оперативный ввод'!O133="","",'Оперативный ввод'!O133)</f>
        <v/>
      </c>
      <c r="P133" s="205">
        <f>IF(AND(A133="",B133=""),"",IF(AND(A133&lt;&gt;"",B133&lt;&gt;"",C133&lt;&gt;"",D133&lt;&gt;"",F133&lt;&gt;"",G133&lt;&gt;"",H133&lt;&gt;"",ISERROR(SEARCH("по паспорту",G133)),ISERROR(SEARCH("по паспорту",H133)),I133&lt;&gt;"",J133&lt;&gt;"",K133&lt;&gt;"",L133&lt;&gt;"",M133&lt;&gt;""),"ГОТОВО","НЕ ГОТОВО"))</f>
        <v/>
      </c>
      <c r="Q133" s="205">
        <f>IF(P133&lt;&gt;"ГОТОВО","", "Предварительное заключение: "&amp;A133&amp;", скв. "&amp;B133&amp;". МРП: "&amp;E133&amp;" сут. ГНО: "&amp;F133&amp;", типоразмер "&amp;G133&amp;", марка "&amp;H133&amp;". Событие: "&amp;I133&amp;". Признак: "&amp;J133&amp;". Узел: "&amp;K133&amp;". Предварительная причина: "&amp;L133&amp;". Основное осложнение: "&amp;M133&amp;IF(N133&lt;&gt;"","; сопутствующее: "&amp;N133,"")&amp;IF(O133&lt;&gt;"","; дополнительно: "&amp;O133,"")&amp;".")</f>
        <v/>
      </c>
      <c r="R133" s="172">
        <f>IF('Оперативный ввод'!P133="","",'Оперативный ввод'!P133)</f>
        <v/>
      </c>
      <c r="S133" s="172">
        <f>IF('Оперативный ввод'!Q133="","",'Оперативный ввод'!Q133)</f>
        <v/>
      </c>
      <c r="T133" s="172">
        <f>IF('Оперативный ввод'!R133="","",'Оперативный ввод'!R133)</f>
        <v/>
      </c>
      <c r="U133" s="172">
        <f>IF('Оперативный ввод'!S133="","",'Оперативный ввод'!S133)</f>
        <v/>
      </c>
      <c r="V133" s="172">
        <f>IF('Оперативный ввод'!T133="","",'Оперативный ввод'!T133)</f>
        <v/>
      </c>
      <c r="W133" s="172" t="n"/>
      <c r="X133" s="172" t="n"/>
      <c r="Y133" s="172" t="n"/>
      <c r="Z133" s="172" t="n"/>
      <c r="AA133" s="172">
        <f>IF('Оперативный ввод'!U133="","",'Оперативный ввод'!U133)</f>
        <v/>
      </c>
      <c r="AB133" s="172">
        <f>IF('Оперативный ввод'!V133="","",'Оперативный ввод'!V133)</f>
        <v/>
      </c>
      <c r="AC133" s="172">
        <f>IF('Оперативный ввод'!W133="","",'Оперативный ввод'!W133)</f>
        <v/>
      </c>
      <c r="BB133" s="172" t="n"/>
      <c r="BC133" s="172" t="n"/>
      <c r="BD133" s="205">
        <f>IF(AND(A133="",B133=""),"",IF(AND(P133="ГОТОВО",R133&lt;&gt;"",T133&lt;&gt;"",U133&lt;&gt;"",AA133&lt;&gt;"",AB133&lt;&gt;"",AC133&lt;&gt;"",BB133&lt;&gt;"",BC133&lt;&gt;""),"ГОТОВО","НЕ ГОТОВО"))</f>
        <v/>
      </c>
      <c r="BE133" s="205">
        <f>IF(BD133&lt;&gt;"ГОТОВО","","Полное заключение: "&amp;A133&amp;", скв. "&amp;B133&amp;". МРП: "&amp;E133&amp;" сут. ГНО: "&amp;F133&amp;"; причина: "&amp;U133&amp;"; категория: "&amp;V133&amp;"; решение комиссии: "&amp;BB133&amp;".")</f>
        <v/>
      </c>
      <c r="BF133" s="173">
        <f>IF('Оперативный ввод'!X133="","",'Оперативный ввод'!X133)</f>
        <v/>
      </c>
    </row>
    <row r="134">
      <c r="A134" s="171">
        <f>IF('Оперативный ввод'!A134="","",'Оперативный ввод'!A134)</f>
        <v/>
      </c>
      <c r="B134" s="172">
        <f>IF('Оперативный ввод'!B134="","",'Оперативный ввод'!B134)</f>
        <v/>
      </c>
      <c r="C134" s="270">
        <f>IF('Оперативный ввод'!C134="","",'Оперативный ввод'!C134)</f>
        <v/>
      </c>
      <c r="D134" s="270">
        <f>IF('Оперативный ввод'!D134="","",'Оперативный ввод'!D134)</f>
        <v/>
      </c>
      <c r="E134" s="271">
        <f>IF(OR(C134="",D134=""),"",D134-C134)</f>
        <v/>
      </c>
      <c r="F134" s="172">
        <f>IF('Оперативный ввод'!F134="","",'Оперативный ввод'!F134)</f>
        <v/>
      </c>
      <c r="G134" s="172">
        <f>IF('Оперативный ввод'!G134="","",'Оперативный ввод'!G134)</f>
        <v/>
      </c>
      <c r="H134" s="172">
        <f>IF('Оперативный ввод'!H134="","",'Оперативный ввод'!H134)</f>
        <v/>
      </c>
      <c r="I134" s="172">
        <f>IF('Оперативный ввод'!I134="","",'Оперативный ввод'!I134)</f>
        <v/>
      </c>
      <c r="J134" s="172">
        <f>IF('Оперативный ввод'!J134="","",'Оперативный ввод'!J134)</f>
        <v/>
      </c>
      <c r="K134" s="172">
        <f>IF('Оперативный ввод'!K134="","",'Оперативный ввод'!K134)</f>
        <v/>
      </c>
      <c r="L134" s="172">
        <f>IF('Оперативный ввод'!L134="","",'Оперативный ввод'!L134)</f>
        <v/>
      </c>
      <c r="M134" s="172">
        <f>IF('Оперативный ввод'!M134="","",'Оперативный ввод'!M134)</f>
        <v/>
      </c>
      <c r="N134" s="172">
        <f>IF('Оперативный ввод'!N134="","",'Оперативный ввод'!N134)</f>
        <v/>
      </c>
      <c r="O134" s="172">
        <f>IF('Оперативный ввод'!O134="","",'Оперативный ввод'!O134)</f>
        <v/>
      </c>
      <c r="P134" s="205">
        <f>IF(AND(A134="",B134=""),"",IF(AND(A134&lt;&gt;"",B134&lt;&gt;"",C134&lt;&gt;"",D134&lt;&gt;"",F134&lt;&gt;"",G134&lt;&gt;"",H134&lt;&gt;"",ISERROR(SEARCH("по паспорту",G134)),ISERROR(SEARCH("по паспорту",H134)),I134&lt;&gt;"",J134&lt;&gt;"",K134&lt;&gt;"",L134&lt;&gt;"",M134&lt;&gt;""),"ГОТОВО","НЕ ГОТОВО"))</f>
        <v/>
      </c>
      <c r="Q134" s="205">
        <f>IF(P134&lt;&gt;"ГОТОВО","", "Предварительное заключение: "&amp;A134&amp;", скв. "&amp;B134&amp;". МРП: "&amp;E134&amp;" сут. ГНО: "&amp;F134&amp;", типоразмер "&amp;G134&amp;", марка "&amp;H134&amp;". Событие: "&amp;I134&amp;". Признак: "&amp;J134&amp;". Узел: "&amp;K134&amp;". Предварительная причина: "&amp;L134&amp;". Основное осложнение: "&amp;M134&amp;IF(N134&lt;&gt;"","; сопутствующее: "&amp;N134,"")&amp;IF(O134&lt;&gt;"","; дополнительно: "&amp;O134,"")&amp;".")</f>
        <v/>
      </c>
      <c r="R134" s="172">
        <f>IF('Оперативный ввод'!P134="","",'Оперативный ввод'!P134)</f>
        <v/>
      </c>
      <c r="S134" s="172">
        <f>IF('Оперативный ввод'!Q134="","",'Оперативный ввод'!Q134)</f>
        <v/>
      </c>
      <c r="T134" s="172">
        <f>IF('Оперативный ввод'!R134="","",'Оперативный ввод'!R134)</f>
        <v/>
      </c>
      <c r="U134" s="172">
        <f>IF('Оперативный ввод'!S134="","",'Оперативный ввод'!S134)</f>
        <v/>
      </c>
      <c r="V134" s="172">
        <f>IF('Оперативный ввод'!T134="","",'Оперативный ввод'!T134)</f>
        <v/>
      </c>
      <c r="W134" s="172" t="n"/>
      <c r="X134" s="172" t="n"/>
      <c r="Y134" s="172" t="n"/>
      <c r="Z134" s="172" t="n"/>
      <c r="AA134" s="172">
        <f>IF('Оперативный ввод'!U134="","",'Оперативный ввод'!U134)</f>
        <v/>
      </c>
      <c r="AB134" s="172">
        <f>IF('Оперативный ввод'!V134="","",'Оперативный ввод'!V134)</f>
        <v/>
      </c>
      <c r="AC134" s="172">
        <f>IF('Оперативный ввод'!W134="","",'Оперативный ввод'!W134)</f>
        <v/>
      </c>
      <c r="BB134" s="172" t="n"/>
      <c r="BC134" s="172" t="n"/>
      <c r="BD134" s="205">
        <f>IF(AND(A134="",B134=""),"",IF(AND(P134="ГОТОВО",R134&lt;&gt;"",T134&lt;&gt;"",U134&lt;&gt;"",AA134&lt;&gt;"",AB134&lt;&gt;"",AC134&lt;&gt;"",BB134&lt;&gt;"",BC134&lt;&gt;""),"ГОТОВО","НЕ ГОТОВО"))</f>
        <v/>
      </c>
      <c r="BE134" s="205">
        <f>IF(BD134&lt;&gt;"ГОТОВО","","Полное заключение: "&amp;A134&amp;", скв. "&amp;B134&amp;". МРП: "&amp;E134&amp;" сут. ГНО: "&amp;F134&amp;"; причина: "&amp;U134&amp;"; категория: "&amp;V134&amp;"; решение комиссии: "&amp;BB134&amp;".")</f>
        <v/>
      </c>
      <c r="BF134" s="173">
        <f>IF('Оперативный ввод'!X134="","",'Оперативный ввод'!X134)</f>
        <v/>
      </c>
    </row>
    <row r="135">
      <c r="A135" s="171">
        <f>IF('Оперативный ввод'!A135="","",'Оперативный ввод'!A135)</f>
        <v/>
      </c>
      <c r="B135" s="172">
        <f>IF('Оперативный ввод'!B135="","",'Оперативный ввод'!B135)</f>
        <v/>
      </c>
      <c r="C135" s="270">
        <f>IF('Оперативный ввод'!C135="","",'Оперативный ввод'!C135)</f>
        <v/>
      </c>
      <c r="D135" s="270">
        <f>IF('Оперативный ввод'!D135="","",'Оперативный ввод'!D135)</f>
        <v/>
      </c>
      <c r="E135" s="271">
        <f>IF(OR(C135="",D135=""),"",D135-C135)</f>
        <v/>
      </c>
      <c r="F135" s="172">
        <f>IF('Оперативный ввод'!F135="","",'Оперативный ввод'!F135)</f>
        <v/>
      </c>
      <c r="G135" s="172">
        <f>IF('Оперативный ввод'!G135="","",'Оперативный ввод'!G135)</f>
        <v/>
      </c>
      <c r="H135" s="172">
        <f>IF('Оперативный ввод'!H135="","",'Оперативный ввод'!H135)</f>
        <v/>
      </c>
      <c r="I135" s="172">
        <f>IF('Оперативный ввод'!I135="","",'Оперативный ввод'!I135)</f>
        <v/>
      </c>
      <c r="J135" s="172">
        <f>IF('Оперативный ввод'!J135="","",'Оперативный ввод'!J135)</f>
        <v/>
      </c>
      <c r="K135" s="172">
        <f>IF('Оперативный ввод'!K135="","",'Оперативный ввод'!K135)</f>
        <v/>
      </c>
      <c r="L135" s="172">
        <f>IF('Оперативный ввод'!L135="","",'Оперативный ввод'!L135)</f>
        <v/>
      </c>
      <c r="M135" s="172">
        <f>IF('Оперативный ввод'!M135="","",'Оперативный ввод'!M135)</f>
        <v/>
      </c>
      <c r="N135" s="172">
        <f>IF('Оперативный ввод'!N135="","",'Оперативный ввод'!N135)</f>
        <v/>
      </c>
      <c r="O135" s="172">
        <f>IF('Оперативный ввод'!O135="","",'Оперативный ввод'!O135)</f>
        <v/>
      </c>
      <c r="P135" s="205">
        <f>IF(AND(A135="",B135=""),"",IF(AND(A135&lt;&gt;"",B135&lt;&gt;"",C135&lt;&gt;"",D135&lt;&gt;"",F135&lt;&gt;"",G135&lt;&gt;"",H135&lt;&gt;"",ISERROR(SEARCH("по паспорту",G135)),ISERROR(SEARCH("по паспорту",H135)),I135&lt;&gt;"",J135&lt;&gt;"",K135&lt;&gt;"",L135&lt;&gt;"",M135&lt;&gt;""),"ГОТОВО","НЕ ГОТОВО"))</f>
        <v/>
      </c>
      <c r="Q135" s="205">
        <f>IF(P135&lt;&gt;"ГОТОВО","", "Предварительное заключение: "&amp;A135&amp;", скв. "&amp;B135&amp;". МРП: "&amp;E135&amp;" сут. ГНО: "&amp;F135&amp;", типоразмер "&amp;G135&amp;", марка "&amp;H135&amp;". Событие: "&amp;I135&amp;". Признак: "&amp;J135&amp;". Узел: "&amp;K135&amp;". Предварительная причина: "&amp;L135&amp;". Основное осложнение: "&amp;M135&amp;IF(N135&lt;&gt;"","; сопутствующее: "&amp;N135,"")&amp;IF(O135&lt;&gt;"","; дополнительно: "&amp;O135,"")&amp;".")</f>
        <v/>
      </c>
      <c r="R135" s="172">
        <f>IF('Оперативный ввод'!P135="","",'Оперативный ввод'!P135)</f>
        <v/>
      </c>
      <c r="S135" s="172">
        <f>IF('Оперативный ввод'!Q135="","",'Оперативный ввод'!Q135)</f>
        <v/>
      </c>
      <c r="T135" s="172">
        <f>IF('Оперативный ввод'!R135="","",'Оперативный ввод'!R135)</f>
        <v/>
      </c>
      <c r="U135" s="172">
        <f>IF('Оперативный ввод'!S135="","",'Оперативный ввод'!S135)</f>
        <v/>
      </c>
      <c r="V135" s="172">
        <f>IF('Оперативный ввод'!T135="","",'Оперативный ввод'!T135)</f>
        <v/>
      </c>
      <c r="W135" s="172" t="n"/>
      <c r="X135" s="172" t="n"/>
      <c r="Y135" s="172" t="n"/>
      <c r="Z135" s="172" t="n"/>
      <c r="AA135" s="172">
        <f>IF('Оперативный ввод'!U135="","",'Оперативный ввод'!U135)</f>
        <v/>
      </c>
      <c r="AB135" s="172">
        <f>IF('Оперативный ввод'!V135="","",'Оперативный ввод'!V135)</f>
        <v/>
      </c>
      <c r="AC135" s="172">
        <f>IF('Оперативный ввод'!W135="","",'Оперативный ввод'!W135)</f>
        <v/>
      </c>
      <c r="BB135" s="172" t="n"/>
      <c r="BC135" s="172" t="n"/>
      <c r="BD135" s="205">
        <f>IF(AND(A135="",B135=""),"",IF(AND(P135="ГОТОВО",R135&lt;&gt;"",T135&lt;&gt;"",U135&lt;&gt;"",AA135&lt;&gt;"",AB135&lt;&gt;"",AC135&lt;&gt;"",BB135&lt;&gt;"",BC135&lt;&gt;""),"ГОТОВО","НЕ ГОТОВО"))</f>
        <v/>
      </c>
      <c r="BE135" s="205">
        <f>IF(BD135&lt;&gt;"ГОТОВО","","Полное заключение: "&amp;A135&amp;", скв. "&amp;B135&amp;". МРП: "&amp;E135&amp;" сут. ГНО: "&amp;F135&amp;"; причина: "&amp;U135&amp;"; категория: "&amp;V135&amp;"; решение комиссии: "&amp;BB135&amp;".")</f>
        <v/>
      </c>
      <c r="BF135" s="173">
        <f>IF('Оперативный ввод'!X135="","",'Оперативный ввод'!X135)</f>
        <v/>
      </c>
    </row>
    <row r="136">
      <c r="A136" s="171">
        <f>IF('Оперативный ввод'!A136="","",'Оперативный ввод'!A136)</f>
        <v/>
      </c>
      <c r="B136" s="172">
        <f>IF('Оперативный ввод'!B136="","",'Оперативный ввод'!B136)</f>
        <v/>
      </c>
      <c r="C136" s="270">
        <f>IF('Оперативный ввод'!C136="","",'Оперативный ввод'!C136)</f>
        <v/>
      </c>
      <c r="D136" s="270">
        <f>IF('Оперативный ввод'!D136="","",'Оперативный ввод'!D136)</f>
        <v/>
      </c>
      <c r="E136" s="271">
        <f>IF(OR(C136="",D136=""),"",D136-C136)</f>
        <v/>
      </c>
      <c r="F136" s="172">
        <f>IF('Оперативный ввод'!F136="","",'Оперативный ввод'!F136)</f>
        <v/>
      </c>
      <c r="G136" s="172">
        <f>IF('Оперативный ввод'!G136="","",'Оперативный ввод'!G136)</f>
        <v/>
      </c>
      <c r="H136" s="172">
        <f>IF('Оперативный ввод'!H136="","",'Оперативный ввод'!H136)</f>
        <v/>
      </c>
      <c r="I136" s="172">
        <f>IF('Оперативный ввод'!I136="","",'Оперативный ввод'!I136)</f>
        <v/>
      </c>
      <c r="J136" s="172">
        <f>IF('Оперативный ввод'!J136="","",'Оперативный ввод'!J136)</f>
        <v/>
      </c>
      <c r="K136" s="172">
        <f>IF('Оперативный ввод'!K136="","",'Оперативный ввод'!K136)</f>
        <v/>
      </c>
      <c r="L136" s="172">
        <f>IF('Оперативный ввод'!L136="","",'Оперативный ввод'!L136)</f>
        <v/>
      </c>
      <c r="M136" s="172">
        <f>IF('Оперативный ввод'!M136="","",'Оперативный ввод'!M136)</f>
        <v/>
      </c>
      <c r="N136" s="172">
        <f>IF('Оперативный ввод'!N136="","",'Оперативный ввод'!N136)</f>
        <v/>
      </c>
      <c r="O136" s="172">
        <f>IF('Оперативный ввод'!O136="","",'Оперативный ввод'!O136)</f>
        <v/>
      </c>
      <c r="P136" s="205">
        <f>IF(AND(A136="",B136=""),"",IF(AND(A136&lt;&gt;"",B136&lt;&gt;"",C136&lt;&gt;"",D136&lt;&gt;"",F136&lt;&gt;"",G136&lt;&gt;"",H136&lt;&gt;"",ISERROR(SEARCH("по паспорту",G136)),ISERROR(SEARCH("по паспорту",H136)),I136&lt;&gt;"",J136&lt;&gt;"",K136&lt;&gt;"",L136&lt;&gt;"",M136&lt;&gt;""),"ГОТОВО","НЕ ГОТОВО"))</f>
        <v/>
      </c>
      <c r="Q136" s="205">
        <f>IF(P136&lt;&gt;"ГОТОВО","", "Предварительное заключение: "&amp;A136&amp;", скв. "&amp;B136&amp;". МРП: "&amp;E136&amp;" сут. ГНО: "&amp;F136&amp;", типоразмер "&amp;G136&amp;", марка "&amp;H136&amp;". Событие: "&amp;I136&amp;". Признак: "&amp;J136&amp;". Узел: "&amp;K136&amp;". Предварительная причина: "&amp;L136&amp;". Основное осложнение: "&amp;M136&amp;IF(N136&lt;&gt;"","; сопутствующее: "&amp;N136,"")&amp;IF(O136&lt;&gt;"","; дополнительно: "&amp;O136,"")&amp;".")</f>
        <v/>
      </c>
      <c r="R136" s="172">
        <f>IF('Оперативный ввод'!P136="","",'Оперативный ввод'!P136)</f>
        <v/>
      </c>
      <c r="S136" s="172">
        <f>IF('Оперативный ввод'!Q136="","",'Оперативный ввод'!Q136)</f>
        <v/>
      </c>
      <c r="T136" s="172">
        <f>IF('Оперативный ввод'!R136="","",'Оперативный ввод'!R136)</f>
        <v/>
      </c>
      <c r="U136" s="172">
        <f>IF('Оперативный ввод'!S136="","",'Оперативный ввод'!S136)</f>
        <v/>
      </c>
      <c r="V136" s="172">
        <f>IF('Оперативный ввод'!T136="","",'Оперативный ввод'!T136)</f>
        <v/>
      </c>
      <c r="W136" s="172" t="n"/>
      <c r="X136" s="172" t="n"/>
      <c r="Y136" s="172" t="n"/>
      <c r="Z136" s="172" t="n"/>
      <c r="AA136" s="172">
        <f>IF('Оперативный ввод'!U136="","",'Оперативный ввод'!U136)</f>
        <v/>
      </c>
      <c r="AB136" s="172">
        <f>IF('Оперативный ввод'!V136="","",'Оперативный ввод'!V136)</f>
        <v/>
      </c>
      <c r="AC136" s="172">
        <f>IF('Оперативный ввод'!W136="","",'Оперативный ввод'!W136)</f>
        <v/>
      </c>
      <c r="BB136" s="172" t="n"/>
      <c r="BC136" s="172" t="n"/>
      <c r="BD136" s="205">
        <f>IF(AND(A136="",B136=""),"",IF(AND(P136="ГОТОВО",R136&lt;&gt;"",T136&lt;&gt;"",U136&lt;&gt;"",AA136&lt;&gt;"",AB136&lt;&gt;"",AC136&lt;&gt;"",BB136&lt;&gt;"",BC136&lt;&gt;""),"ГОТОВО","НЕ ГОТОВО"))</f>
        <v/>
      </c>
      <c r="BE136" s="205">
        <f>IF(BD136&lt;&gt;"ГОТОВО","","Полное заключение: "&amp;A136&amp;", скв. "&amp;B136&amp;". МРП: "&amp;E136&amp;" сут. ГНО: "&amp;F136&amp;"; причина: "&amp;U136&amp;"; категория: "&amp;V136&amp;"; решение комиссии: "&amp;BB136&amp;".")</f>
        <v/>
      </c>
      <c r="BF136" s="173">
        <f>IF('Оперативный ввод'!X136="","",'Оперативный ввод'!X136)</f>
        <v/>
      </c>
    </row>
    <row r="137">
      <c r="A137" s="171">
        <f>IF('Оперативный ввод'!A137="","",'Оперативный ввод'!A137)</f>
        <v/>
      </c>
      <c r="B137" s="172">
        <f>IF('Оперативный ввод'!B137="","",'Оперативный ввод'!B137)</f>
        <v/>
      </c>
      <c r="C137" s="270">
        <f>IF('Оперативный ввод'!C137="","",'Оперативный ввод'!C137)</f>
        <v/>
      </c>
      <c r="D137" s="270">
        <f>IF('Оперативный ввод'!D137="","",'Оперативный ввод'!D137)</f>
        <v/>
      </c>
      <c r="E137" s="271">
        <f>IF(OR(C137="",D137=""),"",D137-C137)</f>
        <v/>
      </c>
      <c r="F137" s="172">
        <f>IF('Оперативный ввод'!F137="","",'Оперативный ввод'!F137)</f>
        <v/>
      </c>
      <c r="G137" s="172">
        <f>IF('Оперативный ввод'!G137="","",'Оперативный ввод'!G137)</f>
        <v/>
      </c>
      <c r="H137" s="172">
        <f>IF('Оперативный ввод'!H137="","",'Оперативный ввод'!H137)</f>
        <v/>
      </c>
      <c r="I137" s="172">
        <f>IF('Оперативный ввод'!I137="","",'Оперативный ввод'!I137)</f>
        <v/>
      </c>
      <c r="J137" s="172">
        <f>IF('Оперативный ввод'!J137="","",'Оперативный ввод'!J137)</f>
        <v/>
      </c>
      <c r="K137" s="172">
        <f>IF('Оперативный ввод'!K137="","",'Оперативный ввод'!K137)</f>
        <v/>
      </c>
      <c r="L137" s="172">
        <f>IF('Оперативный ввод'!L137="","",'Оперативный ввод'!L137)</f>
        <v/>
      </c>
      <c r="M137" s="172">
        <f>IF('Оперативный ввод'!M137="","",'Оперативный ввод'!M137)</f>
        <v/>
      </c>
      <c r="N137" s="172">
        <f>IF('Оперативный ввод'!N137="","",'Оперативный ввод'!N137)</f>
        <v/>
      </c>
      <c r="O137" s="172">
        <f>IF('Оперативный ввод'!O137="","",'Оперативный ввод'!O137)</f>
        <v/>
      </c>
      <c r="P137" s="205">
        <f>IF(AND(A137="",B137=""),"",IF(AND(A137&lt;&gt;"",B137&lt;&gt;"",C137&lt;&gt;"",D137&lt;&gt;"",F137&lt;&gt;"",G137&lt;&gt;"",H137&lt;&gt;"",ISERROR(SEARCH("по паспорту",G137)),ISERROR(SEARCH("по паспорту",H137)),I137&lt;&gt;"",J137&lt;&gt;"",K137&lt;&gt;"",L137&lt;&gt;"",M137&lt;&gt;""),"ГОТОВО","НЕ ГОТОВО"))</f>
        <v/>
      </c>
      <c r="Q137" s="205">
        <f>IF(P137&lt;&gt;"ГОТОВО","", "Предварительное заключение: "&amp;A137&amp;", скв. "&amp;B137&amp;". МРП: "&amp;E137&amp;" сут. ГНО: "&amp;F137&amp;", типоразмер "&amp;G137&amp;", марка "&amp;H137&amp;". Событие: "&amp;I137&amp;". Признак: "&amp;J137&amp;". Узел: "&amp;K137&amp;". Предварительная причина: "&amp;L137&amp;". Основное осложнение: "&amp;M137&amp;IF(N137&lt;&gt;"","; сопутствующее: "&amp;N137,"")&amp;IF(O137&lt;&gt;"","; дополнительно: "&amp;O137,"")&amp;".")</f>
        <v/>
      </c>
      <c r="R137" s="172">
        <f>IF('Оперативный ввод'!P137="","",'Оперативный ввод'!P137)</f>
        <v/>
      </c>
      <c r="S137" s="172">
        <f>IF('Оперативный ввод'!Q137="","",'Оперативный ввод'!Q137)</f>
        <v/>
      </c>
      <c r="T137" s="172">
        <f>IF('Оперативный ввод'!R137="","",'Оперативный ввод'!R137)</f>
        <v/>
      </c>
      <c r="U137" s="172">
        <f>IF('Оперативный ввод'!S137="","",'Оперативный ввод'!S137)</f>
        <v/>
      </c>
      <c r="V137" s="172">
        <f>IF('Оперативный ввод'!T137="","",'Оперативный ввод'!T137)</f>
        <v/>
      </c>
      <c r="W137" s="172" t="n"/>
      <c r="X137" s="172" t="n"/>
      <c r="Y137" s="172" t="n"/>
      <c r="Z137" s="172" t="n"/>
      <c r="AA137" s="172">
        <f>IF('Оперативный ввод'!U137="","",'Оперативный ввод'!U137)</f>
        <v/>
      </c>
      <c r="AB137" s="172">
        <f>IF('Оперативный ввод'!V137="","",'Оперативный ввод'!V137)</f>
        <v/>
      </c>
      <c r="AC137" s="172">
        <f>IF('Оперативный ввод'!W137="","",'Оперативный ввод'!W137)</f>
        <v/>
      </c>
      <c r="BB137" s="172" t="n"/>
      <c r="BC137" s="172" t="n"/>
      <c r="BD137" s="205">
        <f>IF(AND(A137="",B137=""),"",IF(AND(P137="ГОТОВО",R137&lt;&gt;"",T137&lt;&gt;"",U137&lt;&gt;"",AA137&lt;&gt;"",AB137&lt;&gt;"",AC137&lt;&gt;"",BB137&lt;&gt;"",BC137&lt;&gt;""),"ГОТОВО","НЕ ГОТОВО"))</f>
        <v/>
      </c>
      <c r="BE137" s="205">
        <f>IF(BD137&lt;&gt;"ГОТОВО","","Полное заключение: "&amp;A137&amp;", скв. "&amp;B137&amp;". МРП: "&amp;E137&amp;" сут. ГНО: "&amp;F137&amp;"; причина: "&amp;U137&amp;"; категория: "&amp;V137&amp;"; решение комиссии: "&amp;BB137&amp;".")</f>
        <v/>
      </c>
      <c r="BF137" s="173">
        <f>IF('Оперативный ввод'!X137="","",'Оперативный ввод'!X137)</f>
        <v/>
      </c>
    </row>
    <row r="138">
      <c r="A138" s="171">
        <f>IF('Оперативный ввод'!A138="","",'Оперативный ввод'!A138)</f>
        <v/>
      </c>
      <c r="B138" s="172">
        <f>IF('Оперативный ввод'!B138="","",'Оперативный ввод'!B138)</f>
        <v/>
      </c>
      <c r="C138" s="270">
        <f>IF('Оперативный ввод'!C138="","",'Оперативный ввод'!C138)</f>
        <v/>
      </c>
      <c r="D138" s="270">
        <f>IF('Оперативный ввод'!D138="","",'Оперативный ввод'!D138)</f>
        <v/>
      </c>
      <c r="E138" s="271">
        <f>IF(OR(C138="",D138=""),"",D138-C138)</f>
        <v/>
      </c>
      <c r="F138" s="172">
        <f>IF('Оперативный ввод'!F138="","",'Оперативный ввод'!F138)</f>
        <v/>
      </c>
      <c r="G138" s="172">
        <f>IF('Оперативный ввод'!G138="","",'Оперативный ввод'!G138)</f>
        <v/>
      </c>
      <c r="H138" s="172">
        <f>IF('Оперативный ввод'!H138="","",'Оперативный ввод'!H138)</f>
        <v/>
      </c>
      <c r="I138" s="172">
        <f>IF('Оперативный ввод'!I138="","",'Оперативный ввод'!I138)</f>
        <v/>
      </c>
      <c r="J138" s="172">
        <f>IF('Оперативный ввод'!J138="","",'Оперативный ввод'!J138)</f>
        <v/>
      </c>
      <c r="K138" s="172">
        <f>IF('Оперативный ввод'!K138="","",'Оперативный ввод'!K138)</f>
        <v/>
      </c>
      <c r="L138" s="172">
        <f>IF('Оперативный ввод'!L138="","",'Оперативный ввод'!L138)</f>
        <v/>
      </c>
      <c r="M138" s="172">
        <f>IF('Оперативный ввод'!M138="","",'Оперативный ввод'!M138)</f>
        <v/>
      </c>
      <c r="N138" s="172">
        <f>IF('Оперативный ввод'!N138="","",'Оперативный ввод'!N138)</f>
        <v/>
      </c>
      <c r="O138" s="172">
        <f>IF('Оперативный ввод'!O138="","",'Оперативный ввод'!O138)</f>
        <v/>
      </c>
      <c r="P138" s="205">
        <f>IF(AND(A138="",B138=""),"",IF(AND(A138&lt;&gt;"",B138&lt;&gt;"",C138&lt;&gt;"",D138&lt;&gt;"",F138&lt;&gt;"",G138&lt;&gt;"",H138&lt;&gt;"",ISERROR(SEARCH("по паспорту",G138)),ISERROR(SEARCH("по паспорту",H138)),I138&lt;&gt;"",J138&lt;&gt;"",K138&lt;&gt;"",L138&lt;&gt;"",M138&lt;&gt;""),"ГОТОВО","НЕ ГОТОВО"))</f>
        <v/>
      </c>
      <c r="Q138" s="205">
        <f>IF(P138&lt;&gt;"ГОТОВО","", "Предварительное заключение: "&amp;A138&amp;", скв. "&amp;B138&amp;". МРП: "&amp;E138&amp;" сут. ГНО: "&amp;F138&amp;", типоразмер "&amp;G138&amp;", марка "&amp;H138&amp;". Событие: "&amp;I138&amp;". Признак: "&amp;J138&amp;". Узел: "&amp;K138&amp;". Предварительная причина: "&amp;L138&amp;". Основное осложнение: "&amp;M138&amp;IF(N138&lt;&gt;"","; сопутствующее: "&amp;N138,"")&amp;IF(O138&lt;&gt;"","; дополнительно: "&amp;O138,"")&amp;".")</f>
        <v/>
      </c>
      <c r="R138" s="172">
        <f>IF('Оперативный ввод'!P138="","",'Оперативный ввод'!P138)</f>
        <v/>
      </c>
      <c r="S138" s="172">
        <f>IF('Оперативный ввод'!Q138="","",'Оперативный ввод'!Q138)</f>
        <v/>
      </c>
      <c r="T138" s="172">
        <f>IF('Оперативный ввод'!R138="","",'Оперативный ввод'!R138)</f>
        <v/>
      </c>
      <c r="U138" s="172">
        <f>IF('Оперативный ввод'!S138="","",'Оперативный ввод'!S138)</f>
        <v/>
      </c>
      <c r="V138" s="172">
        <f>IF('Оперативный ввод'!T138="","",'Оперативный ввод'!T138)</f>
        <v/>
      </c>
      <c r="W138" s="172" t="n"/>
      <c r="X138" s="172" t="n"/>
      <c r="Y138" s="172" t="n"/>
      <c r="Z138" s="172" t="n"/>
      <c r="AA138" s="172">
        <f>IF('Оперативный ввод'!U138="","",'Оперативный ввод'!U138)</f>
        <v/>
      </c>
      <c r="AB138" s="172">
        <f>IF('Оперативный ввод'!V138="","",'Оперативный ввод'!V138)</f>
        <v/>
      </c>
      <c r="AC138" s="172">
        <f>IF('Оперативный ввод'!W138="","",'Оперативный ввод'!W138)</f>
        <v/>
      </c>
      <c r="BB138" s="172" t="n"/>
      <c r="BC138" s="172" t="n"/>
      <c r="BD138" s="205">
        <f>IF(AND(A138="",B138=""),"",IF(AND(P138="ГОТОВО",R138&lt;&gt;"",T138&lt;&gt;"",U138&lt;&gt;"",AA138&lt;&gt;"",AB138&lt;&gt;"",AC138&lt;&gt;"",BB138&lt;&gt;"",BC138&lt;&gt;""),"ГОТОВО","НЕ ГОТОВО"))</f>
        <v/>
      </c>
      <c r="BE138" s="205">
        <f>IF(BD138&lt;&gt;"ГОТОВО","","Полное заключение: "&amp;A138&amp;", скв. "&amp;B138&amp;". МРП: "&amp;E138&amp;" сут. ГНО: "&amp;F138&amp;"; причина: "&amp;U138&amp;"; категория: "&amp;V138&amp;"; решение комиссии: "&amp;BB138&amp;".")</f>
        <v/>
      </c>
      <c r="BF138" s="173">
        <f>IF('Оперативный ввод'!X138="","",'Оперативный ввод'!X138)</f>
        <v/>
      </c>
    </row>
    <row r="139">
      <c r="A139" s="171">
        <f>IF('Оперативный ввод'!A139="","",'Оперативный ввод'!A139)</f>
        <v/>
      </c>
      <c r="B139" s="172">
        <f>IF('Оперативный ввод'!B139="","",'Оперативный ввод'!B139)</f>
        <v/>
      </c>
      <c r="C139" s="270">
        <f>IF('Оперативный ввод'!C139="","",'Оперативный ввод'!C139)</f>
        <v/>
      </c>
      <c r="D139" s="270">
        <f>IF('Оперативный ввод'!D139="","",'Оперативный ввод'!D139)</f>
        <v/>
      </c>
      <c r="E139" s="271">
        <f>IF(OR(C139="",D139=""),"",D139-C139)</f>
        <v/>
      </c>
      <c r="F139" s="172">
        <f>IF('Оперативный ввод'!F139="","",'Оперативный ввод'!F139)</f>
        <v/>
      </c>
      <c r="G139" s="172">
        <f>IF('Оперативный ввод'!G139="","",'Оперативный ввод'!G139)</f>
        <v/>
      </c>
      <c r="H139" s="172">
        <f>IF('Оперативный ввод'!H139="","",'Оперативный ввод'!H139)</f>
        <v/>
      </c>
      <c r="I139" s="172">
        <f>IF('Оперативный ввод'!I139="","",'Оперативный ввод'!I139)</f>
        <v/>
      </c>
      <c r="J139" s="172">
        <f>IF('Оперативный ввод'!J139="","",'Оперативный ввод'!J139)</f>
        <v/>
      </c>
      <c r="K139" s="172">
        <f>IF('Оперативный ввод'!K139="","",'Оперативный ввод'!K139)</f>
        <v/>
      </c>
      <c r="L139" s="172">
        <f>IF('Оперативный ввод'!L139="","",'Оперативный ввод'!L139)</f>
        <v/>
      </c>
      <c r="M139" s="172">
        <f>IF('Оперативный ввод'!M139="","",'Оперативный ввод'!M139)</f>
        <v/>
      </c>
      <c r="N139" s="172">
        <f>IF('Оперативный ввод'!N139="","",'Оперативный ввод'!N139)</f>
        <v/>
      </c>
      <c r="O139" s="172">
        <f>IF('Оперативный ввод'!O139="","",'Оперативный ввод'!O139)</f>
        <v/>
      </c>
      <c r="P139" s="205">
        <f>IF(AND(A139="",B139=""),"",IF(AND(A139&lt;&gt;"",B139&lt;&gt;"",C139&lt;&gt;"",D139&lt;&gt;"",F139&lt;&gt;"",G139&lt;&gt;"",H139&lt;&gt;"",ISERROR(SEARCH("по паспорту",G139)),ISERROR(SEARCH("по паспорту",H139)),I139&lt;&gt;"",J139&lt;&gt;"",K139&lt;&gt;"",L139&lt;&gt;"",M139&lt;&gt;""),"ГОТОВО","НЕ ГОТОВО"))</f>
        <v/>
      </c>
      <c r="Q139" s="205">
        <f>IF(P139&lt;&gt;"ГОТОВО","", "Предварительное заключение: "&amp;A139&amp;", скв. "&amp;B139&amp;". МРП: "&amp;E139&amp;" сут. ГНО: "&amp;F139&amp;", типоразмер "&amp;G139&amp;", марка "&amp;H139&amp;". Событие: "&amp;I139&amp;". Признак: "&amp;J139&amp;". Узел: "&amp;K139&amp;". Предварительная причина: "&amp;L139&amp;". Основное осложнение: "&amp;M139&amp;IF(N139&lt;&gt;"","; сопутствующее: "&amp;N139,"")&amp;IF(O139&lt;&gt;"","; дополнительно: "&amp;O139,"")&amp;".")</f>
        <v/>
      </c>
      <c r="R139" s="172">
        <f>IF('Оперативный ввод'!P139="","",'Оперативный ввод'!P139)</f>
        <v/>
      </c>
      <c r="S139" s="172">
        <f>IF('Оперативный ввод'!Q139="","",'Оперативный ввод'!Q139)</f>
        <v/>
      </c>
      <c r="T139" s="172">
        <f>IF('Оперативный ввод'!R139="","",'Оперативный ввод'!R139)</f>
        <v/>
      </c>
      <c r="U139" s="172">
        <f>IF('Оперативный ввод'!S139="","",'Оперативный ввод'!S139)</f>
        <v/>
      </c>
      <c r="V139" s="172">
        <f>IF('Оперативный ввод'!T139="","",'Оперативный ввод'!T139)</f>
        <v/>
      </c>
      <c r="W139" s="172" t="n"/>
      <c r="X139" s="172" t="n"/>
      <c r="Y139" s="172" t="n"/>
      <c r="Z139" s="172" t="n"/>
      <c r="AA139" s="172">
        <f>IF('Оперативный ввод'!U139="","",'Оперативный ввод'!U139)</f>
        <v/>
      </c>
      <c r="AB139" s="172">
        <f>IF('Оперативный ввод'!V139="","",'Оперативный ввод'!V139)</f>
        <v/>
      </c>
      <c r="AC139" s="172">
        <f>IF('Оперативный ввод'!W139="","",'Оперативный ввод'!W139)</f>
        <v/>
      </c>
      <c r="BB139" s="172" t="n"/>
      <c r="BC139" s="172" t="n"/>
      <c r="BD139" s="205">
        <f>IF(AND(A139="",B139=""),"",IF(AND(P139="ГОТОВО",R139&lt;&gt;"",T139&lt;&gt;"",U139&lt;&gt;"",AA139&lt;&gt;"",AB139&lt;&gt;"",AC139&lt;&gt;"",BB139&lt;&gt;"",BC139&lt;&gt;""),"ГОТОВО","НЕ ГОТОВО"))</f>
        <v/>
      </c>
      <c r="BE139" s="205">
        <f>IF(BD139&lt;&gt;"ГОТОВО","","Полное заключение: "&amp;A139&amp;", скв. "&amp;B139&amp;". МРП: "&amp;E139&amp;" сут. ГНО: "&amp;F139&amp;"; причина: "&amp;U139&amp;"; категория: "&amp;V139&amp;"; решение комиссии: "&amp;BB139&amp;".")</f>
        <v/>
      </c>
      <c r="BF139" s="173">
        <f>IF('Оперативный ввод'!X139="","",'Оперативный ввод'!X139)</f>
        <v/>
      </c>
    </row>
    <row r="140">
      <c r="A140" s="171">
        <f>IF('Оперативный ввод'!A140="","",'Оперативный ввод'!A140)</f>
        <v/>
      </c>
      <c r="B140" s="172">
        <f>IF('Оперативный ввод'!B140="","",'Оперативный ввод'!B140)</f>
        <v/>
      </c>
      <c r="C140" s="270">
        <f>IF('Оперативный ввод'!C140="","",'Оперативный ввод'!C140)</f>
        <v/>
      </c>
      <c r="D140" s="270">
        <f>IF('Оперативный ввод'!D140="","",'Оперативный ввод'!D140)</f>
        <v/>
      </c>
      <c r="E140" s="271">
        <f>IF(OR(C140="",D140=""),"",D140-C140)</f>
        <v/>
      </c>
      <c r="F140" s="172">
        <f>IF('Оперативный ввод'!F140="","",'Оперативный ввод'!F140)</f>
        <v/>
      </c>
      <c r="G140" s="172">
        <f>IF('Оперативный ввод'!G140="","",'Оперативный ввод'!G140)</f>
        <v/>
      </c>
      <c r="H140" s="172">
        <f>IF('Оперативный ввод'!H140="","",'Оперативный ввод'!H140)</f>
        <v/>
      </c>
      <c r="I140" s="172">
        <f>IF('Оперативный ввод'!I140="","",'Оперативный ввод'!I140)</f>
        <v/>
      </c>
      <c r="J140" s="172">
        <f>IF('Оперативный ввод'!J140="","",'Оперативный ввод'!J140)</f>
        <v/>
      </c>
      <c r="K140" s="172">
        <f>IF('Оперативный ввод'!K140="","",'Оперативный ввод'!K140)</f>
        <v/>
      </c>
      <c r="L140" s="172">
        <f>IF('Оперативный ввод'!L140="","",'Оперативный ввод'!L140)</f>
        <v/>
      </c>
      <c r="M140" s="172">
        <f>IF('Оперативный ввод'!M140="","",'Оперативный ввод'!M140)</f>
        <v/>
      </c>
      <c r="N140" s="172">
        <f>IF('Оперативный ввод'!N140="","",'Оперативный ввод'!N140)</f>
        <v/>
      </c>
      <c r="O140" s="172">
        <f>IF('Оперативный ввод'!O140="","",'Оперативный ввод'!O140)</f>
        <v/>
      </c>
      <c r="P140" s="205">
        <f>IF(AND(A140="",B140=""),"",IF(AND(A140&lt;&gt;"",B140&lt;&gt;"",C140&lt;&gt;"",D140&lt;&gt;"",F140&lt;&gt;"",G140&lt;&gt;"",H140&lt;&gt;"",ISERROR(SEARCH("по паспорту",G140)),ISERROR(SEARCH("по паспорту",H140)),I140&lt;&gt;"",J140&lt;&gt;"",K140&lt;&gt;"",L140&lt;&gt;"",M140&lt;&gt;""),"ГОТОВО","НЕ ГОТОВО"))</f>
        <v/>
      </c>
      <c r="Q140" s="205">
        <f>IF(P140&lt;&gt;"ГОТОВО","", "Предварительное заключение: "&amp;A140&amp;", скв. "&amp;B140&amp;". МРП: "&amp;E140&amp;" сут. ГНО: "&amp;F140&amp;", типоразмер "&amp;G140&amp;", марка "&amp;H140&amp;". Событие: "&amp;I140&amp;". Признак: "&amp;J140&amp;". Узел: "&amp;K140&amp;". Предварительная причина: "&amp;L140&amp;". Основное осложнение: "&amp;M140&amp;IF(N140&lt;&gt;"","; сопутствующее: "&amp;N140,"")&amp;IF(O140&lt;&gt;"","; дополнительно: "&amp;O140,"")&amp;".")</f>
        <v/>
      </c>
      <c r="R140" s="172">
        <f>IF('Оперативный ввод'!P140="","",'Оперативный ввод'!P140)</f>
        <v/>
      </c>
      <c r="S140" s="172">
        <f>IF('Оперативный ввод'!Q140="","",'Оперативный ввод'!Q140)</f>
        <v/>
      </c>
      <c r="T140" s="172">
        <f>IF('Оперативный ввод'!R140="","",'Оперативный ввод'!R140)</f>
        <v/>
      </c>
      <c r="U140" s="172">
        <f>IF('Оперативный ввод'!S140="","",'Оперативный ввод'!S140)</f>
        <v/>
      </c>
      <c r="V140" s="172">
        <f>IF('Оперативный ввод'!T140="","",'Оперативный ввод'!T140)</f>
        <v/>
      </c>
      <c r="W140" s="172" t="n"/>
      <c r="X140" s="172" t="n"/>
      <c r="Y140" s="172" t="n"/>
      <c r="Z140" s="172" t="n"/>
      <c r="AA140" s="172">
        <f>IF('Оперативный ввод'!U140="","",'Оперативный ввод'!U140)</f>
        <v/>
      </c>
      <c r="AB140" s="172">
        <f>IF('Оперативный ввод'!V140="","",'Оперативный ввод'!V140)</f>
        <v/>
      </c>
      <c r="AC140" s="172">
        <f>IF('Оперативный ввод'!W140="","",'Оперативный ввод'!W140)</f>
        <v/>
      </c>
      <c r="BB140" s="172" t="n"/>
      <c r="BC140" s="172" t="n"/>
      <c r="BD140" s="205">
        <f>IF(AND(A140="",B140=""),"",IF(AND(P140="ГОТОВО",R140&lt;&gt;"",T140&lt;&gt;"",U140&lt;&gt;"",AA140&lt;&gt;"",AB140&lt;&gt;"",AC140&lt;&gt;"",BB140&lt;&gt;"",BC140&lt;&gt;""),"ГОТОВО","НЕ ГОТОВО"))</f>
        <v/>
      </c>
      <c r="BE140" s="205">
        <f>IF(BD140&lt;&gt;"ГОТОВО","","Полное заключение: "&amp;A140&amp;", скв. "&amp;B140&amp;". МРП: "&amp;E140&amp;" сут. ГНО: "&amp;F140&amp;"; причина: "&amp;U140&amp;"; категория: "&amp;V140&amp;"; решение комиссии: "&amp;BB140&amp;".")</f>
        <v/>
      </c>
      <c r="BF140" s="173">
        <f>IF('Оперативный ввод'!X140="","",'Оперативный ввод'!X140)</f>
        <v/>
      </c>
    </row>
    <row r="141">
      <c r="A141" s="171">
        <f>IF('Оперативный ввод'!A141="","",'Оперативный ввод'!A141)</f>
        <v/>
      </c>
      <c r="B141" s="172">
        <f>IF('Оперативный ввод'!B141="","",'Оперативный ввод'!B141)</f>
        <v/>
      </c>
      <c r="C141" s="270">
        <f>IF('Оперативный ввод'!C141="","",'Оперативный ввод'!C141)</f>
        <v/>
      </c>
      <c r="D141" s="270">
        <f>IF('Оперативный ввод'!D141="","",'Оперативный ввод'!D141)</f>
        <v/>
      </c>
      <c r="E141" s="271">
        <f>IF(OR(C141="",D141=""),"",D141-C141)</f>
        <v/>
      </c>
      <c r="F141" s="172">
        <f>IF('Оперативный ввод'!F141="","",'Оперативный ввод'!F141)</f>
        <v/>
      </c>
      <c r="G141" s="172">
        <f>IF('Оперативный ввод'!G141="","",'Оперативный ввод'!G141)</f>
        <v/>
      </c>
      <c r="H141" s="172">
        <f>IF('Оперативный ввод'!H141="","",'Оперативный ввод'!H141)</f>
        <v/>
      </c>
      <c r="I141" s="172">
        <f>IF('Оперативный ввод'!I141="","",'Оперативный ввод'!I141)</f>
        <v/>
      </c>
      <c r="J141" s="172">
        <f>IF('Оперативный ввод'!J141="","",'Оперативный ввод'!J141)</f>
        <v/>
      </c>
      <c r="K141" s="172">
        <f>IF('Оперативный ввод'!K141="","",'Оперативный ввод'!K141)</f>
        <v/>
      </c>
      <c r="L141" s="172">
        <f>IF('Оперативный ввод'!L141="","",'Оперативный ввод'!L141)</f>
        <v/>
      </c>
      <c r="M141" s="172">
        <f>IF('Оперативный ввод'!M141="","",'Оперативный ввод'!M141)</f>
        <v/>
      </c>
      <c r="N141" s="172">
        <f>IF('Оперативный ввод'!N141="","",'Оперативный ввод'!N141)</f>
        <v/>
      </c>
      <c r="O141" s="172">
        <f>IF('Оперативный ввод'!O141="","",'Оперативный ввод'!O141)</f>
        <v/>
      </c>
      <c r="P141" s="205">
        <f>IF(AND(A141="",B141=""),"",IF(AND(A141&lt;&gt;"",B141&lt;&gt;"",C141&lt;&gt;"",D141&lt;&gt;"",F141&lt;&gt;"",G141&lt;&gt;"",H141&lt;&gt;"",ISERROR(SEARCH("по паспорту",G141)),ISERROR(SEARCH("по паспорту",H141)),I141&lt;&gt;"",J141&lt;&gt;"",K141&lt;&gt;"",L141&lt;&gt;"",M141&lt;&gt;""),"ГОТОВО","НЕ ГОТОВО"))</f>
        <v/>
      </c>
      <c r="Q141" s="205">
        <f>IF(P141&lt;&gt;"ГОТОВО","", "Предварительное заключение: "&amp;A141&amp;", скв. "&amp;B141&amp;". МРП: "&amp;E141&amp;" сут. ГНО: "&amp;F141&amp;", типоразмер "&amp;G141&amp;", марка "&amp;H141&amp;". Событие: "&amp;I141&amp;". Признак: "&amp;J141&amp;". Узел: "&amp;K141&amp;". Предварительная причина: "&amp;L141&amp;". Основное осложнение: "&amp;M141&amp;IF(N141&lt;&gt;"","; сопутствующее: "&amp;N141,"")&amp;IF(O141&lt;&gt;"","; дополнительно: "&amp;O141,"")&amp;".")</f>
        <v/>
      </c>
      <c r="R141" s="172">
        <f>IF('Оперативный ввод'!P141="","",'Оперативный ввод'!P141)</f>
        <v/>
      </c>
      <c r="S141" s="172">
        <f>IF('Оперативный ввод'!Q141="","",'Оперативный ввод'!Q141)</f>
        <v/>
      </c>
      <c r="T141" s="172">
        <f>IF('Оперативный ввод'!R141="","",'Оперативный ввод'!R141)</f>
        <v/>
      </c>
      <c r="U141" s="172">
        <f>IF('Оперативный ввод'!S141="","",'Оперативный ввод'!S141)</f>
        <v/>
      </c>
      <c r="V141" s="172">
        <f>IF('Оперативный ввод'!T141="","",'Оперативный ввод'!T141)</f>
        <v/>
      </c>
      <c r="W141" s="172" t="n"/>
      <c r="X141" s="172" t="n"/>
      <c r="Y141" s="172" t="n"/>
      <c r="Z141" s="172" t="n"/>
      <c r="AA141" s="172">
        <f>IF('Оперативный ввод'!U141="","",'Оперативный ввод'!U141)</f>
        <v/>
      </c>
      <c r="AB141" s="172">
        <f>IF('Оперативный ввод'!V141="","",'Оперативный ввод'!V141)</f>
        <v/>
      </c>
      <c r="AC141" s="172">
        <f>IF('Оперативный ввод'!W141="","",'Оперативный ввод'!W141)</f>
        <v/>
      </c>
      <c r="BB141" s="172" t="n"/>
      <c r="BC141" s="172" t="n"/>
      <c r="BD141" s="205">
        <f>IF(AND(A141="",B141=""),"",IF(AND(P141="ГОТОВО",R141&lt;&gt;"",T141&lt;&gt;"",U141&lt;&gt;"",AA141&lt;&gt;"",AB141&lt;&gt;"",AC141&lt;&gt;"",BB141&lt;&gt;"",BC141&lt;&gt;""),"ГОТОВО","НЕ ГОТОВО"))</f>
        <v/>
      </c>
      <c r="BE141" s="205">
        <f>IF(BD141&lt;&gt;"ГОТОВО","","Полное заключение: "&amp;A141&amp;", скв. "&amp;B141&amp;". МРП: "&amp;E141&amp;" сут. ГНО: "&amp;F141&amp;"; причина: "&amp;U141&amp;"; категория: "&amp;V141&amp;"; решение комиссии: "&amp;BB141&amp;".")</f>
        <v/>
      </c>
      <c r="BF141" s="173">
        <f>IF('Оперативный ввод'!X141="","",'Оперативный ввод'!X141)</f>
        <v/>
      </c>
    </row>
    <row r="142">
      <c r="A142" s="171">
        <f>IF('Оперативный ввод'!A142="","",'Оперативный ввод'!A142)</f>
        <v/>
      </c>
      <c r="B142" s="172">
        <f>IF('Оперативный ввод'!B142="","",'Оперативный ввод'!B142)</f>
        <v/>
      </c>
      <c r="C142" s="270">
        <f>IF('Оперативный ввод'!C142="","",'Оперативный ввод'!C142)</f>
        <v/>
      </c>
      <c r="D142" s="270">
        <f>IF('Оперативный ввод'!D142="","",'Оперативный ввод'!D142)</f>
        <v/>
      </c>
      <c r="E142" s="271">
        <f>IF(OR(C142="",D142=""),"",D142-C142)</f>
        <v/>
      </c>
      <c r="F142" s="172">
        <f>IF('Оперативный ввод'!F142="","",'Оперативный ввод'!F142)</f>
        <v/>
      </c>
      <c r="G142" s="172">
        <f>IF('Оперативный ввод'!G142="","",'Оперативный ввод'!G142)</f>
        <v/>
      </c>
      <c r="H142" s="172">
        <f>IF('Оперативный ввод'!H142="","",'Оперативный ввод'!H142)</f>
        <v/>
      </c>
      <c r="I142" s="172">
        <f>IF('Оперативный ввод'!I142="","",'Оперативный ввод'!I142)</f>
        <v/>
      </c>
      <c r="J142" s="172">
        <f>IF('Оперативный ввод'!J142="","",'Оперативный ввод'!J142)</f>
        <v/>
      </c>
      <c r="K142" s="172">
        <f>IF('Оперативный ввод'!K142="","",'Оперативный ввод'!K142)</f>
        <v/>
      </c>
      <c r="L142" s="172">
        <f>IF('Оперативный ввод'!L142="","",'Оперативный ввод'!L142)</f>
        <v/>
      </c>
      <c r="M142" s="172">
        <f>IF('Оперативный ввод'!M142="","",'Оперативный ввод'!M142)</f>
        <v/>
      </c>
      <c r="N142" s="172">
        <f>IF('Оперативный ввод'!N142="","",'Оперативный ввод'!N142)</f>
        <v/>
      </c>
      <c r="O142" s="172">
        <f>IF('Оперативный ввод'!O142="","",'Оперативный ввод'!O142)</f>
        <v/>
      </c>
      <c r="P142" s="205">
        <f>IF(AND(A142="",B142=""),"",IF(AND(A142&lt;&gt;"",B142&lt;&gt;"",C142&lt;&gt;"",D142&lt;&gt;"",F142&lt;&gt;"",G142&lt;&gt;"",H142&lt;&gt;"",ISERROR(SEARCH("по паспорту",G142)),ISERROR(SEARCH("по паспорту",H142)),I142&lt;&gt;"",J142&lt;&gt;"",K142&lt;&gt;"",L142&lt;&gt;"",M142&lt;&gt;""),"ГОТОВО","НЕ ГОТОВО"))</f>
        <v/>
      </c>
      <c r="Q142" s="205">
        <f>IF(P142&lt;&gt;"ГОТОВО","", "Предварительное заключение: "&amp;A142&amp;", скв. "&amp;B142&amp;". МРП: "&amp;E142&amp;" сут. ГНО: "&amp;F142&amp;", типоразмер "&amp;G142&amp;", марка "&amp;H142&amp;". Событие: "&amp;I142&amp;". Признак: "&amp;J142&amp;". Узел: "&amp;K142&amp;". Предварительная причина: "&amp;L142&amp;". Основное осложнение: "&amp;M142&amp;IF(N142&lt;&gt;"","; сопутствующее: "&amp;N142,"")&amp;IF(O142&lt;&gt;"","; дополнительно: "&amp;O142,"")&amp;".")</f>
        <v/>
      </c>
      <c r="R142" s="172">
        <f>IF('Оперативный ввод'!P142="","",'Оперативный ввод'!P142)</f>
        <v/>
      </c>
      <c r="S142" s="172">
        <f>IF('Оперативный ввод'!Q142="","",'Оперативный ввод'!Q142)</f>
        <v/>
      </c>
      <c r="T142" s="172">
        <f>IF('Оперативный ввод'!R142="","",'Оперативный ввод'!R142)</f>
        <v/>
      </c>
      <c r="U142" s="172">
        <f>IF('Оперативный ввод'!S142="","",'Оперативный ввод'!S142)</f>
        <v/>
      </c>
      <c r="V142" s="172">
        <f>IF('Оперативный ввод'!T142="","",'Оперативный ввод'!T142)</f>
        <v/>
      </c>
      <c r="W142" s="172" t="n"/>
      <c r="X142" s="172" t="n"/>
      <c r="Y142" s="172" t="n"/>
      <c r="Z142" s="172" t="n"/>
      <c r="AA142" s="172">
        <f>IF('Оперативный ввод'!U142="","",'Оперативный ввод'!U142)</f>
        <v/>
      </c>
      <c r="AB142" s="172">
        <f>IF('Оперативный ввод'!V142="","",'Оперативный ввод'!V142)</f>
        <v/>
      </c>
      <c r="AC142" s="172">
        <f>IF('Оперативный ввод'!W142="","",'Оперативный ввод'!W142)</f>
        <v/>
      </c>
      <c r="BB142" s="172" t="n"/>
      <c r="BC142" s="172" t="n"/>
      <c r="BD142" s="205">
        <f>IF(AND(A142="",B142=""),"",IF(AND(P142="ГОТОВО",R142&lt;&gt;"",T142&lt;&gt;"",U142&lt;&gt;"",AA142&lt;&gt;"",AB142&lt;&gt;"",AC142&lt;&gt;"",BB142&lt;&gt;"",BC142&lt;&gt;""),"ГОТОВО","НЕ ГОТОВО"))</f>
        <v/>
      </c>
      <c r="BE142" s="205">
        <f>IF(BD142&lt;&gt;"ГОТОВО","","Полное заключение: "&amp;A142&amp;", скв. "&amp;B142&amp;". МРП: "&amp;E142&amp;" сут. ГНО: "&amp;F142&amp;"; причина: "&amp;U142&amp;"; категория: "&amp;V142&amp;"; решение комиссии: "&amp;BB142&amp;".")</f>
        <v/>
      </c>
      <c r="BF142" s="173">
        <f>IF('Оперативный ввод'!X142="","",'Оперативный ввод'!X142)</f>
        <v/>
      </c>
    </row>
    <row r="143">
      <c r="A143" s="171">
        <f>IF('Оперативный ввод'!A143="","",'Оперативный ввод'!A143)</f>
        <v/>
      </c>
      <c r="B143" s="172">
        <f>IF('Оперативный ввод'!B143="","",'Оперативный ввод'!B143)</f>
        <v/>
      </c>
      <c r="C143" s="270">
        <f>IF('Оперативный ввод'!C143="","",'Оперативный ввод'!C143)</f>
        <v/>
      </c>
      <c r="D143" s="270">
        <f>IF('Оперативный ввод'!D143="","",'Оперативный ввод'!D143)</f>
        <v/>
      </c>
      <c r="E143" s="271">
        <f>IF(OR(C143="",D143=""),"",D143-C143)</f>
        <v/>
      </c>
      <c r="F143" s="172">
        <f>IF('Оперативный ввод'!F143="","",'Оперативный ввод'!F143)</f>
        <v/>
      </c>
      <c r="G143" s="172">
        <f>IF('Оперативный ввод'!G143="","",'Оперативный ввод'!G143)</f>
        <v/>
      </c>
      <c r="H143" s="172">
        <f>IF('Оперативный ввод'!H143="","",'Оперативный ввод'!H143)</f>
        <v/>
      </c>
      <c r="I143" s="172">
        <f>IF('Оперативный ввод'!I143="","",'Оперативный ввод'!I143)</f>
        <v/>
      </c>
      <c r="J143" s="172">
        <f>IF('Оперативный ввод'!J143="","",'Оперативный ввод'!J143)</f>
        <v/>
      </c>
      <c r="K143" s="172">
        <f>IF('Оперативный ввод'!K143="","",'Оперативный ввод'!K143)</f>
        <v/>
      </c>
      <c r="L143" s="172">
        <f>IF('Оперативный ввод'!L143="","",'Оперативный ввод'!L143)</f>
        <v/>
      </c>
      <c r="M143" s="172">
        <f>IF('Оперативный ввод'!M143="","",'Оперативный ввод'!M143)</f>
        <v/>
      </c>
      <c r="N143" s="172">
        <f>IF('Оперативный ввод'!N143="","",'Оперативный ввод'!N143)</f>
        <v/>
      </c>
      <c r="O143" s="172">
        <f>IF('Оперативный ввод'!O143="","",'Оперативный ввод'!O143)</f>
        <v/>
      </c>
      <c r="P143" s="205">
        <f>IF(AND(A143="",B143=""),"",IF(AND(A143&lt;&gt;"",B143&lt;&gt;"",C143&lt;&gt;"",D143&lt;&gt;"",F143&lt;&gt;"",G143&lt;&gt;"",H143&lt;&gt;"",ISERROR(SEARCH("по паспорту",G143)),ISERROR(SEARCH("по паспорту",H143)),I143&lt;&gt;"",J143&lt;&gt;"",K143&lt;&gt;"",L143&lt;&gt;"",M143&lt;&gt;""),"ГОТОВО","НЕ ГОТОВО"))</f>
        <v/>
      </c>
      <c r="Q143" s="205">
        <f>IF(P143&lt;&gt;"ГОТОВО","", "Предварительное заключение: "&amp;A143&amp;", скв. "&amp;B143&amp;". МРП: "&amp;E143&amp;" сут. ГНО: "&amp;F143&amp;", типоразмер "&amp;G143&amp;", марка "&amp;H143&amp;". Событие: "&amp;I143&amp;". Признак: "&amp;J143&amp;". Узел: "&amp;K143&amp;". Предварительная причина: "&amp;L143&amp;". Основное осложнение: "&amp;M143&amp;IF(N143&lt;&gt;"","; сопутствующее: "&amp;N143,"")&amp;IF(O143&lt;&gt;"","; дополнительно: "&amp;O143,"")&amp;".")</f>
        <v/>
      </c>
      <c r="R143" s="172">
        <f>IF('Оперативный ввод'!P143="","",'Оперативный ввод'!P143)</f>
        <v/>
      </c>
      <c r="S143" s="172">
        <f>IF('Оперативный ввод'!Q143="","",'Оперативный ввод'!Q143)</f>
        <v/>
      </c>
      <c r="T143" s="172">
        <f>IF('Оперативный ввод'!R143="","",'Оперативный ввод'!R143)</f>
        <v/>
      </c>
      <c r="U143" s="172">
        <f>IF('Оперативный ввод'!S143="","",'Оперативный ввод'!S143)</f>
        <v/>
      </c>
      <c r="V143" s="172">
        <f>IF('Оперативный ввод'!T143="","",'Оперативный ввод'!T143)</f>
        <v/>
      </c>
      <c r="W143" s="172" t="n"/>
      <c r="X143" s="172" t="n"/>
      <c r="Y143" s="172" t="n"/>
      <c r="Z143" s="172" t="n"/>
      <c r="AA143" s="172">
        <f>IF('Оперативный ввод'!U143="","",'Оперативный ввод'!U143)</f>
        <v/>
      </c>
      <c r="AB143" s="172">
        <f>IF('Оперативный ввод'!V143="","",'Оперативный ввод'!V143)</f>
        <v/>
      </c>
      <c r="AC143" s="172">
        <f>IF('Оперативный ввод'!W143="","",'Оперативный ввод'!W143)</f>
        <v/>
      </c>
      <c r="BB143" s="172" t="n"/>
      <c r="BC143" s="172" t="n"/>
      <c r="BD143" s="205">
        <f>IF(AND(A143="",B143=""),"",IF(AND(P143="ГОТОВО",R143&lt;&gt;"",T143&lt;&gt;"",U143&lt;&gt;"",AA143&lt;&gt;"",AB143&lt;&gt;"",AC143&lt;&gt;"",BB143&lt;&gt;"",BC143&lt;&gt;""),"ГОТОВО","НЕ ГОТОВО"))</f>
        <v/>
      </c>
      <c r="BE143" s="205">
        <f>IF(BD143&lt;&gt;"ГОТОВО","","Полное заключение: "&amp;A143&amp;", скв. "&amp;B143&amp;". МРП: "&amp;E143&amp;" сут. ГНО: "&amp;F143&amp;"; причина: "&amp;U143&amp;"; категория: "&amp;V143&amp;"; решение комиссии: "&amp;BB143&amp;".")</f>
        <v/>
      </c>
      <c r="BF143" s="173">
        <f>IF('Оперативный ввод'!X143="","",'Оперативный ввод'!X143)</f>
        <v/>
      </c>
    </row>
    <row r="144">
      <c r="A144" s="171">
        <f>IF('Оперативный ввод'!A144="","",'Оперативный ввод'!A144)</f>
        <v/>
      </c>
      <c r="B144" s="172">
        <f>IF('Оперативный ввод'!B144="","",'Оперативный ввод'!B144)</f>
        <v/>
      </c>
      <c r="C144" s="270">
        <f>IF('Оперативный ввод'!C144="","",'Оперативный ввод'!C144)</f>
        <v/>
      </c>
      <c r="D144" s="270">
        <f>IF('Оперативный ввод'!D144="","",'Оперативный ввод'!D144)</f>
        <v/>
      </c>
      <c r="E144" s="271">
        <f>IF(OR(C144="",D144=""),"",D144-C144)</f>
        <v/>
      </c>
      <c r="F144" s="172">
        <f>IF('Оперативный ввод'!F144="","",'Оперативный ввод'!F144)</f>
        <v/>
      </c>
      <c r="G144" s="172">
        <f>IF('Оперативный ввод'!G144="","",'Оперативный ввод'!G144)</f>
        <v/>
      </c>
      <c r="H144" s="172">
        <f>IF('Оперативный ввод'!H144="","",'Оперативный ввод'!H144)</f>
        <v/>
      </c>
      <c r="I144" s="172">
        <f>IF('Оперативный ввод'!I144="","",'Оперативный ввод'!I144)</f>
        <v/>
      </c>
      <c r="J144" s="172">
        <f>IF('Оперативный ввод'!J144="","",'Оперативный ввод'!J144)</f>
        <v/>
      </c>
      <c r="K144" s="172">
        <f>IF('Оперативный ввод'!K144="","",'Оперативный ввод'!K144)</f>
        <v/>
      </c>
      <c r="L144" s="172">
        <f>IF('Оперативный ввод'!L144="","",'Оперативный ввод'!L144)</f>
        <v/>
      </c>
      <c r="M144" s="172">
        <f>IF('Оперативный ввод'!M144="","",'Оперативный ввод'!M144)</f>
        <v/>
      </c>
      <c r="N144" s="172">
        <f>IF('Оперативный ввод'!N144="","",'Оперативный ввод'!N144)</f>
        <v/>
      </c>
      <c r="O144" s="172">
        <f>IF('Оперативный ввод'!O144="","",'Оперативный ввод'!O144)</f>
        <v/>
      </c>
      <c r="P144" s="205">
        <f>IF(AND(A144="",B144=""),"",IF(AND(A144&lt;&gt;"",B144&lt;&gt;"",C144&lt;&gt;"",D144&lt;&gt;"",F144&lt;&gt;"",G144&lt;&gt;"",H144&lt;&gt;"",ISERROR(SEARCH("по паспорту",G144)),ISERROR(SEARCH("по паспорту",H144)),I144&lt;&gt;"",J144&lt;&gt;"",K144&lt;&gt;"",L144&lt;&gt;"",M144&lt;&gt;""),"ГОТОВО","НЕ ГОТОВО"))</f>
        <v/>
      </c>
      <c r="Q144" s="205">
        <f>IF(P144&lt;&gt;"ГОТОВО","", "Предварительное заключение: "&amp;A144&amp;", скв. "&amp;B144&amp;". МРП: "&amp;E144&amp;" сут. ГНО: "&amp;F144&amp;", типоразмер "&amp;G144&amp;", марка "&amp;H144&amp;". Событие: "&amp;I144&amp;". Признак: "&amp;J144&amp;". Узел: "&amp;K144&amp;". Предварительная причина: "&amp;L144&amp;". Основное осложнение: "&amp;M144&amp;IF(N144&lt;&gt;"","; сопутствующее: "&amp;N144,"")&amp;IF(O144&lt;&gt;"","; дополнительно: "&amp;O144,"")&amp;".")</f>
        <v/>
      </c>
      <c r="R144" s="172">
        <f>IF('Оперативный ввод'!P144="","",'Оперативный ввод'!P144)</f>
        <v/>
      </c>
      <c r="S144" s="172">
        <f>IF('Оперативный ввод'!Q144="","",'Оперативный ввод'!Q144)</f>
        <v/>
      </c>
      <c r="T144" s="172">
        <f>IF('Оперативный ввод'!R144="","",'Оперативный ввод'!R144)</f>
        <v/>
      </c>
      <c r="U144" s="172">
        <f>IF('Оперативный ввод'!S144="","",'Оперативный ввод'!S144)</f>
        <v/>
      </c>
      <c r="V144" s="172">
        <f>IF('Оперативный ввод'!T144="","",'Оперативный ввод'!T144)</f>
        <v/>
      </c>
      <c r="W144" s="172" t="n"/>
      <c r="X144" s="172" t="n"/>
      <c r="Y144" s="172" t="n"/>
      <c r="Z144" s="172" t="n"/>
      <c r="AA144" s="172">
        <f>IF('Оперативный ввод'!U144="","",'Оперативный ввод'!U144)</f>
        <v/>
      </c>
      <c r="AB144" s="172">
        <f>IF('Оперативный ввод'!V144="","",'Оперативный ввод'!V144)</f>
        <v/>
      </c>
      <c r="AC144" s="172">
        <f>IF('Оперативный ввод'!W144="","",'Оперативный ввод'!W144)</f>
        <v/>
      </c>
      <c r="BB144" s="172" t="n"/>
      <c r="BC144" s="172" t="n"/>
      <c r="BD144" s="205">
        <f>IF(AND(A144="",B144=""),"",IF(AND(P144="ГОТОВО",R144&lt;&gt;"",T144&lt;&gt;"",U144&lt;&gt;"",AA144&lt;&gt;"",AB144&lt;&gt;"",AC144&lt;&gt;"",BB144&lt;&gt;"",BC144&lt;&gt;""),"ГОТОВО","НЕ ГОТОВО"))</f>
        <v/>
      </c>
      <c r="BE144" s="205">
        <f>IF(BD144&lt;&gt;"ГОТОВО","","Полное заключение: "&amp;A144&amp;", скв. "&amp;B144&amp;". МРП: "&amp;E144&amp;" сут. ГНО: "&amp;F144&amp;"; причина: "&amp;U144&amp;"; категория: "&amp;V144&amp;"; решение комиссии: "&amp;BB144&amp;".")</f>
        <v/>
      </c>
      <c r="BF144" s="173">
        <f>IF('Оперативный ввод'!X144="","",'Оперативный ввод'!X144)</f>
        <v/>
      </c>
    </row>
    <row r="145">
      <c r="A145" s="171">
        <f>IF('Оперативный ввод'!A145="","",'Оперативный ввод'!A145)</f>
        <v/>
      </c>
      <c r="B145" s="172">
        <f>IF('Оперативный ввод'!B145="","",'Оперативный ввод'!B145)</f>
        <v/>
      </c>
      <c r="C145" s="270">
        <f>IF('Оперативный ввод'!C145="","",'Оперативный ввод'!C145)</f>
        <v/>
      </c>
      <c r="D145" s="270">
        <f>IF('Оперативный ввод'!D145="","",'Оперативный ввод'!D145)</f>
        <v/>
      </c>
      <c r="E145" s="271">
        <f>IF(OR(C145="",D145=""),"",D145-C145)</f>
        <v/>
      </c>
      <c r="F145" s="172">
        <f>IF('Оперативный ввод'!F145="","",'Оперативный ввод'!F145)</f>
        <v/>
      </c>
      <c r="G145" s="172">
        <f>IF('Оперативный ввод'!G145="","",'Оперативный ввод'!G145)</f>
        <v/>
      </c>
      <c r="H145" s="172">
        <f>IF('Оперативный ввод'!H145="","",'Оперативный ввод'!H145)</f>
        <v/>
      </c>
      <c r="I145" s="172">
        <f>IF('Оперативный ввод'!I145="","",'Оперативный ввод'!I145)</f>
        <v/>
      </c>
      <c r="J145" s="172">
        <f>IF('Оперативный ввод'!J145="","",'Оперативный ввод'!J145)</f>
        <v/>
      </c>
      <c r="K145" s="172">
        <f>IF('Оперативный ввод'!K145="","",'Оперативный ввод'!K145)</f>
        <v/>
      </c>
      <c r="L145" s="172">
        <f>IF('Оперативный ввод'!L145="","",'Оперативный ввод'!L145)</f>
        <v/>
      </c>
      <c r="M145" s="172">
        <f>IF('Оперативный ввод'!M145="","",'Оперативный ввод'!M145)</f>
        <v/>
      </c>
      <c r="N145" s="172">
        <f>IF('Оперативный ввод'!N145="","",'Оперативный ввод'!N145)</f>
        <v/>
      </c>
      <c r="O145" s="172">
        <f>IF('Оперативный ввод'!O145="","",'Оперативный ввод'!O145)</f>
        <v/>
      </c>
      <c r="P145" s="205">
        <f>IF(AND(A145="",B145=""),"",IF(AND(A145&lt;&gt;"",B145&lt;&gt;"",C145&lt;&gt;"",D145&lt;&gt;"",F145&lt;&gt;"",G145&lt;&gt;"",H145&lt;&gt;"",ISERROR(SEARCH("по паспорту",G145)),ISERROR(SEARCH("по паспорту",H145)),I145&lt;&gt;"",J145&lt;&gt;"",K145&lt;&gt;"",L145&lt;&gt;"",M145&lt;&gt;""),"ГОТОВО","НЕ ГОТОВО"))</f>
        <v/>
      </c>
      <c r="Q145" s="205">
        <f>IF(P145&lt;&gt;"ГОТОВО","", "Предварительное заключение: "&amp;A145&amp;", скв. "&amp;B145&amp;". МРП: "&amp;E145&amp;" сут. ГНО: "&amp;F145&amp;", типоразмер "&amp;G145&amp;", марка "&amp;H145&amp;". Событие: "&amp;I145&amp;". Признак: "&amp;J145&amp;". Узел: "&amp;K145&amp;". Предварительная причина: "&amp;L145&amp;". Основное осложнение: "&amp;M145&amp;IF(N145&lt;&gt;"","; сопутствующее: "&amp;N145,"")&amp;IF(O145&lt;&gt;"","; дополнительно: "&amp;O145,"")&amp;".")</f>
        <v/>
      </c>
      <c r="R145" s="172">
        <f>IF('Оперативный ввод'!P145="","",'Оперативный ввод'!P145)</f>
        <v/>
      </c>
      <c r="S145" s="172">
        <f>IF('Оперативный ввод'!Q145="","",'Оперативный ввод'!Q145)</f>
        <v/>
      </c>
      <c r="T145" s="172">
        <f>IF('Оперативный ввод'!R145="","",'Оперативный ввод'!R145)</f>
        <v/>
      </c>
      <c r="U145" s="172">
        <f>IF('Оперативный ввод'!S145="","",'Оперативный ввод'!S145)</f>
        <v/>
      </c>
      <c r="V145" s="172">
        <f>IF('Оперативный ввод'!T145="","",'Оперативный ввод'!T145)</f>
        <v/>
      </c>
      <c r="W145" s="172" t="n"/>
      <c r="X145" s="172" t="n"/>
      <c r="Y145" s="172" t="n"/>
      <c r="Z145" s="172" t="n"/>
      <c r="AA145" s="172">
        <f>IF('Оперативный ввод'!U145="","",'Оперативный ввод'!U145)</f>
        <v/>
      </c>
      <c r="AB145" s="172">
        <f>IF('Оперативный ввод'!V145="","",'Оперативный ввод'!V145)</f>
        <v/>
      </c>
      <c r="AC145" s="172">
        <f>IF('Оперативный ввод'!W145="","",'Оперативный ввод'!W145)</f>
        <v/>
      </c>
      <c r="BB145" s="172" t="n"/>
      <c r="BC145" s="172" t="n"/>
      <c r="BD145" s="205">
        <f>IF(AND(A145="",B145=""),"",IF(AND(P145="ГОТОВО",R145&lt;&gt;"",T145&lt;&gt;"",U145&lt;&gt;"",AA145&lt;&gt;"",AB145&lt;&gt;"",AC145&lt;&gt;"",BB145&lt;&gt;"",BC145&lt;&gt;""),"ГОТОВО","НЕ ГОТОВО"))</f>
        <v/>
      </c>
      <c r="BE145" s="205">
        <f>IF(BD145&lt;&gt;"ГОТОВО","","Полное заключение: "&amp;A145&amp;", скв. "&amp;B145&amp;". МРП: "&amp;E145&amp;" сут. ГНО: "&amp;F145&amp;"; причина: "&amp;U145&amp;"; категория: "&amp;V145&amp;"; решение комиссии: "&amp;BB145&amp;".")</f>
        <v/>
      </c>
      <c r="BF145" s="173">
        <f>IF('Оперативный ввод'!X145="","",'Оперативный ввод'!X145)</f>
        <v/>
      </c>
    </row>
    <row r="146">
      <c r="A146" s="171">
        <f>IF('Оперативный ввод'!A146="","",'Оперативный ввод'!A146)</f>
        <v/>
      </c>
      <c r="B146" s="172">
        <f>IF('Оперативный ввод'!B146="","",'Оперативный ввод'!B146)</f>
        <v/>
      </c>
      <c r="C146" s="270">
        <f>IF('Оперативный ввод'!C146="","",'Оперативный ввод'!C146)</f>
        <v/>
      </c>
      <c r="D146" s="270">
        <f>IF('Оперативный ввод'!D146="","",'Оперативный ввод'!D146)</f>
        <v/>
      </c>
      <c r="E146" s="271">
        <f>IF(OR(C146="",D146=""),"",D146-C146)</f>
        <v/>
      </c>
      <c r="F146" s="172">
        <f>IF('Оперативный ввод'!F146="","",'Оперативный ввод'!F146)</f>
        <v/>
      </c>
      <c r="G146" s="172">
        <f>IF('Оперативный ввод'!G146="","",'Оперативный ввод'!G146)</f>
        <v/>
      </c>
      <c r="H146" s="172">
        <f>IF('Оперативный ввод'!H146="","",'Оперативный ввод'!H146)</f>
        <v/>
      </c>
      <c r="I146" s="172">
        <f>IF('Оперативный ввод'!I146="","",'Оперативный ввод'!I146)</f>
        <v/>
      </c>
      <c r="J146" s="172">
        <f>IF('Оперативный ввод'!J146="","",'Оперативный ввод'!J146)</f>
        <v/>
      </c>
      <c r="K146" s="172">
        <f>IF('Оперативный ввод'!K146="","",'Оперативный ввод'!K146)</f>
        <v/>
      </c>
      <c r="L146" s="172">
        <f>IF('Оперативный ввод'!L146="","",'Оперативный ввод'!L146)</f>
        <v/>
      </c>
      <c r="M146" s="172">
        <f>IF('Оперативный ввод'!M146="","",'Оперативный ввод'!M146)</f>
        <v/>
      </c>
      <c r="N146" s="172">
        <f>IF('Оперативный ввод'!N146="","",'Оперативный ввод'!N146)</f>
        <v/>
      </c>
      <c r="O146" s="172">
        <f>IF('Оперативный ввод'!O146="","",'Оперативный ввод'!O146)</f>
        <v/>
      </c>
      <c r="P146" s="205">
        <f>IF(AND(A146="",B146=""),"",IF(AND(A146&lt;&gt;"",B146&lt;&gt;"",C146&lt;&gt;"",D146&lt;&gt;"",F146&lt;&gt;"",G146&lt;&gt;"",H146&lt;&gt;"",ISERROR(SEARCH("по паспорту",G146)),ISERROR(SEARCH("по паспорту",H146)),I146&lt;&gt;"",J146&lt;&gt;"",K146&lt;&gt;"",L146&lt;&gt;"",M146&lt;&gt;""),"ГОТОВО","НЕ ГОТОВО"))</f>
        <v/>
      </c>
      <c r="Q146" s="205">
        <f>IF(P146&lt;&gt;"ГОТОВО","", "Предварительное заключение: "&amp;A146&amp;", скв. "&amp;B146&amp;". МРП: "&amp;E146&amp;" сут. ГНО: "&amp;F146&amp;", типоразмер "&amp;G146&amp;", марка "&amp;H146&amp;". Событие: "&amp;I146&amp;". Признак: "&amp;J146&amp;". Узел: "&amp;K146&amp;". Предварительная причина: "&amp;L146&amp;". Основное осложнение: "&amp;M146&amp;IF(N146&lt;&gt;"","; сопутствующее: "&amp;N146,"")&amp;IF(O146&lt;&gt;"","; дополнительно: "&amp;O146,"")&amp;".")</f>
        <v/>
      </c>
      <c r="R146" s="172">
        <f>IF('Оперативный ввод'!P146="","",'Оперативный ввод'!P146)</f>
        <v/>
      </c>
      <c r="S146" s="172">
        <f>IF('Оперативный ввод'!Q146="","",'Оперативный ввод'!Q146)</f>
        <v/>
      </c>
      <c r="T146" s="172">
        <f>IF('Оперативный ввод'!R146="","",'Оперативный ввод'!R146)</f>
        <v/>
      </c>
      <c r="U146" s="172">
        <f>IF('Оперативный ввод'!S146="","",'Оперативный ввод'!S146)</f>
        <v/>
      </c>
      <c r="V146" s="172">
        <f>IF('Оперативный ввод'!T146="","",'Оперативный ввод'!T146)</f>
        <v/>
      </c>
      <c r="W146" s="172" t="n"/>
      <c r="X146" s="172" t="n"/>
      <c r="Y146" s="172" t="n"/>
      <c r="Z146" s="172" t="n"/>
      <c r="AA146" s="172">
        <f>IF('Оперативный ввод'!U146="","",'Оперативный ввод'!U146)</f>
        <v/>
      </c>
      <c r="AB146" s="172">
        <f>IF('Оперативный ввод'!V146="","",'Оперативный ввод'!V146)</f>
        <v/>
      </c>
      <c r="AC146" s="172">
        <f>IF('Оперативный ввод'!W146="","",'Оперативный ввод'!W146)</f>
        <v/>
      </c>
      <c r="BB146" s="172" t="n"/>
      <c r="BC146" s="172" t="n"/>
      <c r="BD146" s="205">
        <f>IF(AND(A146="",B146=""),"",IF(AND(P146="ГОТОВО",R146&lt;&gt;"",T146&lt;&gt;"",U146&lt;&gt;"",AA146&lt;&gt;"",AB146&lt;&gt;"",AC146&lt;&gt;"",BB146&lt;&gt;"",BC146&lt;&gt;""),"ГОТОВО","НЕ ГОТОВО"))</f>
        <v/>
      </c>
      <c r="BE146" s="205">
        <f>IF(BD146&lt;&gt;"ГОТОВО","","Полное заключение: "&amp;A146&amp;", скв. "&amp;B146&amp;". МРП: "&amp;E146&amp;" сут. ГНО: "&amp;F146&amp;"; причина: "&amp;U146&amp;"; категория: "&amp;V146&amp;"; решение комиссии: "&amp;BB146&amp;".")</f>
        <v/>
      </c>
      <c r="BF146" s="173">
        <f>IF('Оперативный ввод'!X146="","",'Оперативный ввод'!X146)</f>
        <v/>
      </c>
    </row>
    <row r="147">
      <c r="A147" s="171">
        <f>IF('Оперативный ввод'!A147="","",'Оперативный ввод'!A147)</f>
        <v/>
      </c>
      <c r="B147" s="172">
        <f>IF('Оперативный ввод'!B147="","",'Оперативный ввод'!B147)</f>
        <v/>
      </c>
      <c r="C147" s="270">
        <f>IF('Оперативный ввод'!C147="","",'Оперативный ввод'!C147)</f>
        <v/>
      </c>
      <c r="D147" s="270">
        <f>IF('Оперативный ввод'!D147="","",'Оперативный ввод'!D147)</f>
        <v/>
      </c>
      <c r="E147" s="271">
        <f>IF(OR(C147="",D147=""),"",D147-C147)</f>
        <v/>
      </c>
      <c r="F147" s="172">
        <f>IF('Оперативный ввод'!F147="","",'Оперативный ввод'!F147)</f>
        <v/>
      </c>
      <c r="G147" s="172">
        <f>IF('Оперативный ввод'!G147="","",'Оперативный ввод'!G147)</f>
        <v/>
      </c>
      <c r="H147" s="172">
        <f>IF('Оперативный ввод'!H147="","",'Оперативный ввод'!H147)</f>
        <v/>
      </c>
      <c r="I147" s="172">
        <f>IF('Оперативный ввод'!I147="","",'Оперативный ввод'!I147)</f>
        <v/>
      </c>
      <c r="J147" s="172">
        <f>IF('Оперативный ввод'!J147="","",'Оперативный ввод'!J147)</f>
        <v/>
      </c>
      <c r="K147" s="172">
        <f>IF('Оперативный ввод'!K147="","",'Оперативный ввод'!K147)</f>
        <v/>
      </c>
      <c r="L147" s="172">
        <f>IF('Оперативный ввод'!L147="","",'Оперативный ввод'!L147)</f>
        <v/>
      </c>
      <c r="M147" s="172">
        <f>IF('Оперативный ввод'!M147="","",'Оперативный ввод'!M147)</f>
        <v/>
      </c>
      <c r="N147" s="172">
        <f>IF('Оперативный ввод'!N147="","",'Оперативный ввод'!N147)</f>
        <v/>
      </c>
      <c r="O147" s="172">
        <f>IF('Оперативный ввод'!O147="","",'Оперативный ввод'!O147)</f>
        <v/>
      </c>
      <c r="P147" s="205">
        <f>IF(AND(A147="",B147=""),"",IF(AND(A147&lt;&gt;"",B147&lt;&gt;"",C147&lt;&gt;"",D147&lt;&gt;"",F147&lt;&gt;"",G147&lt;&gt;"",H147&lt;&gt;"",ISERROR(SEARCH("по паспорту",G147)),ISERROR(SEARCH("по паспорту",H147)),I147&lt;&gt;"",J147&lt;&gt;"",K147&lt;&gt;"",L147&lt;&gt;"",M147&lt;&gt;""),"ГОТОВО","НЕ ГОТОВО"))</f>
        <v/>
      </c>
      <c r="Q147" s="205">
        <f>IF(P147&lt;&gt;"ГОТОВО","", "Предварительное заключение: "&amp;A147&amp;", скв. "&amp;B147&amp;". МРП: "&amp;E147&amp;" сут. ГНО: "&amp;F147&amp;", типоразмер "&amp;G147&amp;", марка "&amp;H147&amp;". Событие: "&amp;I147&amp;". Признак: "&amp;J147&amp;". Узел: "&amp;K147&amp;". Предварительная причина: "&amp;L147&amp;". Основное осложнение: "&amp;M147&amp;IF(N147&lt;&gt;"","; сопутствующее: "&amp;N147,"")&amp;IF(O147&lt;&gt;"","; дополнительно: "&amp;O147,"")&amp;".")</f>
        <v/>
      </c>
      <c r="R147" s="172">
        <f>IF('Оперативный ввод'!P147="","",'Оперативный ввод'!P147)</f>
        <v/>
      </c>
      <c r="S147" s="172">
        <f>IF('Оперативный ввод'!Q147="","",'Оперативный ввод'!Q147)</f>
        <v/>
      </c>
      <c r="T147" s="172">
        <f>IF('Оперативный ввод'!R147="","",'Оперативный ввод'!R147)</f>
        <v/>
      </c>
      <c r="U147" s="172">
        <f>IF('Оперативный ввод'!S147="","",'Оперативный ввод'!S147)</f>
        <v/>
      </c>
      <c r="V147" s="172">
        <f>IF('Оперативный ввод'!T147="","",'Оперативный ввод'!T147)</f>
        <v/>
      </c>
      <c r="W147" s="172" t="n"/>
      <c r="X147" s="172" t="n"/>
      <c r="Y147" s="172" t="n"/>
      <c r="Z147" s="172" t="n"/>
      <c r="AA147" s="172">
        <f>IF('Оперативный ввод'!U147="","",'Оперативный ввод'!U147)</f>
        <v/>
      </c>
      <c r="AB147" s="172">
        <f>IF('Оперативный ввод'!V147="","",'Оперативный ввод'!V147)</f>
        <v/>
      </c>
      <c r="AC147" s="172">
        <f>IF('Оперативный ввод'!W147="","",'Оперативный ввод'!W147)</f>
        <v/>
      </c>
      <c r="BB147" s="172" t="n"/>
      <c r="BC147" s="172" t="n"/>
      <c r="BD147" s="205">
        <f>IF(AND(A147="",B147=""),"",IF(AND(P147="ГОТОВО",R147&lt;&gt;"",T147&lt;&gt;"",U147&lt;&gt;"",AA147&lt;&gt;"",AB147&lt;&gt;"",AC147&lt;&gt;"",BB147&lt;&gt;"",BC147&lt;&gt;""),"ГОТОВО","НЕ ГОТОВО"))</f>
        <v/>
      </c>
      <c r="BE147" s="205">
        <f>IF(BD147&lt;&gt;"ГОТОВО","","Полное заключение: "&amp;A147&amp;", скв. "&amp;B147&amp;". МРП: "&amp;E147&amp;" сут. ГНО: "&amp;F147&amp;"; причина: "&amp;U147&amp;"; категория: "&amp;V147&amp;"; решение комиссии: "&amp;BB147&amp;".")</f>
        <v/>
      </c>
      <c r="BF147" s="173">
        <f>IF('Оперативный ввод'!X147="","",'Оперативный ввод'!X147)</f>
        <v/>
      </c>
    </row>
    <row r="148">
      <c r="A148" s="171">
        <f>IF('Оперативный ввод'!A148="","",'Оперативный ввод'!A148)</f>
        <v/>
      </c>
      <c r="B148" s="172">
        <f>IF('Оперативный ввод'!B148="","",'Оперативный ввод'!B148)</f>
        <v/>
      </c>
      <c r="C148" s="270">
        <f>IF('Оперативный ввод'!C148="","",'Оперативный ввод'!C148)</f>
        <v/>
      </c>
      <c r="D148" s="270">
        <f>IF('Оперативный ввод'!D148="","",'Оперативный ввод'!D148)</f>
        <v/>
      </c>
      <c r="E148" s="271">
        <f>IF(OR(C148="",D148=""),"",D148-C148)</f>
        <v/>
      </c>
      <c r="F148" s="172">
        <f>IF('Оперативный ввод'!F148="","",'Оперативный ввод'!F148)</f>
        <v/>
      </c>
      <c r="G148" s="172">
        <f>IF('Оперативный ввод'!G148="","",'Оперативный ввод'!G148)</f>
        <v/>
      </c>
      <c r="H148" s="172">
        <f>IF('Оперативный ввод'!H148="","",'Оперативный ввод'!H148)</f>
        <v/>
      </c>
      <c r="I148" s="172">
        <f>IF('Оперативный ввод'!I148="","",'Оперативный ввод'!I148)</f>
        <v/>
      </c>
      <c r="J148" s="172">
        <f>IF('Оперативный ввод'!J148="","",'Оперативный ввод'!J148)</f>
        <v/>
      </c>
      <c r="K148" s="172">
        <f>IF('Оперативный ввод'!K148="","",'Оперативный ввод'!K148)</f>
        <v/>
      </c>
      <c r="L148" s="172">
        <f>IF('Оперативный ввод'!L148="","",'Оперативный ввод'!L148)</f>
        <v/>
      </c>
      <c r="M148" s="172">
        <f>IF('Оперативный ввод'!M148="","",'Оперативный ввод'!M148)</f>
        <v/>
      </c>
      <c r="N148" s="172">
        <f>IF('Оперативный ввод'!N148="","",'Оперативный ввод'!N148)</f>
        <v/>
      </c>
      <c r="O148" s="172">
        <f>IF('Оперативный ввод'!O148="","",'Оперативный ввод'!O148)</f>
        <v/>
      </c>
      <c r="P148" s="205">
        <f>IF(AND(A148="",B148=""),"",IF(AND(A148&lt;&gt;"",B148&lt;&gt;"",C148&lt;&gt;"",D148&lt;&gt;"",F148&lt;&gt;"",G148&lt;&gt;"",H148&lt;&gt;"",ISERROR(SEARCH("по паспорту",G148)),ISERROR(SEARCH("по паспорту",H148)),I148&lt;&gt;"",J148&lt;&gt;"",K148&lt;&gt;"",L148&lt;&gt;"",M148&lt;&gt;""),"ГОТОВО","НЕ ГОТОВО"))</f>
        <v/>
      </c>
      <c r="Q148" s="205">
        <f>IF(P148&lt;&gt;"ГОТОВО","", "Предварительное заключение: "&amp;A148&amp;", скв. "&amp;B148&amp;". МРП: "&amp;E148&amp;" сут. ГНО: "&amp;F148&amp;", типоразмер "&amp;G148&amp;", марка "&amp;H148&amp;". Событие: "&amp;I148&amp;". Признак: "&amp;J148&amp;". Узел: "&amp;K148&amp;". Предварительная причина: "&amp;L148&amp;". Основное осложнение: "&amp;M148&amp;IF(N148&lt;&gt;"","; сопутствующее: "&amp;N148,"")&amp;IF(O148&lt;&gt;"","; дополнительно: "&amp;O148,"")&amp;".")</f>
        <v/>
      </c>
      <c r="R148" s="172">
        <f>IF('Оперативный ввод'!P148="","",'Оперативный ввод'!P148)</f>
        <v/>
      </c>
      <c r="S148" s="172">
        <f>IF('Оперативный ввод'!Q148="","",'Оперативный ввод'!Q148)</f>
        <v/>
      </c>
      <c r="T148" s="172">
        <f>IF('Оперативный ввод'!R148="","",'Оперативный ввод'!R148)</f>
        <v/>
      </c>
      <c r="U148" s="172">
        <f>IF('Оперативный ввод'!S148="","",'Оперативный ввод'!S148)</f>
        <v/>
      </c>
      <c r="V148" s="172">
        <f>IF('Оперативный ввод'!T148="","",'Оперативный ввод'!T148)</f>
        <v/>
      </c>
      <c r="W148" s="172" t="n"/>
      <c r="X148" s="172" t="n"/>
      <c r="Y148" s="172" t="n"/>
      <c r="Z148" s="172" t="n"/>
      <c r="AA148" s="172">
        <f>IF('Оперативный ввод'!U148="","",'Оперативный ввод'!U148)</f>
        <v/>
      </c>
      <c r="AB148" s="172">
        <f>IF('Оперативный ввод'!V148="","",'Оперативный ввод'!V148)</f>
        <v/>
      </c>
      <c r="AC148" s="172">
        <f>IF('Оперативный ввод'!W148="","",'Оперативный ввод'!W148)</f>
        <v/>
      </c>
      <c r="BB148" s="172" t="n"/>
      <c r="BC148" s="172" t="n"/>
      <c r="BD148" s="205">
        <f>IF(AND(A148="",B148=""),"",IF(AND(P148="ГОТОВО",R148&lt;&gt;"",T148&lt;&gt;"",U148&lt;&gt;"",AA148&lt;&gt;"",AB148&lt;&gt;"",AC148&lt;&gt;"",BB148&lt;&gt;"",BC148&lt;&gt;""),"ГОТОВО","НЕ ГОТОВО"))</f>
        <v/>
      </c>
      <c r="BE148" s="205">
        <f>IF(BD148&lt;&gt;"ГОТОВО","","Полное заключение: "&amp;A148&amp;", скв. "&amp;B148&amp;". МРП: "&amp;E148&amp;" сут. ГНО: "&amp;F148&amp;"; причина: "&amp;U148&amp;"; категория: "&amp;V148&amp;"; решение комиссии: "&amp;BB148&amp;".")</f>
        <v/>
      </c>
      <c r="BF148" s="173">
        <f>IF('Оперативный ввод'!X148="","",'Оперативный ввод'!X148)</f>
        <v/>
      </c>
    </row>
    <row r="149">
      <c r="A149" s="171">
        <f>IF('Оперативный ввод'!A149="","",'Оперативный ввод'!A149)</f>
        <v/>
      </c>
      <c r="B149" s="172">
        <f>IF('Оперативный ввод'!B149="","",'Оперативный ввод'!B149)</f>
        <v/>
      </c>
      <c r="C149" s="270">
        <f>IF('Оперативный ввод'!C149="","",'Оперативный ввод'!C149)</f>
        <v/>
      </c>
      <c r="D149" s="270">
        <f>IF('Оперативный ввод'!D149="","",'Оперативный ввод'!D149)</f>
        <v/>
      </c>
      <c r="E149" s="271">
        <f>IF(OR(C149="",D149=""),"",D149-C149)</f>
        <v/>
      </c>
      <c r="F149" s="172">
        <f>IF('Оперативный ввод'!F149="","",'Оперативный ввод'!F149)</f>
        <v/>
      </c>
      <c r="G149" s="172">
        <f>IF('Оперативный ввод'!G149="","",'Оперативный ввод'!G149)</f>
        <v/>
      </c>
      <c r="H149" s="172">
        <f>IF('Оперативный ввод'!H149="","",'Оперативный ввод'!H149)</f>
        <v/>
      </c>
      <c r="I149" s="172">
        <f>IF('Оперативный ввод'!I149="","",'Оперативный ввод'!I149)</f>
        <v/>
      </c>
      <c r="J149" s="172">
        <f>IF('Оперативный ввод'!J149="","",'Оперативный ввод'!J149)</f>
        <v/>
      </c>
      <c r="K149" s="172">
        <f>IF('Оперативный ввод'!K149="","",'Оперативный ввод'!K149)</f>
        <v/>
      </c>
      <c r="L149" s="172">
        <f>IF('Оперативный ввод'!L149="","",'Оперативный ввод'!L149)</f>
        <v/>
      </c>
      <c r="M149" s="172">
        <f>IF('Оперативный ввод'!M149="","",'Оперативный ввод'!M149)</f>
        <v/>
      </c>
      <c r="N149" s="172">
        <f>IF('Оперативный ввод'!N149="","",'Оперативный ввод'!N149)</f>
        <v/>
      </c>
      <c r="O149" s="172">
        <f>IF('Оперативный ввод'!O149="","",'Оперативный ввод'!O149)</f>
        <v/>
      </c>
      <c r="P149" s="205">
        <f>IF(AND(A149="",B149=""),"",IF(AND(A149&lt;&gt;"",B149&lt;&gt;"",C149&lt;&gt;"",D149&lt;&gt;"",F149&lt;&gt;"",G149&lt;&gt;"",H149&lt;&gt;"",ISERROR(SEARCH("по паспорту",G149)),ISERROR(SEARCH("по паспорту",H149)),I149&lt;&gt;"",J149&lt;&gt;"",K149&lt;&gt;"",L149&lt;&gt;"",M149&lt;&gt;""),"ГОТОВО","НЕ ГОТОВО"))</f>
        <v/>
      </c>
      <c r="Q149" s="205">
        <f>IF(P149&lt;&gt;"ГОТОВО","", "Предварительное заключение: "&amp;A149&amp;", скв. "&amp;B149&amp;". МРП: "&amp;E149&amp;" сут. ГНО: "&amp;F149&amp;", типоразмер "&amp;G149&amp;", марка "&amp;H149&amp;". Событие: "&amp;I149&amp;". Признак: "&amp;J149&amp;". Узел: "&amp;K149&amp;". Предварительная причина: "&amp;L149&amp;". Основное осложнение: "&amp;M149&amp;IF(N149&lt;&gt;"","; сопутствующее: "&amp;N149,"")&amp;IF(O149&lt;&gt;"","; дополнительно: "&amp;O149,"")&amp;".")</f>
        <v/>
      </c>
      <c r="R149" s="172">
        <f>IF('Оперативный ввод'!P149="","",'Оперативный ввод'!P149)</f>
        <v/>
      </c>
      <c r="S149" s="172">
        <f>IF('Оперативный ввод'!Q149="","",'Оперативный ввод'!Q149)</f>
        <v/>
      </c>
      <c r="T149" s="172">
        <f>IF('Оперативный ввод'!R149="","",'Оперативный ввод'!R149)</f>
        <v/>
      </c>
      <c r="U149" s="172">
        <f>IF('Оперативный ввод'!S149="","",'Оперативный ввод'!S149)</f>
        <v/>
      </c>
      <c r="V149" s="172">
        <f>IF('Оперативный ввод'!T149="","",'Оперативный ввод'!T149)</f>
        <v/>
      </c>
      <c r="W149" s="172" t="n"/>
      <c r="X149" s="172" t="n"/>
      <c r="Y149" s="172" t="n"/>
      <c r="Z149" s="172" t="n"/>
      <c r="AA149" s="172">
        <f>IF('Оперативный ввод'!U149="","",'Оперативный ввод'!U149)</f>
        <v/>
      </c>
      <c r="AB149" s="172">
        <f>IF('Оперативный ввод'!V149="","",'Оперативный ввод'!V149)</f>
        <v/>
      </c>
      <c r="AC149" s="172">
        <f>IF('Оперативный ввод'!W149="","",'Оперативный ввод'!W149)</f>
        <v/>
      </c>
      <c r="BB149" s="172" t="n"/>
      <c r="BC149" s="172" t="n"/>
      <c r="BD149" s="205">
        <f>IF(AND(A149="",B149=""),"",IF(AND(P149="ГОТОВО",R149&lt;&gt;"",T149&lt;&gt;"",U149&lt;&gt;"",AA149&lt;&gt;"",AB149&lt;&gt;"",AC149&lt;&gt;"",BB149&lt;&gt;"",BC149&lt;&gt;""),"ГОТОВО","НЕ ГОТОВО"))</f>
        <v/>
      </c>
      <c r="BE149" s="205">
        <f>IF(BD149&lt;&gt;"ГОТОВО","","Полное заключение: "&amp;A149&amp;", скв. "&amp;B149&amp;". МРП: "&amp;E149&amp;" сут. ГНО: "&amp;F149&amp;"; причина: "&amp;U149&amp;"; категория: "&amp;V149&amp;"; решение комиссии: "&amp;BB149&amp;".")</f>
        <v/>
      </c>
      <c r="BF149" s="173">
        <f>IF('Оперативный ввод'!X149="","",'Оперативный ввод'!X149)</f>
        <v/>
      </c>
    </row>
    <row r="150">
      <c r="A150" s="171">
        <f>IF('Оперативный ввод'!A150="","",'Оперативный ввод'!A150)</f>
        <v/>
      </c>
      <c r="B150" s="172">
        <f>IF('Оперативный ввод'!B150="","",'Оперативный ввод'!B150)</f>
        <v/>
      </c>
      <c r="C150" s="270">
        <f>IF('Оперативный ввод'!C150="","",'Оперативный ввод'!C150)</f>
        <v/>
      </c>
      <c r="D150" s="270">
        <f>IF('Оперативный ввод'!D150="","",'Оперативный ввод'!D150)</f>
        <v/>
      </c>
      <c r="E150" s="271">
        <f>IF(OR(C150="",D150=""),"",D150-C150)</f>
        <v/>
      </c>
      <c r="F150" s="172">
        <f>IF('Оперативный ввод'!F150="","",'Оперативный ввод'!F150)</f>
        <v/>
      </c>
      <c r="G150" s="172">
        <f>IF('Оперативный ввод'!G150="","",'Оперативный ввод'!G150)</f>
        <v/>
      </c>
      <c r="H150" s="172">
        <f>IF('Оперативный ввод'!H150="","",'Оперативный ввод'!H150)</f>
        <v/>
      </c>
      <c r="I150" s="172">
        <f>IF('Оперативный ввод'!I150="","",'Оперативный ввод'!I150)</f>
        <v/>
      </c>
      <c r="J150" s="172">
        <f>IF('Оперативный ввод'!J150="","",'Оперативный ввод'!J150)</f>
        <v/>
      </c>
      <c r="K150" s="172">
        <f>IF('Оперативный ввод'!K150="","",'Оперативный ввод'!K150)</f>
        <v/>
      </c>
      <c r="L150" s="172">
        <f>IF('Оперативный ввод'!L150="","",'Оперативный ввод'!L150)</f>
        <v/>
      </c>
      <c r="M150" s="172">
        <f>IF('Оперативный ввод'!M150="","",'Оперативный ввод'!M150)</f>
        <v/>
      </c>
      <c r="N150" s="172">
        <f>IF('Оперативный ввод'!N150="","",'Оперативный ввод'!N150)</f>
        <v/>
      </c>
      <c r="O150" s="172">
        <f>IF('Оперативный ввод'!O150="","",'Оперативный ввод'!O150)</f>
        <v/>
      </c>
      <c r="P150" s="205">
        <f>IF(AND(A150="",B150=""),"",IF(AND(A150&lt;&gt;"",B150&lt;&gt;"",C150&lt;&gt;"",D150&lt;&gt;"",F150&lt;&gt;"",G150&lt;&gt;"",H150&lt;&gt;"",ISERROR(SEARCH("по паспорту",G150)),ISERROR(SEARCH("по паспорту",H150)),I150&lt;&gt;"",J150&lt;&gt;"",K150&lt;&gt;"",L150&lt;&gt;"",M150&lt;&gt;""),"ГОТОВО","НЕ ГОТОВО"))</f>
        <v/>
      </c>
      <c r="Q150" s="205">
        <f>IF(P150&lt;&gt;"ГОТОВО","", "Предварительное заключение: "&amp;A150&amp;", скв. "&amp;B150&amp;". МРП: "&amp;E150&amp;" сут. ГНО: "&amp;F150&amp;", типоразмер "&amp;G150&amp;", марка "&amp;H150&amp;". Событие: "&amp;I150&amp;". Признак: "&amp;J150&amp;". Узел: "&amp;K150&amp;". Предварительная причина: "&amp;L150&amp;". Основное осложнение: "&amp;M150&amp;IF(N150&lt;&gt;"","; сопутствующее: "&amp;N150,"")&amp;IF(O150&lt;&gt;"","; дополнительно: "&amp;O150,"")&amp;".")</f>
        <v/>
      </c>
      <c r="R150" s="172">
        <f>IF('Оперативный ввод'!P150="","",'Оперативный ввод'!P150)</f>
        <v/>
      </c>
      <c r="S150" s="172">
        <f>IF('Оперативный ввод'!Q150="","",'Оперативный ввод'!Q150)</f>
        <v/>
      </c>
      <c r="T150" s="172">
        <f>IF('Оперативный ввод'!R150="","",'Оперативный ввод'!R150)</f>
        <v/>
      </c>
      <c r="U150" s="172">
        <f>IF('Оперативный ввод'!S150="","",'Оперативный ввод'!S150)</f>
        <v/>
      </c>
      <c r="V150" s="172">
        <f>IF('Оперативный ввод'!T150="","",'Оперативный ввод'!T150)</f>
        <v/>
      </c>
      <c r="W150" s="172" t="n"/>
      <c r="X150" s="172" t="n"/>
      <c r="Y150" s="172" t="n"/>
      <c r="Z150" s="172" t="n"/>
      <c r="AA150" s="172">
        <f>IF('Оперативный ввод'!U150="","",'Оперативный ввод'!U150)</f>
        <v/>
      </c>
      <c r="AB150" s="172">
        <f>IF('Оперативный ввод'!V150="","",'Оперативный ввод'!V150)</f>
        <v/>
      </c>
      <c r="AC150" s="172">
        <f>IF('Оперативный ввод'!W150="","",'Оперативный ввод'!W150)</f>
        <v/>
      </c>
      <c r="BB150" s="172" t="n"/>
      <c r="BC150" s="172" t="n"/>
      <c r="BD150" s="205">
        <f>IF(AND(A150="",B150=""),"",IF(AND(P150="ГОТОВО",R150&lt;&gt;"",T150&lt;&gt;"",U150&lt;&gt;"",AA150&lt;&gt;"",AB150&lt;&gt;"",AC150&lt;&gt;"",BB150&lt;&gt;"",BC150&lt;&gt;""),"ГОТОВО","НЕ ГОТОВО"))</f>
        <v/>
      </c>
      <c r="BE150" s="205">
        <f>IF(BD150&lt;&gt;"ГОТОВО","","Полное заключение: "&amp;A150&amp;", скв. "&amp;B150&amp;". МРП: "&amp;E150&amp;" сут. ГНО: "&amp;F150&amp;"; причина: "&amp;U150&amp;"; категория: "&amp;V150&amp;"; решение комиссии: "&amp;BB150&amp;".")</f>
        <v/>
      </c>
      <c r="BF150" s="173">
        <f>IF('Оперативный ввод'!X150="","",'Оперативный ввод'!X150)</f>
        <v/>
      </c>
    </row>
    <row r="151">
      <c r="A151" s="171">
        <f>IF('Оперативный ввод'!A151="","",'Оперативный ввод'!A151)</f>
        <v/>
      </c>
      <c r="B151" s="172">
        <f>IF('Оперативный ввод'!B151="","",'Оперативный ввод'!B151)</f>
        <v/>
      </c>
      <c r="C151" s="270">
        <f>IF('Оперативный ввод'!C151="","",'Оперативный ввод'!C151)</f>
        <v/>
      </c>
      <c r="D151" s="270">
        <f>IF('Оперативный ввод'!D151="","",'Оперативный ввод'!D151)</f>
        <v/>
      </c>
      <c r="E151" s="271">
        <f>IF(OR(C151="",D151=""),"",D151-C151)</f>
        <v/>
      </c>
      <c r="F151" s="172">
        <f>IF('Оперативный ввод'!F151="","",'Оперативный ввод'!F151)</f>
        <v/>
      </c>
      <c r="G151" s="172">
        <f>IF('Оперативный ввод'!G151="","",'Оперативный ввод'!G151)</f>
        <v/>
      </c>
      <c r="H151" s="172">
        <f>IF('Оперативный ввод'!H151="","",'Оперативный ввод'!H151)</f>
        <v/>
      </c>
      <c r="I151" s="172">
        <f>IF('Оперативный ввод'!I151="","",'Оперативный ввод'!I151)</f>
        <v/>
      </c>
      <c r="J151" s="172">
        <f>IF('Оперативный ввод'!J151="","",'Оперативный ввод'!J151)</f>
        <v/>
      </c>
      <c r="K151" s="172">
        <f>IF('Оперативный ввод'!K151="","",'Оперативный ввод'!K151)</f>
        <v/>
      </c>
      <c r="L151" s="172">
        <f>IF('Оперативный ввод'!L151="","",'Оперативный ввод'!L151)</f>
        <v/>
      </c>
      <c r="M151" s="172">
        <f>IF('Оперативный ввод'!M151="","",'Оперативный ввод'!M151)</f>
        <v/>
      </c>
      <c r="N151" s="172">
        <f>IF('Оперативный ввод'!N151="","",'Оперативный ввод'!N151)</f>
        <v/>
      </c>
      <c r="O151" s="172">
        <f>IF('Оперативный ввод'!O151="","",'Оперативный ввод'!O151)</f>
        <v/>
      </c>
      <c r="P151" s="205">
        <f>IF(AND(A151="",B151=""),"",IF(AND(A151&lt;&gt;"",B151&lt;&gt;"",C151&lt;&gt;"",D151&lt;&gt;"",F151&lt;&gt;"",G151&lt;&gt;"",H151&lt;&gt;"",ISERROR(SEARCH("по паспорту",G151)),ISERROR(SEARCH("по паспорту",H151)),I151&lt;&gt;"",J151&lt;&gt;"",K151&lt;&gt;"",L151&lt;&gt;"",M151&lt;&gt;""),"ГОТОВО","НЕ ГОТОВО"))</f>
        <v/>
      </c>
      <c r="Q151" s="205">
        <f>IF(P151&lt;&gt;"ГОТОВО","", "Предварительное заключение: "&amp;A151&amp;", скв. "&amp;B151&amp;". МРП: "&amp;E151&amp;" сут. ГНО: "&amp;F151&amp;", типоразмер "&amp;G151&amp;", марка "&amp;H151&amp;". Событие: "&amp;I151&amp;". Признак: "&amp;J151&amp;". Узел: "&amp;K151&amp;". Предварительная причина: "&amp;L151&amp;". Основное осложнение: "&amp;M151&amp;IF(N151&lt;&gt;"","; сопутствующее: "&amp;N151,"")&amp;IF(O151&lt;&gt;"","; дополнительно: "&amp;O151,"")&amp;".")</f>
        <v/>
      </c>
      <c r="R151" s="172">
        <f>IF('Оперативный ввод'!P151="","",'Оперативный ввод'!P151)</f>
        <v/>
      </c>
      <c r="S151" s="172">
        <f>IF('Оперативный ввод'!Q151="","",'Оперативный ввод'!Q151)</f>
        <v/>
      </c>
      <c r="T151" s="172">
        <f>IF('Оперативный ввод'!R151="","",'Оперативный ввод'!R151)</f>
        <v/>
      </c>
      <c r="U151" s="172">
        <f>IF('Оперативный ввод'!S151="","",'Оперативный ввод'!S151)</f>
        <v/>
      </c>
      <c r="V151" s="172">
        <f>IF('Оперативный ввод'!T151="","",'Оперативный ввод'!T151)</f>
        <v/>
      </c>
      <c r="W151" s="172" t="n"/>
      <c r="X151" s="172" t="n"/>
      <c r="Y151" s="172" t="n"/>
      <c r="Z151" s="172" t="n"/>
      <c r="AA151" s="172">
        <f>IF('Оперативный ввод'!U151="","",'Оперативный ввод'!U151)</f>
        <v/>
      </c>
      <c r="AB151" s="172">
        <f>IF('Оперативный ввод'!V151="","",'Оперативный ввод'!V151)</f>
        <v/>
      </c>
      <c r="AC151" s="172">
        <f>IF('Оперативный ввод'!W151="","",'Оперативный ввод'!W151)</f>
        <v/>
      </c>
      <c r="BB151" s="172" t="n"/>
      <c r="BC151" s="172" t="n"/>
      <c r="BD151" s="205">
        <f>IF(AND(A151="",B151=""),"",IF(AND(P151="ГОТОВО",R151&lt;&gt;"",T151&lt;&gt;"",U151&lt;&gt;"",AA151&lt;&gt;"",AB151&lt;&gt;"",AC151&lt;&gt;"",BB151&lt;&gt;"",BC151&lt;&gt;""),"ГОТОВО","НЕ ГОТОВО"))</f>
        <v/>
      </c>
      <c r="BE151" s="205">
        <f>IF(BD151&lt;&gt;"ГОТОВО","","Полное заключение: "&amp;A151&amp;", скв. "&amp;B151&amp;". МРП: "&amp;E151&amp;" сут. ГНО: "&amp;F151&amp;"; причина: "&amp;U151&amp;"; категория: "&amp;V151&amp;"; решение комиссии: "&amp;BB151&amp;".")</f>
        <v/>
      </c>
      <c r="BF151" s="173">
        <f>IF('Оперативный ввод'!X151="","",'Оперативный ввод'!X151)</f>
        <v/>
      </c>
    </row>
    <row r="152">
      <c r="A152" s="171">
        <f>IF('Оперативный ввод'!A152="","",'Оперативный ввод'!A152)</f>
        <v/>
      </c>
      <c r="B152" s="172">
        <f>IF('Оперативный ввод'!B152="","",'Оперативный ввод'!B152)</f>
        <v/>
      </c>
      <c r="C152" s="270">
        <f>IF('Оперативный ввод'!C152="","",'Оперативный ввод'!C152)</f>
        <v/>
      </c>
      <c r="D152" s="270">
        <f>IF('Оперативный ввод'!D152="","",'Оперативный ввод'!D152)</f>
        <v/>
      </c>
      <c r="E152" s="271">
        <f>IF(OR(C152="",D152=""),"",D152-C152)</f>
        <v/>
      </c>
      <c r="F152" s="172">
        <f>IF('Оперативный ввод'!F152="","",'Оперативный ввод'!F152)</f>
        <v/>
      </c>
      <c r="G152" s="172">
        <f>IF('Оперативный ввод'!G152="","",'Оперативный ввод'!G152)</f>
        <v/>
      </c>
      <c r="H152" s="172">
        <f>IF('Оперативный ввод'!H152="","",'Оперативный ввод'!H152)</f>
        <v/>
      </c>
      <c r="I152" s="172">
        <f>IF('Оперативный ввод'!I152="","",'Оперативный ввод'!I152)</f>
        <v/>
      </c>
      <c r="J152" s="172">
        <f>IF('Оперативный ввод'!J152="","",'Оперативный ввод'!J152)</f>
        <v/>
      </c>
      <c r="K152" s="172">
        <f>IF('Оперативный ввод'!K152="","",'Оперативный ввод'!K152)</f>
        <v/>
      </c>
      <c r="L152" s="172">
        <f>IF('Оперативный ввод'!L152="","",'Оперативный ввод'!L152)</f>
        <v/>
      </c>
      <c r="M152" s="172">
        <f>IF('Оперативный ввод'!M152="","",'Оперативный ввод'!M152)</f>
        <v/>
      </c>
      <c r="N152" s="172">
        <f>IF('Оперативный ввод'!N152="","",'Оперативный ввод'!N152)</f>
        <v/>
      </c>
      <c r="O152" s="172">
        <f>IF('Оперативный ввод'!O152="","",'Оперативный ввод'!O152)</f>
        <v/>
      </c>
      <c r="P152" s="205">
        <f>IF(AND(A152="",B152=""),"",IF(AND(A152&lt;&gt;"",B152&lt;&gt;"",C152&lt;&gt;"",D152&lt;&gt;"",F152&lt;&gt;"",G152&lt;&gt;"",H152&lt;&gt;"",ISERROR(SEARCH("по паспорту",G152)),ISERROR(SEARCH("по паспорту",H152)),I152&lt;&gt;"",J152&lt;&gt;"",K152&lt;&gt;"",L152&lt;&gt;"",M152&lt;&gt;""),"ГОТОВО","НЕ ГОТОВО"))</f>
        <v/>
      </c>
      <c r="Q152" s="205">
        <f>IF(P152&lt;&gt;"ГОТОВО","", "Предварительное заключение: "&amp;A152&amp;", скв. "&amp;B152&amp;". МРП: "&amp;E152&amp;" сут. ГНО: "&amp;F152&amp;", типоразмер "&amp;G152&amp;", марка "&amp;H152&amp;". Событие: "&amp;I152&amp;". Признак: "&amp;J152&amp;". Узел: "&amp;K152&amp;". Предварительная причина: "&amp;L152&amp;". Основное осложнение: "&amp;M152&amp;IF(N152&lt;&gt;"","; сопутствующее: "&amp;N152,"")&amp;IF(O152&lt;&gt;"","; дополнительно: "&amp;O152,"")&amp;".")</f>
        <v/>
      </c>
      <c r="R152" s="172">
        <f>IF('Оперативный ввод'!P152="","",'Оперативный ввод'!P152)</f>
        <v/>
      </c>
      <c r="S152" s="172">
        <f>IF('Оперативный ввод'!Q152="","",'Оперативный ввод'!Q152)</f>
        <v/>
      </c>
      <c r="T152" s="172">
        <f>IF('Оперативный ввод'!R152="","",'Оперативный ввод'!R152)</f>
        <v/>
      </c>
      <c r="U152" s="172">
        <f>IF('Оперативный ввод'!S152="","",'Оперативный ввод'!S152)</f>
        <v/>
      </c>
      <c r="V152" s="172">
        <f>IF('Оперативный ввод'!T152="","",'Оперативный ввод'!T152)</f>
        <v/>
      </c>
      <c r="W152" s="172" t="n"/>
      <c r="X152" s="172" t="n"/>
      <c r="Y152" s="172" t="n"/>
      <c r="Z152" s="172" t="n"/>
      <c r="AA152" s="172">
        <f>IF('Оперативный ввод'!U152="","",'Оперативный ввод'!U152)</f>
        <v/>
      </c>
      <c r="AB152" s="172">
        <f>IF('Оперативный ввод'!V152="","",'Оперативный ввод'!V152)</f>
        <v/>
      </c>
      <c r="AC152" s="172">
        <f>IF('Оперативный ввод'!W152="","",'Оперативный ввод'!W152)</f>
        <v/>
      </c>
      <c r="BB152" s="172" t="n"/>
      <c r="BC152" s="172" t="n"/>
      <c r="BD152" s="205">
        <f>IF(AND(A152="",B152=""),"",IF(AND(P152="ГОТОВО",R152&lt;&gt;"",T152&lt;&gt;"",U152&lt;&gt;"",AA152&lt;&gt;"",AB152&lt;&gt;"",AC152&lt;&gt;"",BB152&lt;&gt;"",BC152&lt;&gt;""),"ГОТОВО","НЕ ГОТОВО"))</f>
        <v/>
      </c>
      <c r="BE152" s="205">
        <f>IF(BD152&lt;&gt;"ГОТОВО","","Полное заключение: "&amp;A152&amp;", скв. "&amp;B152&amp;". МРП: "&amp;E152&amp;" сут. ГНО: "&amp;F152&amp;"; причина: "&amp;U152&amp;"; категория: "&amp;V152&amp;"; решение комиссии: "&amp;BB152&amp;".")</f>
        <v/>
      </c>
      <c r="BF152" s="173">
        <f>IF('Оперативный ввод'!X152="","",'Оперативный ввод'!X152)</f>
        <v/>
      </c>
    </row>
    <row r="153">
      <c r="A153" s="171">
        <f>IF('Оперативный ввод'!A153="","",'Оперативный ввод'!A153)</f>
        <v/>
      </c>
      <c r="B153" s="172">
        <f>IF('Оперативный ввод'!B153="","",'Оперативный ввод'!B153)</f>
        <v/>
      </c>
      <c r="C153" s="270">
        <f>IF('Оперативный ввод'!C153="","",'Оперативный ввод'!C153)</f>
        <v/>
      </c>
      <c r="D153" s="270">
        <f>IF('Оперативный ввод'!D153="","",'Оперативный ввод'!D153)</f>
        <v/>
      </c>
      <c r="E153" s="271">
        <f>IF(OR(C153="",D153=""),"",D153-C153)</f>
        <v/>
      </c>
      <c r="F153" s="172">
        <f>IF('Оперативный ввод'!F153="","",'Оперативный ввод'!F153)</f>
        <v/>
      </c>
      <c r="G153" s="172">
        <f>IF('Оперативный ввод'!G153="","",'Оперативный ввод'!G153)</f>
        <v/>
      </c>
      <c r="H153" s="172">
        <f>IF('Оперативный ввод'!H153="","",'Оперативный ввод'!H153)</f>
        <v/>
      </c>
      <c r="I153" s="172">
        <f>IF('Оперативный ввод'!I153="","",'Оперативный ввод'!I153)</f>
        <v/>
      </c>
      <c r="J153" s="172">
        <f>IF('Оперативный ввод'!J153="","",'Оперативный ввод'!J153)</f>
        <v/>
      </c>
      <c r="K153" s="172">
        <f>IF('Оперативный ввод'!K153="","",'Оперативный ввод'!K153)</f>
        <v/>
      </c>
      <c r="L153" s="172">
        <f>IF('Оперативный ввод'!L153="","",'Оперативный ввод'!L153)</f>
        <v/>
      </c>
      <c r="M153" s="172">
        <f>IF('Оперативный ввод'!M153="","",'Оперативный ввод'!M153)</f>
        <v/>
      </c>
      <c r="N153" s="172">
        <f>IF('Оперативный ввод'!N153="","",'Оперативный ввод'!N153)</f>
        <v/>
      </c>
      <c r="O153" s="172">
        <f>IF('Оперативный ввод'!O153="","",'Оперативный ввод'!O153)</f>
        <v/>
      </c>
      <c r="P153" s="205">
        <f>IF(AND(A153="",B153=""),"",IF(AND(A153&lt;&gt;"",B153&lt;&gt;"",C153&lt;&gt;"",D153&lt;&gt;"",F153&lt;&gt;"",G153&lt;&gt;"",H153&lt;&gt;"",ISERROR(SEARCH("по паспорту",G153)),ISERROR(SEARCH("по паспорту",H153)),I153&lt;&gt;"",J153&lt;&gt;"",K153&lt;&gt;"",L153&lt;&gt;"",M153&lt;&gt;""),"ГОТОВО","НЕ ГОТОВО"))</f>
        <v/>
      </c>
      <c r="Q153" s="205">
        <f>IF(P153&lt;&gt;"ГОТОВО","", "Предварительное заключение: "&amp;A153&amp;", скв. "&amp;B153&amp;". МРП: "&amp;E153&amp;" сут. ГНО: "&amp;F153&amp;", типоразмер "&amp;G153&amp;", марка "&amp;H153&amp;". Событие: "&amp;I153&amp;". Признак: "&amp;J153&amp;". Узел: "&amp;K153&amp;". Предварительная причина: "&amp;L153&amp;". Основное осложнение: "&amp;M153&amp;IF(N153&lt;&gt;"","; сопутствующее: "&amp;N153,"")&amp;IF(O153&lt;&gt;"","; дополнительно: "&amp;O153,"")&amp;".")</f>
        <v/>
      </c>
      <c r="R153" s="172">
        <f>IF('Оперативный ввод'!P153="","",'Оперативный ввод'!P153)</f>
        <v/>
      </c>
      <c r="S153" s="172">
        <f>IF('Оперативный ввод'!Q153="","",'Оперативный ввод'!Q153)</f>
        <v/>
      </c>
      <c r="T153" s="172">
        <f>IF('Оперативный ввод'!R153="","",'Оперативный ввод'!R153)</f>
        <v/>
      </c>
      <c r="U153" s="172">
        <f>IF('Оперативный ввод'!S153="","",'Оперативный ввод'!S153)</f>
        <v/>
      </c>
      <c r="V153" s="172">
        <f>IF('Оперативный ввод'!T153="","",'Оперативный ввод'!T153)</f>
        <v/>
      </c>
      <c r="W153" s="172" t="n"/>
      <c r="X153" s="172" t="n"/>
      <c r="Y153" s="172" t="n"/>
      <c r="Z153" s="172" t="n"/>
      <c r="AA153" s="172">
        <f>IF('Оперативный ввод'!U153="","",'Оперативный ввод'!U153)</f>
        <v/>
      </c>
      <c r="AB153" s="172">
        <f>IF('Оперативный ввод'!V153="","",'Оперативный ввод'!V153)</f>
        <v/>
      </c>
      <c r="AC153" s="172">
        <f>IF('Оперативный ввод'!W153="","",'Оперативный ввод'!W153)</f>
        <v/>
      </c>
      <c r="BB153" s="172" t="n"/>
      <c r="BC153" s="172" t="n"/>
      <c r="BD153" s="205">
        <f>IF(AND(A153="",B153=""),"",IF(AND(P153="ГОТОВО",R153&lt;&gt;"",T153&lt;&gt;"",U153&lt;&gt;"",AA153&lt;&gt;"",AB153&lt;&gt;"",AC153&lt;&gt;"",BB153&lt;&gt;"",BC153&lt;&gt;""),"ГОТОВО","НЕ ГОТОВО"))</f>
        <v/>
      </c>
      <c r="BE153" s="205">
        <f>IF(BD153&lt;&gt;"ГОТОВО","","Полное заключение: "&amp;A153&amp;", скв. "&amp;B153&amp;". МРП: "&amp;E153&amp;" сут. ГНО: "&amp;F153&amp;"; причина: "&amp;U153&amp;"; категория: "&amp;V153&amp;"; решение комиссии: "&amp;BB153&amp;".")</f>
        <v/>
      </c>
      <c r="BF153" s="173">
        <f>IF('Оперативный ввод'!X153="","",'Оперативный ввод'!X153)</f>
        <v/>
      </c>
    </row>
    <row r="154">
      <c r="A154" s="171">
        <f>IF('Оперативный ввод'!A154="","",'Оперативный ввод'!A154)</f>
        <v/>
      </c>
      <c r="B154" s="172">
        <f>IF('Оперативный ввод'!B154="","",'Оперативный ввод'!B154)</f>
        <v/>
      </c>
      <c r="C154" s="270">
        <f>IF('Оперативный ввод'!C154="","",'Оперативный ввод'!C154)</f>
        <v/>
      </c>
      <c r="D154" s="270">
        <f>IF('Оперативный ввод'!D154="","",'Оперативный ввод'!D154)</f>
        <v/>
      </c>
      <c r="E154" s="271">
        <f>IF(OR(C154="",D154=""),"",D154-C154)</f>
        <v/>
      </c>
      <c r="F154" s="172">
        <f>IF('Оперативный ввод'!F154="","",'Оперативный ввод'!F154)</f>
        <v/>
      </c>
      <c r="G154" s="172">
        <f>IF('Оперативный ввод'!G154="","",'Оперативный ввод'!G154)</f>
        <v/>
      </c>
      <c r="H154" s="172">
        <f>IF('Оперативный ввод'!H154="","",'Оперативный ввод'!H154)</f>
        <v/>
      </c>
      <c r="I154" s="172">
        <f>IF('Оперативный ввод'!I154="","",'Оперативный ввод'!I154)</f>
        <v/>
      </c>
      <c r="J154" s="172">
        <f>IF('Оперативный ввод'!J154="","",'Оперативный ввод'!J154)</f>
        <v/>
      </c>
      <c r="K154" s="172">
        <f>IF('Оперативный ввод'!K154="","",'Оперативный ввод'!K154)</f>
        <v/>
      </c>
      <c r="L154" s="172">
        <f>IF('Оперативный ввод'!L154="","",'Оперативный ввод'!L154)</f>
        <v/>
      </c>
      <c r="M154" s="172">
        <f>IF('Оперативный ввод'!M154="","",'Оперативный ввод'!M154)</f>
        <v/>
      </c>
      <c r="N154" s="172">
        <f>IF('Оперативный ввод'!N154="","",'Оперативный ввод'!N154)</f>
        <v/>
      </c>
      <c r="O154" s="172">
        <f>IF('Оперативный ввод'!O154="","",'Оперативный ввод'!O154)</f>
        <v/>
      </c>
      <c r="P154" s="205">
        <f>IF(AND(A154="",B154=""),"",IF(AND(A154&lt;&gt;"",B154&lt;&gt;"",C154&lt;&gt;"",D154&lt;&gt;"",F154&lt;&gt;"",G154&lt;&gt;"",H154&lt;&gt;"",ISERROR(SEARCH("по паспорту",G154)),ISERROR(SEARCH("по паспорту",H154)),I154&lt;&gt;"",J154&lt;&gt;"",K154&lt;&gt;"",L154&lt;&gt;"",M154&lt;&gt;""),"ГОТОВО","НЕ ГОТОВО"))</f>
        <v/>
      </c>
      <c r="Q154" s="205">
        <f>IF(P154&lt;&gt;"ГОТОВО","", "Предварительное заключение: "&amp;A154&amp;", скв. "&amp;B154&amp;". МРП: "&amp;E154&amp;" сут. ГНО: "&amp;F154&amp;", типоразмер "&amp;G154&amp;", марка "&amp;H154&amp;". Событие: "&amp;I154&amp;". Признак: "&amp;J154&amp;". Узел: "&amp;K154&amp;". Предварительная причина: "&amp;L154&amp;". Основное осложнение: "&amp;M154&amp;IF(N154&lt;&gt;"","; сопутствующее: "&amp;N154,"")&amp;IF(O154&lt;&gt;"","; дополнительно: "&amp;O154,"")&amp;".")</f>
        <v/>
      </c>
      <c r="R154" s="172">
        <f>IF('Оперативный ввод'!P154="","",'Оперативный ввод'!P154)</f>
        <v/>
      </c>
      <c r="S154" s="172">
        <f>IF('Оперативный ввод'!Q154="","",'Оперативный ввод'!Q154)</f>
        <v/>
      </c>
      <c r="T154" s="172">
        <f>IF('Оперативный ввод'!R154="","",'Оперативный ввод'!R154)</f>
        <v/>
      </c>
      <c r="U154" s="172">
        <f>IF('Оперативный ввод'!S154="","",'Оперативный ввод'!S154)</f>
        <v/>
      </c>
      <c r="V154" s="172">
        <f>IF('Оперативный ввод'!T154="","",'Оперативный ввод'!T154)</f>
        <v/>
      </c>
      <c r="W154" s="172" t="n"/>
      <c r="X154" s="172" t="n"/>
      <c r="Y154" s="172" t="n"/>
      <c r="Z154" s="172" t="n"/>
      <c r="AA154" s="172">
        <f>IF('Оперативный ввод'!U154="","",'Оперативный ввод'!U154)</f>
        <v/>
      </c>
      <c r="AB154" s="172">
        <f>IF('Оперативный ввод'!V154="","",'Оперативный ввод'!V154)</f>
        <v/>
      </c>
      <c r="AC154" s="172">
        <f>IF('Оперативный ввод'!W154="","",'Оперативный ввод'!W154)</f>
        <v/>
      </c>
      <c r="BB154" s="172" t="n"/>
      <c r="BC154" s="172" t="n"/>
      <c r="BD154" s="205">
        <f>IF(AND(A154="",B154=""),"",IF(AND(P154="ГОТОВО",R154&lt;&gt;"",T154&lt;&gt;"",U154&lt;&gt;"",AA154&lt;&gt;"",AB154&lt;&gt;"",AC154&lt;&gt;"",BB154&lt;&gt;"",BC154&lt;&gt;""),"ГОТОВО","НЕ ГОТОВО"))</f>
        <v/>
      </c>
      <c r="BE154" s="205">
        <f>IF(BD154&lt;&gt;"ГОТОВО","","Полное заключение: "&amp;A154&amp;", скв. "&amp;B154&amp;". МРП: "&amp;E154&amp;" сут. ГНО: "&amp;F154&amp;"; причина: "&amp;U154&amp;"; категория: "&amp;V154&amp;"; решение комиссии: "&amp;BB154&amp;".")</f>
        <v/>
      </c>
      <c r="BF154" s="173">
        <f>IF('Оперативный ввод'!X154="","",'Оперативный ввод'!X154)</f>
        <v/>
      </c>
    </row>
    <row r="155">
      <c r="A155" s="171">
        <f>IF('Оперативный ввод'!A155="","",'Оперативный ввод'!A155)</f>
        <v/>
      </c>
      <c r="B155" s="172">
        <f>IF('Оперативный ввод'!B155="","",'Оперативный ввод'!B155)</f>
        <v/>
      </c>
      <c r="C155" s="270">
        <f>IF('Оперативный ввод'!C155="","",'Оперативный ввод'!C155)</f>
        <v/>
      </c>
      <c r="D155" s="270">
        <f>IF('Оперативный ввод'!D155="","",'Оперативный ввод'!D155)</f>
        <v/>
      </c>
      <c r="E155" s="271">
        <f>IF(OR(C155="",D155=""),"",D155-C155)</f>
        <v/>
      </c>
      <c r="F155" s="172">
        <f>IF('Оперативный ввод'!F155="","",'Оперативный ввод'!F155)</f>
        <v/>
      </c>
      <c r="G155" s="172">
        <f>IF('Оперативный ввод'!G155="","",'Оперативный ввод'!G155)</f>
        <v/>
      </c>
      <c r="H155" s="172">
        <f>IF('Оперативный ввод'!H155="","",'Оперативный ввод'!H155)</f>
        <v/>
      </c>
      <c r="I155" s="172">
        <f>IF('Оперативный ввод'!I155="","",'Оперативный ввод'!I155)</f>
        <v/>
      </c>
      <c r="J155" s="172">
        <f>IF('Оперативный ввод'!J155="","",'Оперативный ввод'!J155)</f>
        <v/>
      </c>
      <c r="K155" s="172">
        <f>IF('Оперативный ввод'!K155="","",'Оперативный ввод'!K155)</f>
        <v/>
      </c>
      <c r="L155" s="172">
        <f>IF('Оперативный ввод'!L155="","",'Оперативный ввод'!L155)</f>
        <v/>
      </c>
      <c r="M155" s="172">
        <f>IF('Оперативный ввод'!M155="","",'Оперативный ввод'!M155)</f>
        <v/>
      </c>
      <c r="N155" s="172">
        <f>IF('Оперативный ввод'!N155="","",'Оперативный ввод'!N155)</f>
        <v/>
      </c>
      <c r="O155" s="172">
        <f>IF('Оперативный ввод'!O155="","",'Оперативный ввод'!O155)</f>
        <v/>
      </c>
      <c r="P155" s="205">
        <f>IF(AND(A155="",B155=""),"",IF(AND(A155&lt;&gt;"",B155&lt;&gt;"",C155&lt;&gt;"",D155&lt;&gt;"",F155&lt;&gt;"",G155&lt;&gt;"",H155&lt;&gt;"",ISERROR(SEARCH("по паспорту",G155)),ISERROR(SEARCH("по паспорту",H155)),I155&lt;&gt;"",J155&lt;&gt;"",K155&lt;&gt;"",L155&lt;&gt;"",M155&lt;&gt;""),"ГОТОВО","НЕ ГОТОВО"))</f>
        <v/>
      </c>
      <c r="Q155" s="205">
        <f>IF(P155&lt;&gt;"ГОТОВО","", "Предварительное заключение: "&amp;A155&amp;", скв. "&amp;B155&amp;". МРП: "&amp;E155&amp;" сут. ГНО: "&amp;F155&amp;", типоразмер "&amp;G155&amp;", марка "&amp;H155&amp;". Событие: "&amp;I155&amp;". Признак: "&amp;J155&amp;". Узел: "&amp;K155&amp;". Предварительная причина: "&amp;L155&amp;". Основное осложнение: "&amp;M155&amp;IF(N155&lt;&gt;"","; сопутствующее: "&amp;N155,"")&amp;IF(O155&lt;&gt;"","; дополнительно: "&amp;O155,"")&amp;".")</f>
        <v/>
      </c>
      <c r="R155" s="172">
        <f>IF('Оперативный ввод'!P155="","",'Оперативный ввод'!P155)</f>
        <v/>
      </c>
      <c r="S155" s="172">
        <f>IF('Оперативный ввод'!Q155="","",'Оперативный ввод'!Q155)</f>
        <v/>
      </c>
      <c r="T155" s="172">
        <f>IF('Оперативный ввод'!R155="","",'Оперативный ввод'!R155)</f>
        <v/>
      </c>
      <c r="U155" s="172">
        <f>IF('Оперативный ввод'!S155="","",'Оперативный ввод'!S155)</f>
        <v/>
      </c>
      <c r="V155" s="172">
        <f>IF('Оперативный ввод'!T155="","",'Оперативный ввод'!T155)</f>
        <v/>
      </c>
      <c r="W155" s="172" t="n"/>
      <c r="X155" s="172" t="n"/>
      <c r="Y155" s="172" t="n"/>
      <c r="Z155" s="172" t="n"/>
      <c r="AA155" s="172">
        <f>IF('Оперативный ввод'!U155="","",'Оперативный ввод'!U155)</f>
        <v/>
      </c>
      <c r="AB155" s="172">
        <f>IF('Оперативный ввод'!V155="","",'Оперативный ввод'!V155)</f>
        <v/>
      </c>
      <c r="AC155" s="172">
        <f>IF('Оперативный ввод'!W155="","",'Оперативный ввод'!W155)</f>
        <v/>
      </c>
      <c r="BB155" s="172" t="n"/>
      <c r="BC155" s="172" t="n"/>
      <c r="BD155" s="205">
        <f>IF(AND(A155="",B155=""),"",IF(AND(P155="ГОТОВО",R155&lt;&gt;"",T155&lt;&gt;"",U155&lt;&gt;"",AA155&lt;&gt;"",AB155&lt;&gt;"",AC155&lt;&gt;"",BB155&lt;&gt;"",BC155&lt;&gt;""),"ГОТОВО","НЕ ГОТОВО"))</f>
        <v/>
      </c>
      <c r="BE155" s="205">
        <f>IF(BD155&lt;&gt;"ГОТОВО","","Полное заключение: "&amp;A155&amp;", скв. "&amp;B155&amp;". МРП: "&amp;E155&amp;" сут. ГНО: "&amp;F155&amp;"; причина: "&amp;U155&amp;"; категория: "&amp;V155&amp;"; решение комиссии: "&amp;BB155&amp;".")</f>
        <v/>
      </c>
      <c r="BF155" s="173">
        <f>IF('Оперативный ввод'!X155="","",'Оперативный ввод'!X155)</f>
        <v/>
      </c>
    </row>
    <row r="156">
      <c r="A156" s="171">
        <f>IF('Оперативный ввод'!A156="","",'Оперативный ввод'!A156)</f>
        <v/>
      </c>
      <c r="B156" s="172">
        <f>IF('Оперативный ввод'!B156="","",'Оперативный ввод'!B156)</f>
        <v/>
      </c>
      <c r="C156" s="270">
        <f>IF('Оперативный ввод'!C156="","",'Оперативный ввод'!C156)</f>
        <v/>
      </c>
      <c r="D156" s="270">
        <f>IF('Оперативный ввод'!D156="","",'Оперативный ввод'!D156)</f>
        <v/>
      </c>
      <c r="E156" s="271">
        <f>IF(OR(C156="",D156=""),"",D156-C156)</f>
        <v/>
      </c>
      <c r="F156" s="172">
        <f>IF('Оперативный ввод'!F156="","",'Оперативный ввод'!F156)</f>
        <v/>
      </c>
      <c r="G156" s="172">
        <f>IF('Оперативный ввод'!G156="","",'Оперативный ввод'!G156)</f>
        <v/>
      </c>
      <c r="H156" s="172">
        <f>IF('Оперативный ввод'!H156="","",'Оперативный ввод'!H156)</f>
        <v/>
      </c>
      <c r="I156" s="172">
        <f>IF('Оперативный ввод'!I156="","",'Оперативный ввод'!I156)</f>
        <v/>
      </c>
      <c r="J156" s="172">
        <f>IF('Оперативный ввод'!J156="","",'Оперативный ввод'!J156)</f>
        <v/>
      </c>
      <c r="K156" s="172">
        <f>IF('Оперативный ввод'!K156="","",'Оперативный ввод'!K156)</f>
        <v/>
      </c>
      <c r="L156" s="172">
        <f>IF('Оперативный ввод'!L156="","",'Оперативный ввод'!L156)</f>
        <v/>
      </c>
      <c r="M156" s="172">
        <f>IF('Оперативный ввод'!M156="","",'Оперативный ввод'!M156)</f>
        <v/>
      </c>
      <c r="N156" s="172">
        <f>IF('Оперативный ввод'!N156="","",'Оперативный ввод'!N156)</f>
        <v/>
      </c>
      <c r="O156" s="172">
        <f>IF('Оперативный ввод'!O156="","",'Оперативный ввод'!O156)</f>
        <v/>
      </c>
      <c r="P156" s="205">
        <f>IF(AND(A156="",B156=""),"",IF(AND(A156&lt;&gt;"",B156&lt;&gt;"",C156&lt;&gt;"",D156&lt;&gt;"",F156&lt;&gt;"",G156&lt;&gt;"",H156&lt;&gt;"",ISERROR(SEARCH("по паспорту",G156)),ISERROR(SEARCH("по паспорту",H156)),I156&lt;&gt;"",J156&lt;&gt;"",K156&lt;&gt;"",L156&lt;&gt;"",M156&lt;&gt;""),"ГОТОВО","НЕ ГОТОВО"))</f>
        <v/>
      </c>
      <c r="Q156" s="205">
        <f>IF(P156&lt;&gt;"ГОТОВО","", "Предварительное заключение: "&amp;A156&amp;", скв. "&amp;B156&amp;". МРП: "&amp;E156&amp;" сут. ГНО: "&amp;F156&amp;", типоразмер "&amp;G156&amp;", марка "&amp;H156&amp;". Событие: "&amp;I156&amp;". Признак: "&amp;J156&amp;". Узел: "&amp;K156&amp;". Предварительная причина: "&amp;L156&amp;". Основное осложнение: "&amp;M156&amp;IF(N156&lt;&gt;"","; сопутствующее: "&amp;N156,"")&amp;IF(O156&lt;&gt;"","; дополнительно: "&amp;O156,"")&amp;".")</f>
        <v/>
      </c>
      <c r="R156" s="172">
        <f>IF('Оперативный ввод'!P156="","",'Оперативный ввод'!P156)</f>
        <v/>
      </c>
      <c r="S156" s="172">
        <f>IF('Оперативный ввод'!Q156="","",'Оперативный ввод'!Q156)</f>
        <v/>
      </c>
      <c r="T156" s="172">
        <f>IF('Оперативный ввод'!R156="","",'Оперативный ввод'!R156)</f>
        <v/>
      </c>
      <c r="U156" s="172">
        <f>IF('Оперативный ввод'!S156="","",'Оперативный ввод'!S156)</f>
        <v/>
      </c>
      <c r="V156" s="172">
        <f>IF('Оперативный ввод'!T156="","",'Оперативный ввод'!T156)</f>
        <v/>
      </c>
      <c r="W156" s="172" t="n"/>
      <c r="X156" s="172" t="n"/>
      <c r="Y156" s="172" t="n"/>
      <c r="Z156" s="172" t="n"/>
      <c r="AA156" s="172">
        <f>IF('Оперативный ввод'!U156="","",'Оперативный ввод'!U156)</f>
        <v/>
      </c>
      <c r="AB156" s="172">
        <f>IF('Оперативный ввод'!V156="","",'Оперативный ввод'!V156)</f>
        <v/>
      </c>
      <c r="AC156" s="172">
        <f>IF('Оперативный ввод'!W156="","",'Оперативный ввод'!W156)</f>
        <v/>
      </c>
      <c r="BB156" s="172" t="n"/>
      <c r="BC156" s="172" t="n"/>
      <c r="BD156" s="205">
        <f>IF(AND(A156="",B156=""),"",IF(AND(P156="ГОТОВО",R156&lt;&gt;"",T156&lt;&gt;"",U156&lt;&gt;"",AA156&lt;&gt;"",AB156&lt;&gt;"",AC156&lt;&gt;"",BB156&lt;&gt;"",BC156&lt;&gt;""),"ГОТОВО","НЕ ГОТОВО"))</f>
        <v/>
      </c>
      <c r="BE156" s="205">
        <f>IF(BD156&lt;&gt;"ГОТОВО","","Полное заключение: "&amp;A156&amp;", скв. "&amp;B156&amp;". МРП: "&amp;E156&amp;" сут. ГНО: "&amp;F156&amp;"; причина: "&amp;U156&amp;"; категория: "&amp;V156&amp;"; решение комиссии: "&amp;BB156&amp;".")</f>
        <v/>
      </c>
      <c r="BF156" s="173">
        <f>IF('Оперативный ввод'!X156="","",'Оперативный ввод'!X156)</f>
        <v/>
      </c>
    </row>
    <row r="157">
      <c r="A157" s="171">
        <f>IF('Оперативный ввод'!A157="","",'Оперативный ввод'!A157)</f>
        <v/>
      </c>
      <c r="B157" s="172">
        <f>IF('Оперативный ввод'!B157="","",'Оперативный ввод'!B157)</f>
        <v/>
      </c>
      <c r="C157" s="270">
        <f>IF('Оперативный ввод'!C157="","",'Оперативный ввод'!C157)</f>
        <v/>
      </c>
      <c r="D157" s="270">
        <f>IF('Оперативный ввод'!D157="","",'Оперативный ввод'!D157)</f>
        <v/>
      </c>
      <c r="E157" s="271">
        <f>IF(OR(C157="",D157=""),"",D157-C157)</f>
        <v/>
      </c>
      <c r="F157" s="172">
        <f>IF('Оперативный ввод'!F157="","",'Оперативный ввод'!F157)</f>
        <v/>
      </c>
      <c r="G157" s="172">
        <f>IF('Оперативный ввод'!G157="","",'Оперативный ввод'!G157)</f>
        <v/>
      </c>
      <c r="H157" s="172">
        <f>IF('Оперативный ввод'!H157="","",'Оперативный ввод'!H157)</f>
        <v/>
      </c>
      <c r="I157" s="172">
        <f>IF('Оперативный ввод'!I157="","",'Оперативный ввод'!I157)</f>
        <v/>
      </c>
      <c r="J157" s="172">
        <f>IF('Оперативный ввод'!J157="","",'Оперативный ввод'!J157)</f>
        <v/>
      </c>
      <c r="K157" s="172">
        <f>IF('Оперативный ввод'!K157="","",'Оперативный ввод'!K157)</f>
        <v/>
      </c>
      <c r="L157" s="172">
        <f>IF('Оперативный ввод'!L157="","",'Оперативный ввод'!L157)</f>
        <v/>
      </c>
      <c r="M157" s="172">
        <f>IF('Оперативный ввод'!M157="","",'Оперативный ввод'!M157)</f>
        <v/>
      </c>
      <c r="N157" s="172">
        <f>IF('Оперативный ввод'!N157="","",'Оперативный ввод'!N157)</f>
        <v/>
      </c>
      <c r="O157" s="172">
        <f>IF('Оперативный ввод'!O157="","",'Оперативный ввод'!O157)</f>
        <v/>
      </c>
      <c r="P157" s="205">
        <f>IF(AND(A157="",B157=""),"",IF(AND(A157&lt;&gt;"",B157&lt;&gt;"",C157&lt;&gt;"",D157&lt;&gt;"",F157&lt;&gt;"",G157&lt;&gt;"",H157&lt;&gt;"",ISERROR(SEARCH("по паспорту",G157)),ISERROR(SEARCH("по паспорту",H157)),I157&lt;&gt;"",J157&lt;&gt;"",K157&lt;&gt;"",L157&lt;&gt;"",M157&lt;&gt;""),"ГОТОВО","НЕ ГОТОВО"))</f>
        <v/>
      </c>
      <c r="Q157" s="205">
        <f>IF(P157&lt;&gt;"ГОТОВО","", "Предварительное заключение: "&amp;A157&amp;", скв. "&amp;B157&amp;". МРП: "&amp;E157&amp;" сут. ГНО: "&amp;F157&amp;", типоразмер "&amp;G157&amp;", марка "&amp;H157&amp;". Событие: "&amp;I157&amp;". Признак: "&amp;J157&amp;". Узел: "&amp;K157&amp;". Предварительная причина: "&amp;L157&amp;". Основное осложнение: "&amp;M157&amp;IF(N157&lt;&gt;"","; сопутствующее: "&amp;N157,"")&amp;IF(O157&lt;&gt;"","; дополнительно: "&amp;O157,"")&amp;".")</f>
        <v/>
      </c>
      <c r="R157" s="172">
        <f>IF('Оперативный ввод'!P157="","",'Оперативный ввод'!P157)</f>
        <v/>
      </c>
      <c r="S157" s="172">
        <f>IF('Оперативный ввод'!Q157="","",'Оперативный ввод'!Q157)</f>
        <v/>
      </c>
      <c r="T157" s="172">
        <f>IF('Оперативный ввод'!R157="","",'Оперативный ввод'!R157)</f>
        <v/>
      </c>
      <c r="U157" s="172">
        <f>IF('Оперативный ввод'!S157="","",'Оперативный ввод'!S157)</f>
        <v/>
      </c>
      <c r="V157" s="172">
        <f>IF('Оперативный ввод'!T157="","",'Оперативный ввод'!T157)</f>
        <v/>
      </c>
      <c r="W157" s="172" t="n"/>
      <c r="X157" s="172" t="n"/>
      <c r="Y157" s="172" t="n"/>
      <c r="Z157" s="172" t="n"/>
      <c r="AA157" s="172">
        <f>IF('Оперативный ввод'!U157="","",'Оперативный ввод'!U157)</f>
        <v/>
      </c>
      <c r="AB157" s="172">
        <f>IF('Оперативный ввод'!V157="","",'Оперативный ввод'!V157)</f>
        <v/>
      </c>
      <c r="AC157" s="172">
        <f>IF('Оперативный ввод'!W157="","",'Оперативный ввод'!W157)</f>
        <v/>
      </c>
      <c r="BB157" s="172" t="n"/>
      <c r="BC157" s="172" t="n"/>
      <c r="BD157" s="205">
        <f>IF(AND(A157="",B157=""),"",IF(AND(P157="ГОТОВО",R157&lt;&gt;"",T157&lt;&gt;"",U157&lt;&gt;"",AA157&lt;&gt;"",AB157&lt;&gt;"",AC157&lt;&gt;"",BB157&lt;&gt;"",BC157&lt;&gt;""),"ГОТОВО","НЕ ГОТОВО"))</f>
        <v/>
      </c>
      <c r="BE157" s="205">
        <f>IF(BD157&lt;&gt;"ГОТОВО","","Полное заключение: "&amp;A157&amp;", скв. "&amp;B157&amp;". МРП: "&amp;E157&amp;" сут. ГНО: "&amp;F157&amp;"; причина: "&amp;U157&amp;"; категория: "&amp;V157&amp;"; решение комиссии: "&amp;BB157&amp;".")</f>
        <v/>
      </c>
      <c r="BF157" s="173">
        <f>IF('Оперативный ввод'!X157="","",'Оперативный ввод'!X157)</f>
        <v/>
      </c>
    </row>
    <row r="158">
      <c r="A158" s="171">
        <f>IF('Оперативный ввод'!A158="","",'Оперативный ввод'!A158)</f>
        <v/>
      </c>
      <c r="B158" s="172">
        <f>IF('Оперативный ввод'!B158="","",'Оперативный ввод'!B158)</f>
        <v/>
      </c>
      <c r="C158" s="270">
        <f>IF('Оперативный ввод'!C158="","",'Оперативный ввод'!C158)</f>
        <v/>
      </c>
      <c r="D158" s="270">
        <f>IF('Оперативный ввод'!D158="","",'Оперативный ввод'!D158)</f>
        <v/>
      </c>
      <c r="E158" s="271">
        <f>IF(OR(C158="",D158=""),"",D158-C158)</f>
        <v/>
      </c>
      <c r="F158" s="172">
        <f>IF('Оперативный ввод'!F158="","",'Оперативный ввод'!F158)</f>
        <v/>
      </c>
      <c r="G158" s="172">
        <f>IF('Оперативный ввод'!G158="","",'Оперативный ввод'!G158)</f>
        <v/>
      </c>
      <c r="H158" s="172">
        <f>IF('Оперативный ввод'!H158="","",'Оперативный ввод'!H158)</f>
        <v/>
      </c>
      <c r="I158" s="172">
        <f>IF('Оперативный ввод'!I158="","",'Оперативный ввод'!I158)</f>
        <v/>
      </c>
      <c r="J158" s="172">
        <f>IF('Оперативный ввод'!J158="","",'Оперативный ввод'!J158)</f>
        <v/>
      </c>
      <c r="K158" s="172">
        <f>IF('Оперативный ввод'!K158="","",'Оперативный ввод'!K158)</f>
        <v/>
      </c>
      <c r="L158" s="172">
        <f>IF('Оперативный ввод'!L158="","",'Оперативный ввод'!L158)</f>
        <v/>
      </c>
      <c r="M158" s="172">
        <f>IF('Оперативный ввод'!M158="","",'Оперативный ввод'!M158)</f>
        <v/>
      </c>
      <c r="N158" s="172">
        <f>IF('Оперативный ввод'!N158="","",'Оперативный ввод'!N158)</f>
        <v/>
      </c>
      <c r="O158" s="172">
        <f>IF('Оперативный ввод'!O158="","",'Оперативный ввод'!O158)</f>
        <v/>
      </c>
      <c r="P158" s="205">
        <f>IF(AND(A158="",B158=""),"",IF(AND(A158&lt;&gt;"",B158&lt;&gt;"",C158&lt;&gt;"",D158&lt;&gt;"",F158&lt;&gt;"",G158&lt;&gt;"",H158&lt;&gt;"",ISERROR(SEARCH("по паспорту",G158)),ISERROR(SEARCH("по паспорту",H158)),I158&lt;&gt;"",J158&lt;&gt;"",K158&lt;&gt;"",L158&lt;&gt;"",M158&lt;&gt;""),"ГОТОВО","НЕ ГОТОВО"))</f>
        <v/>
      </c>
      <c r="Q158" s="205">
        <f>IF(P158&lt;&gt;"ГОТОВО","", "Предварительное заключение: "&amp;A158&amp;", скв. "&amp;B158&amp;". МРП: "&amp;E158&amp;" сут. ГНО: "&amp;F158&amp;", типоразмер "&amp;G158&amp;", марка "&amp;H158&amp;". Событие: "&amp;I158&amp;". Признак: "&amp;J158&amp;". Узел: "&amp;K158&amp;". Предварительная причина: "&amp;L158&amp;". Основное осложнение: "&amp;M158&amp;IF(N158&lt;&gt;"","; сопутствующее: "&amp;N158,"")&amp;IF(O158&lt;&gt;"","; дополнительно: "&amp;O158,"")&amp;".")</f>
        <v/>
      </c>
      <c r="R158" s="172">
        <f>IF('Оперативный ввод'!P158="","",'Оперативный ввод'!P158)</f>
        <v/>
      </c>
      <c r="S158" s="172">
        <f>IF('Оперативный ввод'!Q158="","",'Оперативный ввод'!Q158)</f>
        <v/>
      </c>
      <c r="T158" s="172">
        <f>IF('Оперативный ввод'!R158="","",'Оперативный ввод'!R158)</f>
        <v/>
      </c>
      <c r="U158" s="172">
        <f>IF('Оперативный ввод'!S158="","",'Оперативный ввод'!S158)</f>
        <v/>
      </c>
      <c r="V158" s="172">
        <f>IF('Оперативный ввод'!T158="","",'Оперативный ввод'!T158)</f>
        <v/>
      </c>
      <c r="W158" s="172" t="n"/>
      <c r="X158" s="172" t="n"/>
      <c r="Y158" s="172" t="n"/>
      <c r="Z158" s="172" t="n"/>
      <c r="AA158" s="172">
        <f>IF('Оперативный ввод'!U158="","",'Оперативный ввод'!U158)</f>
        <v/>
      </c>
      <c r="AB158" s="172">
        <f>IF('Оперативный ввод'!V158="","",'Оперативный ввод'!V158)</f>
        <v/>
      </c>
      <c r="AC158" s="172">
        <f>IF('Оперативный ввод'!W158="","",'Оперативный ввод'!W158)</f>
        <v/>
      </c>
      <c r="BB158" s="172" t="n"/>
      <c r="BC158" s="172" t="n"/>
      <c r="BD158" s="205">
        <f>IF(AND(A158="",B158=""),"",IF(AND(P158="ГОТОВО",R158&lt;&gt;"",T158&lt;&gt;"",U158&lt;&gt;"",AA158&lt;&gt;"",AB158&lt;&gt;"",AC158&lt;&gt;"",BB158&lt;&gt;"",BC158&lt;&gt;""),"ГОТОВО","НЕ ГОТОВО"))</f>
        <v/>
      </c>
      <c r="BE158" s="205">
        <f>IF(BD158&lt;&gt;"ГОТОВО","","Полное заключение: "&amp;A158&amp;", скв. "&amp;B158&amp;". МРП: "&amp;E158&amp;" сут. ГНО: "&amp;F158&amp;"; причина: "&amp;U158&amp;"; категория: "&amp;V158&amp;"; решение комиссии: "&amp;BB158&amp;".")</f>
        <v/>
      </c>
      <c r="BF158" s="173">
        <f>IF('Оперативный ввод'!X158="","",'Оперативный ввод'!X158)</f>
        <v/>
      </c>
    </row>
    <row r="159">
      <c r="A159" s="171">
        <f>IF('Оперативный ввод'!A159="","",'Оперативный ввод'!A159)</f>
        <v/>
      </c>
      <c r="B159" s="172">
        <f>IF('Оперативный ввод'!B159="","",'Оперативный ввод'!B159)</f>
        <v/>
      </c>
      <c r="C159" s="270">
        <f>IF('Оперативный ввод'!C159="","",'Оперативный ввод'!C159)</f>
        <v/>
      </c>
      <c r="D159" s="270">
        <f>IF('Оперативный ввод'!D159="","",'Оперативный ввод'!D159)</f>
        <v/>
      </c>
      <c r="E159" s="271">
        <f>IF(OR(C159="",D159=""),"",D159-C159)</f>
        <v/>
      </c>
      <c r="F159" s="172">
        <f>IF('Оперативный ввод'!F159="","",'Оперативный ввод'!F159)</f>
        <v/>
      </c>
      <c r="G159" s="172">
        <f>IF('Оперативный ввод'!G159="","",'Оперативный ввод'!G159)</f>
        <v/>
      </c>
      <c r="H159" s="172">
        <f>IF('Оперативный ввод'!H159="","",'Оперативный ввод'!H159)</f>
        <v/>
      </c>
      <c r="I159" s="172">
        <f>IF('Оперативный ввод'!I159="","",'Оперативный ввод'!I159)</f>
        <v/>
      </c>
      <c r="J159" s="172">
        <f>IF('Оперативный ввод'!J159="","",'Оперативный ввод'!J159)</f>
        <v/>
      </c>
      <c r="K159" s="172">
        <f>IF('Оперативный ввод'!K159="","",'Оперативный ввод'!K159)</f>
        <v/>
      </c>
      <c r="L159" s="172">
        <f>IF('Оперативный ввод'!L159="","",'Оперативный ввод'!L159)</f>
        <v/>
      </c>
      <c r="M159" s="172">
        <f>IF('Оперативный ввод'!M159="","",'Оперативный ввод'!M159)</f>
        <v/>
      </c>
      <c r="N159" s="172">
        <f>IF('Оперативный ввод'!N159="","",'Оперативный ввод'!N159)</f>
        <v/>
      </c>
      <c r="O159" s="172">
        <f>IF('Оперативный ввод'!O159="","",'Оперативный ввод'!O159)</f>
        <v/>
      </c>
      <c r="P159" s="205">
        <f>IF(AND(A159="",B159=""),"",IF(AND(A159&lt;&gt;"",B159&lt;&gt;"",C159&lt;&gt;"",D159&lt;&gt;"",F159&lt;&gt;"",G159&lt;&gt;"",H159&lt;&gt;"",ISERROR(SEARCH("по паспорту",G159)),ISERROR(SEARCH("по паспорту",H159)),I159&lt;&gt;"",J159&lt;&gt;"",K159&lt;&gt;"",L159&lt;&gt;"",M159&lt;&gt;""),"ГОТОВО","НЕ ГОТОВО"))</f>
        <v/>
      </c>
      <c r="Q159" s="205">
        <f>IF(P159&lt;&gt;"ГОТОВО","", "Предварительное заключение: "&amp;A159&amp;", скв. "&amp;B159&amp;". МРП: "&amp;E159&amp;" сут. ГНО: "&amp;F159&amp;", типоразмер "&amp;G159&amp;", марка "&amp;H159&amp;". Событие: "&amp;I159&amp;". Признак: "&amp;J159&amp;". Узел: "&amp;K159&amp;". Предварительная причина: "&amp;L159&amp;". Основное осложнение: "&amp;M159&amp;IF(N159&lt;&gt;"","; сопутствующее: "&amp;N159,"")&amp;IF(O159&lt;&gt;"","; дополнительно: "&amp;O159,"")&amp;".")</f>
        <v/>
      </c>
      <c r="R159" s="172">
        <f>IF('Оперативный ввод'!P159="","",'Оперативный ввод'!P159)</f>
        <v/>
      </c>
      <c r="S159" s="172">
        <f>IF('Оперативный ввод'!Q159="","",'Оперативный ввод'!Q159)</f>
        <v/>
      </c>
      <c r="T159" s="172">
        <f>IF('Оперативный ввод'!R159="","",'Оперативный ввод'!R159)</f>
        <v/>
      </c>
      <c r="U159" s="172">
        <f>IF('Оперативный ввод'!S159="","",'Оперативный ввод'!S159)</f>
        <v/>
      </c>
      <c r="V159" s="172">
        <f>IF('Оперативный ввод'!T159="","",'Оперативный ввод'!T159)</f>
        <v/>
      </c>
      <c r="W159" s="172" t="n"/>
      <c r="X159" s="172" t="n"/>
      <c r="Y159" s="172" t="n"/>
      <c r="Z159" s="172" t="n"/>
      <c r="AA159" s="172">
        <f>IF('Оперативный ввод'!U159="","",'Оперативный ввод'!U159)</f>
        <v/>
      </c>
      <c r="AB159" s="172">
        <f>IF('Оперативный ввод'!V159="","",'Оперативный ввод'!V159)</f>
        <v/>
      </c>
      <c r="AC159" s="172">
        <f>IF('Оперативный ввод'!W159="","",'Оперативный ввод'!W159)</f>
        <v/>
      </c>
      <c r="BB159" s="172" t="n"/>
      <c r="BC159" s="172" t="n"/>
      <c r="BD159" s="205">
        <f>IF(AND(A159="",B159=""),"",IF(AND(P159="ГОТОВО",R159&lt;&gt;"",T159&lt;&gt;"",U159&lt;&gt;"",AA159&lt;&gt;"",AB159&lt;&gt;"",AC159&lt;&gt;"",BB159&lt;&gt;"",BC159&lt;&gt;""),"ГОТОВО","НЕ ГОТОВО"))</f>
        <v/>
      </c>
      <c r="BE159" s="205">
        <f>IF(BD159&lt;&gt;"ГОТОВО","","Полное заключение: "&amp;A159&amp;", скв. "&amp;B159&amp;". МРП: "&amp;E159&amp;" сут. ГНО: "&amp;F159&amp;"; причина: "&amp;U159&amp;"; категория: "&amp;V159&amp;"; решение комиссии: "&amp;BB159&amp;".")</f>
        <v/>
      </c>
      <c r="BF159" s="173">
        <f>IF('Оперативный ввод'!X159="","",'Оперативный ввод'!X159)</f>
        <v/>
      </c>
    </row>
    <row r="160">
      <c r="A160" s="171">
        <f>IF('Оперативный ввод'!A160="","",'Оперативный ввод'!A160)</f>
        <v/>
      </c>
      <c r="B160" s="172">
        <f>IF('Оперативный ввод'!B160="","",'Оперативный ввод'!B160)</f>
        <v/>
      </c>
      <c r="C160" s="270">
        <f>IF('Оперативный ввод'!C160="","",'Оперативный ввод'!C160)</f>
        <v/>
      </c>
      <c r="D160" s="270">
        <f>IF('Оперативный ввод'!D160="","",'Оперативный ввод'!D160)</f>
        <v/>
      </c>
      <c r="E160" s="271">
        <f>IF(OR(C160="",D160=""),"",D160-C160)</f>
        <v/>
      </c>
      <c r="F160" s="172">
        <f>IF('Оперативный ввод'!F160="","",'Оперативный ввод'!F160)</f>
        <v/>
      </c>
      <c r="G160" s="172">
        <f>IF('Оперативный ввод'!G160="","",'Оперативный ввод'!G160)</f>
        <v/>
      </c>
      <c r="H160" s="172">
        <f>IF('Оперативный ввод'!H160="","",'Оперативный ввод'!H160)</f>
        <v/>
      </c>
      <c r="I160" s="172">
        <f>IF('Оперативный ввод'!I160="","",'Оперативный ввод'!I160)</f>
        <v/>
      </c>
      <c r="J160" s="172">
        <f>IF('Оперативный ввод'!J160="","",'Оперативный ввод'!J160)</f>
        <v/>
      </c>
      <c r="K160" s="172">
        <f>IF('Оперативный ввод'!K160="","",'Оперативный ввод'!K160)</f>
        <v/>
      </c>
      <c r="L160" s="172">
        <f>IF('Оперативный ввод'!L160="","",'Оперативный ввод'!L160)</f>
        <v/>
      </c>
      <c r="M160" s="172">
        <f>IF('Оперативный ввод'!M160="","",'Оперативный ввод'!M160)</f>
        <v/>
      </c>
      <c r="N160" s="172">
        <f>IF('Оперативный ввод'!N160="","",'Оперативный ввод'!N160)</f>
        <v/>
      </c>
      <c r="O160" s="172">
        <f>IF('Оперативный ввод'!O160="","",'Оперативный ввод'!O160)</f>
        <v/>
      </c>
      <c r="P160" s="205">
        <f>IF(AND(A160="",B160=""),"",IF(AND(A160&lt;&gt;"",B160&lt;&gt;"",C160&lt;&gt;"",D160&lt;&gt;"",F160&lt;&gt;"",G160&lt;&gt;"",H160&lt;&gt;"",ISERROR(SEARCH("по паспорту",G160)),ISERROR(SEARCH("по паспорту",H160)),I160&lt;&gt;"",J160&lt;&gt;"",K160&lt;&gt;"",L160&lt;&gt;"",M160&lt;&gt;""),"ГОТОВО","НЕ ГОТОВО"))</f>
        <v/>
      </c>
      <c r="Q160" s="205">
        <f>IF(P160&lt;&gt;"ГОТОВО","", "Предварительное заключение: "&amp;A160&amp;", скв. "&amp;B160&amp;". МРП: "&amp;E160&amp;" сут. ГНО: "&amp;F160&amp;", типоразмер "&amp;G160&amp;", марка "&amp;H160&amp;". Событие: "&amp;I160&amp;". Признак: "&amp;J160&amp;". Узел: "&amp;K160&amp;". Предварительная причина: "&amp;L160&amp;". Основное осложнение: "&amp;M160&amp;IF(N160&lt;&gt;"","; сопутствующее: "&amp;N160,"")&amp;IF(O160&lt;&gt;"","; дополнительно: "&amp;O160,"")&amp;".")</f>
        <v/>
      </c>
      <c r="R160" s="172">
        <f>IF('Оперативный ввод'!P160="","",'Оперативный ввод'!P160)</f>
        <v/>
      </c>
      <c r="S160" s="172">
        <f>IF('Оперативный ввод'!Q160="","",'Оперативный ввод'!Q160)</f>
        <v/>
      </c>
      <c r="T160" s="172">
        <f>IF('Оперативный ввод'!R160="","",'Оперативный ввод'!R160)</f>
        <v/>
      </c>
      <c r="U160" s="172">
        <f>IF('Оперативный ввод'!S160="","",'Оперативный ввод'!S160)</f>
        <v/>
      </c>
      <c r="V160" s="172">
        <f>IF('Оперативный ввод'!T160="","",'Оперативный ввод'!T160)</f>
        <v/>
      </c>
      <c r="W160" s="172" t="n"/>
      <c r="X160" s="172" t="n"/>
      <c r="Y160" s="172" t="n"/>
      <c r="Z160" s="172" t="n"/>
      <c r="AA160" s="172">
        <f>IF('Оперативный ввод'!U160="","",'Оперативный ввод'!U160)</f>
        <v/>
      </c>
      <c r="AB160" s="172">
        <f>IF('Оперативный ввод'!V160="","",'Оперативный ввод'!V160)</f>
        <v/>
      </c>
      <c r="AC160" s="172">
        <f>IF('Оперативный ввод'!W160="","",'Оперативный ввод'!W160)</f>
        <v/>
      </c>
      <c r="BB160" s="172" t="n"/>
      <c r="BC160" s="172" t="n"/>
      <c r="BD160" s="205">
        <f>IF(AND(A160="",B160=""),"",IF(AND(P160="ГОТОВО",R160&lt;&gt;"",T160&lt;&gt;"",U160&lt;&gt;"",AA160&lt;&gt;"",AB160&lt;&gt;"",AC160&lt;&gt;"",BB160&lt;&gt;"",BC160&lt;&gt;""),"ГОТОВО","НЕ ГОТОВО"))</f>
        <v/>
      </c>
      <c r="BE160" s="205">
        <f>IF(BD160&lt;&gt;"ГОТОВО","","Полное заключение: "&amp;A160&amp;", скв. "&amp;B160&amp;". МРП: "&amp;E160&amp;" сут. ГНО: "&amp;F160&amp;"; причина: "&amp;U160&amp;"; категория: "&amp;V160&amp;"; решение комиссии: "&amp;BB160&amp;".")</f>
        <v/>
      </c>
      <c r="BF160" s="173">
        <f>IF('Оперативный ввод'!X160="","",'Оперативный ввод'!X160)</f>
        <v/>
      </c>
    </row>
    <row r="161">
      <c r="A161" s="171">
        <f>IF('Оперативный ввод'!A161="","",'Оперативный ввод'!A161)</f>
        <v/>
      </c>
      <c r="B161" s="172">
        <f>IF('Оперативный ввод'!B161="","",'Оперативный ввод'!B161)</f>
        <v/>
      </c>
      <c r="C161" s="270">
        <f>IF('Оперативный ввод'!C161="","",'Оперативный ввод'!C161)</f>
        <v/>
      </c>
      <c r="D161" s="270">
        <f>IF('Оперативный ввод'!D161="","",'Оперативный ввод'!D161)</f>
        <v/>
      </c>
      <c r="E161" s="271">
        <f>IF(OR(C161="",D161=""),"",D161-C161)</f>
        <v/>
      </c>
      <c r="F161" s="172">
        <f>IF('Оперативный ввод'!F161="","",'Оперативный ввод'!F161)</f>
        <v/>
      </c>
      <c r="G161" s="172">
        <f>IF('Оперативный ввод'!G161="","",'Оперативный ввод'!G161)</f>
        <v/>
      </c>
      <c r="H161" s="172">
        <f>IF('Оперативный ввод'!H161="","",'Оперативный ввод'!H161)</f>
        <v/>
      </c>
      <c r="I161" s="172">
        <f>IF('Оперативный ввод'!I161="","",'Оперативный ввод'!I161)</f>
        <v/>
      </c>
      <c r="J161" s="172">
        <f>IF('Оперативный ввод'!J161="","",'Оперативный ввод'!J161)</f>
        <v/>
      </c>
      <c r="K161" s="172">
        <f>IF('Оперативный ввод'!K161="","",'Оперативный ввод'!K161)</f>
        <v/>
      </c>
      <c r="L161" s="172">
        <f>IF('Оперативный ввод'!L161="","",'Оперативный ввод'!L161)</f>
        <v/>
      </c>
      <c r="M161" s="172">
        <f>IF('Оперативный ввод'!M161="","",'Оперативный ввод'!M161)</f>
        <v/>
      </c>
      <c r="N161" s="172">
        <f>IF('Оперативный ввод'!N161="","",'Оперативный ввод'!N161)</f>
        <v/>
      </c>
      <c r="O161" s="172">
        <f>IF('Оперативный ввод'!O161="","",'Оперативный ввод'!O161)</f>
        <v/>
      </c>
      <c r="P161" s="205">
        <f>IF(AND(A161="",B161=""),"",IF(AND(A161&lt;&gt;"",B161&lt;&gt;"",C161&lt;&gt;"",D161&lt;&gt;"",F161&lt;&gt;"",G161&lt;&gt;"",H161&lt;&gt;"",ISERROR(SEARCH("по паспорту",G161)),ISERROR(SEARCH("по паспорту",H161)),I161&lt;&gt;"",J161&lt;&gt;"",K161&lt;&gt;"",L161&lt;&gt;"",M161&lt;&gt;""),"ГОТОВО","НЕ ГОТОВО"))</f>
        <v/>
      </c>
      <c r="Q161" s="205">
        <f>IF(P161&lt;&gt;"ГОТОВО","", "Предварительное заключение: "&amp;A161&amp;", скв. "&amp;B161&amp;". МРП: "&amp;E161&amp;" сут. ГНО: "&amp;F161&amp;", типоразмер "&amp;G161&amp;", марка "&amp;H161&amp;". Событие: "&amp;I161&amp;". Признак: "&amp;J161&amp;". Узел: "&amp;K161&amp;". Предварительная причина: "&amp;L161&amp;". Основное осложнение: "&amp;M161&amp;IF(N161&lt;&gt;"","; сопутствующее: "&amp;N161,"")&amp;IF(O161&lt;&gt;"","; дополнительно: "&amp;O161,"")&amp;".")</f>
        <v/>
      </c>
      <c r="R161" s="172">
        <f>IF('Оперативный ввод'!P161="","",'Оперативный ввод'!P161)</f>
        <v/>
      </c>
      <c r="S161" s="172">
        <f>IF('Оперативный ввод'!Q161="","",'Оперативный ввод'!Q161)</f>
        <v/>
      </c>
      <c r="T161" s="172">
        <f>IF('Оперативный ввод'!R161="","",'Оперативный ввод'!R161)</f>
        <v/>
      </c>
      <c r="U161" s="172">
        <f>IF('Оперативный ввод'!S161="","",'Оперативный ввод'!S161)</f>
        <v/>
      </c>
      <c r="V161" s="172">
        <f>IF('Оперативный ввод'!T161="","",'Оперативный ввод'!T161)</f>
        <v/>
      </c>
      <c r="W161" s="172" t="n"/>
      <c r="X161" s="172" t="n"/>
      <c r="Y161" s="172" t="n"/>
      <c r="Z161" s="172" t="n"/>
      <c r="AA161" s="172">
        <f>IF('Оперативный ввод'!U161="","",'Оперативный ввод'!U161)</f>
        <v/>
      </c>
      <c r="AB161" s="172">
        <f>IF('Оперативный ввод'!V161="","",'Оперативный ввод'!V161)</f>
        <v/>
      </c>
      <c r="AC161" s="172">
        <f>IF('Оперативный ввод'!W161="","",'Оперативный ввод'!W161)</f>
        <v/>
      </c>
      <c r="BB161" s="172" t="n"/>
      <c r="BC161" s="172" t="n"/>
      <c r="BD161" s="205">
        <f>IF(AND(A161="",B161=""),"",IF(AND(P161="ГОТОВО",R161&lt;&gt;"",T161&lt;&gt;"",U161&lt;&gt;"",AA161&lt;&gt;"",AB161&lt;&gt;"",AC161&lt;&gt;"",BB161&lt;&gt;"",BC161&lt;&gt;""),"ГОТОВО","НЕ ГОТОВО"))</f>
        <v/>
      </c>
      <c r="BE161" s="205">
        <f>IF(BD161&lt;&gt;"ГОТОВО","","Полное заключение: "&amp;A161&amp;", скв. "&amp;B161&amp;". МРП: "&amp;E161&amp;" сут. ГНО: "&amp;F161&amp;"; причина: "&amp;U161&amp;"; категория: "&amp;V161&amp;"; решение комиссии: "&amp;BB161&amp;".")</f>
        <v/>
      </c>
      <c r="BF161" s="173">
        <f>IF('Оперативный ввод'!X161="","",'Оперативный ввод'!X161)</f>
        <v/>
      </c>
    </row>
    <row r="162">
      <c r="A162" s="171">
        <f>IF('Оперативный ввод'!A162="","",'Оперативный ввод'!A162)</f>
        <v/>
      </c>
      <c r="B162" s="172">
        <f>IF('Оперативный ввод'!B162="","",'Оперативный ввод'!B162)</f>
        <v/>
      </c>
      <c r="C162" s="270">
        <f>IF('Оперативный ввод'!C162="","",'Оперативный ввод'!C162)</f>
        <v/>
      </c>
      <c r="D162" s="270">
        <f>IF('Оперативный ввод'!D162="","",'Оперативный ввод'!D162)</f>
        <v/>
      </c>
      <c r="E162" s="271">
        <f>IF(OR(C162="",D162=""),"",D162-C162)</f>
        <v/>
      </c>
      <c r="F162" s="172">
        <f>IF('Оперативный ввод'!F162="","",'Оперативный ввод'!F162)</f>
        <v/>
      </c>
      <c r="G162" s="172">
        <f>IF('Оперативный ввод'!G162="","",'Оперативный ввод'!G162)</f>
        <v/>
      </c>
      <c r="H162" s="172">
        <f>IF('Оперативный ввод'!H162="","",'Оперативный ввод'!H162)</f>
        <v/>
      </c>
      <c r="I162" s="172">
        <f>IF('Оперативный ввод'!I162="","",'Оперативный ввод'!I162)</f>
        <v/>
      </c>
      <c r="J162" s="172">
        <f>IF('Оперативный ввод'!J162="","",'Оперативный ввод'!J162)</f>
        <v/>
      </c>
      <c r="K162" s="172">
        <f>IF('Оперативный ввод'!K162="","",'Оперативный ввод'!K162)</f>
        <v/>
      </c>
      <c r="L162" s="172">
        <f>IF('Оперативный ввод'!L162="","",'Оперативный ввод'!L162)</f>
        <v/>
      </c>
      <c r="M162" s="172">
        <f>IF('Оперативный ввод'!M162="","",'Оперативный ввод'!M162)</f>
        <v/>
      </c>
      <c r="N162" s="172">
        <f>IF('Оперативный ввод'!N162="","",'Оперативный ввод'!N162)</f>
        <v/>
      </c>
      <c r="O162" s="172">
        <f>IF('Оперативный ввод'!O162="","",'Оперативный ввод'!O162)</f>
        <v/>
      </c>
      <c r="P162" s="205">
        <f>IF(AND(A162="",B162=""),"",IF(AND(A162&lt;&gt;"",B162&lt;&gt;"",C162&lt;&gt;"",D162&lt;&gt;"",F162&lt;&gt;"",G162&lt;&gt;"",H162&lt;&gt;"",ISERROR(SEARCH("по паспорту",G162)),ISERROR(SEARCH("по паспорту",H162)),I162&lt;&gt;"",J162&lt;&gt;"",K162&lt;&gt;"",L162&lt;&gt;"",M162&lt;&gt;""),"ГОТОВО","НЕ ГОТОВО"))</f>
        <v/>
      </c>
      <c r="Q162" s="205">
        <f>IF(P162&lt;&gt;"ГОТОВО","", "Предварительное заключение: "&amp;A162&amp;", скв. "&amp;B162&amp;". МРП: "&amp;E162&amp;" сут. ГНО: "&amp;F162&amp;", типоразмер "&amp;G162&amp;", марка "&amp;H162&amp;". Событие: "&amp;I162&amp;". Признак: "&amp;J162&amp;". Узел: "&amp;K162&amp;". Предварительная причина: "&amp;L162&amp;". Основное осложнение: "&amp;M162&amp;IF(N162&lt;&gt;"","; сопутствующее: "&amp;N162,"")&amp;IF(O162&lt;&gt;"","; дополнительно: "&amp;O162,"")&amp;".")</f>
        <v/>
      </c>
      <c r="R162" s="172">
        <f>IF('Оперативный ввод'!P162="","",'Оперативный ввод'!P162)</f>
        <v/>
      </c>
      <c r="S162" s="172">
        <f>IF('Оперативный ввод'!Q162="","",'Оперативный ввод'!Q162)</f>
        <v/>
      </c>
      <c r="T162" s="172">
        <f>IF('Оперативный ввод'!R162="","",'Оперативный ввод'!R162)</f>
        <v/>
      </c>
      <c r="U162" s="172">
        <f>IF('Оперативный ввод'!S162="","",'Оперативный ввод'!S162)</f>
        <v/>
      </c>
      <c r="V162" s="172">
        <f>IF('Оперативный ввод'!T162="","",'Оперативный ввод'!T162)</f>
        <v/>
      </c>
      <c r="W162" s="172" t="n"/>
      <c r="X162" s="172" t="n"/>
      <c r="Y162" s="172" t="n"/>
      <c r="Z162" s="172" t="n"/>
      <c r="AA162" s="172">
        <f>IF('Оперативный ввод'!U162="","",'Оперативный ввод'!U162)</f>
        <v/>
      </c>
      <c r="AB162" s="172">
        <f>IF('Оперативный ввод'!V162="","",'Оперативный ввод'!V162)</f>
        <v/>
      </c>
      <c r="AC162" s="172">
        <f>IF('Оперативный ввод'!W162="","",'Оперативный ввод'!W162)</f>
        <v/>
      </c>
      <c r="BB162" s="172" t="n"/>
      <c r="BC162" s="172" t="n"/>
      <c r="BD162" s="205">
        <f>IF(AND(A162="",B162=""),"",IF(AND(P162="ГОТОВО",R162&lt;&gt;"",T162&lt;&gt;"",U162&lt;&gt;"",AA162&lt;&gt;"",AB162&lt;&gt;"",AC162&lt;&gt;"",BB162&lt;&gt;"",BC162&lt;&gt;""),"ГОТОВО","НЕ ГОТОВО"))</f>
        <v/>
      </c>
      <c r="BE162" s="205">
        <f>IF(BD162&lt;&gt;"ГОТОВО","","Полное заключение: "&amp;A162&amp;", скв. "&amp;B162&amp;". МРП: "&amp;E162&amp;" сут. ГНО: "&amp;F162&amp;"; причина: "&amp;U162&amp;"; категория: "&amp;V162&amp;"; решение комиссии: "&amp;BB162&amp;".")</f>
        <v/>
      </c>
      <c r="BF162" s="173">
        <f>IF('Оперативный ввод'!X162="","",'Оперативный ввод'!X162)</f>
        <v/>
      </c>
    </row>
    <row r="163">
      <c r="A163" s="171">
        <f>IF('Оперативный ввод'!A163="","",'Оперативный ввод'!A163)</f>
        <v/>
      </c>
      <c r="B163" s="172">
        <f>IF('Оперативный ввод'!B163="","",'Оперативный ввод'!B163)</f>
        <v/>
      </c>
      <c r="C163" s="270">
        <f>IF('Оперативный ввод'!C163="","",'Оперативный ввод'!C163)</f>
        <v/>
      </c>
      <c r="D163" s="270">
        <f>IF('Оперативный ввод'!D163="","",'Оперативный ввод'!D163)</f>
        <v/>
      </c>
      <c r="E163" s="271">
        <f>IF(OR(C163="",D163=""),"",D163-C163)</f>
        <v/>
      </c>
      <c r="F163" s="172">
        <f>IF('Оперативный ввод'!F163="","",'Оперативный ввод'!F163)</f>
        <v/>
      </c>
      <c r="G163" s="172">
        <f>IF('Оперативный ввод'!G163="","",'Оперативный ввод'!G163)</f>
        <v/>
      </c>
      <c r="H163" s="172">
        <f>IF('Оперативный ввод'!H163="","",'Оперативный ввод'!H163)</f>
        <v/>
      </c>
      <c r="I163" s="172">
        <f>IF('Оперативный ввод'!I163="","",'Оперативный ввод'!I163)</f>
        <v/>
      </c>
      <c r="J163" s="172">
        <f>IF('Оперативный ввод'!J163="","",'Оперативный ввод'!J163)</f>
        <v/>
      </c>
      <c r="K163" s="172">
        <f>IF('Оперативный ввод'!K163="","",'Оперативный ввод'!K163)</f>
        <v/>
      </c>
      <c r="L163" s="172">
        <f>IF('Оперативный ввод'!L163="","",'Оперативный ввод'!L163)</f>
        <v/>
      </c>
      <c r="M163" s="172">
        <f>IF('Оперативный ввод'!M163="","",'Оперативный ввод'!M163)</f>
        <v/>
      </c>
      <c r="N163" s="172">
        <f>IF('Оперативный ввод'!N163="","",'Оперативный ввод'!N163)</f>
        <v/>
      </c>
      <c r="O163" s="172">
        <f>IF('Оперативный ввод'!O163="","",'Оперативный ввод'!O163)</f>
        <v/>
      </c>
      <c r="P163" s="205">
        <f>IF(AND(A163="",B163=""),"",IF(AND(A163&lt;&gt;"",B163&lt;&gt;"",C163&lt;&gt;"",D163&lt;&gt;"",F163&lt;&gt;"",G163&lt;&gt;"",H163&lt;&gt;"",ISERROR(SEARCH("по паспорту",G163)),ISERROR(SEARCH("по паспорту",H163)),I163&lt;&gt;"",J163&lt;&gt;"",K163&lt;&gt;"",L163&lt;&gt;"",M163&lt;&gt;""),"ГОТОВО","НЕ ГОТОВО"))</f>
        <v/>
      </c>
      <c r="Q163" s="205">
        <f>IF(P163&lt;&gt;"ГОТОВО","", "Предварительное заключение: "&amp;A163&amp;", скв. "&amp;B163&amp;". МРП: "&amp;E163&amp;" сут. ГНО: "&amp;F163&amp;", типоразмер "&amp;G163&amp;", марка "&amp;H163&amp;". Событие: "&amp;I163&amp;". Признак: "&amp;J163&amp;". Узел: "&amp;K163&amp;". Предварительная причина: "&amp;L163&amp;". Основное осложнение: "&amp;M163&amp;IF(N163&lt;&gt;"","; сопутствующее: "&amp;N163,"")&amp;IF(O163&lt;&gt;"","; дополнительно: "&amp;O163,"")&amp;".")</f>
        <v/>
      </c>
      <c r="R163" s="172">
        <f>IF('Оперативный ввод'!P163="","",'Оперативный ввод'!P163)</f>
        <v/>
      </c>
      <c r="S163" s="172">
        <f>IF('Оперативный ввод'!Q163="","",'Оперативный ввод'!Q163)</f>
        <v/>
      </c>
      <c r="T163" s="172">
        <f>IF('Оперативный ввод'!R163="","",'Оперативный ввод'!R163)</f>
        <v/>
      </c>
      <c r="U163" s="172">
        <f>IF('Оперативный ввод'!S163="","",'Оперативный ввод'!S163)</f>
        <v/>
      </c>
      <c r="V163" s="172">
        <f>IF('Оперативный ввод'!T163="","",'Оперативный ввод'!T163)</f>
        <v/>
      </c>
      <c r="W163" s="172" t="n"/>
      <c r="X163" s="172" t="n"/>
      <c r="Y163" s="172" t="n"/>
      <c r="Z163" s="172" t="n"/>
      <c r="AA163" s="172">
        <f>IF('Оперативный ввод'!U163="","",'Оперативный ввод'!U163)</f>
        <v/>
      </c>
      <c r="AB163" s="172">
        <f>IF('Оперативный ввод'!V163="","",'Оперативный ввод'!V163)</f>
        <v/>
      </c>
      <c r="AC163" s="172">
        <f>IF('Оперативный ввод'!W163="","",'Оперативный ввод'!W163)</f>
        <v/>
      </c>
      <c r="BB163" s="172" t="n"/>
      <c r="BC163" s="172" t="n"/>
      <c r="BD163" s="205">
        <f>IF(AND(A163="",B163=""),"",IF(AND(P163="ГОТОВО",R163&lt;&gt;"",T163&lt;&gt;"",U163&lt;&gt;"",AA163&lt;&gt;"",AB163&lt;&gt;"",AC163&lt;&gt;"",BB163&lt;&gt;"",BC163&lt;&gt;""),"ГОТОВО","НЕ ГОТОВО"))</f>
        <v/>
      </c>
      <c r="BE163" s="205">
        <f>IF(BD163&lt;&gt;"ГОТОВО","","Полное заключение: "&amp;A163&amp;", скв. "&amp;B163&amp;". МРП: "&amp;E163&amp;" сут. ГНО: "&amp;F163&amp;"; причина: "&amp;U163&amp;"; категория: "&amp;V163&amp;"; решение комиссии: "&amp;BB163&amp;".")</f>
        <v/>
      </c>
      <c r="BF163" s="173">
        <f>IF('Оперативный ввод'!X163="","",'Оперативный ввод'!X163)</f>
        <v/>
      </c>
    </row>
    <row r="164">
      <c r="A164" s="171">
        <f>IF('Оперативный ввод'!A164="","",'Оперативный ввод'!A164)</f>
        <v/>
      </c>
      <c r="B164" s="172">
        <f>IF('Оперативный ввод'!B164="","",'Оперативный ввод'!B164)</f>
        <v/>
      </c>
      <c r="C164" s="270">
        <f>IF('Оперативный ввод'!C164="","",'Оперативный ввод'!C164)</f>
        <v/>
      </c>
      <c r="D164" s="270">
        <f>IF('Оперативный ввод'!D164="","",'Оперативный ввод'!D164)</f>
        <v/>
      </c>
      <c r="E164" s="271">
        <f>IF(OR(C164="",D164=""),"",D164-C164)</f>
        <v/>
      </c>
      <c r="F164" s="172">
        <f>IF('Оперативный ввод'!F164="","",'Оперативный ввод'!F164)</f>
        <v/>
      </c>
      <c r="G164" s="172">
        <f>IF('Оперативный ввод'!G164="","",'Оперативный ввод'!G164)</f>
        <v/>
      </c>
      <c r="H164" s="172">
        <f>IF('Оперативный ввод'!H164="","",'Оперативный ввод'!H164)</f>
        <v/>
      </c>
      <c r="I164" s="172">
        <f>IF('Оперативный ввод'!I164="","",'Оперативный ввод'!I164)</f>
        <v/>
      </c>
      <c r="J164" s="172">
        <f>IF('Оперативный ввод'!J164="","",'Оперативный ввод'!J164)</f>
        <v/>
      </c>
      <c r="K164" s="172">
        <f>IF('Оперативный ввод'!K164="","",'Оперативный ввод'!K164)</f>
        <v/>
      </c>
      <c r="L164" s="172">
        <f>IF('Оперативный ввод'!L164="","",'Оперативный ввод'!L164)</f>
        <v/>
      </c>
      <c r="M164" s="172">
        <f>IF('Оперативный ввод'!M164="","",'Оперативный ввод'!M164)</f>
        <v/>
      </c>
      <c r="N164" s="172">
        <f>IF('Оперативный ввод'!N164="","",'Оперативный ввод'!N164)</f>
        <v/>
      </c>
      <c r="O164" s="172">
        <f>IF('Оперативный ввод'!O164="","",'Оперативный ввод'!O164)</f>
        <v/>
      </c>
      <c r="P164" s="205">
        <f>IF(AND(A164="",B164=""),"",IF(AND(A164&lt;&gt;"",B164&lt;&gt;"",C164&lt;&gt;"",D164&lt;&gt;"",F164&lt;&gt;"",G164&lt;&gt;"",H164&lt;&gt;"",ISERROR(SEARCH("по паспорту",G164)),ISERROR(SEARCH("по паспорту",H164)),I164&lt;&gt;"",J164&lt;&gt;"",K164&lt;&gt;"",L164&lt;&gt;"",M164&lt;&gt;""),"ГОТОВО","НЕ ГОТОВО"))</f>
        <v/>
      </c>
      <c r="Q164" s="205">
        <f>IF(P164&lt;&gt;"ГОТОВО","", "Предварительное заключение: "&amp;A164&amp;", скв. "&amp;B164&amp;". МРП: "&amp;E164&amp;" сут. ГНО: "&amp;F164&amp;", типоразмер "&amp;G164&amp;", марка "&amp;H164&amp;". Событие: "&amp;I164&amp;". Признак: "&amp;J164&amp;". Узел: "&amp;K164&amp;". Предварительная причина: "&amp;L164&amp;". Основное осложнение: "&amp;M164&amp;IF(N164&lt;&gt;"","; сопутствующее: "&amp;N164,"")&amp;IF(O164&lt;&gt;"","; дополнительно: "&amp;O164,"")&amp;".")</f>
        <v/>
      </c>
      <c r="R164" s="172">
        <f>IF('Оперативный ввод'!P164="","",'Оперативный ввод'!P164)</f>
        <v/>
      </c>
      <c r="S164" s="172">
        <f>IF('Оперативный ввод'!Q164="","",'Оперативный ввод'!Q164)</f>
        <v/>
      </c>
      <c r="T164" s="172">
        <f>IF('Оперативный ввод'!R164="","",'Оперативный ввод'!R164)</f>
        <v/>
      </c>
      <c r="U164" s="172">
        <f>IF('Оперативный ввод'!S164="","",'Оперативный ввод'!S164)</f>
        <v/>
      </c>
      <c r="V164" s="172">
        <f>IF('Оперативный ввод'!T164="","",'Оперативный ввод'!T164)</f>
        <v/>
      </c>
      <c r="W164" s="172" t="n"/>
      <c r="X164" s="172" t="n"/>
      <c r="Y164" s="172" t="n"/>
      <c r="Z164" s="172" t="n"/>
      <c r="AA164" s="172">
        <f>IF('Оперативный ввод'!U164="","",'Оперативный ввод'!U164)</f>
        <v/>
      </c>
      <c r="AB164" s="172">
        <f>IF('Оперативный ввод'!V164="","",'Оперативный ввод'!V164)</f>
        <v/>
      </c>
      <c r="AC164" s="172">
        <f>IF('Оперативный ввод'!W164="","",'Оперативный ввод'!W164)</f>
        <v/>
      </c>
      <c r="BB164" s="172" t="n"/>
      <c r="BC164" s="172" t="n"/>
      <c r="BD164" s="205">
        <f>IF(AND(A164="",B164=""),"",IF(AND(P164="ГОТОВО",R164&lt;&gt;"",T164&lt;&gt;"",U164&lt;&gt;"",AA164&lt;&gt;"",AB164&lt;&gt;"",AC164&lt;&gt;"",BB164&lt;&gt;"",BC164&lt;&gt;""),"ГОТОВО","НЕ ГОТОВО"))</f>
        <v/>
      </c>
      <c r="BE164" s="205">
        <f>IF(BD164&lt;&gt;"ГОТОВО","","Полное заключение: "&amp;A164&amp;", скв. "&amp;B164&amp;". МРП: "&amp;E164&amp;" сут. ГНО: "&amp;F164&amp;"; причина: "&amp;U164&amp;"; категория: "&amp;V164&amp;"; решение комиссии: "&amp;BB164&amp;".")</f>
        <v/>
      </c>
      <c r="BF164" s="173">
        <f>IF('Оперативный ввод'!X164="","",'Оперативный ввод'!X164)</f>
        <v/>
      </c>
    </row>
    <row r="165">
      <c r="A165" s="171">
        <f>IF('Оперативный ввод'!A165="","",'Оперативный ввод'!A165)</f>
        <v/>
      </c>
      <c r="B165" s="172">
        <f>IF('Оперативный ввод'!B165="","",'Оперативный ввод'!B165)</f>
        <v/>
      </c>
      <c r="C165" s="270">
        <f>IF('Оперативный ввод'!C165="","",'Оперативный ввод'!C165)</f>
        <v/>
      </c>
      <c r="D165" s="270">
        <f>IF('Оперативный ввод'!D165="","",'Оперативный ввод'!D165)</f>
        <v/>
      </c>
      <c r="E165" s="271">
        <f>IF(OR(C165="",D165=""),"",D165-C165)</f>
        <v/>
      </c>
      <c r="F165" s="172">
        <f>IF('Оперативный ввод'!F165="","",'Оперативный ввод'!F165)</f>
        <v/>
      </c>
      <c r="G165" s="172">
        <f>IF('Оперативный ввод'!G165="","",'Оперативный ввод'!G165)</f>
        <v/>
      </c>
      <c r="H165" s="172">
        <f>IF('Оперативный ввод'!H165="","",'Оперативный ввод'!H165)</f>
        <v/>
      </c>
      <c r="I165" s="172">
        <f>IF('Оперативный ввод'!I165="","",'Оперативный ввод'!I165)</f>
        <v/>
      </c>
      <c r="J165" s="172">
        <f>IF('Оперативный ввод'!J165="","",'Оперативный ввод'!J165)</f>
        <v/>
      </c>
      <c r="K165" s="172">
        <f>IF('Оперативный ввод'!K165="","",'Оперативный ввод'!K165)</f>
        <v/>
      </c>
      <c r="L165" s="172">
        <f>IF('Оперативный ввод'!L165="","",'Оперативный ввод'!L165)</f>
        <v/>
      </c>
      <c r="M165" s="172">
        <f>IF('Оперативный ввод'!M165="","",'Оперативный ввод'!M165)</f>
        <v/>
      </c>
      <c r="N165" s="172">
        <f>IF('Оперативный ввод'!N165="","",'Оперативный ввод'!N165)</f>
        <v/>
      </c>
      <c r="O165" s="172">
        <f>IF('Оперативный ввод'!O165="","",'Оперативный ввод'!O165)</f>
        <v/>
      </c>
      <c r="P165" s="205">
        <f>IF(AND(A165="",B165=""),"",IF(AND(A165&lt;&gt;"",B165&lt;&gt;"",C165&lt;&gt;"",D165&lt;&gt;"",F165&lt;&gt;"",G165&lt;&gt;"",H165&lt;&gt;"",ISERROR(SEARCH("по паспорту",G165)),ISERROR(SEARCH("по паспорту",H165)),I165&lt;&gt;"",J165&lt;&gt;"",K165&lt;&gt;"",L165&lt;&gt;"",M165&lt;&gt;""),"ГОТОВО","НЕ ГОТОВО"))</f>
        <v/>
      </c>
      <c r="Q165" s="205">
        <f>IF(P165&lt;&gt;"ГОТОВО","", "Предварительное заключение: "&amp;A165&amp;", скв. "&amp;B165&amp;". МРП: "&amp;E165&amp;" сут. ГНО: "&amp;F165&amp;", типоразмер "&amp;G165&amp;", марка "&amp;H165&amp;". Событие: "&amp;I165&amp;". Признак: "&amp;J165&amp;". Узел: "&amp;K165&amp;". Предварительная причина: "&amp;L165&amp;". Основное осложнение: "&amp;M165&amp;IF(N165&lt;&gt;"","; сопутствующее: "&amp;N165,"")&amp;IF(O165&lt;&gt;"","; дополнительно: "&amp;O165,"")&amp;".")</f>
        <v/>
      </c>
      <c r="R165" s="172">
        <f>IF('Оперативный ввод'!P165="","",'Оперативный ввод'!P165)</f>
        <v/>
      </c>
      <c r="S165" s="172">
        <f>IF('Оперативный ввод'!Q165="","",'Оперативный ввод'!Q165)</f>
        <v/>
      </c>
      <c r="T165" s="172">
        <f>IF('Оперативный ввод'!R165="","",'Оперативный ввод'!R165)</f>
        <v/>
      </c>
      <c r="U165" s="172">
        <f>IF('Оперативный ввод'!S165="","",'Оперативный ввод'!S165)</f>
        <v/>
      </c>
      <c r="V165" s="172">
        <f>IF('Оперативный ввод'!T165="","",'Оперативный ввод'!T165)</f>
        <v/>
      </c>
      <c r="W165" s="172" t="n"/>
      <c r="X165" s="172" t="n"/>
      <c r="Y165" s="172" t="n"/>
      <c r="Z165" s="172" t="n"/>
      <c r="AA165" s="172">
        <f>IF('Оперативный ввод'!U165="","",'Оперативный ввод'!U165)</f>
        <v/>
      </c>
      <c r="AB165" s="172">
        <f>IF('Оперативный ввод'!V165="","",'Оперативный ввод'!V165)</f>
        <v/>
      </c>
      <c r="AC165" s="172">
        <f>IF('Оперативный ввод'!W165="","",'Оперативный ввод'!W165)</f>
        <v/>
      </c>
      <c r="BB165" s="172" t="n"/>
      <c r="BC165" s="172" t="n"/>
      <c r="BD165" s="205">
        <f>IF(AND(A165="",B165=""),"",IF(AND(P165="ГОТОВО",R165&lt;&gt;"",T165&lt;&gt;"",U165&lt;&gt;"",AA165&lt;&gt;"",AB165&lt;&gt;"",AC165&lt;&gt;"",BB165&lt;&gt;"",BC165&lt;&gt;""),"ГОТОВО","НЕ ГОТОВО"))</f>
        <v/>
      </c>
      <c r="BE165" s="205">
        <f>IF(BD165&lt;&gt;"ГОТОВО","","Полное заключение: "&amp;A165&amp;", скв. "&amp;B165&amp;". МРП: "&amp;E165&amp;" сут. ГНО: "&amp;F165&amp;"; причина: "&amp;U165&amp;"; категория: "&amp;V165&amp;"; решение комиссии: "&amp;BB165&amp;".")</f>
        <v/>
      </c>
      <c r="BF165" s="173">
        <f>IF('Оперативный ввод'!X165="","",'Оперативный ввод'!X165)</f>
        <v/>
      </c>
    </row>
    <row r="166">
      <c r="A166" s="171">
        <f>IF('Оперативный ввод'!A166="","",'Оперативный ввод'!A166)</f>
        <v/>
      </c>
      <c r="B166" s="172">
        <f>IF('Оперативный ввод'!B166="","",'Оперативный ввод'!B166)</f>
        <v/>
      </c>
      <c r="C166" s="270">
        <f>IF('Оперативный ввод'!C166="","",'Оперативный ввод'!C166)</f>
        <v/>
      </c>
      <c r="D166" s="270">
        <f>IF('Оперативный ввод'!D166="","",'Оперативный ввод'!D166)</f>
        <v/>
      </c>
      <c r="E166" s="271">
        <f>IF(OR(C166="",D166=""),"",D166-C166)</f>
        <v/>
      </c>
      <c r="F166" s="172">
        <f>IF('Оперативный ввод'!F166="","",'Оперативный ввод'!F166)</f>
        <v/>
      </c>
      <c r="G166" s="172">
        <f>IF('Оперативный ввод'!G166="","",'Оперативный ввод'!G166)</f>
        <v/>
      </c>
      <c r="H166" s="172">
        <f>IF('Оперативный ввод'!H166="","",'Оперативный ввод'!H166)</f>
        <v/>
      </c>
      <c r="I166" s="172">
        <f>IF('Оперативный ввод'!I166="","",'Оперативный ввод'!I166)</f>
        <v/>
      </c>
      <c r="J166" s="172">
        <f>IF('Оперативный ввод'!J166="","",'Оперативный ввод'!J166)</f>
        <v/>
      </c>
      <c r="K166" s="172">
        <f>IF('Оперативный ввод'!K166="","",'Оперативный ввод'!K166)</f>
        <v/>
      </c>
      <c r="L166" s="172">
        <f>IF('Оперативный ввод'!L166="","",'Оперативный ввод'!L166)</f>
        <v/>
      </c>
      <c r="M166" s="172">
        <f>IF('Оперативный ввод'!M166="","",'Оперативный ввод'!M166)</f>
        <v/>
      </c>
      <c r="N166" s="172">
        <f>IF('Оперативный ввод'!N166="","",'Оперативный ввод'!N166)</f>
        <v/>
      </c>
      <c r="O166" s="172">
        <f>IF('Оперативный ввод'!O166="","",'Оперативный ввод'!O166)</f>
        <v/>
      </c>
      <c r="P166" s="205">
        <f>IF(AND(A166="",B166=""),"",IF(AND(A166&lt;&gt;"",B166&lt;&gt;"",C166&lt;&gt;"",D166&lt;&gt;"",F166&lt;&gt;"",G166&lt;&gt;"",H166&lt;&gt;"",ISERROR(SEARCH("по паспорту",G166)),ISERROR(SEARCH("по паспорту",H166)),I166&lt;&gt;"",J166&lt;&gt;"",K166&lt;&gt;"",L166&lt;&gt;"",M166&lt;&gt;""),"ГОТОВО","НЕ ГОТОВО"))</f>
        <v/>
      </c>
      <c r="Q166" s="205">
        <f>IF(P166&lt;&gt;"ГОТОВО","", "Предварительное заключение: "&amp;A166&amp;", скв. "&amp;B166&amp;". МРП: "&amp;E166&amp;" сут. ГНО: "&amp;F166&amp;", типоразмер "&amp;G166&amp;", марка "&amp;H166&amp;". Событие: "&amp;I166&amp;". Признак: "&amp;J166&amp;". Узел: "&amp;K166&amp;". Предварительная причина: "&amp;L166&amp;". Основное осложнение: "&amp;M166&amp;IF(N166&lt;&gt;"","; сопутствующее: "&amp;N166,"")&amp;IF(O166&lt;&gt;"","; дополнительно: "&amp;O166,"")&amp;".")</f>
        <v/>
      </c>
      <c r="R166" s="172">
        <f>IF('Оперативный ввод'!P166="","",'Оперативный ввод'!P166)</f>
        <v/>
      </c>
      <c r="S166" s="172">
        <f>IF('Оперативный ввод'!Q166="","",'Оперативный ввод'!Q166)</f>
        <v/>
      </c>
      <c r="T166" s="172">
        <f>IF('Оперативный ввод'!R166="","",'Оперативный ввод'!R166)</f>
        <v/>
      </c>
      <c r="U166" s="172">
        <f>IF('Оперативный ввод'!S166="","",'Оперативный ввод'!S166)</f>
        <v/>
      </c>
      <c r="V166" s="172">
        <f>IF('Оперативный ввод'!T166="","",'Оперативный ввод'!T166)</f>
        <v/>
      </c>
      <c r="W166" s="172" t="n"/>
      <c r="X166" s="172" t="n"/>
      <c r="Y166" s="172" t="n"/>
      <c r="Z166" s="172" t="n"/>
      <c r="AA166" s="172">
        <f>IF('Оперативный ввод'!U166="","",'Оперативный ввод'!U166)</f>
        <v/>
      </c>
      <c r="AB166" s="172">
        <f>IF('Оперативный ввод'!V166="","",'Оперативный ввод'!V166)</f>
        <v/>
      </c>
      <c r="AC166" s="172">
        <f>IF('Оперативный ввод'!W166="","",'Оперативный ввод'!W166)</f>
        <v/>
      </c>
      <c r="BB166" s="172" t="n"/>
      <c r="BC166" s="172" t="n"/>
      <c r="BD166" s="205">
        <f>IF(AND(A166="",B166=""),"",IF(AND(P166="ГОТОВО",R166&lt;&gt;"",T166&lt;&gt;"",U166&lt;&gt;"",AA166&lt;&gt;"",AB166&lt;&gt;"",AC166&lt;&gt;"",BB166&lt;&gt;"",BC166&lt;&gt;""),"ГОТОВО","НЕ ГОТОВО"))</f>
        <v/>
      </c>
      <c r="BE166" s="205">
        <f>IF(BD166&lt;&gt;"ГОТОВО","","Полное заключение: "&amp;A166&amp;", скв. "&amp;B166&amp;". МРП: "&amp;E166&amp;" сут. ГНО: "&amp;F166&amp;"; причина: "&amp;U166&amp;"; категория: "&amp;V166&amp;"; решение комиссии: "&amp;BB166&amp;".")</f>
        <v/>
      </c>
      <c r="BF166" s="173">
        <f>IF('Оперативный ввод'!X166="","",'Оперативный ввод'!X166)</f>
        <v/>
      </c>
    </row>
    <row r="167">
      <c r="A167" s="171">
        <f>IF('Оперативный ввод'!A167="","",'Оперативный ввод'!A167)</f>
        <v/>
      </c>
      <c r="B167" s="172">
        <f>IF('Оперативный ввод'!B167="","",'Оперативный ввод'!B167)</f>
        <v/>
      </c>
      <c r="C167" s="270">
        <f>IF('Оперативный ввод'!C167="","",'Оперативный ввод'!C167)</f>
        <v/>
      </c>
      <c r="D167" s="270">
        <f>IF('Оперативный ввод'!D167="","",'Оперативный ввод'!D167)</f>
        <v/>
      </c>
      <c r="E167" s="271">
        <f>IF(OR(C167="",D167=""),"",D167-C167)</f>
        <v/>
      </c>
      <c r="F167" s="172">
        <f>IF('Оперативный ввод'!F167="","",'Оперативный ввод'!F167)</f>
        <v/>
      </c>
      <c r="G167" s="172">
        <f>IF('Оперативный ввод'!G167="","",'Оперативный ввод'!G167)</f>
        <v/>
      </c>
      <c r="H167" s="172">
        <f>IF('Оперативный ввод'!H167="","",'Оперативный ввод'!H167)</f>
        <v/>
      </c>
      <c r="I167" s="172">
        <f>IF('Оперативный ввод'!I167="","",'Оперативный ввод'!I167)</f>
        <v/>
      </c>
      <c r="J167" s="172">
        <f>IF('Оперативный ввод'!J167="","",'Оперативный ввод'!J167)</f>
        <v/>
      </c>
      <c r="K167" s="172">
        <f>IF('Оперативный ввод'!K167="","",'Оперативный ввод'!K167)</f>
        <v/>
      </c>
      <c r="L167" s="172">
        <f>IF('Оперативный ввод'!L167="","",'Оперативный ввод'!L167)</f>
        <v/>
      </c>
      <c r="M167" s="172">
        <f>IF('Оперативный ввод'!M167="","",'Оперативный ввод'!M167)</f>
        <v/>
      </c>
      <c r="N167" s="172">
        <f>IF('Оперативный ввод'!N167="","",'Оперативный ввод'!N167)</f>
        <v/>
      </c>
      <c r="O167" s="172">
        <f>IF('Оперативный ввод'!O167="","",'Оперативный ввод'!O167)</f>
        <v/>
      </c>
      <c r="P167" s="205">
        <f>IF(AND(A167="",B167=""),"",IF(AND(A167&lt;&gt;"",B167&lt;&gt;"",C167&lt;&gt;"",D167&lt;&gt;"",F167&lt;&gt;"",G167&lt;&gt;"",H167&lt;&gt;"",ISERROR(SEARCH("по паспорту",G167)),ISERROR(SEARCH("по паспорту",H167)),I167&lt;&gt;"",J167&lt;&gt;"",K167&lt;&gt;"",L167&lt;&gt;"",M167&lt;&gt;""),"ГОТОВО","НЕ ГОТОВО"))</f>
        <v/>
      </c>
      <c r="Q167" s="205">
        <f>IF(P167&lt;&gt;"ГОТОВО","", "Предварительное заключение: "&amp;A167&amp;", скв. "&amp;B167&amp;". МРП: "&amp;E167&amp;" сут. ГНО: "&amp;F167&amp;", типоразмер "&amp;G167&amp;", марка "&amp;H167&amp;". Событие: "&amp;I167&amp;". Признак: "&amp;J167&amp;". Узел: "&amp;K167&amp;". Предварительная причина: "&amp;L167&amp;". Основное осложнение: "&amp;M167&amp;IF(N167&lt;&gt;"","; сопутствующее: "&amp;N167,"")&amp;IF(O167&lt;&gt;"","; дополнительно: "&amp;O167,"")&amp;".")</f>
        <v/>
      </c>
      <c r="R167" s="172">
        <f>IF('Оперативный ввод'!P167="","",'Оперативный ввод'!P167)</f>
        <v/>
      </c>
      <c r="S167" s="172">
        <f>IF('Оперативный ввод'!Q167="","",'Оперативный ввод'!Q167)</f>
        <v/>
      </c>
      <c r="T167" s="172">
        <f>IF('Оперативный ввод'!R167="","",'Оперативный ввод'!R167)</f>
        <v/>
      </c>
      <c r="U167" s="172">
        <f>IF('Оперативный ввод'!S167="","",'Оперативный ввод'!S167)</f>
        <v/>
      </c>
      <c r="V167" s="172">
        <f>IF('Оперативный ввод'!T167="","",'Оперативный ввод'!T167)</f>
        <v/>
      </c>
      <c r="W167" s="172" t="n"/>
      <c r="X167" s="172" t="n"/>
      <c r="Y167" s="172" t="n"/>
      <c r="Z167" s="172" t="n"/>
      <c r="AA167" s="172">
        <f>IF('Оперативный ввод'!U167="","",'Оперативный ввод'!U167)</f>
        <v/>
      </c>
      <c r="AB167" s="172">
        <f>IF('Оперативный ввод'!V167="","",'Оперативный ввод'!V167)</f>
        <v/>
      </c>
      <c r="AC167" s="172">
        <f>IF('Оперативный ввод'!W167="","",'Оперативный ввод'!W167)</f>
        <v/>
      </c>
      <c r="BB167" s="172" t="n"/>
      <c r="BC167" s="172" t="n"/>
      <c r="BD167" s="205">
        <f>IF(AND(A167="",B167=""),"",IF(AND(P167="ГОТОВО",R167&lt;&gt;"",T167&lt;&gt;"",U167&lt;&gt;"",AA167&lt;&gt;"",AB167&lt;&gt;"",AC167&lt;&gt;"",BB167&lt;&gt;"",BC167&lt;&gt;""),"ГОТОВО","НЕ ГОТОВО"))</f>
        <v/>
      </c>
      <c r="BE167" s="205">
        <f>IF(BD167&lt;&gt;"ГОТОВО","","Полное заключение: "&amp;A167&amp;", скв. "&amp;B167&amp;". МРП: "&amp;E167&amp;" сут. ГНО: "&amp;F167&amp;"; причина: "&amp;U167&amp;"; категория: "&amp;V167&amp;"; решение комиссии: "&amp;BB167&amp;".")</f>
        <v/>
      </c>
      <c r="BF167" s="173">
        <f>IF('Оперативный ввод'!X167="","",'Оперативный ввод'!X167)</f>
        <v/>
      </c>
    </row>
    <row r="168">
      <c r="A168" s="171">
        <f>IF('Оперативный ввод'!A168="","",'Оперативный ввод'!A168)</f>
        <v/>
      </c>
      <c r="B168" s="172">
        <f>IF('Оперативный ввод'!B168="","",'Оперативный ввод'!B168)</f>
        <v/>
      </c>
      <c r="C168" s="270">
        <f>IF('Оперативный ввод'!C168="","",'Оперативный ввод'!C168)</f>
        <v/>
      </c>
      <c r="D168" s="270">
        <f>IF('Оперативный ввод'!D168="","",'Оперативный ввод'!D168)</f>
        <v/>
      </c>
      <c r="E168" s="271">
        <f>IF(OR(C168="",D168=""),"",D168-C168)</f>
        <v/>
      </c>
      <c r="F168" s="172">
        <f>IF('Оперативный ввод'!F168="","",'Оперативный ввод'!F168)</f>
        <v/>
      </c>
      <c r="G168" s="172">
        <f>IF('Оперативный ввод'!G168="","",'Оперативный ввод'!G168)</f>
        <v/>
      </c>
      <c r="H168" s="172">
        <f>IF('Оперативный ввод'!H168="","",'Оперативный ввод'!H168)</f>
        <v/>
      </c>
      <c r="I168" s="172">
        <f>IF('Оперативный ввод'!I168="","",'Оперативный ввод'!I168)</f>
        <v/>
      </c>
      <c r="J168" s="172">
        <f>IF('Оперативный ввод'!J168="","",'Оперативный ввод'!J168)</f>
        <v/>
      </c>
      <c r="K168" s="172">
        <f>IF('Оперативный ввод'!K168="","",'Оперативный ввод'!K168)</f>
        <v/>
      </c>
      <c r="L168" s="172">
        <f>IF('Оперативный ввод'!L168="","",'Оперативный ввод'!L168)</f>
        <v/>
      </c>
      <c r="M168" s="172">
        <f>IF('Оперативный ввод'!M168="","",'Оперативный ввод'!M168)</f>
        <v/>
      </c>
      <c r="N168" s="172">
        <f>IF('Оперативный ввод'!N168="","",'Оперативный ввод'!N168)</f>
        <v/>
      </c>
      <c r="O168" s="172">
        <f>IF('Оперативный ввод'!O168="","",'Оперативный ввод'!O168)</f>
        <v/>
      </c>
      <c r="P168" s="205">
        <f>IF(AND(A168="",B168=""),"",IF(AND(A168&lt;&gt;"",B168&lt;&gt;"",C168&lt;&gt;"",D168&lt;&gt;"",F168&lt;&gt;"",G168&lt;&gt;"",H168&lt;&gt;"",ISERROR(SEARCH("по паспорту",G168)),ISERROR(SEARCH("по паспорту",H168)),I168&lt;&gt;"",J168&lt;&gt;"",K168&lt;&gt;"",L168&lt;&gt;"",M168&lt;&gt;""),"ГОТОВО","НЕ ГОТОВО"))</f>
        <v/>
      </c>
      <c r="Q168" s="205">
        <f>IF(P168&lt;&gt;"ГОТОВО","", "Предварительное заключение: "&amp;A168&amp;", скв. "&amp;B168&amp;". МРП: "&amp;E168&amp;" сут. ГНО: "&amp;F168&amp;", типоразмер "&amp;G168&amp;", марка "&amp;H168&amp;". Событие: "&amp;I168&amp;". Признак: "&amp;J168&amp;". Узел: "&amp;K168&amp;". Предварительная причина: "&amp;L168&amp;". Основное осложнение: "&amp;M168&amp;IF(N168&lt;&gt;"","; сопутствующее: "&amp;N168,"")&amp;IF(O168&lt;&gt;"","; дополнительно: "&amp;O168,"")&amp;".")</f>
        <v/>
      </c>
      <c r="R168" s="172">
        <f>IF('Оперативный ввод'!P168="","",'Оперативный ввод'!P168)</f>
        <v/>
      </c>
      <c r="S168" s="172">
        <f>IF('Оперативный ввод'!Q168="","",'Оперативный ввод'!Q168)</f>
        <v/>
      </c>
      <c r="T168" s="172">
        <f>IF('Оперативный ввод'!R168="","",'Оперативный ввод'!R168)</f>
        <v/>
      </c>
      <c r="U168" s="172">
        <f>IF('Оперативный ввод'!S168="","",'Оперативный ввод'!S168)</f>
        <v/>
      </c>
      <c r="V168" s="172">
        <f>IF('Оперативный ввод'!T168="","",'Оперативный ввод'!T168)</f>
        <v/>
      </c>
      <c r="W168" s="172" t="n"/>
      <c r="X168" s="172" t="n"/>
      <c r="Y168" s="172" t="n"/>
      <c r="Z168" s="172" t="n"/>
      <c r="AA168" s="172">
        <f>IF('Оперативный ввод'!U168="","",'Оперативный ввод'!U168)</f>
        <v/>
      </c>
      <c r="AB168" s="172">
        <f>IF('Оперативный ввод'!V168="","",'Оперативный ввод'!V168)</f>
        <v/>
      </c>
      <c r="AC168" s="172">
        <f>IF('Оперативный ввод'!W168="","",'Оперативный ввод'!W168)</f>
        <v/>
      </c>
      <c r="BB168" s="172" t="n"/>
      <c r="BC168" s="172" t="n"/>
      <c r="BD168" s="205">
        <f>IF(AND(A168="",B168=""),"",IF(AND(P168="ГОТОВО",R168&lt;&gt;"",T168&lt;&gt;"",U168&lt;&gt;"",AA168&lt;&gt;"",AB168&lt;&gt;"",AC168&lt;&gt;"",BB168&lt;&gt;"",BC168&lt;&gt;""),"ГОТОВО","НЕ ГОТОВО"))</f>
        <v/>
      </c>
      <c r="BE168" s="205">
        <f>IF(BD168&lt;&gt;"ГОТОВО","","Полное заключение: "&amp;A168&amp;", скв. "&amp;B168&amp;". МРП: "&amp;E168&amp;" сут. ГНО: "&amp;F168&amp;"; причина: "&amp;U168&amp;"; категория: "&amp;V168&amp;"; решение комиссии: "&amp;BB168&amp;".")</f>
        <v/>
      </c>
      <c r="BF168" s="173">
        <f>IF('Оперативный ввод'!X168="","",'Оперативный ввод'!X168)</f>
        <v/>
      </c>
    </row>
    <row r="169">
      <c r="A169" s="171">
        <f>IF('Оперативный ввод'!A169="","",'Оперативный ввод'!A169)</f>
        <v/>
      </c>
      <c r="B169" s="172">
        <f>IF('Оперативный ввод'!B169="","",'Оперативный ввод'!B169)</f>
        <v/>
      </c>
      <c r="C169" s="270">
        <f>IF('Оперативный ввод'!C169="","",'Оперативный ввод'!C169)</f>
        <v/>
      </c>
      <c r="D169" s="270">
        <f>IF('Оперативный ввод'!D169="","",'Оперативный ввод'!D169)</f>
        <v/>
      </c>
      <c r="E169" s="271">
        <f>IF(OR(C169="",D169=""),"",D169-C169)</f>
        <v/>
      </c>
      <c r="F169" s="172">
        <f>IF('Оперативный ввод'!F169="","",'Оперативный ввод'!F169)</f>
        <v/>
      </c>
      <c r="G169" s="172">
        <f>IF('Оперативный ввод'!G169="","",'Оперативный ввод'!G169)</f>
        <v/>
      </c>
      <c r="H169" s="172">
        <f>IF('Оперативный ввод'!H169="","",'Оперативный ввод'!H169)</f>
        <v/>
      </c>
      <c r="I169" s="172">
        <f>IF('Оперативный ввод'!I169="","",'Оперативный ввод'!I169)</f>
        <v/>
      </c>
      <c r="J169" s="172">
        <f>IF('Оперативный ввод'!J169="","",'Оперативный ввод'!J169)</f>
        <v/>
      </c>
      <c r="K169" s="172">
        <f>IF('Оперативный ввод'!K169="","",'Оперативный ввод'!K169)</f>
        <v/>
      </c>
      <c r="L169" s="172">
        <f>IF('Оперативный ввод'!L169="","",'Оперативный ввод'!L169)</f>
        <v/>
      </c>
      <c r="M169" s="172">
        <f>IF('Оперативный ввод'!M169="","",'Оперативный ввод'!M169)</f>
        <v/>
      </c>
      <c r="N169" s="172">
        <f>IF('Оперативный ввод'!N169="","",'Оперативный ввод'!N169)</f>
        <v/>
      </c>
      <c r="O169" s="172">
        <f>IF('Оперативный ввод'!O169="","",'Оперативный ввод'!O169)</f>
        <v/>
      </c>
      <c r="P169" s="205">
        <f>IF(AND(A169="",B169=""),"",IF(AND(A169&lt;&gt;"",B169&lt;&gt;"",C169&lt;&gt;"",D169&lt;&gt;"",F169&lt;&gt;"",G169&lt;&gt;"",H169&lt;&gt;"",ISERROR(SEARCH("по паспорту",G169)),ISERROR(SEARCH("по паспорту",H169)),I169&lt;&gt;"",J169&lt;&gt;"",K169&lt;&gt;"",L169&lt;&gt;"",M169&lt;&gt;""),"ГОТОВО","НЕ ГОТОВО"))</f>
        <v/>
      </c>
      <c r="Q169" s="205">
        <f>IF(P169&lt;&gt;"ГОТОВО","", "Предварительное заключение: "&amp;A169&amp;", скв. "&amp;B169&amp;". МРП: "&amp;E169&amp;" сут. ГНО: "&amp;F169&amp;", типоразмер "&amp;G169&amp;", марка "&amp;H169&amp;". Событие: "&amp;I169&amp;". Признак: "&amp;J169&amp;". Узел: "&amp;K169&amp;". Предварительная причина: "&amp;L169&amp;". Основное осложнение: "&amp;M169&amp;IF(N169&lt;&gt;"","; сопутствующее: "&amp;N169,"")&amp;IF(O169&lt;&gt;"","; дополнительно: "&amp;O169,"")&amp;".")</f>
        <v/>
      </c>
      <c r="R169" s="172">
        <f>IF('Оперативный ввод'!P169="","",'Оперативный ввод'!P169)</f>
        <v/>
      </c>
      <c r="S169" s="172">
        <f>IF('Оперативный ввод'!Q169="","",'Оперативный ввод'!Q169)</f>
        <v/>
      </c>
      <c r="T169" s="172">
        <f>IF('Оперативный ввод'!R169="","",'Оперативный ввод'!R169)</f>
        <v/>
      </c>
      <c r="U169" s="172">
        <f>IF('Оперативный ввод'!S169="","",'Оперативный ввод'!S169)</f>
        <v/>
      </c>
      <c r="V169" s="172">
        <f>IF('Оперативный ввод'!T169="","",'Оперативный ввод'!T169)</f>
        <v/>
      </c>
      <c r="W169" s="172" t="n"/>
      <c r="X169" s="172" t="n"/>
      <c r="Y169" s="172" t="n"/>
      <c r="Z169" s="172" t="n"/>
      <c r="AA169" s="172">
        <f>IF('Оперативный ввод'!U169="","",'Оперативный ввод'!U169)</f>
        <v/>
      </c>
      <c r="AB169" s="172">
        <f>IF('Оперативный ввод'!V169="","",'Оперативный ввод'!V169)</f>
        <v/>
      </c>
      <c r="AC169" s="172">
        <f>IF('Оперативный ввод'!W169="","",'Оперативный ввод'!W169)</f>
        <v/>
      </c>
      <c r="BB169" s="172" t="n"/>
      <c r="BC169" s="172" t="n"/>
      <c r="BD169" s="205">
        <f>IF(AND(A169="",B169=""),"",IF(AND(P169="ГОТОВО",R169&lt;&gt;"",T169&lt;&gt;"",U169&lt;&gt;"",AA169&lt;&gt;"",AB169&lt;&gt;"",AC169&lt;&gt;"",BB169&lt;&gt;"",BC169&lt;&gt;""),"ГОТОВО","НЕ ГОТОВО"))</f>
        <v/>
      </c>
      <c r="BE169" s="205">
        <f>IF(BD169&lt;&gt;"ГОТОВО","","Полное заключение: "&amp;A169&amp;", скв. "&amp;B169&amp;". МРП: "&amp;E169&amp;" сут. ГНО: "&amp;F169&amp;"; причина: "&amp;U169&amp;"; категория: "&amp;V169&amp;"; решение комиссии: "&amp;BB169&amp;".")</f>
        <v/>
      </c>
      <c r="BF169" s="173">
        <f>IF('Оперативный ввод'!X169="","",'Оперативный ввод'!X169)</f>
        <v/>
      </c>
    </row>
    <row r="170">
      <c r="A170" s="171">
        <f>IF('Оперативный ввод'!A170="","",'Оперативный ввод'!A170)</f>
        <v/>
      </c>
      <c r="B170" s="172">
        <f>IF('Оперативный ввод'!B170="","",'Оперативный ввод'!B170)</f>
        <v/>
      </c>
      <c r="C170" s="270">
        <f>IF('Оперативный ввод'!C170="","",'Оперативный ввод'!C170)</f>
        <v/>
      </c>
      <c r="D170" s="270">
        <f>IF('Оперативный ввод'!D170="","",'Оперативный ввод'!D170)</f>
        <v/>
      </c>
      <c r="E170" s="271">
        <f>IF(OR(C170="",D170=""),"",D170-C170)</f>
        <v/>
      </c>
      <c r="F170" s="172">
        <f>IF('Оперативный ввод'!F170="","",'Оперативный ввод'!F170)</f>
        <v/>
      </c>
      <c r="G170" s="172">
        <f>IF('Оперативный ввод'!G170="","",'Оперативный ввод'!G170)</f>
        <v/>
      </c>
      <c r="H170" s="172">
        <f>IF('Оперативный ввод'!H170="","",'Оперативный ввод'!H170)</f>
        <v/>
      </c>
      <c r="I170" s="172">
        <f>IF('Оперативный ввод'!I170="","",'Оперативный ввод'!I170)</f>
        <v/>
      </c>
      <c r="J170" s="172">
        <f>IF('Оперативный ввод'!J170="","",'Оперативный ввод'!J170)</f>
        <v/>
      </c>
      <c r="K170" s="172">
        <f>IF('Оперативный ввод'!K170="","",'Оперативный ввод'!K170)</f>
        <v/>
      </c>
      <c r="L170" s="172">
        <f>IF('Оперативный ввод'!L170="","",'Оперативный ввод'!L170)</f>
        <v/>
      </c>
      <c r="M170" s="172">
        <f>IF('Оперативный ввод'!M170="","",'Оперативный ввод'!M170)</f>
        <v/>
      </c>
      <c r="N170" s="172">
        <f>IF('Оперативный ввод'!N170="","",'Оперативный ввод'!N170)</f>
        <v/>
      </c>
      <c r="O170" s="172">
        <f>IF('Оперативный ввод'!O170="","",'Оперативный ввод'!O170)</f>
        <v/>
      </c>
      <c r="P170" s="205">
        <f>IF(AND(A170="",B170=""),"",IF(AND(A170&lt;&gt;"",B170&lt;&gt;"",C170&lt;&gt;"",D170&lt;&gt;"",F170&lt;&gt;"",G170&lt;&gt;"",H170&lt;&gt;"",ISERROR(SEARCH("по паспорту",G170)),ISERROR(SEARCH("по паспорту",H170)),I170&lt;&gt;"",J170&lt;&gt;"",K170&lt;&gt;"",L170&lt;&gt;"",M170&lt;&gt;""),"ГОТОВО","НЕ ГОТОВО"))</f>
        <v/>
      </c>
      <c r="Q170" s="205">
        <f>IF(P170&lt;&gt;"ГОТОВО","", "Предварительное заключение: "&amp;A170&amp;", скв. "&amp;B170&amp;". МРП: "&amp;E170&amp;" сут. ГНО: "&amp;F170&amp;", типоразмер "&amp;G170&amp;", марка "&amp;H170&amp;". Событие: "&amp;I170&amp;". Признак: "&amp;J170&amp;". Узел: "&amp;K170&amp;". Предварительная причина: "&amp;L170&amp;". Основное осложнение: "&amp;M170&amp;IF(N170&lt;&gt;"","; сопутствующее: "&amp;N170,"")&amp;IF(O170&lt;&gt;"","; дополнительно: "&amp;O170,"")&amp;".")</f>
        <v/>
      </c>
      <c r="R170" s="172">
        <f>IF('Оперативный ввод'!P170="","",'Оперативный ввод'!P170)</f>
        <v/>
      </c>
      <c r="S170" s="172">
        <f>IF('Оперативный ввод'!Q170="","",'Оперативный ввод'!Q170)</f>
        <v/>
      </c>
      <c r="T170" s="172">
        <f>IF('Оперативный ввод'!R170="","",'Оперативный ввод'!R170)</f>
        <v/>
      </c>
      <c r="U170" s="172">
        <f>IF('Оперативный ввод'!S170="","",'Оперативный ввод'!S170)</f>
        <v/>
      </c>
      <c r="V170" s="172">
        <f>IF('Оперативный ввод'!T170="","",'Оперативный ввод'!T170)</f>
        <v/>
      </c>
      <c r="W170" s="172" t="n"/>
      <c r="X170" s="172" t="n"/>
      <c r="Y170" s="172" t="n"/>
      <c r="Z170" s="172" t="n"/>
      <c r="AA170" s="172">
        <f>IF('Оперативный ввод'!U170="","",'Оперативный ввод'!U170)</f>
        <v/>
      </c>
      <c r="AB170" s="172">
        <f>IF('Оперативный ввод'!V170="","",'Оперативный ввод'!V170)</f>
        <v/>
      </c>
      <c r="AC170" s="172">
        <f>IF('Оперативный ввод'!W170="","",'Оперативный ввод'!W170)</f>
        <v/>
      </c>
      <c r="BB170" s="172" t="n"/>
      <c r="BC170" s="172" t="n"/>
      <c r="BD170" s="205">
        <f>IF(AND(A170="",B170=""),"",IF(AND(P170="ГОТОВО",R170&lt;&gt;"",T170&lt;&gt;"",U170&lt;&gt;"",AA170&lt;&gt;"",AB170&lt;&gt;"",AC170&lt;&gt;"",BB170&lt;&gt;"",BC170&lt;&gt;""),"ГОТОВО","НЕ ГОТОВО"))</f>
        <v/>
      </c>
      <c r="BE170" s="205">
        <f>IF(BD170&lt;&gt;"ГОТОВО","","Полное заключение: "&amp;A170&amp;", скв. "&amp;B170&amp;". МРП: "&amp;E170&amp;" сут. ГНО: "&amp;F170&amp;"; причина: "&amp;U170&amp;"; категория: "&amp;V170&amp;"; решение комиссии: "&amp;BB170&amp;".")</f>
        <v/>
      </c>
      <c r="BF170" s="173">
        <f>IF('Оперативный ввод'!X170="","",'Оперативный ввод'!X170)</f>
        <v/>
      </c>
    </row>
    <row r="171">
      <c r="A171" s="171">
        <f>IF('Оперативный ввод'!A171="","",'Оперативный ввод'!A171)</f>
        <v/>
      </c>
      <c r="B171" s="172">
        <f>IF('Оперативный ввод'!B171="","",'Оперативный ввод'!B171)</f>
        <v/>
      </c>
      <c r="C171" s="270">
        <f>IF('Оперативный ввод'!C171="","",'Оперативный ввод'!C171)</f>
        <v/>
      </c>
      <c r="D171" s="270">
        <f>IF('Оперативный ввод'!D171="","",'Оперативный ввод'!D171)</f>
        <v/>
      </c>
      <c r="E171" s="271">
        <f>IF(OR(C171="",D171=""),"",D171-C171)</f>
        <v/>
      </c>
      <c r="F171" s="172">
        <f>IF('Оперативный ввод'!F171="","",'Оперативный ввод'!F171)</f>
        <v/>
      </c>
      <c r="G171" s="172">
        <f>IF('Оперативный ввод'!G171="","",'Оперативный ввод'!G171)</f>
        <v/>
      </c>
      <c r="H171" s="172">
        <f>IF('Оперативный ввод'!H171="","",'Оперативный ввод'!H171)</f>
        <v/>
      </c>
      <c r="I171" s="172">
        <f>IF('Оперативный ввод'!I171="","",'Оперативный ввод'!I171)</f>
        <v/>
      </c>
      <c r="J171" s="172">
        <f>IF('Оперативный ввод'!J171="","",'Оперативный ввод'!J171)</f>
        <v/>
      </c>
      <c r="K171" s="172">
        <f>IF('Оперативный ввод'!K171="","",'Оперативный ввод'!K171)</f>
        <v/>
      </c>
      <c r="L171" s="172">
        <f>IF('Оперативный ввод'!L171="","",'Оперативный ввод'!L171)</f>
        <v/>
      </c>
      <c r="M171" s="172">
        <f>IF('Оперативный ввод'!M171="","",'Оперативный ввод'!M171)</f>
        <v/>
      </c>
      <c r="N171" s="172">
        <f>IF('Оперативный ввод'!N171="","",'Оперативный ввод'!N171)</f>
        <v/>
      </c>
      <c r="O171" s="172">
        <f>IF('Оперативный ввод'!O171="","",'Оперативный ввод'!O171)</f>
        <v/>
      </c>
      <c r="P171" s="205">
        <f>IF(AND(A171="",B171=""),"",IF(AND(A171&lt;&gt;"",B171&lt;&gt;"",C171&lt;&gt;"",D171&lt;&gt;"",F171&lt;&gt;"",G171&lt;&gt;"",H171&lt;&gt;"",ISERROR(SEARCH("по паспорту",G171)),ISERROR(SEARCH("по паспорту",H171)),I171&lt;&gt;"",J171&lt;&gt;"",K171&lt;&gt;"",L171&lt;&gt;"",M171&lt;&gt;""),"ГОТОВО","НЕ ГОТОВО"))</f>
        <v/>
      </c>
      <c r="Q171" s="205">
        <f>IF(P171&lt;&gt;"ГОТОВО","", "Предварительное заключение: "&amp;A171&amp;", скв. "&amp;B171&amp;". МРП: "&amp;E171&amp;" сут. ГНО: "&amp;F171&amp;", типоразмер "&amp;G171&amp;", марка "&amp;H171&amp;". Событие: "&amp;I171&amp;". Признак: "&amp;J171&amp;". Узел: "&amp;K171&amp;". Предварительная причина: "&amp;L171&amp;". Основное осложнение: "&amp;M171&amp;IF(N171&lt;&gt;"","; сопутствующее: "&amp;N171,"")&amp;IF(O171&lt;&gt;"","; дополнительно: "&amp;O171,"")&amp;".")</f>
        <v/>
      </c>
      <c r="R171" s="172">
        <f>IF('Оперативный ввод'!P171="","",'Оперативный ввод'!P171)</f>
        <v/>
      </c>
      <c r="S171" s="172">
        <f>IF('Оперативный ввод'!Q171="","",'Оперативный ввод'!Q171)</f>
        <v/>
      </c>
      <c r="T171" s="172">
        <f>IF('Оперативный ввод'!R171="","",'Оперативный ввод'!R171)</f>
        <v/>
      </c>
      <c r="U171" s="172">
        <f>IF('Оперативный ввод'!S171="","",'Оперативный ввод'!S171)</f>
        <v/>
      </c>
      <c r="V171" s="172">
        <f>IF('Оперативный ввод'!T171="","",'Оперативный ввод'!T171)</f>
        <v/>
      </c>
      <c r="W171" s="172" t="n"/>
      <c r="X171" s="172" t="n"/>
      <c r="Y171" s="172" t="n"/>
      <c r="Z171" s="172" t="n"/>
      <c r="AA171" s="172">
        <f>IF('Оперативный ввод'!U171="","",'Оперативный ввод'!U171)</f>
        <v/>
      </c>
      <c r="AB171" s="172">
        <f>IF('Оперативный ввод'!V171="","",'Оперативный ввод'!V171)</f>
        <v/>
      </c>
      <c r="AC171" s="172">
        <f>IF('Оперативный ввод'!W171="","",'Оперативный ввод'!W171)</f>
        <v/>
      </c>
      <c r="BB171" s="172" t="n"/>
      <c r="BC171" s="172" t="n"/>
      <c r="BD171" s="205">
        <f>IF(AND(A171="",B171=""),"",IF(AND(P171="ГОТОВО",R171&lt;&gt;"",T171&lt;&gt;"",U171&lt;&gt;"",AA171&lt;&gt;"",AB171&lt;&gt;"",AC171&lt;&gt;"",BB171&lt;&gt;"",BC171&lt;&gt;""),"ГОТОВО","НЕ ГОТОВО"))</f>
        <v/>
      </c>
      <c r="BE171" s="205">
        <f>IF(BD171&lt;&gt;"ГОТОВО","","Полное заключение: "&amp;A171&amp;", скв. "&amp;B171&amp;". МРП: "&amp;E171&amp;" сут. ГНО: "&amp;F171&amp;"; причина: "&amp;U171&amp;"; категория: "&amp;V171&amp;"; решение комиссии: "&amp;BB171&amp;".")</f>
        <v/>
      </c>
      <c r="BF171" s="173">
        <f>IF('Оперативный ввод'!X171="","",'Оперативный ввод'!X171)</f>
        <v/>
      </c>
    </row>
    <row r="172">
      <c r="A172" s="171">
        <f>IF('Оперативный ввод'!A172="","",'Оперативный ввод'!A172)</f>
        <v/>
      </c>
      <c r="B172" s="172">
        <f>IF('Оперативный ввод'!B172="","",'Оперативный ввод'!B172)</f>
        <v/>
      </c>
      <c r="C172" s="270">
        <f>IF('Оперативный ввод'!C172="","",'Оперативный ввод'!C172)</f>
        <v/>
      </c>
      <c r="D172" s="270">
        <f>IF('Оперативный ввод'!D172="","",'Оперативный ввод'!D172)</f>
        <v/>
      </c>
      <c r="E172" s="271">
        <f>IF(OR(C172="",D172=""),"",D172-C172)</f>
        <v/>
      </c>
      <c r="F172" s="172">
        <f>IF('Оперативный ввод'!F172="","",'Оперативный ввод'!F172)</f>
        <v/>
      </c>
      <c r="G172" s="172">
        <f>IF('Оперативный ввод'!G172="","",'Оперативный ввод'!G172)</f>
        <v/>
      </c>
      <c r="H172" s="172">
        <f>IF('Оперативный ввод'!H172="","",'Оперативный ввод'!H172)</f>
        <v/>
      </c>
      <c r="I172" s="172">
        <f>IF('Оперативный ввод'!I172="","",'Оперативный ввод'!I172)</f>
        <v/>
      </c>
      <c r="J172" s="172">
        <f>IF('Оперативный ввод'!J172="","",'Оперативный ввод'!J172)</f>
        <v/>
      </c>
      <c r="K172" s="172">
        <f>IF('Оперативный ввод'!K172="","",'Оперативный ввод'!K172)</f>
        <v/>
      </c>
      <c r="L172" s="172">
        <f>IF('Оперативный ввод'!L172="","",'Оперативный ввод'!L172)</f>
        <v/>
      </c>
      <c r="M172" s="172">
        <f>IF('Оперативный ввод'!M172="","",'Оперативный ввод'!M172)</f>
        <v/>
      </c>
      <c r="N172" s="172">
        <f>IF('Оперативный ввод'!N172="","",'Оперативный ввод'!N172)</f>
        <v/>
      </c>
      <c r="O172" s="172">
        <f>IF('Оперативный ввод'!O172="","",'Оперативный ввод'!O172)</f>
        <v/>
      </c>
      <c r="P172" s="205">
        <f>IF(AND(A172="",B172=""),"",IF(AND(A172&lt;&gt;"",B172&lt;&gt;"",C172&lt;&gt;"",D172&lt;&gt;"",F172&lt;&gt;"",G172&lt;&gt;"",H172&lt;&gt;"",ISERROR(SEARCH("по паспорту",G172)),ISERROR(SEARCH("по паспорту",H172)),I172&lt;&gt;"",J172&lt;&gt;"",K172&lt;&gt;"",L172&lt;&gt;"",M172&lt;&gt;""),"ГОТОВО","НЕ ГОТОВО"))</f>
        <v/>
      </c>
      <c r="Q172" s="205">
        <f>IF(P172&lt;&gt;"ГОТОВО","", "Предварительное заключение: "&amp;A172&amp;", скв. "&amp;B172&amp;". МРП: "&amp;E172&amp;" сут. ГНО: "&amp;F172&amp;", типоразмер "&amp;G172&amp;", марка "&amp;H172&amp;". Событие: "&amp;I172&amp;". Признак: "&amp;J172&amp;". Узел: "&amp;K172&amp;". Предварительная причина: "&amp;L172&amp;". Основное осложнение: "&amp;M172&amp;IF(N172&lt;&gt;"","; сопутствующее: "&amp;N172,"")&amp;IF(O172&lt;&gt;"","; дополнительно: "&amp;O172,"")&amp;".")</f>
        <v/>
      </c>
      <c r="R172" s="172">
        <f>IF('Оперативный ввод'!P172="","",'Оперативный ввод'!P172)</f>
        <v/>
      </c>
      <c r="S172" s="172">
        <f>IF('Оперативный ввод'!Q172="","",'Оперативный ввод'!Q172)</f>
        <v/>
      </c>
      <c r="T172" s="172">
        <f>IF('Оперативный ввод'!R172="","",'Оперативный ввод'!R172)</f>
        <v/>
      </c>
      <c r="U172" s="172">
        <f>IF('Оперативный ввод'!S172="","",'Оперативный ввод'!S172)</f>
        <v/>
      </c>
      <c r="V172" s="172">
        <f>IF('Оперативный ввод'!T172="","",'Оперативный ввод'!T172)</f>
        <v/>
      </c>
      <c r="W172" s="172" t="n"/>
      <c r="X172" s="172" t="n"/>
      <c r="Y172" s="172" t="n"/>
      <c r="Z172" s="172" t="n"/>
      <c r="AA172" s="172">
        <f>IF('Оперативный ввод'!U172="","",'Оперативный ввод'!U172)</f>
        <v/>
      </c>
      <c r="AB172" s="172">
        <f>IF('Оперативный ввод'!V172="","",'Оперативный ввод'!V172)</f>
        <v/>
      </c>
      <c r="AC172" s="172">
        <f>IF('Оперативный ввод'!W172="","",'Оперативный ввод'!W172)</f>
        <v/>
      </c>
      <c r="BB172" s="172" t="n"/>
      <c r="BC172" s="172" t="n"/>
      <c r="BD172" s="205">
        <f>IF(AND(A172="",B172=""),"",IF(AND(P172="ГОТОВО",R172&lt;&gt;"",T172&lt;&gt;"",U172&lt;&gt;"",AA172&lt;&gt;"",AB172&lt;&gt;"",AC172&lt;&gt;"",BB172&lt;&gt;"",BC172&lt;&gt;""),"ГОТОВО","НЕ ГОТОВО"))</f>
        <v/>
      </c>
      <c r="BE172" s="205">
        <f>IF(BD172&lt;&gt;"ГОТОВО","","Полное заключение: "&amp;A172&amp;", скв. "&amp;B172&amp;". МРП: "&amp;E172&amp;" сут. ГНО: "&amp;F172&amp;"; причина: "&amp;U172&amp;"; категория: "&amp;V172&amp;"; решение комиссии: "&amp;BB172&amp;".")</f>
        <v/>
      </c>
      <c r="BF172" s="173">
        <f>IF('Оперативный ввод'!X172="","",'Оперативный ввод'!X172)</f>
        <v/>
      </c>
    </row>
    <row r="173">
      <c r="A173" s="171">
        <f>IF('Оперативный ввод'!A173="","",'Оперативный ввод'!A173)</f>
        <v/>
      </c>
      <c r="B173" s="172">
        <f>IF('Оперативный ввод'!B173="","",'Оперативный ввод'!B173)</f>
        <v/>
      </c>
      <c r="C173" s="270">
        <f>IF('Оперативный ввод'!C173="","",'Оперативный ввод'!C173)</f>
        <v/>
      </c>
      <c r="D173" s="270">
        <f>IF('Оперативный ввод'!D173="","",'Оперативный ввод'!D173)</f>
        <v/>
      </c>
      <c r="E173" s="271">
        <f>IF(OR(C173="",D173=""),"",D173-C173)</f>
        <v/>
      </c>
      <c r="F173" s="172">
        <f>IF('Оперативный ввод'!F173="","",'Оперативный ввод'!F173)</f>
        <v/>
      </c>
      <c r="G173" s="172">
        <f>IF('Оперативный ввод'!G173="","",'Оперативный ввод'!G173)</f>
        <v/>
      </c>
      <c r="H173" s="172">
        <f>IF('Оперативный ввод'!H173="","",'Оперативный ввод'!H173)</f>
        <v/>
      </c>
      <c r="I173" s="172">
        <f>IF('Оперативный ввод'!I173="","",'Оперативный ввод'!I173)</f>
        <v/>
      </c>
      <c r="J173" s="172">
        <f>IF('Оперативный ввод'!J173="","",'Оперативный ввод'!J173)</f>
        <v/>
      </c>
      <c r="K173" s="172">
        <f>IF('Оперативный ввод'!K173="","",'Оперативный ввод'!K173)</f>
        <v/>
      </c>
      <c r="L173" s="172">
        <f>IF('Оперативный ввод'!L173="","",'Оперативный ввод'!L173)</f>
        <v/>
      </c>
      <c r="M173" s="172">
        <f>IF('Оперативный ввод'!M173="","",'Оперативный ввод'!M173)</f>
        <v/>
      </c>
      <c r="N173" s="172">
        <f>IF('Оперативный ввод'!N173="","",'Оперативный ввод'!N173)</f>
        <v/>
      </c>
      <c r="O173" s="172">
        <f>IF('Оперативный ввод'!O173="","",'Оперативный ввод'!O173)</f>
        <v/>
      </c>
      <c r="P173" s="205">
        <f>IF(AND(A173="",B173=""),"",IF(AND(A173&lt;&gt;"",B173&lt;&gt;"",C173&lt;&gt;"",D173&lt;&gt;"",F173&lt;&gt;"",G173&lt;&gt;"",H173&lt;&gt;"",ISERROR(SEARCH("по паспорту",G173)),ISERROR(SEARCH("по паспорту",H173)),I173&lt;&gt;"",J173&lt;&gt;"",K173&lt;&gt;"",L173&lt;&gt;"",M173&lt;&gt;""),"ГОТОВО","НЕ ГОТОВО"))</f>
        <v/>
      </c>
      <c r="Q173" s="205">
        <f>IF(P173&lt;&gt;"ГОТОВО","", "Предварительное заключение: "&amp;A173&amp;", скв. "&amp;B173&amp;". МРП: "&amp;E173&amp;" сут. ГНО: "&amp;F173&amp;", типоразмер "&amp;G173&amp;", марка "&amp;H173&amp;". Событие: "&amp;I173&amp;". Признак: "&amp;J173&amp;". Узел: "&amp;K173&amp;". Предварительная причина: "&amp;L173&amp;". Основное осложнение: "&amp;M173&amp;IF(N173&lt;&gt;"","; сопутствующее: "&amp;N173,"")&amp;IF(O173&lt;&gt;"","; дополнительно: "&amp;O173,"")&amp;".")</f>
        <v/>
      </c>
      <c r="R173" s="172">
        <f>IF('Оперативный ввод'!P173="","",'Оперативный ввод'!P173)</f>
        <v/>
      </c>
      <c r="S173" s="172">
        <f>IF('Оперативный ввод'!Q173="","",'Оперативный ввод'!Q173)</f>
        <v/>
      </c>
      <c r="T173" s="172">
        <f>IF('Оперативный ввод'!R173="","",'Оперативный ввод'!R173)</f>
        <v/>
      </c>
      <c r="U173" s="172">
        <f>IF('Оперативный ввод'!S173="","",'Оперативный ввод'!S173)</f>
        <v/>
      </c>
      <c r="V173" s="172">
        <f>IF('Оперативный ввод'!T173="","",'Оперативный ввод'!T173)</f>
        <v/>
      </c>
      <c r="W173" s="172" t="n"/>
      <c r="X173" s="172" t="n"/>
      <c r="Y173" s="172" t="n"/>
      <c r="Z173" s="172" t="n"/>
      <c r="AA173" s="172">
        <f>IF('Оперативный ввод'!U173="","",'Оперативный ввод'!U173)</f>
        <v/>
      </c>
      <c r="AB173" s="172">
        <f>IF('Оперативный ввод'!V173="","",'Оперативный ввод'!V173)</f>
        <v/>
      </c>
      <c r="AC173" s="172">
        <f>IF('Оперативный ввод'!W173="","",'Оперативный ввод'!W173)</f>
        <v/>
      </c>
      <c r="BB173" s="172" t="n"/>
      <c r="BC173" s="172" t="n"/>
      <c r="BD173" s="205">
        <f>IF(AND(A173="",B173=""),"",IF(AND(P173="ГОТОВО",R173&lt;&gt;"",T173&lt;&gt;"",U173&lt;&gt;"",AA173&lt;&gt;"",AB173&lt;&gt;"",AC173&lt;&gt;"",BB173&lt;&gt;"",BC173&lt;&gt;""),"ГОТОВО","НЕ ГОТОВО"))</f>
        <v/>
      </c>
      <c r="BE173" s="205">
        <f>IF(BD173&lt;&gt;"ГОТОВО","","Полное заключение: "&amp;A173&amp;", скв. "&amp;B173&amp;". МРП: "&amp;E173&amp;" сут. ГНО: "&amp;F173&amp;"; причина: "&amp;U173&amp;"; категория: "&amp;V173&amp;"; решение комиссии: "&amp;BB173&amp;".")</f>
        <v/>
      </c>
      <c r="BF173" s="173">
        <f>IF('Оперативный ввод'!X173="","",'Оперативный ввод'!X173)</f>
        <v/>
      </c>
    </row>
    <row r="174">
      <c r="A174" s="171">
        <f>IF('Оперативный ввод'!A174="","",'Оперативный ввод'!A174)</f>
        <v/>
      </c>
      <c r="B174" s="172">
        <f>IF('Оперативный ввод'!B174="","",'Оперативный ввод'!B174)</f>
        <v/>
      </c>
      <c r="C174" s="270">
        <f>IF('Оперативный ввод'!C174="","",'Оперативный ввод'!C174)</f>
        <v/>
      </c>
      <c r="D174" s="270">
        <f>IF('Оперативный ввод'!D174="","",'Оперативный ввод'!D174)</f>
        <v/>
      </c>
      <c r="E174" s="271">
        <f>IF(OR(C174="",D174=""),"",D174-C174)</f>
        <v/>
      </c>
      <c r="F174" s="172">
        <f>IF('Оперативный ввод'!F174="","",'Оперативный ввод'!F174)</f>
        <v/>
      </c>
      <c r="G174" s="172">
        <f>IF('Оперативный ввод'!G174="","",'Оперативный ввод'!G174)</f>
        <v/>
      </c>
      <c r="H174" s="172">
        <f>IF('Оперативный ввод'!H174="","",'Оперативный ввод'!H174)</f>
        <v/>
      </c>
      <c r="I174" s="172">
        <f>IF('Оперативный ввод'!I174="","",'Оперативный ввод'!I174)</f>
        <v/>
      </c>
      <c r="J174" s="172">
        <f>IF('Оперативный ввод'!J174="","",'Оперативный ввод'!J174)</f>
        <v/>
      </c>
      <c r="K174" s="172">
        <f>IF('Оперативный ввод'!K174="","",'Оперативный ввод'!K174)</f>
        <v/>
      </c>
      <c r="L174" s="172">
        <f>IF('Оперативный ввод'!L174="","",'Оперативный ввод'!L174)</f>
        <v/>
      </c>
      <c r="M174" s="172">
        <f>IF('Оперативный ввод'!M174="","",'Оперативный ввод'!M174)</f>
        <v/>
      </c>
      <c r="N174" s="172">
        <f>IF('Оперативный ввод'!N174="","",'Оперативный ввод'!N174)</f>
        <v/>
      </c>
      <c r="O174" s="172">
        <f>IF('Оперативный ввод'!O174="","",'Оперативный ввод'!O174)</f>
        <v/>
      </c>
      <c r="P174" s="205">
        <f>IF(AND(A174="",B174=""),"",IF(AND(A174&lt;&gt;"",B174&lt;&gt;"",C174&lt;&gt;"",D174&lt;&gt;"",F174&lt;&gt;"",G174&lt;&gt;"",H174&lt;&gt;"",ISERROR(SEARCH("по паспорту",G174)),ISERROR(SEARCH("по паспорту",H174)),I174&lt;&gt;"",J174&lt;&gt;"",K174&lt;&gt;"",L174&lt;&gt;"",M174&lt;&gt;""),"ГОТОВО","НЕ ГОТОВО"))</f>
        <v/>
      </c>
      <c r="Q174" s="205">
        <f>IF(P174&lt;&gt;"ГОТОВО","", "Предварительное заключение: "&amp;A174&amp;", скв. "&amp;B174&amp;". МРП: "&amp;E174&amp;" сут. ГНО: "&amp;F174&amp;", типоразмер "&amp;G174&amp;", марка "&amp;H174&amp;". Событие: "&amp;I174&amp;". Признак: "&amp;J174&amp;". Узел: "&amp;K174&amp;". Предварительная причина: "&amp;L174&amp;". Основное осложнение: "&amp;M174&amp;IF(N174&lt;&gt;"","; сопутствующее: "&amp;N174,"")&amp;IF(O174&lt;&gt;"","; дополнительно: "&amp;O174,"")&amp;".")</f>
        <v/>
      </c>
      <c r="R174" s="172">
        <f>IF('Оперативный ввод'!P174="","",'Оперативный ввод'!P174)</f>
        <v/>
      </c>
      <c r="S174" s="172">
        <f>IF('Оперативный ввод'!Q174="","",'Оперативный ввод'!Q174)</f>
        <v/>
      </c>
      <c r="T174" s="172">
        <f>IF('Оперативный ввод'!R174="","",'Оперативный ввод'!R174)</f>
        <v/>
      </c>
      <c r="U174" s="172">
        <f>IF('Оперативный ввод'!S174="","",'Оперативный ввод'!S174)</f>
        <v/>
      </c>
      <c r="V174" s="172">
        <f>IF('Оперативный ввод'!T174="","",'Оперативный ввод'!T174)</f>
        <v/>
      </c>
      <c r="W174" s="172" t="n"/>
      <c r="X174" s="172" t="n"/>
      <c r="Y174" s="172" t="n"/>
      <c r="Z174" s="172" t="n"/>
      <c r="AA174" s="172">
        <f>IF('Оперативный ввод'!U174="","",'Оперативный ввод'!U174)</f>
        <v/>
      </c>
      <c r="AB174" s="172">
        <f>IF('Оперативный ввод'!V174="","",'Оперативный ввод'!V174)</f>
        <v/>
      </c>
      <c r="AC174" s="172">
        <f>IF('Оперативный ввод'!W174="","",'Оперативный ввод'!W174)</f>
        <v/>
      </c>
      <c r="BB174" s="172" t="n"/>
      <c r="BC174" s="172" t="n"/>
      <c r="BD174" s="205">
        <f>IF(AND(A174="",B174=""),"",IF(AND(P174="ГОТОВО",R174&lt;&gt;"",T174&lt;&gt;"",U174&lt;&gt;"",AA174&lt;&gt;"",AB174&lt;&gt;"",AC174&lt;&gt;"",BB174&lt;&gt;"",BC174&lt;&gt;""),"ГОТОВО","НЕ ГОТОВО"))</f>
        <v/>
      </c>
      <c r="BE174" s="205">
        <f>IF(BD174&lt;&gt;"ГОТОВО","","Полное заключение: "&amp;A174&amp;", скв. "&amp;B174&amp;". МРП: "&amp;E174&amp;" сут. ГНО: "&amp;F174&amp;"; причина: "&amp;U174&amp;"; категория: "&amp;V174&amp;"; решение комиссии: "&amp;BB174&amp;".")</f>
        <v/>
      </c>
      <c r="BF174" s="173">
        <f>IF('Оперативный ввод'!X174="","",'Оперативный ввод'!X174)</f>
        <v/>
      </c>
    </row>
    <row r="175">
      <c r="A175" s="171">
        <f>IF('Оперативный ввод'!A175="","",'Оперативный ввод'!A175)</f>
        <v/>
      </c>
      <c r="B175" s="172">
        <f>IF('Оперативный ввод'!B175="","",'Оперативный ввод'!B175)</f>
        <v/>
      </c>
      <c r="C175" s="270">
        <f>IF('Оперативный ввод'!C175="","",'Оперативный ввод'!C175)</f>
        <v/>
      </c>
      <c r="D175" s="270">
        <f>IF('Оперативный ввод'!D175="","",'Оперативный ввод'!D175)</f>
        <v/>
      </c>
      <c r="E175" s="271">
        <f>IF(OR(C175="",D175=""),"",D175-C175)</f>
        <v/>
      </c>
      <c r="F175" s="172">
        <f>IF('Оперативный ввод'!F175="","",'Оперативный ввод'!F175)</f>
        <v/>
      </c>
      <c r="G175" s="172">
        <f>IF('Оперативный ввод'!G175="","",'Оперативный ввод'!G175)</f>
        <v/>
      </c>
      <c r="H175" s="172">
        <f>IF('Оперативный ввод'!H175="","",'Оперативный ввод'!H175)</f>
        <v/>
      </c>
      <c r="I175" s="172">
        <f>IF('Оперативный ввод'!I175="","",'Оперативный ввод'!I175)</f>
        <v/>
      </c>
      <c r="J175" s="172">
        <f>IF('Оперативный ввод'!J175="","",'Оперативный ввод'!J175)</f>
        <v/>
      </c>
      <c r="K175" s="172">
        <f>IF('Оперативный ввод'!K175="","",'Оперативный ввод'!K175)</f>
        <v/>
      </c>
      <c r="L175" s="172">
        <f>IF('Оперативный ввод'!L175="","",'Оперативный ввод'!L175)</f>
        <v/>
      </c>
      <c r="M175" s="172">
        <f>IF('Оперативный ввод'!M175="","",'Оперативный ввод'!M175)</f>
        <v/>
      </c>
      <c r="N175" s="172">
        <f>IF('Оперативный ввод'!N175="","",'Оперативный ввод'!N175)</f>
        <v/>
      </c>
      <c r="O175" s="172">
        <f>IF('Оперативный ввод'!O175="","",'Оперативный ввод'!O175)</f>
        <v/>
      </c>
      <c r="P175" s="205">
        <f>IF(AND(A175="",B175=""),"",IF(AND(A175&lt;&gt;"",B175&lt;&gt;"",C175&lt;&gt;"",D175&lt;&gt;"",F175&lt;&gt;"",G175&lt;&gt;"",H175&lt;&gt;"",ISERROR(SEARCH("по паспорту",G175)),ISERROR(SEARCH("по паспорту",H175)),I175&lt;&gt;"",J175&lt;&gt;"",K175&lt;&gt;"",L175&lt;&gt;"",M175&lt;&gt;""),"ГОТОВО","НЕ ГОТОВО"))</f>
        <v/>
      </c>
      <c r="Q175" s="205">
        <f>IF(P175&lt;&gt;"ГОТОВО","", "Предварительное заключение: "&amp;A175&amp;", скв. "&amp;B175&amp;". МРП: "&amp;E175&amp;" сут. ГНО: "&amp;F175&amp;", типоразмер "&amp;G175&amp;", марка "&amp;H175&amp;". Событие: "&amp;I175&amp;". Признак: "&amp;J175&amp;". Узел: "&amp;K175&amp;". Предварительная причина: "&amp;L175&amp;". Основное осложнение: "&amp;M175&amp;IF(N175&lt;&gt;"","; сопутствующее: "&amp;N175,"")&amp;IF(O175&lt;&gt;"","; дополнительно: "&amp;O175,"")&amp;".")</f>
        <v/>
      </c>
      <c r="R175" s="172">
        <f>IF('Оперативный ввод'!P175="","",'Оперативный ввод'!P175)</f>
        <v/>
      </c>
      <c r="S175" s="172">
        <f>IF('Оперативный ввод'!Q175="","",'Оперативный ввод'!Q175)</f>
        <v/>
      </c>
      <c r="T175" s="172">
        <f>IF('Оперативный ввод'!R175="","",'Оперативный ввод'!R175)</f>
        <v/>
      </c>
      <c r="U175" s="172">
        <f>IF('Оперативный ввод'!S175="","",'Оперативный ввод'!S175)</f>
        <v/>
      </c>
      <c r="V175" s="172">
        <f>IF('Оперативный ввод'!T175="","",'Оперативный ввод'!T175)</f>
        <v/>
      </c>
      <c r="W175" s="172" t="n"/>
      <c r="X175" s="172" t="n"/>
      <c r="Y175" s="172" t="n"/>
      <c r="Z175" s="172" t="n"/>
      <c r="AA175" s="172">
        <f>IF('Оперативный ввод'!U175="","",'Оперативный ввод'!U175)</f>
        <v/>
      </c>
      <c r="AB175" s="172">
        <f>IF('Оперативный ввод'!V175="","",'Оперативный ввод'!V175)</f>
        <v/>
      </c>
      <c r="AC175" s="172">
        <f>IF('Оперативный ввод'!W175="","",'Оперативный ввод'!W175)</f>
        <v/>
      </c>
      <c r="BB175" s="172" t="n"/>
      <c r="BC175" s="172" t="n"/>
      <c r="BD175" s="205">
        <f>IF(AND(A175="",B175=""),"",IF(AND(P175="ГОТОВО",R175&lt;&gt;"",T175&lt;&gt;"",U175&lt;&gt;"",AA175&lt;&gt;"",AB175&lt;&gt;"",AC175&lt;&gt;"",BB175&lt;&gt;"",BC175&lt;&gt;""),"ГОТОВО","НЕ ГОТОВО"))</f>
        <v/>
      </c>
      <c r="BE175" s="205">
        <f>IF(BD175&lt;&gt;"ГОТОВО","","Полное заключение: "&amp;A175&amp;", скв. "&amp;B175&amp;". МРП: "&amp;E175&amp;" сут. ГНО: "&amp;F175&amp;"; причина: "&amp;U175&amp;"; категория: "&amp;V175&amp;"; решение комиссии: "&amp;BB175&amp;".")</f>
        <v/>
      </c>
      <c r="BF175" s="173">
        <f>IF('Оперативный ввод'!X175="","",'Оперативный ввод'!X175)</f>
        <v/>
      </c>
    </row>
    <row r="176">
      <c r="A176" s="171">
        <f>IF('Оперативный ввод'!A176="","",'Оперативный ввод'!A176)</f>
        <v/>
      </c>
      <c r="B176" s="172">
        <f>IF('Оперативный ввод'!B176="","",'Оперативный ввод'!B176)</f>
        <v/>
      </c>
      <c r="C176" s="270">
        <f>IF('Оперативный ввод'!C176="","",'Оперативный ввод'!C176)</f>
        <v/>
      </c>
      <c r="D176" s="270">
        <f>IF('Оперативный ввод'!D176="","",'Оперативный ввод'!D176)</f>
        <v/>
      </c>
      <c r="E176" s="271">
        <f>IF(OR(C176="",D176=""),"",D176-C176)</f>
        <v/>
      </c>
      <c r="F176" s="172">
        <f>IF('Оперативный ввод'!F176="","",'Оперативный ввод'!F176)</f>
        <v/>
      </c>
      <c r="G176" s="172">
        <f>IF('Оперативный ввод'!G176="","",'Оперативный ввод'!G176)</f>
        <v/>
      </c>
      <c r="H176" s="172">
        <f>IF('Оперативный ввод'!H176="","",'Оперативный ввод'!H176)</f>
        <v/>
      </c>
      <c r="I176" s="172">
        <f>IF('Оперативный ввод'!I176="","",'Оперативный ввод'!I176)</f>
        <v/>
      </c>
      <c r="J176" s="172">
        <f>IF('Оперативный ввод'!J176="","",'Оперативный ввод'!J176)</f>
        <v/>
      </c>
      <c r="K176" s="172">
        <f>IF('Оперативный ввод'!K176="","",'Оперативный ввод'!K176)</f>
        <v/>
      </c>
      <c r="L176" s="172">
        <f>IF('Оперативный ввод'!L176="","",'Оперативный ввод'!L176)</f>
        <v/>
      </c>
      <c r="M176" s="172">
        <f>IF('Оперативный ввод'!M176="","",'Оперативный ввод'!M176)</f>
        <v/>
      </c>
      <c r="N176" s="172">
        <f>IF('Оперативный ввод'!N176="","",'Оперативный ввод'!N176)</f>
        <v/>
      </c>
      <c r="O176" s="172">
        <f>IF('Оперативный ввод'!O176="","",'Оперативный ввод'!O176)</f>
        <v/>
      </c>
      <c r="P176" s="205">
        <f>IF(AND(A176="",B176=""),"",IF(AND(A176&lt;&gt;"",B176&lt;&gt;"",C176&lt;&gt;"",D176&lt;&gt;"",F176&lt;&gt;"",G176&lt;&gt;"",H176&lt;&gt;"",ISERROR(SEARCH("по паспорту",G176)),ISERROR(SEARCH("по паспорту",H176)),I176&lt;&gt;"",J176&lt;&gt;"",K176&lt;&gt;"",L176&lt;&gt;"",M176&lt;&gt;""),"ГОТОВО","НЕ ГОТОВО"))</f>
        <v/>
      </c>
      <c r="Q176" s="205">
        <f>IF(P176&lt;&gt;"ГОТОВО","", "Предварительное заключение: "&amp;A176&amp;", скв. "&amp;B176&amp;". МРП: "&amp;E176&amp;" сут. ГНО: "&amp;F176&amp;", типоразмер "&amp;G176&amp;", марка "&amp;H176&amp;". Событие: "&amp;I176&amp;". Признак: "&amp;J176&amp;". Узел: "&amp;K176&amp;". Предварительная причина: "&amp;L176&amp;". Основное осложнение: "&amp;M176&amp;IF(N176&lt;&gt;"","; сопутствующее: "&amp;N176,"")&amp;IF(O176&lt;&gt;"","; дополнительно: "&amp;O176,"")&amp;".")</f>
        <v/>
      </c>
      <c r="R176" s="172">
        <f>IF('Оперативный ввод'!P176="","",'Оперативный ввод'!P176)</f>
        <v/>
      </c>
      <c r="S176" s="172">
        <f>IF('Оперативный ввод'!Q176="","",'Оперативный ввод'!Q176)</f>
        <v/>
      </c>
      <c r="T176" s="172">
        <f>IF('Оперативный ввод'!R176="","",'Оперативный ввод'!R176)</f>
        <v/>
      </c>
      <c r="U176" s="172">
        <f>IF('Оперативный ввод'!S176="","",'Оперативный ввод'!S176)</f>
        <v/>
      </c>
      <c r="V176" s="172">
        <f>IF('Оперативный ввод'!T176="","",'Оперативный ввод'!T176)</f>
        <v/>
      </c>
      <c r="W176" s="172" t="n"/>
      <c r="X176" s="172" t="n"/>
      <c r="Y176" s="172" t="n"/>
      <c r="Z176" s="172" t="n"/>
      <c r="AA176" s="172">
        <f>IF('Оперативный ввод'!U176="","",'Оперативный ввод'!U176)</f>
        <v/>
      </c>
      <c r="AB176" s="172">
        <f>IF('Оперативный ввод'!V176="","",'Оперативный ввод'!V176)</f>
        <v/>
      </c>
      <c r="AC176" s="172">
        <f>IF('Оперативный ввод'!W176="","",'Оперативный ввод'!W176)</f>
        <v/>
      </c>
      <c r="BB176" s="172" t="n"/>
      <c r="BC176" s="172" t="n"/>
      <c r="BD176" s="205">
        <f>IF(AND(A176="",B176=""),"",IF(AND(P176="ГОТОВО",R176&lt;&gt;"",T176&lt;&gt;"",U176&lt;&gt;"",AA176&lt;&gt;"",AB176&lt;&gt;"",AC176&lt;&gt;"",BB176&lt;&gt;"",BC176&lt;&gt;""),"ГОТОВО","НЕ ГОТОВО"))</f>
        <v/>
      </c>
      <c r="BE176" s="205">
        <f>IF(BD176&lt;&gt;"ГОТОВО","","Полное заключение: "&amp;A176&amp;", скв. "&amp;B176&amp;". МРП: "&amp;E176&amp;" сут. ГНО: "&amp;F176&amp;"; причина: "&amp;U176&amp;"; категория: "&amp;V176&amp;"; решение комиссии: "&amp;BB176&amp;".")</f>
        <v/>
      </c>
      <c r="BF176" s="173">
        <f>IF('Оперативный ввод'!X176="","",'Оперативный ввод'!X176)</f>
        <v/>
      </c>
    </row>
    <row r="177">
      <c r="A177" s="171">
        <f>IF('Оперативный ввод'!A177="","",'Оперативный ввод'!A177)</f>
        <v/>
      </c>
      <c r="B177" s="172">
        <f>IF('Оперативный ввод'!B177="","",'Оперативный ввод'!B177)</f>
        <v/>
      </c>
      <c r="C177" s="270">
        <f>IF('Оперативный ввод'!C177="","",'Оперативный ввод'!C177)</f>
        <v/>
      </c>
      <c r="D177" s="270">
        <f>IF('Оперативный ввод'!D177="","",'Оперативный ввод'!D177)</f>
        <v/>
      </c>
      <c r="E177" s="271">
        <f>IF(OR(C177="",D177=""),"",D177-C177)</f>
        <v/>
      </c>
      <c r="F177" s="172">
        <f>IF('Оперативный ввод'!F177="","",'Оперативный ввод'!F177)</f>
        <v/>
      </c>
      <c r="G177" s="172">
        <f>IF('Оперативный ввод'!G177="","",'Оперативный ввод'!G177)</f>
        <v/>
      </c>
      <c r="H177" s="172">
        <f>IF('Оперативный ввод'!H177="","",'Оперативный ввод'!H177)</f>
        <v/>
      </c>
      <c r="I177" s="172">
        <f>IF('Оперативный ввод'!I177="","",'Оперативный ввод'!I177)</f>
        <v/>
      </c>
      <c r="J177" s="172">
        <f>IF('Оперативный ввод'!J177="","",'Оперативный ввод'!J177)</f>
        <v/>
      </c>
      <c r="K177" s="172">
        <f>IF('Оперативный ввод'!K177="","",'Оперативный ввод'!K177)</f>
        <v/>
      </c>
      <c r="L177" s="172">
        <f>IF('Оперативный ввод'!L177="","",'Оперативный ввод'!L177)</f>
        <v/>
      </c>
      <c r="M177" s="172">
        <f>IF('Оперативный ввод'!M177="","",'Оперативный ввод'!M177)</f>
        <v/>
      </c>
      <c r="N177" s="172">
        <f>IF('Оперативный ввод'!N177="","",'Оперативный ввод'!N177)</f>
        <v/>
      </c>
      <c r="O177" s="172">
        <f>IF('Оперативный ввод'!O177="","",'Оперативный ввод'!O177)</f>
        <v/>
      </c>
      <c r="P177" s="205">
        <f>IF(AND(A177="",B177=""),"",IF(AND(A177&lt;&gt;"",B177&lt;&gt;"",C177&lt;&gt;"",D177&lt;&gt;"",F177&lt;&gt;"",G177&lt;&gt;"",H177&lt;&gt;"",ISERROR(SEARCH("по паспорту",G177)),ISERROR(SEARCH("по паспорту",H177)),I177&lt;&gt;"",J177&lt;&gt;"",K177&lt;&gt;"",L177&lt;&gt;"",M177&lt;&gt;""),"ГОТОВО","НЕ ГОТОВО"))</f>
        <v/>
      </c>
      <c r="Q177" s="205">
        <f>IF(P177&lt;&gt;"ГОТОВО","", "Предварительное заключение: "&amp;A177&amp;", скв. "&amp;B177&amp;". МРП: "&amp;E177&amp;" сут. ГНО: "&amp;F177&amp;", типоразмер "&amp;G177&amp;", марка "&amp;H177&amp;". Событие: "&amp;I177&amp;". Признак: "&amp;J177&amp;". Узел: "&amp;K177&amp;". Предварительная причина: "&amp;L177&amp;". Основное осложнение: "&amp;M177&amp;IF(N177&lt;&gt;"","; сопутствующее: "&amp;N177,"")&amp;IF(O177&lt;&gt;"","; дополнительно: "&amp;O177,"")&amp;".")</f>
        <v/>
      </c>
      <c r="R177" s="172">
        <f>IF('Оперативный ввод'!P177="","",'Оперативный ввод'!P177)</f>
        <v/>
      </c>
      <c r="S177" s="172">
        <f>IF('Оперативный ввод'!Q177="","",'Оперативный ввод'!Q177)</f>
        <v/>
      </c>
      <c r="T177" s="172">
        <f>IF('Оперативный ввод'!R177="","",'Оперативный ввод'!R177)</f>
        <v/>
      </c>
      <c r="U177" s="172">
        <f>IF('Оперативный ввод'!S177="","",'Оперативный ввод'!S177)</f>
        <v/>
      </c>
      <c r="V177" s="172">
        <f>IF('Оперативный ввод'!T177="","",'Оперативный ввод'!T177)</f>
        <v/>
      </c>
      <c r="W177" s="172" t="n"/>
      <c r="X177" s="172" t="n"/>
      <c r="Y177" s="172" t="n"/>
      <c r="Z177" s="172" t="n"/>
      <c r="AA177" s="172">
        <f>IF('Оперативный ввод'!U177="","",'Оперативный ввод'!U177)</f>
        <v/>
      </c>
      <c r="AB177" s="172">
        <f>IF('Оперативный ввод'!V177="","",'Оперативный ввод'!V177)</f>
        <v/>
      </c>
      <c r="AC177" s="172">
        <f>IF('Оперативный ввод'!W177="","",'Оперативный ввод'!W177)</f>
        <v/>
      </c>
      <c r="BB177" s="172" t="n"/>
      <c r="BC177" s="172" t="n"/>
      <c r="BD177" s="205">
        <f>IF(AND(A177="",B177=""),"",IF(AND(P177="ГОТОВО",R177&lt;&gt;"",T177&lt;&gt;"",U177&lt;&gt;"",AA177&lt;&gt;"",AB177&lt;&gt;"",AC177&lt;&gt;"",BB177&lt;&gt;"",BC177&lt;&gt;""),"ГОТОВО","НЕ ГОТОВО"))</f>
        <v/>
      </c>
      <c r="BE177" s="205">
        <f>IF(BD177&lt;&gt;"ГОТОВО","","Полное заключение: "&amp;A177&amp;", скв. "&amp;B177&amp;". МРП: "&amp;E177&amp;" сут. ГНО: "&amp;F177&amp;"; причина: "&amp;U177&amp;"; категория: "&amp;V177&amp;"; решение комиссии: "&amp;BB177&amp;".")</f>
        <v/>
      </c>
      <c r="BF177" s="173">
        <f>IF('Оперативный ввод'!X177="","",'Оперативный ввод'!X177)</f>
        <v/>
      </c>
    </row>
    <row r="178">
      <c r="A178" s="171">
        <f>IF('Оперативный ввод'!A178="","",'Оперативный ввод'!A178)</f>
        <v/>
      </c>
      <c r="B178" s="172">
        <f>IF('Оперативный ввод'!B178="","",'Оперативный ввод'!B178)</f>
        <v/>
      </c>
      <c r="C178" s="270">
        <f>IF('Оперативный ввод'!C178="","",'Оперативный ввод'!C178)</f>
        <v/>
      </c>
      <c r="D178" s="270">
        <f>IF('Оперативный ввод'!D178="","",'Оперативный ввод'!D178)</f>
        <v/>
      </c>
      <c r="E178" s="271">
        <f>IF(OR(C178="",D178=""),"",D178-C178)</f>
        <v/>
      </c>
      <c r="F178" s="172">
        <f>IF('Оперативный ввод'!F178="","",'Оперативный ввод'!F178)</f>
        <v/>
      </c>
      <c r="G178" s="172">
        <f>IF('Оперативный ввод'!G178="","",'Оперативный ввод'!G178)</f>
        <v/>
      </c>
      <c r="H178" s="172">
        <f>IF('Оперативный ввод'!H178="","",'Оперативный ввод'!H178)</f>
        <v/>
      </c>
      <c r="I178" s="172">
        <f>IF('Оперативный ввод'!I178="","",'Оперативный ввод'!I178)</f>
        <v/>
      </c>
      <c r="J178" s="172">
        <f>IF('Оперативный ввод'!J178="","",'Оперативный ввод'!J178)</f>
        <v/>
      </c>
      <c r="K178" s="172">
        <f>IF('Оперативный ввод'!K178="","",'Оперативный ввод'!K178)</f>
        <v/>
      </c>
      <c r="L178" s="172">
        <f>IF('Оперативный ввод'!L178="","",'Оперативный ввод'!L178)</f>
        <v/>
      </c>
      <c r="M178" s="172">
        <f>IF('Оперативный ввод'!M178="","",'Оперативный ввод'!M178)</f>
        <v/>
      </c>
      <c r="N178" s="172">
        <f>IF('Оперативный ввод'!N178="","",'Оперативный ввод'!N178)</f>
        <v/>
      </c>
      <c r="O178" s="172">
        <f>IF('Оперативный ввод'!O178="","",'Оперативный ввод'!O178)</f>
        <v/>
      </c>
      <c r="P178" s="205">
        <f>IF(AND(A178="",B178=""),"",IF(AND(A178&lt;&gt;"",B178&lt;&gt;"",C178&lt;&gt;"",D178&lt;&gt;"",F178&lt;&gt;"",G178&lt;&gt;"",H178&lt;&gt;"",ISERROR(SEARCH("по паспорту",G178)),ISERROR(SEARCH("по паспорту",H178)),I178&lt;&gt;"",J178&lt;&gt;"",K178&lt;&gt;"",L178&lt;&gt;"",M178&lt;&gt;""),"ГОТОВО","НЕ ГОТОВО"))</f>
        <v/>
      </c>
      <c r="Q178" s="205">
        <f>IF(P178&lt;&gt;"ГОТОВО","", "Предварительное заключение: "&amp;A178&amp;", скв. "&amp;B178&amp;". МРП: "&amp;E178&amp;" сут. ГНО: "&amp;F178&amp;", типоразмер "&amp;G178&amp;", марка "&amp;H178&amp;". Событие: "&amp;I178&amp;". Признак: "&amp;J178&amp;". Узел: "&amp;K178&amp;". Предварительная причина: "&amp;L178&amp;". Основное осложнение: "&amp;M178&amp;IF(N178&lt;&gt;"","; сопутствующее: "&amp;N178,"")&amp;IF(O178&lt;&gt;"","; дополнительно: "&amp;O178,"")&amp;".")</f>
        <v/>
      </c>
      <c r="R178" s="172">
        <f>IF('Оперативный ввод'!P178="","",'Оперативный ввод'!P178)</f>
        <v/>
      </c>
      <c r="S178" s="172">
        <f>IF('Оперативный ввод'!Q178="","",'Оперативный ввод'!Q178)</f>
        <v/>
      </c>
      <c r="T178" s="172">
        <f>IF('Оперативный ввод'!R178="","",'Оперативный ввод'!R178)</f>
        <v/>
      </c>
      <c r="U178" s="172">
        <f>IF('Оперативный ввод'!S178="","",'Оперативный ввод'!S178)</f>
        <v/>
      </c>
      <c r="V178" s="172">
        <f>IF('Оперативный ввод'!T178="","",'Оперативный ввод'!T178)</f>
        <v/>
      </c>
      <c r="W178" s="172" t="n"/>
      <c r="X178" s="172" t="n"/>
      <c r="Y178" s="172" t="n"/>
      <c r="Z178" s="172" t="n"/>
      <c r="AA178" s="172">
        <f>IF('Оперативный ввод'!U178="","",'Оперативный ввод'!U178)</f>
        <v/>
      </c>
      <c r="AB178" s="172">
        <f>IF('Оперативный ввод'!V178="","",'Оперативный ввод'!V178)</f>
        <v/>
      </c>
      <c r="AC178" s="172">
        <f>IF('Оперативный ввод'!W178="","",'Оперативный ввод'!W178)</f>
        <v/>
      </c>
      <c r="BB178" s="172" t="n"/>
      <c r="BC178" s="172" t="n"/>
      <c r="BD178" s="205">
        <f>IF(AND(A178="",B178=""),"",IF(AND(P178="ГОТОВО",R178&lt;&gt;"",T178&lt;&gt;"",U178&lt;&gt;"",AA178&lt;&gt;"",AB178&lt;&gt;"",AC178&lt;&gt;"",BB178&lt;&gt;"",BC178&lt;&gt;""),"ГОТОВО","НЕ ГОТОВО"))</f>
        <v/>
      </c>
      <c r="BE178" s="205">
        <f>IF(BD178&lt;&gt;"ГОТОВО","","Полное заключение: "&amp;A178&amp;", скв. "&amp;B178&amp;". МРП: "&amp;E178&amp;" сут. ГНО: "&amp;F178&amp;"; причина: "&amp;U178&amp;"; категория: "&amp;V178&amp;"; решение комиссии: "&amp;BB178&amp;".")</f>
        <v/>
      </c>
      <c r="BF178" s="173">
        <f>IF('Оперативный ввод'!X178="","",'Оперативный ввод'!X178)</f>
        <v/>
      </c>
    </row>
    <row r="179">
      <c r="A179" s="171">
        <f>IF('Оперативный ввод'!A179="","",'Оперативный ввод'!A179)</f>
        <v/>
      </c>
      <c r="B179" s="172">
        <f>IF('Оперативный ввод'!B179="","",'Оперативный ввод'!B179)</f>
        <v/>
      </c>
      <c r="C179" s="270">
        <f>IF('Оперативный ввод'!C179="","",'Оперативный ввод'!C179)</f>
        <v/>
      </c>
      <c r="D179" s="270">
        <f>IF('Оперативный ввод'!D179="","",'Оперативный ввод'!D179)</f>
        <v/>
      </c>
      <c r="E179" s="271">
        <f>IF(OR(C179="",D179=""),"",D179-C179)</f>
        <v/>
      </c>
      <c r="F179" s="172">
        <f>IF('Оперативный ввод'!F179="","",'Оперативный ввод'!F179)</f>
        <v/>
      </c>
      <c r="G179" s="172">
        <f>IF('Оперативный ввод'!G179="","",'Оперативный ввод'!G179)</f>
        <v/>
      </c>
      <c r="H179" s="172">
        <f>IF('Оперативный ввод'!H179="","",'Оперативный ввод'!H179)</f>
        <v/>
      </c>
      <c r="I179" s="172">
        <f>IF('Оперативный ввод'!I179="","",'Оперативный ввод'!I179)</f>
        <v/>
      </c>
      <c r="J179" s="172">
        <f>IF('Оперативный ввод'!J179="","",'Оперативный ввод'!J179)</f>
        <v/>
      </c>
      <c r="K179" s="172">
        <f>IF('Оперативный ввод'!K179="","",'Оперативный ввод'!K179)</f>
        <v/>
      </c>
      <c r="L179" s="172">
        <f>IF('Оперативный ввод'!L179="","",'Оперативный ввод'!L179)</f>
        <v/>
      </c>
      <c r="M179" s="172">
        <f>IF('Оперативный ввод'!M179="","",'Оперативный ввод'!M179)</f>
        <v/>
      </c>
      <c r="N179" s="172">
        <f>IF('Оперативный ввод'!N179="","",'Оперативный ввод'!N179)</f>
        <v/>
      </c>
      <c r="O179" s="172">
        <f>IF('Оперативный ввод'!O179="","",'Оперативный ввод'!O179)</f>
        <v/>
      </c>
      <c r="P179" s="205">
        <f>IF(AND(A179="",B179=""),"",IF(AND(A179&lt;&gt;"",B179&lt;&gt;"",C179&lt;&gt;"",D179&lt;&gt;"",F179&lt;&gt;"",G179&lt;&gt;"",H179&lt;&gt;"",ISERROR(SEARCH("по паспорту",G179)),ISERROR(SEARCH("по паспорту",H179)),I179&lt;&gt;"",J179&lt;&gt;"",K179&lt;&gt;"",L179&lt;&gt;"",M179&lt;&gt;""),"ГОТОВО","НЕ ГОТОВО"))</f>
        <v/>
      </c>
      <c r="Q179" s="205">
        <f>IF(P179&lt;&gt;"ГОТОВО","", "Предварительное заключение: "&amp;A179&amp;", скв. "&amp;B179&amp;". МРП: "&amp;E179&amp;" сут. ГНО: "&amp;F179&amp;", типоразмер "&amp;G179&amp;", марка "&amp;H179&amp;". Событие: "&amp;I179&amp;". Признак: "&amp;J179&amp;". Узел: "&amp;K179&amp;". Предварительная причина: "&amp;L179&amp;". Основное осложнение: "&amp;M179&amp;IF(N179&lt;&gt;"","; сопутствующее: "&amp;N179,"")&amp;IF(O179&lt;&gt;"","; дополнительно: "&amp;O179,"")&amp;".")</f>
        <v/>
      </c>
      <c r="R179" s="172">
        <f>IF('Оперативный ввод'!P179="","",'Оперативный ввод'!P179)</f>
        <v/>
      </c>
      <c r="S179" s="172">
        <f>IF('Оперативный ввод'!Q179="","",'Оперативный ввод'!Q179)</f>
        <v/>
      </c>
      <c r="T179" s="172">
        <f>IF('Оперативный ввод'!R179="","",'Оперативный ввод'!R179)</f>
        <v/>
      </c>
      <c r="U179" s="172">
        <f>IF('Оперативный ввод'!S179="","",'Оперативный ввод'!S179)</f>
        <v/>
      </c>
      <c r="V179" s="172">
        <f>IF('Оперативный ввод'!T179="","",'Оперативный ввод'!T179)</f>
        <v/>
      </c>
      <c r="W179" s="172" t="n"/>
      <c r="X179" s="172" t="n"/>
      <c r="Y179" s="172" t="n"/>
      <c r="Z179" s="172" t="n"/>
      <c r="AA179" s="172">
        <f>IF('Оперативный ввод'!U179="","",'Оперативный ввод'!U179)</f>
        <v/>
      </c>
      <c r="AB179" s="172">
        <f>IF('Оперативный ввод'!V179="","",'Оперативный ввод'!V179)</f>
        <v/>
      </c>
      <c r="AC179" s="172">
        <f>IF('Оперативный ввод'!W179="","",'Оперативный ввод'!W179)</f>
        <v/>
      </c>
      <c r="BB179" s="172" t="n"/>
      <c r="BC179" s="172" t="n"/>
      <c r="BD179" s="205">
        <f>IF(AND(A179="",B179=""),"",IF(AND(P179="ГОТОВО",R179&lt;&gt;"",T179&lt;&gt;"",U179&lt;&gt;"",AA179&lt;&gt;"",AB179&lt;&gt;"",AC179&lt;&gt;"",BB179&lt;&gt;"",BC179&lt;&gt;""),"ГОТОВО","НЕ ГОТОВО"))</f>
        <v/>
      </c>
      <c r="BE179" s="205">
        <f>IF(BD179&lt;&gt;"ГОТОВО","","Полное заключение: "&amp;A179&amp;", скв. "&amp;B179&amp;". МРП: "&amp;E179&amp;" сут. ГНО: "&amp;F179&amp;"; причина: "&amp;U179&amp;"; категория: "&amp;V179&amp;"; решение комиссии: "&amp;BB179&amp;".")</f>
        <v/>
      </c>
      <c r="BF179" s="173">
        <f>IF('Оперативный ввод'!X179="","",'Оперативный ввод'!X179)</f>
        <v/>
      </c>
    </row>
    <row r="180">
      <c r="A180" s="171">
        <f>IF('Оперативный ввод'!A180="","",'Оперативный ввод'!A180)</f>
        <v/>
      </c>
      <c r="B180" s="172">
        <f>IF('Оперативный ввод'!B180="","",'Оперативный ввод'!B180)</f>
        <v/>
      </c>
      <c r="C180" s="270">
        <f>IF('Оперативный ввод'!C180="","",'Оперативный ввод'!C180)</f>
        <v/>
      </c>
      <c r="D180" s="270">
        <f>IF('Оперативный ввод'!D180="","",'Оперативный ввод'!D180)</f>
        <v/>
      </c>
      <c r="E180" s="271">
        <f>IF(OR(C180="",D180=""),"",D180-C180)</f>
        <v/>
      </c>
      <c r="F180" s="172">
        <f>IF('Оперативный ввод'!F180="","",'Оперативный ввод'!F180)</f>
        <v/>
      </c>
      <c r="G180" s="172">
        <f>IF('Оперативный ввод'!G180="","",'Оперативный ввод'!G180)</f>
        <v/>
      </c>
      <c r="H180" s="172">
        <f>IF('Оперативный ввод'!H180="","",'Оперативный ввод'!H180)</f>
        <v/>
      </c>
      <c r="I180" s="172">
        <f>IF('Оперативный ввод'!I180="","",'Оперативный ввод'!I180)</f>
        <v/>
      </c>
      <c r="J180" s="172">
        <f>IF('Оперативный ввод'!J180="","",'Оперативный ввод'!J180)</f>
        <v/>
      </c>
      <c r="K180" s="172">
        <f>IF('Оперативный ввод'!K180="","",'Оперативный ввод'!K180)</f>
        <v/>
      </c>
      <c r="L180" s="172">
        <f>IF('Оперативный ввод'!L180="","",'Оперативный ввод'!L180)</f>
        <v/>
      </c>
      <c r="M180" s="172">
        <f>IF('Оперативный ввод'!M180="","",'Оперативный ввод'!M180)</f>
        <v/>
      </c>
      <c r="N180" s="172">
        <f>IF('Оперативный ввод'!N180="","",'Оперативный ввод'!N180)</f>
        <v/>
      </c>
      <c r="O180" s="172">
        <f>IF('Оперативный ввод'!O180="","",'Оперативный ввод'!O180)</f>
        <v/>
      </c>
      <c r="P180" s="205">
        <f>IF(AND(A180="",B180=""),"",IF(AND(A180&lt;&gt;"",B180&lt;&gt;"",C180&lt;&gt;"",D180&lt;&gt;"",F180&lt;&gt;"",G180&lt;&gt;"",H180&lt;&gt;"",ISERROR(SEARCH("по паспорту",G180)),ISERROR(SEARCH("по паспорту",H180)),I180&lt;&gt;"",J180&lt;&gt;"",K180&lt;&gt;"",L180&lt;&gt;"",M180&lt;&gt;""),"ГОТОВО","НЕ ГОТОВО"))</f>
        <v/>
      </c>
      <c r="Q180" s="205">
        <f>IF(P180&lt;&gt;"ГОТОВО","", "Предварительное заключение: "&amp;A180&amp;", скв. "&amp;B180&amp;". МРП: "&amp;E180&amp;" сут. ГНО: "&amp;F180&amp;", типоразмер "&amp;G180&amp;", марка "&amp;H180&amp;". Событие: "&amp;I180&amp;". Признак: "&amp;J180&amp;". Узел: "&amp;K180&amp;". Предварительная причина: "&amp;L180&amp;". Основное осложнение: "&amp;M180&amp;IF(N180&lt;&gt;"","; сопутствующее: "&amp;N180,"")&amp;IF(O180&lt;&gt;"","; дополнительно: "&amp;O180,"")&amp;".")</f>
        <v/>
      </c>
      <c r="R180" s="172">
        <f>IF('Оперативный ввод'!P180="","",'Оперативный ввод'!P180)</f>
        <v/>
      </c>
      <c r="S180" s="172">
        <f>IF('Оперативный ввод'!Q180="","",'Оперативный ввод'!Q180)</f>
        <v/>
      </c>
      <c r="T180" s="172">
        <f>IF('Оперативный ввод'!R180="","",'Оперативный ввод'!R180)</f>
        <v/>
      </c>
      <c r="U180" s="172">
        <f>IF('Оперативный ввод'!S180="","",'Оперативный ввод'!S180)</f>
        <v/>
      </c>
      <c r="V180" s="172">
        <f>IF('Оперативный ввод'!T180="","",'Оперативный ввод'!T180)</f>
        <v/>
      </c>
      <c r="W180" s="172" t="n"/>
      <c r="X180" s="172" t="n"/>
      <c r="Y180" s="172" t="n"/>
      <c r="Z180" s="172" t="n"/>
      <c r="AA180" s="172">
        <f>IF('Оперативный ввод'!U180="","",'Оперативный ввод'!U180)</f>
        <v/>
      </c>
      <c r="AB180" s="172">
        <f>IF('Оперативный ввод'!V180="","",'Оперативный ввод'!V180)</f>
        <v/>
      </c>
      <c r="AC180" s="172">
        <f>IF('Оперативный ввод'!W180="","",'Оперативный ввод'!W180)</f>
        <v/>
      </c>
      <c r="BB180" s="172" t="n"/>
      <c r="BC180" s="172" t="n"/>
      <c r="BD180" s="205">
        <f>IF(AND(A180="",B180=""),"",IF(AND(P180="ГОТОВО",R180&lt;&gt;"",T180&lt;&gt;"",U180&lt;&gt;"",AA180&lt;&gt;"",AB180&lt;&gt;"",AC180&lt;&gt;"",BB180&lt;&gt;"",BC180&lt;&gt;""),"ГОТОВО","НЕ ГОТОВО"))</f>
        <v/>
      </c>
      <c r="BE180" s="205">
        <f>IF(BD180&lt;&gt;"ГОТОВО","","Полное заключение: "&amp;A180&amp;", скв. "&amp;B180&amp;". МРП: "&amp;E180&amp;" сут. ГНО: "&amp;F180&amp;"; причина: "&amp;U180&amp;"; категория: "&amp;V180&amp;"; решение комиссии: "&amp;BB180&amp;".")</f>
        <v/>
      </c>
      <c r="BF180" s="173">
        <f>IF('Оперативный ввод'!X180="","",'Оперативный ввод'!X180)</f>
        <v/>
      </c>
    </row>
    <row r="181">
      <c r="A181" s="171">
        <f>IF('Оперативный ввод'!A181="","",'Оперативный ввод'!A181)</f>
        <v/>
      </c>
      <c r="B181" s="172">
        <f>IF('Оперативный ввод'!B181="","",'Оперативный ввод'!B181)</f>
        <v/>
      </c>
      <c r="C181" s="270">
        <f>IF('Оперативный ввод'!C181="","",'Оперативный ввод'!C181)</f>
        <v/>
      </c>
      <c r="D181" s="270">
        <f>IF('Оперативный ввод'!D181="","",'Оперативный ввод'!D181)</f>
        <v/>
      </c>
      <c r="E181" s="271">
        <f>IF(OR(C181="",D181=""),"",D181-C181)</f>
        <v/>
      </c>
      <c r="F181" s="172">
        <f>IF('Оперативный ввод'!F181="","",'Оперативный ввод'!F181)</f>
        <v/>
      </c>
      <c r="G181" s="172">
        <f>IF('Оперативный ввод'!G181="","",'Оперативный ввод'!G181)</f>
        <v/>
      </c>
      <c r="H181" s="172">
        <f>IF('Оперативный ввод'!H181="","",'Оперативный ввод'!H181)</f>
        <v/>
      </c>
      <c r="I181" s="172">
        <f>IF('Оперативный ввод'!I181="","",'Оперативный ввод'!I181)</f>
        <v/>
      </c>
      <c r="J181" s="172">
        <f>IF('Оперативный ввод'!J181="","",'Оперативный ввод'!J181)</f>
        <v/>
      </c>
      <c r="K181" s="172">
        <f>IF('Оперативный ввод'!K181="","",'Оперативный ввод'!K181)</f>
        <v/>
      </c>
      <c r="L181" s="172">
        <f>IF('Оперативный ввод'!L181="","",'Оперативный ввод'!L181)</f>
        <v/>
      </c>
      <c r="M181" s="172">
        <f>IF('Оперативный ввод'!M181="","",'Оперативный ввод'!M181)</f>
        <v/>
      </c>
      <c r="N181" s="172">
        <f>IF('Оперативный ввод'!N181="","",'Оперативный ввод'!N181)</f>
        <v/>
      </c>
      <c r="O181" s="172">
        <f>IF('Оперативный ввод'!O181="","",'Оперативный ввод'!O181)</f>
        <v/>
      </c>
      <c r="P181" s="205">
        <f>IF(AND(A181="",B181=""),"",IF(AND(A181&lt;&gt;"",B181&lt;&gt;"",C181&lt;&gt;"",D181&lt;&gt;"",F181&lt;&gt;"",G181&lt;&gt;"",H181&lt;&gt;"",ISERROR(SEARCH("по паспорту",G181)),ISERROR(SEARCH("по паспорту",H181)),I181&lt;&gt;"",J181&lt;&gt;"",K181&lt;&gt;"",L181&lt;&gt;"",M181&lt;&gt;""),"ГОТОВО","НЕ ГОТОВО"))</f>
        <v/>
      </c>
      <c r="Q181" s="205">
        <f>IF(P181&lt;&gt;"ГОТОВО","", "Предварительное заключение: "&amp;A181&amp;", скв. "&amp;B181&amp;". МРП: "&amp;E181&amp;" сут. ГНО: "&amp;F181&amp;", типоразмер "&amp;G181&amp;", марка "&amp;H181&amp;". Событие: "&amp;I181&amp;". Признак: "&amp;J181&amp;". Узел: "&amp;K181&amp;". Предварительная причина: "&amp;L181&amp;". Основное осложнение: "&amp;M181&amp;IF(N181&lt;&gt;"","; сопутствующее: "&amp;N181,"")&amp;IF(O181&lt;&gt;"","; дополнительно: "&amp;O181,"")&amp;".")</f>
        <v/>
      </c>
      <c r="R181" s="172">
        <f>IF('Оперативный ввод'!P181="","",'Оперативный ввод'!P181)</f>
        <v/>
      </c>
      <c r="S181" s="172">
        <f>IF('Оперативный ввод'!Q181="","",'Оперативный ввод'!Q181)</f>
        <v/>
      </c>
      <c r="T181" s="172">
        <f>IF('Оперативный ввод'!R181="","",'Оперативный ввод'!R181)</f>
        <v/>
      </c>
      <c r="U181" s="172">
        <f>IF('Оперативный ввод'!S181="","",'Оперативный ввод'!S181)</f>
        <v/>
      </c>
      <c r="V181" s="172">
        <f>IF('Оперативный ввод'!T181="","",'Оперативный ввод'!T181)</f>
        <v/>
      </c>
      <c r="W181" s="172" t="n"/>
      <c r="X181" s="172" t="n"/>
      <c r="Y181" s="172" t="n"/>
      <c r="Z181" s="172" t="n"/>
      <c r="AA181" s="172">
        <f>IF('Оперативный ввод'!U181="","",'Оперативный ввод'!U181)</f>
        <v/>
      </c>
      <c r="AB181" s="172">
        <f>IF('Оперативный ввод'!V181="","",'Оперативный ввод'!V181)</f>
        <v/>
      </c>
      <c r="AC181" s="172">
        <f>IF('Оперативный ввод'!W181="","",'Оперативный ввод'!W181)</f>
        <v/>
      </c>
      <c r="BB181" s="172" t="n"/>
      <c r="BC181" s="172" t="n"/>
      <c r="BD181" s="205">
        <f>IF(AND(A181="",B181=""),"",IF(AND(P181="ГОТОВО",R181&lt;&gt;"",T181&lt;&gt;"",U181&lt;&gt;"",AA181&lt;&gt;"",AB181&lt;&gt;"",AC181&lt;&gt;"",BB181&lt;&gt;"",BC181&lt;&gt;""),"ГОТОВО","НЕ ГОТОВО"))</f>
        <v/>
      </c>
      <c r="BE181" s="205">
        <f>IF(BD181&lt;&gt;"ГОТОВО","","Полное заключение: "&amp;A181&amp;", скв. "&amp;B181&amp;". МРП: "&amp;E181&amp;" сут. ГНО: "&amp;F181&amp;"; причина: "&amp;U181&amp;"; категория: "&amp;V181&amp;"; решение комиссии: "&amp;BB181&amp;".")</f>
        <v/>
      </c>
      <c r="BF181" s="173">
        <f>IF('Оперативный ввод'!X181="","",'Оперативный ввод'!X181)</f>
        <v/>
      </c>
    </row>
    <row r="182">
      <c r="A182" s="171">
        <f>IF('Оперативный ввод'!A182="","",'Оперативный ввод'!A182)</f>
        <v/>
      </c>
      <c r="B182" s="172">
        <f>IF('Оперативный ввод'!B182="","",'Оперативный ввод'!B182)</f>
        <v/>
      </c>
      <c r="C182" s="270">
        <f>IF('Оперативный ввод'!C182="","",'Оперативный ввод'!C182)</f>
        <v/>
      </c>
      <c r="D182" s="270">
        <f>IF('Оперативный ввод'!D182="","",'Оперативный ввод'!D182)</f>
        <v/>
      </c>
      <c r="E182" s="271">
        <f>IF(OR(C182="",D182=""),"",D182-C182)</f>
        <v/>
      </c>
      <c r="F182" s="172">
        <f>IF('Оперативный ввод'!F182="","",'Оперативный ввод'!F182)</f>
        <v/>
      </c>
      <c r="G182" s="172">
        <f>IF('Оперативный ввод'!G182="","",'Оперативный ввод'!G182)</f>
        <v/>
      </c>
      <c r="H182" s="172">
        <f>IF('Оперативный ввод'!H182="","",'Оперативный ввод'!H182)</f>
        <v/>
      </c>
      <c r="I182" s="172">
        <f>IF('Оперативный ввод'!I182="","",'Оперативный ввод'!I182)</f>
        <v/>
      </c>
      <c r="J182" s="172">
        <f>IF('Оперативный ввод'!J182="","",'Оперативный ввод'!J182)</f>
        <v/>
      </c>
      <c r="K182" s="172">
        <f>IF('Оперативный ввод'!K182="","",'Оперативный ввод'!K182)</f>
        <v/>
      </c>
      <c r="L182" s="172">
        <f>IF('Оперативный ввод'!L182="","",'Оперативный ввод'!L182)</f>
        <v/>
      </c>
      <c r="M182" s="172">
        <f>IF('Оперативный ввод'!M182="","",'Оперативный ввод'!M182)</f>
        <v/>
      </c>
      <c r="N182" s="172">
        <f>IF('Оперативный ввод'!N182="","",'Оперативный ввод'!N182)</f>
        <v/>
      </c>
      <c r="O182" s="172">
        <f>IF('Оперативный ввод'!O182="","",'Оперативный ввод'!O182)</f>
        <v/>
      </c>
      <c r="P182" s="205">
        <f>IF(AND(A182="",B182=""),"",IF(AND(A182&lt;&gt;"",B182&lt;&gt;"",C182&lt;&gt;"",D182&lt;&gt;"",F182&lt;&gt;"",G182&lt;&gt;"",H182&lt;&gt;"",ISERROR(SEARCH("по паспорту",G182)),ISERROR(SEARCH("по паспорту",H182)),I182&lt;&gt;"",J182&lt;&gt;"",K182&lt;&gt;"",L182&lt;&gt;"",M182&lt;&gt;""),"ГОТОВО","НЕ ГОТОВО"))</f>
        <v/>
      </c>
      <c r="Q182" s="205">
        <f>IF(P182&lt;&gt;"ГОТОВО","", "Предварительное заключение: "&amp;A182&amp;", скв. "&amp;B182&amp;". МРП: "&amp;E182&amp;" сут. ГНО: "&amp;F182&amp;", типоразмер "&amp;G182&amp;", марка "&amp;H182&amp;". Событие: "&amp;I182&amp;". Признак: "&amp;J182&amp;". Узел: "&amp;K182&amp;". Предварительная причина: "&amp;L182&amp;". Основное осложнение: "&amp;M182&amp;IF(N182&lt;&gt;"","; сопутствующее: "&amp;N182,"")&amp;IF(O182&lt;&gt;"","; дополнительно: "&amp;O182,"")&amp;".")</f>
        <v/>
      </c>
      <c r="R182" s="172">
        <f>IF('Оперативный ввод'!P182="","",'Оперативный ввод'!P182)</f>
        <v/>
      </c>
      <c r="S182" s="172">
        <f>IF('Оперативный ввод'!Q182="","",'Оперативный ввод'!Q182)</f>
        <v/>
      </c>
      <c r="T182" s="172">
        <f>IF('Оперативный ввод'!R182="","",'Оперативный ввод'!R182)</f>
        <v/>
      </c>
      <c r="U182" s="172">
        <f>IF('Оперативный ввод'!S182="","",'Оперативный ввод'!S182)</f>
        <v/>
      </c>
      <c r="V182" s="172">
        <f>IF('Оперативный ввод'!T182="","",'Оперативный ввод'!T182)</f>
        <v/>
      </c>
      <c r="W182" s="172" t="n"/>
      <c r="X182" s="172" t="n"/>
      <c r="Y182" s="172" t="n"/>
      <c r="Z182" s="172" t="n"/>
      <c r="AA182" s="172">
        <f>IF('Оперативный ввод'!U182="","",'Оперативный ввод'!U182)</f>
        <v/>
      </c>
      <c r="AB182" s="172">
        <f>IF('Оперативный ввод'!V182="","",'Оперативный ввод'!V182)</f>
        <v/>
      </c>
      <c r="AC182" s="172">
        <f>IF('Оперативный ввод'!W182="","",'Оперативный ввод'!W182)</f>
        <v/>
      </c>
      <c r="BB182" s="172" t="n"/>
      <c r="BC182" s="172" t="n"/>
      <c r="BD182" s="205">
        <f>IF(AND(A182="",B182=""),"",IF(AND(P182="ГОТОВО",R182&lt;&gt;"",T182&lt;&gt;"",U182&lt;&gt;"",AA182&lt;&gt;"",AB182&lt;&gt;"",AC182&lt;&gt;"",BB182&lt;&gt;"",BC182&lt;&gt;""),"ГОТОВО","НЕ ГОТОВО"))</f>
        <v/>
      </c>
      <c r="BE182" s="205">
        <f>IF(BD182&lt;&gt;"ГОТОВО","","Полное заключение: "&amp;A182&amp;", скв. "&amp;B182&amp;". МРП: "&amp;E182&amp;" сут. ГНО: "&amp;F182&amp;"; причина: "&amp;U182&amp;"; категория: "&amp;V182&amp;"; решение комиссии: "&amp;BB182&amp;".")</f>
        <v/>
      </c>
      <c r="BF182" s="173">
        <f>IF('Оперативный ввод'!X182="","",'Оперативный ввод'!X182)</f>
        <v/>
      </c>
    </row>
    <row r="183">
      <c r="A183" s="171">
        <f>IF('Оперативный ввод'!A183="","",'Оперативный ввод'!A183)</f>
        <v/>
      </c>
      <c r="B183" s="172">
        <f>IF('Оперативный ввод'!B183="","",'Оперативный ввод'!B183)</f>
        <v/>
      </c>
      <c r="C183" s="270">
        <f>IF('Оперативный ввод'!C183="","",'Оперативный ввод'!C183)</f>
        <v/>
      </c>
      <c r="D183" s="270">
        <f>IF('Оперативный ввод'!D183="","",'Оперативный ввод'!D183)</f>
        <v/>
      </c>
      <c r="E183" s="271">
        <f>IF(OR(C183="",D183=""),"",D183-C183)</f>
        <v/>
      </c>
      <c r="F183" s="172">
        <f>IF('Оперативный ввод'!F183="","",'Оперативный ввод'!F183)</f>
        <v/>
      </c>
      <c r="G183" s="172">
        <f>IF('Оперативный ввод'!G183="","",'Оперативный ввод'!G183)</f>
        <v/>
      </c>
      <c r="H183" s="172">
        <f>IF('Оперативный ввод'!H183="","",'Оперативный ввод'!H183)</f>
        <v/>
      </c>
      <c r="I183" s="172">
        <f>IF('Оперативный ввод'!I183="","",'Оперативный ввод'!I183)</f>
        <v/>
      </c>
      <c r="J183" s="172">
        <f>IF('Оперативный ввод'!J183="","",'Оперативный ввод'!J183)</f>
        <v/>
      </c>
      <c r="K183" s="172">
        <f>IF('Оперативный ввод'!K183="","",'Оперативный ввод'!K183)</f>
        <v/>
      </c>
      <c r="L183" s="172">
        <f>IF('Оперативный ввод'!L183="","",'Оперативный ввод'!L183)</f>
        <v/>
      </c>
      <c r="M183" s="172">
        <f>IF('Оперативный ввод'!M183="","",'Оперативный ввод'!M183)</f>
        <v/>
      </c>
      <c r="N183" s="172">
        <f>IF('Оперативный ввод'!N183="","",'Оперативный ввод'!N183)</f>
        <v/>
      </c>
      <c r="O183" s="172">
        <f>IF('Оперативный ввод'!O183="","",'Оперативный ввод'!O183)</f>
        <v/>
      </c>
      <c r="P183" s="205">
        <f>IF(AND(A183="",B183=""),"",IF(AND(A183&lt;&gt;"",B183&lt;&gt;"",C183&lt;&gt;"",D183&lt;&gt;"",F183&lt;&gt;"",G183&lt;&gt;"",H183&lt;&gt;"",ISERROR(SEARCH("по паспорту",G183)),ISERROR(SEARCH("по паспорту",H183)),I183&lt;&gt;"",J183&lt;&gt;"",K183&lt;&gt;"",L183&lt;&gt;"",M183&lt;&gt;""),"ГОТОВО","НЕ ГОТОВО"))</f>
        <v/>
      </c>
      <c r="Q183" s="205">
        <f>IF(P183&lt;&gt;"ГОТОВО","", "Предварительное заключение: "&amp;A183&amp;", скв. "&amp;B183&amp;". МРП: "&amp;E183&amp;" сут. ГНО: "&amp;F183&amp;", типоразмер "&amp;G183&amp;", марка "&amp;H183&amp;". Событие: "&amp;I183&amp;". Признак: "&amp;J183&amp;". Узел: "&amp;K183&amp;". Предварительная причина: "&amp;L183&amp;". Основное осложнение: "&amp;M183&amp;IF(N183&lt;&gt;"","; сопутствующее: "&amp;N183,"")&amp;IF(O183&lt;&gt;"","; дополнительно: "&amp;O183,"")&amp;".")</f>
        <v/>
      </c>
      <c r="R183" s="172">
        <f>IF('Оперативный ввод'!P183="","",'Оперативный ввод'!P183)</f>
        <v/>
      </c>
      <c r="S183" s="172">
        <f>IF('Оперативный ввод'!Q183="","",'Оперативный ввод'!Q183)</f>
        <v/>
      </c>
      <c r="T183" s="172">
        <f>IF('Оперативный ввод'!R183="","",'Оперативный ввод'!R183)</f>
        <v/>
      </c>
      <c r="U183" s="172">
        <f>IF('Оперативный ввод'!S183="","",'Оперативный ввод'!S183)</f>
        <v/>
      </c>
      <c r="V183" s="172">
        <f>IF('Оперативный ввод'!T183="","",'Оперативный ввод'!T183)</f>
        <v/>
      </c>
      <c r="W183" s="172" t="n"/>
      <c r="X183" s="172" t="n"/>
      <c r="Y183" s="172" t="n"/>
      <c r="Z183" s="172" t="n"/>
      <c r="AA183" s="172">
        <f>IF('Оперативный ввод'!U183="","",'Оперативный ввод'!U183)</f>
        <v/>
      </c>
      <c r="AB183" s="172">
        <f>IF('Оперативный ввод'!V183="","",'Оперативный ввод'!V183)</f>
        <v/>
      </c>
      <c r="AC183" s="172">
        <f>IF('Оперативный ввод'!W183="","",'Оперативный ввод'!W183)</f>
        <v/>
      </c>
      <c r="BB183" s="172" t="n"/>
      <c r="BC183" s="172" t="n"/>
      <c r="BD183" s="205">
        <f>IF(AND(A183="",B183=""),"",IF(AND(P183="ГОТОВО",R183&lt;&gt;"",T183&lt;&gt;"",U183&lt;&gt;"",AA183&lt;&gt;"",AB183&lt;&gt;"",AC183&lt;&gt;"",BB183&lt;&gt;"",BC183&lt;&gt;""),"ГОТОВО","НЕ ГОТОВО"))</f>
        <v/>
      </c>
      <c r="BE183" s="205">
        <f>IF(BD183&lt;&gt;"ГОТОВО","","Полное заключение: "&amp;A183&amp;", скв. "&amp;B183&amp;". МРП: "&amp;E183&amp;" сут. ГНО: "&amp;F183&amp;"; причина: "&amp;U183&amp;"; категория: "&amp;V183&amp;"; решение комиссии: "&amp;BB183&amp;".")</f>
        <v/>
      </c>
      <c r="BF183" s="173">
        <f>IF('Оперативный ввод'!X183="","",'Оперативный ввод'!X183)</f>
        <v/>
      </c>
    </row>
    <row r="184">
      <c r="A184" s="171">
        <f>IF('Оперативный ввод'!A184="","",'Оперативный ввод'!A184)</f>
        <v/>
      </c>
      <c r="B184" s="172">
        <f>IF('Оперативный ввод'!B184="","",'Оперативный ввод'!B184)</f>
        <v/>
      </c>
      <c r="C184" s="270">
        <f>IF('Оперативный ввод'!C184="","",'Оперативный ввод'!C184)</f>
        <v/>
      </c>
      <c r="D184" s="270">
        <f>IF('Оперативный ввод'!D184="","",'Оперативный ввод'!D184)</f>
        <v/>
      </c>
      <c r="E184" s="271">
        <f>IF(OR(C184="",D184=""),"",D184-C184)</f>
        <v/>
      </c>
      <c r="F184" s="172">
        <f>IF('Оперативный ввод'!F184="","",'Оперативный ввод'!F184)</f>
        <v/>
      </c>
      <c r="G184" s="172">
        <f>IF('Оперативный ввод'!G184="","",'Оперативный ввод'!G184)</f>
        <v/>
      </c>
      <c r="H184" s="172">
        <f>IF('Оперативный ввод'!H184="","",'Оперативный ввод'!H184)</f>
        <v/>
      </c>
      <c r="I184" s="172">
        <f>IF('Оперативный ввод'!I184="","",'Оперативный ввод'!I184)</f>
        <v/>
      </c>
      <c r="J184" s="172">
        <f>IF('Оперативный ввод'!J184="","",'Оперативный ввод'!J184)</f>
        <v/>
      </c>
      <c r="K184" s="172">
        <f>IF('Оперативный ввод'!K184="","",'Оперативный ввод'!K184)</f>
        <v/>
      </c>
      <c r="L184" s="172">
        <f>IF('Оперативный ввод'!L184="","",'Оперативный ввод'!L184)</f>
        <v/>
      </c>
      <c r="M184" s="172">
        <f>IF('Оперативный ввод'!M184="","",'Оперативный ввод'!M184)</f>
        <v/>
      </c>
      <c r="N184" s="172">
        <f>IF('Оперативный ввод'!N184="","",'Оперативный ввод'!N184)</f>
        <v/>
      </c>
      <c r="O184" s="172">
        <f>IF('Оперативный ввод'!O184="","",'Оперативный ввод'!O184)</f>
        <v/>
      </c>
      <c r="P184" s="205">
        <f>IF(AND(A184="",B184=""),"",IF(AND(A184&lt;&gt;"",B184&lt;&gt;"",C184&lt;&gt;"",D184&lt;&gt;"",F184&lt;&gt;"",G184&lt;&gt;"",H184&lt;&gt;"",ISERROR(SEARCH("по паспорту",G184)),ISERROR(SEARCH("по паспорту",H184)),I184&lt;&gt;"",J184&lt;&gt;"",K184&lt;&gt;"",L184&lt;&gt;"",M184&lt;&gt;""),"ГОТОВО","НЕ ГОТОВО"))</f>
        <v/>
      </c>
      <c r="Q184" s="205">
        <f>IF(P184&lt;&gt;"ГОТОВО","", "Предварительное заключение: "&amp;A184&amp;", скв. "&amp;B184&amp;". МРП: "&amp;E184&amp;" сут. ГНО: "&amp;F184&amp;", типоразмер "&amp;G184&amp;", марка "&amp;H184&amp;". Событие: "&amp;I184&amp;". Признак: "&amp;J184&amp;". Узел: "&amp;K184&amp;". Предварительная причина: "&amp;L184&amp;". Основное осложнение: "&amp;M184&amp;IF(N184&lt;&gt;"","; сопутствующее: "&amp;N184,"")&amp;IF(O184&lt;&gt;"","; дополнительно: "&amp;O184,"")&amp;".")</f>
        <v/>
      </c>
      <c r="R184" s="172">
        <f>IF('Оперативный ввод'!P184="","",'Оперативный ввод'!P184)</f>
        <v/>
      </c>
      <c r="S184" s="172">
        <f>IF('Оперативный ввод'!Q184="","",'Оперативный ввод'!Q184)</f>
        <v/>
      </c>
      <c r="T184" s="172">
        <f>IF('Оперативный ввод'!R184="","",'Оперативный ввод'!R184)</f>
        <v/>
      </c>
      <c r="U184" s="172">
        <f>IF('Оперативный ввод'!S184="","",'Оперативный ввод'!S184)</f>
        <v/>
      </c>
      <c r="V184" s="172">
        <f>IF('Оперативный ввод'!T184="","",'Оперативный ввод'!T184)</f>
        <v/>
      </c>
      <c r="W184" s="172" t="n"/>
      <c r="X184" s="172" t="n"/>
      <c r="Y184" s="172" t="n"/>
      <c r="Z184" s="172" t="n"/>
      <c r="AA184" s="172">
        <f>IF('Оперативный ввод'!U184="","",'Оперативный ввод'!U184)</f>
        <v/>
      </c>
      <c r="AB184" s="172">
        <f>IF('Оперативный ввод'!V184="","",'Оперативный ввод'!V184)</f>
        <v/>
      </c>
      <c r="AC184" s="172">
        <f>IF('Оперативный ввод'!W184="","",'Оперативный ввод'!W184)</f>
        <v/>
      </c>
      <c r="BB184" s="172" t="n"/>
      <c r="BC184" s="172" t="n"/>
      <c r="BD184" s="205">
        <f>IF(AND(A184="",B184=""),"",IF(AND(P184="ГОТОВО",R184&lt;&gt;"",T184&lt;&gt;"",U184&lt;&gt;"",AA184&lt;&gt;"",AB184&lt;&gt;"",AC184&lt;&gt;"",BB184&lt;&gt;"",BC184&lt;&gt;""),"ГОТОВО","НЕ ГОТОВО"))</f>
        <v/>
      </c>
      <c r="BE184" s="205">
        <f>IF(BD184&lt;&gt;"ГОТОВО","","Полное заключение: "&amp;A184&amp;", скв. "&amp;B184&amp;". МРП: "&amp;E184&amp;" сут. ГНО: "&amp;F184&amp;"; причина: "&amp;U184&amp;"; категория: "&amp;V184&amp;"; решение комиссии: "&amp;BB184&amp;".")</f>
        <v/>
      </c>
      <c r="BF184" s="173">
        <f>IF('Оперативный ввод'!X184="","",'Оперативный ввод'!X184)</f>
        <v/>
      </c>
    </row>
    <row r="185">
      <c r="A185" s="171">
        <f>IF('Оперативный ввод'!A185="","",'Оперативный ввод'!A185)</f>
        <v/>
      </c>
      <c r="B185" s="172">
        <f>IF('Оперативный ввод'!B185="","",'Оперативный ввод'!B185)</f>
        <v/>
      </c>
      <c r="C185" s="270">
        <f>IF('Оперативный ввод'!C185="","",'Оперативный ввод'!C185)</f>
        <v/>
      </c>
      <c r="D185" s="270">
        <f>IF('Оперативный ввод'!D185="","",'Оперативный ввод'!D185)</f>
        <v/>
      </c>
      <c r="E185" s="271">
        <f>IF(OR(C185="",D185=""),"",D185-C185)</f>
        <v/>
      </c>
      <c r="F185" s="172">
        <f>IF('Оперативный ввод'!F185="","",'Оперативный ввод'!F185)</f>
        <v/>
      </c>
      <c r="G185" s="172">
        <f>IF('Оперативный ввод'!G185="","",'Оперативный ввод'!G185)</f>
        <v/>
      </c>
      <c r="H185" s="172">
        <f>IF('Оперативный ввод'!H185="","",'Оперативный ввод'!H185)</f>
        <v/>
      </c>
      <c r="I185" s="172">
        <f>IF('Оперативный ввод'!I185="","",'Оперативный ввод'!I185)</f>
        <v/>
      </c>
      <c r="J185" s="172">
        <f>IF('Оперативный ввод'!J185="","",'Оперативный ввод'!J185)</f>
        <v/>
      </c>
      <c r="K185" s="172">
        <f>IF('Оперативный ввод'!K185="","",'Оперативный ввод'!K185)</f>
        <v/>
      </c>
      <c r="L185" s="172">
        <f>IF('Оперативный ввод'!L185="","",'Оперативный ввод'!L185)</f>
        <v/>
      </c>
      <c r="M185" s="172">
        <f>IF('Оперативный ввод'!M185="","",'Оперативный ввод'!M185)</f>
        <v/>
      </c>
      <c r="N185" s="172">
        <f>IF('Оперативный ввод'!N185="","",'Оперативный ввод'!N185)</f>
        <v/>
      </c>
      <c r="O185" s="172">
        <f>IF('Оперативный ввод'!O185="","",'Оперативный ввод'!O185)</f>
        <v/>
      </c>
      <c r="P185" s="205">
        <f>IF(AND(A185="",B185=""),"",IF(AND(A185&lt;&gt;"",B185&lt;&gt;"",C185&lt;&gt;"",D185&lt;&gt;"",F185&lt;&gt;"",G185&lt;&gt;"",H185&lt;&gt;"",ISERROR(SEARCH("по паспорту",G185)),ISERROR(SEARCH("по паспорту",H185)),I185&lt;&gt;"",J185&lt;&gt;"",K185&lt;&gt;"",L185&lt;&gt;"",M185&lt;&gt;""),"ГОТОВО","НЕ ГОТОВО"))</f>
        <v/>
      </c>
      <c r="Q185" s="205">
        <f>IF(P185&lt;&gt;"ГОТОВО","", "Предварительное заключение: "&amp;A185&amp;", скв. "&amp;B185&amp;". МРП: "&amp;E185&amp;" сут. ГНО: "&amp;F185&amp;", типоразмер "&amp;G185&amp;", марка "&amp;H185&amp;". Событие: "&amp;I185&amp;". Признак: "&amp;J185&amp;". Узел: "&amp;K185&amp;". Предварительная причина: "&amp;L185&amp;". Основное осложнение: "&amp;M185&amp;IF(N185&lt;&gt;"","; сопутствующее: "&amp;N185,"")&amp;IF(O185&lt;&gt;"","; дополнительно: "&amp;O185,"")&amp;".")</f>
        <v/>
      </c>
      <c r="R185" s="172">
        <f>IF('Оперативный ввод'!P185="","",'Оперативный ввод'!P185)</f>
        <v/>
      </c>
      <c r="S185" s="172">
        <f>IF('Оперативный ввод'!Q185="","",'Оперативный ввод'!Q185)</f>
        <v/>
      </c>
      <c r="T185" s="172">
        <f>IF('Оперативный ввод'!R185="","",'Оперативный ввод'!R185)</f>
        <v/>
      </c>
      <c r="U185" s="172">
        <f>IF('Оперативный ввод'!S185="","",'Оперативный ввод'!S185)</f>
        <v/>
      </c>
      <c r="V185" s="172">
        <f>IF('Оперативный ввод'!T185="","",'Оперативный ввод'!T185)</f>
        <v/>
      </c>
      <c r="W185" s="172" t="n"/>
      <c r="X185" s="172" t="n"/>
      <c r="Y185" s="172" t="n"/>
      <c r="Z185" s="172" t="n"/>
      <c r="AA185" s="172">
        <f>IF('Оперативный ввод'!U185="","",'Оперативный ввод'!U185)</f>
        <v/>
      </c>
      <c r="AB185" s="172">
        <f>IF('Оперативный ввод'!V185="","",'Оперативный ввод'!V185)</f>
        <v/>
      </c>
      <c r="AC185" s="172">
        <f>IF('Оперативный ввод'!W185="","",'Оперативный ввод'!W185)</f>
        <v/>
      </c>
      <c r="BB185" s="172" t="n"/>
      <c r="BC185" s="172" t="n"/>
      <c r="BD185" s="205">
        <f>IF(AND(A185="",B185=""),"",IF(AND(P185="ГОТОВО",R185&lt;&gt;"",T185&lt;&gt;"",U185&lt;&gt;"",AA185&lt;&gt;"",AB185&lt;&gt;"",AC185&lt;&gt;"",BB185&lt;&gt;"",BC185&lt;&gt;""),"ГОТОВО","НЕ ГОТОВО"))</f>
        <v/>
      </c>
      <c r="BE185" s="205">
        <f>IF(BD185&lt;&gt;"ГОТОВО","","Полное заключение: "&amp;A185&amp;", скв. "&amp;B185&amp;". МРП: "&amp;E185&amp;" сут. ГНО: "&amp;F185&amp;"; причина: "&amp;U185&amp;"; категория: "&amp;V185&amp;"; решение комиссии: "&amp;BB185&amp;".")</f>
        <v/>
      </c>
      <c r="BF185" s="173">
        <f>IF('Оперативный ввод'!X185="","",'Оперативный ввод'!X185)</f>
        <v/>
      </c>
    </row>
    <row r="186">
      <c r="A186" s="171">
        <f>IF('Оперативный ввод'!A186="","",'Оперативный ввод'!A186)</f>
        <v/>
      </c>
      <c r="B186" s="172">
        <f>IF('Оперативный ввод'!B186="","",'Оперативный ввод'!B186)</f>
        <v/>
      </c>
      <c r="C186" s="270">
        <f>IF('Оперативный ввод'!C186="","",'Оперативный ввод'!C186)</f>
        <v/>
      </c>
      <c r="D186" s="270">
        <f>IF('Оперативный ввод'!D186="","",'Оперативный ввод'!D186)</f>
        <v/>
      </c>
      <c r="E186" s="271">
        <f>IF(OR(C186="",D186=""),"",D186-C186)</f>
        <v/>
      </c>
      <c r="F186" s="172">
        <f>IF('Оперативный ввод'!F186="","",'Оперативный ввод'!F186)</f>
        <v/>
      </c>
      <c r="G186" s="172">
        <f>IF('Оперативный ввод'!G186="","",'Оперативный ввод'!G186)</f>
        <v/>
      </c>
      <c r="H186" s="172">
        <f>IF('Оперативный ввод'!H186="","",'Оперативный ввод'!H186)</f>
        <v/>
      </c>
      <c r="I186" s="172">
        <f>IF('Оперативный ввод'!I186="","",'Оперативный ввод'!I186)</f>
        <v/>
      </c>
      <c r="J186" s="172">
        <f>IF('Оперативный ввод'!J186="","",'Оперативный ввод'!J186)</f>
        <v/>
      </c>
      <c r="K186" s="172">
        <f>IF('Оперативный ввод'!K186="","",'Оперативный ввод'!K186)</f>
        <v/>
      </c>
      <c r="L186" s="172">
        <f>IF('Оперативный ввод'!L186="","",'Оперативный ввод'!L186)</f>
        <v/>
      </c>
      <c r="M186" s="172">
        <f>IF('Оперативный ввод'!M186="","",'Оперативный ввод'!M186)</f>
        <v/>
      </c>
      <c r="N186" s="172">
        <f>IF('Оперативный ввод'!N186="","",'Оперативный ввод'!N186)</f>
        <v/>
      </c>
      <c r="O186" s="172">
        <f>IF('Оперативный ввод'!O186="","",'Оперативный ввод'!O186)</f>
        <v/>
      </c>
      <c r="P186" s="205">
        <f>IF(AND(A186="",B186=""),"",IF(AND(A186&lt;&gt;"",B186&lt;&gt;"",C186&lt;&gt;"",D186&lt;&gt;"",F186&lt;&gt;"",G186&lt;&gt;"",H186&lt;&gt;"",ISERROR(SEARCH("по паспорту",G186)),ISERROR(SEARCH("по паспорту",H186)),I186&lt;&gt;"",J186&lt;&gt;"",K186&lt;&gt;"",L186&lt;&gt;"",M186&lt;&gt;""),"ГОТОВО","НЕ ГОТОВО"))</f>
        <v/>
      </c>
      <c r="Q186" s="205">
        <f>IF(P186&lt;&gt;"ГОТОВО","", "Предварительное заключение: "&amp;A186&amp;", скв. "&amp;B186&amp;". МРП: "&amp;E186&amp;" сут. ГНО: "&amp;F186&amp;", типоразмер "&amp;G186&amp;", марка "&amp;H186&amp;". Событие: "&amp;I186&amp;". Признак: "&amp;J186&amp;". Узел: "&amp;K186&amp;". Предварительная причина: "&amp;L186&amp;". Основное осложнение: "&amp;M186&amp;IF(N186&lt;&gt;"","; сопутствующее: "&amp;N186,"")&amp;IF(O186&lt;&gt;"","; дополнительно: "&amp;O186,"")&amp;".")</f>
        <v/>
      </c>
      <c r="R186" s="172">
        <f>IF('Оперативный ввод'!P186="","",'Оперативный ввод'!P186)</f>
        <v/>
      </c>
      <c r="S186" s="172">
        <f>IF('Оперативный ввод'!Q186="","",'Оперативный ввод'!Q186)</f>
        <v/>
      </c>
      <c r="T186" s="172">
        <f>IF('Оперативный ввод'!R186="","",'Оперативный ввод'!R186)</f>
        <v/>
      </c>
      <c r="U186" s="172">
        <f>IF('Оперативный ввод'!S186="","",'Оперативный ввод'!S186)</f>
        <v/>
      </c>
      <c r="V186" s="172">
        <f>IF('Оперативный ввод'!T186="","",'Оперативный ввод'!T186)</f>
        <v/>
      </c>
      <c r="W186" s="172" t="n"/>
      <c r="X186" s="172" t="n"/>
      <c r="Y186" s="172" t="n"/>
      <c r="Z186" s="172" t="n"/>
      <c r="AA186" s="172">
        <f>IF('Оперативный ввод'!U186="","",'Оперативный ввод'!U186)</f>
        <v/>
      </c>
      <c r="AB186" s="172">
        <f>IF('Оперативный ввод'!V186="","",'Оперативный ввод'!V186)</f>
        <v/>
      </c>
      <c r="AC186" s="172">
        <f>IF('Оперативный ввод'!W186="","",'Оперативный ввод'!W186)</f>
        <v/>
      </c>
      <c r="BB186" s="172" t="n"/>
      <c r="BC186" s="172" t="n"/>
      <c r="BD186" s="205">
        <f>IF(AND(A186="",B186=""),"",IF(AND(P186="ГОТОВО",R186&lt;&gt;"",T186&lt;&gt;"",U186&lt;&gt;"",AA186&lt;&gt;"",AB186&lt;&gt;"",AC186&lt;&gt;"",BB186&lt;&gt;"",BC186&lt;&gt;""),"ГОТОВО","НЕ ГОТОВО"))</f>
        <v/>
      </c>
      <c r="BE186" s="205">
        <f>IF(BD186&lt;&gt;"ГОТОВО","","Полное заключение: "&amp;A186&amp;", скв. "&amp;B186&amp;". МРП: "&amp;E186&amp;" сут. ГНО: "&amp;F186&amp;"; причина: "&amp;U186&amp;"; категория: "&amp;V186&amp;"; решение комиссии: "&amp;BB186&amp;".")</f>
        <v/>
      </c>
      <c r="BF186" s="173">
        <f>IF('Оперативный ввод'!X186="","",'Оперативный ввод'!X186)</f>
        <v/>
      </c>
    </row>
    <row r="187">
      <c r="A187" s="171">
        <f>IF('Оперативный ввод'!A187="","",'Оперативный ввод'!A187)</f>
        <v/>
      </c>
      <c r="B187" s="172">
        <f>IF('Оперативный ввод'!B187="","",'Оперативный ввод'!B187)</f>
        <v/>
      </c>
      <c r="C187" s="270">
        <f>IF('Оперативный ввод'!C187="","",'Оперативный ввод'!C187)</f>
        <v/>
      </c>
      <c r="D187" s="270">
        <f>IF('Оперативный ввод'!D187="","",'Оперативный ввод'!D187)</f>
        <v/>
      </c>
      <c r="E187" s="271">
        <f>IF(OR(C187="",D187=""),"",D187-C187)</f>
        <v/>
      </c>
      <c r="F187" s="172">
        <f>IF('Оперативный ввод'!F187="","",'Оперативный ввод'!F187)</f>
        <v/>
      </c>
      <c r="G187" s="172">
        <f>IF('Оперативный ввод'!G187="","",'Оперативный ввод'!G187)</f>
        <v/>
      </c>
      <c r="H187" s="172">
        <f>IF('Оперативный ввод'!H187="","",'Оперативный ввод'!H187)</f>
        <v/>
      </c>
      <c r="I187" s="172">
        <f>IF('Оперативный ввод'!I187="","",'Оперативный ввод'!I187)</f>
        <v/>
      </c>
      <c r="J187" s="172">
        <f>IF('Оперативный ввод'!J187="","",'Оперативный ввод'!J187)</f>
        <v/>
      </c>
      <c r="K187" s="172">
        <f>IF('Оперативный ввод'!K187="","",'Оперативный ввод'!K187)</f>
        <v/>
      </c>
      <c r="L187" s="172">
        <f>IF('Оперативный ввод'!L187="","",'Оперативный ввод'!L187)</f>
        <v/>
      </c>
      <c r="M187" s="172">
        <f>IF('Оперативный ввод'!M187="","",'Оперативный ввод'!M187)</f>
        <v/>
      </c>
      <c r="N187" s="172">
        <f>IF('Оперативный ввод'!N187="","",'Оперативный ввод'!N187)</f>
        <v/>
      </c>
      <c r="O187" s="172">
        <f>IF('Оперативный ввод'!O187="","",'Оперативный ввод'!O187)</f>
        <v/>
      </c>
      <c r="P187" s="205">
        <f>IF(AND(A187="",B187=""),"",IF(AND(A187&lt;&gt;"",B187&lt;&gt;"",C187&lt;&gt;"",D187&lt;&gt;"",F187&lt;&gt;"",G187&lt;&gt;"",H187&lt;&gt;"",ISERROR(SEARCH("по паспорту",G187)),ISERROR(SEARCH("по паспорту",H187)),I187&lt;&gt;"",J187&lt;&gt;"",K187&lt;&gt;"",L187&lt;&gt;"",M187&lt;&gt;""),"ГОТОВО","НЕ ГОТОВО"))</f>
        <v/>
      </c>
      <c r="Q187" s="205">
        <f>IF(P187&lt;&gt;"ГОТОВО","", "Предварительное заключение: "&amp;A187&amp;", скв. "&amp;B187&amp;". МРП: "&amp;E187&amp;" сут. ГНО: "&amp;F187&amp;", типоразмер "&amp;G187&amp;", марка "&amp;H187&amp;". Событие: "&amp;I187&amp;". Признак: "&amp;J187&amp;". Узел: "&amp;K187&amp;". Предварительная причина: "&amp;L187&amp;". Основное осложнение: "&amp;M187&amp;IF(N187&lt;&gt;"","; сопутствующее: "&amp;N187,"")&amp;IF(O187&lt;&gt;"","; дополнительно: "&amp;O187,"")&amp;".")</f>
        <v/>
      </c>
      <c r="R187" s="172">
        <f>IF('Оперативный ввод'!P187="","",'Оперативный ввод'!P187)</f>
        <v/>
      </c>
      <c r="S187" s="172">
        <f>IF('Оперативный ввод'!Q187="","",'Оперативный ввод'!Q187)</f>
        <v/>
      </c>
      <c r="T187" s="172">
        <f>IF('Оперативный ввод'!R187="","",'Оперативный ввод'!R187)</f>
        <v/>
      </c>
      <c r="U187" s="172">
        <f>IF('Оперативный ввод'!S187="","",'Оперативный ввод'!S187)</f>
        <v/>
      </c>
      <c r="V187" s="172">
        <f>IF('Оперативный ввод'!T187="","",'Оперативный ввод'!T187)</f>
        <v/>
      </c>
      <c r="W187" s="172" t="n"/>
      <c r="X187" s="172" t="n"/>
      <c r="Y187" s="172" t="n"/>
      <c r="Z187" s="172" t="n"/>
      <c r="AA187" s="172">
        <f>IF('Оперативный ввод'!U187="","",'Оперативный ввод'!U187)</f>
        <v/>
      </c>
      <c r="AB187" s="172">
        <f>IF('Оперативный ввод'!V187="","",'Оперативный ввод'!V187)</f>
        <v/>
      </c>
      <c r="AC187" s="172">
        <f>IF('Оперативный ввод'!W187="","",'Оперативный ввод'!W187)</f>
        <v/>
      </c>
      <c r="BB187" s="172" t="n"/>
      <c r="BC187" s="172" t="n"/>
      <c r="BD187" s="205">
        <f>IF(AND(A187="",B187=""),"",IF(AND(P187="ГОТОВО",R187&lt;&gt;"",T187&lt;&gt;"",U187&lt;&gt;"",AA187&lt;&gt;"",AB187&lt;&gt;"",AC187&lt;&gt;"",BB187&lt;&gt;"",BC187&lt;&gt;""),"ГОТОВО","НЕ ГОТОВО"))</f>
        <v/>
      </c>
      <c r="BE187" s="205">
        <f>IF(BD187&lt;&gt;"ГОТОВО","","Полное заключение: "&amp;A187&amp;", скв. "&amp;B187&amp;". МРП: "&amp;E187&amp;" сут. ГНО: "&amp;F187&amp;"; причина: "&amp;U187&amp;"; категория: "&amp;V187&amp;"; решение комиссии: "&amp;BB187&amp;".")</f>
        <v/>
      </c>
      <c r="BF187" s="173">
        <f>IF('Оперативный ввод'!X187="","",'Оперативный ввод'!X187)</f>
        <v/>
      </c>
    </row>
    <row r="188">
      <c r="A188" s="171">
        <f>IF('Оперативный ввод'!A188="","",'Оперативный ввод'!A188)</f>
        <v/>
      </c>
      <c r="B188" s="172">
        <f>IF('Оперативный ввод'!B188="","",'Оперативный ввод'!B188)</f>
        <v/>
      </c>
      <c r="C188" s="270">
        <f>IF('Оперативный ввод'!C188="","",'Оперативный ввод'!C188)</f>
        <v/>
      </c>
      <c r="D188" s="270">
        <f>IF('Оперативный ввод'!D188="","",'Оперативный ввод'!D188)</f>
        <v/>
      </c>
      <c r="E188" s="271">
        <f>IF(OR(C188="",D188=""),"",D188-C188)</f>
        <v/>
      </c>
      <c r="F188" s="172">
        <f>IF('Оперативный ввод'!F188="","",'Оперативный ввод'!F188)</f>
        <v/>
      </c>
      <c r="G188" s="172">
        <f>IF('Оперативный ввод'!G188="","",'Оперативный ввод'!G188)</f>
        <v/>
      </c>
      <c r="H188" s="172">
        <f>IF('Оперативный ввод'!H188="","",'Оперативный ввод'!H188)</f>
        <v/>
      </c>
      <c r="I188" s="172">
        <f>IF('Оперативный ввод'!I188="","",'Оперативный ввод'!I188)</f>
        <v/>
      </c>
      <c r="J188" s="172">
        <f>IF('Оперативный ввод'!J188="","",'Оперативный ввод'!J188)</f>
        <v/>
      </c>
      <c r="K188" s="172">
        <f>IF('Оперативный ввод'!K188="","",'Оперативный ввод'!K188)</f>
        <v/>
      </c>
      <c r="L188" s="172">
        <f>IF('Оперативный ввод'!L188="","",'Оперативный ввод'!L188)</f>
        <v/>
      </c>
      <c r="M188" s="172">
        <f>IF('Оперативный ввод'!M188="","",'Оперативный ввод'!M188)</f>
        <v/>
      </c>
      <c r="N188" s="172">
        <f>IF('Оперативный ввод'!N188="","",'Оперативный ввод'!N188)</f>
        <v/>
      </c>
      <c r="O188" s="172">
        <f>IF('Оперативный ввод'!O188="","",'Оперативный ввод'!O188)</f>
        <v/>
      </c>
      <c r="P188" s="205">
        <f>IF(AND(A188="",B188=""),"",IF(AND(A188&lt;&gt;"",B188&lt;&gt;"",C188&lt;&gt;"",D188&lt;&gt;"",F188&lt;&gt;"",G188&lt;&gt;"",H188&lt;&gt;"",ISERROR(SEARCH("по паспорту",G188)),ISERROR(SEARCH("по паспорту",H188)),I188&lt;&gt;"",J188&lt;&gt;"",K188&lt;&gt;"",L188&lt;&gt;"",M188&lt;&gt;""),"ГОТОВО","НЕ ГОТОВО"))</f>
        <v/>
      </c>
      <c r="Q188" s="205">
        <f>IF(P188&lt;&gt;"ГОТОВО","", "Предварительное заключение: "&amp;A188&amp;", скв. "&amp;B188&amp;". МРП: "&amp;E188&amp;" сут. ГНО: "&amp;F188&amp;", типоразмер "&amp;G188&amp;", марка "&amp;H188&amp;". Событие: "&amp;I188&amp;". Признак: "&amp;J188&amp;". Узел: "&amp;K188&amp;". Предварительная причина: "&amp;L188&amp;". Основное осложнение: "&amp;M188&amp;IF(N188&lt;&gt;"","; сопутствующее: "&amp;N188,"")&amp;IF(O188&lt;&gt;"","; дополнительно: "&amp;O188,"")&amp;".")</f>
        <v/>
      </c>
      <c r="R188" s="172">
        <f>IF('Оперативный ввод'!P188="","",'Оперативный ввод'!P188)</f>
        <v/>
      </c>
      <c r="S188" s="172">
        <f>IF('Оперативный ввод'!Q188="","",'Оперативный ввод'!Q188)</f>
        <v/>
      </c>
      <c r="T188" s="172">
        <f>IF('Оперативный ввод'!R188="","",'Оперативный ввод'!R188)</f>
        <v/>
      </c>
      <c r="U188" s="172">
        <f>IF('Оперативный ввод'!S188="","",'Оперативный ввод'!S188)</f>
        <v/>
      </c>
      <c r="V188" s="172">
        <f>IF('Оперативный ввод'!T188="","",'Оперативный ввод'!T188)</f>
        <v/>
      </c>
      <c r="W188" s="172" t="n"/>
      <c r="X188" s="172" t="n"/>
      <c r="Y188" s="172" t="n"/>
      <c r="Z188" s="172" t="n"/>
      <c r="AA188" s="172">
        <f>IF('Оперативный ввод'!U188="","",'Оперативный ввод'!U188)</f>
        <v/>
      </c>
      <c r="AB188" s="172">
        <f>IF('Оперативный ввод'!V188="","",'Оперативный ввод'!V188)</f>
        <v/>
      </c>
      <c r="AC188" s="172">
        <f>IF('Оперативный ввод'!W188="","",'Оперативный ввод'!W188)</f>
        <v/>
      </c>
      <c r="BB188" s="172" t="n"/>
      <c r="BC188" s="172" t="n"/>
      <c r="BD188" s="205">
        <f>IF(AND(A188="",B188=""),"",IF(AND(P188="ГОТОВО",R188&lt;&gt;"",T188&lt;&gt;"",U188&lt;&gt;"",AA188&lt;&gt;"",AB188&lt;&gt;"",AC188&lt;&gt;"",BB188&lt;&gt;"",BC188&lt;&gt;""),"ГОТОВО","НЕ ГОТОВО"))</f>
        <v/>
      </c>
      <c r="BE188" s="205">
        <f>IF(BD188&lt;&gt;"ГОТОВО","","Полное заключение: "&amp;A188&amp;", скв. "&amp;B188&amp;". МРП: "&amp;E188&amp;" сут. ГНО: "&amp;F188&amp;"; причина: "&amp;U188&amp;"; категория: "&amp;V188&amp;"; решение комиссии: "&amp;BB188&amp;".")</f>
        <v/>
      </c>
      <c r="BF188" s="173">
        <f>IF('Оперативный ввод'!X188="","",'Оперативный ввод'!X188)</f>
        <v/>
      </c>
    </row>
    <row r="189">
      <c r="A189" s="171">
        <f>IF('Оперативный ввод'!A189="","",'Оперативный ввод'!A189)</f>
        <v/>
      </c>
      <c r="B189" s="172">
        <f>IF('Оперативный ввод'!B189="","",'Оперативный ввод'!B189)</f>
        <v/>
      </c>
      <c r="C189" s="270">
        <f>IF('Оперативный ввод'!C189="","",'Оперативный ввод'!C189)</f>
        <v/>
      </c>
      <c r="D189" s="270">
        <f>IF('Оперативный ввод'!D189="","",'Оперативный ввод'!D189)</f>
        <v/>
      </c>
      <c r="E189" s="271">
        <f>IF(OR(C189="",D189=""),"",D189-C189)</f>
        <v/>
      </c>
      <c r="F189" s="172">
        <f>IF('Оперативный ввод'!F189="","",'Оперативный ввод'!F189)</f>
        <v/>
      </c>
      <c r="G189" s="172">
        <f>IF('Оперативный ввод'!G189="","",'Оперативный ввод'!G189)</f>
        <v/>
      </c>
      <c r="H189" s="172">
        <f>IF('Оперативный ввод'!H189="","",'Оперативный ввод'!H189)</f>
        <v/>
      </c>
      <c r="I189" s="172">
        <f>IF('Оперативный ввод'!I189="","",'Оперативный ввод'!I189)</f>
        <v/>
      </c>
      <c r="J189" s="172">
        <f>IF('Оперативный ввод'!J189="","",'Оперативный ввод'!J189)</f>
        <v/>
      </c>
      <c r="K189" s="172">
        <f>IF('Оперативный ввод'!K189="","",'Оперативный ввод'!K189)</f>
        <v/>
      </c>
      <c r="L189" s="172">
        <f>IF('Оперативный ввод'!L189="","",'Оперативный ввод'!L189)</f>
        <v/>
      </c>
      <c r="M189" s="172">
        <f>IF('Оперативный ввод'!M189="","",'Оперативный ввод'!M189)</f>
        <v/>
      </c>
      <c r="N189" s="172">
        <f>IF('Оперативный ввод'!N189="","",'Оперативный ввод'!N189)</f>
        <v/>
      </c>
      <c r="O189" s="172">
        <f>IF('Оперативный ввод'!O189="","",'Оперативный ввод'!O189)</f>
        <v/>
      </c>
      <c r="P189" s="205">
        <f>IF(AND(A189="",B189=""),"",IF(AND(A189&lt;&gt;"",B189&lt;&gt;"",C189&lt;&gt;"",D189&lt;&gt;"",F189&lt;&gt;"",G189&lt;&gt;"",H189&lt;&gt;"",ISERROR(SEARCH("по паспорту",G189)),ISERROR(SEARCH("по паспорту",H189)),I189&lt;&gt;"",J189&lt;&gt;"",K189&lt;&gt;"",L189&lt;&gt;"",M189&lt;&gt;""),"ГОТОВО","НЕ ГОТОВО"))</f>
        <v/>
      </c>
      <c r="Q189" s="205">
        <f>IF(P189&lt;&gt;"ГОТОВО","", "Предварительное заключение: "&amp;A189&amp;", скв. "&amp;B189&amp;". МРП: "&amp;E189&amp;" сут. ГНО: "&amp;F189&amp;", типоразмер "&amp;G189&amp;", марка "&amp;H189&amp;". Событие: "&amp;I189&amp;". Признак: "&amp;J189&amp;". Узел: "&amp;K189&amp;". Предварительная причина: "&amp;L189&amp;". Основное осложнение: "&amp;M189&amp;IF(N189&lt;&gt;"","; сопутствующее: "&amp;N189,"")&amp;IF(O189&lt;&gt;"","; дополнительно: "&amp;O189,"")&amp;".")</f>
        <v/>
      </c>
      <c r="R189" s="172">
        <f>IF('Оперативный ввод'!P189="","",'Оперативный ввод'!P189)</f>
        <v/>
      </c>
      <c r="S189" s="172">
        <f>IF('Оперативный ввод'!Q189="","",'Оперативный ввод'!Q189)</f>
        <v/>
      </c>
      <c r="T189" s="172">
        <f>IF('Оперативный ввод'!R189="","",'Оперативный ввод'!R189)</f>
        <v/>
      </c>
      <c r="U189" s="172">
        <f>IF('Оперативный ввод'!S189="","",'Оперативный ввод'!S189)</f>
        <v/>
      </c>
      <c r="V189" s="172">
        <f>IF('Оперативный ввод'!T189="","",'Оперативный ввод'!T189)</f>
        <v/>
      </c>
      <c r="W189" s="172" t="n"/>
      <c r="X189" s="172" t="n"/>
      <c r="Y189" s="172" t="n"/>
      <c r="Z189" s="172" t="n"/>
      <c r="AA189" s="172">
        <f>IF('Оперативный ввод'!U189="","",'Оперативный ввод'!U189)</f>
        <v/>
      </c>
      <c r="AB189" s="172">
        <f>IF('Оперативный ввод'!V189="","",'Оперативный ввод'!V189)</f>
        <v/>
      </c>
      <c r="AC189" s="172">
        <f>IF('Оперативный ввод'!W189="","",'Оперативный ввод'!W189)</f>
        <v/>
      </c>
      <c r="BB189" s="172" t="n"/>
      <c r="BC189" s="172" t="n"/>
      <c r="BD189" s="205">
        <f>IF(AND(A189="",B189=""),"",IF(AND(P189="ГОТОВО",R189&lt;&gt;"",T189&lt;&gt;"",U189&lt;&gt;"",AA189&lt;&gt;"",AB189&lt;&gt;"",AC189&lt;&gt;"",BB189&lt;&gt;"",BC189&lt;&gt;""),"ГОТОВО","НЕ ГОТОВО"))</f>
        <v/>
      </c>
      <c r="BE189" s="205">
        <f>IF(BD189&lt;&gt;"ГОТОВО","","Полное заключение: "&amp;A189&amp;", скв. "&amp;B189&amp;". МРП: "&amp;E189&amp;" сут. ГНО: "&amp;F189&amp;"; причина: "&amp;U189&amp;"; категория: "&amp;V189&amp;"; решение комиссии: "&amp;BB189&amp;".")</f>
        <v/>
      </c>
      <c r="BF189" s="173">
        <f>IF('Оперативный ввод'!X189="","",'Оперативный ввод'!X189)</f>
        <v/>
      </c>
    </row>
    <row r="190">
      <c r="A190" s="171">
        <f>IF('Оперативный ввод'!A190="","",'Оперативный ввод'!A190)</f>
        <v/>
      </c>
      <c r="B190" s="172">
        <f>IF('Оперативный ввод'!B190="","",'Оперативный ввод'!B190)</f>
        <v/>
      </c>
      <c r="C190" s="270">
        <f>IF('Оперативный ввод'!C190="","",'Оперативный ввод'!C190)</f>
        <v/>
      </c>
      <c r="D190" s="270">
        <f>IF('Оперативный ввод'!D190="","",'Оперативный ввод'!D190)</f>
        <v/>
      </c>
      <c r="E190" s="271">
        <f>IF(OR(C190="",D190=""),"",D190-C190)</f>
        <v/>
      </c>
      <c r="F190" s="172">
        <f>IF('Оперативный ввод'!F190="","",'Оперативный ввод'!F190)</f>
        <v/>
      </c>
      <c r="G190" s="172">
        <f>IF('Оперативный ввод'!G190="","",'Оперативный ввод'!G190)</f>
        <v/>
      </c>
      <c r="H190" s="172">
        <f>IF('Оперативный ввод'!H190="","",'Оперативный ввод'!H190)</f>
        <v/>
      </c>
      <c r="I190" s="172">
        <f>IF('Оперативный ввод'!I190="","",'Оперативный ввод'!I190)</f>
        <v/>
      </c>
      <c r="J190" s="172">
        <f>IF('Оперативный ввод'!J190="","",'Оперативный ввод'!J190)</f>
        <v/>
      </c>
      <c r="K190" s="172">
        <f>IF('Оперативный ввод'!K190="","",'Оперативный ввод'!K190)</f>
        <v/>
      </c>
      <c r="L190" s="172">
        <f>IF('Оперативный ввод'!L190="","",'Оперативный ввод'!L190)</f>
        <v/>
      </c>
      <c r="M190" s="172">
        <f>IF('Оперативный ввод'!M190="","",'Оперативный ввод'!M190)</f>
        <v/>
      </c>
      <c r="N190" s="172">
        <f>IF('Оперативный ввод'!N190="","",'Оперативный ввод'!N190)</f>
        <v/>
      </c>
      <c r="O190" s="172">
        <f>IF('Оперативный ввод'!O190="","",'Оперативный ввод'!O190)</f>
        <v/>
      </c>
      <c r="P190" s="205">
        <f>IF(AND(A190="",B190=""),"",IF(AND(A190&lt;&gt;"",B190&lt;&gt;"",C190&lt;&gt;"",D190&lt;&gt;"",F190&lt;&gt;"",G190&lt;&gt;"",H190&lt;&gt;"",ISERROR(SEARCH("по паспорту",G190)),ISERROR(SEARCH("по паспорту",H190)),I190&lt;&gt;"",J190&lt;&gt;"",K190&lt;&gt;"",L190&lt;&gt;"",M190&lt;&gt;""),"ГОТОВО","НЕ ГОТОВО"))</f>
        <v/>
      </c>
      <c r="Q190" s="205">
        <f>IF(P190&lt;&gt;"ГОТОВО","", "Предварительное заключение: "&amp;A190&amp;", скв. "&amp;B190&amp;". МРП: "&amp;E190&amp;" сут. ГНО: "&amp;F190&amp;", типоразмер "&amp;G190&amp;", марка "&amp;H190&amp;". Событие: "&amp;I190&amp;". Признак: "&amp;J190&amp;". Узел: "&amp;K190&amp;". Предварительная причина: "&amp;L190&amp;". Основное осложнение: "&amp;M190&amp;IF(N190&lt;&gt;"","; сопутствующее: "&amp;N190,"")&amp;IF(O190&lt;&gt;"","; дополнительно: "&amp;O190,"")&amp;".")</f>
        <v/>
      </c>
      <c r="R190" s="172">
        <f>IF('Оперативный ввод'!P190="","",'Оперативный ввод'!P190)</f>
        <v/>
      </c>
      <c r="S190" s="172">
        <f>IF('Оперативный ввод'!Q190="","",'Оперативный ввод'!Q190)</f>
        <v/>
      </c>
      <c r="T190" s="172">
        <f>IF('Оперативный ввод'!R190="","",'Оперативный ввод'!R190)</f>
        <v/>
      </c>
      <c r="U190" s="172">
        <f>IF('Оперативный ввод'!S190="","",'Оперативный ввод'!S190)</f>
        <v/>
      </c>
      <c r="V190" s="172">
        <f>IF('Оперативный ввод'!T190="","",'Оперативный ввод'!T190)</f>
        <v/>
      </c>
      <c r="W190" s="172" t="n"/>
      <c r="X190" s="172" t="n"/>
      <c r="Y190" s="172" t="n"/>
      <c r="Z190" s="172" t="n"/>
      <c r="AA190" s="172">
        <f>IF('Оперативный ввод'!U190="","",'Оперативный ввод'!U190)</f>
        <v/>
      </c>
      <c r="AB190" s="172">
        <f>IF('Оперативный ввод'!V190="","",'Оперативный ввод'!V190)</f>
        <v/>
      </c>
      <c r="AC190" s="172">
        <f>IF('Оперативный ввод'!W190="","",'Оперативный ввод'!W190)</f>
        <v/>
      </c>
      <c r="BB190" s="172" t="n"/>
      <c r="BC190" s="172" t="n"/>
      <c r="BD190" s="205">
        <f>IF(AND(A190="",B190=""),"",IF(AND(P190="ГОТОВО",R190&lt;&gt;"",T190&lt;&gt;"",U190&lt;&gt;"",AA190&lt;&gt;"",AB190&lt;&gt;"",AC190&lt;&gt;"",BB190&lt;&gt;"",BC190&lt;&gt;""),"ГОТОВО","НЕ ГОТОВО"))</f>
        <v/>
      </c>
      <c r="BE190" s="205">
        <f>IF(BD190&lt;&gt;"ГОТОВО","","Полное заключение: "&amp;A190&amp;", скв. "&amp;B190&amp;". МРП: "&amp;E190&amp;" сут. ГНО: "&amp;F190&amp;"; причина: "&amp;U190&amp;"; категория: "&amp;V190&amp;"; решение комиссии: "&amp;BB190&amp;".")</f>
        <v/>
      </c>
      <c r="BF190" s="173">
        <f>IF('Оперативный ввод'!X190="","",'Оперативный ввод'!X190)</f>
        <v/>
      </c>
    </row>
    <row r="191">
      <c r="A191" s="171">
        <f>IF('Оперативный ввод'!A191="","",'Оперативный ввод'!A191)</f>
        <v/>
      </c>
      <c r="B191" s="172">
        <f>IF('Оперативный ввод'!B191="","",'Оперативный ввод'!B191)</f>
        <v/>
      </c>
      <c r="C191" s="270">
        <f>IF('Оперативный ввод'!C191="","",'Оперативный ввод'!C191)</f>
        <v/>
      </c>
      <c r="D191" s="270">
        <f>IF('Оперативный ввод'!D191="","",'Оперативный ввод'!D191)</f>
        <v/>
      </c>
      <c r="E191" s="271">
        <f>IF(OR(C191="",D191=""),"",D191-C191)</f>
        <v/>
      </c>
      <c r="F191" s="172">
        <f>IF('Оперативный ввод'!F191="","",'Оперативный ввод'!F191)</f>
        <v/>
      </c>
      <c r="G191" s="172">
        <f>IF('Оперативный ввод'!G191="","",'Оперативный ввод'!G191)</f>
        <v/>
      </c>
      <c r="H191" s="172">
        <f>IF('Оперативный ввод'!H191="","",'Оперативный ввод'!H191)</f>
        <v/>
      </c>
      <c r="I191" s="172">
        <f>IF('Оперативный ввод'!I191="","",'Оперативный ввод'!I191)</f>
        <v/>
      </c>
      <c r="J191" s="172">
        <f>IF('Оперативный ввод'!J191="","",'Оперативный ввод'!J191)</f>
        <v/>
      </c>
      <c r="K191" s="172">
        <f>IF('Оперативный ввод'!K191="","",'Оперативный ввод'!K191)</f>
        <v/>
      </c>
      <c r="L191" s="172">
        <f>IF('Оперативный ввод'!L191="","",'Оперативный ввод'!L191)</f>
        <v/>
      </c>
      <c r="M191" s="172">
        <f>IF('Оперативный ввод'!M191="","",'Оперативный ввод'!M191)</f>
        <v/>
      </c>
      <c r="N191" s="172">
        <f>IF('Оперативный ввод'!N191="","",'Оперативный ввод'!N191)</f>
        <v/>
      </c>
      <c r="O191" s="172">
        <f>IF('Оперативный ввод'!O191="","",'Оперативный ввод'!O191)</f>
        <v/>
      </c>
      <c r="P191" s="205">
        <f>IF(AND(A191="",B191=""),"",IF(AND(A191&lt;&gt;"",B191&lt;&gt;"",C191&lt;&gt;"",D191&lt;&gt;"",F191&lt;&gt;"",G191&lt;&gt;"",H191&lt;&gt;"",ISERROR(SEARCH("по паспорту",G191)),ISERROR(SEARCH("по паспорту",H191)),I191&lt;&gt;"",J191&lt;&gt;"",K191&lt;&gt;"",L191&lt;&gt;"",M191&lt;&gt;""),"ГОТОВО","НЕ ГОТОВО"))</f>
        <v/>
      </c>
      <c r="Q191" s="205">
        <f>IF(P191&lt;&gt;"ГОТОВО","", "Предварительное заключение: "&amp;A191&amp;", скв. "&amp;B191&amp;". МРП: "&amp;E191&amp;" сут. ГНО: "&amp;F191&amp;", типоразмер "&amp;G191&amp;", марка "&amp;H191&amp;". Событие: "&amp;I191&amp;". Признак: "&amp;J191&amp;". Узел: "&amp;K191&amp;". Предварительная причина: "&amp;L191&amp;". Основное осложнение: "&amp;M191&amp;IF(N191&lt;&gt;"","; сопутствующее: "&amp;N191,"")&amp;IF(O191&lt;&gt;"","; дополнительно: "&amp;O191,"")&amp;".")</f>
        <v/>
      </c>
      <c r="R191" s="172">
        <f>IF('Оперативный ввод'!P191="","",'Оперативный ввод'!P191)</f>
        <v/>
      </c>
      <c r="S191" s="172">
        <f>IF('Оперативный ввод'!Q191="","",'Оперативный ввод'!Q191)</f>
        <v/>
      </c>
      <c r="T191" s="172">
        <f>IF('Оперативный ввод'!R191="","",'Оперативный ввод'!R191)</f>
        <v/>
      </c>
      <c r="U191" s="172">
        <f>IF('Оперативный ввод'!S191="","",'Оперативный ввод'!S191)</f>
        <v/>
      </c>
      <c r="V191" s="172">
        <f>IF('Оперативный ввод'!T191="","",'Оперативный ввод'!T191)</f>
        <v/>
      </c>
      <c r="W191" s="172" t="n"/>
      <c r="X191" s="172" t="n"/>
      <c r="Y191" s="172" t="n"/>
      <c r="Z191" s="172" t="n"/>
      <c r="AA191" s="172">
        <f>IF('Оперативный ввод'!U191="","",'Оперативный ввод'!U191)</f>
        <v/>
      </c>
      <c r="AB191" s="172">
        <f>IF('Оперативный ввод'!V191="","",'Оперативный ввод'!V191)</f>
        <v/>
      </c>
      <c r="AC191" s="172">
        <f>IF('Оперативный ввод'!W191="","",'Оперативный ввод'!W191)</f>
        <v/>
      </c>
      <c r="BB191" s="172" t="n"/>
      <c r="BC191" s="172" t="n"/>
      <c r="BD191" s="205">
        <f>IF(AND(A191="",B191=""),"",IF(AND(P191="ГОТОВО",R191&lt;&gt;"",T191&lt;&gt;"",U191&lt;&gt;"",AA191&lt;&gt;"",AB191&lt;&gt;"",AC191&lt;&gt;"",BB191&lt;&gt;"",BC191&lt;&gt;""),"ГОТОВО","НЕ ГОТОВО"))</f>
        <v/>
      </c>
      <c r="BE191" s="205">
        <f>IF(BD191&lt;&gt;"ГОТОВО","","Полное заключение: "&amp;A191&amp;", скв. "&amp;B191&amp;". МРП: "&amp;E191&amp;" сут. ГНО: "&amp;F191&amp;"; причина: "&amp;U191&amp;"; категория: "&amp;V191&amp;"; решение комиссии: "&amp;BB191&amp;".")</f>
        <v/>
      </c>
      <c r="BF191" s="173">
        <f>IF('Оперативный ввод'!X191="","",'Оперативный ввод'!X191)</f>
        <v/>
      </c>
    </row>
    <row r="192">
      <c r="A192" s="171">
        <f>IF('Оперативный ввод'!A192="","",'Оперативный ввод'!A192)</f>
        <v/>
      </c>
      <c r="B192" s="172">
        <f>IF('Оперативный ввод'!B192="","",'Оперативный ввод'!B192)</f>
        <v/>
      </c>
      <c r="C192" s="270">
        <f>IF('Оперативный ввод'!C192="","",'Оперативный ввод'!C192)</f>
        <v/>
      </c>
      <c r="D192" s="270">
        <f>IF('Оперативный ввод'!D192="","",'Оперативный ввод'!D192)</f>
        <v/>
      </c>
      <c r="E192" s="271">
        <f>IF(OR(C192="",D192=""),"",D192-C192)</f>
        <v/>
      </c>
      <c r="F192" s="172">
        <f>IF('Оперативный ввод'!F192="","",'Оперативный ввод'!F192)</f>
        <v/>
      </c>
      <c r="G192" s="172">
        <f>IF('Оперативный ввод'!G192="","",'Оперативный ввод'!G192)</f>
        <v/>
      </c>
      <c r="H192" s="172">
        <f>IF('Оперативный ввод'!H192="","",'Оперативный ввод'!H192)</f>
        <v/>
      </c>
      <c r="I192" s="172">
        <f>IF('Оперативный ввод'!I192="","",'Оперативный ввод'!I192)</f>
        <v/>
      </c>
      <c r="J192" s="172">
        <f>IF('Оперативный ввод'!J192="","",'Оперативный ввод'!J192)</f>
        <v/>
      </c>
      <c r="K192" s="172">
        <f>IF('Оперативный ввод'!K192="","",'Оперативный ввод'!K192)</f>
        <v/>
      </c>
      <c r="L192" s="172">
        <f>IF('Оперативный ввод'!L192="","",'Оперативный ввод'!L192)</f>
        <v/>
      </c>
      <c r="M192" s="172">
        <f>IF('Оперативный ввод'!M192="","",'Оперативный ввод'!M192)</f>
        <v/>
      </c>
      <c r="N192" s="172">
        <f>IF('Оперативный ввод'!N192="","",'Оперативный ввод'!N192)</f>
        <v/>
      </c>
      <c r="O192" s="172">
        <f>IF('Оперативный ввод'!O192="","",'Оперативный ввод'!O192)</f>
        <v/>
      </c>
      <c r="P192" s="205">
        <f>IF(AND(A192="",B192=""),"",IF(AND(A192&lt;&gt;"",B192&lt;&gt;"",C192&lt;&gt;"",D192&lt;&gt;"",F192&lt;&gt;"",G192&lt;&gt;"",H192&lt;&gt;"",ISERROR(SEARCH("по паспорту",G192)),ISERROR(SEARCH("по паспорту",H192)),I192&lt;&gt;"",J192&lt;&gt;"",K192&lt;&gt;"",L192&lt;&gt;"",M192&lt;&gt;""),"ГОТОВО","НЕ ГОТОВО"))</f>
        <v/>
      </c>
      <c r="Q192" s="205">
        <f>IF(P192&lt;&gt;"ГОТОВО","", "Предварительное заключение: "&amp;A192&amp;", скв. "&amp;B192&amp;". МРП: "&amp;E192&amp;" сут. ГНО: "&amp;F192&amp;", типоразмер "&amp;G192&amp;", марка "&amp;H192&amp;". Событие: "&amp;I192&amp;". Признак: "&amp;J192&amp;". Узел: "&amp;K192&amp;". Предварительная причина: "&amp;L192&amp;". Основное осложнение: "&amp;M192&amp;IF(N192&lt;&gt;"","; сопутствующее: "&amp;N192,"")&amp;IF(O192&lt;&gt;"","; дополнительно: "&amp;O192,"")&amp;".")</f>
        <v/>
      </c>
      <c r="R192" s="172">
        <f>IF('Оперативный ввод'!P192="","",'Оперативный ввод'!P192)</f>
        <v/>
      </c>
      <c r="S192" s="172">
        <f>IF('Оперативный ввод'!Q192="","",'Оперативный ввод'!Q192)</f>
        <v/>
      </c>
      <c r="T192" s="172">
        <f>IF('Оперативный ввод'!R192="","",'Оперативный ввод'!R192)</f>
        <v/>
      </c>
      <c r="U192" s="172">
        <f>IF('Оперативный ввод'!S192="","",'Оперативный ввод'!S192)</f>
        <v/>
      </c>
      <c r="V192" s="172">
        <f>IF('Оперативный ввод'!T192="","",'Оперативный ввод'!T192)</f>
        <v/>
      </c>
      <c r="W192" s="172" t="n"/>
      <c r="X192" s="172" t="n"/>
      <c r="Y192" s="172" t="n"/>
      <c r="Z192" s="172" t="n"/>
      <c r="AA192" s="172">
        <f>IF('Оперативный ввод'!U192="","",'Оперативный ввод'!U192)</f>
        <v/>
      </c>
      <c r="AB192" s="172">
        <f>IF('Оперативный ввод'!V192="","",'Оперативный ввод'!V192)</f>
        <v/>
      </c>
      <c r="AC192" s="172">
        <f>IF('Оперативный ввод'!W192="","",'Оперативный ввод'!W192)</f>
        <v/>
      </c>
      <c r="BB192" s="172" t="n"/>
      <c r="BC192" s="172" t="n"/>
      <c r="BD192" s="205">
        <f>IF(AND(A192="",B192=""),"",IF(AND(P192="ГОТОВО",R192&lt;&gt;"",T192&lt;&gt;"",U192&lt;&gt;"",AA192&lt;&gt;"",AB192&lt;&gt;"",AC192&lt;&gt;"",BB192&lt;&gt;"",BC192&lt;&gt;""),"ГОТОВО","НЕ ГОТОВО"))</f>
        <v/>
      </c>
      <c r="BE192" s="205">
        <f>IF(BD192&lt;&gt;"ГОТОВО","","Полное заключение: "&amp;A192&amp;", скв. "&amp;B192&amp;". МРП: "&amp;E192&amp;" сут. ГНО: "&amp;F192&amp;"; причина: "&amp;U192&amp;"; категория: "&amp;V192&amp;"; решение комиссии: "&amp;BB192&amp;".")</f>
        <v/>
      </c>
      <c r="BF192" s="173">
        <f>IF('Оперативный ввод'!X192="","",'Оперативный ввод'!X192)</f>
        <v/>
      </c>
    </row>
    <row r="193">
      <c r="A193" s="171">
        <f>IF('Оперативный ввод'!A193="","",'Оперативный ввод'!A193)</f>
        <v/>
      </c>
      <c r="B193" s="172">
        <f>IF('Оперативный ввод'!B193="","",'Оперативный ввод'!B193)</f>
        <v/>
      </c>
      <c r="C193" s="270">
        <f>IF('Оперативный ввод'!C193="","",'Оперативный ввод'!C193)</f>
        <v/>
      </c>
      <c r="D193" s="270">
        <f>IF('Оперативный ввод'!D193="","",'Оперативный ввод'!D193)</f>
        <v/>
      </c>
      <c r="E193" s="271">
        <f>IF(OR(C193="",D193=""),"",D193-C193)</f>
        <v/>
      </c>
      <c r="F193" s="172">
        <f>IF('Оперативный ввод'!F193="","",'Оперативный ввод'!F193)</f>
        <v/>
      </c>
      <c r="G193" s="172">
        <f>IF('Оперативный ввод'!G193="","",'Оперативный ввод'!G193)</f>
        <v/>
      </c>
      <c r="H193" s="172">
        <f>IF('Оперативный ввод'!H193="","",'Оперативный ввод'!H193)</f>
        <v/>
      </c>
      <c r="I193" s="172">
        <f>IF('Оперативный ввод'!I193="","",'Оперативный ввод'!I193)</f>
        <v/>
      </c>
      <c r="J193" s="172">
        <f>IF('Оперативный ввод'!J193="","",'Оперативный ввод'!J193)</f>
        <v/>
      </c>
      <c r="K193" s="172">
        <f>IF('Оперативный ввод'!K193="","",'Оперативный ввод'!K193)</f>
        <v/>
      </c>
      <c r="L193" s="172">
        <f>IF('Оперативный ввод'!L193="","",'Оперативный ввод'!L193)</f>
        <v/>
      </c>
      <c r="M193" s="172">
        <f>IF('Оперативный ввод'!M193="","",'Оперативный ввод'!M193)</f>
        <v/>
      </c>
      <c r="N193" s="172">
        <f>IF('Оперативный ввод'!N193="","",'Оперативный ввод'!N193)</f>
        <v/>
      </c>
      <c r="O193" s="172">
        <f>IF('Оперативный ввод'!O193="","",'Оперативный ввод'!O193)</f>
        <v/>
      </c>
      <c r="P193" s="205">
        <f>IF(AND(A193="",B193=""),"",IF(AND(A193&lt;&gt;"",B193&lt;&gt;"",C193&lt;&gt;"",D193&lt;&gt;"",F193&lt;&gt;"",G193&lt;&gt;"",H193&lt;&gt;"",ISERROR(SEARCH("по паспорту",G193)),ISERROR(SEARCH("по паспорту",H193)),I193&lt;&gt;"",J193&lt;&gt;"",K193&lt;&gt;"",L193&lt;&gt;"",M193&lt;&gt;""),"ГОТОВО","НЕ ГОТОВО"))</f>
        <v/>
      </c>
      <c r="Q193" s="205">
        <f>IF(P193&lt;&gt;"ГОТОВО","", "Предварительное заключение: "&amp;A193&amp;", скв. "&amp;B193&amp;". МРП: "&amp;E193&amp;" сут. ГНО: "&amp;F193&amp;", типоразмер "&amp;G193&amp;", марка "&amp;H193&amp;". Событие: "&amp;I193&amp;". Признак: "&amp;J193&amp;". Узел: "&amp;K193&amp;". Предварительная причина: "&amp;L193&amp;". Основное осложнение: "&amp;M193&amp;IF(N193&lt;&gt;"","; сопутствующее: "&amp;N193,"")&amp;IF(O193&lt;&gt;"","; дополнительно: "&amp;O193,"")&amp;".")</f>
        <v/>
      </c>
      <c r="R193" s="172">
        <f>IF('Оперативный ввод'!P193="","",'Оперативный ввод'!P193)</f>
        <v/>
      </c>
      <c r="S193" s="172">
        <f>IF('Оперативный ввод'!Q193="","",'Оперативный ввод'!Q193)</f>
        <v/>
      </c>
      <c r="T193" s="172">
        <f>IF('Оперативный ввод'!R193="","",'Оперативный ввод'!R193)</f>
        <v/>
      </c>
      <c r="U193" s="172">
        <f>IF('Оперативный ввод'!S193="","",'Оперативный ввод'!S193)</f>
        <v/>
      </c>
      <c r="V193" s="172">
        <f>IF('Оперативный ввод'!T193="","",'Оперативный ввод'!T193)</f>
        <v/>
      </c>
      <c r="W193" s="172" t="n"/>
      <c r="X193" s="172" t="n"/>
      <c r="Y193" s="172" t="n"/>
      <c r="Z193" s="172" t="n"/>
      <c r="AA193" s="172">
        <f>IF('Оперативный ввод'!U193="","",'Оперативный ввод'!U193)</f>
        <v/>
      </c>
      <c r="AB193" s="172">
        <f>IF('Оперативный ввод'!V193="","",'Оперативный ввод'!V193)</f>
        <v/>
      </c>
      <c r="AC193" s="172">
        <f>IF('Оперативный ввод'!W193="","",'Оперативный ввод'!W193)</f>
        <v/>
      </c>
      <c r="BB193" s="172" t="n"/>
      <c r="BC193" s="172" t="n"/>
      <c r="BD193" s="205">
        <f>IF(AND(A193="",B193=""),"",IF(AND(P193="ГОТОВО",R193&lt;&gt;"",T193&lt;&gt;"",U193&lt;&gt;"",AA193&lt;&gt;"",AB193&lt;&gt;"",AC193&lt;&gt;"",BB193&lt;&gt;"",BC193&lt;&gt;""),"ГОТОВО","НЕ ГОТОВО"))</f>
        <v/>
      </c>
      <c r="BE193" s="205">
        <f>IF(BD193&lt;&gt;"ГОТОВО","","Полное заключение: "&amp;A193&amp;", скв. "&amp;B193&amp;". МРП: "&amp;E193&amp;" сут. ГНО: "&amp;F193&amp;"; причина: "&amp;U193&amp;"; категория: "&amp;V193&amp;"; решение комиссии: "&amp;BB193&amp;".")</f>
        <v/>
      </c>
      <c r="BF193" s="173">
        <f>IF('Оперативный ввод'!X193="","",'Оперативный ввод'!X193)</f>
        <v/>
      </c>
    </row>
    <row r="194">
      <c r="A194" s="171">
        <f>IF('Оперативный ввод'!A194="","",'Оперативный ввод'!A194)</f>
        <v/>
      </c>
      <c r="B194" s="172">
        <f>IF('Оперативный ввод'!B194="","",'Оперативный ввод'!B194)</f>
        <v/>
      </c>
      <c r="C194" s="270">
        <f>IF('Оперативный ввод'!C194="","",'Оперативный ввод'!C194)</f>
        <v/>
      </c>
      <c r="D194" s="270">
        <f>IF('Оперативный ввод'!D194="","",'Оперативный ввод'!D194)</f>
        <v/>
      </c>
      <c r="E194" s="271">
        <f>IF(OR(C194="",D194=""),"",D194-C194)</f>
        <v/>
      </c>
      <c r="F194" s="172">
        <f>IF('Оперативный ввод'!F194="","",'Оперативный ввод'!F194)</f>
        <v/>
      </c>
      <c r="G194" s="172">
        <f>IF('Оперативный ввод'!G194="","",'Оперативный ввод'!G194)</f>
        <v/>
      </c>
      <c r="H194" s="172">
        <f>IF('Оперативный ввод'!H194="","",'Оперативный ввод'!H194)</f>
        <v/>
      </c>
      <c r="I194" s="172">
        <f>IF('Оперативный ввод'!I194="","",'Оперативный ввод'!I194)</f>
        <v/>
      </c>
      <c r="J194" s="172">
        <f>IF('Оперативный ввод'!J194="","",'Оперативный ввод'!J194)</f>
        <v/>
      </c>
      <c r="K194" s="172">
        <f>IF('Оперативный ввод'!K194="","",'Оперативный ввод'!K194)</f>
        <v/>
      </c>
      <c r="L194" s="172">
        <f>IF('Оперативный ввод'!L194="","",'Оперативный ввод'!L194)</f>
        <v/>
      </c>
      <c r="M194" s="172">
        <f>IF('Оперативный ввод'!M194="","",'Оперативный ввод'!M194)</f>
        <v/>
      </c>
      <c r="N194" s="172">
        <f>IF('Оперативный ввод'!N194="","",'Оперативный ввод'!N194)</f>
        <v/>
      </c>
      <c r="O194" s="172">
        <f>IF('Оперативный ввод'!O194="","",'Оперативный ввод'!O194)</f>
        <v/>
      </c>
      <c r="P194" s="205">
        <f>IF(AND(A194="",B194=""),"",IF(AND(A194&lt;&gt;"",B194&lt;&gt;"",C194&lt;&gt;"",D194&lt;&gt;"",F194&lt;&gt;"",G194&lt;&gt;"",H194&lt;&gt;"",ISERROR(SEARCH("по паспорту",G194)),ISERROR(SEARCH("по паспорту",H194)),I194&lt;&gt;"",J194&lt;&gt;"",K194&lt;&gt;"",L194&lt;&gt;"",M194&lt;&gt;""),"ГОТОВО","НЕ ГОТОВО"))</f>
        <v/>
      </c>
      <c r="Q194" s="205">
        <f>IF(P194&lt;&gt;"ГОТОВО","", "Предварительное заключение: "&amp;A194&amp;", скв. "&amp;B194&amp;". МРП: "&amp;E194&amp;" сут. ГНО: "&amp;F194&amp;", типоразмер "&amp;G194&amp;", марка "&amp;H194&amp;". Событие: "&amp;I194&amp;". Признак: "&amp;J194&amp;". Узел: "&amp;K194&amp;". Предварительная причина: "&amp;L194&amp;". Основное осложнение: "&amp;M194&amp;IF(N194&lt;&gt;"","; сопутствующее: "&amp;N194,"")&amp;IF(O194&lt;&gt;"","; дополнительно: "&amp;O194,"")&amp;".")</f>
        <v/>
      </c>
      <c r="R194" s="172">
        <f>IF('Оперативный ввод'!P194="","",'Оперативный ввод'!P194)</f>
        <v/>
      </c>
      <c r="S194" s="172">
        <f>IF('Оперативный ввод'!Q194="","",'Оперативный ввод'!Q194)</f>
        <v/>
      </c>
      <c r="T194" s="172">
        <f>IF('Оперативный ввод'!R194="","",'Оперативный ввод'!R194)</f>
        <v/>
      </c>
      <c r="U194" s="172">
        <f>IF('Оперативный ввод'!S194="","",'Оперативный ввод'!S194)</f>
        <v/>
      </c>
      <c r="V194" s="172">
        <f>IF('Оперативный ввод'!T194="","",'Оперативный ввод'!T194)</f>
        <v/>
      </c>
      <c r="W194" s="172" t="n"/>
      <c r="X194" s="172" t="n"/>
      <c r="Y194" s="172" t="n"/>
      <c r="Z194" s="172" t="n"/>
      <c r="AA194" s="172">
        <f>IF('Оперативный ввод'!U194="","",'Оперативный ввод'!U194)</f>
        <v/>
      </c>
      <c r="AB194" s="172">
        <f>IF('Оперативный ввод'!V194="","",'Оперативный ввод'!V194)</f>
        <v/>
      </c>
      <c r="AC194" s="172">
        <f>IF('Оперативный ввод'!W194="","",'Оперативный ввод'!W194)</f>
        <v/>
      </c>
      <c r="BB194" s="172" t="n"/>
      <c r="BC194" s="172" t="n"/>
      <c r="BD194" s="205">
        <f>IF(AND(A194="",B194=""),"",IF(AND(P194="ГОТОВО",R194&lt;&gt;"",T194&lt;&gt;"",U194&lt;&gt;"",AA194&lt;&gt;"",AB194&lt;&gt;"",AC194&lt;&gt;"",BB194&lt;&gt;"",BC194&lt;&gt;""),"ГОТОВО","НЕ ГОТОВО"))</f>
        <v/>
      </c>
      <c r="BE194" s="205">
        <f>IF(BD194&lt;&gt;"ГОТОВО","","Полное заключение: "&amp;A194&amp;", скв. "&amp;B194&amp;". МРП: "&amp;E194&amp;" сут. ГНО: "&amp;F194&amp;"; причина: "&amp;U194&amp;"; категория: "&amp;V194&amp;"; решение комиссии: "&amp;BB194&amp;".")</f>
        <v/>
      </c>
      <c r="BF194" s="173">
        <f>IF('Оперативный ввод'!X194="","",'Оперативный ввод'!X194)</f>
        <v/>
      </c>
    </row>
    <row r="195">
      <c r="A195" s="171">
        <f>IF('Оперативный ввод'!A195="","",'Оперативный ввод'!A195)</f>
        <v/>
      </c>
      <c r="B195" s="172">
        <f>IF('Оперативный ввод'!B195="","",'Оперативный ввод'!B195)</f>
        <v/>
      </c>
      <c r="C195" s="270">
        <f>IF('Оперативный ввод'!C195="","",'Оперативный ввод'!C195)</f>
        <v/>
      </c>
      <c r="D195" s="270">
        <f>IF('Оперативный ввод'!D195="","",'Оперативный ввод'!D195)</f>
        <v/>
      </c>
      <c r="E195" s="271">
        <f>IF(OR(C195="",D195=""),"",D195-C195)</f>
        <v/>
      </c>
      <c r="F195" s="172">
        <f>IF('Оперативный ввод'!F195="","",'Оперативный ввод'!F195)</f>
        <v/>
      </c>
      <c r="G195" s="172">
        <f>IF('Оперативный ввод'!G195="","",'Оперативный ввод'!G195)</f>
        <v/>
      </c>
      <c r="H195" s="172">
        <f>IF('Оперативный ввод'!H195="","",'Оперативный ввод'!H195)</f>
        <v/>
      </c>
      <c r="I195" s="172">
        <f>IF('Оперативный ввод'!I195="","",'Оперативный ввод'!I195)</f>
        <v/>
      </c>
      <c r="J195" s="172">
        <f>IF('Оперативный ввод'!J195="","",'Оперативный ввод'!J195)</f>
        <v/>
      </c>
      <c r="K195" s="172">
        <f>IF('Оперативный ввод'!K195="","",'Оперативный ввод'!K195)</f>
        <v/>
      </c>
      <c r="L195" s="172">
        <f>IF('Оперативный ввод'!L195="","",'Оперативный ввод'!L195)</f>
        <v/>
      </c>
      <c r="M195" s="172">
        <f>IF('Оперативный ввод'!M195="","",'Оперативный ввод'!M195)</f>
        <v/>
      </c>
      <c r="N195" s="172">
        <f>IF('Оперативный ввод'!N195="","",'Оперативный ввод'!N195)</f>
        <v/>
      </c>
      <c r="O195" s="172">
        <f>IF('Оперативный ввод'!O195="","",'Оперативный ввод'!O195)</f>
        <v/>
      </c>
      <c r="P195" s="205">
        <f>IF(AND(A195="",B195=""),"",IF(AND(A195&lt;&gt;"",B195&lt;&gt;"",C195&lt;&gt;"",D195&lt;&gt;"",F195&lt;&gt;"",G195&lt;&gt;"",H195&lt;&gt;"",ISERROR(SEARCH("по паспорту",G195)),ISERROR(SEARCH("по паспорту",H195)),I195&lt;&gt;"",J195&lt;&gt;"",K195&lt;&gt;"",L195&lt;&gt;"",M195&lt;&gt;""),"ГОТОВО","НЕ ГОТОВО"))</f>
        <v/>
      </c>
      <c r="Q195" s="205">
        <f>IF(P195&lt;&gt;"ГОТОВО","", "Предварительное заключение: "&amp;A195&amp;", скв. "&amp;B195&amp;". МРП: "&amp;E195&amp;" сут. ГНО: "&amp;F195&amp;", типоразмер "&amp;G195&amp;", марка "&amp;H195&amp;". Событие: "&amp;I195&amp;". Признак: "&amp;J195&amp;". Узел: "&amp;K195&amp;". Предварительная причина: "&amp;L195&amp;". Основное осложнение: "&amp;M195&amp;IF(N195&lt;&gt;"","; сопутствующее: "&amp;N195,"")&amp;IF(O195&lt;&gt;"","; дополнительно: "&amp;O195,"")&amp;".")</f>
        <v/>
      </c>
      <c r="R195" s="172">
        <f>IF('Оперативный ввод'!P195="","",'Оперативный ввод'!P195)</f>
        <v/>
      </c>
      <c r="S195" s="172">
        <f>IF('Оперативный ввод'!Q195="","",'Оперативный ввод'!Q195)</f>
        <v/>
      </c>
      <c r="T195" s="172">
        <f>IF('Оперативный ввод'!R195="","",'Оперативный ввод'!R195)</f>
        <v/>
      </c>
      <c r="U195" s="172">
        <f>IF('Оперативный ввод'!S195="","",'Оперативный ввод'!S195)</f>
        <v/>
      </c>
      <c r="V195" s="172">
        <f>IF('Оперативный ввод'!T195="","",'Оперативный ввод'!T195)</f>
        <v/>
      </c>
      <c r="W195" s="172" t="n"/>
      <c r="X195" s="172" t="n"/>
      <c r="Y195" s="172" t="n"/>
      <c r="Z195" s="172" t="n"/>
      <c r="AA195" s="172">
        <f>IF('Оперативный ввод'!U195="","",'Оперативный ввод'!U195)</f>
        <v/>
      </c>
      <c r="AB195" s="172">
        <f>IF('Оперативный ввод'!V195="","",'Оперативный ввод'!V195)</f>
        <v/>
      </c>
      <c r="AC195" s="172">
        <f>IF('Оперативный ввод'!W195="","",'Оперативный ввод'!W195)</f>
        <v/>
      </c>
      <c r="BB195" s="172" t="n"/>
      <c r="BC195" s="172" t="n"/>
      <c r="BD195" s="205">
        <f>IF(AND(A195="",B195=""),"",IF(AND(P195="ГОТОВО",R195&lt;&gt;"",T195&lt;&gt;"",U195&lt;&gt;"",AA195&lt;&gt;"",AB195&lt;&gt;"",AC195&lt;&gt;"",BB195&lt;&gt;"",BC195&lt;&gt;""),"ГОТОВО","НЕ ГОТОВО"))</f>
        <v/>
      </c>
      <c r="BE195" s="205">
        <f>IF(BD195&lt;&gt;"ГОТОВО","","Полное заключение: "&amp;A195&amp;", скв. "&amp;B195&amp;". МРП: "&amp;E195&amp;" сут. ГНО: "&amp;F195&amp;"; причина: "&amp;U195&amp;"; категория: "&amp;V195&amp;"; решение комиссии: "&amp;BB195&amp;".")</f>
        <v/>
      </c>
      <c r="BF195" s="173">
        <f>IF('Оперативный ввод'!X195="","",'Оперативный ввод'!X195)</f>
        <v/>
      </c>
    </row>
    <row r="196">
      <c r="A196" s="171">
        <f>IF('Оперативный ввод'!A196="","",'Оперативный ввод'!A196)</f>
        <v/>
      </c>
      <c r="B196" s="172">
        <f>IF('Оперативный ввод'!B196="","",'Оперативный ввод'!B196)</f>
        <v/>
      </c>
      <c r="C196" s="270">
        <f>IF('Оперативный ввод'!C196="","",'Оперативный ввод'!C196)</f>
        <v/>
      </c>
      <c r="D196" s="270">
        <f>IF('Оперативный ввод'!D196="","",'Оперативный ввод'!D196)</f>
        <v/>
      </c>
      <c r="E196" s="271">
        <f>IF(OR(C196="",D196=""),"",D196-C196)</f>
        <v/>
      </c>
      <c r="F196" s="172">
        <f>IF('Оперативный ввод'!F196="","",'Оперативный ввод'!F196)</f>
        <v/>
      </c>
      <c r="G196" s="172">
        <f>IF('Оперативный ввод'!G196="","",'Оперативный ввод'!G196)</f>
        <v/>
      </c>
      <c r="H196" s="172">
        <f>IF('Оперативный ввод'!H196="","",'Оперативный ввод'!H196)</f>
        <v/>
      </c>
      <c r="I196" s="172">
        <f>IF('Оперативный ввод'!I196="","",'Оперативный ввод'!I196)</f>
        <v/>
      </c>
      <c r="J196" s="172">
        <f>IF('Оперативный ввод'!J196="","",'Оперативный ввод'!J196)</f>
        <v/>
      </c>
      <c r="K196" s="172">
        <f>IF('Оперативный ввод'!K196="","",'Оперативный ввод'!K196)</f>
        <v/>
      </c>
      <c r="L196" s="172">
        <f>IF('Оперативный ввод'!L196="","",'Оперативный ввод'!L196)</f>
        <v/>
      </c>
      <c r="M196" s="172">
        <f>IF('Оперативный ввод'!M196="","",'Оперативный ввод'!M196)</f>
        <v/>
      </c>
      <c r="N196" s="172">
        <f>IF('Оперативный ввод'!N196="","",'Оперативный ввод'!N196)</f>
        <v/>
      </c>
      <c r="O196" s="172">
        <f>IF('Оперативный ввод'!O196="","",'Оперативный ввод'!O196)</f>
        <v/>
      </c>
      <c r="P196" s="205">
        <f>IF(AND(A196="",B196=""),"",IF(AND(A196&lt;&gt;"",B196&lt;&gt;"",C196&lt;&gt;"",D196&lt;&gt;"",F196&lt;&gt;"",G196&lt;&gt;"",H196&lt;&gt;"",ISERROR(SEARCH("по паспорту",G196)),ISERROR(SEARCH("по паспорту",H196)),I196&lt;&gt;"",J196&lt;&gt;"",K196&lt;&gt;"",L196&lt;&gt;"",M196&lt;&gt;""),"ГОТОВО","НЕ ГОТОВО"))</f>
        <v/>
      </c>
      <c r="Q196" s="205">
        <f>IF(P196&lt;&gt;"ГОТОВО","", "Предварительное заключение: "&amp;A196&amp;", скв. "&amp;B196&amp;". МРП: "&amp;E196&amp;" сут. ГНО: "&amp;F196&amp;", типоразмер "&amp;G196&amp;", марка "&amp;H196&amp;". Событие: "&amp;I196&amp;". Признак: "&amp;J196&amp;". Узел: "&amp;K196&amp;". Предварительная причина: "&amp;L196&amp;". Основное осложнение: "&amp;M196&amp;IF(N196&lt;&gt;"","; сопутствующее: "&amp;N196,"")&amp;IF(O196&lt;&gt;"","; дополнительно: "&amp;O196,"")&amp;".")</f>
        <v/>
      </c>
      <c r="R196" s="172">
        <f>IF('Оперативный ввод'!P196="","",'Оперативный ввод'!P196)</f>
        <v/>
      </c>
      <c r="S196" s="172">
        <f>IF('Оперативный ввод'!Q196="","",'Оперативный ввод'!Q196)</f>
        <v/>
      </c>
      <c r="T196" s="172">
        <f>IF('Оперативный ввод'!R196="","",'Оперативный ввод'!R196)</f>
        <v/>
      </c>
      <c r="U196" s="172">
        <f>IF('Оперативный ввод'!S196="","",'Оперативный ввод'!S196)</f>
        <v/>
      </c>
      <c r="V196" s="172">
        <f>IF('Оперативный ввод'!T196="","",'Оперативный ввод'!T196)</f>
        <v/>
      </c>
      <c r="W196" s="172" t="n"/>
      <c r="X196" s="172" t="n"/>
      <c r="Y196" s="172" t="n"/>
      <c r="Z196" s="172" t="n"/>
      <c r="AA196" s="172">
        <f>IF('Оперативный ввод'!U196="","",'Оперативный ввод'!U196)</f>
        <v/>
      </c>
      <c r="AB196" s="172">
        <f>IF('Оперативный ввод'!V196="","",'Оперативный ввод'!V196)</f>
        <v/>
      </c>
      <c r="AC196" s="172">
        <f>IF('Оперативный ввод'!W196="","",'Оперативный ввод'!W196)</f>
        <v/>
      </c>
      <c r="BB196" s="172" t="n"/>
      <c r="BC196" s="172" t="n"/>
      <c r="BD196" s="205">
        <f>IF(AND(A196="",B196=""),"",IF(AND(P196="ГОТОВО",R196&lt;&gt;"",T196&lt;&gt;"",U196&lt;&gt;"",AA196&lt;&gt;"",AB196&lt;&gt;"",AC196&lt;&gt;"",BB196&lt;&gt;"",BC196&lt;&gt;""),"ГОТОВО","НЕ ГОТОВО"))</f>
        <v/>
      </c>
      <c r="BE196" s="205">
        <f>IF(BD196&lt;&gt;"ГОТОВО","","Полное заключение: "&amp;A196&amp;", скв. "&amp;B196&amp;". МРП: "&amp;E196&amp;" сут. ГНО: "&amp;F196&amp;"; причина: "&amp;U196&amp;"; категория: "&amp;V196&amp;"; решение комиссии: "&amp;BB196&amp;".")</f>
        <v/>
      </c>
      <c r="BF196" s="173">
        <f>IF('Оперативный ввод'!X196="","",'Оперативный ввод'!X196)</f>
        <v/>
      </c>
    </row>
    <row r="197">
      <c r="A197" s="171">
        <f>IF('Оперативный ввод'!A197="","",'Оперативный ввод'!A197)</f>
        <v/>
      </c>
      <c r="B197" s="172">
        <f>IF('Оперативный ввод'!B197="","",'Оперативный ввод'!B197)</f>
        <v/>
      </c>
      <c r="C197" s="270">
        <f>IF('Оперативный ввод'!C197="","",'Оперативный ввод'!C197)</f>
        <v/>
      </c>
      <c r="D197" s="270">
        <f>IF('Оперативный ввод'!D197="","",'Оперативный ввод'!D197)</f>
        <v/>
      </c>
      <c r="E197" s="271">
        <f>IF(OR(C197="",D197=""),"",D197-C197)</f>
        <v/>
      </c>
      <c r="F197" s="172">
        <f>IF('Оперативный ввод'!F197="","",'Оперативный ввод'!F197)</f>
        <v/>
      </c>
      <c r="G197" s="172">
        <f>IF('Оперативный ввод'!G197="","",'Оперативный ввод'!G197)</f>
        <v/>
      </c>
      <c r="H197" s="172">
        <f>IF('Оперативный ввод'!H197="","",'Оперативный ввод'!H197)</f>
        <v/>
      </c>
      <c r="I197" s="172">
        <f>IF('Оперативный ввод'!I197="","",'Оперативный ввод'!I197)</f>
        <v/>
      </c>
      <c r="J197" s="172">
        <f>IF('Оперативный ввод'!J197="","",'Оперативный ввод'!J197)</f>
        <v/>
      </c>
      <c r="K197" s="172">
        <f>IF('Оперативный ввод'!K197="","",'Оперативный ввод'!K197)</f>
        <v/>
      </c>
      <c r="L197" s="172">
        <f>IF('Оперативный ввод'!L197="","",'Оперативный ввод'!L197)</f>
        <v/>
      </c>
      <c r="M197" s="172">
        <f>IF('Оперативный ввод'!M197="","",'Оперативный ввод'!M197)</f>
        <v/>
      </c>
      <c r="N197" s="172">
        <f>IF('Оперативный ввод'!N197="","",'Оперативный ввод'!N197)</f>
        <v/>
      </c>
      <c r="O197" s="172">
        <f>IF('Оперативный ввод'!O197="","",'Оперативный ввод'!O197)</f>
        <v/>
      </c>
      <c r="P197" s="205">
        <f>IF(AND(A197="",B197=""),"",IF(AND(A197&lt;&gt;"",B197&lt;&gt;"",C197&lt;&gt;"",D197&lt;&gt;"",F197&lt;&gt;"",G197&lt;&gt;"",H197&lt;&gt;"",ISERROR(SEARCH("по паспорту",G197)),ISERROR(SEARCH("по паспорту",H197)),I197&lt;&gt;"",J197&lt;&gt;"",K197&lt;&gt;"",L197&lt;&gt;"",M197&lt;&gt;""),"ГОТОВО","НЕ ГОТОВО"))</f>
        <v/>
      </c>
      <c r="Q197" s="205">
        <f>IF(P197&lt;&gt;"ГОТОВО","", "Предварительное заключение: "&amp;A197&amp;", скв. "&amp;B197&amp;". МРП: "&amp;E197&amp;" сут. ГНО: "&amp;F197&amp;", типоразмер "&amp;G197&amp;", марка "&amp;H197&amp;". Событие: "&amp;I197&amp;". Признак: "&amp;J197&amp;". Узел: "&amp;K197&amp;". Предварительная причина: "&amp;L197&amp;". Основное осложнение: "&amp;M197&amp;IF(N197&lt;&gt;"","; сопутствующее: "&amp;N197,"")&amp;IF(O197&lt;&gt;"","; дополнительно: "&amp;O197,"")&amp;".")</f>
        <v/>
      </c>
      <c r="R197" s="172">
        <f>IF('Оперативный ввод'!P197="","",'Оперативный ввод'!P197)</f>
        <v/>
      </c>
      <c r="S197" s="172">
        <f>IF('Оперативный ввод'!Q197="","",'Оперативный ввод'!Q197)</f>
        <v/>
      </c>
      <c r="T197" s="172">
        <f>IF('Оперативный ввод'!R197="","",'Оперативный ввод'!R197)</f>
        <v/>
      </c>
      <c r="U197" s="172">
        <f>IF('Оперативный ввод'!S197="","",'Оперативный ввод'!S197)</f>
        <v/>
      </c>
      <c r="V197" s="172">
        <f>IF('Оперативный ввод'!T197="","",'Оперативный ввод'!T197)</f>
        <v/>
      </c>
      <c r="W197" s="172" t="n"/>
      <c r="X197" s="172" t="n"/>
      <c r="Y197" s="172" t="n"/>
      <c r="Z197" s="172" t="n"/>
      <c r="AA197" s="172">
        <f>IF('Оперативный ввод'!U197="","",'Оперативный ввод'!U197)</f>
        <v/>
      </c>
      <c r="AB197" s="172">
        <f>IF('Оперативный ввод'!V197="","",'Оперативный ввод'!V197)</f>
        <v/>
      </c>
      <c r="AC197" s="172">
        <f>IF('Оперативный ввод'!W197="","",'Оперативный ввод'!W197)</f>
        <v/>
      </c>
      <c r="BB197" s="172" t="n"/>
      <c r="BC197" s="172" t="n"/>
      <c r="BD197" s="205">
        <f>IF(AND(A197="",B197=""),"",IF(AND(P197="ГОТОВО",R197&lt;&gt;"",T197&lt;&gt;"",U197&lt;&gt;"",AA197&lt;&gt;"",AB197&lt;&gt;"",AC197&lt;&gt;"",BB197&lt;&gt;"",BC197&lt;&gt;""),"ГОТОВО","НЕ ГОТОВО"))</f>
        <v/>
      </c>
      <c r="BE197" s="205">
        <f>IF(BD197&lt;&gt;"ГОТОВО","","Полное заключение: "&amp;A197&amp;", скв. "&amp;B197&amp;". МРП: "&amp;E197&amp;" сут. ГНО: "&amp;F197&amp;"; причина: "&amp;U197&amp;"; категория: "&amp;V197&amp;"; решение комиссии: "&amp;BB197&amp;".")</f>
        <v/>
      </c>
      <c r="BF197" s="173">
        <f>IF('Оперативный ввод'!X197="","",'Оперативный ввод'!X197)</f>
        <v/>
      </c>
    </row>
    <row r="198">
      <c r="A198" s="171">
        <f>IF('Оперативный ввод'!A198="","",'Оперативный ввод'!A198)</f>
        <v/>
      </c>
      <c r="B198" s="172">
        <f>IF('Оперативный ввод'!B198="","",'Оперативный ввод'!B198)</f>
        <v/>
      </c>
      <c r="C198" s="270">
        <f>IF('Оперативный ввод'!C198="","",'Оперативный ввод'!C198)</f>
        <v/>
      </c>
      <c r="D198" s="270">
        <f>IF('Оперативный ввод'!D198="","",'Оперативный ввод'!D198)</f>
        <v/>
      </c>
      <c r="E198" s="271">
        <f>IF(OR(C198="",D198=""),"",D198-C198)</f>
        <v/>
      </c>
      <c r="F198" s="172">
        <f>IF('Оперативный ввод'!F198="","",'Оперативный ввод'!F198)</f>
        <v/>
      </c>
      <c r="G198" s="172">
        <f>IF('Оперативный ввод'!G198="","",'Оперативный ввод'!G198)</f>
        <v/>
      </c>
      <c r="H198" s="172">
        <f>IF('Оперативный ввод'!H198="","",'Оперативный ввод'!H198)</f>
        <v/>
      </c>
      <c r="I198" s="172">
        <f>IF('Оперативный ввод'!I198="","",'Оперативный ввод'!I198)</f>
        <v/>
      </c>
      <c r="J198" s="172">
        <f>IF('Оперативный ввод'!J198="","",'Оперативный ввод'!J198)</f>
        <v/>
      </c>
      <c r="K198" s="172">
        <f>IF('Оперативный ввод'!K198="","",'Оперативный ввод'!K198)</f>
        <v/>
      </c>
      <c r="L198" s="172">
        <f>IF('Оперативный ввод'!L198="","",'Оперативный ввод'!L198)</f>
        <v/>
      </c>
      <c r="M198" s="172">
        <f>IF('Оперативный ввод'!M198="","",'Оперативный ввод'!M198)</f>
        <v/>
      </c>
      <c r="N198" s="172">
        <f>IF('Оперативный ввод'!N198="","",'Оперативный ввод'!N198)</f>
        <v/>
      </c>
      <c r="O198" s="172">
        <f>IF('Оперативный ввод'!O198="","",'Оперативный ввод'!O198)</f>
        <v/>
      </c>
      <c r="P198" s="205">
        <f>IF(AND(A198="",B198=""),"",IF(AND(A198&lt;&gt;"",B198&lt;&gt;"",C198&lt;&gt;"",D198&lt;&gt;"",F198&lt;&gt;"",G198&lt;&gt;"",H198&lt;&gt;"",ISERROR(SEARCH("по паспорту",G198)),ISERROR(SEARCH("по паспорту",H198)),I198&lt;&gt;"",J198&lt;&gt;"",K198&lt;&gt;"",L198&lt;&gt;"",M198&lt;&gt;""),"ГОТОВО","НЕ ГОТОВО"))</f>
        <v/>
      </c>
      <c r="Q198" s="205">
        <f>IF(P198&lt;&gt;"ГОТОВО","", "Предварительное заключение: "&amp;A198&amp;", скв. "&amp;B198&amp;". МРП: "&amp;E198&amp;" сут. ГНО: "&amp;F198&amp;", типоразмер "&amp;G198&amp;", марка "&amp;H198&amp;". Событие: "&amp;I198&amp;". Признак: "&amp;J198&amp;". Узел: "&amp;K198&amp;". Предварительная причина: "&amp;L198&amp;". Основное осложнение: "&amp;M198&amp;IF(N198&lt;&gt;"","; сопутствующее: "&amp;N198,"")&amp;IF(O198&lt;&gt;"","; дополнительно: "&amp;O198,"")&amp;".")</f>
        <v/>
      </c>
      <c r="R198" s="172">
        <f>IF('Оперативный ввод'!P198="","",'Оперативный ввод'!P198)</f>
        <v/>
      </c>
      <c r="S198" s="172">
        <f>IF('Оперативный ввод'!Q198="","",'Оперативный ввод'!Q198)</f>
        <v/>
      </c>
      <c r="T198" s="172">
        <f>IF('Оперативный ввод'!R198="","",'Оперативный ввод'!R198)</f>
        <v/>
      </c>
      <c r="U198" s="172">
        <f>IF('Оперативный ввод'!S198="","",'Оперативный ввод'!S198)</f>
        <v/>
      </c>
      <c r="V198" s="172">
        <f>IF('Оперативный ввод'!T198="","",'Оперативный ввод'!T198)</f>
        <v/>
      </c>
      <c r="W198" s="172" t="n"/>
      <c r="X198" s="172" t="n"/>
      <c r="Y198" s="172" t="n"/>
      <c r="Z198" s="172" t="n"/>
      <c r="AA198" s="172">
        <f>IF('Оперативный ввод'!U198="","",'Оперативный ввод'!U198)</f>
        <v/>
      </c>
      <c r="AB198" s="172">
        <f>IF('Оперативный ввод'!V198="","",'Оперативный ввод'!V198)</f>
        <v/>
      </c>
      <c r="AC198" s="172">
        <f>IF('Оперативный ввод'!W198="","",'Оперативный ввод'!W198)</f>
        <v/>
      </c>
      <c r="BB198" s="172" t="n"/>
      <c r="BC198" s="172" t="n"/>
      <c r="BD198" s="205">
        <f>IF(AND(A198="",B198=""),"",IF(AND(P198="ГОТОВО",R198&lt;&gt;"",T198&lt;&gt;"",U198&lt;&gt;"",AA198&lt;&gt;"",AB198&lt;&gt;"",AC198&lt;&gt;"",BB198&lt;&gt;"",BC198&lt;&gt;""),"ГОТОВО","НЕ ГОТОВО"))</f>
        <v/>
      </c>
      <c r="BE198" s="205">
        <f>IF(BD198&lt;&gt;"ГОТОВО","","Полное заключение: "&amp;A198&amp;", скв. "&amp;B198&amp;". МРП: "&amp;E198&amp;" сут. ГНО: "&amp;F198&amp;"; причина: "&amp;U198&amp;"; категория: "&amp;V198&amp;"; решение комиссии: "&amp;BB198&amp;".")</f>
        <v/>
      </c>
      <c r="BF198" s="173">
        <f>IF('Оперативный ввод'!X198="","",'Оперативный ввод'!X198)</f>
        <v/>
      </c>
    </row>
    <row r="199">
      <c r="A199" s="171">
        <f>IF('Оперативный ввод'!A199="","",'Оперативный ввод'!A199)</f>
        <v/>
      </c>
      <c r="B199" s="172">
        <f>IF('Оперативный ввод'!B199="","",'Оперативный ввод'!B199)</f>
        <v/>
      </c>
      <c r="C199" s="270">
        <f>IF('Оперативный ввод'!C199="","",'Оперативный ввод'!C199)</f>
        <v/>
      </c>
      <c r="D199" s="270">
        <f>IF('Оперативный ввод'!D199="","",'Оперативный ввод'!D199)</f>
        <v/>
      </c>
      <c r="E199" s="271">
        <f>IF(OR(C199="",D199=""),"",D199-C199)</f>
        <v/>
      </c>
      <c r="F199" s="172">
        <f>IF('Оперативный ввод'!F199="","",'Оперативный ввод'!F199)</f>
        <v/>
      </c>
      <c r="G199" s="172">
        <f>IF('Оперативный ввод'!G199="","",'Оперативный ввод'!G199)</f>
        <v/>
      </c>
      <c r="H199" s="172">
        <f>IF('Оперативный ввод'!H199="","",'Оперативный ввод'!H199)</f>
        <v/>
      </c>
      <c r="I199" s="172">
        <f>IF('Оперативный ввод'!I199="","",'Оперативный ввод'!I199)</f>
        <v/>
      </c>
      <c r="J199" s="172">
        <f>IF('Оперативный ввод'!J199="","",'Оперативный ввод'!J199)</f>
        <v/>
      </c>
      <c r="K199" s="172">
        <f>IF('Оперативный ввод'!K199="","",'Оперативный ввод'!K199)</f>
        <v/>
      </c>
      <c r="L199" s="172">
        <f>IF('Оперативный ввод'!L199="","",'Оперативный ввод'!L199)</f>
        <v/>
      </c>
      <c r="M199" s="172">
        <f>IF('Оперативный ввод'!M199="","",'Оперативный ввод'!M199)</f>
        <v/>
      </c>
      <c r="N199" s="172">
        <f>IF('Оперативный ввод'!N199="","",'Оперативный ввод'!N199)</f>
        <v/>
      </c>
      <c r="O199" s="172">
        <f>IF('Оперативный ввод'!O199="","",'Оперативный ввод'!O199)</f>
        <v/>
      </c>
      <c r="P199" s="205">
        <f>IF(AND(A199="",B199=""),"",IF(AND(A199&lt;&gt;"",B199&lt;&gt;"",C199&lt;&gt;"",D199&lt;&gt;"",F199&lt;&gt;"",G199&lt;&gt;"",H199&lt;&gt;"",ISERROR(SEARCH("по паспорту",G199)),ISERROR(SEARCH("по паспорту",H199)),I199&lt;&gt;"",J199&lt;&gt;"",K199&lt;&gt;"",L199&lt;&gt;"",M199&lt;&gt;""),"ГОТОВО","НЕ ГОТОВО"))</f>
        <v/>
      </c>
      <c r="Q199" s="205">
        <f>IF(P199&lt;&gt;"ГОТОВО","", "Предварительное заключение: "&amp;A199&amp;", скв. "&amp;B199&amp;". МРП: "&amp;E199&amp;" сут. ГНО: "&amp;F199&amp;", типоразмер "&amp;G199&amp;", марка "&amp;H199&amp;". Событие: "&amp;I199&amp;". Признак: "&amp;J199&amp;". Узел: "&amp;K199&amp;". Предварительная причина: "&amp;L199&amp;". Основное осложнение: "&amp;M199&amp;IF(N199&lt;&gt;"","; сопутствующее: "&amp;N199,"")&amp;IF(O199&lt;&gt;"","; дополнительно: "&amp;O199,"")&amp;".")</f>
        <v/>
      </c>
      <c r="R199" s="172">
        <f>IF('Оперативный ввод'!P199="","",'Оперативный ввод'!P199)</f>
        <v/>
      </c>
      <c r="S199" s="172">
        <f>IF('Оперативный ввод'!Q199="","",'Оперативный ввод'!Q199)</f>
        <v/>
      </c>
      <c r="T199" s="172">
        <f>IF('Оперативный ввод'!R199="","",'Оперативный ввод'!R199)</f>
        <v/>
      </c>
      <c r="U199" s="172">
        <f>IF('Оперативный ввод'!S199="","",'Оперативный ввод'!S199)</f>
        <v/>
      </c>
      <c r="V199" s="172">
        <f>IF('Оперативный ввод'!T199="","",'Оперативный ввод'!T199)</f>
        <v/>
      </c>
      <c r="W199" s="172" t="n"/>
      <c r="X199" s="172" t="n"/>
      <c r="Y199" s="172" t="n"/>
      <c r="Z199" s="172" t="n"/>
      <c r="AA199" s="172">
        <f>IF('Оперативный ввод'!U199="","",'Оперативный ввод'!U199)</f>
        <v/>
      </c>
      <c r="AB199" s="172">
        <f>IF('Оперативный ввод'!V199="","",'Оперативный ввод'!V199)</f>
        <v/>
      </c>
      <c r="AC199" s="172">
        <f>IF('Оперативный ввод'!W199="","",'Оперативный ввод'!W199)</f>
        <v/>
      </c>
      <c r="BB199" s="172" t="n"/>
      <c r="BC199" s="172" t="n"/>
      <c r="BD199" s="205">
        <f>IF(AND(A199="",B199=""),"",IF(AND(P199="ГОТОВО",R199&lt;&gt;"",T199&lt;&gt;"",U199&lt;&gt;"",AA199&lt;&gt;"",AB199&lt;&gt;"",AC199&lt;&gt;"",BB199&lt;&gt;"",BC199&lt;&gt;""),"ГОТОВО","НЕ ГОТОВО"))</f>
        <v/>
      </c>
      <c r="BE199" s="205">
        <f>IF(BD199&lt;&gt;"ГОТОВО","","Полное заключение: "&amp;A199&amp;", скв. "&amp;B199&amp;". МРП: "&amp;E199&amp;" сут. ГНО: "&amp;F199&amp;"; причина: "&amp;U199&amp;"; категория: "&amp;V199&amp;"; решение комиссии: "&amp;BB199&amp;".")</f>
        <v/>
      </c>
      <c r="BF199" s="173">
        <f>IF('Оперативный ввод'!X199="","",'Оперативный ввод'!X199)</f>
        <v/>
      </c>
    </row>
    <row r="200">
      <c r="A200" s="171">
        <f>IF('Оперативный ввод'!A200="","",'Оперативный ввод'!A200)</f>
        <v/>
      </c>
      <c r="B200" s="172">
        <f>IF('Оперативный ввод'!B200="","",'Оперативный ввод'!B200)</f>
        <v/>
      </c>
      <c r="C200" s="270">
        <f>IF('Оперативный ввод'!C200="","",'Оперативный ввод'!C200)</f>
        <v/>
      </c>
      <c r="D200" s="270">
        <f>IF('Оперативный ввод'!D200="","",'Оперативный ввод'!D200)</f>
        <v/>
      </c>
      <c r="E200" s="271">
        <f>IF(OR(C200="",D200=""),"",D200-C200)</f>
        <v/>
      </c>
      <c r="F200" s="172">
        <f>IF('Оперативный ввод'!F200="","",'Оперативный ввод'!F200)</f>
        <v/>
      </c>
      <c r="G200" s="172">
        <f>IF('Оперативный ввод'!G200="","",'Оперативный ввод'!G200)</f>
        <v/>
      </c>
      <c r="H200" s="172">
        <f>IF('Оперативный ввод'!H200="","",'Оперативный ввод'!H200)</f>
        <v/>
      </c>
      <c r="I200" s="172">
        <f>IF('Оперативный ввод'!I200="","",'Оперативный ввод'!I200)</f>
        <v/>
      </c>
      <c r="J200" s="172">
        <f>IF('Оперативный ввод'!J200="","",'Оперативный ввод'!J200)</f>
        <v/>
      </c>
      <c r="K200" s="172">
        <f>IF('Оперативный ввод'!K200="","",'Оперативный ввод'!K200)</f>
        <v/>
      </c>
      <c r="L200" s="172">
        <f>IF('Оперативный ввод'!L200="","",'Оперативный ввод'!L200)</f>
        <v/>
      </c>
      <c r="M200" s="172">
        <f>IF('Оперативный ввод'!M200="","",'Оперативный ввод'!M200)</f>
        <v/>
      </c>
      <c r="N200" s="172">
        <f>IF('Оперативный ввод'!N200="","",'Оперативный ввод'!N200)</f>
        <v/>
      </c>
      <c r="O200" s="172">
        <f>IF('Оперативный ввод'!O200="","",'Оперативный ввод'!O200)</f>
        <v/>
      </c>
      <c r="P200" s="205">
        <f>IF(AND(A200="",B200=""),"",IF(AND(A200&lt;&gt;"",B200&lt;&gt;"",C200&lt;&gt;"",D200&lt;&gt;"",F200&lt;&gt;"",G200&lt;&gt;"",H200&lt;&gt;"",ISERROR(SEARCH("по паспорту",G200)),ISERROR(SEARCH("по паспорту",H200)),I200&lt;&gt;"",J200&lt;&gt;"",K200&lt;&gt;"",L200&lt;&gt;"",M200&lt;&gt;""),"ГОТОВО","НЕ ГОТОВО"))</f>
        <v/>
      </c>
      <c r="Q200" s="205">
        <f>IF(P200&lt;&gt;"ГОТОВО","", "Предварительное заключение: "&amp;A200&amp;", скв. "&amp;B200&amp;". МРП: "&amp;E200&amp;" сут. ГНО: "&amp;F200&amp;", типоразмер "&amp;G200&amp;", марка "&amp;H200&amp;". Событие: "&amp;I200&amp;". Признак: "&amp;J200&amp;". Узел: "&amp;K200&amp;". Предварительная причина: "&amp;L200&amp;". Основное осложнение: "&amp;M200&amp;IF(N200&lt;&gt;"","; сопутствующее: "&amp;N200,"")&amp;IF(O200&lt;&gt;"","; дополнительно: "&amp;O200,"")&amp;".")</f>
        <v/>
      </c>
      <c r="R200" s="172">
        <f>IF('Оперативный ввод'!P200="","",'Оперативный ввод'!P200)</f>
        <v/>
      </c>
      <c r="S200" s="172">
        <f>IF('Оперативный ввод'!Q200="","",'Оперативный ввод'!Q200)</f>
        <v/>
      </c>
      <c r="T200" s="172">
        <f>IF('Оперативный ввод'!R200="","",'Оперативный ввод'!R200)</f>
        <v/>
      </c>
      <c r="U200" s="172">
        <f>IF('Оперативный ввод'!S200="","",'Оперативный ввод'!S200)</f>
        <v/>
      </c>
      <c r="V200" s="172">
        <f>IF('Оперативный ввод'!T200="","",'Оперативный ввод'!T200)</f>
        <v/>
      </c>
      <c r="W200" s="172" t="n"/>
      <c r="X200" s="172" t="n"/>
      <c r="Y200" s="172" t="n"/>
      <c r="Z200" s="172" t="n"/>
      <c r="AA200" s="172">
        <f>IF('Оперативный ввод'!U200="","",'Оперативный ввод'!U200)</f>
        <v/>
      </c>
      <c r="AB200" s="172">
        <f>IF('Оперативный ввод'!V200="","",'Оперативный ввод'!V200)</f>
        <v/>
      </c>
      <c r="AC200" s="172">
        <f>IF('Оперативный ввод'!W200="","",'Оперативный ввод'!W200)</f>
        <v/>
      </c>
      <c r="BB200" s="172" t="n"/>
      <c r="BC200" s="172" t="n"/>
      <c r="BD200" s="205">
        <f>IF(AND(A200="",B200=""),"",IF(AND(P200="ГОТОВО",R200&lt;&gt;"",T200&lt;&gt;"",U200&lt;&gt;"",AA200&lt;&gt;"",AB200&lt;&gt;"",AC200&lt;&gt;"",BB200&lt;&gt;"",BC200&lt;&gt;""),"ГОТОВО","НЕ ГОТОВО"))</f>
        <v/>
      </c>
      <c r="BE200" s="205">
        <f>IF(BD200&lt;&gt;"ГОТОВО","","Полное заключение: "&amp;A200&amp;", скв. "&amp;B200&amp;". МРП: "&amp;E200&amp;" сут. ГНО: "&amp;F200&amp;"; причина: "&amp;U200&amp;"; категория: "&amp;V200&amp;"; решение комиссии: "&amp;BB200&amp;".")</f>
        <v/>
      </c>
      <c r="BF200" s="173">
        <f>IF('Оперативный ввод'!X200="","",'Оперативный ввод'!X200)</f>
        <v/>
      </c>
    </row>
    <row r="201">
      <c r="A201" s="171">
        <f>IF('Оперативный ввод'!A201="","",'Оперативный ввод'!A201)</f>
        <v/>
      </c>
      <c r="B201" s="172">
        <f>IF('Оперативный ввод'!B201="","",'Оперативный ввод'!B201)</f>
        <v/>
      </c>
      <c r="C201" s="270">
        <f>IF('Оперативный ввод'!C201="","",'Оперативный ввод'!C201)</f>
        <v/>
      </c>
      <c r="D201" s="270">
        <f>IF('Оперативный ввод'!D201="","",'Оперативный ввод'!D201)</f>
        <v/>
      </c>
      <c r="E201" s="271">
        <f>IF(OR(C201="",D201=""),"",D201-C201)</f>
        <v/>
      </c>
      <c r="F201" s="172">
        <f>IF('Оперативный ввод'!F201="","",'Оперативный ввод'!F201)</f>
        <v/>
      </c>
      <c r="G201" s="172">
        <f>IF('Оперативный ввод'!G201="","",'Оперативный ввод'!G201)</f>
        <v/>
      </c>
      <c r="H201" s="172">
        <f>IF('Оперативный ввод'!H201="","",'Оперативный ввод'!H201)</f>
        <v/>
      </c>
      <c r="I201" s="172">
        <f>IF('Оперативный ввод'!I201="","",'Оперативный ввод'!I201)</f>
        <v/>
      </c>
      <c r="J201" s="172">
        <f>IF('Оперативный ввод'!J201="","",'Оперативный ввод'!J201)</f>
        <v/>
      </c>
      <c r="K201" s="172">
        <f>IF('Оперативный ввод'!K201="","",'Оперативный ввод'!K201)</f>
        <v/>
      </c>
      <c r="L201" s="172">
        <f>IF('Оперативный ввод'!L201="","",'Оперативный ввод'!L201)</f>
        <v/>
      </c>
      <c r="M201" s="172">
        <f>IF('Оперативный ввод'!M201="","",'Оперативный ввод'!M201)</f>
        <v/>
      </c>
      <c r="N201" s="172">
        <f>IF('Оперативный ввод'!N201="","",'Оперативный ввод'!N201)</f>
        <v/>
      </c>
      <c r="O201" s="172">
        <f>IF('Оперативный ввод'!O201="","",'Оперативный ввод'!O201)</f>
        <v/>
      </c>
      <c r="P201" s="205">
        <f>IF(AND(A201="",B201=""),"",IF(AND(A201&lt;&gt;"",B201&lt;&gt;"",C201&lt;&gt;"",D201&lt;&gt;"",F201&lt;&gt;"",G201&lt;&gt;"",H201&lt;&gt;"",ISERROR(SEARCH("по паспорту",G201)),ISERROR(SEARCH("по паспорту",H201)),I201&lt;&gt;"",J201&lt;&gt;"",K201&lt;&gt;"",L201&lt;&gt;"",M201&lt;&gt;""),"ГОТОВО","НЕ ГОТОВО"))</f>
        <v/>
      </c>
      <c r="Q201" s="205">
        <f>IF(P201&lt;&gt;"ГОТОВО","", "Предварительное заключение: "&amp;A201&amp;", скв. "&amp;B201&amp;". МРП: "&amp;E201&amp;" сут. ГНО: "&amp;F201&amp;", типоразмер "&amp;G201&amp;", марка "&amp;H201&amp;". Событие: "&amp;I201&amp;". Признак: "&amp;J201&amp;". Узел: "&amp;K201&amp;". Предварительная причина: "&amp;L201&amp;". Основное осложнение: "&amp;M201&amp;IF(N201&lt;&gt;"","; сопутствующее: "&amp;N201,"")&amp;IF(O201&lt;&gt;"","; дополнительно: "&amp;O201,"")&amp;".")</f>
        <v/>
      </c>
      <c r="R201" s="172">
        <f>IF('Оперативный ввод'!P201="","",'Оперативный ввод'!P201)</f>
        <v/>
      </c>
      <c r="S201" s="172">
        <f>IF('Оперативный ввод'!Q201="","",'Оперативный ввод'!Q201)</f>
        <v/>
      </c>
      <c r="T201" s="172">
        <f>IF('Оперативный ввод'!R201="","",'Оперативный ввод'!R201)</f>
        <v/>
      </c>
      <c r="U201" s="172">
        <f>IF('Оперативный ввод'!S201="","",'Оперативный ввод'!S201)</f>
        <v/>
      </c>
      <c r="V201" s="172">
        <f>IF('Оперативный ввод'!T201="","",'Оперативный ввод'!T201)</f>
        <v/>
      </c>
      <c r="W201" s="172" t="n"/>
      <c r="X201" s="172" t="n"/>
      <c r="Y201" s="172" t="n"/>
      <c r="Z201" s="172" t="n"/>
      <c r="AA201" s="172">
        <f>IF('Оперативный ввод'!U201="","",'Оперативный ввод'!U201)</f>
        <v/>
      </c>
      <c r="AB201" s="172">
        <f>IF('Оперативный ввод'!V201="","",'Оперативный ввод'!V201)</f>
        <v/>
      </c>
      <c r="AC201" s="172">
        <f>IF('Оперативный ввод'!W201="","",'Оперативный ввод'!W201)</f>
        <v/>
      </c>
      <c r="BB201" s="172" t="n"/>
      <c r="BC201" s="172" t="n"/>
      <c r="BD201" s="205">
        <f>IF(AND(A201="",B201=""),"",IF(AND(P201="ГОТОВО",R201&lt;&gt;"",T201&lt;&gt;"",U201&lt;&gt;"",AA201&lt;&gt;"",AB201&lt;&gt;"",AC201&lt;&gt;"",BB201&lt;&gt;"",BC201&lt;&gt;""),"ГОТОВО","НЕ ГОТОВО"))</f>
        <v/>
      </c>
      <c r="BE201" s="205">
        <f>IF(BD201&lt;&gt;"ГОТОВО","","Полное заключение: "&amp;A201&amp;", скв. "&amp;B201&amp;". МРП: "&amp;E201&amp;" сут. ГНО: "&amp;F201&amp;"; причина: "&amp;U201&amp;"; категория: "&amp;V201&amp;"; решение комиссии: "&amp;BB201&amp;".")</f>
        <v/>
      </c>
      <c r="BF201" s="173">
        <f>IF('Оперативный ввод'!X201="","",'Оперативный ввод'!X201)</f>
        <v/>
      </c>
    </row>
    <row r="202">
      <c r="A202" s="171">
        <f>IF('Оперативный ввод'!A202="","",'Оперативный ввод'!A202)</f>
        <v/>
      </c>
      <c r="B202" s="172">
        <f>IF('Оперативный ввод'!B202="","",'Оперативный ввод'!B202)</f>
        <v/>
      </c>
      <c r="C202" s="270">
        <f>IF('Оперативный ввод'!C202="","",'Оперативный ввод'!C202)</f>
        <v/>
      </c>
      <c r="D202" s="270">
        <f>IF('Оперативный ввод'!D202="","",'Оперативный ввод'!D202)</f>
        <v/>
      </c>
      <c r="E202" s="271">
        <f>IF(OR(C202="",D202=""),"",D202-C202)</f>
        <v/>
      </c>
      <c r="F202" s="172">
        <f>IF('Оперативный ввод'!F202="","",'Оперативный ввод'!F202)</f>
        <v/>
      </c>
      <c r="G202" s="172">
        <f>IF('Оперативный ввод'!G202="","",'Оперативный ввод'!G202)</f>
        <v/>
      </c>
      <c r="H202" s="172">
        <f>IF('Оперативный ввод'!H202="","",'Оперативный ввод'!H202)</f>
        <v/>
      </c>
      <c r="I202" s="172">
        <f>IF('Оперативный ввод'!I202="","",'Оперативный ввод'!I202)</f>
        <v/>
      </c>
      <c r="J202" s="172">
        <f>IF('Оперативный ввод'!J202="","",'Оперативный ввод'!J202)</f>
        <v/>
      </c>
      <c r="K202" s="172">
        <f>IF('Оперативный ввод'!K202="","",'Оперативный ввод'!K202)</f>
        <v/>
      </c>
      <c r="L202" s="172">
        <f>IF('Оперативный ввод'!L202="","",'Оперативный ввод'!L202)</f>
        <v/>
      </c>
      <c r="M202" s="172">
        <f>IF('Оперативный ввод'!M202="","",'Оперативный ввод'!M202)</f>
        <v/>
      </c>
      <c r="N202" s="172">
        <f>IF('Оперативный ввод'!N202="","",'Оперативный ввод'!N202)</f>
        <v/>
      </c>
      <c r="O202" s="172">
        <f>IF('Оперативный ввод'!O202="","",'Оперативный ввод'!O202)</f>
        <v/>
      </c>
      <c r="P202" s="205">
        <f>IF(AND(A202="",B202=""),"",IF(AND(A202&lt;&gt;"",B202&lt;&gt;"",C202&lt;&gt;"",D202&lt;&gt;"",F202&lt;&gt;"",G202&lt;&gt;"",H202&lt;&gt;"",ISERROR(SEARCH("по паспорту",G202)),ISERROR(SEARCH("по паспорту",H202)),I202&lt;&gt;"",J202&lt;&gt;"",K202&lt;&gt;"",L202&lt;&gt;"",M202&lt;&gt;""),"ГОТОВО","НЕ ГОТОВО"))</f>
        <v/>
      </c>
      <c r="Q202" s="205">
        <f>IF(P202&lt;&gt;"ГОТОВО","", "Предварительное заключение: "&amp;A202&amp;", скв. "&amp;B202&amp;". МРП: "&amp;E202&amp;" сут. ГНО: "&amp;F202&amp;", типоразмер "&amp;G202&amp;", марка "&amp;H202&amp;". Событие: "&amp;I202&amp;". Признак: "&amp;J202&amp;". Узел: "&amp;K202&amp;". Предварительная причина: "&amp;L202&amp;". Основное осложнение: "&amp;M202&amp;IF(N202&lt;&gt;"","; сопутствующее: "&amp;N202,"")&amp;IF(O202&lt;&gt;"","; дополнительно: "&amp;O202,"")&amp;".")</f>
        <v/>
      </c>
      <c r="R202" s="172">
        <f>IF('Оперативный ввод'!P202="","",'Оперативный ввод'!P202)</f>
        <v/>
      </c>
      <c r="S202" s="172">
        <f>IF('Оперативный ввод'!Q202="","",'Оперативный ввод'!Q202)</f>
        <v/>
      </c>
      <c r="T202" s="172">
        <f>IF('Оперативный ввод'!R202="","",'Оперативный ввод'!R202)</f>
        <v/>
      </c>
      <c r="U202" s="172">
        <f>IF('Оперативный ввод'!S202="","",'Оперативный ввод'!S202)</f>
        <v/>
      </c>
      <c r="V202" s="172">
        <f>IF('Оперативный ввод'!T202="","",'Оперативный ввод'!T202)</f>
        <v/>
      </c>
      <c r="W202" s="172" t="n"/>
      <c r="X202" s="172" t="n"/>
      <c r="Y202" s="172" t="n"/>
      <c r="Z202" s="172" t="n"/>
      <c r="AA202" s="172">
        <f>IF('Оперативный ввод'!U202="","",'Оперативный ввод'!U202)</f>
        <v/>
      </c>
      <c r="AB202" s="172">
        <f>IF('Оперативный ввод'!V202="","",'Оперативный ввод'!V202)</f>
        <v/>
      </c>
      <c r="AC202" s="172">
        <f>IF('Оперативный ввод'!W202="","",'Оперативный ввод'!W202)</f>
        <v/>
      </c>
      <c r="BB202" s="172" t="n"/>
      <c r="BC202" s="172" t="n"/>
      <c r="BD202" s="205">
        <f>IF(AND(A202="",B202=""),"",IF(AND(P202="ГОТОВО",R202&lt;&gt;"",T202&lt;&gt;"",U202&lt;&gt;"",AA202&lt;&gt;"",AB202&lt;&gt;"",AC202&lt;&gt;"",BB202&lt;&gt;"",BC202&lt;&gt;""),"ГОТОВО","НЕ ГОТОВО"))</f>
        <v/>
      </c>
      <c r="BE202" s="205">
        <f>IF(BD202&lt;&gt;"ГОТОВО","","Полное заключение: "&amp;A202&amp;", скв. "&amp;B202&amp;". МРП: "&amp;E202&amp;" сут. ГНО: "&amp;F202&amp;"; причина: "&amp;U202&amp;"; категория: "&amp;V202&amp;"; решение комиссии: "&amp;BB202&amp;".")</f>
        <v/>
      </c>
      <c r="BF202" s="173">
        <f>IF('Оперативный ввод'!X202="","",'Оперативный ввод'!X202)</f>
        <v/>
      </c>
    </row>
    <row r="203">
      <c r="A203" s="171">
        <f>IF('Оперативный ввод'!A203="","",'Оперативный ввод'!A203)</f>
        <v/>
      </c>
      <c r="B203" s="172">
        <f>IF('Оперативный ввод'!B203="","",'Оперативный ввод'!B203)</f>
        <v/>
      </c>
      <c r="C203" s="270">
        <f>IF('Оперативный ввод'!C203="","",'Оперативный ввод'!C203)</f>
        <v/>
      </c>
      <c r="D203" s="270">
        <f>IF('Оперативный ввод'!D203="","",'Оперативный ввод'!D203)</f>
        <v/>
      </c>
      <c r="E203" s="271">
        <f>IF(OR(C203="",D203=""),"",D203-C203)</f>
        <v/>
      </c>
      <c r="F203" s="172">
        <f>IF('Оперативный ввод'!F203="","",'Оперативный ввод'!F203)</f>
        <v/>
      </c>
      <c r="G203" s="172">
        <f>IF('Оперативный ввод'!G203="","",'Оперативный ввод'!G203)</f>
        <v/>
      </c>
      <c r="H203" s="172">
        <f>IF('Оперативный ввод'!H203="","",'Оперативный ввод'!H203)</f>
        <v/>
      </c>
      <c r="I203" s="172">
        <f>IF('Оперативный ввод'!I203="","",'Оперативный ввод'!I203)</f>
        <v/>
      </c>
      <c r="J203" s="172">
        <f>IF('Оперативный ввод'!J203="","",'Оперативный ввод'!J203)</f>
        <v/>
      </c>
      <c r="K203" s="172">
        <f>IF('Оперативный ввод'!K203="","",'Оперативный ввод'!K203)</f>
        <v/>
      </c>
      <c r="L203" s="172">
        <f>IF('Оперативный ввод'!L203="","",'Оперативный ввод'!L203)</f>
        <v/>
      </c>
      <c r="M203" s="172">
        <f>IF('Оперативный ввод'!M203="","",'Оперативный ввод'!M203)</f>
        <v/>
      </c>
      <c r="N203" s="172">
        <f>IF('Оперативный ввод'!N203="","",'Оперативный ввод'!N203)</f>
        <v/>
      </c>
      <c r="O203" s="172">
        <f>IF('Оперативный ввод'!O203="","",'Оперативный ввод'!O203)</f>
        <v/>
      </c>
      <c r="P203" s="205">
        <f>IF(AND(A203="",B203=""),"",IF(AND(A203&lt;&gt;"",B203&lt;&gt;"",C203&lt;&gt;"",D203&lt;&gt;"",F203&lt;&gt;"",G203&lt;&gt;"",H203&lt;&gt;"",ISERROR(SEARCH("по паспорту",G203)),ISERROR(SEARCH("по паспорту",H203)),I203&lt;&gt;"",J203&lt;&gt;"",K203&lt;&gt;"",L203&lt;&gt;"",M203&lt;&gt;""),"ГОТОВО","НЕ ГОТОВО"))</f>
        <v/>
      </c>
      <c r="Q203" s="205">
        <f>IF(P203&lt;&gt;"ГОТОВО","", "Предварительное заключение: "&amp;A203&amp;", скв. "&amp;B203&amp;". МРП: "&amp;E203&amp;" сут. ГНО: "&amp;F203&amp;", типоразмер "&amp;G203&amp;", марка "&amp;H203&amp;". Событие: "&amp;I203&amp;". Признак: "&amp;J203&amp;". Узел: "&amp;K203&amp;". Предварительная причина: "&amp;L203&amp;". Основное осложнение: "&amp;M203&amp;IF(N203&lt;&gt;"","; сопутствующее: "&amp;N203,"")&amp;IF(O203&lt;&gt;"","; дополнительно: "&amp;O203,"")&amp;".")</f>
        <v/>
      </c>
      <c r="R203" s="172">
        <f>IF('Оперативный ввод'!P203="","",'Оперативный ввод'!P203)</f>
        <v/>
      </c>
      <c r="S203" s="172">
        <f>IF('Оперативный ввод'!Q203="","",'Оперативный ввод'!Q203)</f>
        <v/>
      </c>
      <c r="T203" s="172">
        <f>IF('Оперативный ввод'!R203="","",'Оперативный ввод'!R203)</f>
        <v/>
      </c>
      <c r="U203" s="172">
        <f>IF('Оперативный ввод'!S203="","",'Оперативный ввод'!S203)</f>
        <v/>
      </c>
      <c r="V203" s="172">
        <f>IF('Оперативный ввод'!T203="","",'Оперативный ввод'!T203)</f>
        <v/>
      </c>
      <c r="W203" s="172" t="n"/>
      <c r="X203" s="172" t="n"/>
      <c r="Y203" s="172" t="n"/>
      <c r="Z203" s="172" t="n"/>
      <c r="AA203" s="172">
        <f>IF('Оперативный ввод'!U203="","",'Оперативный ввод'!U203)</f>
        <v/>
      </c>
      <c r="AB203" s="172">
        <f>IF('Оперативный ввод'!V203="","",'Оперативный ввод'!V203)</f>
        <v/>
      </c>
      <c r="AC203" s="172">
        <f>IF('Оперативный ввод'!W203="","",'Оперативный ввод'!W203)</f>
        <v/>
      </c>
      <c r="BB203" s="172" t="n"/>
      <c r="BC203" s="172" t="n"/>
      <c r="BD203" s="205">
        <f>IF(AND(A203="",B203=""),"",IF(AND(P203="ГОТОВО",R203&lt;&gt;"",T203&lt;&gt;"",U203&lt;&gt;"",AA203&lt;&gt;"",AB203&lt;&gt;"",AC203&lt;&gt;"",BB203&lt;&gt;"",BC203&lt;&gt;""),"ГОТОВО","НЕ ГОТОВО"))</f>
        <v/>
      </c>
      <c r="BE203" s="205">
        <f>IF(BD203&lt;&gt;"ГОТОВО","","Полное заключение: "&amp;A203&amp;", скв. "&amp;B203&amp;". МРП: "&amp;E203&amp;" сут. ГНО: "&amp;F203&amp;"; причина: "&amp;U203&amp;"; категория: "&amp;V203&amp;"; решение комиссии: "&amp;BB203&amp;".")</f>
        <v/>
      </c>
      <c r="BF203" s="173">
        <f>IF('Оперативный ввод'!X203="","",'Оперативный ввод'!X203)</f>
        <v/>
      </c>
    </row>
    <row r="204">
      <c r="A204" s="171">
        <f>IF('Оперативный ввод'!A204="","",'Оперативный ввод'!A204)</f>
        <v/>
      </c>
      <c r="B204" s="172">
        <f>IF('Оперативный ввод'!B204="","",'Оперативный ввод'!B204)</f>
        <v/>
      </c>
      <c r="C204" s="270">
        <f>IF('Оперативный ввод'!C204="","",'Оперативный ввод'!C204)</f>
        <v/>
      </c>
      <c r="D204" s="270">
        <f>IF('Оперативный ввод'!D204="","",'Оперативный ввод'!D204)</f>
        <v/>
      </c>
      <c r="E204" s="271">
        <f>IF(OR(C204="",D204=""),"",D204-C204)</f>
        <v/>
      </c>
      <c r="F204" s="172">
        <f>IF('Оперативный ввод'!F204="","",'Оперативный ввод'!F204)</f>
        <v/>
      </c>
      <c r="G204" s="172">
        <f>IF('Оперативный ввод'!G204="","",'Оперативный ввод'!G204)</f>
        <v/>
      </c>
      <c r="H204" s="172">
        <f>IF('Оперативный ввод'!H204="","",'Оперативный ввод'!H204)</f>
        <v/>
      </c>
      <c r="I204" s="172">
        <f>IF('Оперативный ввод'!I204="","",'Оперативный ввод'!I204)</f>
        <v/>
      </c>
      <c r="J204" s="172">
        <f>IF('Оперативный ввод'!J204="","",'Оперативный ввод'!J204)</f>
        <v/>
      </c>
      <c r="K204" s="172">
        <f>IF('Оперативный ввод'!K204="","",'Оперативный ввод'!K204)</f>
        <v/>
      </c>
      <c r="L204" s="172">
        <f>IF('Оперативный ввод'!L204="","",'Оперативный ввод'!L204)</f>
        <v/>
      </c>
      <c r="M204" s="172">
        <f>IF('Оперативный ввод'!M204="","",'Оперативный ввод'!M204)</f>
        <v/>
      </c>
      <c r="N204" s="172">
        <f>IF('Оперативный ввод'!N204="","",'Оперативный ввод'!N204)</f>
        <v/>
      </c>
      <c r="O204" s="172">
        <f>IF('Оперативный ввод'!O204="","",'Оперативный ввод'!O204)</f>
        <v/>
      </c>
      <c r="P204" s="205">
        <f>IF(AND(A204="",B204=""),"",IF(AND(A204&lt;&gt;"",B204&lt;&gt;"",C204&lt;&gt;"",D204&lt;&gt;"",F204&lt;&gt;"",G204&lt;&gt;"",H204&lt;&gt;"",ISERROR(SEARCH("по паспорту",G204)),ISERROR(SEARCH("по паспорту",H204)),I204&lt;&gt;"",J204&lt;&gt;"",K204&lt;&gt;"",L204&lt;&gt;"",M204&lt;&gt;""),"ГОТОВО","НЕ ГОТОВО"))</f>
        <v/>
      </c>
      <c r="Q204" s="205">
        <f>IF(P204&lt;&gt;"ГОТОВО","", "Предварительное заключение: "&amp;A204&amp;", скв. "&amp;B204&amp;". МРП: "&amp;E204&amp;" сут. ГНО: "&amp;F204&amp;", типоразмер "&amp;G204&amp;", марка "&amp;H204&amp;". Событие: "&amp;I204&amp;". Признак: "&amp;J204&amp;". Узел: "&amp;K204&amp;". Предварительная причина: "&amp;L204&amp;". Основное осложнение: "&amp;M204&amp;IF(N204&lt;&gt;"","; сопутствующее: "&amp;N204,"")&amp;IF(O204&lt;&gt;"","; дополнительно: "&amp;O204,"")&amp;".")</f>
        <v/>
      </c>
      <c r="R204" s="172">
        <f>IF('Оперативный ввод'!P204="","",'Оперативный ввод'!P204)</f>
        <v/>
      </c>
      <c r="S204" s="172">
        <f>IF('Оперативный ввод'!Q204="","",'Оперативный ввод'!Q204)</f>
        <v/>
      </c>
      <c r="T204" s="172">
        <f>IF('Оперативный ввод'!R204="","",'Оперативный ввод'!R204)</f>
        <v/>
      </c>
      <c r="U204" s="172">
        <f>IF('Оперативный ввод'!S204="","",'Оперативный ввод'!S204)</f>
        <v/>
      </c>
      <c r="V204" s="172">
        <f>IF('Оперативный ввод'!T204="","",'Оперативный ввод'!T204)</f>
        <v/>
      </c>
      <c r="W204" s="172" t="n"/>
      <c r="X204" s="172" t="n"/>
      <c r="Y204" s="172" t="n"/>
      <c r="Z204" s="172" t="n"/>
      <c r="AA204" s="172">
        <f>IF('Оперативный ввод'!U204="","",'Оперативный ввод'!U204)</f>
        <v/>
      </c>
      <c r="AB204" s="172">
        <f>IF('Оперативный ввод'!V204="","",'Оперативный ввод'!V204)</f>
        <v/>
      </c>
      <c r="AC204" s="172">
        <f>IF('Оперативный ввод'!W204="","",'Оперативный ввод'!W204)</f>
        <v/>
      </c>
      <c r="BB204" s="172" t="n"/>
      <c r="BC204" s="172" t="n"/>
      <c r="BD204" s="205">
        <f>IF(AND(A204="",B204=""),"",IF(AND(P204="ГОТОВО",R204&lt;&gt;"",T204&lt;&gt;"",U204&lt;&gt;"",AA204&lt;&gt;"",AB204&lt;&gt;"",AC204&lt;&gt;"",BB204&lt;&gt;"",BC204&lt;&gt;""),"ГОТОВО","НЕ ГОТОВО"))</f>
        <v/>
      </c>
      <c r="BE204" s="205">
        <f>IF(BD204&lt;&gt;"ГОТОВО","","Полное заключение: "&amp;A204&amp;", скв. "&amp;B204&amp;". МРП: "&amp;E204&amp;" сут. ГНО: "&amp;F204&amp;"; причина: "&amp;U204&amp;"; категория: "&amp;V204&amp;"; решение комиссии: "&amp;BB204&amp;".")</f>
        <v/>
      </c>
      <c r="BF204" s="173">
        <f>IF('Оперативный ввод'!X204="","",'Оперативный ввод'!X204)</f>
        <v/>
      </c>
    </row>
    <row r="205">
      <c r="A205" s="171">
        <f>IF('Оперативный ввод'!A205="","",'Оперативный ввод'!A205)</f>
        <v/>
      </c>
      <c r="B205" s="172">
        <f>IF('Оперативный ввод'!B205="","",'Оперативный ввод'!B205)</f>
        <v/>
      </c>
      <c r="C205" s="270">
        <f>IF('Оперативный ввод'!C205="","",'Оперативный ввод'!C205)</f>
        <v/>
      </c>
      <c r="D205" s="270">
        <f>IF('Оперативный ввод'!D205="","",'Оперативный ввод'!D205)</f>
        <v/>
      </c>
      <c r="E205" s="271">
        <f>IF(OR(C205="",D205=""),"",D205-C205)</f>
        <v/>
      </c>
      <c r="F205" s="172">
        <f>IF('Оперативный ввод'!F205="","",'Оперативный ввод'!F205)</f>
        <v/>
      </c>
      <c r="G205" s="172">
        <f>IF('Оперативный ввод'!G205="","",'Оперативный ввод'!G205)</f>
        <v/>
      </c>
      <c r="H205" s="172">
        <f>IF('Оперативный ввод'!H205="","",'Оперативный ввод'!H205)</f>
        <v/>
      </c>
      <c r="I205" s="172">
        <f>IF('Оперативный ввод'!I205="","",'Оперативный ввод'!I205)</f>
        <v/>
      </c>
      <c r="J205" s="172">
        <f>IF('Оперативный ввод'!J205="","",'Оперативный ввод'!J205)</f>
        <v/>
      </c>
      <c r="K205" s="172">
        <f>IF('Оперативный ввод'!K205="","",'Оперативный ввод'!K205)</f>
        <v/>
      </c>
      <c r="L205" s="172">
        <f>IF('Оперативный ввод'!L205="","",'Оперативный ввод'!L205)</f>
        <v/>
      </c>
      <c r="M205" s="172">
        <f>IF('Оперативный ввод'!M205="","",'Оперативный ввод'!M205)</f>
        <v/>
      </c>
      <c r="N205" s="172">
        <f>IF('Оперативный ввод'!N205="","",'Оперативный ввод'!N205)</f>
        <v/>
      </c>
      <c r="O205" s="172">
        <f>IF('Оперативный ввод'!O205="","",'Оперативный ввод'!O205)</f>
        <v/>
      </c>
      <c r="P205" s="205">
        <f>IF(AND(A205="",B205=""),"",IF(AND(A205&lt;&gt;"",B205&lt;&gt;"",C205&lt;&gt;"",D205&lt;&gt;"",F205&lt;&gt;"",G205&lt;&gt;"",H205&lt;&gt;"",ISERROR(SEARCH("по паспорту",G205)),ISERROR(SEARCH("по паспорту",H205)),I205&lt;&gt;"",J205&lt;&gt;"",K205&lt;&gt;"",L205&lt;&gt;"",M205&lt;&gt;""),"ГОТОВО","НЕ ГОТОВО"))</f>
        <v/>
      </c>
      <c r="Q205" s="205">
        <f>IF(P205&lt;&gt;"ГОТОВО","", "Предварительное заключение: "&amp;A205&amp;", скв. "&amp;B205&amp;". МРП: "&amp;E205&amp;" сут. ГНО: "&amp;F205&amp;", типоразмер "&amp;G205&amp;", марка "&amp;H205&amp;". Событие: "&amp;I205&amp;". Признак: "&amp;J205&amp;". Узел: "&amp;K205&amp;". Предварительная причина: "&amp;L205&amp;". Основное осложнение: "&amp;M205&amp;IF(N205&lt;&gt;"","; сопутствующее: "&amp;N205,"")&amp;IF(O205&lt;&gt;"","; дополнительно: "&amp;O205,"")&amp;".")</f>
        <v/>
      </c>
      <c r="R205" s="172">
        <f>IF('Оперативный ввод'!P205="","",'Оперативный ввод'!P205)</f>
        <v/>
      </c>
      <c r="S205" s="172">
        <f>IF('Оперативный ввод'!Q205="","",'Оперативный ввод'!Q205)</f>
        <v/>
      </c>
      <c r="T205" s="172">
        <f>IF('Оперативный ввод'!R205="","",'Оперативный ввод'!R205)</f>
        <v/>
      </c>
      <c r="U205" s="172">
        <f>IF('Оперативный ввод'!S205="","",'Оперативный ввод'!S205)</f>
        <v/>
      </c>
      <c r="V205" s="172">
        <f>IF('Оперативный ввод'!T205="","",'Оперативный ввод'!T205)</f>
        <v/>
      </c>
      <c r="W205" s="172" t="n"/>
      <c r="X205" s="172" t="n"/>
      <c r="Y205" s="172" t="n"/>
      <c r="Z205" s="172" t="n"/>
      <c r="AA205" s="172">
        <f>IF('Оперативный ввод'!U205="","",'Оперативный ввод'!U205)</f>
        <v/>
      </c>
      <c r="AB205" s="172">
        <f>IF('Оперативный ввод'!V205="","",'Оперативный ввод'!V205)</f>
        <v/>
      </c>
      <c r="AC205" s="172">
        <f>IF('Оперативный ввод'!W205="","",'Оперативный ввод'!W205)</f>
        <v/>
      </c>
      <c r="BB205" s="172" t="n"/>
      <c r="BC205" s="172" t="n"/>
      <c r="BD205" s="205">
        <f>IF(AND(A205="",B205=""),"",IF(AND(P205="ГОТОВО",R205&lt;&gt;"",T205&lt;&gt;"",U205&lt;&gt;"",AA205&lt;&gt;"",AB205&lt;&gt;"",AC205&lt;&gt;"",BB205&lt;&gt;"",BC205&lt;&gt;""),"ГОТОВО","НЕ ГОТОВО"))</f>
        <v/>
      </c>
      <c r="BE205" s="205">
        <f>IF(BD205&lt;&gt;"ГОТОВО","","Полное заключение: "&amp;A205&amp;", скв. "&amp;B205&amp;". МРП: "&amp;E205&amp;" сут. ГНО: "&amp;F205&amp;"; причина: "&amp;U205&amp;"; категория: "&amp;V205&amp;"; решение комиссии: "&amp;BB205&amp;".")</f>
        <v/>
      </c>
      <c r="BF205" s="173">
        <f>IF('Оперативный ввод'!X205="","",'Оперативный ввод'!X205)</f>
        <v/>
      </c>
    </row>
    <row r="206">
      <c r="A206" s="171">
        <f>IF('Оперативный ввод'!A206="","",'Оперативный ввод'!A206)</f>
        <v/>
      </c>
      <c r="B206" s="172">
        <f>IF('Оперативный ввод'!B206="","",'Оперативный ввод'!B206)</f>
        <v/>
      </c>
      <c r="C206" s="270">
        <f>IF('Оперативный ввод'!C206="","",'Оперативный ввод'!C206)</f>
        <v/>
      </c>
      <c r="D206" s="270">
        <f>IF('Оперативный ввод'!D206="","",'Оперативный ввод'!D206)</f>
        <v/>
      </c>
      <c r="E206" s="271">
        <f>IF(OR(C206="",D206=""),"",D206-C206)</f>
        <v/>
      </c>
      <c r="F206" s="172">
        <f>IF('Оперативный ввод'!F206="","",'Оперативный ввод'!F206)</f>
        <v/>
      </c>
      <c r="G206" s="172">
        <f>IF('Оперативный ввод'!G206="","",'Оперативный ввод'!G206)</f>
        <v/>
      </c>
      <c r="H206" s="172">
        <f>IF('Оперативный ввод'!H206="","",'Оперативный ввод'!H206)</f>
        <v/>
      </c>
      <c r="I206" s="172">
        <f>IF('Оперативный ввод'!I206="","",'Оперативный ввод'!I206)</f>
        <v/>
      </c>
      <c r="J206" s="172">
        <f>IF('Оперативный ввод'!J206="","",'Оперативный ввод'!J206)</f>
        <v/>
      </c>
      <c r="K206" s="172">
        <f>IF('Оперативный ввод'!K206="","",'Оперативный ввод'!K206)</f>
        <v/>
      </c>
      <c r="L206" s="172">
        <f>IF('Оперативный ввод'!L206="","",'Оперативный ввод'!L206)</f>
        <v/>
      </c>
      <c r="M206" s="172">
        <f>IF('Оперативный ввод'!M206="","",'Оперативный ввод'!M206)</f>
        <v/>
      </c>
      <c r="N206" s="172">
        <f>IF('Оперативный ввод'!N206="","",'Оперативный ввод'!N206)</f>
        <v/>
      </c>
      <c r="O206" s="172">
        <f>IF('Оперативный ввод'!O206="","",'Оперативный ввод'!O206)</f>
        <v/>
      </c>
      <c r="P206" s="205">
        <f>IF(AND(A206="",B206=""),"",IF(AND(A206&lt;&gt;"",B206&lt;&gt;"",C206&lt;&gt;"",D206&lt;&gt;"",F206&lt;&gt;"",G206&lt;&gt;"",H206&lt;&gt;"",ISERROR(SEARCH("по паспорту",G206)),ISERROR(SEARCH("по паспорту",H206)),I206&lt;&gt;"",J206&lt;&gt;"",K206&lt;&gt;"",L206&lt;&gt;"",M206&lt;&gt;""),"ГОТОВО","НЕ ГОТОВО"))</f>
        <v/>
      </c>
      <c r="Q206" s="205">
        <f>IF(P206&lt;&gt;"ГОТОВО","", "Предварительное заключение: "&amp;A206&amp;", скв. "&amp;B206&amp;". МРП: "&amp;E206&amp;" сут. ГНО: "&amp;F206&amp;", типоразмер "&amp;G206&amp;", марка "&amp;H206&amp;". Событие: "&amp;I206&amp;". Признак: "&amp;J206&amp;". Узел: "&amp;K206&amp;". Предварительная причина: "&amp;L206&amp;". Основное осложнение: "&amp;M206&amp;IF(N206&lt;&gt;"","; сопутствующее: "&amp;N206,"")&amp;IF(O206&lt;&gt;"","; дополнительно: "&amp;O206,"")&amp;".")</f>
        <v/>
      </c>
      <c r="R206" s="172">
        <f>IF('Оперативный ввод'!P206="","",'Оперативный ввод'!P206)</f>
        <v/>
      </c>
      <c r="S206" s="172">
        <f>IF('Оперативный ввод'!Q206="","",'Оперативный ввод'!Q206)</f>
        <v/>
      </c>
      <c r="T206" s="172">
        <f>IF('Оперативный ввод'!R206="","",'Оперативный ввод'!R206)</f>
        <v/>
      </c>
      <c r="U206" s="172">
        <f>IF('Оперативный ввод'!S206="","",'Оперативный ввод'!S206)</f>
        <v/>
      </c>
      <c r="V206" s="172">
        <f>IF('Оперативный ввод'!T206="","",'Оперативный ввод'!T206)</f>
        <v/>
      </c>
      <c r="W206" s="172" t="n"/>
      <c r="X206" s="172" t="n"/>
      <c r="Y206" s="172" t="n"/>
      <c r="Z206" s="172" t="n"/>
      <c r="AA206" s="172">
        <f>IF('Оперативный ввод'!U206="","",'Оперативный ввод'!U206)</f>
        <v/>
      </c>
      <c r="AB206" s="172">
        <f>IF('Оперативный ввод'!V206="","",'Оперативный ввод'!V206)</f>
        <v/>
      </c>
      <c r="AC206" s="172">
        <f>IF('Оперативный ввод'!W206="","",'Оперативный ввод'!W206)</f>
        <v/>
      </c>
      <c r="BB206" s="172" t="n"/>
      <c r="BC206" s="172" t="n"/>
      <c r="BD206" s="205">
        <f>IF(AND(A206="",B206=""),"",IF(AND(P206="ГОТОВО",R206&lt;&gt;"",T206&lt;&gt;"",U206&lt;&gt;"",AA206&lt;&gt;"",AB206&lt;&gt;"",AC206&lt;&gt;"",BB206&lt;&gt;"",BC206&lt;&gt;""),"ГОТОВО","НЕ ГОТОВО"))</f>
        <v/>
      </c>
      <c r="BE206" s="205">
        <f>IF(BD206&lt;&gt;"ГОТОВО","","Полное заключение: "&amp;A206&amp;", скв. "&amp;B206&amp;". МРП: "&amp;E206&amp;" сут. ГНО: "&amp;F206&amp;"; причина: "&amp;U206&amp;"; категория: "&amp;V206&amp;"; решение комиссии: "&amp;BB206&amp;".")</f>
        <v/>
      </c>
      <c r="BF206" s="173">
        <f>IF('Оперативный ввод'!X206="","",'Оперативный ввод'!X206)</f>
        <v/>
      </c>
    </row>
    <row r="207">
      <c r="A207" s="171">
        <f>IF('Оперативный ввод'!A207="","",'Оперативный ввод'!A207)</f>
        <v/>
      </c>
      <c r="B207" s="172">
        <f>IF('Оперативный ввод'!B207="","",'Оперативный ввод'!B207)</f>
        <v/>
      </c>
      <c r="C207" s="270">
        <f>IF('Оперативный ввод'!C207="","",'Оперативный ввод'!C207)</f>
        <v/>
      </c>
      <c r="D207" s="270">
        <f>IF('Оперативный ввод'!D207="","",'Оперативный ввод'!D207)</f>
        <v/>
      </c>
      <c r="E207" s="271">
        <f>IF(OR(C207="",D207=""),"",D207-C207)</f>
        <v/>
      </c>
      <c r="F207" s="172">
        <f>IF('Оперативный ввод'!F207="","",'Оперативный ввод'!F207)</f>
        <v/>
      </c>
      <c r="G207" s="172">
        <f>IF('Оперативный ввод'!G207="","",'Оперативный ввод'!G207)</f>
        <v/>
      </c>
      <c r="H207" s="172">
        <f>IF('Оперативный ввод'!H207="","",'Оперативный ввод'!H207)</f>
        <v/>
      </c>
      <c r="I207" s="172">
        <f>IF('Оперативный ввод'!I207="","",'Оперативный ввод'!I207)</f>
        <v/>
      </c>
      <c r="J207" s="172">
        <f>IF('Оперативный ввод'!J207="","",'Оперативный ввод'!J207)</f>
        <v/>
      </c>
      <c r="K207" s="172">
        <f>IF('Оперативный ввод'!K207="","",'Оперативный ввод'!K207)</f>
        <v/>
      </c>
      <c r="L207" s="172">
        <f>IF('Оперативный ввод'!L207="","",'Оперативный ввод'!L207)</f>
        <v/>
      </c>
      <c r="M207" s="172">
        <f>IF('Оперативный ввод'!M207="","",'Оперативный ввод'!M207)</f>
        <v/>
      </c>
      <c r="N207" s="172">
        <f>IF('Оперативный ввод'!N207="","",'Оперативный ввод'!N207)</f>
        <v/>
      </c>
      <c r="O207" s="172">
        <f>IF('Оперативный ввод'!O207="","",'Оперативный ввод'!O207)</f>
        <v/>
      </c>
      <c r="P207" s="205">
        <f>IF(AND(A207="",B207=""),"",IF(AND(A207&lt;&gt;"",B207&lt;&gt;"",C207&lt;&gt;"",D207&lt;&gt;"",F207&lt;&gt;"",G207&lt;&gt;"",H207&lt;&gt;"",ISERROR(SEARCH("по паспорту",G207)),ISERROR(SEARCH("по паспорту",H207)),I207&lt;&gt;"",J207&lt;&gt;"",K207&lt;&gt;"",L207&lt;&gt;"",M207&lt;&gt;""),"ГОТОВО","НЕ ГОТОВО"))</f>
        <v/>
      </c>
      <c r="Q207" s="205">
        <f>IF(P207&lt;&gt;"ГОТОВО","", "Предварительное заключение: "&amp;A207&amp;", скв. "&amp;B207&amp;". МРП: "&amp;E207&amp;" сут. ГНО: "&amp;F207&amp;", типоразмер "&amp;G207&amp;", марка "&amp;H207&amp;". Событие: "&amp;I207&amp;". Признак: "&amp;J207&amp;". Узел: "&amp;K207&amp;". Предварительная причина: "&amp;L207&amp;". Основное осложнение: "&amp;M207&amp;IF(N207&lt;&gt;"","; сопутствующее: "&amp;N207,"")&amp;IF(O207&lt;&gt;"","; дополнительно: "&amp;O207,"")&amp;".")</f>
        <v/>
      </c>
      <c r="R207" s="172">
        <f>IF('Оперативный ввод'!P207="","",'Оперативный ввод'!P207)</f>
        <v/>
      </c>
      <c r="S207" s="172">
        <f>IF('Оперативный ввод'!Q207="","",'Оперативный ввод'!Q207)</f>
        <v/>
      </c>
      <c r="T207" s="172">
        <f>IF('Оперативный ввод'!R207="","",'Оперативный ввод'!R207)</f>
        <v/>
      </c>
      <c r="U207" s="172">
        <f>IF('Оперативный ввод'!S207="","",'Оперативный ввод'!S207)</f>
        <v/>
      </c>
      <c r="V207" s="172">
        <f>IF('Оперативный ввод'!T207="","",'Оперативный ввод'!T207)</f>
        <v/>
      </c>
      <c r="W207" s="172" t="n"/>
      <c r="X207" s="172" t="n"/>
      <c r="Y207" s="172" t="n"/>
      <c r="Z207" s="172" t="n"/>
      <c r="AA207" s="172">
        <f>IF('Оперативный ввод'!U207="","",'Оперативный ввод'!U207)</f>
        <v/>
      </c>
      <c r="AB207" s="172">
        <f>IF('Оперативный ввод'!V207="","",'Оперативный ввод'!V207)</f>
        <v/>
      </c>
      <c r="AC207" s="172">
        <f>IF('Оперативный ввод'!W207="","",'Оперативный ввод'!W207)</f>
        <v/>
      </c>
      <c r="BB207" s="172" t="n"/>
      <c r="BC207" s="172" t="n"/>
      <c r="BD207" s="205">
        <f>IF(AND(A207="",B207=""),"",IF(AND(P207="ГОТОВО",R207&lt;&gt;"",T207&lt;&gt;"",U207&lt;&gt;"",AA207&lt;&gt;"",AB207&lt;&gt;"",AC207&lt;&gt;"",BB207&lt;&gt;"",BC207&lt;&gt;""),"ГОТОВО","НЕ ГОТОВО"))</f>
        <v/>
      </c>
      <c r="BE207" s="205">
        <f>IF(BD207&lt;&gt;"ГОТОВО","","Полное заключение: "&amp;A207&amp;", скв. "&amp;B207&amp;". МРП: "&amp;E207&amp;" сут. ГНО: "&amp;F207&amp;"; причина: "&amp;U207&amp;"; категория: "&amp;V207&amp;"; решение комиссии: "&amp;BB207&amp;".")</f>
        <v/>
      </c>
      <c r="BF207" s="173">
        <f>IF('Оперативный ввод'!X207="","",'Оперативный ввод'!X207)</f>
        <v/>
      </c>
    </row>
    <row r="208">
      <c r="A208" s="171">
        <f>IF('Оперативный ввод'!A208="","",'Оперативный ввод'!A208)</f>
        <v/>
      </c>
      <c r="B208" s="172">
        <f>IF('Оперативный ввод'!B208="","",'Оперативный ввод'!B208)</f>
        <v/>
      </c>
      <c r="C208" s="270">
        <f>IF('Оперативный ввод'!C208="","",'Оперативный ввод'!C208)</f>
        <v/>
      </c>
      <c r="D208" s="270">
        <f>IF('Оперативный ввод'!D208="","",'Оперативный ввод'!D208)</f>
        <v/>
      </c>
      <c r="E208" s="271">
        <f>IF(OR(C208="",D208=""),"",D208-C208)</f>
        <v/>
      </c>
      <c r="F208" s="172">
        <f>IF('Оперативный ввод'!F208="","",'Оперативный ввод'!F208)</f>
        <v/>
      </c>
      <c r="G208" s="172">
        <f>IF('Оперативный ввод'!G208="","",'Оперативный ввод'!G208)</f>
        <v/>
      </c>
      <c r="H208" s="172">
        <f>IF('Оперативный ввод'!H208="","",'Оперативный ввод'!H208)</f>
        <v/>
      </c>
      <c r="I208" s="172">
        <f>IF('Оперативный ввод'!I208="","",'Оперативный ввод'!I208)</f>
        <v/>
      </c>
      <c r="J208" s="172">
        <f>IF('Оперативный ввод'!J208="","",'Оперативный ввод'!J208)</f>
        <v/>
      </c>
      <c r="K208" s="172">
        <f>IF('Оперативный ввод'!K208="","",'Оперативный ввод'!K208)</f>
        <v/>
      </c>
      <c r="L208" s="172">
        <f>IF('Оперативный ввод'!L208="","",'Оперативный ввод'!L208)</f>
        <v/>
      </c>
      <c r="M208" s="172">
        <f>IF('Оперативный ввод'!M208="","",'Оперативный ввод'!M208)</f>
        <v/>
      </c>
      <c r="N208" s="172">
        <f>IF('Оперативный ввод'!N208="","",'Оперативный ввод'!N208)</f>
        <v/>
      </c>
      <c r="O208" s="172">
        <f>IF('Оперативный ввод'!O208="","",'Оперативный ввод'!O208)</f>
        <v/>
      </c>
      <c r="P208" s="205">
        <f>IF(AND(A208="",B208=""),"",IF(AND(A208&lt;&gt;"",B208&lt;&gt;"",C208&lt;&gt;"",D208&lt;&gt;"",F208&lt;&gt;"",G208&lt;&gt;"",H208&lt;&gt;"",ISERROR(SEARCH("по паспорту",G208)),ISERROR(SEARCH("по паспорту",H208)),I208&lt;&gt;"",J208&lt;&gt;"",K208&lt;&gt;"",L208&lt;&gt;"",M208&lt;&gt;""),"ГОТОВО","НЕ ГОТОВО"))</f>
        <v/>
      </c>
      <c r="Q208" s="205">
        <f>IF(P208&lt;&gt;"ГОТОВО","", "Предварительное заключение: "&amp;A208&amp;", скв. "&amp;B208&amp;". МРП: "&amp;E208&amp;" сут. ГНО: "&amp;F208&amp;", типоразмер "&amp;G208&amp;", марка "&amp;H208&amp;". Событие: "&amp;I208&amp;". Признак: "&amp;J208&amp;". Узел: "&amp;K208&amp;". Предварительная причина: "&amp;L208&amp;". Основное осложнение: "&amp;M208&amp;IF(N208&lt;&gt;"","; сопутствующее: "&amp;N208,"")&amp;IF(O208&lt;&gt;"","; дополнительно: "&amp;O208,"")&amp;".")</f>
        <v/>
      </c>
      <c r="R208" s="172">
        <f>IF('Оперативный ввод'!P208="","",'Оперативный ввод'!P208)</f>
        <v/>
      </c>
      <c r="S208" s="172">
        <f>IF('Оперативный ввод'!Q208="","",'Оперативный ввод'!Q208)</f>
        <v/>
      </c>
      <c r="T208" s="172">
        <f>IF('Оперативный ввод'!R208="","",'Оперативный ввод'!R208)</f>
        <v/>
      </c>
      <c r="U208" s="172">
        <f>IF('Оперативный ввод'!S208="","",'Оперативный ввод'!S208)</f>
        <v/>
      </c>
      <c r="V208" s="172">
        <f>IF('Оперативный ввод'!T208="","",'Оперативный ввод'!T208)</f>
        <v/>
      </c>
      <c r="W208" s="172" t="n"/>
      <c r="X208" s="172" t="n"/>
      <c r="Y208" s="172" t="n"/>
      <c r="Z208" s="172" t="n"/>
      <c r="AA208" s="172">
        <f>IF('Оперативный ввод'!U208="","",'Оперативный ввод'!U208)</f>
        <v/>
      </c>
      <c r="AB208" s="172">
        <f>IF('Оперативный ввод'!V208="","",'Оперативный ввод'!V208)</f>
        <v/>
      </c>
      <c r="AC208" s="172">
        <f>IF('Оперативный ввод'!W208="","",'Оперативный ввод'!W208)</f>
        <v/>
      </c>
      <c r="BB208" s="172" t="n"/>
      <c r="BC208" s="172" t="n"/>
      <c r="BD208" s="205">
        <f>IF(AND(A208="",B208=""),"",IF(AND(P208="ГОТОВО",R208&lt;&gt;"",T208&lt;&gt;"",U208&lt;&gt;"",AA208&lt;&gt;"",AB208&lt;&gt;"",AC208&lt;&gt;"",BB208&lt;&gt;"",BC208&lt;&gt;""),"ГОТОВО","НЕ ГОТОВО"))</f>
        <v/>
      </c>
      <c r="BE208" s="205">
        <f>IF(BD208&lt;&gt;"ГОТОВО","","Полное заключение: "&amp;A208&amp;", скв. "&amp;B208&amp;". МРП: "&amp;E208&amp;" сут. ГНО: "&amp;F208&amp;"; причина: "&amp;U208&amp;"; категория: "&amp;V208&amp;"; решение комиссии: "&amp;BB208&amp;".")</f>
        <v/>
      </c>
      <c r="BF208" s="173">
        <f>IF('Оперативный ввод'!X208="","",'Оперативный ввод'!X208)</f>
        <v/>
      </c>
    </row>
    <row r="209">
      <c r="A209" s="171">
        <f>IF('Оперативный ввод'!A209="","",'Оперативный ввод'!A209)</f>
        <v/>
      </c>
      <c r="B209" s="172">
        <f>IF('Оперативный ввод'!B209="","",'Оперативный ввод'!B209)</f>
        <v/>
      </c>
      <c r="C209" s="270">
        <f>IF('Оперативный ввод'!C209="","",'Оперативный ввод'!C209)</f>
        <v/>
      </c>
      <c r="D209" s="270">
        <f>IF('Оперативный ввод'!D209="","",'Оперативный ввод'!D209)</f>
        <v/>
      </c>
      <c r="E209" s="271">
        <f>IF(OR(C209="",D209=""),"",D209-C209)</f>
        <v/>
      </c>
      <c r="F209" s="172">
        <f>IF('Оперативный ввод'!F209="","",'Оперативный ввод'!F209)</f>
        <v/>
      </c>
      <c r="G209" s="172">
        <f>IF('Оперативный ввод'!G209="","",'Оперативный ввод'!G209)</f>
        <v/>
      </c>
      <c r="H209" s="172">
        <f>IF('Оперативный ввод'!H209="","",'Оперативный ввод'!H209)</f>
        <v/>
      </c>
      <c r="I209" s="172">
        <f>IF('Оперативный ввод'!I209="","",'Оперативный ввод'!I209)</f>
        <v/>
      </c>
      <c r="J209" s="172">
        <f>IF('Оперативный ввод'!J209="","",'Оперативный ввод'!J209)</f>
        <v/>
      </c>
      <c r="K209" s="172">
        <f>IF('Оперативный ввод'!K209="","",'Оперативный ввод'!K209)</f>
        <v/>
      </c>
      <c r="L209" s="172">
        <f>IF('Оперативный ввод'!L209="","",'Оперативный ввод'!L209)</f>
        <v/>
      </c>
      <c r="M209" s="172">
        <f>IF('Оперативный ввод'!M209="","",'Оперативный ввод'!M209)</f>
        <v/>
      </c>
      <c r="N209" s="172">
        <f>IF('Оперативный ввод'!N209="","",'Оперативный ввод'!N209)</f>
        <v/>
      </c>
      <c r="O209" s="172">
        <f>IF('Оперативный ввод'!O209="","",'Оперативный ввод'!O209)</f>
        <v/>
      </c>
      <c r="P209" s="205">
        <f>IF(AND(A209="",B209=""),"",IF(AND(A209&lt;&gt;"",B209&lt;&gt;"",C209&lt;&gt;"",D209&lt;&gt;"",F209&lt;&gt;"",G209&lt;&gt;"",H209&lt;&gt;"",ISERROR(SEARCH("по паспорту",G209)),ISERROR(SEARCH("по паспорту",H209)),I209&lt;&gt;"",J209&lt;&gt;"",K209&lt;&gt;"",L209&lt;&gt;"",M209&lt;&gt;""),"ГОТОВО","НЕ ГОТОВО"))</f>
        <v/>
      </c>
      <c r="Q209" s="205">
        <f>IF(P209&lt;&gt;"ГОТОВО","", "Предварительное заключение: "&amp;A209&amp;", скв. "&amp;B209&amp;". МРП: "&amp;E209&amp;" сут. ГНО: "&amp;F209&amp;", типоразмер "&amp;G209&amp;", марка "&amp;H209&amp;". Событие: "&amp;I209&amp;". Признак: "&amp;J209&amp;". Узел: "&amp;K209&amp;". Предварительная причина: "&amp;L209&amp;". Основное осложнение: "&amp;M209&amp;IF(N209&lt;&gt;"","; сопутствующее: "&amp;N209,"")&amp;IF(O209&lt;&gt;"","; дополнительно: "&amp;O209,"")&amp;".")</f>
        <v/>
      </c>
      <c r="R209" s="172">
        <f>IF('Оперативный ввод'!P209="","",'Оперативный ввод'!P209)</f>
        <v/>
      </c>
      <c r="S209" s="172">
        <f>IF('Оперативный ввод'!Q209="","",'Оперативный ввод'!Q209)</f>
        <v/>
      </c>
      <c r="T209" s="172">
        <f>IF('Оперативный ввод'!R209="","",'Оперативный ввод'!R209)</f>
        <v/>
      </c>
      <c r="U209" s="172">
        <f>IF('Оперативный ввод'!S209="","",'Оперативный ввод'!S209)</f>
        <v/>
      </c>
      <c r="V209" s="172">
        <f>IF('Оперативный ввод'!T209="","",'Оперативный ввод'!T209)</f>
        <v/>
      </c>
      <c r="W209" s="172" t="n"/>
      <c r="X209" s="172" t="n"/>
      <c r="Y209" s="172" t="n"/>
      <c r="Z209" s="172" t="n"/>
      <c r="AA209" s="172">
        <f>IF('Оперативный ввод'!U209="","",'Оперативный ввод'!U209)</f>
        <v/>
      </c>
      <c r="AB209" s="172">
        <f>IF('Оперативный ввод'!V209="","",'Оперативный ввод'!V209)</f>
        <v/>
      </c>
      <c r="AC209" s="172">
        <f>IF('Оперативный ввод'!W209="","",'Оперативный ввод'!W209)</f>
        <v/>
      </c>
      <c r="BB209" s="172" t="n"/>
      <c r="BC209" s="172" t="n"/>
      <c r="BD209" s="205">
        <f>IF(AND(A209="",B209=""),"",IF(AND(P209="ГОТОВО",R209&lt;&gt;"",T209&lt;&gt;"",U209&lt;&gt;"",AA209&lt;&gt;"",AB209&lt;&gt;"",AC209&lt;&gt;"",BB209&lt;&gt;"",BC209&lt;&gt;""),"ГОТОВО","НЕ ГОТОВО"))</f>
        <v/>
      </c>
      <c r="BE209" s="205">
        <f>IF(BD209&lt;&gt;"ГОТОВО","","Полное заключение: "&amp;A209&amp;", скв. "&amp;B209&amp;". МРП: "&amp;E209&amp;" сут. ГНО: "&amp;F209&amp;"; причина: "&amp;U209&amp;"; категория: "&amp;V209&amp;"; решение комиссии: "&amp;BB209&amp;".")</f>
        <v/>
      </c>
      <c r="BF209" s="173">
        <f>IF('Оперативный ввод'!X209="","",'Оперативный ввод'!X209)</f>
        <v/>
      </c>
    </row>
    <row r="210">
      <c r="A210" s="171">
        <f>IF('Оперативный ввод'!A210="","",'Оперативный ввод'!A210)</f>
        <v/>
      </c>
      <c r="B210" s="172">
        <f>IF('Оперативный ввод'!B210="","",'Оперативный ввод'!B210)</f>
        <v/>
      </c>
      <c r="C210" s="270">
        <f>IF('Оперативный ввод'!C210="","",'Оперативный ввод'!C210)</f>
        <v/>
      </c>
      <c r="D210" s="270">
        <f>IF('Оперативный ввод'!D210="","",'Оперативный ввод'!D210)</f>
        <v/>
      </c>
      <c r="E210" s="271">
        <f>IF(OR(C210="",D210=""),"",D210-C210)</f>
        <v/>
      </c>
      <c r="F210" s="172">
        <f>IF('Оперативный ввод'!F210="","",'Оперативный ввод'!F210)</f>
        <v/>
      </c>
      <c r="G210" s="172">
        <f>IF('Оперативный ввод'!G210="","",'Оперативный ввод'!G210)</f>
        <v/>
      </c>
      <c r="H210" s="172">
        <f>IF('Оперативный ввод'!H210="","",'Оперативный ввод'!H210)</f>
        <v/>
      </c>
      <c r="I210" s="172">
        <f>IF('Оперативный ввод'!I210="","",'Оперативный ввод'!I210)</f>
        <v/>
      </c>
      <c r="J210" s="172">
        <f>IF('Оперативный ввод'!J210="","",'Оперативный ввод'!J210)</f>
        <v/>
      </c>
      <c r="K210" s="172">
        <f>IF('Оперативный ввод'!K210="","",'Оперативный ввод'!K210)</f>
        <v/>
      </c>
      <c r="L210" s="172">
        <f>IF('Оперативный ввод'!L210="","",'Оперативный ввод'!L210)</f>
        <v/>
      </c>
      <c r="M210" s="172">
        <f>IF('Оперативный ввод'!M210="","",'Оперативный ввод'!M210)</f>
        <v/>
      </c>
      <c r="N210" s="172">
        <f>IF('Оперативный ввод'!N210="","",'Оперативный ввод'!N210)</f>
        <v/>
      </c>
      <c r="O210" s="172">
        <f>IF('Оперативный ввод'!O210="","",'Оперативный ввод'!O210)</f>
        <v/>
      </c>
      <c r="P210" s="205">
        <f>IF(AND(A210="",B210=""),"",IF(AND(A210&lt;&gt;"",B210&lt;&gt;"",C210&lt;&gt;"",D210&lt;&gt;"",F210&lt;&gt;"",G210&lt;&gt;"",H210&lt;&gt;"",ISERROR(SEARCH("по паспорту",G210)),ISERROR(SEARCH("по паспорту",H210)),I210&lt;&gt;"",J210&lt;&gt;"",K210&lt;&gt;"",L210&lt;&gt;"",M210&lt;&gt;""),"ГОТОВО","НЕ ГОТОВО"))</f>
        <v/>
      </c>
      <c r="Q210" s="205">
        <f>IF(P210&lt;&gt;"ГОТОВО","", "Предварительное заключение: "&amp;A210&amp;", скв. "&amp;B210&amp;". МРП: "&amp;E210&amp;" сут. ГНО: "&amp;F210&amp;", типоразмер "&amp;G210&amp;", марка "&amp;H210&amp;". Событие: "&amp;I210&amp;". Признак: "&amp;J210&amp;". Узел: "&amp;K210&amp;". Предварительная причина: "&amp;L210&amp;". Основное осложнение: "&amp;M210&amp;IF(N210&lt;&gt;"","; сопутствующее: "&amp;N210,"")&amp;IF(O210&lt;&gt;"","; дополнительно: "&amp;O210,"")&amp;".")</f>
        <v/>
      </c>
      <c r="R210" s="172">
        <f>IF('Оперативный ввод'!P210="","",'Оперативный ввод'!P210)</f>
        <v/>
      </c>
      <c r="S210" s="172">
        <f>IF('Оперативный ввод'!Q210="","",'Оперативный ввод'!Q210)</f>
        <v/>
      </c>
      <c r="T210" s="172">
        <f>IF('Оперативный ввод'!R210="","",'Оперативный ввод'!R210)</f>
        <v/>
      </c>
      <c r="U210" s="172">
        <f>IF('Оперативный ввод'!S210="","",'Оперативный ввод'!S210)</f>
        <v/>
      </c>
      <c r="V210" s="172">
        <f>IF('Оперативный ввод'!T210="","",'Оперативный ввод'!T210)</f>
        <v/>
      </c>
      <c r="W210" s="172" t="n"/>
      <c r="X210" s="172" t="n"/>
      <c r="Y210" s="172" t="n"/>
      <c r="Z210" s="172" t="n"/>
      <c r="AA210" s="172">
        <f>IF('Оперативный ввод'!U210="","",'Оперативный ввод'!U210)</f>
        <v/>
      </c>
      <c r="AB210" s="172">
        <f>IF('Оперативный ввод'!V210="","",'Оперативный ввод'!V210)</f>
        <v/>
      </c>
      <c r="AC210" s="172">
        <f>IF('Оперативный ввод'!W210="","",'Оперативный ввод'!W210)</f>
        <v/>
      </c>
      <c r="BB210" s="172" t="n"/>
      <c r="BC210" s="172" t="n"/>
      <c r="BD210" s="205">
        <f>IF(AND(A210="",B210=""),"",IF(AND(P210="ГОТОВО",R210&lt;&gt;"",T210&lt;&gt;"",U210&lt;&gt;"",AA210&lt;&gt;"",AB210&lt;&gt;"",AC210&lt;&gt;"",BB210&lt;&gt;"",BC210&lt;&gt;""),"ГОТОВО","НЕ ГОТОВО"))</f>
        <v/>
      </c>
      <c r="BE210" s="205">
        <f>IF(BD210&lt;&gt;"ГОТОВО","","Полное заключение: "&amp;A210&amp;", скв. "&amp;B210&amp;". МРП: "&amp;E210&amp;" сут. ГНО: "&amp;F210&amp;"; причина: "&amp;U210&amp;"; категория: "&amp;V210&amp;"; решение комиссии: "&amp;BB210&amp;".")</f>
        <v/>
      </c>
      <c r="BF210" s="173">
        <f>IF('Оперативный ввод'!X210="","",'Оперативный ввод'!X210)</f>
        <v/>
      </c>
    </row>
    <row r="211">
      <c r="A211" s="171">
        <f>IF('Оперативный ввод'!A211="","",'Оперативный ввод'!A211)</f>
        <v/>
      </c>
      <c r="B211" s="172">
        <f>IF('Оперативный ввод'!B211="","",'Оперативный ввод'!B211)</f>
        <v/>
      </c>
      <c r="C211" s="270">
        <f>IF('Оперативный ввод'!C211="","",'Оперативный ввод'!C211)</f>
        <v/>
      </c>
      <c r="D211" s="270">
        <f>IF('Оперативный ввод'!D211="","",'Оперативный ввод'!D211)</f>
        <v/>
      </c>
      <c r="E211" s="271">
        <f>IF(OR(C211="",D211=""),"",D211-C211)</f>
        <v/>
      </c>
      <c r="F211" s="172">
        <f>IF('Оперативный ввод'!F211="","",'Оперативный ввод'!F211)</f>
        <v/>
      </c>
      <c r="G211" s="172">
        <f>IF('Оперативный ввод'!G211="","",'Оперативный ввод'!G211)</f>
        <v/>
      </c>
      <c r="H211" s="172">
        <f>IF('Оперативный ввод'!H211="","",'Оперативный ввод'!H211)</f>
        <v/>
      </c>
      <c r="I211" s="172">
        <f>IF('Оперативный ввод'!I211="","",'Оперативный ввод'!I211)</f>
        <v/>
      </c>
      <c r="J211" s="172">
        <f>IF('Оперативный ввод'!J211="","",'Оперативный ввод'!J211)</f>
        <v/>
      </c>
      <c r="K211" s="172">
        <f>IF('Оперативный ввод'!K211="","",'Оперативный ввод'!K211)</f>
        <v/>
      </c>
      <c r="L211" s="172">
        <f>IF('Оперативный ввод'!L211="","",'Оперативный ввод'!L211)</f>
        <v/>
      </c>
      <c r="M211" s="172">
        <f>IF('Оперативный ввод'!M211="","",'Оперативный ввод'!M211)</f>
        <v/>
      </c>
      <c r="N211" s="172">
        <f>IF('Оперативный ввод'!N211="","",'Оперативный ввод'!N211)</f>
        <v/>
      </c>
      <c r="O211" s="172">
        <f>IF('Оперативный ввод'!O211="","",'Оперативный ввод'!O211)</f>
        <v/>
      </c>
      <c r="P211" s="205">
        <f>IF(AND(A211="",B211=""),"",IF(AND(A211&lt;&gt;"",B211&lt;&gt;"",C211&lt;&gt;"",D211&lt;&gt;"",F211&lt;&gt;"",G211&lt;&gt;"",H211&lt;&gt;"",ISERROR(SEARCH("по паспорту",G211)),ISERROR(SEARCH("по паспорту",H211)),I211&lt;&gt;"",J211&lt;&gt;"",K211&lt;&gt;"",L211&lt;&gt;"",M211&lt;&gt;""),"ГОТОВО","НЕ ГОТОВО"))</f>
        <v/>
      </c>
      <c r="Q211" s="205">
        <f>IF(P211&lt;&gt;"ГОТОВО","", "Предварительное заключение: "&amp;A211&amp;", скв. "&amp;B211&amp;". МРП: "&amp;E211&amp;" сут. ГНО: "&amp;F211&amp;", типоразмер "&amp;G211&amp;", марка "&amp;H211&amp;". Событие: "&amp;I211&amp;". Признак: "&amp;J211&amp;". Узел: "&amp;K211&amp;". Предварительная причина: "&amp;L211&amp;". Основное осложнение: "&amp;M211&amp;IF(N211&lt;&gt;"","; сопутствующее: "&amp;N211,"")&amp;IF(O211&lt;&gt;"","; дополнительно: "&amp;O211,"")&amp;".")</f>
        <v/>
      </c>
      <c r="R211" s="172">
        <f>IF('Оперативный ввод'!P211="","",'Оперативный ввод'!P211)</f>
        <v/>
      </c>
      <c r="S211" s="172">
        <f>IF('Оперативный ввод'!Q211="","",'Оперативный ввод'!Q211)</f>
        <v/>
      </c>
      <c r="T211" s="172">
        <f>IF('Оперативный ввод'!R211="","",'Оперативный ввод'!R211)</f>
        <v/>
      </c>
      <c r="U211" s="172">
        <f>IF('Оперативный ввод'!S211="","",'Оперативный ввод'!S211)</f>
        <v/>
      </c>
      <c r="V211" s="172">
        <f>IF('Оперативный ввод'!T211="","",'Оперативный ввод'!T211)</f>
        <v/>
      </c>
      <c r="W211" s="172" t="n"/>
      <c r="X211" s="172" t="n"/>
      <c r="Y211" s="172" t="n"/>
      <c r="Z211" s="172" t="n"/>
      <c r="AA211" s="172">
        <f>IF('Оперативный ввод'!U211="","",'Оперативный ввод'!U211)</f>
        <v/>
      </c>
      <c r="AB211" s="172">
        <f>IF('Оперативный ввод'!V211="","",'Оперативный ввод'!V211)</f>
        <v/>
      </c>
      <c r="AC211" s="172">
        <f>IF('Оперативный ввод'!W211="","",'Оперативный ввод'!W211)</f>
        <v/>
      </c>
      <c r="BB211" s="172" t="n"/>
      <c r="BC211" s="172" t="n"/>
      <c r="BD211" s="205">
        <f>IF(AND(A211="",B211=""),"",IF(AND(P211="ГОТОВО",R211&lt;&gt;"",T211&lt;&gt;"",U211&lt;&gt;"",AA211&lt;&gt;"",AB211&lt;&gt;"",AC211&lt;&gt;"",BB211&lt;&gt;"",BC211&lt;&gt;""),"ГОТОВО","НЕ ГОТОВО"))</f>
        <v/>
      </c>
      <c r="BE211" s="205">
        <f>IF(BD211&lt;&gt;"ГОТОВО","","Полное заключение: "&amp;A211&amp;", скв. "&amp;B211&amp;". МРП: "&amp;E211&amp;" сут. ГНО: "&amp;F211&amp;"; причина: "&amp;U211&amp;"; категория: "&amp;V211&amp;"; решение комиссии: "&amp;BB211&amp;".")</f>
        <v/>
      </c>
      <c r="BF211" s="173">
        <f>IF('Оперативный ввод'!X211="","",'Оперативный ввод'!X211)</f>
        <v/>
      </c>
    </row>
    <row r="212">
      <c r="A212" s="171">
        <f>IF('Оперативный ввод'!A212="","",'Оперативный ввод'!A212)</f>
        <v/>
      </c>
      <c r="B212" s="172">
        <f>IF('Оперативный ввод'!B212="","",'Оперативный ввод'!B212)</f>
        <v/>
      </c>
      <c r="C212" s="270">
        <f>IF('Оперативный ввод'!C212="","",'Оперативный ввод'!C212)</f>
        <v/>
      </c>
      <c r="D212" s="270">
        <f>IF('Оперативный ввод'!D212="","",'Оперативный ввод'!D212)</f>
        <v/>
      </c>
      <c r="E212" s="271">
        <f>IF(OR(C212="",D212=""),"",D212-C212)</f>
        <v/>
      </c>
      <c r="F212" s="172">
        <f>IF('Оперативный ввод'!F212="","",'Оперативный ввод'!F212)</f>
        <v/>
      </c>
      <c r="G212" s="172">
        <f>IF('Оперативный ввод'!G212="","",'Оперативный ввод'!G212)</f>
        <v/>
      </c>
      <c r="H212" s="172">
        <f>IF('Оперативный ввод'!H212="","",'Оперативный ввод'!H212)</f>
        <v/>
      </c>
      <c r="I212" s="172">
        <f>IF('Оперативный ввод'!I212="","",'Оперативный ввод'!I212)</f>
        <v/>
      </c>
      <c r="J212" s="172">
        <f>IF('Оперативный ввод'!J212="","",'Оперативный ввод'!J212)</f>
        <v/>
      </c>
      <c r="K212" s="172">
        <f>IF('Оперативный ввод'!K212="","",'Оперативный ввод'!K212)</f>
        <v/>
      </c>
      <c r="L212" s="172">
        <f>IF('Оперативный ввод'!L212="","",'Оперативный ввод'!L212)</f>
        <v/>
      </c>
      <c r="M212" s="172">
        <f>IF('Оперативный ввод'!M212="","",'Оперативный ввод'!M212)</f>
        <v/>
      </c>
      <c r="N212" s="172">
        <f>IF('Оперативный ввод'!N212="","",'Оперативный ввод'!N212)</f>
        <v/>
      </c>
      <c r="O212" s="172">
        <f>IF('Оперативный ввод'!O212="","",'Оперативный ввод'!O212)</f>
        <v/>
      </c>
      <c r="P212" s="205">
        <f>IF(AND(A212="",B212=""),"",IF(AND(A212&lt;&gt;"",B212&lt;&gt;"",C212&lt;&gt;"",D212&lt;&gt;"",F212&lt;&gt;"",G212&lt;&gt;"",H212&lt;&gt;"",ISERROR(SEARCH("по паспорту",G212)),ISERROR(SEARCH("по паспорту",H212)),I212&lt;&gt;"",J212&lt;&gt;"",K212&lt;&gt;"",L212&lt;&gt;"",M212&lt;&gt;""),"ГОТОВО","НЕ ГОТОВО"))</f>
        <v/>
      </c>
      <c r="Q212" s="205">
        <f>IF(P212&lt;&gt;"ГОТОВО","", "Предварительное заключение: "&amp;A212&amp;", скв. "&amp;B212&amp;". МРП: "&amp;E212&amp;" сут. ГНО: "&amp;F212&amp;", типоразмер "&amp;G212&amp;", марка "&amp;H212&amp;". Событие: "&amp;I212&amp;". Признак: "&amp;J212&amp;". Узел: "&amp;K212&amp;". Предварительная причина: "&amp;L212&amp;". Основное осложнение: "&amp;M212&amp;IF(N212&lt;&gt;"","; сопутствующее: "&amp;N212,"")&amp;IF(O212&lt;&gt;"","; дополнительно: "&amp;O212,"")&amp;".")</f>
        <v/>
      </c>
      <c r="R212" s="172">
        <f>IF('Оперативный ввод'!P212="","",'Оперативный ввод'!P212)</f>
        <v/>
      </c>
      <c r="S212" s="172">
        <f>IF('Оперативный ввод'!Q212="","",'Оперативный ввод'!Q212)</f>
        <v/>
      </c>
      <c r="T212" s="172">
        <f>IF('Оперативный ввод'!R212="","",'Оперативный ввод'!R212)</f>
        <v/>
      </c>
      <c r="U212" s="172">
        <f>IF('Оперативный ввод'!S212="","",'Оперативный ввод'!S212)</f>
        <v/>
      </c>
      <c r="V212" s="172">
        <f>IF('Оперативный ввод'!T212="","",'Оперативный ввод'!T212)</f>
        <v/>
      </c>
      <c r="W212" s="172" t="n"/>
      <c r="X212" s="172" t="n"/>
      <c r="Y212" s="172" t="n"/>
      <c r="Z212" s="172" t="n"/>
      <c r="AA212" s="172">
        <f>IF('Оперативный ввод'!U212="","",'Оперативный ввод'!U212)</f>
        <v/>
      </c>
      <c r="AB212" s="172">
        <f>IF('Оперативный ввод'!V212="","",'Оперативный ввод'!V212)</f>
        <v/>
      </c>
      <c r="AC212" s="172">
        <f>IF('Оперативный ввод'!W212="","",'Оперативный ввод'!W212)</f>
        <v/>
      </c>
      <c r="BB212" s="172" t="n"/>
      <c r="BC212" s="172" t="n"/>
      <c r="BD212" s="205">
        <f>IF(AND(A212="",B212=""),"",IF(AND(P212="ГОТОВО",R212&lt;&gt;"",T212&lt;&gt;"",U212&lt;&gt;"",AA212&lt;&gt;"",AB212&lt;&gt;"",AC212&lt;&gt;"",BB212&lt;&gt;"",BC212&lt;&gt;""),"ГОТОВО","НЕ ГОТОВО"))</f>
        <v/>
      </c>
      <c r="BE212" s="205">
        <f>IF(BD212&lt;&gt;"ГОТОВО","","Полное заключение: "&amp;A212&amp;", скв. "&amp;B212&amp;". МРП: "&amp;E212&amp;" сут. ГНО: "&amp;F212&amp;"; причина: "&amp;U212&amp;"; категория: "&amp;V212&amp;"; решение комиссии: "&amp;BB212&amp;".")</f>
        <v/>
      </c>
      <c r="BF212" s="173">
        <f>IF('Оперативный ввод'!X212="","",'Оперативный ввод'!X212)</f>
        <v/>
      </c>
    </row>
    <row r="213">
      <c r="A213" s="171">
        <f>IF('Оперативный ввод'!A213="","",'Оперативный ввод'!A213)</f>
        <v/>
      </c>
      <c r="B213" s="172">
        <f>IF('Оперативный ввод'!B213="","",'Оперативный ввод'!B213)</f>
        <v/>
      </c>
      <c r="C213" s="270">
        <f>IF('Оперативный ввод'!C213="","",'Оперативный ввод'!C213)</f>
        <v/>
      </c>
      <c r="D213" s="270">
        <f>IF('Оперативный ввод'!D213="","",'Оперативный ввод'!D213)</f>
        <v/>
      </c>
      <c r="E213" s="271">
        <f>IF(OR(C213="",D213=""),"",D213-C213)</f>
        <v/>
      </c>
      <c r="F213" s="172">
        <f>IF('Оперативный ввод'!F213="","",'Оперативный ввод'!F213)</f>
        <v/>
      </c>
      <c r="G213" s="172">
        <f>IF('Оперативный ввод'!G213="","",'Оперативный ввод'!G213)</f>
        <v/>
      </c>
      <c r="H213" s="172">
        <f>IF('Оперативный ввод'!H213="","",'Оперативный ввод'!H213)</f>
        <v/>
      </c>
      <c r="I213" s="172">
        <f>IF('Оперативный ввод'!I213="","",'Оперативный ввод'!I213)</f>
        <v/>
      </c>
      <c r="J213" s="172">
        <f>IF('Оперативный ввод'!J213="","",'Оперативный ввод'!J213)</f>
        <v/>
      </c>
      <c r="K213" s="172">
        <f>IF('Оперативный ввод'!K213="","",'Оперативный ввод'!K213)</f>
        <v/>
      </c>
      <c r="L213" s="172">
        <f>IF('Оперативный ввод'!L213="","",'Оперативный ввод'!L213)</f>
        <v/>
      </c>
      <c r="M213" s="172">
        <f>IF('Оперативный ввод'!M213="","",'Оперативный ввод'!M213)</f>
        <v/>
      </c>
      <c r="N213" s="172">
        <f>IF('Оперативный ввод'!N213="","",'Оперативный ввод'!N213)</f>
        <v/>
      </c>
      <c r="O213" s="172">
        <f>IF('Оперативный ввод'!O213="","",'Оперативный ввод'!O213)</f>
        <v/>
      </c>
      <c r="P213" s="205">
        <f>IF(AND(A213="",B213=""),"",IF(AND(A213&lt;&gt;"",B213&lt;&gt;"",C213&lt;&gt;"",D213&lt;&gt;"",F213&lt;&gt;"",G213&lt;&gt;"",H213&lt;&gt;"",ISERROR(SEARCH("по паспорту",G213)),ISERROR(SEARCH("по паспорту",H213)),I213&lt;&gt;"",J213&lt;&gt;"",K213&lt;&gt;"",L213&lt;&gt;"",M213&lt;&gt;""),"ГОТОВО","НЕ ГОТОВО"))</f>
        <v/>
      </c>
      <c r="Q213" s="205">
        <f>IF(P213&lt;&gt;"ГОТОВО","", "Предварительное заключение: "&amp;A213&amp;", скв. "&amp;B213&amp;". МРП: "&amp;E213&amp;" сут. ГНО: "&amp;F213&amp;", типоразмер "&amp;G213&amp;", марка "&amp;H213&amp;". Событие: "&amp;I213&amp;". Признак: "&amp;J213&amp;". Узел: "&amp;K213&amp;". Предварительная причина: "&amp;L213&amp;". Основное осложнение: "&amp;M213&amp;IF(N213&lt;&gt;"","; сопутствующее: "&amp;N213,"")&amp;IF(O213&lt;&gt;"","; дополнительно: "&amp;O213,"")&amp;".")</f>
        <v/>
      </c>
      <c r="R213" s="172">
        <f>IF('Оперативный ввод'!P213="","",'Оперативный ввод'!P213)</f>
        <v/>
      </c>
      <c r="S213" s="172">
        <f>IF('Оперативный ввод'!Q213="","",'Оперативный ввод'!Q213)</f>
        <v/>
      </c>
      <c r="T213" s="172">
        <f>IF('Оперативный ввод'!R213="","",'Оперативный ввод'!R213)</f>
        <v/>
      </c>
      <c r="U213" s="172">
        <f>IF('Оперативный ввод'!S213="","",'Оперативный ввод'!S213)</f>
        <v/>
      </c>
      <c r="V213" s="172">
        <f>IF('Оперативный ввод'!T213="","",'Оперативный ввод'!T213)</f>
        <v/>
      </c>
      <c r="W213" s="172" t="n"/>
      <c r="X213" s="172" t="n"/>
      <c r="Y213" s="172" t="n"/>
      <c r="Z213" s="172" t="n"/>
      <c r="AA213" s="172">
        <f>IF('Оперативный ввод'!U213="","",'Оперативный ввод'!U213)</f>
        <v/>
      </c>
      <c r="AB213" s="172">
        <f>IF('Оперативный ввод'!V213="","",'Оперативный ввод'!V213)</f>
        <v/>
      </c>
      <c r="AC213" s="172">
        <f>IF('Оперативный ввод'!W213="","",'Оперативный ввод'!W213)</f>
        <v/>
      </c>
      <c r="BB213" s="172" t="n"/>
      <c r="BC213" s="172" t="n"/>
      <c r="BD213" s="205">
        <f>IF(AND(A213="",B213=""),"",IF(AND(P213="ГОТОВО",R213&lt;&gt;"",T213&lt;&gt;"",U213&lt;&gt;"",AA213&lt;&gt;"",AB213&lt;&gt;"",AC213&lt;&gt;"",BB213&lt;&gt;"",BC213&lt;&gt;""),"ГОТОВО","НЕ ГОТОВО"))</f>
        <v/>
      </c>
      <c r="BE213" s="205">
        <f>IF(BD213&lt;&gt;"ГОТОВО","","Полное заключение: "&amp;A213&amp;", скв. "&amp;B213&amp;". МРП: "&amp;E213&amp;" сут. ГНО: "&amp;F213&amp;"; причина: "&amp;U213&amp;"; категория: "&amp;V213&amp;"; решение комиссии: "&amp;BB213&amp;".")</f>
        <v/>
      </c>
      <c r="BF213" s="173">
        <f>IF('Оперативный ввод'!X213="","",'Оперативный ввод'!X213)</f>
        <v/>
      </c>
    </row>
    <row r="214">
      <c r="A214" s="171">
        <f>IF('Оперативный ввод'!A214="","",'Оперативный ввод'!A214)</f>
        <v/>
      </c>
      <c r="B214" s="172">
        <f>IF('Оперативный ввод'!B214="","",'Оперативный ввод'!B214)</f>
        <v/>
      </c>
      <c r="C214" s="270">
        <f>IF('Оперативный ввод'!C214="","",'Оперативный ввод'!C214)</f>
        <v/>
      </c>
      <c r="D214" s="270">
        <f>IF('Оперативный ввод'!D214="","",'Оперативный ввод'!D214)</f>
        <v/>
      </c>
      <c r="E214" s="271">
        <f>IF(OR(C214="",D214=""),"",D214-C214)</f>
        <v/>
      </c>
      <c r="F214" s="172">
        <f>IF('Оперативный ввод'!F214="","",'Оперативный ввод'!F214)</f>
        <v/>
      </c>
      <c r="G214" s="172">
        <f>IF('Оперативный ввод'!G214="","",'Оперативный ввод'!G214)</f>
        <v/>
      </c>
      <c r="H214" s="172">
        <f>IF('Оперативный ввод'!H214="","",'Оперативный ввод'!H214)</f>
        <v/>
      </c>
      <c r="I214" s="172">
        <f>IF('Оперативный ввод'!I214="","",'Оперативный ввод'!I214)</f>
        <v/>
      </c>
      <c r="J214" s="172">
        <f>IF('Оперативный ввод'!J214="","",'Оперативный ввод'!J214)</f>
        <v/>
      </c>
      <c r="K214" s="172">
        <f>IF('Оперативный ввод'!K214="","",'Оперативный ввод'!K214)</f>
        <v/>
      </c>
      <c r="L214" s="172">
        <f>IF('Оперативный ввод'!L214="","",'Оперативный ввод'!L214)</f>
        <v/>
      </c>
      <c r="M214" s="172">
        <f>IF('Оперативный ввод'!M214="","",'Оперативный ввод'!M214)</f>
        <v/>
      </c>
      <c r="N214" s="172">
        <f>IF('Оперативный ввод'!N214="","",'Оперативный ввод'!N214)</f>
        <v/>
      </c>
      <c r="O214" s="172">
        <f>IF('Оперативный ввод'!O214="","",'Оперативный ввод'!O214)</f>
        <v/>
      </c>
      <c r="P214" s="205">
        <f>IF(AND(A214="",B214=""),"",IF(AND(A214&lt;&gt;"",B214&lt;&gt;"",C214&lt;&gt;"",D214&lt;&gt;"",F214&lt;&gt;"",G214&lt;&gt;"",H214&lt;&gt;"",ISERROR(SEARCH("по паспорту",G214)),ISERROR(SEARCH("по паспорту",H214)),I214&lt;&gt;"",J214&lt;&gt;"",K214&lt;&gt;"",L214&lt;&gt;"",M214&lt;&gt;""),"ГОТОВО","НЕ ГОТОВО"))</f>
        <v/>
      </c>
      <c r="Q214" s="205">
        <f>IF(P214&lt;&gt;"ГОТОВО","", "Предварительное заключение: "&amp;A214&amp;", скв. "&amp;B214&amp;". МРП: "&amp;E214&amp;" сут. ГНО: "&amp;F214&amp;", типоразмер "&amp;G214&amp;", марка "&amp;H214&amp;". Событие: "&amp;I214&amp;". Признак: "&amp;J214&amp;". Узел: "&amp;K214&amp;". Предварительная причина: "&amp;L214&amp;". Основное осложнение: "&amp;M214&amp;IF(N214&lt;&gt;"","; сопутствующее: "&amp;N214,"")&amp;IF(O214&lt;&gt;"","; дополнительно: "&amp;O214,"")&amp;".")</f>
        <v/>
      </c>
      <c r="R214" s="172">
        <f>IF('Оперативный ввод'!P214="","",'Оперативный ввод'!P214)</f>
        <v/>
      </c>
      <c r="S214" s="172">
        <f>IF('Оперативный ввод'!Q214="","",'Оперативный ввод'!Q214)</f>
        <v/>
      </c>
      <c r="T214" s="172">
        <f>IF('Оперативный ввод'!R214="","",'Оперативный ввод'!R214)</f>
        <v/>
      </c>
      <c r="U214" s="172">
        <f>IF('Оперативный ввод'!S214="","",'Оперативный ввод'!S214)</f>
        <v/>
      </c>
      <c r="V214" s="172">
        <f>IF('Оперативный ввод'!T214="","",'Оперативный ввод'!T214)</f>
        <v/>
      </c>
      <c r="W214" s="172" t="n"/>
      <c r="X214" s="172" t="n"/>
      <c r="Y214" s="172" t="n"/>
      <c r="Z214" s="172" t="n"/>
      <c r="AA214" s="172">
        <f>IF('Оперативный ввод'!U214="","",'Оперативный ввод'!U214)</f>
        <v/>
      </c>
      <c r="AB214" s="172">
        <f>IF('Оперативный ввод'!V214="","",'Оперативный ввод'!V214)</f>
        <v/>
      </c>
      <c r="AC214" s="172">
        <f>IF('Оперативный ввод'!W214="","",'Оперативный ввод'!W214)</f>
        <v/>
      </c>
      <c r="BB214" s="172" t="n"/>
      <c r="BC214" s="172" t="n"/>
      <c r="BD214" s="205">
        <f>IF(AND(A214="",B214=""),"",IF(AND(P214="ГОТОВО",R214&lt;&gt;"",T214&lt;&gt;"",U214&lt;&gt;"",AA214&lt;&gt;"",AB214&lt;&gt;"",AC214&lt;&gt;"",BB214&lt;&gt;"",BC214&lt;&gt;""),"ГОТОВО","НЕ ГОТОВО"))</f>
        <v/>
      </c>
      <c r="BE214" s="205">
        <f>IF(BD214&lt;&gt;"ГОТОВО","","Полное заключение: "&amp;A214&amp;", скв. "&amp;B214&amp;". МРП: "&amp;E214&amp;" сут. ГНО: "&amp;F214&amp;"; причина: "&amp;U214&amp;"; категория: "&amp;V214&amp;"; решение комиссии: "&amp;BB214&amp;".")</f>
        <v/>
      </c>
      <c r="BF214" s="173">
        <f>IF('Оперативный ввод'!X214="","",'Оперативный ввод'!X214)</f>
        <v/>
      </c>
    </row>
    <row r="215">
      <c r="A215" s="171">
        <f>IF('Оперативный ввод'!A215="","",'Оперативный ввод'!A215)</f>
        <v/>
      </c>
      <c r="B215" s="172">
        <f>IF('Оперативный ввод'!B215="","",'Оперативный ввод'!B215)</f>
        <v/>
      </c>
      <c r="C215" s="270">
        <f>IF('Оперативный ввод'!C215="","",'Оперативный ввод'!C215)</f>
        <v/>
      </c>
      <c r="D215" s="270">
        <f>IF('Оперативный ввод'!D215="","",'Оперативный ввод'!D215)</f>
        <v/>
      </c>
      <c r="E215" s="271">
        <f>IF(OR(C215="",D215=""),"",D215-C215)</f>
        <v/>
      </c>
      <c r="F215" s="172">
        <f>IF('Оперативный ввод'!F215="","",'Оперативный ввод'!F215)</f>
        <v/>
      </c>
      <c r="G215" s="172">
        <f>IF('Оперативный ввод'!G215="","",'Оперативный ввод'!G215)</f>
        <v/>
      </c>
      <c r="H215" s="172">
        <f>IF('Оперативный ввод'!H215="","",'Оперативный ввод'!H215)</f>
        <v/>
      </c>
      <c r="I215" s="172">
        <f>IF('Оперативный ввод'!I215="","",'Оперативный ввод'!I215)</f>
        <v/>
      </c>
      <c r="J215" s="172">
        <f>IF('Оперативный ввод'!J215="","",'Оперативный ввод'!J215)</f>
        <v/>
      </c>
      <c r="K215" s="172">
        <f>IF('Оперативный ввод'!K215="","",'Оперативный ввод'!K215)</f>
        <v/>
      </c>
      <c r="L215" s="172">
        <f>IF('Оперативный ввод'!L215="","",'Оперативный ввод'!L215)</f>
        <v/>
      </c>
      <c r="M215" s="172">
        <f>IF('Оперативный ввод'!M215="","",'Оперативный ввод'!M215)</f>
        <v/>
      </c>
      <c r="N215" s="172">
        <f>IF('Оперативный ввод'!N215="","",'Оперативный ввод'!N215)</f>
        <v/>
      </c>
      <c r="O215" s="172">
        <f>IF('Оперативный ввод'!O215="","",'Оперативный ввод'!O215)</f>
        <v/>
      </c>
      <c r="P215" s="205">
        <f>IF(AND(A215="",B215=""),"",IF(AND(A215&lt;&gt;"",B215&lt;&gt;"",C215&lt;&gt;"",D215&lt;&gt;"",F215&lt;&gt;"",G215&lt;&gt;"",H215&lt;&gt;"",ISERROR(SEARCH("по паспорту",G215)),ISERROR(SEARCH("по паспорту",H215)),I215&lt;&gt;"",J215&lt;&gt;"",K215&lt;&gt;"",L215&lt;&gt;"",M215&lt;&gt;""),"ГОТОВО","НЕ ГОТОВО"))</f>
        <v/>
      </c>
      <c r="Q215" s="205">
        <f>IF(P215&lt;&gt;"ГОТОВО","", "Предварительное заключение: "&amp;A215&amp;", скв. "&amp;B215&amp;". МРП: "&amp;E215&amp;" сут. ГНО: "&amp;F215&amp;", типоразмер "&amp;G215&amp;", марка "&amp;H215&amp;". Событие: "&amp;I215&amp;". Признак: "&amp;J215&amp;". Узел: "&amp;K215&amp;". Предварительная причина: "&amp;L215&amp;". Основное осложнение: "&amp;M215&amp;IF(N215&lt;&gt;"","; сопутствующее: "&amp;N215,"")&amp;IF(O215&lt;&gt;"","; дополнительно: "&amp;O215,"")&amp;".")</f>
        <v/>
      </c>
      <c r="R215" s="172">
        <f>IF('Оперативный ввод'!P215="","",'Оперативный ввод'!P215)</f>
        <v/>
      </c>
      <c r="S215" s="172">
        <f>IF('Оперативный ввод'!Q215="","",'Оперативный ввод'!Q215)</f>
        <v/>
      </c>
      <c r="T215" s="172">
        <f>IF('Оперативный ввод'!R215="","",'Оперативный ввод'!R215)</f>
        <v/>
      </c>
      <c r="U215" s="172">
        <f>IF('Оперативный ввод'!S215="","",'Оперативный ввод'!S215)</f>
        <v/>
      </c>
      <c r="V215" s="172">
        <f>IF('Оперативный ввод'!T215="","",'Оперативный ввод'!T215)</f>
        <v/>
      </c>
      <c r="W215" s="172" t="n"/>
      <c r="X215" s="172" t="n"/>
      <c r="Y215" s="172" t="n"/>
      <c r="Z215" s="172" t="n"/>
      <c r="AA215" s="172">
        <f>IF('Оперативный ввод'!U215="","",'Оперативный ввод'!U215)</f>
        <v/>
      </c>
      <c r="AB215" s="172">
        <f>IF('Оперативный ввод'!V215="","",'Оперативный ввод'!V215)</f>
        <v/>
      </c>
      <c r="AC215" s="172">
        <f>IF('Оперативный ввод'!W215="","",'Оперативный ввод'!W215)</f>
        <v/>
      </c>
      <c r="BB215" s="172" t="n"/>
      <c r="BC215" s="172" t="n"/>
      <c r="BD215" s="205">
        <f>IF(AND(A215="",B215=""),"",IF(AND(P215="ГОТОВО",R215&lt;&gt;"",T215&lt;&gt;"",U215&lt;&gt;"",AA215&lt;&gt;"",AB215&lt;&gt;"",AC215&lt;&gt;"",BB215&lt;&gt;"",BC215&lt;&gt;""),"ГОТОВО","НЕ ГОТОВО"))</f>
        <v/>
      </c>
      <c r="BE215" s="205">
        <f>IF(BD215&lt;&gt;"ГОТОВО","","Полное заключение: "&amp;A215&amp;", скв. "&amp;B215&amp;". МРП: "&amp;E215&amp;" сут. ГНО: "&amp;F215&amp;"; причина: "&amp;U215&amp;"; категория: "&amp;V215&amp;"; решение комиссии: "&amp;BB215&amp;".")</f>
        <v/>
      </c>
      <c r="BF215" s="173">
        <f>IF('Оперативный ввод'!X215="","",'Оперативный ввод'!X215)</f>
        <v/>
      </c>
    </row>
    <row r="216">
      <c r="A216" s="171">
        <f>IF('Оперативный ввод'!A216="","",'Оперативный ввод'!A216)</f>
        <v/>
      </c>
      <c r="B216" s="172">
        <f>IF('Оперативный ввод'!B216="","",'Оперативный ввод'!B216)</f>
        <v/>
      </c>
      <c r="C216" s="270">
        <f>IF('Оперативный ввод'!C216="","",'Оперативный ввод'!C216)</f>
        <v/>
      </c>
      <c r="D216" s="270">
        <f>IF('Оперативный ввод'!D216="","",'Оперативный ввод'!D216)</f>
        <v/>
      </c>
      <c r="E216" s="271">
        <f>IF(OR(C216="",D216=""),"",D216-C216)</f>
        <v/>
      </c>
      <c r="F216" s="172">
        <f>IF('Оперативный ввод'!F216="","",'Оперативный ввод'!F216)</f>
        <v/>
      </c>
      <c r="G216" s="172">
        <f>IF('Оперативный ввод'!G216="","",'Оперативный ввод'!G216)</f>
        <v/>
      </c>
      <c r="H216" s="172">
        <f>IF('Оперативный ввод'!H216="","",'Оперативный ввод'!H216)</f>
        <v/>
      </c>
      <c r="I216" s="172">
        <f>IF('Оперативный ввод'!I216="","",'Оперативный ввод'!I216)</f>
        <v/>
      </c>
      <c r="J216" s="172">
        <f>IF('Оперативный ввод'!J216="","",'Оперативный ввод'!J216)</f>
        <v/>
      </c>
      <c r="K216" s="172">
        <f>IF('Оперативный ввод'!K216="","",'Оперативный ввод'!K216)</f>
        <v/>
      </c>
      <c r="L216" s="172">
        <f>IF('Оперативный ввод'!L216="","",'Оперативный ввод'!L216)</f>
        <v/>
      </c>
      <c r="M216" s="172">
        <f>IF('Оперативный ввод'!M216="","",'Оперативный ввод'!M216)</f>
        <v/>
      </c>
      <c r="N216" s="172">
        <f>IF('Оперативный ввод'!N216="","",'Оперативный ввод'!N216)</f>
        <v/>
      </c>
      <c r="O216" s="172">
        <f>IF('Оперативный ввод'!O216="","",'Оперативный ввод'!O216)</f>
        <v/>
      </c>
      <c r="P216" s="205">
        <f>IF(AND(A216="",B216=""),"",IF(AND(A216&lt;&gt;"",B216&lt;&gt;"",C216&lt;&gt;"",D216&lt;&gt;"",F216&lt;&gt;"",G216&lt;&gt;"",H216&lt;&gt;"",ISERROR(SEARCH("по паспорту",G216)),ISERROR(SEARCH("по паспорту",H216)),I216&lt;&gt;"",J216&lt;&gt;"",K216&lt;&gt;"",L216&lt;&gt;"",M216&lt;&gt;""),"ГОТОВО","НЕ ГОТОВО"))</f>
        <v/>
      </c>
      <c r="Q216" s="205">
        <f>IF(P216&lt;&gt;"ГОТОВО","", "Предварительное заключение: "&amp;A216&amp;", скв. "&amp;B216&amp;". МРП: "&amp;E216&amp;" сут. ГНО: "&amp;F216&amp;", типоразмер "&amp;G216&amp;", марка "&amp;H216&amp;". Событие: "&amp;I216&amp;". Признак: "&amp;J216&amp;". Узел: "&amp;K216&amp;". Предварительная причина: "&amp;L216&amp;". Основное осложнение: "&amp;M216&amp;IF(N216&lt;&gt;"","; сопутствующее: "&amp;N216,"")&amp;IF(O216&lt;&gt;"","; дополнительно: "&amp;O216,"")&amp;".")</f>
        <v/>
      </c>
      <c r="R216" s="172">
        <f>IF('Оперативный ввод'!P216="","",'Оперативный ввод'!P216)</f>
        <v/>
      </c>
      <c r="S216" s="172">
        <f>IF('Оперативный ввод'!Q216="","",'Оперативный ввод'!Q216)</f>
        <v/>
      </c>
      <c r="T216" s="172">
        <f>IF('Оперативный ввод'!R216="","",'Оперативный ввод'!R216)</f>
        <v/>
      </c>
      <c r="U216" s="172">
        <f>IF('Оперативный ввод'!S216="","",'Оперативный ввод'!S216)</f>
        <v/>
      </c>
      <c r="V216" s="172">
        <f>IF('Оперативный ввод'!T216="","",'Оперативный ввод'!T216)</f>
        <v/>
      </c>
      <c r="W216" s="172" t="n"/>
      <c r="X216" s="172" t="n"/>
      <c r="Y216" s="172" t="n"/>
      <c r="Z216" s="172" t="n"/>
      <c r="AA216" s="172">
        <f>IF('Оперативный ввод'!U216="","",'Оперативный ввод'!U216)</f>
        <v/>
      </c>
      <c r="AB216" s="172">
        <f>IF('Оперативный ввод'!V216="","",'Оперативный ввод'!V216)</f>
        <v/>
      </c>
      <c r="AC216" s="172">
        <f>IF('Оперативный ввод'!W216="","",'Оперативный ввод'!W216)</f>
        <v/>
      </c>
      <c r="BB216" s="172" t="n"/>
      <c r="BC216" s="172" t="n"/>
      <c r="BD216" s="205">
        <f>IF(AND(A216="",B216=""),"",IF(AND(P216="ГОТОВО",R216&lt;&gt;"",T216&lt;&gt;"",U216&lt;&gt;"",AA216&lt;&gt;"",AB216&lt;&gt;"",AC216&lt;&gt;"",BB216&lt;&gt;"",BC216&lt;&gt;""),"ГОТОВО","НЕ ГОТОВО"))</f>
        <v/>
      </c>
      <c r="BE216" s="205">
        <f>IF(BD216&lt;&gt;"ГОТОВО","","Полное заключение: "&amp;A216&amp;", скв. "&amp;B216&amp;". МРП: "&amp;E216&amp;" сут. ГНО: "&amp;F216&amp;"; причина: "&amp;U216&amp;"; категория: "&amp;V216&amp;"; решение комиссии: "&amp;BB216&amp;".")</f>
        <v/>
      </c>
      <c r="BF216" s="173">
        <f>IF('Оперативный ввод'!X216="","",'Оперативный ввод'!X216)</f>
        <v/>
      </c>
    </row>
    <row r="217">
      <c r="A217" s="171">
        <f>IF('Оперативный ввод'!A217="","",'Оперативный ввод'!A217)</f>
        <v/>
      </c>
      <c r="B217" s="172">
        <f>IF('Оперативный ввод'!B217="","",'Оперативный ввод'!B217)</f>
        <v/>
      </c>
      <c r="C217" s="270">
        <f>IF('Оперативный ввод'!C217="","",'Оперативный ввод'!C217)</f>
        <v/>
      </c>
      <c r="D217" s="270">
        <f>IF('Оперативный ввод'!D217="","",'Оперативный ввод'!D217)</f>
        <v/>
      </c>
      <c r="E217" s="271">
        <f>IF(OR(C217="",D217=""),"",D217-C217)</f>
        <v/>
      </c>
      <c r="F217" s="172">
        <f>IF('Оперативный ввод'!F217="","",'Оперативный ввод'!F217)</f>
        <v/>
      </c>
      <c r="G217" s="172">
        <f>IF('Оперативный ввод'!G217="","",'Оперативный ввод'!G217)</f>
        <v/>
      </c>
      <c r="H217" s="172">
        <f>IF('Оперативный ввод'!H217="","",'Оперативный ввод'!H217)</f>
        <v/>
      </c>
      <c r="I217" s="172">
        <f>IF('Оперативный ввод'!I217="","",'Оперативный ввод'!I217)</f>
        <v/>
      </c>
      <c r="J217" s="172">
        <f>IF('Оперативный ввод'!J217="","",'Оперативный ввод'!J217)</f>
        <v/>
      </c>
      <c r="K217" s="172">
        <f>IF('Оперативный ввод'!K217="","",'Оперативный ввод'!K217)</f>
        <v/>
      </c>
      <c r="L217" s="172">
        <f>IF('Оперативный ввод'!L217="","",'Оперативный ввод'!L217)</f>
        <v/>
      </c>
      <c r="M217" s="172">
        <f>IF('Оперативный ввод'!M217="","",'Оперативный ввод'!M217)</f>
        <v/>
      </c>
      <c r="N217" s="172">
        <f>IF('Оперативный ввод'!N217="","",'Оперативный ввод'!N217)</f>
        <v/>
      </c>
      <c r="O217" s="172">
        <f>IF('Оперативный ввод'!O217="","",'Оперативный ввод'!O217)</f>
        <v/>
      </c>
      <c r="P217" s="205">
        <f>IF(AND(A217="",B217=""),"",IF(AND(A217&lt;&gt;"",B217&lt;&gt;"",C217&lt;&gt;"",D217&lt;&gt;"",F217&lt;&gt;"",G217&lt;&gt;"",H217&lt;&gt;"",ISERROR(SEARCH("по паспорту",G217)),ISERROR(SEARCH("по паспорту",H217)),I217&lt;&gt;"",J217&lt;&gt;"",K217&lt;&gt;"",L217&lt;&gt;"",M217&lt;&gt;""),"ГОТОВО","НЕ ГОТОВО"))</f>
        <v/>
      </c>
      <c r="Q217" s="205">
        <f>IF(P217&lt;&gt;"ГОТОВО","", "Предварительное заключение: "&amp;A217&amp;", скв. "&amp;B217&amp;". МРП: "&amp;E217&amp;" сут. ГНО: "&amp;F217&amp;", типоразмер "&amp;G217&amp;", марка "&amp;H217&amp;". Событие: "&amp;I217&amp;". Признак: "&amp;J217&amp;". Узел: "&amp;K217&amp;". Предварительная причина: "&amp;L217&amp;". Основное осложнение: "&amp;M217&amp;IF(N217&lt;&gt;"","; сопутствующее: "&amp;N217,"")&amp;IF(O217&lt;&gt;"","; дополнительно: "&amp;O217,"")&amp;".")</f>
        <v/>
      </c>
      <c r="R217" s="172">
        <f>IF('Оперативный ввод'!P217="","",'Оперативный ввод'!P217)</f>
        <v/>
      </c>
      <c r="S217" s="172">
        <f>IF('Оперативный ввод'!Q217="","",'Оперативный ввод'!Q217)</f>
        <v/>
      </c>
      <c r="T217" s="172">
        <f>IF('Оперативный ввод'!R217="","",'Оперативный ввод'!R217)</f>
        <v/>
      </c>
      <c r="U217" s="172">
        <f>IF('Оперативный ввод'!S217="","",'Оперативный ввод'!S217)</f>
        <v/>
      </c>
      <c r="V217" s="172">
        <f>IF('Оперативный ввод'!T217="","",'Оперативный ввод'!T217)</f>
        <v/>
      </c>
      <c r="W217" s="172" t="n"/>
      <c r="X217" s="172" t="n"/>
      <c r="Y217" s="172" t="n"/>
      <c r="Z217" s="172" t="n"/>
      <c r="AA217" s="172">
        <f>IF('Оперативный ввод'!U217="","",'Оперативный ввод'!U217)</f>
        <v/>
      </c>
      <c r="AB217" s="172">
        <f>IF('Оперативный ввод'!V217="","",'Оперативный ввод'!V217)</f>
        <v/>
      </c>
      <c r="AC217" s="172">
        <f>IF('Оперативный ввод'!W217="","",'Оперативный ввод'!W217)</f>
        <v/>
      </c>
      <c r="BB217" s="172" t="n"/>
      <c r="BC217" s="172" t="n"/>
      <c r="BD217" s="205">
        <f>IF(AND(A217="",B217=""),"",IF(AND(P217="ГОТОВО",R217&lt;&gt;"",T217&lt;&gt;"",U217&lt;&gt;"",AA217&lt;&gt;"",AB217&lt;&gt;"",AC217&lt;&gt;"",BB217&lt;&gt;"",BC217&lt;&gt;""),"ГОТОВО","НЕ ГОТОВО"))</f>
        <v/>
      </c>
      <c r="BE217" s="205">
        <f>IF(BD217&lt;&gt;"ГОТОВО","","Полное заключение: "&amp;A217&amp;", скв. "&amp;B217&amp;". МРП: "&amp;E217&amp;" сут. ГНО: "&amp;F217&amp;"; причина: "&amp;U217&amp;"; категория: "&amp;V217&amp;"; решение комиссии: "&amp;BB217&amp;".")</f>
        <v/>
      </c>
      <c r="BF217" s="173">
        <f>IF('Оперативный ввод'!X217="","",'Оперативный ввод'!X217)</f>
        <v/>
      </c>
    </row>
    <row r="218">
      <c r="A218" s="171">
        <f>IF('Оперативный ввод'!A218="","",'Оперативный ввод'!A218)</f>
        <v/>
      </c>
      <c r="B218" s="172">
        <f>IF('Оперативный ввод'!B218="","",'Оперативный ввод'!B218)</f>
        <v/>
      </c>
      <c r="C218" s="270">
        <f>IF('Оперативный ввод'!C218="","",'Оперативный ввод'!C218)</f>
        <v/>
      </c>
      <c r="D218" s="270">
        <f>IF('Оперативный ввод'!D218="","",'Оперативный ввод'!D218)</f>
        <v/>
      </c>
      <c r="E218" s="271">
        <f>IF(OR(C218="",D218=""),"",D218-C218)</f>
        <v/>
      </c>
      <c r="F218" s="172">
        <f>IF('Оперативный ввод'!F218="","",'Оперативный ввод'!F218)</f>
        <v/>
      </c>
      <c r="G218" s="172">
        <f>IF('Оперативный ввод'!G218="","",'Оперативный ввод'!G218)</f>
        <v/>
      </c>
      <c r="H218" s="172">
        <f>IF('Оперативный ввод'!H218="","",'Оперативный ввод'!H218)</f>
        <v/>
      </c>
      <c r="I218" s="172">
        <f>IF('Оперативный ввод'!I218="","",'Оперативный ввод'!I218)</f>
        <v/>
      </c>
      <c r="J218" s="172">
        <f>IF('Оперативный ввод'!J218="","",'Оперативный ввод'!J218)</f>
        <v/>
      </c>
      <c r="K218" s="172">
        <f>IF('Оперативный ввод'!K218="","",'Оперативный ввод'!K218)</f>
        <v/>
      </c>
      <c r="L218" s="172">
        <f>IF('Оперативный ввод'!L218="","",'Оперативный ввод'!L218)</f>
        <v/>
      </c>
      <c r="M218" s="172">
        <f>IF('Оперативный ввод'!M218="","",'Оперативный ввод'!M218)</f>
        <v/>
      </c>
      <c r="N218" s="172">
        <f>IF('Оперативный ввод'!N218="","",'Оперативный ввод'!N218)</f>
        <v/>
      </c>
      <c r="O218" s="172">
        <f>IF('Оперативный ввод'!O218="","",'Оперативный ввод'!O218)</f>
        <v/>
      </c>
      <c r="P218" s="205">
        <f>IF(AND(A218="",B218=""),"",IF(AND(A218&lt;&gt;"",B218&lt;&gt;"",C218&lt;&gt;"",D218&lt;&gt;"",F218&lt;&gt;"",G218&lt;&gt;"",H218&lt;&gt;"",ISERROR(SEARCH("по паспорту",G218)),ISERROR(SEARCH("по паспорту",H218)),I218&lt;&gt;"",J218&lt;&gt;"",K218&lt;&gt;"",L218&lt;&gt;"",M218&lt;&gt;""),"ГОТОВО","НЕ ГОТОВО"))</f>
        <v/>
      </c>
      <c r="Q218" s="205">
        <f>IF(P218&lt;&gt;"ГОТОВО","", "Предварительное заключение: "&amp;A218&amp;", скв. "&amp;B218&amp;". МРП: "&amp;E218&amp;" сут. ГНО: "&amp;F218&amp;", типоразмер "&amp;G218&amp;", марка "&amp;H218&amp;". Событие: "&amp;I218&amp;". Признак: "&amp;J218&amp;". Узел: "&amp;K218&amp;". Предварительная причина: "&amp;L218&amp;". Основное осложнение: "&amp;M218&amp;IF(N218&lt;&gt;"","; сопутствующее: "&amp;N218,"")&amp;IF(O218&lt;&gt;"","; дополнительно: "&amp;O218,"")&amp;".")</f>
        <v/>
      </c>
      <c r="R218" s="172">
        <f>IF('Оперативный ввод'!P218="","",'Оперативный ввод'!P218)</f>
        <v/>
      </c>
      <c r="S218" s="172">
        <f>IF('Оперативный ввод'!Q218="","",'Оперативный ввод'!Q218)</f>
        <v/>
      </c>
      <c r="T218" s="172">
        <f>IF('Оперативный ввод'!R218="","",'Оперативный ввод'!R218)</f>
        <v/>
      </c>
      <c r="U218" s="172">
        <f>IF('Оперативный ввод'!S218="","",'Оперативный ввод'!S218)</f>
        <v/>
      </c>
      <c r="V218" s="172">
        <f>IF('Оперативный ввод'!T218="","",'Оперативный ввод'!T218)</f>
        <v/>
      </c>
      <c r="W218" s="172" t="n"/>
      <c r="X218" s="172" t="n"/>
      <c r="Y218" s="172" t="n"/>
      <c r="Z218" s="172" t="n"/>
      <c r="AA218" s="172">
        <f>IF('Оперативный ввод'!U218="","",'Оперативный ввод'!U218)</f>
        <v/>
      </c>
      <c r="AB218" s="172">
        <f>IF('Оперативный ввод'!V218="","",'Оперативный ввод'!V218)</f>
        <v/>
      </c>
      <c r="AC218" s="172">
        <f>IF('Оперативный ввод'!W218="","",'Оперативный ввод'!W218)</f>
        <v/>
      </c>
      <c r="BB218" s="172" t="n"/>
      <c r="BC218" s="172" t="n"/>
      <c r="BD218" s="205">
        <f>IF(AND(A218="",B218=""),"",IF(AND(P218="ГОТОВО",R218&lt;&gt;"",T218&lt;&gt;"",U218&lt;&gt;"",AA218&lt;&gt;"",AB218&lt;&gt;"",AC218&lt;&gt;"",BB218&lt;&gt;"",BC218&lt;&gt;""),"ГОТОВО","НЕ ГОТОВО"))</f>
        <v/>
      </c>
      <c r="BE218" s="205">
        <f>IF(BD218&lt;&gt;"ГОТОВО","","Полное заключение: "&amp;A218&amp;", скв. "&amp;B218&amp;". МРП: "&amp;E218&amp;" сут. ГНО: "&amp;F218&amp;"; причина: "&amp;U218&amp;"; категория: "&amp;V218&amp;"; решение комиссии: "&amp;BB218&amp;".")</f>
        <v/>
      </c>
      <c r="BF218" s="173">
        <f>IF('Оперативный ввод'!X218="","",'Оперативный ввод'!X218)</f>
        <v/>
      </c>
    </row>
    <row r="219">
      <c r="A219" s="171">
        <f>IF('Оперативный ввод'!A219="","",'Оперативный ввод'!A219)</f>
        <v/>
      </c>
      <c r="B219" s="172">
        <f>IF('Оперативный ввод'!B219="","",'Оперативный ввод'!B219)</f>
        <v/>
      </c>
      <c r="C219" s="270">
        <f>IF('Оперативный ввод'!C219="","",'Оперативный ввод'!C219)</f>
        <v/>
      </c>
      <c r="D219" s="270">
        <f>IF('Оперативный ввод'!D219="","",'Оперативный ввод'!D219)</f>
        <v/>
      </c>
      <c r="E219" s="271">
        <f>IF(OR(C219="",D219=""),"",D219-C219)</f>
        <v/>
      </c>
      <c r="F219" s="172">
        <f>IF('Оперативный ввод'!F219="","",'Оперативный ввод'!F219)</f>
        <v/>
      </c>
      <c r="G219" s="172">
        <f>IF('Оперативный ввод'!G219="","",'Оперативный ввод'!G219)</f>
        <v/>
      </c>
      <c r="H219" s="172">
        <f>IF('Оперативный ввод'!H219="","",'Оперативный ввод'!H219)</f>
        <v/>
      </c>
      <c r="I219" s="172">
        <f>IF('Оперативный ввод'!I219="","",'Оперативный ввод'!I219)</f>
        <v/>
      </c>
      <c r="J219" s="172">
        <f>IF('Оперативный ввод'!J219="","",'Оперативный ввод'!J219)</f>
        <v/>
      </c>
      <c r="K219" s="172">
        <f>IF('Оперативный ввод'!K219="","",'Оперативный ввод'!K219)</f>
        <v/>
      </c>
      <c r="L219" s="172">
        <f>IF('Оперативный ввод'!L219="","",'Оперативный ввод'!L219)</f>
        <v/>
      </c>
      <c r="M219" s="172">
        <f>IF('Оперативный ввод'!M219="","",'Оперативный ввод'!M219)</f>
        <v/>
      </c>
      <c r="N219" s="172">
        <f>IF('Оперативный ввод'!N219="","",'Оперативный ввод'!N219)</f>
        <v/>
      </c>
      <c r="O219" s="172">
        <f>IF('Оперативный ввод'!O219="","",'Оперативный ввод'!O219)</f>
        <v/>
      </c>
      <c r="P219" s="205">
        <f>IF(AND(A219="",B219=""),"",IF(AND(A219&lt;&gt;"",B219&lt;&gt;"",C219&lt;&gt;"",D219&lt;&gt;"",F219&lt;&gt;"",G219&lt;&gt;"",H219&lt;&gt;"",ISERROR(SEARCH("по паспорту",G219)),ISERROR(SEARCH("по паспорту",H219)),I219&lt;&gt;"",J219&lt;&gt;"",K219&lt;&gt;"",L219&lt;&gt;"",M219&lt;&gt;""),"ГОТОВО","НЕ ГОТОВО"))</f>
        <v/>
      </c>
      <c r="Q219" s="205">
        <f>IF(P219&lt;&gt;"ГОТОВО","", "Предварительное заключение: "&amp;A219&amp;", скв. "&amp;B219&amp;". МРП: "&amp;E219&amp;" сут. ГНО: "&amp;F219&amp;", типоразмер "&amp;G219&amp;", марка "&amp;H219&amp;". Событие: "&amp;I219&amp;". Признак: "&amp;J219&amp;". Узел: "&amp;K219&amp;". Предварительная причина: "&amp;L219&amp;". Основное осложнение: "&amp;M219&amp;IF(N219&lt;&gt;"","; сопутствующее: "&amp;N219,"")&amp;IF(O219&lt;&gt;"","; дополнительно: "&amp;O219,"")&amp;".")</f>
        <v/>
      </c>
      <c r="R219" s="172">
        <f>IF('Оперативный ввод'!P219="","",'Оперативный ввод'!P219)</f>
        <v/>
      </c>
      <c r="S219" s="172">
        <f>IF('Оперативный ввод'!Q219="","",'Оперативный ввод'!Q219)</f>
        <v/>
      </c>
      <c r="T219" s="172">
        <f>IF('Оперативный ввод'!R219="","",'Оперативный ввод'!R219)</f>
        <v/>
      </c>
      <c r="U219" s="172">
        <f>IF('Оперативный ввод'!S219="","",'Оперативный ввод'!S219)</f>
        <v/>
      </c>
      <c r="V219" s="172">
        <f>IF('Оперативный ввод'!T219="","",'Оперативный ввод'!T219)</f>
        <v/>
      </c>
      <c r="W219" s="172" t="n"/>
      <c r="X219" s="172" t="n"/>
      <c r="Y219" s="172" t="n"/>
      <c r="Z219" s="172" t="n"/>
      <c r="AA219" s="172">
        <f>IF('Оперативный ввод'!U219="","",'Оперативный ввод'!U219)</f>
        <v/>
      </c>
      <c r="AB219" s="172">
        <f>IF('Оперативный ввод'!V219="","",'Оперативный ввод'!V219)</f>
        <v/>
      </c>
      <c r="AC219" s="172">
        <f>IF('Оперативный ввод'!W219="","",'Оперативный ввод'!W219)</f>
        <v/>
      </c>
      <c r="BB219" s="172" t="n"/>
      <c r="BC219" s="172" t="n"/>
      <c r="BD219" s="205">
        <f>IF(AND(A219="",B219=""),"",IF(AND(P219="ГОТОВО",R219&lt;&gt;"",T219&lt;&gt;"",U219&lt;&gt;"",AA219&lt;&gt;"",AB219&lt;&gt;"",AC219&lt;&gt;"",BB219&lt;&gt;"",BC219&lt;&gt;""),"ГОТОВО","НЕ ГОТОВО"))</f>
        <v/>
      </c>
      <c r="BE219" s="205">
        <f>IF(BD219&lt;&gt;"ГОТОВО","","Полное заключение: "&amp;A219&amp;", скв. "&amp;B219&amp;". МРП: "&amp;E219&amp;" сут. ГНО: "&amp;F219&amp;"; причина: "&amp;U219&amp;"; категория: "&amp;V219&amp;"; решение комиссии: "&amp;BB219&amp;".")</f>
        <v/>
      </c>
      <c r="BF219" s="173">
        <f>IF('Оперативный ввод'!X219="","",'Оперативный ввод'!X219)</f>
        <v/>
      </c>
    </row>
    <row r="220">
      <c r="A220" s="171">
        <f>IF('Оперативный ввод'!A220="","",'Оперативный ввод'!A220)</f>
        <v/>
      </c>
      <c r="B220" s="172">
        <f>IF('Оперативный ввод'!B220="","",'Оперативный ввод'!B220)</f>
        <v/>
      </c>
      <c r="C220" s="270">
        <f>IF('Оперативный ввод'!C220="","",'Оперативный ввод'!C220)</f>
        <v/>
      </c>
      <c r="D220" s="270">
        <f>IF('Оперативный ввод'!D220="","",'Оперативный ввод'!D220)</f>
        <v/>
      </c>
      <c r="E220" s="271">
        <f>IF(OR(C220="",D220=""),"",D220-C220)</f>
        <v/>
      </c>
      <c r="F220" s="172">
        <f>IF('Оперативный ввод'!F220="","",'Оперативный ввод'!F220)</f>
        <v/>
      </c>
      <c r="G220" s="172">
        <f>IF('Оперативный ввод'!G220="","",'Оперативный ввод'!G220)</f>
        <v/>
      </c>
      <c r="H220" s="172">
        <f>IF('Оперативный ввод'!H220="","",'Оперативный ввод'!H220)</f>
        <v/>
      </c>
      <c r="I220" s="172">
        <f>IF('Оперативный ввод'!I220="","",'Оперативный ввод'!I220)</f>
        <v/>
      </c>
      <c r="J220" s="172">
        <f>IF('Оперативный ввод'!J220="","",'Оперативный ввод'!J220)</f>
        <v/>
      </c>
      <c r="K220" s="172">
        <f>IF('Оперативный ввод'!K220="","",'Оперативный ввод'!K220)</f>
        <v/>
      </c>
      <c r="L220" s="172">
        <f>IF('Оперативный ввод'!L220="","",'Оперативный ввод'!L220)</f>
        <v/>
      </c>
      <c r="M220" s="172">
        <f>IF('Оперативный ввод'!M220="","",'Оперативный ввод'!M220)</f>
        <v/>
      </c>
      <c r="N220" s="172">
        <f>IF('Оперативный ввод'!N220="","",'Оперативный ввод'!N220)</f>
        <v/>
      </c>
      <c r="O220" s="172">
        <f>IF('Оперативный ввод'!O220="","",'Оперативный ввод'!O220)</f>
        <v/>
      </c>
      <c r="P220" s="205">
        <f>IF(AND(A220="",B220=""),"",IF(AND(A220&lt;&gt;"",B220&lt;&gt;"",C220&lt;&gt;"",D220&lt;&gt;"",F220&lt;&gt;"",G220&lt;&gt;"",H220&lt;&gt;"",ISERROR(SEARCH("по паспорту",G220)),ISERROR(SEARCH("по паспорту",H220)),I220&lt;&gt;"",J220&lt;&gt;"",K220&lt;&gt;"",L220&lt;&gt;"",M220&lt;&gt;""),"ГОТОВО","НЕ ГОТОВО"))</f>
        <v/>
      </c>
      <c r="Q220" s="205">
        <f>IF(P220&lt;&gt;"ГОТОВО","", "Предварительное заключение: "&amp;A220&amp;", скв. "&amp;B220&amp;". МРП: "&amp;E220&amp;" сут. ГНО: "&amp;F220&amp;", типоразмер "&amp;G220&amp;", марка "&amp;H220&amp;". Событие: "&amp;I220&amp;". Признак: "&amp;J220&amp;". Узел: "&amp;K220&amp;". Предварительная причина: "&amp;L220&amp;". Основное осложнение: "&amp;M220&amp;IF(N220&lt;&gt;"","; сопутствующее: "&amp;N220,"")&amp;IF(O220&lt;&gt;"","; дополнительно: "&amp;O220,"")&amp;".")</f>
        <v/>
      </c>
      <c r="R220" s="172">
        <f>IF('Оперативный ввод'!P220="","",'Оперативный ввод'!P220)</f>
        <v/>
      </c>
      <c r="S220" s="172">
        <f>IF('Оперативный ввод'!Q220="","",'Оперативный ввод'!Q220)</f>
        <v/>
      </c>
      <c r="T220" s="172">
        <f>IF('Оперативный ввод'!R220="","",'Оперативный ввод'!R220)</f>
        <v/>
      </c>
      <c r="U220" s="172">
        <f>IF('Оперативный ввод'!S220="","",'Оперативный ввод'!S220)</f>
        <v/>
      </c>
      <c r="V220" s="172">
        <f>IF('Оперативный ввод'!T220="","",'Оперативный ввод'!T220)</f>
        <v/>
      </c>
      <c r="W220" s="172" t="n"/>
      <c r="X220" s="172" t="n"/>
      <c r="Y220" s="172" t="n"/>
      <c r="Z220" s="172" t="n"/>
      <c r="AA220" s="172">
        <f>IF('Оперативный ввод'!U220="","",'Оперативный ввод'!U220)</f>
        <v/>
      </c>
      <c r="AB220" s="172">
        <f>IF('Оперативный ввод'!V220="","",'Оперативный ввод'!V220)</f>
        <v/>
      </c>
      <c r="AC220" s="172">
        <f>IF('Оперативный ввод'!W220="","",'Оперативный ввод'!W220)</f>
        <v/>
      </c>
      <c r="BB220" s="172" t="n"/>
      <c r="BC220" s="172" t="n"/>
      <c r="BD220" s="205">
        <f>IF(AND(A220="",B220=""),"",IF(AND(P220="ГОТОВО",R220&lt;&gt;"",T220&lt;&gt;"",U220&lt;&gt;"",AA220&lt;&gt;"",AB220&lt;&gt;"",AC220&lt;&gt;"",BB220&lt;&gt;"",BC220&lt;&gt;""),"ГОТОВО","НЕ ГОТОВО"))</f>
        <v/>
      </c>
      <c r="BE220" s="205">
        <f>IF(BD220&lt;&gt;"ГОТОВО","","Полное заключение: "&amp;A220&amp;", скв. "&amp;B220&amp;". МРП: "&amp;E220&amp;" сут. ГНО: "&amp;F220&amp;"; причина: "&amp;U220&amp;"; категория: "&amp;V220&amp;"; решение комиссии: "&amp;BB220&amp;".")</f>
        <v/>
      </c>
      <c r="BF220" s="173">
        <f>IF('Оперативный ввод'!X220="","",'Оперативный ввод'!X220)</f>
        <v/>
      </c>
    </row>
    <row r="221">
      <c r="A221" s="171">
        <f>IF('Оперативный ввод'!A221="","",'Оперативный ввод'!A221)</f>
        <v/>
      </c>
      <c r="B221" s="172">
        <f>IF('Оперативный ввод'!B221="","",'Оперативный ввод'!B221)</f>
        <v/>
      </c>
      <c r="C221" s="270">
        <f>IF('Оперативный ввод'!C221="","",'Оперативный ввод'!C221)</f>
        <v/>
      </c>
      <c r="D221" s="270">
        <f>IF('Оперативный ввод'!D221="","",'Оперативный ввод'!D221)</f>
        <v/>
      </c>
      <c r="E221" s="271">
        <f>IF(OR(C221="",D221=""),"",D221-C221)</f>
        <v/>
      </c>
      <c r="F221" s="172">
        <f>IF('Оперативный ввод'!F221="","",'Оперативный ввод'!F221)</f>
        <v/>
      </c>
      <c r="G221" s="172">
        <f>IF('Оперативный ввод'!G221="","",'Оперативный ввод'!G221)</f>
        <v/>
      </c>
      <c r="H221" s="172">
        <f>IF('Оперативный ввод'!H221="","",'Оперативный ввод'!H221)</f>
        <v/>
      </c>
      <c r="I221" s="172">
        <f>IF('Оперативный ввод'!I221="","",'Оперативный ввод'!I221)</f>
        <v/>
      </c>
      <c r="J221" s="172">
        <f>IF('Оперативный ввод'!J221="","",'Оперативный ввод'!J221)</f>
        <v/>
      </c>
      <c r="K221" s="172">
        <f>IF('Оперативный ввод'!K221="","",'Оперативный ввод'!K221)</f>
        <v/>
      </c>
      <c r="L221" s="172">
        <f>IF('Оперативный ввод'!L221="","",'Оперативный ввод'!L221)</f>
        <v/>
      </c>
      <c r="M221" s="172">
        <f>IF('Оперативный ввод'!M221="","",'Оперативный ввод'!M221)</f>
        <v/>
      </c>
      <c r="N221" s="172">
        <f>IF('Оперативный ввод'!N221="","",'Оперативный ввод'!N221)</f>
        <v/>
      </c>
      <c r="O221" s="172">
        <f>IF('Оперативный ввод'!O221="","",'Оперативный ввод'!O221)</f>
        <v/>
      </c>
      <c r="P221" s="205">
        <f>IF(AND(A221="",B221=""),"",IF(AND(A221&lt;&gt;"",B221&lt;&gt;"",C221&lt;&gt;"",D221&lt;&gt;"",F221&lt;&gt;"",G221&lt;&gt;"",H221&lt;&gt;"",ISERROR(SEARCH("по паспорту",G221)),ISERROR(SEARCH("по паспорту",H221)),I221&lt;&gt;"",J221&lt;&gt;"",K221&lt;&gt;"",L221&lt;&gt;"",M221&lt;&gt;""),"ГОТОВО","НЕ ГОТОВО"))</f>
        <v/>
      </c>
      <c r="Q221" s="205">
        <f>IF(P221&lt;&gt;"ГОТОВО","", "Предварительное заключение: "&amp;A221&amp;", скв. "&amp;B221&amp;". МРП: "&amp;E221&amp;" сут. ГНО: "&amp;F221&amp;", типоразмер "&amp;G221&amp;", марка "&amp;H221&amp;". Событие: "&amp;I221&amp;". Признак: "&amp;J221&amp;". Узел: "&amp;K221&amp;". Предварительная причина: "&amp;L221&amp;". Основное осложнение: "&amp;M221&amp;IF(N221&lt;&gt;"","; сопутствующее: "&amp;N221,"")&amp;IF(O221&lt;&gt;"","; дополнительно: "&amp;O221,"")&amp;".")</f>
        <v/>
      </c>
      <c r="R221" s="172">
        <f>IF('Оперативный ввод'!P221="","",'Оперативный ввод'!P221)</f>
        <v/>
      </c>
      <c r="S221" s="172">
        <f>IF('Оперативный ввод'!Q221="","",'Оперативный ввод'!Q221)</f>
        <v/>
      </c>
      <c r="T221" s="172">
        <f>IF('Оперативный ввод'!R221="","",'Оперативный ввод'!R221)</f>
        <v/>
      </c>
      <c r="U221" s="172">
        <f>IF('Оперативный ввод'!S221="","",'Оперативный ввод'!S221)</f>
        <v/>
      </c>
      <c r="V221" s="172">
        <f>IF('Оперативный ввод'!T221="","",'Оперативный ввод'!T221)</f>
        <v/>
      </c>
      <c r="W221" s="172" t="n"/>
      <c r="X221" s="172" t="n"/>
      <c r="Y221" s="172" t="n"/>
      <c r="Z221" s="172" t="n"/>
      <c r="AA221" s="172">
        <f>IF('Оперативный ввод'!U221="","",'Оперативный ввод'!U221)</f>
        <v/>
      </c>
      <c r="AB221" s="172">
        <f>IF('Оперативный ввод'!V221="","",'Оперативный ввод'!V221)</f>
        <v/>
      </c>
      <c r="AC221" s="172">
        <f>IF('Оперативный ввод'!W221="","",'Оперативный ввод'!W221)</f>
        <v/>
      </c>
      <c r="BB221" s="172" t="n"/>
      <c r="BC221" s="172" t="n"/>
      <c r="BD221" s="205">
        <f>IF(AND(A221="",B221=""),"",IF(AND(P221="ГОТОВО",R221&lt;&gt;"",T221&lt;&gt;"",U221&lt;&gt;"",AA221&lt;&gt;"",AB221&lt;&gt;"",AC221&lt;&gt;"",BB221&lt;&gt;"",BC221&lt;&gt;""),"ГОТОВО","НЕ ГОТОВО"))</f>
        <v/>
      </c>
      <c r="BE221" s="205">
        <f>IF(BD221&lt;&gt;"ГОТОВО","","Полное заключение: "&amp;A221&amp;", скв. "&amp;B221&amp;". МРП: "&amp;E221&amp;" сут. ГНО: "&amp;F221&amp;"; причина: "&amp;U221&amp;"; категория: "&amp;V221&amp;"; решение комиссии: "&amp;BB221&amp;".")</f>
        <v/>
      </c>
      <c r="BF221" s="173">
        <f>IF('Оперативный ввод'!X221="","",'Оперативный ввод'!X221)</f>
        <v/>
      </c>
    </row>
    <row r="222">
      <c r="A222" s="171">
        <f>IF('Оперативный ввод'!A222="","",'Оперативный ввод'!A222)</f>
        <v/>
      </c>
      <c r="B222" s="172">
        <f>IF('Оперативный ввод'!B222="","",'Оперативный ввод'!B222)</f>
        <v/>
      </c>
      <c r="C222" s="270">
        <f>IF('Оперативный ввод'!C222="","",'Оперативный ввод'!C222)</f>
        <v/>
      </c>
      <c r="D222" s="270">
        <f>IF('Оперативный ввод'!D222="","",'Оперативный ввод'!D222)</f>
        <v/>
      </c>
      <c r="E222" s="271">
        <f>IF(OR(C222="",D222=""),"",D222-C222)</f>
        <v/>
      </c>
      <c r="F222" s="172">
        <f>IF('Оперативный ввод'!F222="","",'Оперативный ввод'!F222)</f>
        <v/>
      </c>
      <c r="G222" s="172">
        <f>IF('Оперативный ввод'!G222="","",'Оперативный ввод'!G222)</f>
        <v/>
      </c>
      <c r="H222" s="172">
        <f>IF('Оперативный ввод'!H222="","",'Оперативный ввод'!H222)</f>
        <v/>
      </c>
      <c r="I222" s="172">
        <f>IF('Оперативный ввод'!I222="","",'Оперативный ввод'!I222)</f>
        <v/>
      </c>
      <c r="J222" s="172">
        <f>IF('Оперативный ввод'!J222="","",'Оперативный ввод'!J222)</f>
        <v/>
      </c>
      <c r="K222" s="172">
        <f>IF('Оперативный ввод'!K222="","",'Оперативный ввод'!K222)</f>
        <v/>
      </c>
      <c r="L222" s="172">
        <f>IF('Оперативный ввод'!L222="","",'Оперативный ввод'!L222)</f>
        <v/>
      </c>
      <c r="M222" s="172">
        <f>IF('Оперативный ввод'!M222="","",'Оперативный ввод'!M222)</f>
        <v/>
      </c>
      <c r="N222" s="172">
        <f>IF('Оперативный ввод'!N222="","",'Оперативный ввод'!N222)</f>
        <v/>
      </c>
      <c r="O222" s="172">
        <f>IF('Оперативный ввод'!O222="","",'Оперативный ввод'!O222)</f>
        <v/>
      </c>
      <c r="P222" s="205">
        <f>IF(AND(A222="",B222=""),"",IF(AND(A222&lt;&gt;"",B222&lt;&gt;"",C222&lt;&gt;"",D222&lt;&gt;"",F222&lt;&gt;"",G222&lt;&gt;"",H222&lt;&gt;"",ISERROR(SEARCH("по паспорту",G222)),ISERROR(SEARCH("по паспорту",H222)),I222&lt;&gt;"",J222&lt;&gt;"",K222&lt;&gt;"",L222&lt;&gt;"",M222&lt;&gt;""),"ГОТОВО","НЕ ГОТОВО"))</f>
        <v/>
      </c>
      <c r="Q222" s="205">
        <f>IF(P222&lt;&gt;"ГОТОВО","", "Предварительное заключение: "&amp;A222&amp;", скв. "&amp;B222&amp;". МРП: "&amp;E222&amp;" сут. ГНО: "&amp;F222&amp;", типоразмер "&amp;G222&amp;", марка "&amp;H222&amp;". Событие: "&amp;I222&amp;". Признак: "&amp;J222&amp;". Узел: "&amp;K222&amp;". Предварительная причина: "&amp;L222&amp;". Основное осложнение: "&amp;M222&amp;IF(N222&lt;&gt;"","; сопутствующее: "&amp;N222,"")&amp;IF(O222&lt;&gt;"","; дополнительно: "&amp;O222,"")&amp;".")</f>
        <v/>
      </c>
      <c r="R222" s="172">
        <f>IF('Оперативный ввод'!P222="","",'Оперативный ввод'!P222)</f>
        <v/>
      </c>
      <c r="S222" s="172">
        <f>IF('Оперативный ввод'!Q222="","",'Оперативный ввод'!Q222)</f>
        <v/>
      </c>
      <c r="T222" s="172">
        <f>IF('Оперативный ввод'!R222="","",'Оперативный ввод'!R222)</f>
        <v/>
      </c>
      <c r="U222" s="172">
        <f>IF('Оперативный ввод'!S222="","",'Оперативный ввод'!S222)</f>
        <v/>
      </c>
      <c r="V222" s="172">
        <f>IF('Оперативный ввод'!T222="","",'Оперативный ввод'!T222)</f>
        <v/>
      </c>
      <c r="W222" s="172" t="n"/>
      <c r="X222" s="172" t="n"/>
      <c r="Y222" s="172" t="n"/>
      <c r="Z222" s="172" t="n"/>
      <c r="AA222" s="172">
        <f>IF('Оперативный ввод'!U222="","",'Оперативный ввод'!U222)</f>
        <v/>
      </c>
      <c r="AB222" s="172">
        <f>IF('Оперативный ввод'!V222="","",'Оперативный ввод'!V222)</f>
        <v/>
      </c>
      <c r="AC222" s="172">
        <f>IF('Оперативный ввод'!W222="","",'Оперативный ввод'!W222)</f>
        <v/>
      </c>
      <c r="BB222" s="172" t="n"/>
      <c r="BC222" s="172" t="n"/>
      <c r="BD222" s="205">
        <f>IF(AND(A222="",B222=""),"",IF(AND(P222="ГОТОВО",R222&lt;&gt;"",T222&lt;&gt;"",U222&lt;&gt;"",AA222&lt;&gt;"",AB222&lt;&gt;"",AC222&lt;&gt;"",BB222&lt;&gt;"",BC222&lt;&gt;""),"ГОТОВО","НЕ ГОТОВО"))</f>
        <v/>
      </c>
      <c r="BE222" s="205">
        <f>IF(BD222&lt;&gt;"ГОТОВО","","Полное заключение: "&amp;A222&amp;", скв. "&amp;B222&amp;". МРП: "&amp;E222&amp;" сут. ГНО: "&amp;F222&amp;"; причина: "&amp;U222&amp;"; категория: "&amp;V222&amp;"; решение комиссии: "&amp;BB222&amp;".")</f>
        <v/>
      </c>
      <c r="BF222" s="173">
        <f>IF('Оперативный ввод'!X222="","",'Оперативный ввод'!X222)</f>
        <v/>
      </c>
    </row>
    <row r="223">
      <c r="A223" s="171">
        <f>IF('Оперативный ввод'!A223="","",'Оперативный ввод'!A223)</f>
        <v/>
      </c>
      <c r="B223" s="172">
        <f>IF('Оперативный ввод'!B223="","",'Оперативный ввод'!B223)</f>
        <v/>
      </c>
      <c r="C223" s="270">
        <f>IF('Оперативный ввод'!C223="","",'Оперативный ввод'!C223)</f>
        <v/>
      </c>
      <c r="D223" s="270">
        <f>IF('Оперативный ввод'!D223="","",'Оперативный ввод'!D223)</f>
        <v/>
      </c>
      <c r="E223" s="271">
        <f>IF(OR(C223="",D223=""),"",D223-C223)</f>
        <v/>
      </c>
      <c r="F223" s="172">
        <f>IF('Оперативный ввод'!F223="","",'Оперативный ввод'!F223)</f>
        <v/>
      </c>
      <c r="G223" s="172">
        <f>IF('Оперативный ввод'!G223="","",'Оперативный ввод'!G223)</f>
        <v/>
      </c>
      <c r="H223" s="172">
        <f>IF('Оперативный ввод'!H223="","",'Оперативный ввод'!H223)</f>
        <v/>
      </c>
      <c r="I223" s="172">
        <f>IF('Оперативный ввод'!I223="","",'Оперативный ввод'!I223)</f>
        <v/>
      </c>
      <c r="J223" s="172">
        <f>IF('Оперативный ввод'!J223="","",'Оперативный ввод'!J223)</f>
        <v/>
      </c>
      <c r="K223" s="172">
        <f>IF('Оперативный ввод'!K223="","",'Оперативный ввод'!K223)</f>
        <v/>
      </c>
      <c r="L223" s="172">
        <f>IF('Оперативный ввод'!L223="","",'Оперативный ввод'!L223)</f>
        <v/>
      </c>
      <c r="M223" s="172">
        <f>IF('Оперативный ввод'!M223="","",'Оперативный ввод'!M223)</f>
        <v/>
      </c>
      <c r="N223" s="172">
        <f>IF('Оперативный ввод'!N223="","",'Оперативный ввод'!N223)</f>
        <v/>
      </c>
      <c r="O223" s="172">
        <f>IF('Оперативный ввод'!O223="","",'Оперативный ввод'!O223)</f>
        <v/>
      </c>
      <c r="P223" s="205">
        <f>IF(AND(A223="",B223=""),"",IF(AND(A223&lt;&gt;"",B223&lt;&gt;"",C223&lt;&gt;"",D223&lt;&gt;"",F223&lt;&gt;"",G223&lt;&gt;"",H223&lt;&gt;"",ISERROR(SEARCH("по паспорту",G223)),ISERROR(SEARCH("по паспорту",H223)),I223&lt;&gt;"",J223&lt;&gt;"",K223&lt;&gt;"",L223&lt;&gt;"",M223&lt;&gt;""),"ГОТОВО","НЕ ГОТОВО"))</f>
        <v/>
      </c>
      <c r="Q223" s="205">
        <f>IF(P223&lt;&gt;"ГОТОВО","", "Предварительное заключение: "&amp;A223&amp;", скв. "&amp;B223&amp;". МРП: "&amp;E223&amp;" сут. ГНО: "&amp;F223&amp;", типоразмер "&amp;G223&amp;", марка "&amp;H223&amp;". Событие: "&amp;I223&amp;". Признак: "&amp;J223&amp;". Узел: "&amp;K223&amp;". Предварительная причина: "&amp;L223&amp;". Основное осложнение: "&amp;M223&amp;IF(N223&lt;&gt;"","; сопутствующее: "&amp;N223,"")&amp;IF(O223&lt;&gt;"","; дополнительно: "&amp;O223,"")&amp;".")</f>
        <v/>
      </c>
      <c r="R223" s="172">
        <f>IF('Оперативный ввод'!P223="","",'Оперативный ввод'!P223)</f>
        <v/>
      </c>
      <c r="S223" s="172">
        <f>IF('Оперативный ввод'!Q223="","",'Оперативный ввод'!Q223)</f>
        <v/>
      </c>
      <c r="T223" s="172">
        <f>IF('Оперативный ввод'!R223="","",'Оперативный ввод'!R223)</f>
        <v/>
      </c>
      <c r="U223" s="172">
        <f>IF('Оперативный ввод'!S223="","",'Оперативный ввод'!S223)</f>
        <v/>
      </c>
      <c r="V223" s="172">
        <f>IF('Оперативный ввод'!T223="","",'Оперативный ввод'!T223)</f>
        <v/>
      </c>
      <c r="W223" s="172" t="n"/>
      <c r="X223" s="172" t="n"/>
      <c r="Y223" s="172" t="n"/>
      <c r="Z223" s="172" t="n"/>
      <c r="AA223" s="172">
        <f>IF('Оперативный ввод'!U223="","",'Оперативный ввод'!U223)</f>
        <v/>
      </c>
      <c r="AB223" s="172">
        <f>IF('Оперативный ввод'!V223="","",'Оперативный ввод'!V223)</f>
        <v/>
      </c>
      <c r="AC223" s="172">
        <f>IF('Оперативный ввод'!W223="","",'Оперативный ввод'!W223)</f>
        <v/>
      </c>
      <c r="BB223" s="172" t="n"/>
      <c r="BC223" s="172" t="n"/>
      <c r="BD223" s="205">
        <f>IF(AND(A223="",B223=""),"",IF(AND(P223="ГОТОВО",R223&lt;&gt;"",T223&lt;&gt;"",U223&lt;&gt;"",AA223&lt;&gt;"",AB223&lt;&gt;"",AC223&lt;&gt;"",BB223&lt;&gt;"",BC223&lt;&gt;""),"ГОТОВО","НЕ ГОТОВО"))</f>
        <v/>
      </c>
      <c r="BE223" s="205">
        <f>IF(BD223&lt;&gt;"ГОТОВО","","Полное заключение: "&amp;A223&amp;", скв. "&amp;B223&amp;". МРП: "&amp;E223&amp;" сут. ГНО: "&amp;F223&amp;"; причина: "&amp;U223&amp;"; категория: "&amp;V223&amp;"; решение комиссии: "&amp;BB223&amp;".")</f>
        <v/>
      </c>
      <c r="BF223" s="173">
        <f>IF('Оперативный ввод'!X223="","",'Оперативный ввод'!X223)</f>
        <v/>
      </c>
    </row>
    <row r="224">
      <c r="A224" s="171">
        <f>IF('Оперативный ввод'!A224="","",'Оперативный ввод'!A224)</f>
        <v/>
      </c>
      <c r="B224" s="172">
        <f>IF('Оперативный ввод'!B224="","",'Оперативный ввод'!B224)</f>
        <v/>
      </c>
      <c r="C224" s="270">
        <f>IF('Оперативный ввод'!C224="","",'Оперативный ввод'!C224)</f>
        <v/>
      </c>
      <c r="D224" s="270">
        <f>IF('Оперативный ввод'!D224="","",'Оперативный ввод'!D224)</f>
        <v/>
      </c>
      <c r="E224" s="271">
        <f>IF(OR(C224="",D224=""),"",D224-C224)</f>
        <v/>
      </c>
      <c r="F224" s="172">
        <f>IF('Оперативный ввод'!F224="","",'Оперативный ввод'!F224)</f>
        <v/>
      </c>
      <c r="G224" s="172">
        <f>IF('Оперативный ввод'!G224="","",'Оперативный ввод'!G224)</f>
        <v/>
      </c>
      <c r="H224" s="172">
        <f>IF('Оперативный ввод'!H224="","",'Оперативный ввод'!H224)</f>
        <v/>
      </c>
      <c r="I224" s="172">
        <f>IF('Оперативный ввод'!I224="","",'Оперативный ввод'!I224)</f>
        <v/>
      </c>
      <c r="J224" s="172">
        <f>IF('Оперативный ввод'!J224="","",'Оперативный ввод'!J224)</f>
        <v/>
      </c>
      <c r="K224" s="172">
        <f>IF('Оперативный ввод'!K224="","",'Оперативный ввод'!K224)</f>
        <v/>
      </c>
      <c r="L224" s="172">
        <f>IF('Оперативный ввод'!L224="","",'Оперативный ввод'!L224)</f>
        <v/>
      </c>
      <c r="M224" s="172">
        <f>IF('Оперативный ввод'!M224="","",'Оперативный ввод'!M224)</f>
        <v/>
      </c>
      <c r="N224" s="172">
        <f>IF('Оперативный ввод'!N224="","",'Оперативный ввод'!N224)</f>
        <v/>
      </c>
      <c r="O224" s="172">
        <f>IF('Оперативный ввод'!O224="","",'Оперативный ввод'!O224)</f>
        <v/>
      </c>
      <c r="P224" s="205">
        <f>IF(AND(A224="",B224=""),"",IF(AND(A224&lt;&gt;"",B224&lt;&gt;"",C224&lt;&gt;"",D224&lt;&gt;"",F224&lt;&gt;"",G224&lt;&gt;"",H224&lt;&gt;"",ISERROR(SEARCH("по паспорту",G224)),ISERROR(SEARCH("по паспорту",H224)),I224&lt;&gt;"",J224&lt;&gt;"",K224&lt;&gt;"",L224&lt;&gt;"",M224&lt;&gt;""),"ГОТОВО","НЕ ГОТОВО"))</f>
        <v/>
      </c>
      <c r="Q224" s="205">
        <f>IF(P224&lt;&gt;"ГОТОВО","", "Предварительное заключение: "&amp;A224&amp;", скв. "&amp;B224&amp;". МРП: "&amp;E224&amp;" сут. ГНО: "&amp;F224&amp;", типоразмер "&amp;G224&amp;", марка "&amp;H224&amp;". Событие: "&amp;I224&amp;". Признак: "&amp;J224&amp;". Узел: "&amp;K224&amp;". Предварительная причина: "&amp;L224&amp;". Основное осложнение: "&amp;M224&amp;IF(N224&lt;&gt;"","; сопутствующее: "&amp;N224,"")&amp;IF(O224&lt;&gt;"","; дополнительно: "&amp;O224,"")&amp;".")</f>
        <v/>
      </c>
      <c r="R224" s="172">
        <f>IF('Оперативный ввод'!P224="","",'Оперативный ввод'!P224)</f>
        <v/>
      </c>
      <c r="S224" s="172">
        <f>IF('Оперативный ввод'!Q224="","",'Оперативный ввод'!Q224)</f>
        <v/>
      </c>
      <c r="T224" s="172">
        <f>IF('Оперативный ввод'!R224="","",'Оперативный ввод'!R224)</f>
        <v/>
      </c>
      <c r="U224" s="172">
        <f>IF('Оперативный ввод'!S224="","",'Оперативный ввод'!S224)</f>
        <v/>
      </c>
      <c r="V224" s="172">
        <f>IF('Оперативный ввод'!T224="","",'Оперативный ввод'!T224)</f>
        <v/>
      </c>
      <c r="W224" s="172" t="n"/>
      <c r="X224" s="172" t="n"/>
      <c r="Y224" s="172" t="n"/>
      <c r="Z224" s="172" t="n"/>
      <c r="AA224" s="172">
        <f>IF('Оперативный ввод'!U224="","",'Оперативный ввод'!U224)</f>
        <v/>
      </c>
      <c r="AB224" s="172">
        <f>IF('Оперативный ввод'!V224="","",'Оперативный ввод'!V224)</f>
        <v/>
      </c>
      <c r="AC224" s="172">
        <f>IF('Оперативный ввод'!W224="","",'Оперативный ввод'!W224)</f>
        <v/>
      </c>
      <c r="BB224" s="172" t="n"/>
      <c r="BC224" s="172" t="n"/>
      <c r="BD224" s="205">
        <f>IF(AND(A224="",B224=""),"",IF(AND(P224="ГОТОВО",R224&lt;&gt;"",T224&lt;&gt;"",U224&lt;&gt;"",AA224&lt;&gt;"",AB224&lt;&gt;"",AC224&lt;&gt;"",BB224&lt;&gt;"",BC224&lt;&gt;""),"ГОТОВО","НЕ ГОТОВО"))</f>
        <v/>
      </c>
      <c r="BE224" s="205">
        <f>IF(BD224&lt;&gt;"ГОТОВО","","Полное заключение: "&amp;A224&amp;", скв. "&amp;B224&amp;". МРП: "&amp;E224&amp;" сут. ГНО: "&amp;F224&amp;"; причина: "&amp;U224&amp;"; категория: "&amp;V224&amp;"; решение комиссии: "&amp;BB224&amp;".")</f>
        <v/>
      </c>
      <c r="BF224" s="173">
        <f>IF('Оперативный ввод'!X224="","",'Оперативный ввод'!X224)</f>
        <v/>
      </c>
    </row>
    <row r="225">
      <c r="A225" s="171">
        <f>IF('Оперативный ввод'!A225="","",'Оперативный ввод'!A225)</f>
        <v/>
      </c>
      <c r="B225" s="172">
        <f>IF('Оперативный ввод'!B225="","",'Оперативный ввод'!B225)</f>
        <v/>
      </c>
      <c r="C225" s="270">
        <f>IF('Оперативный ввод'!C225="","",'Оперативный ввод'!C225)</f>
        <v/>
      </c>
      <c r="D225" s="270">
        <f>IF('Оперативный ввод'!D225="","",'Оперативный ввод'!D225)</f>
        <v/>
      </c>
      <c r="E225" s="271">
        <f>IF(OR(C225="",D225=""),"",D225-C225)</f>
        <v/>
      </c>
      <c r="F225" s="172">
        <f>IF('Оперативный ввод'!F225="","",'Оперативный ввод'!F225)</f>
        <v/>
      </c>
      <c r="G225" s="172">
        <f>IF('Оперативный ввод'!G225="","",'Оперативный ввод'!G225)</f>
        <v/>
      </c>
      <c r="H225" s="172">
        <f>IF('Оперативный ввод'!H225="","",'Оперативный ввод'!H225)</f>
        <v/>
      </c>
      <c r="I225" s="172">
        <f>IF('Оперативный ввод'!I225="","",'Оперативный ввод'!I225)</f>
        <v/>
      </c>
      <c r="J225" s="172">
        <f>IF('Оперативный ввод'!J225="","",'Оперативный ввод'!J225)</f>
        <v/>
      </c>
      <c r="K225" s="172">
        <f>IF('Оперативный ввод'!K225="","",'Оперативный ввод'!K225)</f>
        <v/>
      </c>
      <c r="L225" s="172">
        <f>IF('Оперативный ввод'!L225="","",'Оперативный ввод'!L225)</f>
        <v/>
      </c>
      <c r="M225" s="172">
        <f>IF('Оперативный ввод'!M225="","",'Оперативный ввод'!M225)</f>
        <v/>
      </c>
      <c r="N225" s="172">
        <f>IF('Оперативный ввод'!N225="","",'Оперативный ввод'!N225)</f>
        <v/>
      </c>
      <c r="O225" s="172">
        <f>IF('Оперативный ввод'!O225="","",'Оперативный ввод'!O225)</f>
        <v/>
      </c>
      <c r="P225" s="205">
        <f>IF(AND(A225="",B225=""),"",IF(AND(A225&lt;&gt;"",B225&lt;&gt;"",C225&lt;&gt;"",D225&lt;&gt;"",F225&lt;&gt;"",G225&lt;&gt;"",H225&lt;&gt;"",ISERROR(SEARCH("по паспорту",G225)),ISERROR(SEARCH("по паспорту",H225)),I225&lt;&gt;"",J225&lt;&gt;"",K225&lt;&gt;"",L225&lt;&gt;"",M225&lt;&gt;""),"ГОТОВО","НЕ ГОТОВО"))</f>
        <v/>
      </c>
      <c r="Q225" s="205">
        <f>IF(P225&lt;&gt;"ГОТОВО","", "Предварительное заключение: "&amp;A225&amp;", скв. "&amp;B225&amp;". МРП: "&amp;E225&amp;" сут. ГНО: "&amp;F225&amp;", типоразмер "&amp;G225&amp;", марка "&amp;H225&amp;". Событие: "&amp;I225&amp;". Признак: "&amp;J225&amp;". Узел: "&amp;K225&amp;". Предварительная причина: "&amp;L225&amp;". Основное осложнение: "&amp;M225&amp;IF(N225&lt;&gt;"","; сопутствующее: "&amp;N225,"")&amp;IF(O225&lt;&gt;"","; дополнительно: "&amp;O225,"")&amp;".")</f>
        <v/>
      </c>
      <c r="R225" s="172">
        <f>IF('Оперативный ввод'!P225="","",'Оперативный ввод'!P225)</f>
        <v/>
      </c>
      <c r="S225" s="172">
        <f>IF('Оперативный ввод'!Q225="","",'Оперативный ввод'!Q225)</f>
        <v/>
      </c>
      <c r="T225" s="172">
        <f>IF('Оперативный ввод'!R225="","",'Оперативный ввод'!R225)</f>
        <v/>
      </c>
      <c r="U225" s="172">
        <f>IF('Оперативный ввод'!S225="","",'Оперативный ввод'!S225)</f>
        <v/>
      </c>
      <c r="V225" s="172">
        <f>IF('Оперативный ввод'!T225="","",'Оперативный ввод'!T225)</f>
        <v/>
      </c>
      <c r="W225" s="172" t="n"/>
      <c r="X225" s="172" t="n"/>
      <c r="Y225" s="172" t="n"/>
      <c r="Z225" s="172" t="n"/>
      <c r="AA225" s="172">
        <f>IF('Оперативный ввод'!U225="","",'Оперативный ввод'!U225)</f>
        <v/>
      </c>
      <c r="AB225" s="172">
        <f>IF('Оперативный ввод'!V225="","",'Оперативный ввод'!V225)</f>
        <v/>
      </c>
      <c r="AC225" s="172">
        <f>IF('Оперативный ввод'!W225="","",'Оперативный ввод'!W225)</f>
        <v/>
      </c>
      <c r="BB225" s="172" t="n"/>
      <c r="BC225" s="172" t="n"/>
      <c r="BD225" s="205">
        <f>IF(AND(A225="",B225=""),"",IF(AND(P225="ГОТОВО",R225&lt;&gt;"",T225&lt;&gt;"",U225&lt;&gt;"",AA225&lt;&gt;"",AB225&lt;&gt;"",AC225&lt;&gt;"",BB225&lt;&gt;"",BC225&lt;&gt;""),"ГОТОВО","НЕ ГОТОВО"))</f>
        <v/>
      </c>
      <c r="BE225" s="205">
        <f>IF(BD225&lt;&gt;"ГОТОВО","","Полное заключение: "&amp;A225&amp;", скв. "&amp;B225&amp;". МРП: "&amp;E225&amp;" сут. ГНО: "&amp;F225&amp;"; причина: "&amp;U225&amp;"; категория: "&amp;V225&amp;"; решение комиссии: "&amp;BB225&amp;".")</f>
        <v/>
      </c>
      <c r="BF225" s="173">
        <f>IF('Оперативный ввод'!X225="","",'Оперативный ввод'!X225)</f>
        <v/>
      </c>
    </row>
    <row r="226">
      <c r="A226" s="171">
        <f>IF('Оперативный ввод'!A226="","",'Оперативный ввод'!A226)</f>
        <v/>
      </c>
      <c r="B226" s="172">
        <f>IF('Оперативный ввод'!B226="","",'Оперативный ввод'!B226)</f>
        <v/>
      </c>
      <c r="C226" s="270">
        <f>IF('Оперативный ввод'!C226="","",'Оперативный ввод'!C226)</f>
        <v/>
      </c>
      <c r="D226" s="270">
        <f>IF('Оперативный ввод'!D226="","",'Оперативный ввод'!D226)</f>
        <v/>
      </c>
      <c r="E226" s="271">
        <f>IF(OR(C226="",D226=""),"",D226-C226)</f>
        <v/>
      </c>
      <c r="F226" s="172">
        <f>IF('Оперативный ввод'!F226="","",'Оперативный ввод'!F226)</f>
        <v/>
      </c>
      <c r="G226" s="172">
        <f>IF('Оперативный ввод'!G226="","",'Оперативный ввод'!G226)</f>
        <v/>
      </c>
      <c r="H226" s="172">
        <f>IF('Оперативный ввод'!H226="","",'Оперативный ввод'!H226)</f>
        <v/>
      </c>
      <c r="I226" s="172">
        <f>IF('Оперативный ввод'!I226="","",'Оперативный ввод'!I226)</f>
        <v/>
      </c>
      <c r="J226" s="172">
        <f>IF('Оперативный ввод'!J226="","",'Оперативный ввод'!J226)</f>
        <v/>
      </c>
      <c r="K226" s="172">
        <f>IF('Оперативный ввод'!K226="","",'Оперативный ввод'!K226)</f>
        <v/>
      </c>
      <c r="L226" s="172">
        <f>IF('Оперативный ввод'!L226="","",'Оперативный ввод'!L226)</f>
        <v/>
      </c>
      <c r="M226" s="172">
        <f>IF('Оперативный ввод'!M226="","",'Оперативный ввод'!M226)</f>
        <v/>
      </c>
      <c r="N226" s="172">
        <f>IF('Оперативный ввод'!N226="","",'Оперативный ввод'!N226)</f>
        <v/>
      </c>
      <c r="O226" s="172">
        <f>IF('Оперативный ввод'!O226="","",'Оперативный ввод'!O226)</f>
        <v/>
      </c>
      <c r="P226" s="205">
        <f>IF(AND(A226="",B226=""),"",IF(AND(A226&lt;&gt;"",B226&lt;&gt;"",C226&lt;&gt;"",D226&lt;&gt;"",F226&lt;&gt;"",G226&lt;&gt;"",H226&lt;&gt;"",ISERROR(SEARCH("по паспорту",G226)),ISERROR(SEARCH("по паспорту",H226)),I226&lt;&gt;"",J226&lt;&gt;"",K226&lt;&gt;"",L226&lt;&gt;"",M226&lt;&gt;""),"ГОТОВО","НЕ ГОТОВО"))</f>
        <v/>
      </c>
      <c r="Q226" s="205">
        <f>IF(P226&lt;&gt;"ГОТОВО","", "Предварительное заключение: "&amp;A226&amp;", скв. "&amp;B226&amp;". МРП: "&amp;E226&amp;" сут. ГНО: "&amp;F226&amp;", типоразмер "&amp;G226&amp;", марка "&amp;H226&amp;". Событие: "&amp;I226&amp;". Признак: "&amp;J226&amp;". Узел: "&amp;K226&amp;". Предварительная причина: "&amp;L226&amp;". Основное осложнение: "&amp;M226&amp;IF(N226&lt;&gt;"","; сопутствующее: "&amp;N226,"")&amp;IF(O226&lt;&gt;"","; дополнительно: "&amp;O226,"")&amp;".")</f>
        <v/>
      </c>
      <c r="R226" s="172">
        <f>IF('Оперативный ввод'!P226="","",'Оперативный ввод'!P226)</f>
        <v/>
      </c>
      <c r="S226" s="172">
        <f>IF('Оперативный ввод'!Q226="","",'Оперативный ввод'!Q226)</f>
        <v/>
      </c>
      <c r="T226" s="172">
        <f>IF('Оперативный ввод'!R226="","",'Оперативный ввод'!R226)</f>
        <v/>
      </c>
      <c r="U226" s="172">
        <f>IF('Оперативный ввод'!S226="","",'Оперативный ввод'!S226)</f>
        <v/>
      </c>
      <c r="V226" s="172">
        <f>IF('Оперативный ввод'!T226="","",'Оперативный ввод'!T226)</f>
        <v/>
      </c>
      <c r="W226" s="172" t="n"/>
      <c r="X226" s="172" t="n"/>
      <c r="Y226" s="172" t="n"/>
      <c r="Z226" s="172" t="n"/>
      <c r="AA226" s="172">
        <f>IF('Оперативный ввод'!U226="","",'Оперативный ввод'!U226)</f>
        <v/>
      </c>
      <c r="AB226" s="172">
        <f>IF('Оперативный ввод'!V226="","",'Оперативный ввод'!V226)</f>
        <v/>
      </c>
      <c r="AC226" s="172">
        <f>IF('Оперативный ввод'!W226="","",'Оперативный ввод'!W226)</f>
        <v/>
      </c>
      <c r="BB226" s="172" t="n"/>
      <c r="BC226" s="172" t="n"/>
      <c r="BD226" s="205">
        <f>IF(AND(A226="",B226=""),"",IF(AND(P226="ГОТОВО",R226&lt;&gt;"",T226&lt;&gt;"",U226&lt;&gt;"",AA226&lt;&gt;"",AB226&lt;&gt;"",AC226&lt;&gt;"",BB226&lt;&gt;"",BC226&lt;&gt;""),"ГОТОВО","НЕ ГОТОВО"))</f>
        <v/>
      </c>
      <c r="BE226" s="205">
        <f>IF(BD226&lt;&gt;"ГОТОВО","","Полное заключение: "&amp;A226&amp;", скв. "&amp;B226&amp;". МРП: "&amp;E226&amp;" сут. ГНО: "&amp;F226&amp;"; причина: "&amp;U226&amp;"; категория: "&amp;V226&amp;"; решение комиссии: "&amp;BB226&amp;".")</f>
        <v/>
      </c>
      <c r="BF226" s="173">
        <f>IF('Оперативный ввод'!X226="","",'Оперативный ввод'!X226)</f>
        <v/>
      </c>
    </row>
    <row r="227">
      <c r="A227" s="171">
        <f>IF('Оперативный ввод'!A227="","",'Оперативный ввод'!A227)</f>
        <v/>
      </c>
      <c r="B227" s="172">
        <f>IF('Оперативный ввод'!B227="","",'Оперативный ввод'!B227)</f>
        <v/>
      </c>
      <c r="C227" s="270">
        <f>IF('Оперативный ввод'!C227="","",'Оперативный ввод'!C227)</f>
        <v/>
      </c>
      <c r="D227" s="270">
        <f>IF('Оперативный ввод'!D227="","",'Оперативный ввод'!D227)</f>
        <v/>
      </c>
      <c r="E227" s="271">
        <f>IF(OR(C227="",D227=""),"",D227-C227)</f>
        <v/>
      </c>
      <c r="F227" s="172">
        <f>IF('Оперативный ввод'!F227="","",'Оперативный ввод'!F227)</f>
        <v/>
      </c>
      <c r="G227" s="172">
        <f>IF('Оперативный ввод'!G227="","",'Оперативный ввод'!G227)</f>
        <v/>
      </c>
      <c r="H227" s="172">
        <f>IF('Оперативный ввод'!H227="","",'Оперативный ввод'!H227)</f>
        <v/>
      </c>
      <c r="I227" s="172">
        <f>IF('Оперативный ввод'!I227="","",'Оперативный ввод'!I227)</f>
        <v/>
      </c>
      <c r="J227" s="172">
        <f>IF('Оперативный ввод'!J227="","",'Оперативный ввод'!J227)</f>
        <v/>
      </c>
      <c r="K227" s="172">
        <f>IF('Оперативный ввод'!K227="","",'Оперативный ввод'!K227)</f>
        <v/>
      </c>
      <c r="L227" s="172">
        <f>IF('Оперативный ввод'!L227="","",'Оперативный ввод'!L227)</f>
        <v/>
      </c>
      <c r="M227" s="172">
        <f>IF('Оперативный ввод'!M227="","",'Оперативный ввод'!M227)</f>
        <v/>
      </c>
      <c r="N227" s="172">
        <f>IF('Оперативный ввод'!N227="","",'Оперативный ввод'!N227)</f>
        <v/>
      </c>
      <c r="O227" s="172">
        <f>IF('Оперативный ввод'!O227="","",'Оперативный ввод'!O227)</f>
        <v/>
      </c>
      <c r="P227" s="205">
        <f>IF(AND(A227="",B227=""),"",IF(AND(A227&lt;&gt;"",B227&lt;&gt;"",C227&lt;&gt;"",D227&lt;&gt;"",F227&lt;&gt;"",G227&lt;&gt;"",H227&lt;&gt;"",ISERROR(SEARCH("по паспорту",G227)),ISERROR(SEARCH("по паспорту",H227)),I227&lt;&gt;"",J227&lt;&gt;"",K227&lt;&gt;"",L227&lt;&gt;"",M227&lt;&gt;""),"ГОТОВО","НЕ ГОТОВО"))</f>
        <v/>
      </c>
      <c r="Q227" s="205">
        <f>IF(P227&lt;&gt;"ГОТОВО","", "Предварительное заключение: "&amp;A227&amp;", скв. "&amp;B227&amp;". МРП: "&amp;E227&amp;" сут. ГНО: "&amp;F227&amp;", типоразмер "&amp;G227&amp;", марка "&amp;H227&amp;". Событие: "&amp;I227&amp;". Признак: "&amp;J227&amp;". Узел: "&amp;K227&amp;". Предварительная причина: "&amp;L227&amp;". Основное осложнение: "&amp;M227&amp;IF(N227&lt;&gt;"","; сопутствующее: "&amp;N227,"")&amp;IF(O227&lt;&gt;"","; дополнительно: "&amp;O227,"")&amp;".")</f>
        <v/>
      </c>
      <c r="R227" s="172">
        <f>IF('Оперативный ввод'!P227="","",'Оперативный ввод'!P227)</f>
        <v/>
      </c>
      <c r="S227" s="172">
        <f>IF('Оперативный ввод'!Q227="","",'Оперативный ввод'!Q227)</f>
        <v/>
      </c>
      <c r="T227" s="172">
        <f>IF('Оперативный ввод'!R227="","",'Оперативный ввод'!R227)</f>
        <v/>
      </c>
      <c r="U227" s="172">
        <f>IF('Оперативный ввод'!S227="","",'Оперативный ввод'!S227)</f>
        <v/>
      </c>
      <c r="V227" s="172">
        <f>IF('Оперативный ввод'!T227="","",'Оперативный ввод'!T227)</f>
        <v/>
      </c>
      <c r="W227" s="172" t="n"/>
      <c r="X227" s="172" t="n"/>
      <c r="Y227" s="172" t="n"/>
      <c r="Z227" s="172" t="n"/>
      <c r="AA227" s="172">
        <f>IF('Оперативный ввод'!U227="","",'Оперативный ввод'!U227)</f>
        <v/>
      </c>
      <c r="AB227" s="172">
        <f>IF('Оперативный ввод'!V227="","",'Оперативный ввод'!V227)</f>
        <v/>
      </c>
      <c r="AC227" s="172">
        <f>IF('Оперативный ввод'!W227="","",'Оперативный ввод'!W227)</f>
        <v/>
      </c>
      <c r="BB227" s="172" t="n"/>
      <c r="BC227" s="172" t="n"/>
      <c r="BD227" s="205">
        <f>IF(AND(A227="",B227=""),"",IF(AND(P227="ГОТОВО",R227&lt;&gt;"",T227&lt;&gt;"",U227&lt;&gt;"",AA227&lt;&gt;"",AB227&lt;&gt;"",AC227&lt;&gt;"",BB227&lt;&gt;"",BC227&lt;&gt;""),"ГОТОВО","НЕ ГОТОВО"))</f>
        <v/>
      </c>
      <c r="BE227" s="205">
        <f>IF(BD227&lt;&gt;"ГОТОВО","","Полное заключение: "&amp;A227&amp;", скв. "&amp;B227&amp;". МРП: "&amp;E227&amp;" сут. ГНО: "&amp;F227&amp;"; причина: "&amp;U227&amp;"; категория: "&amp;V227&amp;"; решение комиссии: "&amp;BB227&amp;".")</f>
        <v/>
      </c>
      <c r="BF227" s="173">
        <f>IF('Оперативный ввод'!X227="","",'Оперативный ввод'!X227)</f>
        <v/>
      </c>
    </row>
    <row r="228">
      <c r="A228" s="171">
        <f>IF('Оперативный ввод'!A228="","",'Оперативный ввод'!A228)</f>
        <v/>
      </c>
      <c r="B228" s="172">
        <f>IF('Оперативный ввод'!B228="","",'Оперативный ввод'!B228)</f>
        <v/>
      </c>
      <c r="C228" s="270">
        <f>IF('Оперативный ввод'!C228="","",'Оперативный ввод'!C228)</f>
        <v/>
      </c>
      <c r="D228" s="270">
        <f>IF('Оперативный ввод'!D228="","",'Оперативный ввод'!D228)</f>
        <v/>
      </c>
      <c r="E228" s="271">
        <f>IF(OR(C228="",D228=""),"",D228-C228)</f>
        <v/>
      </c>
      <c r="F228" s="172">
        <f>IF('Оперативный ввод'!F228="","",'Оперативный ввод'!F228)</f>
        <v/>
      </c>
      <c r="G228" s="172">
        <f>IF('Оперативный ввод'!G228="","",'Оперативный ввод'!G228)</f>
        <v/>
      </c>
      <c r="H228" s="172">
        <f>IF('Оперативный ввод'!H228="","",'Оперативный ввод'!H228)</f>
        <v/>
      </c>
      <c r="I228" s="172">
        <f>IF('Оперативный ввод'!I228="","",'Оперативный ввод'!I228)</f>
        <v/>
      </c>
      <c r="J228" s="172">
        <f>IF('Оперативный ввод'!J228="","",'Оперативный ввод'!J228)</f>
        <v/>
      </c>
      <c r="K228" s="172">
        <f>IF('Оперативный ввод'!K228="","",'Оперативный ввод'!K228)</f>
        <v/>
      </c>
      <c r="L228" s="172">
        <f>IF('Оперативный ввод'!L228="","",'Оперативный ввод'!L228)</f>
        <v/>
      </c>
      <c r="M228" s="172">
        <f>IF('Оперативный ввод'!M228="","",'Оперативный ввод'!M228)</f>
        <v/>
      </c>
      <c r="N228" s="172">
        <f>IF('Оперативный ввод'!N228="","",'Оперативный ввод'!N228)</f>
        <v/>
      </c>
      <c r="O228" s="172">
        <f>IF('Оперативный ввод'!O228="","",'Оперативный ввод'!O228)</f>
        <v/>
      </c>
      <c r="P228" s="205">
        <f>IF(AND(A228="",B228=""),"",IF(AND(A228&lt;&gt;"",B228&lt;&gt;"",C228&lt;&gt;"",D228&lt;&gt;"",F228&lt;&gt;"",G228&lt;&gt;"",H228&lt;&gt;"",ISERROR(SEARCH("по паспорту",G228)),ISERROR(SEARCH("по паспорту",H228)),I228&lt;&gt;"",J228&lt;&gt;"",K228&lt;&gt;"",L228&lt;&gt;"",M228&lt;&gt;""),"ГОТОВО","НЕ ГОТОВО"))</f>
        <v/>
      </c>
      <c r="Q228" s="205">
        <f>IF(P228&lt;&gt;"ГОТОВО","", "Предварительное заключение: "&amp;A228&amp;", скв. "&amp;B228&amp;". МРП: "&amp;E228&amp;" сут. ГНО: "&amp;F228&amp;", типоразмер "&amp;G228&amp;", марка "&amp;H228&amp;". Событие: "&amp;I228&amp;". Признак: "&amp;J228&amp;". Узел: "&amp;K228&amp;". Предварительная причина: "&amp;L228&amp;". Основное осложнение: "&amp;M228&amp;IF(N228&lt;&gt;"","; сопутствующее: "&amp;N228,"")&amp;IF(O228&lt;&gt;"","; дополнительно: "&amp;O228,"")&amp;".")</f>
        <v/>
      </c>
      <c r="R228" s="172">
        <f>IF('Оперативный ввод'!P228="","",'Оперативный ввод'!P228)</f>
        <v/>
      </c>
      <c r="S228" s="172">
        <f>IF('Оперативный ввод'!Q228="","",'Оперативный ввод'!Q228)</f>
        <v/>
      </c>
      <c r="T228" s="172">
        <f>IF('Оперативный ввод'!R228="","",'Оперативный ввод'!R228)</f>
        <v/>
      </c>
      <c r="U228" s="172">
        <f>IF('Оперативный ввод'!S228="","",'Оперативный ввод'!S228)</f>
        <v/>
      </c>
      <c r="V228" s="172">
        <f>IF('Оперативный ввод'!T228="","",'Оперативный ввод'!T228)</f>
        <v/>
      </c>
      <c r="W228" s="172" t="n"/>
      <c r="X228" s="172" t="n"/>
      <c r="Y228" s="172" t="n"/>
      <c r="Z228" s="172" t="n"/>
      <c r="AA228" s="172">
        <f>IF('Оперативный ввод'!U228="","",'Оперативный ввод'!U228)</f>
        <v/>
      </c>
      <c r="AB228" s="172">
        <f>IF('Оперативный ввод'!V228="","",'Оперативный ввод'!V228)</f>
        <v/>
      </c>
      <c r="AC228" s="172">
        <f>IF('Оперативный ввод'!W228="","",'Оперативный ввод'!W228)</f>
        <v/>
      </c>
      <c r="BB228" s="172" t="n"/>
      <c r="BC228" s="172" t="n"/>
      <c r="BD228" s="205">
        <f>IF(AND(A228="",B228=""),"",IF(AND(P228="ГОТОВО",R228&lt;&gt;"",T228&lt;&gt;"",U228&lt;&gt;"",AA228&lt;&gt;"",AB228&lt;&gt;"",AC228&lt;&gt;"",BB228&lt;&gt;"",BC228&lt;&gt;""),"ГОТОВО","НЕ ГОТОВО"))</f>
        <v/>
      </c>
      <c r="BE228" s="205">
        <f>IF(BD228&lt;&gt;"ГОТОВО","","Полное заключение: "&amp;A228&amp;", скв. "&amp;B228&amp;". МРП: "&amp;E228&amp;" сут. ГНО: "&amp;F228&amp;"; причина: "&amp;U228&amp;"; категория: "&amp;V228&amp;"; решение комиссии: "&amp;BB228&amp;".")</f>
        <v/>
      </c>
      <c r="BF228" s="173">
        <f>IF('Оперативный ввод'!X228="","",'Оперативный ввод'!X228)</f>
        <v/>
      </c>
    </row>
    <row r="229">
      <c r="A229" s="171">
        <f>IF('Оперативный ввод'!A229="","",'Оперативный ввод'!A229)</f>
        <v/>
      </c>
      <c r="B229" s="172">
        <f>IF('Оперативный ввод'!B229="","",'Оперативный ввод'!B229)</f>
        <v/>
      </c>
      <c r="C229" s="270">
        <f>IF('Оперативный ввод'!C229="","",'Оперативный ввод'!C229)</f>
        <v/>
      </c>
      <c r="D229" s="270">
        <f>IF('Оперативный ввод'!D229="","",'Оперативный ввод'!D229)</f>
        <v/>
      </c>
      <c r="E229" s="271">
        <f>IF(OR(C229="",D229=""),"",D229-C229)</f>
        <v/>
      </c>
      <c r="F229" s="172">
        <f>IF('Оперативный ввод'!F229="","",'Оперативный ввод'!F229)</f>
        <v/>
      </c>
      <c r="G229" s="172">
        <f>IF('Оперативный ввод'!G229="","",'Оперативный ввод'!G229)</f>
        <v/>
      </c>
      <c r="H229" s="172">
        <f>IF('Оперативный ввод'!H229="","",'Оперативный ввод'!H229)</f>
        <v/>
      </c>
      <c r="I229" s="172">
        <f>IF('Оперативный ввод'!I229="","",'Оперативный ввод'!I229)</f>
        <v/>
      </c>
      <c r="J229" s="172">
        <f>IF('Оперативный ввод'!J229="","",'Оперативный ввод'!J229)</f>
        <v/>
      </c>
      <c r="K229" s="172">
        <f>IF('Оперативный ввод'!K229="","",'Оперативный ввод'!K229)</f>
        <v/>
      </c>
      <c r="L229" s="172">
        <f>IF('Оперативный ввод'!L229="","",'Оперативный ввод'!L229)</f>
        <v/>
      </c>
      <c r="M229" s="172">
        <f>IF('Оперативный ввод'!M229="","",'Оперативный ввод'!M229)</f>
        <v/>
      </c>
      <c r="N229" s="172">
        <f>IF('Оперативный ввод'!N229="","",'Оперативный ввод'!N229)</f>
        <v/>
      </c>
      <c r="O229" s="172">
        <f>IF('Оперативный ввод'!O229="","",'Оперативный ввод'!O229)</f>
        <v/>
      </c>
      <c r="P229" s="205">
        <f>IF(AND(A229="",B229=""),"",IF(AND(A229&lt;&gt;"",B229&lt;&gt;"",C229&lt;&gt;"",D229&lt;&gt;"",F229&lt;&gt;"",G229&lt;&gt;"",H229&lt;&gt;"",ISERROR(SEARCH("по паспорту",G229)),ISERROR(SEARCH("по паспорту",H229)),I229&lt;&gt;"",J229&lt;&gt;"",K229&lt;&gt;"",L229&lt;&gt;"",M229&lt;&gt;""),"ГОТОВО","НЕ ГОТОВО"))</f>
        <v/>
      </c>
      <c r="Q229" s="205">
        <f>IF(P229&lt;&gt;"ГОТОВО","", "Предварительное заключение: "&amp;A229&amp;", скв. "&amp;B229&amp;". МРП: "&amp;E229&amp;" сут. ГНО: "&amp;F229&amp;", типоразмер "&amp;G229&amp;", марка "&amp;H229&amp;". Событие: "&amp;I229&amp;". Признак: "&amp;J229&amp;". Узел: "&amp;K229&amp;". Предварительная причина: "&amp;L229&amp;". Основное осложнение: "&amp;M229&amp;IF(N229&lt;&gt;"","; сопутствующее: "&amp;N229,"")&amp;IF(O229&lt;&gt;"","; дополнительно: "&amp;O229,"")&amp;".")</f>
        <v/>
      </c>
      <c r="R229" s="172">
        <f>IF('Оперативный ввод'!P229="","",'Оперативный ввод'!P229)</f>
        <v/>
      </c>
      <c r="S229" s="172">
        <f>IF('Оперативный ввод'!Q229="","",'Оперативный ввод'!Q229)</f>
        <v/>
      </c>
      <c r="T229" s="172">
        <f>IF('Оперативный ввод'!R229="","",'Оперативный ввод'!R229)</f>
        <v/>
      </c>
      <c r="U229" s="172">
        <f>IF('Оперативный ввод'!S229="","",'Оперативный ввод'!S229)</f>
        <v/>
      </c>
      <c r="V229" s="172">
        <f>IF('Оперативный ввод'!T229="","",'Оперативный ввод'!T229)</f>
        <v/>
      </c>
      <c r="W229" s="172" t="n"/>
      <c r="X229" s="172" t="n"/>
      <c r="Y229" s="172" t="n"/>
      <c r="Z229" s="172" t="n"/>
      <c r="AA229" s="172">
        <f>IF('Оперативный ввод'!U229="","",'Оперативный ввод'!U229)</f>
        <v/>
      </c>
      <c r="AB229" s="172">
        <f>IF('Оперативный ввод'!V229="","",'Оперативный ввод'!V229)</f>
        <v/>
      </c>
      <c r="AC229" s="172">
        <f>IF('Оперативный ввод'!W229="","",'Оперативный ввод'!W229)</f>
        <v/>
      </c>
      <c r="BB229" s="172" t="n"/>
      <c r="BC229" s="172" t="n"/>
      <c r="BD229" s="205">
        <f>IF(AND(A229="",B229=""),"",IF(AND(P229="ГОТОВО",R229&lt;&gt;"",T229&lt;&gt;"",U229&lt;&gt;"",AA229&lt;&gt;"",AB229&lt;&gt;"",AC229&lt;&gt;"",BB229&lt;&gt;"",BC229&lt;&gt;""),"ГОТОВО","НЕ ГОТОВО"))</f>
        <v/>
      </c>
      <c r="BE229" s="205">
        <f>IF(BD229&lt;&gt;"ГОТОВО","","Полное заключение: "&amp;A229&amp;", скв. "&amp;B229&amp;". МРП: "&amp;E229&amp;" сут. ГНО: "&amp;F229&amp;"; причина: "&amp;U229&amp;"; категория: "&amp;V229&amp;"; решение комиссии: "&amp;BB229&amp;".")</f>
        <v/>
      </c>
      <c r="BF229" s="173">
        <f>IF('Оперативный ввод'!X229="","",'Оперативный ввод'!X229)</f>
        <v/>
      </c>
    </row>
    <row r="230">
      <c r="A230" s="171">
        <f>IF('Оперативный ввод'!A230="","",'Оперативный ввод'!A230)</f>
        <v/>
      </c>
      <c r="B230" s="172">
        <f>IF('Оперативный ввод'!B230="","",'Оперативный ввод'!B230)</f>
        <v/>
      </c>
      <c r="C230" s="270">
        <f>IF('Оперативный ввод'!C230="","",'Оперативный ввод'!C230)</f>
        <v/>
      </c>
      <c r="D230" s="270">
        <f>IF('Оперативный ввод'!D230="","",'Оперативный ввод'!D230)</f>
        <v/>
      </c>
      <c r="E230" s="271">
        <f>IF(OR(C230="",D230=""),"",D230-C230)</f>
        <v/>
      </c>
      <c r="F230" s="172">
        <f>IF('Оперативный ввод'!F230="","",'Оперативный ввод'!F230)</f>
        <v/>
      </c>
      <c r="G230" s="172">
        <f>IF('Оперативный ввод'!G230="","",'Оперативный ввод'!G230)</f>
        <v/>
      </c>
      <c r="H230" s="172">
        <f>IF('Оперативный ввод'!H230="","",'Оперативный ввод'!H230)</f>
        <v/>
      </c>
      <c r="I230" s="172">
        <f>IF('Оперативный ввод'!I230="","",'Оперативный ввод'!I230)</f>
        <v/>
      </c>
      <c r="J230" s="172">
        <f>IF('Оперативный ввод'!J230="","",'Оперативный ввод'!J230)</f>
        <v/>
      </c>
      <c r="K230" s="172">
        <f>IF('Оперативный ввод'!K230="","",'Оперативный ввод'!K230)</f>
        <v/>
      </c>
      <c r="L230" s="172">
        <f>IF('Оперативный ввод'!L230="","",'Оперативный ввод'!L230)</f>
        <v/>
      </c>
      <c r="M230" s="172">
        <f>IF('Оперативный ввод'!M230="","",'Оперативный ввод'!M230)</f>
        <v/>
      </c>
      <c r="N230" s="172">
        <f>IF('Оперативный ввод'!N230="","",'Оперативный ввод'!N230)</f>
        <v/>
      </c>
      <c r="O230" s="172">
        <f>IF('Оперативный ввод'!O230="","",'Оперативный ввод'!O230)</f>
        <v/>
      </c>
      <c r="P230" s="205">
        <f>IF(AND(A230="",B230=""),"",IF(AND(A230&lt;&gt;"",B230&lt;&gt;"",C230&lt;&gt;"",D230&lt;&gt;"",F230&lt;&gt;"",G230&lt;&gt;"",H230&lt;&gt;"",ISERROR(SEARCH("по паспорту",G230)),ISERROR(SEARCH("по паспорту",H230)),I230&lt;&gt;"",J230&lt;&gt;"",K230&lt;&gt;"",L230&lt;&gt;"",M230&lt;&gt;""),"ГОТОВО","НЕ ГОТОВО"))</f>
        <v/>
      </c>
      <c r="Q230" s="205">
        <f>IF(P230&lt;&gt;"ГОТОВО","", "Предварительное заключение: "&amp;A230&amp;", скв. "&amp;B230&amp;". МРП: "&amp;E230&amp;" сут. ГНО: "&amp;F230&amp;", типоразмер "&amp;G230&amp;", марка "&amp;H230&amp;". Событие: "&amp;I230&amp;". Признак: "&amp;J230&amp;". Узел: "&amp;K230&amp;". Предварительная причина: "&amp;L230&amp;". Основное осложнение: "&amp;M230&amp;IF(N230&lt;&gt;"","; сопутствующее: "&amp;N230,"")&amp;IF(O230&lt;&gt;"","; дополнительно: "&amp;O230,"")&amp;".")</f>
        <v/>
      </c>
      <c r="R230" s="172">
        <f>IF('Оперативный ввод'!P230="","",'Оперативный ввод'!P230)</f>
        <v/>
      </c>
      <c r="S230" s="172">
        <f>IF('Оперативный ввод'!Q230="","",'Оперативный ввод'!Q230)</f>
        <v/>
      </c>
      <c r="T230" s="172">
        <f>IF('Оперативный ввод'!R230="","",'Оперативный ввод'!R230)</f>
        <v/>
      </c>
      <c r="U230" s="172">
        <f>IF('Оперативный ввод'!S230="","",'Оперативный ввод'!S230)</f>
        <v/>
      </c>
      <c r="V230" s="172">
        <f>IF('Оперативный ввод'!T230="","",'Оперативный ввод'!T230)</f>
        <v/>
      </c>
      <c r="W230" s="172" t="n"/>
      <c r="X230" s="172" t="n"/>
      <c r="Y230" s="172" t="n"/>
      <c r="Z230" s="172" t="n"/>
      <c r="AA230" s="172">
        <f>IF('Оперативный ввод'!U230="","",'Оперативный ввод'!U230)</f>
        <v/>
      </c>
      <c r="AB230" s="172">
        <f>IF('Оперативный ввод'!V230="","",'Оперативный ввод'!V230)</f>
        <v/>
      </c>
      <c r="AC230" s="172">
        <f>IF('Оперативный ввод'!W230="","",'Оперативный ввод'!W230)</f>
        <v/>
      </c>
      <c r="BB230" s="172" t="n"/>
      <c r="BC230" s="172" t="n"/>
      <c r="BD230" s="205">
        <f>IF(AND(A230="",B230=""),"",IF(AND(P230="ГОТОВО",R230&lt;&gt;"",T230&lt;&gt;"",U230&lt;&gt;"",AA230&lt;&gt;"",AB230&lt;&gt;"",AC230&lt;&gt;"",BB230&lt;&gt;"",BC230&lt;&gt;""),"ГОТОВО","НЕ ГОТОВО"))</f>
        <v/>
      </c>
      <c r="BE230" s="205">
        <f>IF(BD230&lt;&gt;"ГОТОВО","","Полное заключение: "&amp;A230&amp;", скв. "&amp;B230&amp;". МРП: "&amp;E230&amp;" сут. ГНО: "&amp;F230&amp;"; причина: "&amp;U230&amp;"; категория: "&amp;V230&amp;"; решение комиссии: "&amp;BB230&amp;".")</f>
        <v/>
      </c>
      <c r="BF230" s="173">
        <f>IF('Оперативный ввод'!X230="","",'Оперативный ввод'!X230)</f>
        <v/>
      </c>
    </row>
    <row r="231">
      <c r="A231" s="171">
        <f>IF('Оперативный ввод'!A231="","",'Оперативный ввод'!A231)</f>
        <v/>
      </c>
      <c r="B231" s="172">
        <f>IF('Оперативный ввод'!B231="","",'Оперативный ввод'!B231)</f>
        <v/>
      </c>
      <c r="C231" s="270">
        <f>IF('Оперативный ввод'!C231="","",'Оперативный ввод'!C231)</f>
        <v/>
      </c>
      <c r="D231" s="270">
        <f>IF('Оперативный ввод'!D231="","",'Оперативный ввод'!D231)</f>
        <v/>
      </c>
      <c r="E231" s="271">
        <f>IF(OR(C231="",D231=""),"",D231-C231)</f>
        <v/>
      </c>
      <c r="F231" s="172">
        <f>IF('Оперативный ввод'!F231="","",'Оперативный ввод'!F231)</f>
        <v/>
      </c>
      <c r="G231" s="172">
        <f>IF('Оперативный ввод'!G231="","",'Оперативный ввод'!G231)</f>
        <v/>
      </c>
      <c r="H231" s="172">
        <f>IF('Оперативный ввод'!H231="","",'Оперативный ввод'!H231)</f>
        <v/>
      </c>
      <c r="I231" s="172">
        <f>IF('Оперативный ввод'!I231="","",'Оперативный ввод'!I231)</f>
        <v/>
      </c>
      <c r="J231" s="172">
        <f>IF('Оперативный ввод'!J231="","",'Оперативный ввод'!J231)</f>
        <v/>
      </c>
      <c r="K231" s="172">
        <f>IF('Оперативный ввод'!K231="","",'Оперативный ввод'!K231)</f>
        <v/>
      </c>
      <c r="L231" s="172">
        <f>IF('Оперативный ввод'!L231="","",'Оперативный ввод'!L231)</f>
        <v/>
      </c>
      <c r="M231" s="172">
        <f>IF('Оперативный ввод'!M231="","",'Оперативный ввод'!M231)</f>
        <v/>
      </c>
      <c r="N231" s="172">
        <f>IF('Оперативный ввод'!N231="","",'Оперативный ввод'!N231)</f>
        <v/>
      </c>
      <c r="O231" s="172">
        <f>IF('Оперативный ввод'!O231="","",'Оперативный ввод'!O231)</f>
        <v/>
      </c>
      <c r="P231" s="205">
        <f>IF(AND(A231="",B231=""),"",IF(AND(A231&lt;&gt;"",B231&lt;&gt;"",C231&lt;&gt;"",D231&lt;&gt;"",F231&lt;&gt;"",G231&lt;&gt;"",H231&lt;&gt;"",ISERROR(SEARCH("по паспорту",G231)),ISERROR(SEARCH("по паспорту",H231)),I231&lt;&gt;"",J231&lt;&gt;"",K231&lt;&gt;"",L231&lt;&gt;"",M231&lt;&gt;""),"ГОТОВО","НЕ ГОТОВО"))</f>
        <v/>
      </c>
      <c r="Q231" s="205">
        <f>IF(P231&lt;&gt;"ГОТОВО","", "Предварительное заключение: "&amp;A231&amp;", скв. "&amp;B231&amp;". МРП: "&amp;E231&amp;" сут. ГНО: "&amp;F231&amp;", типоразмер "&amp;G231&amp;", марка "&amp;H231&amp;". Событие: "&amp;I231&amp;". Признак: "&amp;J231&amp;". Узел: "&amp;K231&amp;". Предварительная причина: "&amp;L231&amp;". Основное осложнение: "&amp;M231&amp;IF(N231&lt;&gt;"","; сопутствующее: "&amp;N231,"")&amp;IF(O231&lt;&gt;"","; дополнительно: "&amp;O231,"")&amp;".")</f>
        <v/>
      </c>
      <c r="R231" s="172">
        <f>IF('Оперативный ввод'!P231="","",'Оперативный ввод'!P231)</f>
        <v/>
      </c>
      <c r="S231" s="172">
        <f>IF('Оперативный ввод'!Q231="","",'Оперативный ввод'!Q231)</f>
        <v/>
      </c>
      <c r="T231" s="172">
        <f>IF('Оперативный ввод'!R231="","",'Оперативный ввод'!R231)</f>
        <v/>
      </c>
      <c r="U231" s="172">
        <f>IF('Оперативный ввод'!S231="","",'Оперативный ввод'!S231)</f>
        <v/>
      </c>
      <c r="V231" s="172">
        <f>IF('Оперативный ввод'!T231="","",'Оперативный ввод'!T231)</f>
        <v/>
      </c>
      <c r="W231" s="172" t="n"/>
      <c r="X231" s="172" t="n"/>
      <c r="Y231" s="172" t="n"/>
      <c r="Z231" s="172" t="n"/>
      <c r="AA231" s="172">
        <f>IF('Оперативный ввод'!U231="","",'Оперативный ввод'!U231)</f>
        <v/>
      </c>
      <c r="AB231" s="172">
        <f>IF('Оперативный ввод'!V231="","",'Оперативный ввод'!V231)</f>
        <v/>
      </c>
      <c r="AC231" s="172">
        <f>IF('Оперативный ввод'!W231="","",'Оперативный ввод'!W231)</f>
        <v/>
      </c>
      <c r="BB231" s="172" t="n"/>
      <c r="BC231" s="172" t="n"/>
      <c r="BD231" s="205">
        <f>IF(AND(A231="",B231=""),"",IF(AND(P231="ГОТОВО",R231&lt;&gt;"",T231&lt;&gt;"",U231&lt;&gt;"",AA231&lt;&gt;"",AB231&lt;&gt;"",AC231&lt;&gt;"",BB231&lt;&gt;"",BC231&lt;&gt;""),"ГОТОВО","НЕ ГОТОВО"))</f>
        <v/>
      </c>
      <c r="BE231" s="205">
        <f>IF(BD231&lt;&gt;"ГОТОВО","","Полное заключение: "&amp;A231&amp;", скв. "&amp;B231&amp;". МРП: "&amp;E231&amp;" сут. ГНО: "&amp;F231&amp;"; причина: "&amp;U231&amp;"; категория: "&amp;V231&amp;"; решение комиссии: "&amp;BB231&amp;".")</f>
        <v/>
      </c>
      <c r="BF231" s="173">
        <f>IF('Оперативный ввод'!X231="","",'Оперативный ввод'!X231)</f>
        <v/>
      </c>
    </row>
    <row r="232">
      <c r="A232" s="171">
        <f>IF('Оперативный ввод'!A232="","",'Оперативный ввод'!A232)</f>
        <v/>
      </c>
      <c r="B232" s="172">
        <f>IF('Оперативный ввод'!B232="","",'Оперативный ввод'!B232)</f>
        <v/>
      </c>
      <c r="C232" s="270">
        <f>IF('Оперативный ввод'!C232="","",'Оперативный ввод'!C232)</f>
        <v/>
      </c>
      <c r="D232" s="270">
        <f>IF('Оперативный ввод'!D232="","",'Оперативный ввод'!D232)</f>
        <v/>
      </c>
      <c r="E232" s="271">
        <f>IF(OR(C232="",D232=""),"",D232-C232)</f>
        <v/>
      </c>
      <c r="F232" s="172">
        <f>IF('Оперативный ввод'!F232="","",'Оперативный ввод'!F232)</f>
        <v/>
      </c>
      <c r="G232" s="172">
        <f>IF('Оперативный ввод'!G232="","",'Оперативный ввод'!G232)</f>
        <v/>
      </c>
      <c r="H232" s="172">
        <f>IF('Оперативный ввод'!H232="","",'Оперативный ввод'!H232)</f>
        <v/>
      </c>
      <c r="I232" s="172">
        <f>IF('Оперативный ввод'!I232="","",'Оперативный ввод'!I232)</f>
        <v/>
      </c>
      <c r="J232" s="172">
        <f>IF('Оперативный ввод'!J232="","",'Оперативный ввод'!J232)</f>
        <v/>
      </c>
      <c r="K232" s="172">
        <f>IF('Оперативный ввод'!K232="","",'Оперативный ввод'!K232)</f>
        <v/>
      </c>
      <c r="L232" s="172">
        <f>IF('Оперативный ввод'!L232="","",'Оперативный ввод'!L232)</f>
        <v/>
      </c>
      <c r="M232" s="172">
        <f>IF('Оперативный ввод'!M232="","",'Оперативный ввод'!M232)</f>
        <v/>
      </c>
      <c r="N232" s="172">
        <f>IF('Оперативный ввод'!N232="","",'Оперативный ввод'!N232)</f>
        <v/>
      </c>
      <c r="O232" s="172">
        <f>IF('Оперативный ввод'!O232="","",'Оперативный ввод'!O232)</f>
        <v/>
      </c>
      <c r="P232" s="205">
        <f>IF(AND(A232="",B232=""),"",IF(AND(A232&lt;&gt;"",B232&lt;&gt;"",C232&lt;&gt;"",D232&lt;&gt;"",F232&lt;&gt;"",G232&lt;&gt;"",H232&lt;&gt;"",ISERROR(SEARCH("по паспорту",G232)),ISERROR(SEARCH("по паспорту",H232)),I232&lt;&gt;"",J232&lt;&gt;"",K232&lt;&gt;"",L232&lt;&gt;"",M232&lt;&gt;""),"ГОТОВО","НЕ ГОТОВО"))</f>
        <v/>
      </c>
      <c r="Q232" s="205">
        <f>IF(P232&lt;&gt;"ГОТОВО","", "Предварительное заключение: "&amp;A232&amp;", скв. "&amp;B232&amp;". МРП: "&amp;E232&amp;" сут. ГНО: "&amp;F232&amp;", типоразмер "&amp;G232&amp;", марка "&amp;H232&amp;". Событие: "&amp;I232&amp;". Признак: "&amp;J232&amp;". Узел: "&amp;K232&amp;". Предварительная причина: "&amp;L232&amp;". Основное осложнение: "&amp;M232&amp;IF(N232&lt;&gt;"","; сопутствующее: "&amp;N232,"")&amp;IF(O232&lt;&gt;"","; дополнительно: "&amp;O232,"")&amp;".")</f>
        <v/>
      </c>
      <c r="R232" s="172">
        <f>IF('Оперативный ввод'!P232="","",'Оперативный ввод'!P232)</f>
        <v/>
      </c>
      <c r="S232" s="172">
        <f>IF('Оперативный ввод'!Q232="","",'Оперативный ввод'!Q232)</f>
        <v/>
      </c>
      <c r="T232" s="172">
        <f>IF('Оперативный ввод'!R232="","",'Оперативный ввод'!R232)</f>
        <v/>
      </c>
      <c r="U232" s="172">
        <f>IF('Оперативный ввод'!S232="","",'Оперативный ввод'!S232)</f>
        <v/>
      </c>
      <c r="V232" s="172">
        <f>IF('Оперативный ввод'!T232="","",'Оперативный ввод'!T232)</f>
        <v/>
      </c>
      <c r="W232" s="172" t="n"/>
      <c r="X232" s="172" t="n"/>
      <c r="Y232" s="172" t="n"/>
      <c r="Z232" s="172" t="n"/>
      <c r="AA232" s="172">
        <f>IF('Оперативный ввод'!U232="","",'Оперативный ввод'!U232)</f>
        <v/>
      </c>
      <c r="AB232" s="172">
        <f>IF('Оперативный ввод'!V232="","",'Оперативный ввод'!V232)</f>
        <v/>
      </c>
      <c r="AC232" s="172">
        <f>IF('Оперативный ввод'!W232="","",'Оперативный ввод'!W232)</f>
        <v/>
      </c>
      <c r="BB232" s="172" t="n"/>
      <c r="BC232" s="172" t="n"/>
      <c r="BD232" s="205">
        <f>IF(AND(A232="",B232=""),"",IF(AND(P232="ГОТОВО",R232&lt;&gt;"",T232&lt;&gt;"",U232&lt;&gt;"",AA232&lt;&gt;"",AB232&lt;&gt;"",AC232&lt;&gt;"",BB232&lt;&gt;"",BC232&lt;&gt;""),"ГОТОВО","НЕ ГОТОВО"))</f>
        <v/>
      </c>
      <c r="BE232" s="205">
        <f>IF(BD232&lt;&gt;"ГОТОВО","","Полное заключение: "&amp;A232&amp;", скв. "&amp;B232&amp;". МРП: "&amp;E232&amp;" сут. ГНО: "&amp;F232&amp;"; причина: "&amp;U232&amp;"; категория: "&amp;V232&amp;"; решение комиссии: "&amp;BB232&amp;".")</f>
        <v/>
      </c>
      <c r="BF232" s="173">
        <f>IF('Оперативный ввод'!X232="","",'Оперативный ввод'!X232)</f>
        <v/>
      </c>
    </row>
    <row r="233">
      <c r="A233" s="171">
        <f>IF('Оперативный ввод'!A233="","",'Оперативный ввод'!A233)</f>
        <v/>
      </c>
      <c r="B233" s="172">
        <f>IF('Оперативный ввод'!B233="","",'Оперативный ввод'!B233)</f>
        <v/>
      </c>
      <c r="C233" s="270">
        <f>IF('Оперативный ввод'!C233="","",'Оперативный ввод'!C233)</f>
        <v/>
      </c>
      <c r="D233" s="270">
        <f>IF('Оперативный ввод'!D233="","",'Оперативный ввод'!D233)</f>
        <v/>
      </c>
      <c r="E233" s="271">
        <f>IF(OR(C233="",D233=""),"",D233-C233)</f>
        <v/>
      </c>
      <c r="F233" s="172">
        <f>IF('Оперативный ввод'!F233="","",'Оперативный ввод'!F233)</f>
        <v/>
      </c>
      <c r="G233" s="172">
        <f>IF('Оперативный ввод'!G233="","",'Оперативный ввод'!G233)</f>
        <v/>
      </c>
      <c r="H233" s="172">
        <f>IF('Оперативный ввод'!H233="","",'Оперативный ввод'!H233)</f>
        <v/>
      </c>
      <c r="I233" s="172">
        <f>IF('Оперативный ввод'!I233="","",'Оперативный ввод'!I233)</f>
        <v/>
      </c>
      <c r="J233" s="172">
        <f>IF('Оперативный ввод'!J233="","",'Оперативный ввод'!J233)</f>
        <v/>
      </c>
      <c r="K233" s="172">
        <f>IF('Оперативный ввод'!K233="","",'Оперативный ввод'!K233)</f>
        <v/>
      </c>
      <c r="L233" s="172">
        <f>IF('Оперативный ввод'!L233="","",'Оперативный ввод'!L233)</f>
        <v/>
      </c>
      <c r="M233" s="172">
        <f>IF('Оперативный ввод'!M233="","",'Оперативный ввод'!M233)</f>
        <v/>
      </c>
      <c r="N233" s="172">
        <f>IF('Оперативный ввод'!N233="","",'Оперативный ввод'!N233)</f>
        <v/>
      </c>
      <c r="O233" s="172">
        <f>IF('Оперативный ввод'!O233="","",'Оперативный ввод'!O233)</f>
        <v/>
      </c>
      <c r="P233" s="205">
        <f>IF(AND(A233="",B233=""),"",IF(AND(A233&lt;&gt;"",B233&lt;&gt;"",C233&lt;&gt;"",D233&lt;&gt;"",F233&lt;&gt;"",G233&lt;&gt;"",H233&lt;&gt;"",ISERROR(SEARCH("по паспорту",G233)),ISERROR(SEARCH("по паспорту",H233)),I233&lt;&gt;"",J233&lt;&gt;"",K233&lt;&gt;"",L233&lt;&gt;"",M233&lt;&gt;""),"ГОТОВО","НЕ ГОТОВО"))</f>
        <v/>
      </c>
      <c r="Q233" s="205">
        <f>IF(P233&lt;&gt;"ГОТОВО","", "Предварительное заключение: "&amp;A233&amp;", скв. "&amp;B233&amp;". МРП: "&amp;E233&amp;" сут. ГНО: "&amp;F233&amp;", типоразмер "&amp;G233&amp;", марка "&amp;H233&amp;". Событие: "&amp;I233&amp;". Признак: "&amp;J233&amp;". Узел: "&amp;K233&amp;". Предварительная причина: "&amp;L233&amp;". Основное осложнение: "&amp;M233&amp;IF(N233&lt;&gt;"","; сопутствующее: "&amp;N233,"")&amp;IF(O233&lt;&gt;"","; дополнительно: "&amp;O233,"")&amp;".")</f>
        <v/>
      </c>
      <c r="R233" s="172">
        <f>IF('Оперативный ввод'!P233="","",'Оперативный ввод'!P233)</f>
        <v/>
      </c>
      <c r="S233" s="172">
        <f>IF('Оперативный ввод'!Q233="","",'Оперативный ввод'!Q233)</f>
        <v/>
      </c>
      <c r="T233" s="172">
        <f>IF('Оперативный ввод'!R233="","",'Оперативный ввод'!R233)</f>
        <v/>
      </c>
      <c r="U233" s="172">
        <f>IF('Оперативный ввод'!S233="","",'Оперативный ввод'!S233)</f>
        <v/>
      </c>
      <c r="V233" s="172">
        <f>IF('Оперативный ввод'!T233="","",'Оперативный ввод'!T233)</f>
        <v/>
      </c>
      <c r="W233" s="172" t="n"/>
      <c r="X233" s="172" t="n"/>
      <c r="Y233" s="172" t="n"/>
      <c r="Z233" s="172" t="n"/>
      <c r="AA233" s="172">
        <f>IF('Оперативный ввод'!U233="","",'Оперативный ввод'!U233)</f>
        <v/>
      </c>
      <c r="AB233" s="172">
        <f>IF('Оперативный ввод'!V233="","",'Оперативный ввод'!V233)</f>
        <v/>
      </c>
      <c r="AC233" s="172">
        <f>IF('Оперативный ввод'!W233="","",'Оперативный ввод'!W233)</f>
        <v/>
      </c>
      <c r="BB233" s="172" t="n"/>
      <c r="BC233" s="172" t="n"/>
      <c r="BD233" s="205">
        <f>IF(AND(A233="",B233=""),"",IF(AND(P233="ГОТОВО",R233&lt;&gt;"",T233&lt;&gt;"",U233&lt;&gt;"",AA233&lt;&gt;"",AB233&lt;&gt;"",AC233&lt;&gt;"",BB233&lt;&gt;"",BC233&lt;&gt;""),"ГОТОВО","НЕ ГОТОВО"))</f>
        <v/>
      </c>
      <c r="BE233" s="205">
        <f>IF(BD233&lt;&gt;"ГОТОВО","","Полное заключение: "&amp;A233&amp;", скв. "&amp;B233&amp;". МРП: "&amp;E233&amp;" сут. ГНО: "&amp;F233&amp;"; причина: "&amp;U233&amp;"; категория: "&amp;V233&amp;"; решение комиссии: "&amp;BB233&amp;".")</f>
        <v/>
      </c>
      <c r="BF233" s="173">
        <f>IF('Оперативный ввод'!X233="","",'Оперативный ввод'!X233)</f>
        <v/>
      </c>
    </row>
    <row r="234">
      <c r="A234" s="171">
        <f>IF('Оперативный ввод'!A234="","",'Оперативный ввод'!A234)</f>
        <v/>
      </c>
      <c r="B234" s="172">
        <f>IF('Оперативный ввод'!B234="","",'Оперативный ввод'!B234)</f>
        <v/>
      </c>
      <c r="C234" s="270">
        <f>IF('Оперативный ввод'!C234="","",'Оперативный ввод'!C234)</f>
        <v/>
      </c>
      <c r="D234" s="270">
        <f>IF('Оперативный ввод'!D234="","",'Оперативный ввод'!D234)</f>
        <v/>
      </c>
      <c r="E234" s="271">
        <f>IF(OR(C234="",D234=""),"",D234-C234)</f>
        <v/>
      </c>
      <c r="F234" s="172">
        <f>IF('Оперативный ввод'!F234="","",'Оперативный ввод'!F234)</f>
        <v/>
      </c>
      <c r="G234" s="172">
        <f>IF('Оперативный ввод'!G234="","",'Оперативный ввод'!G234)</f>
        <v/>
      </c>
      <c r="H234" s="172">
        <f>IF('Оперативный ввод'!H234="","",'Оперативный ввод'!H234)</f>
        <v/>
      </c>
      <c r="I234" s="172">
        <f>IF('Оперативный ввод'!I234="","",'Оперативный ввод'!I234)</f>
        <v/>
      </c>
      <c r="J234" s="172">
        <f>IF('Оперативный ввод'!J234="","",'Оперативный ввод'!J234)</f>
        <v/>
      </c>
      <c r="K234" s="172">
        <f>IF('Оперативный ввод'!K234="","",'Оперативный ввод'!K234)</f>
        <v/>
      </c>
      <c r="L234" s="172">
        <f>IF('Оперативный ввод'!L234="","",'Оперативный ввод'!L234)</f>
        <v/>
      </c>
      <c r="M234" s="172">
        <f>IF('Оперативный ввод'!M234="","",'Оперативный ввод'!M234)</f>
        <v/>
      </c>
      <c r="N234" s="172">
        <f>IF('Оперативный ввод'!N234="","",'Оперативный ввод'!N234)</f>
        <v/>
      </c>
      <c r="O234" s="172">
        <f>IF('Оперативный ввод'!O234="","",'Оперативный ввод'!O234)</f>
        <v/>
      </c>
      <c r="P234" s="205">
        <f>IF(AND(A234="",B234=""),"",IF(AND(A234&lt;&gt;"",B234&lt;&gt;"",C234&lt;&gt;"",D234&lt;&gt;"",F234&lt;&gt;"",G234&lt;&gt;"",H234&lt;&gt;"",ISERROR(SEARCH("по паспорту",G234)),ISERROR(SEARCH("по паспорту",H234)),I234&lt;&gt;"",J234&lt;&gt;"",K234&lt;&gt;"",L234&lt;&gt;"",M234&lt;&gt;""),"ГОТОВО","НЕ ГОТОВО"))</f>
        <v/>
      </c>
      <c r="Q234" s="205">
        <f>IF(P234&lt;&gt;"ГОТОВО","", "Предварительное заключение: "&amp;A234&amp;", скв. "&amp;B234&amp;". МРП: "&amp;E234&amp;" сут. ГНО: "&amp;F234&amp;", типоразмер "&amp;G234&amp;", марка "&amp;H234&amp;". Событие: "&amp;I234&amp;". Признак: "&amp;J234&amp;". Узел: "&amp;K234&amp;". Предварительная причина: "&amp;L234&amp;". Основное осложнение: "&amp;M234&amp;IF(N234&lt;&gt;"","; сопутствующее: "&amp;N234,"")&amp;IF(O234&lt;&gt;"","; дополнительно: "&amp;O234,"")&amp;".")</f>
        <v/>
      </c>
      <c r="R234" s="172">
        <f>IF('Оперативный ввод'!P234="","",'Оперативный ввод'!P234)</f>
        <v/>
      </c>
      <c r="S234" s="172">
        <f>IF('Оперативный ввод'!Q234="","",'Оперативный ввод'!Q234)</f>
        <v/>
      </c>
      <c r="T234" s="172">
        <f>IF('Оперативный ввод'!R234="","",'Оперативный ввод'!R234)</f>
        <v/>
      </c>
      <c r="U234" s="172">
        <f>IF('Оперативный ввод'!S234="","",'Оперативный ввод'!S234)</f>
        <v/>
      </c>
      <c r="V234" s="172">
        <f>IF('Оперативный ввод'!T234="","",'Оперативный ввод'!T234)</f>
        <v/>
      </c>
      <c r="W234" s="172" t="n"/>
      <c r="X234" s="172" t="n"/>
      <c r="Y234" s="172" t="n"/>
      <c r="Z234" s="172" t="n"/>
      <c r="AA234" s="172">
        <f>IF('Оперативный ввод'!U234="","",'Оперативный ввод'!U234)</f>
        <v/>
      </c>
      <c r="AB234" s="172">
        <f>IF('Оперативный ввод'!V234="","",'Оперативный ввод'!V234)</f>
        <v/>
      </c>
      <c r="AC234" s="172">
        <f>IF('Оперативный ввод'!W234="","",'Оперативный ввод'!W234)</f>
        <v/>
      </c>
      <c r="BB234" s="172" t="n"/>
      <c r="BC234" s="172" t="n"/>
      <c r="BD234" s="205">
        <f>IF(AND(A234="",B234=""),"",IF(AND(P234="ГОТОВО",R234&lt;&gt;"",T234&lt;&gt;"",U234&lt;&gt;"",AA234&lt;&gt;"",AB234&lt;&gt;"",AC234&lt;&gt;"",BB234&lt;&gt;"",BC234&lt;&gt;""),"ГОТОВО","НЕ ГОТОВО"))</f>
        <v/>
      </c>
      <c r="BE234" s="205">
        <f>IF(BD234&lt;&gt;"ГОТОВО","","Полное заключение: "&amp;A234&amp;", скв. "&amp;B234&amp;". МРП: "&amp;E234&amp;" сут. ГНО: "&amp;F234&amp;"; причина: "&amp;U234&amp;"; категория: "&amp;V234&amp;"; решение комиссии: "&amp;BB234&amp;".")</f>
        <v/>
      </c>
      <c r="BF234" s="173">
        <f>IF('Оперативный ввод'!X234="","",'Оперативный ввод'!X234)</f>
        <v/>
      </c>
    </row>
    <row r="235">
      <c r="A235" s="171">
        <f>IF('Оперативный ввод'!A235="","",'Оперативный ввод'!A235)</f>
        <v/>
      </c>
      <c r="B235" s="172">
        <f>IF('Оперативный ввод'!B235="","",'Оперативный ввод'!B235)</f>
        <v/>
      </c>
      <c r="C235" s="270">
        <f>IF('Оперативный ввод'!C235="","",'Оперативный ввод'!C235)</f>
        <v/>
      </c>
      <c r="D235" s="270">
        <f>IF('Оперативный ввод'!D235="","",'Оперативный ввод'!D235)</f>
        <v/>
      </c>
      <c r="E235" s="271">
        <f>IF(OR(C235="",D235=""),"",D235-C235)</f>
        <v/>
      </c>
      <c r="F235" s="172">
        <f>IF('Оперативный ввод'!F235="","",'Оперативный ввод'!F235)</f>
        <v/>
      </c>
      <c r="G235" s="172">
        <f>IF('Оперативный ввод'!G235="","",'Оперативный ввод'!G235)</f>
        <v/>
      </c>
      <c r="H235" s="172">
        <f>IF('Оперативный ввод'!H235="","",'Оперативный ввод'!H235)</f>
        <v/>
      </c>
      <c r="I235" s="172">
        <f>IF('Оперативный ввод'!I235="","",'Оперативный ввод'!I235)</f>
        <v/>
      </c>
      <c r="J235" s="172">
        <f>IF('Оперативный ввод'!J235="","",'Оперативный ввод'!J235)</f>
        <v/>
      </c>
      <c r="K235" s="172">
        <f>IF('Оперативный ввод'!K235="","",'Оперативный ввод'!K235)</f>
        <v/>
      </c>
      <c r="L235" s="172">
        <f>IF('Оперативный ввод'!L235="","",'Оперативный ввод'!L235)</f>
        <v/>
      </c>
      <c r="M235" s="172">
        <f>IF('Оперативный ввод'!M235="","",'Оперативный ввод'!M235)</f>
        <v/>
      </c>
      <c r="N235" s="172">
        <f>IF('Оперативный ввод'!N235="","",'Оперативный ввод'!N235)</f>
        <v/>
      </c>
      <c r="O235" s="172">
        <f>IF('Оперативный ввод'!O235="","",'Оперативный ввод'!O235)</f>
        <v/>
      </c>
      <c r="P235" s="205">
        <f>IF(AND(A235="",B235=""),"",IF(AND(A235&lt;&gt;"",B235&lt;&gt;"",C235&lt;&gt;"",D235&lt;&gt;"",F235&lt;&gt;"",G235&lt;&gt;"",H235&lt;&gt;"",ISERROR(SEARCH("по паспорту",G235)),ISERROR(SEARCH("по паспорту",H235)),I235&lt;&gt;"",J235&lt;&gt;"",K235&lt;&gt;"",L235&lt;&gt;"",M235&lt;&gt;""),"ГОТОВО","НЕ ГОТОВО"))</f>
        <v/>
      </c>
      <c r="Q235" s="205">
        <f>IF(P235&lt;&gt;"ГОТОВО","", "Предварительное заключение: "&amp;A235&amp;", скв. "&amp;B235&amp;". МРП: "&amp;E235&amp;" сут. ГНО: "&amp;F235&amp;", типоразмер "&amp;G235&amp;", марка "&amp;H235&amp;". Событие: "&amp;I235&amp;". Признак: "&amp;J235&amp;". Узел: "&amp;K235&amp;". Предварительная причина: "&amp;L235&amp;". Основное осложнение: "&amp;M235&amp;IF(N235&lt;&gt;"","; сопутствующее: "&amp;N235,"")&amp;IF(O235&lt;&gt;"","; дополнительно: "&amp;O235,"")&amp;".")</f>
        <v/>
      </c>
      <c r="R235" s="172">
        <f>IF('Оперативный ввод'!P235="","",'Оперативный ввод'!P235)</f>
        <v/>
      </c>
      <c r="S235" s="172">
        <f>IF('Оперативный ввод'!Q235="","",'Оперативный ввод'!Q235)</f>
        <v/>
      </c>
      <c r="T235" s="172">
        <f>IF('Оперативный ввод'!R235="","",'Оперативный ввод'!R235)</f>
        <v/>
      </c>
      <c r="U235" s="172">
        <f>IF('Оперативный ввод'!S235="","",'Оперативный ввод'!S235)</f>
        <v/>
      </c>
      <c r="V235" s="172">
        <f>IF('Оперативный ввод'!T235="","",'Оперативный ввод'!T235)</f>
        <v/>
      </c>
      <c r="W235" s="172" t="n"/>
      <c r="X235" s="172" t="n"/>
      <c r="Y235" s="172" t="n"/>
      <c r="Z235" s="172" t="n"/>
      <c r="AA235" s="172">
        <f>IF('Оперативный ввод'!U235="","",'Оперативный ввод'!U235)</f>
        <v/>
      </c>
      <c r="AB235" s="172">
        <f>IF('Оперативный ввод'!V235="","",'Оперативный ввод'!V235)</f>
        <v/>
      </c>
      <c r="AC235" s="172">
        <f>IF('Оперативный ввод'!W235="","",'Оперативный ввод'!W235)</f>
        <v/>
      </c>
      <c r="BB235" s="172" t="n"/>
      <c r="BC235" s="172" t="n"/>
      <c r="BD235" s="205">
        <f>IF(AND(A235="",B235=""),"",IF(AND(P235="ГОТОВО",R235&lt;&gt;"",T235&lt;&gt;"",U235&lt;&gt;"",AA235&lt;&gt;"",AB235&lt;&gt;"",AC235&lt;&gt;"",BB235&lt;&gt;"",BC235&lt;&gt;""),"ГОТОВО","НЕ ГОТОВО"))</f>
        <v/>
      </c>
      <c r="BE235" s="205">
        <f>IF(BD235&lt;&gt;"ГОТОВО","","Полное заключение: "&amp;A235&amp;", скв. "&amp;B235&amp;". МРП: "&amp;E235&amp;" сут. ГНО: "&amp;F235&amp;"; причина: "&amp;U235&amp;"; категория: "&amp;V235&amp;"; решение комиссии: "&amp;BB235&amp;".")</f>
        <v/>
      </c>
      <c r="BF235" s="173">
        <f>IF('Оперативный ввод'!X235="","",'Оперативный ввод'!X235)</f>
        <v/>
      </c>
    </row>
    <row r="236">
      <c r="A236" s="171">
        <f>IF('Оперативный ввод'!A236="","",'Оперативный ввод'!A236)</f>
        <v/>
      </c>
      <c r="B236" s="172">
        <f>IF('Оперативный ввод'!B236="","",'Оперативный ввод'!B236)</f>
        <v/>
      </c>
      <c r="C236" s="270">
        <f>IF('Оперативный ввод'!C236="","",'Оперативный ввод'!C236)</f>
        <v/>
      </c>
      <c r="D236" s="270">
        <f>IF('Оперативный ввод'!D236="","",'Оперативный ввод'!D236)</f>
        <v/>
      </c>
      <c r="E236" s="271">
        <f>IF(OR(C236="",D236=""),"",D236-C236)</f>
        <v/>
      </c>
      <c r="F236" s="172">
        <f>IF('Оперативный ввод'!F236="","",'Оперативный ввод'!F236)</f>
        <v/>
      </c>
      <c r="G236" s="172">
        <f>IF('Оперативный ввод'!G236="","",'Оперативный ввод'!G236)</f>
        <v/>
      </c>
      <c r="H236" s="172">
        <f>IF('Оперативный ввод'!H236="","",'Оперативный ввод'!H236)</f>
        <v/>
      </c>
      <c r="I236" s="172">
        <f>IF('Оперативный ввод'!I236="","",'Оперативный ввод'!I236)</f>
        <v/>
      </c>
      <c r="J236" s="172">
        <f>IF('Оперативный ввод'!J236="","",'Оперативный ввод'!J236)</f>
        <v/>
      </c>
      <c r="K236" s="172">
        <f>IF('Оперативный ввод'!K236="","",'Оперативный ввод'!K236)</f>
        <v/>
      </c>
      <c r="L236" s="172">
        <f>IF('Оперативный ввод'!L236="","",'Оперативный ввод'!L236)</f>
        <v/>
      </c>
      <c r="M236" s="172">
        <f>IF('Оперативный ввод'!M236="","",'Оперативный ввод'!M236)</f>
        <v/>
      </c>
      <c r="N236" s="172">
        <f>IF('Оперативный ввод'!N236="","",'Оперативный ввод'!N236)</f>
        <v/>
      </c>
      <c r="O236" s="172">
        <f>IF('Оперативный ввод'!O236="","",'Оперативный ввод'!O236)</f>
        <v/>
      </c>
      <c r="P236" s="205">
        <f>IF(AND(A236="",B236=""),"",IF(AND(A236&lt;&gt;"",B236&lt;&gt;"",C236&lt;&gt;"",D236&lt;&gt;"",F236&lt;&gt;"",G236&lt;&gt;"",H236&lt;&gt;"",ISERROR(SEARCH("по паспорту",G236)),ISERROR(SEARCH("по паспорту",H236)),I236&lt;&gt;"",J236&lt;&gt;"",K236&lt;&gt;"",L236&lt;&gt;"",M236&lt;&gt;""),"ГОТОВО","НЕ ГОТОВО"))</f>
        <v/>
      </c>
      <c r="Q236" s="205">
        <f>IF(P236&lt;&gt;"ГОТОВО","", "Предварительное заключение: "&amp;A236&amp;", скв. "&amp;B236&amp;". МРП: "&amp;E236&amp;" сут. ГНО: "&amp;F236&amp;", типоразмер "&amp;G236&amp;", марка "&amp;H236&amp;". Событие: "&amp;I236&amp;". Признак: "&amp;J236&amp;". Узел: "&amp;K236&amp;". Предварительная причина: "&amp;L236&amp;". Основное осложнение: "&amp;M236&amp;IF(N236&lt;&gt;"","; сопутствующее: "&amp;N236,"")&amp;IF(O236&lt;&gt;"","; дополнительно: "&amp;O236,"")&amp;".")</f>
        <v/>
      </c>
      <c r="R236" s="172">
        <f>IF('Оперативный ввод'!P236="","",'Оперативный ввод'!P236)</f>
        <v/>
      </c>
      <c r="S236" s="172">
        <f>IF('Оперативный ввод'!Q236="","",'Оперативный ввод'!Q236)</f>
        <v/>
      </c>
      <c r="T236" s="172">
        <f>IF('Оперативный ввод'!R236="","",'Оперативный ввод'!R236)</f>
        <v/>
      </c>
      <c r="U236" s="172">
        <f>IF('Оперативный ввод'!S236="","",'Оперативный ввод'!S236)</f>
        <v/>
      </c>
      <c r="V236" s="172">
        <f>IF('Оперативный ввод'!T236="","",'Оперативный ввод'!T236)</f>
        <v/>
      </c>
      <c r="W236" s="172" t="n"/>
      <c r="X236" s="172" t="n"/>
      <c r="Y236" s="172" t="n"/>
      <c r="Z236" s="172" t="n"/>
      <c r="AA236" s="172">
        <f>IF('Оперативный ввод'!U236="","",'Оперативный ввод'!U236)</f>
        <v/>
      </c>
      <c r="AB236" s="172">
        <f>IF('Оперативный ввод'!V236="","",'Оперативный ввод'!V236)</f>
        <v/>
      </c>
      <c r="AC236" s="172">
        <f>IF('Оперативный ввод'!W236="","",'Оперативный ввод'!W236)</f>
        <v/>
      </c>
      <c r="BB236" s="172" t="n"/>
      <c r="BC236" s="172" t="n"/>
      <c r="BD236" s="205">
        <f>IF(AND(A236="",B236=""),"",IF(AND(P236="ГОТОВО",R236&lt;&gt;"",T236&lt;&gt;"",U236&lt;&gt;"",AA236&lt;&gt;"",AB236&lt;&gt;"",AC236&lt;&gt;"",BB236&lt;&gt;"",BC236&lt;&gt;""),"ГОТОВО","НЕ ГОТОВО"))</f>
        <v/>
      </c>
      <c r="BE236" s="205">
        <f>IF(BD236&lt;&gt;"ГОТОВО","","Полное заключение: "&amp;A236&amp;", скв. "&amp;B236&amp;". МРП: "&amp;E236&amp;" сут. ГНО: "&amp;F236&amp;"; причина: "&amp;U236&amp;"; категория: "&amp;V236&amp;"; решение комиссии: "&amp;BB236&amp;".")</f>
        <v/>
      </c>
      <c r="BF236" s="173">
        <f>IF('Оперативный ввод'!X236="","",'Оперативный ввод'!X236)</f>
        <v/>
      </c>
    </row>
    <row r="237">
      <c r="A237" s="171">
        <f>IF('Оперативный ввод'!A237="","",'Оперативный ввод'!A237)</f>
        <v/>
      </c>
      <c r="B237" s="172">
        <f>IF('Оперативный ввод'!B237="","",'Оперативный ввод'!B237)</f>
        <v/>
      </c>
      <c r="C237" s="270">
        <f>IF('Оперативный ввод'!C237="","",'Оперативный ввод'!C237)</f>
        <v/>
      </c>
      <c r="D237" s="270">
        <f>IF('Оперативный ввод'!D237="","",'Оперативный ввод'!D237)</f>
        <v/>
      </c>
      <c r="E237" s="271">
        <f>IF(OR(C237="",D237=""),"",D237-C237)</f>
        <v/>
      </c>
      <c r="F237" s="172">
        <f>IF('Оперативный ввод'!F237="","",'Оперативный ввод'!F237)</f>
        <v/>
      </c>
      <c r="G237" s="172">
        <f>IF('Оперативный ввод'!G237="","",'Оперативный ввод'!G237)</f>
        <v/>
      </c>
      <c r="H237" s="172">
        <f>IF('Оперативный ввод'!H237="","",'Оперативный ввод'!H237)</f>
        <v/>
      </c>
      <c r="I237" s="172">
        <f>IF('Оперативный ввод'!I237="","",'Оперативный ввод'!I237)</f>
        <v/>
      </c>
      <c r="J237" s="172">
        <f>IF('Оперативный ввод'!J237="","",'Оперативный ввод'!J237)</f>
        <v/>
      </c>
      <c r="K237" s="172">
        <f>IF('Оперативный ввод'!K237="","",'Оперативный ввод'!K237)</f>
        <v/>
      </c>
      <c r="L237" s="172">
        <f>IF('Оперативный ввод'!L237="","",'Оперативный ввод'!L237)</f>
        <v/>
      </c>
      <c r="M237" s="172">
        <f>IF('Оперативный ввод'!M237="","",'Оперативный ввод'!M237)</f>
        <v/>
      </c>
      <c r="N237" s="172">
        <f>IF('Оперативный ввод'!N237="","",'Оперативный ввод'!N237)</f>
        <v/>
      </c>
      <c r="O237" s="172">
        <f>IF('Оперативный ввод'!O237="","",'Оперативный ввод'!O237)</f>
        <v/>
      </c>
      <c r="P237" s="205">
        <f>IF(AND(A237="",B237=""),"",IF(AND(A237&lt;&gt;"",B237&lt;&gt;"",C237&lt;&gt;"",D237&lt;&gt;"",F237&lt;&gt;"",G237&lt;&gt;"",H237&lt;&gt;"",ISERROR(SEARCH("по паспорту",G237)),ISERROR(SEARCH("по паспорту",H237)),I237&lt;&gt;"",J237&lt;&gt;"",K237&lt;&gt;"",L237&lt;&gt;"",M237&lt;&gt;""),"ГОТОВО","НЕ ГОТОВО"))</f>
        <v/>
      </c>
      <c r="Q237" s="205">
        <f>IF(P237&lt;&gt;"ГОТОВО","", "Предварительное заключение: "&amp;A237&amp;", скв. "&amp;B237&amp;". МРП: "&amp;E237&amp;" сут. ГНО: "&amp;F237&amp;", типоразмер "&amp;G237&amp;", марка "&amp;H237&amp;". Событие: "&amp;I237&amp;". Признак: "&amp;J237&amp;". Узел: "&amp;K237&amp;". Предварительная причина: "&amp;L237&amp;". Основное осложнение: "&amp;M237&amp;IF(N237&lt;&gt;"","; сопутствующее: "&amp;N237,"")&amp;IF(O237&lt;&gt;"","; дополнительно: "&amp;O237,"")&amp;".")</f>
        <v/>
      </c>
      <c r="R237" s="172">
        <f>IF('Оперативный ввод'!P237="","",'Оперативный ввод'!P237)</f>
        <v/>
      </c>
      <c r="S237" s="172">
        <f>IF('Оперативный ввод'!Q237="","",'Оперативный ввод'!Q237)</f>
        <v/>
      </c>
      <c r="T237" s="172">
        <f>IF('Оперативный ввод'!R237="","",'Оперативный ввод'!R237)</f>
        <v/>
      </c>
      <c r="U237" s="172">
        <f>IF('Оперативный ввод'!S237="","",'Оперативный ввод'!S237)</f>
        <v/>
      </c>
      <c r="V237" s="172">
        <f>IF('Оперативный ввод'!T237="","",'Оперативный ввод'!T237)</f>
        <v/>
      </c>
      <c r="W237" s="172" t="n"/>
      <c r="X237" s="172" t="n"/>
      <c r="Y237" s="172" t="n"/>
      <c r="Z237" s="172" t="n"/>
      <c r="AA237" s="172">
        <f>IF('Оперативный ввод'!U237="","",'Оперативный ввод'!U237)</f>
        <v/>
      </c>
      <c r="AB237" s="172">
        <f>IF('Оперативный ввод'!V237="","",'Оперативный ввод'!V237)</f>
        <v/>
      </c>
      <c r="AC237" s="172">
        <f>IF('Оперативный ввод'!W237="","",'Оперативный ввод'!W237)</f>
        <v/>
      </c>
      <c r="BB237" s="172" t="n"/>
      <c r="BC237" s="172" t="n"/>
      <c r="BD237" s="205">
        <f>IF(AND(A237="",B237=""),"",IF(AND(P237="ГОТОВО",R237&lt;&gt;"",T237&lt;&gt;"",U237&lt;&gt;"",AA237&lt;&gt;"",AB237&lt;&gt;"",AC237&lt;&gt;"",BB237&lt;&gt;"",BC237&lt;&gt;""),"ГОТОВО","НЕ ГОТОВО"))</f>
        <v/>
      </c>
      <c r="BE237" s="205">
        <f>IF(BD237&lt;&gt;"ГОТОВО","","Полное заключение: "&amp;A237&amp;", скв. "&amp;B237&amp;". МРП: "&amp;E237&amp;" сут. ГНО: "&amp;F237&amp;"; причина: "&amp;U237&amp;"; категория: "&amp;V237&amp;"; решение комиссии: "&amp;BB237&amp;".")</f>
        <v/>
      </c>
      <c r="BF237" s="173">
        <f>IF('Оперативный ввод'!X237="","",'Оперативный ввод'!X237)</f>
        <v/>
      </c>
    </row>
    <row r="238">
      <c r="A238" s="171">
        <f>IF('Оперативный ввод'!A238="","",'Оперативный ввод'!A238)</f>
        <v/>
      </c>
      <c r="B238" s="172">
        <f>IF('Оперативный ввод'!B238="","",'Оперативный ввод'!B238)</f>
        <v/>
      </c>
      <c r="C238" s="270">
        <f>IF('Оперативный ввод'!C238="","",'Оперативный ввод'!C238)</f>
        <v/>
      </c>
      <c r="D238" s="270">
        <f>IF('Оперативный ввод'!D238="","",'Оперативный ввод'!D238)</f>
        <v/>
      </c>
      <c r="E238" s="271">
        <f>IF(OR(C238="",D238=""),"",D238-C238)</f>
        <v/>
      </c>
      <c r="F238" s="172">
        <f>IF('Оперативный ввод'!F238="","",'Оперативный ввод'!F238)</f>
        <v/>
      </c>
      <c r="G238" s="172">
        <f>IF('Оперативный ввод'!G238="","",'Оперативный ввод'!G238)</f>
        <v/>
      </c>
      <c r="H238" s="172">
        <f>IF('Оперативный ввод'!H238="","",'Оперативный ввод'!H238)</f>
        <v/>
      </c>
      <c r="I238" s="172">
        <f>IF('Оперативный ввод'!I238="","",'Оперативный ввод'!I238)</f>
        <v/>
      </c>
      <c r="J238" s="172">
        <f>IF('Оперативный ввод'!J238="","",'Оперативный ввод'!J238)</f>
        <v/>
      </c>
      <c r="K238" s="172">
        <f>IF('Оперативный ввод'!K238="","",'Оперативный ввод'!K238)</f>
        <v/>
      </c>
      <c r="L238" s="172">
        <f>IF('Оперативный ввод'!L238="","",'Оперативный ввод'!L238)</f>
        <v/>
      </c>
      <c r="M238" s="172">
        <f>IF('Оперативный ввод'!M238="","",'Оперативный ввод'!M238)</f>
        <v/>
      </c>
      <c r="N238" s="172">
        <f>IF('Оперативный ввод'!N238="","",'Оперативный ввод'!N238)</f>
        <v/>
      </c>
      <c r="O238" s="172">
        <f>IF('Оперативный ввод'!O238="","",'Оперативный ввод'!O238)</f>
        <v/>
      </c>
      <c r="P238" s="205">
        <f>IF(AND(A238="",B238=""),"",IF(AND(A238&lt;&gt;"",B238&lt;&gt;"",C238&lt;&gt;"",D238&lt;&gt;"",F238&lt;&gt;"",G238&lt;&gt;"",H238&lt;&gt;"",ISERROR(SEARCH("по паспорту",G238)),ISERROR(SEARCH("по паспорту",H238)),I238&lt;&gt;"",J238&lt;&gt;"",K238&lt;&gt;"",L238&lt;&gt;"",M238&lt;&gt;""),"ГОТОВО","НЕ ГОТОВО"))</f>
        <v/>
      </c>
      <c r="Q238" s="205">
        <f>IF(P238&lt;&gt;"ГОТОВО","", "Предварительное заключение: "&amp;A238&amp;", скв. "&amp;B238&amp;". МРП: "&amp;E238&amp;" сут. ГНО: "&amp;F238&amp;", типоразмер "&amp;G238&amp;", марка "&amp;H238&amp;". Событие: "&amp;I238&amp;". Признак: "&amp;J238&amp;". Узел: "&amp;K238&amp;". Предварительная причина: "&amp;L238&amp;". Основное осложнение: "&amp;M238&amp;IF(N238&lt;&gt;"","; сопутствующее: "&amp;N238,"")&amp;IF(O238&lt;&gt;"","; дополнительно: "&amp;O238,"")&amp;".")</f>
        <v/>
      </c>
      <c r="R238" s="172">
        <f>IF('Оперативный ввод'!P238="","",'Оперативный ввод'!P238)</f>
        <v/>
      </c>
      <c r="S238" s="172">
        <f>IF('Оперативный ввод'!Q238="","",'Оперативный ввод'!Q238)</f>
        <v/>
      </c>
      <c r="T238" s="172">
        <f>IF('Оперативный ввод'!R238="","",'Оперативный ввод'!R238)</f>
        <v/>
      </c>
      <c r="U238" s="172">
        <f>IF('Оперативный ввод'!S238="","",'Оперативный ввод'!S238)</f>
        <v/>
      </c>
      <c r="V238" s="172">
        <f>IF('Оперативный ввод'!T238="","",'Оперативный ввод'!T238)</f>
        <v/>
      </c>
      <c r="W238" s="172" t="n"/>
      <c r="X238" s="172" t="n"/>
      <c r="Y238" s="172" t="n"/>
      <c r="Z238" s="172" t="n"/>
      <c r="AA238" s="172">
        <f>IF('Оперативный ввод'!U238="","",'Оперативный ввод'!U238)</f>
        <v/>
      </c>
      <c r="AB238" s="172">
        <f>IF('Оперативный ввод'!V238="","",'Оперативный ввод'!V238)</f>
        <v/>
      </c>
      <c r="AC238" s="172">
        <f>IF('Оперативный ввод'!W238="","",'Оперативный ввод'!W238)</f>
        <v/>
      </c>
      <c r="BB238" s="172" t="n"/>
      <c r="BC238" s="172" t="n"/>
      <c r="BD238" s="205">
        <f>IF(AND(A238="",B238=""),"",IF(AND(P238="ГОТОВО",R238&lt;&gt;"",T238&lt;&gt;"",U238&lt;&gt;"",AA238&lt;&gt;"",AB238&lt;&gt;"",AC238&lt;&gt;"",BB238&lt;&gt;"",BC238&lt;&gt;""),"ГОТОВО","НЕ ГОТОВО"))</f>
        <v/>
      </c>
      <c r="BE238" s="205">
        <f>IF(BD238&lt;&gt;"ГОТОВО","","Полное заключение: "&amp;A238&amp;", скв. "&amp;B238&amp;". МРП: "&amp;E238&amp;" сут. ГНО: "&amp;F238&amp;"; причина: "&amp;U238&amp;"; категория: "&amp;V238&amp;"; решение комиссии: "&amp;BB238&amp;".")</f>
        <v/>
      </c>
      <c r="BF238" s="173">
        <f>IF('Оперативный ввод'!X238="","",'Оперативный ввод'!X238)</f>
        <v/>
      </c>
    </row>
    <row r="239">
      <c r="A239" s="171">
        <f>IF('Оперативный ввод'!A239="","",'Оперативный ввод'!A239)</f>
        <v/>
      </c>
      <c r="B239" s="172">
        <f>IF('Оперативный ввод'!B239="","",'Оперативный ввод'!B239)</f>
        <v/>
      </c>
      <c r="C239" s="270">
        <f>IF('Оперативный ввод'!C239="","",'Оперативный ввод'!C239)</f>
        <v/>
      </c>
      <c r="D239" s="270">
        <f>IF('Оперативный ввод'!D239="","",'Оперативный ввод'!D239)</f>
        <v/>
      </c>
      <c r="E239" s="271">
        <f>IF(OR(C239="",D239=""),"",D239-C239)</f>
        <v/>
      </c>
      <c r="F239" s="172">
        <f>IF('Оперативный ввод'!F239="","",'Оперативный ввод'!F239)</f>
        <v/>
      </c>
      <c r="G239" s="172">
        <f>IF('Оперативный ввод'!G239="","",'Оперативный ввод'!G239)</f>
        <v/>
      </c>
      <c r="H239" s="172">
        <f>IF('Оперативный ввод'!H239="","",'Оперативный ввод'!H239)</f>
        <v/>
      </c>
      <c r="I239" s="172">
        <f>IF('Оперативный ввод'!I239="","",'Оперативный ввод'!I239)</f>
        <v/>
      </c>
      <c r="J239" s="172">
        <f>IF('Оперативный ввод'!J239="","",'Оперативный ввод'!J239)</f>
        <v/>
      </c>
      <c r="K239" s="172">
        <f>IF('Оперативный ввод'!K239="","",'Оперативный ввод'!K239)</f>
        <v/>
      </c>
      <c r="L239" s="172">
        <f>IF('Оперативный ввод'!L239="","",'Оперативный ввод'!L239)</f>
        <v/>
      </c>
      <c r="M239" s="172">
        <f>IF('Оперативный ввод'!M239="","",'Оперативный ввод'!M239)</f>
        <v/>
      </c>
      <c r="N239" s="172">
        <f>IF('Оперативный ввод'!N239="","",'Оперативный ввод'!N239)</f>
        <v/>
      </c>
      <c r="O239" s="172">
        <f>IF('Оперативный ввод'!O239="","",'Оперативный ввод'!O239)</f>
        <v/>
      </c>
      <c r="P239" s="205">
        <f>IF(AND(A239="",B239=""),"",IF(AND(A239&lt;&gt;"",B239&lt;&gt;"",C239&lt;&gt;"",D239&lt;&gt;"",F239&lt;&gt;"",G239&lt;&gt;"",H239&lt;&gt;"",ISERROR(SEARCH("по паспорту",G239)),ISERROR(SEARCH("по паспорту",H239)),I239&lt;&gt;"",J239&lt;&gt;"",K239&lt;&gt;"",L239&lt;&gt;"",M239&lt;&gt;""),"ГОТОВО","НЕ ГОТОВО"))</f>
        <v/>
      </c>
      <c r="Q239" s="205">
        <f>IF(P239&lt;&gt;"ГОТОВО","", "Предварительное заключение: "&amp;A239&amp;", скв. "&amp;B239&amp;". МРП: "&amp;E239&amp;" сут. ГНО: "&amp;F239&amp;", типоразмер "&amp;G239&amp;", марка "&amp;H239&amp;". Событие: "&amp;I239&amp;". Признак: "&amp;J239&amp;". Узел: "&amp;K239&amp;". Предварительная причина: "&amp;L239&amp;". Основное осложнение: "&amp;M239&amp;IF(N239&lt;&gt;"","; сопутствующее: "&amp;N239,"")&amp;IF(O239&lt;&gt;"","; дополнительно: "&amp;O239,"")&amp;".")</f>
        <v/>
      </c>
      <c r="R239" s="172">
        <f>IF('Оперативный ввод'!P239="","",'Оперативный ввод'!P239)</f>
        <v/>
      </c>
      <c r="S239" s="172">
        <f>IF('Оперативный ввод'!Q239="","",'Оперативный ввод'!Q239)</f>
        <v/>
      </c>
      <c r="T239" s="172">
        <f>IF('Оперативный ввод'!R239="","",'Оперативный ввод'!R239)</f>
        <v/>
      </c>
      <c r="U239" s="172">
        <f>IF('Оперативный ввод'!S239="","",'Оперативный ввод'!S239)</f>
        <v/>
      </c>
      <c r="V239" s="172">
        <f>IF('Оперативный ввод'!T239="","",'Оперативный ввод'!T239)</f>
        <v/>
      </c>
      <c r="W239" s="172" t="n"/>
      <c r="X239" s="172" t="n"/>
      <c r="Y239" s="172" t="n"/>
      <c r="Z239" s="172" t="n"/>
      <c r="AA239" s="172">
        <f>IF('Оперативный ввод'!U239="","",'Оперативный ввод'!U239)</f>
        <v/>
      </c>
      <c r="AB239" s="172">
        <f>IF('Оперативный ввод'!V239="","",'Оперативный ввод'!V239)</f>
        <v/>
      </c>
      <c r="AC239" s="172">
        <f>IF('Оперативный ввод'!W239="","",'Оперативный ввод'!W239)</f>
        <v/>
      </c>
      <c r="BB239" s="172" t="n"/>
      <c r="BC239" s="172" t="n"/>
      <c r="BD239" s="205">
        <f>IF(AND(A239="",B239=""),"",IF(AND(P239="ГОТОВО",R239&lt;&gt;"",T239&lt;&gt;"",U239&lt;&gt;"",AA239&lt;&gt;"",AB239&lt;&gt;"",AC239&lt;&gt;"",BB239&lt;&gt;"",BC239&lt;&gt;""),"ГОТОВО","НЕ ГОТОВО"))</f>
        <v/>
      </c>
      <c r="BE239" s="205">
        <f>IF(BD239&lt;&gt;"ГОТОВО","","Полное заключение: "&amp;A239&amp;", скв. "&amp;B239&amp;". МРП: "&amp;E239&amp;" сут. ГНО: "&amp;F239&amp;"; причина: "&amp;U239&amp;"; категория: "&amp;V239&amp;"; решение комиссии: "&amp;BB239&amp;".")</f>
        <v/>
      </c>
      <c r="BF239" s="173">
        <f>IF('Оперативный ввод'!X239="","",'Оперативный ввод'!X239)</f>
        <v/>
      </c>
    </row>
    <row r="240">
      <c r="A240" s="171">
        <f>IF('Оперативный ввод'!A240="","",'Оперативный ввод'!A240)</f>
        <v/>
      </c>
      <c r="B240" s="172">
        <f>IF('Оперативный ввод'!B240="","",'Оперативный ввод'!B240)</f>
        <v/>
      </c>
      <c r="C240" s="270">
        <f>IF('Оперативный ввод'!C240="","",'Оперативный ввод'!C240)</f>
        <v/>
      </c>
      <c r="D240" s="270">
        <f>IF('Оперативный ввод'!D240="","",'Оперативный ввод'!D240)</f>
        <v/>
      </c>
      <c r="E240" s="271">
        <f>IF(OR(C240="",D240=""),"",D240-C240)</f>
        <v/>
      </c>
      <c r="F240" s="172">
        <f>IF('Оперативный ввод'!F240="","",'Оперативный ввод'!F240)</f>
        <v/>
      </c>
      <c r="G240" s="172">
        <f>IF('Оперативный ввод'!G240="","",'Оперативный ввод'!G240)</f>
        <v/>
      </c>
      <c r="H240" s="172">
        <f>IF('Оперативный ввод'!H240="","",'Оперативный ввод'!H240)</f>
        <v/>
      </c>
      <c r="I240" s="172">
        <f>IF('Оперативный ввод'!I240="","",'Оперативный ввод'!I240)</f>
        <v/>
      </c>
      <c r="J240" s="172">
        <f>IF('Оперативный ввод'!J240="","",'Оперативный ввод'!J240)</f>
        <v/>
      </c>
      <c r="K240" s="172">
        <f>IF('Оперативный ввод'!K240="","",'Оперативный ввод'!K240)</f>
        <v/>
      </c>
      <c r="L240" s="172">
        <f>IF('Оперативный ввод'!L240="","",'Оперативный ввод'!L240)</f>
        <v/>
      </c>
      <c r="M240" s="172">
        <f>IF('Оперативный ввод'!M240="","",'Оперативный ввод'!M240)</f>
        <v/>
      </c>
      <c r="N240" s="172">
        <f>IF('Оперативный ввод'!N240="","",'Оперативный ввод'!N240)</f>
        <v/>
      </c>
      <c r="O240" s="172">
        <f>IF('Оперативный ввод'!O240="","",'Оперативный ввод'!O240)</f>
        <v/>
      </c>
      <c r="P240" s="205">
        <f>IF(AND(A240="",B240=""),"",IF(AND(A240&lt;&gt;"",B240&lt;&gt;"",C240&lt;&gt;"",D240&lt;&gt;"",F240&lt;&gt;"",G240&lt;&gt;"",H240&lt;&gt;"",ISERROR(SEARCH("по паспорту",G240)),ISERROR(SEARCH("по паспорту",H240)),I240&lt;&gt;"",J240&lt;&gt;"",K240&lt;&gt;"",L240&lt;&gt;"",M240&lt;&gt;""),"ГОТОВО","НЕ ГОТОВО"))</f>
        <v/>
      </c>
      <c r="Q240" s="205">
        <f>IF(P240&lt;&gt;"ГОТОВО","", "Предварительное заключение: "&amp;A240&amp;", скв. "&amp;B240&amp;". МРП: "&amp;E240&amp;" сут. ГНО: "&amp;F240&amp;", типоразмер "&amp;G240&amp;", марка "&amp;H240&amp;". Событие: "&amp;I240&amp;". Признак: "&amp;J240&amp;". Узел: "&amp;K240&amp;". Предварительная причина: "&amp;L240&amp;". Основное осложнение: "&amp;M240&amp;IF(N240&lt;&gt;"","; сопутствующее: "&amp;N240,"")&amp;IF(O240&lt;&gt;"","; дополнительно: "&amp;O240,"")&amp;".")</f>
        <v/>
      </c>
      <c r="R240" s="172">
        <f>IF('Оперативный ввод'!P240="","",'Оперативный ввод'!P240)</f>
        <v/>
      </c>
      <c r="S240" s="172">
        <f>IF('Оперативный ввод'!Q240="","",'Оперативный ввод'!Q240)</f>
        <v/>
      </c>
      <c r="T240" s="172">
        <f>IF('Оперативный ввод'!R240="","",'Оперативный ввод'!R240)</f>
        <v/>
      </c>
      <c r="U240" s="172">
        <f>IF('Оперативный ввод'!S240="","",'Оперативный ввод'!S240)</f>
        <v/>
      </c>
      <c r="V240" s="172">
        <f>IF('Оперативный ввод'!T240="","",'Оперативный ввод'!T240)</f>
        <v/>
      </c>
      <c r="W240" s="172" t="n"/>
      <c r="X240" s="172" t="n"/>
      <c r="Y240" s="172" t="n"/>
      <c r="Z240" s="172" t="n"/>
      <c r="AA240" s="172">
        <f>IF('Оперативный ввод'!U240="","",'Оперативный ввод'!U240)</f>
        <v/>
      </c>
      <c r="AB240" s="172">
        <f>IF('Оперативный ввод'!V240="","",'Оперативный ввод'!V240)</f>
        <v/>
      </c>
      <c r="AC240" s="172">
        <f>IF('Оперативный ввод'!W240="","",'Оперативный ввод'!W240)</f>
        <v/>
      </c>
      <c r="BB240" s="172" t="n"/>
      <c r="BC240" s="172" t="n"/>
      <c r="BD240" s="205">
        <f>IF(AND(A240="",B240=""),"",IF(AND(P240="ГОТОВО",R240&lt;&gt;"",T240&lt;&gt;"",U240&lt;&gt;"",AA240&lt;&gt;"",AB240&lt;&gt;"",AC240&lt;&gt;"",BB240&lt;&gt;"",BC240&lt;&gt;""),"ГОТОВО","НЕ ГОТОВО"))</f>
        <v/>
      </c>
      <c r="BE240" s="205">
        <f>IF(BD240&lt;&gt;"ГОТОВО","","Полное заключение: "&amp;A240&amp;", скв. "&amp;B240&amp;". МРП: "&amp;E240&amp;" сут. ГНО: "&amp;F240&amp;"; причина: "&amp;U240&amp;"; категория: "&amp;V240&amp;"; решение комиссии: "&amp;BB240&amp;".")</f>
        <v/>
      </c>
      <c r="BF240" s="173">
        <f>IF('Оперативный ввод'!X240="","",'Оперативный ввод'!X240)</f>
        <v/>
      </c>
    </row>
    <row r="241">
      <c r="A241" s="171">
        <f>IF('Оперативный ввод'!A241="","",'Оперативный ввод'!A241)</f>
        <v/>
      </c>
      <c r="B241" s="172">
        <f>IF('Оперативный ввод'!B241="","",'Оперативный ввод'!B241)</f>
        <v/>
      </c>
      <c r="C241" s="270">
        <f>IF('Оперативный ввод'!C241="","",'Оперативный ввод'!C241)</f>
        <v/>
      </c>
      <c r="D241" s="270">
        <f>IF('Оперативный ввод'!D241="","",'Оперативный ввод'!D241)</f>
        <v/>
      </c>
      <c r="E241" s="271">
        <f>IF(OR(C241="",D241=""),"",D241-C241)</f>
        <v/>
      </c>
      <c r="F241" s="172">
        <f>IF('Оперативный ввод'!F241="","",'Оперативный ввод'!F241)</f>
        <v/>
      </c>
      <c r="G241" s="172">
        <f>IF('Оперативный ввод'!G241="","",'Оперативный ввод'!G241)</f>
        <v/>
      </c>
      <c r="H241" s="172">
        <f>IF('Оперативный ввод'!H241="","",'Оперативный ввод'!H241)</f>
        <v/>
      </c>
      <c r="I241" s="172">
        <f>IF('Оперативный ввод'!I241="","",'Оперативный ввод'!I241)</f>
        <v/>
      </c>
      <c r="J241" s="172">
        <f>IF('Оперативный ввод'!J241="","",'Оперативный ввод'!J241)</f>
        <v/>
      </c>
      <c r="K241" s="172">
        <f>IF('Оперативный ввод'!K241="","",'Оперативный ввод'!K241)</f>
        <v/>
      </c>
      <c r="L241" s="172">
        <f>IF('Оперативный ввод'!L241="","",'Оперативный ввод'!L241)</f>
        <v/>
      </c>
      <c r="M241" s="172">
        <f>IF('Оперативный ввод'!M241="","",'Оперативный ввод'!M241)</f>
        <v/>
      </c>
      <c r="N241" s="172">
        <f>IF('Оперативный ввод'!N241="","",'Оперативный ввод'!N241)</f>
        <v/>
      </c>
      <c r="O241" s="172">
        <f>IF('Оперативный ввод'!O241="","",'Оперативный ввод'!O241)</f>
        <v/>
      </c>
      <c r="P241" s="205">
        <f>IF(AND(A241="",B241=""),"",IF(AND(A241&lt;&gt;"",B241&lt;&gt;"",C241&lt;&gt;"",D241&lt;&gt;"",F241&lt;&gt;"",G241&lt;&gt;"",H241&lt;&gt;"",ISERROR(SEARCH("по паспорту",G241)),ISERROR(SEARCH("по паспорту",H241)),I241&lt;&gt;"",J241&lt;&gt;"",K241&lt;&gt;"",L241&lt;&gt;"",M241&lt;&gt;""),"ГОТОВО","НЕ ГОТОВО"))</f>
        <v/>
      </c>
      <c r="Q241" s="205">
        <f>IF(P241&lt;&gt;"ГОТОВО","", "Предварительное заключение: "&amp;A241&amp;", скв. "&amp;B241&amp;". МРП: "&amp;E241&amp;" сут. ГНО: "&amp;F241&amp;", типоразмер "&amp;G241&amp;", марка "&amp;H241&amp;". Событие: "&amp;I241&amp;". Признак: "&amp;J241&amp;". Узел: "&amp;K241&amp;". Предварительная причина: "&amp;L241&amp;". Основное осложнение: "&amp;M241&amp;IF(N241&lt;&gt;"","; сопутствующее: "&amp;N241,"")&amp;IF(O241&lt;&gt;"","; дополнительно: "&amp;O241,"")&amp;".")</f>
        <v/>
      </c>
      <c r="R241" s="172">
        <f>IF('Оперативный ввод'!P241="","",'Оперативный ввод'!P241)</f>
        <v/>
      </c>
      <c r="S241" s="172">
        <f>IF('Оперативный ввод'!Q241="","",'Оперативный ввод'!Q241)</f>
        <v/>
      </c>
      <c r="T241" s="172">
        <f>IF('Оперативный ввод'!R241="","",'Оперативный ввод'!R241)</f>
        <v/>
      </c>
      <c r="U241" s="172">
        <f>IF('Оперативный ввод'!S241="","",'Оперативный ввод'!S241)</f>
        <v/>
      </c>
      <c r="V241" s="172">
        <f>IF('Оперативный ввод'!T241="","",'Оперативный ввод'!T241)</f>
        <v/>
      </c>
      <c r="W241" s="172" t="n"/>
      <c r="X241" s="172" t="n"/>
      <c r="Y241" s="172" t="n"/>
      <c r="Z241" s="172" t="n"/>
      <c r="AA241" s="172">
        <f>IF('Оперативный ввод'!U241="","",'Оперативный ввод'!U241)</f>
        <v/>
      </c>
      <c r="AB241" s="172">
        <f>IF('Оперативный ввод'!V241="","",'Оперативный ввод'!V241)</f>
        <v/>
      </c>
      <c r="AC241" s="172">
        <f>IF('Оперативный ввод'!W241="","",'Оперативный ввод'!W241)</f>
        <v/>
      </c>
      <c r="BB241" s="172" t="n"/>
      <c r="BC241" s="172" t="n"/>
      <c r="BD241" s="205">
        <f>IF(AND(A241="",B241=""),"",IF(AND(P241="ГОТОВО",R241&lt;&gt;"",T241&lt;&gt;"",U241&lt;&gt;"",AA241&lt;&gt;"",AB241&lt;&gt;"",AC241&lt;&gt;"",BB241&lt;&gt;"",BC241&lt;&gt;""),"ГОТОВО","НЕ ГОТОВО"))</f>
        <v/>
      </c>
      <c r="BE241" s="205">
        <f>IF(BD241&lt;&gt;"ГОТОВО","","Полное заключение: "&amp;A241&amp;", скв. "&amp;B241&amp;". МРП: "&amp;E241&amp;" сут. ГНО: "&amp;F241&amp;"; причина: "&amp;U241&amp;"; категория: "&amp;V241&amp;"; решение комиссии: "&amp;BB241&amp;".")</f>
        <v/>
      </c>
      <c r="BF241" s="173">
        <f>IF('Оперативный ввод'!X241="","",'Оперативный ввод'!X241)</f>
        <v/>
      </c>
    </row>
    <row r="242">
      <c r="A242" s="171">
        <f>IF('Оперативный ввод'!A242="","",'Оперативный ввод'!A242)</f>
        <v/>
      </c>
      <c r="B242" s="172">
        <f>IF('Оперативный ввод'!B242="","",'Оперативный ввод'!B242)</f>
        <v/>
      </c>
      <c r="C242" s="270">
        <f>IF('Оперативный ввод'!C242="","",'Оперативный ввод'!C242)</f>
        <v/>
      </c>
      <c r="D242" s="270">
        <f>IF('Оперативный ввод'!D242="","",'Оперативный ввод'!D242)</f>
        <v/>
      </c>
      <c r="E242" s="271">
        <f>IF(OR(C242="",D242=""),"",D242-C242)</f>
        <v/>
      </c>
      <c r="F242" s="172">
        <f>IF('Оперативный ввод'!F242="","",'Оперативный ввод'!F242)</f>
        <v/>
      </c>
      <c r="G242" s="172">
        <f>IF('Оперативный ввод'!G242="","",'Оперативный ввод'!G242)</f>
        <v/>
      </c>
      <c r="H242" s="172">
        <f>IF('Оперативный ввод'!H242="","",'Оперативный ввод'!H242)</f>
        <v/>
      </c>
      <c r="I242" s="172">
        <f>IF('Оперативный ввод'!I242="","",'Оперативный ввод'!I242)</f>
        <v/>
      </c>
      <c r="J242" s="172">
        <f>IF('Оперативный ввод'!J242="","",'Оперативный ввод'!J242)</f>
        <v/>
      </c>
      <c r="K242" s="172">
        <f>IF('Оперативный ввод'!K242="","",'Оперативный ввод'!K242)</f>
        <v/>
      </c>
      <c r="L242" s="172">
        <f>IF('Оперативный ввод'!L242="","",'Оперативный ввод'!L242)</f>
        <v/>
      </c>
      <c r="M242" s="172">
        <f>IF('Оперативный ввод'!M242="","",'Оперативный ввод'!M242)</f>
        <v/>
      </c>
      <c r="N242" s="172">
        <f>IF('Оперативный ввод'!N242="","",'Оперативный ввод'!N242)</f>
        <v/>
      </c>
      <c r="O242" s="172">
        <f>IF('Оперативный ввод'!O242="","",'Оперативный ввод'!O242)</f>
        <v/>
      </c>
      <c r="P242" s="205">
        <f>IF(AND(A242="",B242=""),"",IF(AND(A242&lt;&gt;"",B242&lt;&gt;"",C242&lt;&gt;"",D242&lt;&gt;"",F242&lt;&gt;"",G242&lt;&gt;"",H242&lt;&gt;"",ISERROR(SEARCH("по паспорту",G242)),ISERROR(SEARCH("по паспорту",H242)),I242&lt;&gt;"",J242&lt;&gt;"",K242&lt;&gt;"",L242&lt;&gt;"",M242&lt;&gt;""),"ГОТОВО","НЕ ГОТОВО"))</f>
        <v/>
      </c>
      <c r="Q242" s="205">
        <f>IF(P242&lt;&gt;"ГОТОВО","", "Предварительное заключение: "&amp;A242&amp;", скв. "&amp;B242&amp;". МРП: "&amp;E242&amp;" сут. ГНО: "&amp;F242&amp;", типоразмер "&amp;G242&amp;", марка "&amp;H242&amp;". Событие: "&amp;I242&amp;". Признак: "&amp;J242&amp;". Узел: "&amp;K242&amp;". Предварительная причина: "&amp;L242&amp;". Основное осложнение: "&amp;M242&amp;IF(N242&lt;&gt;"","; сопутствующее: "&amp;N242,"")&amp;IF(O242&lt;&gt;"","; дополнительно: "&amp;O242,"")&amp;".")</f>
        <v/>
      </c>
      <c r="R242" s="172">
        <f>IF('Оперативный ввод'!P242="","",'Оперативный ввод'!P242)</f>
        <v/>
      </c>
      <c r="S242" s="172">
        <f>IF('Оперативный ввод'!Q242="","",'Оперативный ввод'!Q242)</f>
        <v/>
      </c>
      <c r="T242" s="172">
        <f>IF('Оперативный ввод'!R242="","",'Оперативный ввод'!R242)</f>
        <v/>
      </c>
      <c r="U242" s="172">
        <f>IF('Оперативный ввод'!S242="","",'Оперативный ввод'!S242)</f>
        <v/>
      </c>
      <c r="V242" s="172">
        <f>IF('Оперативный ввод'!T242="","",'Оперативный ввод'!T242)</f>
        <v/>
      </c>
      <c r="W242" s="172" t="n"/>
      <c r="X242" s="172" t="n"/>
      <c r="Y242" s="172" t="n"/>
      <c r="Z242" s="172" t="n"/>
      <c r="AA242" s="172">
        <f>IF('Оперативный ввод'!U242="","",'Оперативный ввод'!U242)</f>
        <v/>
      </c>
      <c r="AB242" s="172">
        <f>IF('Оперативный ввод'!V242="","",'Оперативный ввод'!V242)</f>
        <v/>
      </c>
      <c r="AC242" s="172">
        <f>IF('Оперативный ввод'!W242="","",'Оперативный ввод'!W242)</f>
        <v/>
      </c>
      <c r="BB242" s="172" t="n"/>
      <c r="BC242" s="172" t="n"/>
      <c r="BD242" s="205">
        <f>IF(AND(A242="",B242=""),"",IF(AND(P242="ГОТОВО",R242&lt;&gt;"",T242&lt;&gt;"",U242&lt;&gt;"",AA242&lt;&gt;"",AB242&lt;&gt;"",AC242&lt;&gt;"",BB242&lt;&gt;"",BC242&lt;&gt;""),"ГОТОВО","НЕ ГОТОВО"))</f>
        <v/>
      </c>
      <c r="BE242" s="205">
        <f>IF(BD242&lt;&gt;"ГОТОВО","","Полное заключение: "&amp;A242&amp;", скв. "&amp;B242&amp;". МРП: "&amp;E242&amp;" сут. ГНО: "&amp;F242&amp;"; причина: "&amp;U242&amp;"; категория: "&amp;V242&amp;"; решение комиссии: "&amp;BB242&amp;".")</f>
        <v/>
      </c>
      <c r="BF242" s="173">
        <f>IF('Оперативный ввод'!X242="","",'Оперативный ввод'!X242)</f>
        <v/>
      </c>
    </row>
    <row r="243">
      <c r="A243" s="171">
        <f>IF('Оперативный ввод'!A243="","",'Оперативный ввод'!A243)</f>
        <v/>
      </c>
      <c r="B243" s="172">
        <f>IF('Оперативный ввод'!B243="","",'Оперативный ввод'!B243)</f>
        <v/>
      </c>
      <c r="C243" s="270">
        <f>IF('Оперативный ввод'!C243="","",'Оперативный ввод'!C243)</f>
        <v/>
      </c>
      <c r="D243" s="270">
        <f>IF('Оперативный ввод'!D243="","",'Оперативный ввод'!D243)</f>
        <v/>
      </c>
      <c r="E243" s="271">
        <f>IF(OR(C243="",D243=""),"",D243-C243)</f>
        <v/>
      </c>
      <c r="F243" s="172">
        <f>IF('Оперативный ввод'!F243="","",'Оперативный ввод'!F243)</f>
        <v/>
      </c>
      <c r="G243" s="172">
        <f>IF('Оперативный ввод'!G243="","",'Оперативный ввод'!G243)</f>
        <v/>
      </c>
      <c r="H243" s="172">
        <f>IF('Оперативный ввод'!H243="","",'Оперативный ввод'!H243)</f>
        <v/>
      </c>
      <c r="I243" s="172">
        <f>IF('Оперативный ввод'!I243="","",'Оперативный ввод'!I243)</f>
        <v/>
      </c>
      <c r="J243" s="172">
        <f>IF('Оперативный ввод'!J243="","",'Оперативный ввод'!J243)</f>
        <v/>
      </c>
      <c r="K243" s="172">
        <f>IF('Оперативный ввод'!K243="","",'Оперативный ввод'!K243)</f>
        <v/>
      </c>
      <c r="L243" s="172">
        <f>IF('Оперативный ввод'!L243="","",'Оперативный ввод'!L243)</f>
        <v/>
      </c>
      <c r="M243" s="172">
        <f>IF('Оперативный ввод'!M243="","",'Оперативный ввод'!M243)</f>
        <v/>
      </c>
      <c r="N243" s="172">
        <f>IF('Оперативный ввод'!N243="","",'Оперативный ввод'!N243)</f>
        <v/>
      </c>
      <c r="O243" s="172">
        <f>IF('Оперативный ввод'!O243="","",'Оперативный ввод'!O243)</f>
        <v/>
      </c>
      <c r="P243" s="205">
        <f>IF(AND(A243="",B243=""),"",IF(AND(A243&lt;&gt;"",B243&lt;&gt;"",C243&lt;&gt;"",D243&lt;&gt;"",F243&lt;&gt;"",G243&lt;&gt;"",H243&lt;&gt;"",ISERROR(SEARCH("по паспорту",G243)),ISERROR(SEARCH("по паспорту",H243)),I243&lt;&gt;"",J243&lt;&gt;"",K243&lt;&gt;"",L243&lt;&gt;"",M243&lt;&gt;""),"ГОТОВО","НЕ ГОТОВО"))</f>
        <v/>
      </c>
      <c r="Q243" s="205">
        <f>IF(P243&lt;&gt;"ГОТОВО","", "Предварительное заключение: "&amp;A243&amp;", скв. "&amp;B243&amp;". МРП: "&amp;E243&amp;" сут. ГНО: "&amp;F243&amp;", типоразмер "&amp;G243&amp;", марка "&amp;H243&amp;". Событие: "&amp;I243&amp;". Признак: "&amp;J243&amp;". Узел: "&amp;K243&amp;". Предварительная причина: "&amp;L243&amp;". Основное осложнение: "&amp;M243&amp;IF(N243&lt;&gt;"","; сопутствующее: "&amp;N243,"")&amp;IF(O243&lt;&gt;"","; дополнительно: "&amp;O243,"")&amp;".")</f>
        <v/>
      </c>
      <c r="R243" s="172">
        <f>IF('Оперативный ввод'!P243="","",'Оперативный ввод'!P243)</f>
        <v/>
      </c>
      <c r="S243" s="172">
        <f>IF('Оперативный ввод'!Q243="","",'Оперативный ввод'!Q243)</f>
        <v/>
      </c>
      <c r="T243" s="172">
        <f>IF('Оперативный ввод'!R243="","",'Оперативный ввод'!R243)</f>
        <v/>
      </c>
      <c r="U243" s="172">
        <f>IF('Оперативный ввод'!S243="","",'Оперативный ввод'!S243)</f>
        <v/>
      </c>
      <c r="V243" s="172">
        <f>IF('Оперативный ввод'!T243="","",'Оперативный ввод'!T243)</f>
        <v/>
      </c>
      <c r="W243" s="172" t="n"/>
      <c r="X243" s="172" t="n"/>
      <c r="Y243" s="172" t="n"/>
      <c r="Z243" s="172" t="n"/>
      <c r="AA243" s="172">
        <f>IF('Оперативный ввод'!U243="","",'Оперативный ввод'!U243)</f>
        <v/>
      </c>
      <c r="AB243" s="172">
        <f>IF('Оперативный ввод'!V243="","",'Оперативный ввод'!V243)</f>
        <v/>
      </c>
      <c r="AC243" s="172">
        <f>IF('Оперативный ввод'!W243="","",'Оперативный ввод'!W243)</f>
        <v/>
      </c>
      <c r="BB243" s="172" t="n"/>
      <c r="BC243" s="172" t="n"/>
      <c r="BD243" s="205">
        <f>IF(AND(A243="",B243=""),"",IF(AND(P243="ГОТОВО",R243&lt;&gt;"",T243&lt;&gt;"",U243&lt;&gt;"",AA243&lt;&gt;"",AB243&lt;&gt;"",AC243&lt;&gt;"",BB243&lt;&gt;"",BC243&lt;&gt;""),"ГОТОВО","НЕ ГОТОВО"))</f>
        <v/>
      </c>
      <c r="BE243" s="205">
        <f>IF(BD243&lt;&gt;"ГОТОВО","","Полное заключение: "&amp;A243&amp;", скв. "&amp;B243&amp;". МРП: "&amp;E243&amp;" сут. ГНО: "&amp;F243&amp;"; причина: "&amp;U243&amp;"; категория: "&amp;V243&amp;"; решение комиссии: "&amp;BB243&amp;".")</f>
        <v/>
      </c>
      <c r="BF243" s="173">
        <f>IF('Оперативный ввод'!X243="","",'Оперативный ввод'!X243)</f>
        <v/>
      </c>
    </row>
    <row r="244">
      <c r="A244" s="171">
        <f>IF('Оперативный ввод'!A244="","",'Оперативный ввод'!A244)</f>
        <v/>
      </c>
      <c r="B244" s="172">
        <f>IF('Оперативный ввод'!B244="","",'Оперативный ввод'!B244)</f>
        <v/>
      </c>
      <c r="C244" s="270">
        <f>IF('Оперативный ввод'!C244="","",'Оперативный ввод'!C244)</f>
        <v/>
      </c>
      <c r="D244" s="270">
        <f>IF('Оперативный ввод'!D244="","",'Оперативный ввод'!D244)</f>
        <v/>
      </c>
      <c r="E244" s="271">
        <f>IF(OR(C244="",D244=""),"",D244-C244)</f>
        <v/>
      </c>
      <c r="F244" s="172">
        <f>IF('Оперативный ввод'!F244="","",'Оперативный ввод'!F244)</f>
        <v/>
      </c>
      <c r="G244" s="172">
        <f>IF('Оперативный ввод'!G244="","",'Оперативный ввод'!G244)</f>
        <v/>
      </c>
      <c r="H244" s="172">
        <f>IF('Оперативный ввод'!H244="","",'Оперативный ввод'!H244)</f>
        <v/>
      </c>
      <c r="I244" s="172">
        <f>IF('Оперативный ввод'!I244="","",'Оперативный ввод'!I244)</f>
        <v/>
      </c>
      <c r="J244" s="172">
        <f>IF('Оперативный ввод'!J244="","",'Оперативный ввод'!J244)</f>
        <v/>
      </c>
      <c r="K244" s="172">
        <f>IF('Оперативный ввод'!K244="","",'Оперативный ввод'!K244)</f>
        <v/>
      </c>
      <c r="L244" s="172">
        <f>IF('Оперативный ввод'!L244="","",'Оперативный ввод'!L244)</f>
        <v/>
      </c>
      <c r="M244" s="172">
        <f>IF('Оперативный ввод'!M244="","",'Оперативный ввод'!M244)</f>
        <v/>
      </c>
      <c r="N244" s="172">
        <f>IF('Оперативный ввод'!N244="","",'Оперативный ввод'!N244)</f>
        <v/>
      </c>
      <c r="O244" s="172">
        <f>IF('Оперативный ввод'!O244="","",'Оперативный ввод'!O244)</f>
        <v/>
      </c>
      <c r="P244" s="205">
        <f>IF(AND(A244="",B244=""),"",IF(AND(A244&lt;&gt;"",B244&lt;&gt;"",C244&lt;&gt;"",D244&lt;&gt;"",F244&lt;&gt;"",G244&lt;&gt;"",H244&lt;&gt;"",ISERROR(SEARCH("по паспорту",G244)),ISERROR(SEARCH("по паспорту",H244)),I244&lt;&gt;"",J244&lt;&gt;"",K244&lt;&gt;"",L244&lt;&gt;"",M244&lt;&gt;""),"ГОТОВО","НЕ ГОТОВО"))</f>
        <v/>
      </c>
      <c r="Q244" s="205">
        <f>IF(P244&lt;&gt;"ГОТОВО","", "Предварительное заключение: "&amp;A244&amp;", скв. "&amp;B244&amp;". МРП: "&amp;E244&amp;" сут. ГНО: "&amp;F244&amp;", типоразмер "&amp;G244&amp;", марка "&amp;H244&amp;". Событие: "&amp;I244&amp;". Признак: "&amp;J244&amp;". Узел: "&amp;K244&amp;". Предварительная причина: "&amp;L244&amp;". Основное осложнение: "&amp;M244&amp;IF(N244&lt;&gt;"","; сопутствующее: "&amp;N244,"")&amp;IF(O244&lt;&gt;"","; дополнительно: "&amp;O244,"")&amp;".")</f>
        <v/>
      </c>
      <c r="R244" s="172">
        <f>IF('Оперативный ввод'!P244="","",'Оперативный ввод'!P244)</f>
        <v/>
      </c>
      <c r="S244" s="172">
        <f>IF('Оперативный ввод'!Q244="","",'Оперативный ввод'!Q244)</f>
        <v/>
      </c>
      <c r="T244" s="172">
        <f>IF('Оперативный ввод'!R244="","",'Оперативный ввод'!R244)</f>
        <v/>
      </c>
      <c r="U244" s="172">
        <f>IF('Оперативный ввод'!S244="","",'Оперативный ввод'!S244)</f>
        <v/>
      </c>
      <c r="V244" s="172">
        <f>IF('Оперативный ввод'!T244="","",'Оперативный ввод'!T244)</f>
        <v/>
      </c>
      <c r="W244" s="172" t="n"/>
      <c r="X244" s="172" t="n"/>
      <c r="Y244" s="172" t="n"/>
      <c r="Z244" s="172" t="n"/>
      <c r="AA244" s="172">
        <f>IF('Оперативный ввод'!U244="","",'Оперативный ввод'!U244)</f>
        <v/>
      </c>
      <c r="AB244" s="172">
        <f>IF('Оперативный ввод'!V244="","",'Оперативный ввод'!V244)</f>
        <v/>
      </c>
      <c r="AC244" s="172">
        <f>IF('Оперативный ввод'!W244="","",'Оперативный ввод'!W244)</f>
        <v/>
      </c>
      <c r="BB244" s="172" t="n"/>
      <c r="BC244" s="172" t="n"/>
      <c r="BD244" s="205">
        <f>IF(AND(A244="",B244=""),"",IF(AND(P244="ГОТОВО",R244&lt;&gt;"",T244&lt;&gt;"",U244&lt;&gt;"",AA244&lt;&gt;"",AB244&lt;&gt;"",AC244&lt;&gt;"",BB244&lt;&gt;"",BC244&lt;&gt;""),"ГОТОВО","НЕ ГОТОВО"))</f>
        <v/>
      </c>
      <c r="BE244" s="205">
        <f>IF(BD244&lt;&gt;"ГОТОВО","","Полное заключение: "&amp;A244&amp;", скв. "&amp;B244&amp;". МРП: "&amp;E244&amp;" сут. ГНО: "&amp;F244&amp;"; причина: "&amp;U244&amp;"; категория: "&amp;V244&amp;"; решение комиссии: "&amp;BB244&amp;".")</f>
        <v/>
      </c>
      <c r="BF244" s="173">
        <f>IF('Оперативный ввод'!X244="","",'Оперативный ввод'!X244)</f>
        <v/>
      </c>
    </row>
    <row r="245">
      <c r="A245" s="171">
        <f>IF('Оперативный ввод'!A245="","",'Оперативный ввод'!A245)</f>
        <v/>
      </c>
      <c r="B245" s="172">
        <f>IF('Оперативный ввод'!B245="","",'Оперативный ввод'!B245)</f>
        <v/>
      </c>
      <c r="C245" s="270">
        <f>IF('Оперативный ввод'!C245="","",'Оперативный ввод'!C245)</f>
        <v/>
      </c>
      <c r="D245" s="270">
        <f>IF('Оперативный ввод'!D245="","",'Оперативный ввод'!D245)</f>
        <v/>
      </c>
      <c r="E245" s="271">
        <f>IF(OR(C245="",D245=""),"",D245-C245)</f>
        <v/>
      </c>
      <c r="F245" s="172">
        <f>IF('Оперативный ввод'!F245="","",'Оперативный ввод'!F245)</f>
        <v/>
      </c>
      <c r="G245" s="172">
        <f>IF('Оперативный ввод'!G245="","",'Оперативный ввод'!G245)</f>
        <v/>
      </c>
      <c r="H245" s="172">
        <f>IF('Оперативный ввод'!H245="","",'Оперативный ввод'!H245)</f>
        <v/>
      </c>
      <c r="I245" s="172">
        <f>IF('Оперативный ввод'!I245="","",'Оперативный ввод'!I245)</f>
        <v/>
      </c>
      <c r="J245" s="172">
        <f>IF('Оперативный ввод'!J245="","",'Оперативный ввод'!J245)</f>
        <v/>
      </c>
      <c r="K245" s="172">
        <f>IF('Оперативный ввод'!K245="","",'Оперативный ввод'!K245)</f>
        <v/>
      </c>
      <c r="L245" s="172">
        <f>IF('Оперативный ввод'!L245="","",'Оперативный ввод'!L245)</f>
        <v/>
      </c>
      <c r="M245" s="172">
        <f>IF('Оперативный ввод'!M245="","",'Оперативный ввод'!M245)</f>
        <v/>
      </c>
      <c r="N245" s="172">
        <f>IF('Оперативный ввод'!N245="","",'Оперативный ввод'!N245)</f>
        <v/>
      </c>
      <c r="O245" s="172">
        <f>IF('Оперативный ввод'!O245="","",'Оперативный ввод'!O245)</f>
        <v/>
      </c>
      <c r="P245" s="205">
        <f>IF(AND(A245="",B245=""),"",IF(AND(A245&lt;&gt;"",B245&lt;&gt;"",C245&lt;&gt;"",D245&lt;&gt;"",F245&lt;&gt;"",G245&lt;&gt;"",H245&lt;&gt;"",ISERROR(SEARCH("по паспорту",G245)),ISERROR(SEARCH("по паспорту",H245)),I245&lt;&gt;"",J245&lt;&gt;"",K245&lt;&gt;"",L245&lt;&gt;"",M245&lt;&gt;""),"ГОТОВО","НЕ ГОТОВО"))</f>
        <v/>
      </c>
      <c r="Q245" s="205">
        <f>IF(P245&lt;&gt;"ГОТОВО","", "Предварительное заключение: "&amp;A245&amp;", скв. "&amp;B245&amp;". МРП: "&amp;E245&amp;" сут. ГНО: "&amp;F245&amp;", типоразмер "&amp;G245&amp;", марка "&amp;H245&amp;". Событие: "&amp;I245&amp;". Признак: "&amp;J245&amp;". Узел: "&amp;K245&amp;". Предварительная причина: "&amp;L245&amp;". Основное осложнение: "&amp;M245&amp;IF(N245&lt;&gt;"","; сопутствующее: "&amp;N245,"")&amp;IF(O245&lt;&gt;"","; дополнительно: "&amp;O245,"")&amp;".")</f>
        <v/>
      </c>
      <c r="R245" s="172">
        <f>IF('Оперативный ввод'!P245="","",'Оперативный ввод'!P245)</f>
        <v/>
      </c>
      <c r="S245" s="172">
        <f>IF('Оперативный ввод'!Q245="","",'Оперативный ввод'!Q245)</f>
        <v/>
      </c>
      <c r="T245" s="172">
        <f>IF('Оперативный ввод'!R245="","",'Оперативный ввод'!R245)</f>
        <v/>
      </c>
      <c r="U245" s="172">
        <f>IF('Оперативный ввод'!S245="","",'Оперативный ввод'!S245)</f>
        <v/>
      </c>
      <c r="V245" s="172">
        <f>IF('Оперативный ввод'!T245="","",'Оперативный ввод'!T245)</f>
        <v/>
      </c>
      <c r="W245" s="172" t="n"/>
      <c r="X245" s="172" t="n"/>
      <c r="Y245" s="172" t="n"/>
      <c r="Z245" s="172" t="n"/>
      <c r="AA245" s="172">
        <f>IF('Оперативный ввод'!U245="","",'Оперативный ввод'!U245)</f>
        <v/>
      </c>
      <c r="AB245" s="172">
        <f>IF('Оперативный ввод'!V245="","",'Оперативный ввод'!V245)</f>
        <v/>
      </c>
      <c r="AC245" s="172">
        <f>IF('Оперативный ввод'!W245="","",'Оперативный ввод'!W245)</f>
        <v/>
      </c>
      <c r="BB245" s="172" t="n"/>
      <c r="BC245" s="172" t="n"/>
      <c r="BD245" s="205">
        <f>IF(AND(A245="",B245=""),"",IF(AND(P245="ГОТОВО",R245&lt;&gt;"",T245&lt;&gt;"",U245&lt;&gt;"",AA245&lt;&gt;"",AB245&lt;&gt;"",AC245&lt;&gt;"",BB245&lt;&gt;"",BC245&lt;&gt;""),"ГОТОВО","НЕ ГОТОВО"))</f>
        <v/>
      </c>
      <c r="BE245" s="205">
        <f>IF(BD245&lt;&gt;"ГОТОВО","","Полное заключение: "&amp;A245&amp;", скв. "&amp;B245&amp;". МРП: "&amp;E245&amp;" сут. ГНО: "&amp;F245&amp;"; причина: "&amp;U245&amp;"; категория: "&amp;V245&amp;"; решение комиссии: "&amp;BB245&amp;".")</f>
        <v/>
      </c>
      <c r="BF245" s="173">
        <f>IF('Оперативный ввод'!X245="","",'Оперативный ввод'!X245)</f>
        <v/>
      </c>
    </row>
    <row r="246">
      <c r="A246" s="171">
        <f>IF('Оперативный ввод'!A246="","",'Оперативный ввод'!A246)</f>
        <v/>
      </c>
      <c r="B246" s="172">
        <f>IF('Оперативный ввод'!B246="","",'Оперативный ввод'!B246)</f>
        <v/>
      </c>
      <c r="C246" s="270">
        <f>IF('Оперативный ввод'!C246="","",'Оперативный ввод'!C246)</f>
        <v/>
      </c>
      <c r="D246" s="270">
        <f>IF('Оперативный ввод'!D246="","",'Оперативный ввод'!D246)</f>
        <v/>
      </c>
      <c r="E246" s="271">
        <f>IF(OR(C246="",D246=""),"",D246-C246)</f>
        <v/>
      </c>
      <c r="F246" s="172">
        <f>IF('Оперативный ввод'!F246="","",'Оперативный ввод'!F246)</f>
        <v/>
      </c>
      <c r="G246" s="172">
        <f>IF('Оперативный ввод'!G246="","",'Оперативный ввод'!G246)</f>
        <v/>
      </c>
      <c r="H246" s="172">
        <f>IF('Оперативный ввод'!H246="","",'Оперативный ввод'!H246)</f>
        <v/>
      </c>
      <c r="I246" s="172">
        <f>IF('Оперативный ввод'!I246="","",'Оперативный ввод'!I246)</f>
        <v/>
      </c>
      <c r="J246" s="172">
        <f>IF('Оперативный ввод'!J246="","",'Оперативный ввод'!J246)</f>
        <v/>
      </c>
      <c r="K246" s="172">
        <f>IF('Оперативный ввод'!K246="","",'Оперативный ввод'!K246)</f>
        <v/>
      </c>
      <c r="L246" s="172">
        <f>IF('Оперативный ввод'!L246="","",'Оперативный ввод'!L246)</f>
        <v/>
      </c>
      <c r="M246" s="172">
        <f>IF('Оперативный ввод'!M246="","",'Оперативный ввод'!M246)</f>
        <v/>
      </c>
      <c r="N246" s="172">
        <f>IF('Оперативный ввод'!N246="","",'Оперативный ввод'!N246)</f>
        <v/>
      </c>
      <c r="O246" s="172">
        <f>IF('Оперативный ввод'!O246="","",'Оперативный ввод'!O246)</f>
        <v/>
      </c>
      <c r="P246" s="205">
        <f>IF(AND(A246="",B246=""),"",IF(AND(A246&lt;&gt;"",B246&lt;&gt;"",C246&lt;&gt;"",D246&lt;&gt;"",F246&lt;&gt;"",G246&lt;&gt;"",H246&lt;&gt;"",ISERROR(SEARCH("по паспорту",G246)),ISERROR(SEARCH("по паспорту",H246)),I246&lt;&gt;"",J246&lt;&gt;"",K246&lt;&gt;"",L246&lt;&gt;"",M246&lt;&gt;""),"ГОТОВО","НЕ ГОТОВО"))</f>
        <v/>
      </c>
      <c r="Q246" s="205">
        <f>IF(P246&lt;&gt;"ГОТОВО","", "Предварительное заключение: "&amp;A246&amp;", скв. "&amp;B246&amp;". МРП: "&amp;E246&amp;" сут. ГНО: "&amp;F246&amp;", типоразмер "&amp;G246&amp;", марка "&amp;H246&amp;". Событие: "&amp;I246&amp;". Признак: "&amp;J246&amp;". Узел: "&amp;K246&amp;". Предварительная причина: "&amp;L246&amp;". Основное осложнение: "&amp;M246&amp;IF(N246&lt;&gt;"","; сопутствующее: "&amp;N246,"")&amp;IF(O246&lt;&gt;"","; дополнительно: "&amp;O246,"")&amp;".")</f>
        <v/>
      </c>
      <c r="R246" s="172">
        <f>IF('Оперативный ввод'!P246="","",'Оперативный ввод'!P246)</f>
        <v/>
      </c>
      <c r="S246" s="172">
        <f>IF('Оперативный ввод'!Q246="","",'Оперативный ввод'!Q246)</f>
        <v/>
      </c>
      <c r="T246" s="172">
        <f>IF('Оперативный ввод'!R246="","",'Оперативный ввод'!R246)</f>
        <v/>
      </c>
      <c r="U246" s="172">
        <f>IF('Оперативный ввод'!S246="","",'Оперативный ввод'!S246)</f>
        <v/>
      </c>
      <c r="V246" s="172">
        <f>IF('Оперативный ввод'!T246="","",'Оперативный ввод'!T246)</f>
        <v/>
      </c>
      <c r="W246" s="172" t="n"/>
      <c r="X246" s="172" t="n"/>
      <c r="Y246" s="172" t="n"/>
      <c r="Z246" s="172" t="n"/>
      <c r="AA246" s="172">
        <f>IF('Оперативный ввод'!U246="","",'Оперативный ввод'!U246)</f>
        <v/>
      </c>
      <c r="AB246" s="172">
        <f>IF('Оперативный ввод'!V246="","",'Оперативный ввод'!V246)</f>
        <v/>
      </c>
      <c r="AC246" s="172">
        <f>IF('Оперативный ввод'!W246="","",'Оперативный ввод'!W246)</f>
        <v/>
      </c>
      <c r="BB246" s="172" t="n"/>
      <c r="BC246" s="172" t="n"/>
      <c r="BD246" s="205">
        <f>IF(AND(A246="",B246=""),"",IF(AND(P246="ГОТОВО",R246&lt;&gt;"",T246&lt;&gt;"",U246&lt;&gt;"",AA246&lt;&gt;"",AB246&lt;&gt;"",AC246&lt;&gt;"",BB246&lt;&gt;"",BC246&lt;&gt;""),"ГОТОВО","НЕ ГОТОВО"))</f>
        <v/>
      </c>
      <c r="BE246" s="205">
        <f>IF(BD246&lt;&gt;"ГОТОВО","","Полное заключение: "&amp;A246&amp;", скв. "&amp;B246&amp;". МРП: "&amp;E246&amp;" сут. ГНО: "&amp;F246&amp;"; причина: "&amp;U246&amp;"; категория: "&amp;V246&amp;"; решение комиссии: "&amp;BB246&amp;".")</f>
        <v/>
      </c>
      <c r="BF246" s="173">
        <f>IF('Оперативный ввод'!X246="","",'Оперативный ввод'!X246)</f>
        <v/>
      </c>
    </row>
    <row r="247">
      <c r="A247" s="171">
        <f>IF('Оперативный ввод'!A247="","",'Оперативный ввод'!A247)</f>
        <v/>
      </c>
      <c r="B247" s="172">
        <f>IF('Оперативный ввод'!B247="","",'Оперативный ввод'!B247)</f>
        <v/>
      </c>
      <c r="C247" s="270">
        <f>IF('Оперативный ввод'!C247="","",'Оперативный ввод'!C247)</f>
        <v/>
      </c>
      <c r="D247" s="270">
        <f>IF('Оперативный ввод'!D247="","",'Оперативный ввод'!D247)</f>
        <v/>
      </c>
      <c r="E247" s="271">
        <f>IF(OR(C247="",D247=""),"",D247-C247)</f>
        <v/>
      </c>
      <c r="F247" s="172">
        <f>IF('Оперативный ввод'!F247="","",'Оперативный ввод'!F247)</f>
        <v/>
      </c>
      <c r="G247" s="172">
        <f>IF('Оперативный ввод'!G247="","",'Оперативный ввод'!G247)</f>
        <v/>
      </c>
      <c r="H247" s="172">
        <f>IF('Оперативный ввод'!H247="","",'Оперативный ввод'!H247)</f>
        <v/>
      </c>
      <c r="I247" s="172">
        <f>IF('Оперативный ввод'!I247="","",'Оперативный ввод'!I247)</f>
        <v/>
      </c>
      <c r="J247" s="172">
        <f>IF('Оперативный ввод'!J247="","",'Оперативный ввод'!J247)</f>
        <v/>
      </c>
      <c r="K247" s="172">
        <f>IF('Оперативный ввод'!K247="","",'Оперативный ввод'!K247)</f>
        <v/>
      </c>
      <c r="L247" s="172">
        <f>IF('Оперативный ввод'!L247="","",'Оперативный ввод'!L247)</f>
        <v/>
      </c>
      <c r="M247" s="172">
        <f>IF('Оперативный ввод'!M247="","",'Оперативный ввод'!M247)</f>
        <v/>
      </c>
      <c r="N247" s="172">
        <f>IF('Оперативный ввод'!N247="","",'Оперативный ввод'!N247)</f>
        <v/>
      </c>
      <c r="O247" s="172">
        <f>IF('Оперативный ввод'!O247="","",'Оперативный ввод'!O247)</f>
        <v/>
      </c>
      <c r="P247" s="205">
        <f>IF(AND(A247="",B247=""),"",IF(AND(A247&lt;&gt;"",B247&lt;&gt;"",C247&lt;&gt;"",D247&lt;&gt;"",F247&lt;&gt;"",G247&lt;&gt;"",H247&lt;&gt;"",ISERROR(SEARCH("по паспорту",G247)),ISERROR(SEARCH("по паспорту",H247)),I247&lt;&gt;"",J247&lt;&gt;"",K247&lt;&gt;"",L247&lt;&gt;"",M247&lt;&gt;""),"ГОТОВО","НЕ ГОТОВО"))</f>
        <v/>
      </c>
      <c r="Q247" s="205">
        <f>IF(P247&lt;&gt;"ГОТОВО","", "Предварительное заключение: "&amp;A247&amp;", скв. "&amp;B247&amp;". МРП: "&amp;E247&amp;" сут. ГНО: "&amp;F247&amp;", типоразмер "&amp;G247&amp;", марка "&amp;H247&amp;". Событие: "&amp;I247&amp;". Признак: "&amp;J247&amp;". Узел: "&amp;K247&amp;". Предварительная причина: "&amp;L247&amp;". Основное осложнение: "&amp;M247&amp;IF(N247&lt;&gt;"","; сопутствующее: "&amp;N247,"")&amp;IF(O247&lt;&gt;"","; дополнительно: "&amp;O247,"")&amp;".")</f>
        <v/>
      </c>
      <c r="R247" s="172">
        <f>IF('Оперативный ввод'!P247="","",'Оперативный ввод'!P247)</f>
        <v/>
      </c>
      <c r="S247" s="172">
        <f>IF('Оперативный ввод'!Q247="","",'Оперативный ввод'!Q247)</f>
        <v/>
      </c>
      <c r="T247" s="172">
        <f>IF('Оперативный ввод'!R247="","",'Оперативный ввод'!R247)</f>
        <v/>
      </c>
      <c r="U247" s="172">
        <f>IF('Оперативный ввод'!S247="","",'Оперативный ввод'!S247)</f>
        <v/>
      </c>
      <c r="V247" s="172">
        <f>IF('Оперативный ввод'!T247="","",'Оперативный ввод'!T247)</f>
        <v/>
      </c>
      <c r="W247" s="172" t="n"/>
      <c r="X247" s="172" t="n"/>
      <c r="Y247" s="172" t="n"/>
      <c r="Z247" s="172" t="n"/>
      <c r="AA247" s="172">
        <f>IF('Оперативный ввод'!U247="","",'Оперативный ввод'!U247)</f>
        <v/>
      </c>
      <c r="AB247" s="172">
        <f>IF('Оперативный ввод'!V247="","",'Оперативный ввод'!V247)</f>
        <v/>
      </c>
      <c r="AC247" s="172">
        <f>IF('Оперативный ввод'!W247="","",'Оперативный ввод'!W247)</f>
        <v/>
      </c>
      <c r="BB247" s="172" t="n"/>
      <c r="BC247" s="172" t="n"/>
      <c r="BD247" s="205">
        <f>IF(AND(A247="",B247=""),"",IF(AND(P247="ГОТОВО",R247&lt;&gt;"",T247&lt;&gt;"",U247&lt;&gt;"",AA247&lt;&gt;"",AB247&lt;&gt;"",AC247&lt;&gt;"",BB247&lt;&gt;"",BC247&lt;&gt;""),"ГОТОВО","НЕ ГОТОВО"))</f>
        <v/>
      </c>
      <c r="BE247" s="205">
        <f>IF(BD247&lt;&gt;"ГОТОВО","","Полное заключение: "&amp;A247&amp;", скв. "&amp;B247&amp;". МРП: "&amp;E247&amp;" сут. ГНО: "&amp;F247&amp;"; причина: "&amp;U247&amp;"; категория: "&amp;V247&amp;"; решение комиссии: "&amp;BB247&amp;".")</f>
        <v/>
      </c>
      <c r="BF247" s="173">
        <f>IF('Оперативный ввод'!X247="","",'Оперативный ввод'!X247)</f>
        <v/>
      </c>
    </row>
    <row r="248">
      <c r="A248" s="171">
        <f>IF('Оперативный ввод'!A248="","",'Оперативный ввод'!A248)</f>
        <v/>
      </c>
      <c r="B248" s="172">
        <f>IF('Оперативный ввод'!B248="","",'Оперативный ввод'!B248)</f>
        <v/>
      </c>
      <c r="C248" s="270">
        <f>IF('Оперативный ввод'!C248="","",'Оперативный ввод'!C248)</f>
        <v/>
      </c>
      <c r="D248" s="270">
        <f>IF('Оперативный ввод'!D248="","",'Оперативный ввод'!D248)</f>
        <v/>
      </c>
      <c r="E248" s="271">
        <f>IF(OR(C248="",D248=""),"",D248-C248)</f>
        <v/>
      </c>
      <c r="F248" s="172">
        <f>IF('Оперативный ввод'!F248="","",'Оперативный ввод'!F248)</f>
        <v/>
      </c>
      <c r="G248" s="172">
        <f>IF('Оперативный ввод'!G248="","",'Оперативный ввод'!G248)</f>
        <v/>
      </c>
      <c r="H248" s="172">
        <f>IF('Оперативный ввод'!H248="","",'Оперативный ввод'!H248)</f>
        <v/>
      </c>
      <c r="I248" s="172">
        <f>IF('Оперативный ввод'!I248="","",'Оперативный ввод'!I248)</f>
        <v/>
      </c>
      <c r="J248" s="172">
        <f>IF('Оперативный ввод'!J248="","",'Оперативный ввод'!J248)</f>
        <v/>
      </c>
      <c r="K248" s="172">
        <f>IF('Оперативный ввод'!K248="","",'Оперативный ввод'!K248)</f>
        <v/>
      </c>
      <c r="L248" s="172">
        <f>IF('Оперативный ввод'!L248="","",'Оперативный ввод'!L248)</f>
        <v/>
      </c>
      <c r="M248" s="172">
        <f>IF('Оперативный ввод'!M248="","",'Оперативный ввод'!M248)</f>
        <v/>
      </c>
      <c r="N248" s="172">
        <f>IF('Оперативный ввод'!N248="","",'Оперативный ввод'!N248)</f>
        <v/>
      </c>
      <c r="O248" s="172">
        <f>IF('Оперативный ввод'!O248="","",'Оперативный ввод'!O248)</f>
        <v/>
      </c>
      <c r="P248" s="205">
        <f>IF(AND(A248="",B248=""),"",IF(AND(A248&lt;&gt;"",B248&lt;&gt;"",C248&lt;&gt;"",D248&lt;&gt;"",F248&lt;&gt;"",G248&lt;&gt;"",H248&lt;&gt;"",ISERROR(SEARCH("по паспорту",G248)),ISERROR(SEARCH("по паспорту",H248)),I248&lt;&gt;"",J248&lt;&gt;"",K248&lt;&gt;"",L248&lt;&gt;"",M248&lt;&gt;""),"ГОТОВО","НЕ ГОТОВО"))</f>
        <v/>
      </c>
      <c r="Q248" s="205">
        <f>IF(P248&lt;&gt;"ГОТОВО","", "Предварительное заключение: "&amp;A248&amp;", скв. "&amp;B248&amp;". МРП: "&amp;E248&amp;" сут. ГНО: "&amp;F248&amp;", типоразмер "&amp;G248&amp;", марка "&amp;H248&amp;". Событие: "&amp;I248&amp;". Признак: "&amp;J248&amp;". Узел: "&amp;K248&amp;". Предварительная причина: "&amp;L248&amp;". Основное осложнение: "&amp;M248&amp;IF(N248&lt;&gt;"","; сопутствующее: "&amp;N248,"")&amp;IF(O248&lt;&gt;"","; дополнительно: "&amp;O248,"")&amp;".")</f>
        <v/>
      </c>
      <c r="R248" s="172">
        <f>IF('Оперативный ввод'!P248="","",'Оперативный ввод'!P248)</f>
        <v/>
      </c>
      <c r="S248" s="172">
        <f>IF('Оперативный ввод'!Q248="","",'Оперативный ввод'!Q248)</f>
        <v/>
      </c>
      <c r="T248" s="172">
        <f>IF('Оперативный ввод'!R248="","",'Оперативный ввод'!R248)</f>
        <v/>
      </c>
      <c r="U248" s="172">
        <f>IF('Оперативный ввод'!S248="","",'Оперативный ввод'!S248)</f>
        <v/>
      </c>
      <c r="V248" s="172">
        <f>IF('Оперативный ввод'!T248="","",'Оперативный ввод'!T248)</f>
        <v/>
      </c>
      <c r="W248" s="172" t="n"/>
      <c r="X248" s="172" t="n"/>
      <c r="Y248" s="172" t="n"/>
      <c r="Z248" s="172" t="n"/>
      <c r="AA248" s="172">
        <f>IF('Оперативный ввод'!U248="","",'Оперативный ввод'!U248)</f>
        <v/>
      </c>
      <c r="AB248" s="172">
        <f>IF('Оперативный ввод'!V248="","",'Оперативный ввод'!V248)</f>
        <v/>
      </c>
      <c r="AC248" s="172">
        <f>IF('Оперативный ввод'!W248="","",'Оперативный ввод'!W248)</f>
        <v/>
      </c>
      <c r="BB248" s="172" t="n"/>
      <c r="BC248" s="172" t="n"/>
      <c r="BD248" s="205">
        <f>IF(AND(A248="",B248=""),"",IF(AND(P248="ГОТОВО",R248&lt;&gt;"",T248&lt;&gt;"",U248&lt;&gt;"",AA248&lt;&gt;"",AB248&lt;&gt;"",AC248&lt;&gt;"",BB248&lt;&gt;"",BC248&lt;&gt;""),"ГОТОВО","НЕ ГОТОВО"))</f>
        <v/>
      </c>
      <c r="BE248" s="205">
        <f>IF(BD248&lt;&gt;"ГОТОВО","","Полное заключение: "&amp;A248&amp;", скв. "&amp;B248&amp;". МРП: "&amp;E248&amp;" сут. ГНО: "&amp;F248&amp;"; причина: "&amp;U248&amp;"; категория: "&amp;V248&amp;"; решение комиссии: "&amp;BB248&amp;".")</f>
        <v/>
      </c>
      <c r="BF248" s="173">
        <f>IF('Оперативный ввод'!X248="","",'Оперативный ввод'!X248)</f>
        <v/>
      </c>
    </row>
    <row r="249">
      <c r="A249" s="171">
        <f>IF('Оперативный ввод'!A249="","",'Оперативный ввод'!A249)</f>
        <v/>
      </c>
      <c r="B249" s="172">
        <f>IF('Оперативный ввод'!B249="","",'Оперативный ввод'!B249)</f>
        <v/>
      </c>
      <c r="C249" s="270">
        <f>IF('Оперативный ввод'!C249="","",'Оперативный ввод'!C249)</f>
        <v/>
      </c>
      <c r="D249" s="270">
        <f>IF('Оперативный ввод'!D249="","",'Оперативный ввод'!D249)</f>
        <v/>
      </c>
      <c r="E249" s="271">
        <f>IF(OR(C249="",D249=""),"",D249-C249)</f>
        <v/>
      </c>
      <c r="F249" s="172">
        <f>IF('Оперативный ввод'!F249="","",'Оперативный ввод'!F249)</f>
        <v/>
      </c>
      <c r="G249" s="172">
        <f>IF('Оперативный ввод'!G249="","",'Оперативный ввод'!G249)</f>
        <v/>
      </c>
      <c r="H249" s="172">
        <f>IF('Оперативный ввод'!H249="","",'Оперативный ввод'!H249)</f>
        <v/>
      </c>
      <c r="I249" s="172">
        <f>IF('Оперативный ввод'!I249="","",'Оперативный ввод'!I249)</f>
        <v/>
      </c>
      <c r="J249" s="172">
        <f>IF('Оперативный ввод'!J249="","",'Оперативный ввод'!J249)</f>
        <v/>
      </c>
      <c r="K249" s="172">
        <f>IF('Оперативный ввод'!K249="","",'Оперативный ввод'!K249)</f>
        <v/>
      </c>
      <c r="L249" s="172">
        <f>IF('Оперативный ввод'!L249="","",'Оперативный ввод'!L249)</f>
        <v/>
      </c>
      <c r="M249" s="172">
        <f>IF('Оперативный ввод'!M249="","",'Оперативный ввод'!M249)</f>
        <v/>
      </c>
      <c r="N249" s="172">
        <f>IF('Оперативный ввод'!N249="","",'Оперативный ввод'!N249)</f>
        <v/>
      </c>
      <c r="O249" s="172">
        <f>IF('Оперативный ввод'!O249="","",'Оперативный ввод'!O249)</f>
        <v/>
      </c>
      <c r="P249" s="205">
        <f>IF(AND(A249="",B249=""),"",IF(AND(A249&lt;&gt;"",B249&lt;&gt;"",C249&lt;&gt;"",D249&lt;&gt;"",F249&lt;&gt;"",G249&lt;&gt;"",H249&lt;&gt;"",ISERROR(SEARCH("по паспорту",G249)),ISERROR(SEARCH("по паспорту",H249)),I249&lt;&gt;"",J249&lt;&gt;"",K249&lt;&gt;"",L249&lt;&gt;"",M249&lt;&gt;""),"ГОТОВО","НЕ ГОТОВО"))</f>
        <v/>
      </c>
      <c r="Q249" s="205">
        <f>IF(P249&lt;&gt;"ГОТОВО","", "Предварительное заключение: "&amp;A249&amp;", скв. "&amp;B249&amp;". МРП: "&amp;E249&amp;" сут. ГНО: "&amp;F249&amp;", типоразмер "&amp;G249&amp;", марка "&amp;H249&amp;". Событие: "&amp;I249&amp;". Признак: "&amp;J249&amp;". Узел: "&amp;K249&amp;". Предварительная причина: "&amp;L249&amp;". Основное осложнение: "&amp;M249&amp;IF(N249&lt;&gt;"","; сопутствующее: "&amp;N249,"")&amp;IF(O249&lt;&gt;"","; дополнительно: "&amp;O249,"")&amp;".")</f>
        <v/>
      </c>
      <c r="R249" s="172">
        <f>IF('Оперативный ввод'!P249="","",'Оперативный ввод'!P249)</f>
        <v/>
      </c>
      <c r="S249" s="172">
        <f>IF('Оперативный ввод'!Q249="","",'Оперативный ввод'!Q249)</f>
        <v/>
      </c>
      <c r="T249" s="172">
        <f>IF('Оперативный ввод'!R249="","",'Оперативный ввод'!R249)</f>
        <v/>
      </c>
      <c r="U249" s="172">
        <f>IF('Оперативный ввод'!S249="","",'Оперативный ввод'!S249)</f>
        <v/>
      </c>
      <c r="V249" s="172">
        <f>IF('Оперативный ввод'!T249="","",'Оперативный ввод'!T249)</f>
        <v/>
      </c>
      <c r="W249" s="172" t="n"/>
      <c r="X249" s="172" t="n"/>
      <c r="Y249" s="172" t="n"/>
      <c r="Z249" s="172" t="n"/>
      <c r="AA249" s="172">
        <f>IF('Оперативный ввод'!U249="","",'Оперативный ввод'!U249)</f>
        <v/>
      </c>
      <c r="AB249" s="172">
        <f>IF('Оперативный ввод'!V249="","",'Оперативный ввод'!V249)</f>
        <v/>
      </c>
      <c r="AC249" s="172">
        <f>IF('Оперативный ввод'!W249="","",'Оперативный ввод'!W249)</f>
        <v/>
      </c>
      <c r="BB249" s="172" t="n"/>
      <c r="BC249" s="172" t="n"/>
      <c r="BD249" s="205">
        <f>IF(AND(A249="",B249=""),"",IF(AND(P249="ГОТОВО",R249&lt;&gt;"",T249&lt;&gt;"",U249&lt;&gt;"",AA249&lt;&gt;"",AB249&lt;&gt;"",AC249&lt;&gt;"",BB249&lt;&gt;"",BC249&lt;&gt;""),"ГОТОВО","НЕ ГОТОВО"))</f>
        <v/>
      </c>
      <c r="BE249" s="205">
        <f>IF(BD249&lt;&gt;"ГОТОВО","","Полное заключение: "&amp;A249&amp;", скв. "&amp;B249&amp;". МРП: "&amp;E249&amp;" сут. ГНО: "&amp;F249&amp;"; причина: "&amp;U249&amp;"; категория: "&amp;V249&amp;"; решение комиссии: "&amp;BB249&amp;".")</f>
        <v/>
      </c>
      <c r="BF249" s="173">
        <f>IF('Оперативный ввод'!X249="","",'Оперативный ввод'!X249)</f>
        <v/>
      </c>
    </row>
    <row r="250">
      <c r="A250" s="171">
        <f>IF('Оперативный ввод'!A250="","",'Оперативный ввод'!A250)</f>
        <v/>
      </c>
      <c r="B250" s="172">
        <f>IF('Оперативный ввод'!B250="","",'Оперативный ввод'!B250)</f>
        <v/>
      </c>
      <c r="C250" s="270">
        <f>IF('Оперативный ввод'!C250="","",'Оперативный ввод'!C250)</f>
        <v/>
      </c>
      <c r="D250" s="270">
        <f>IF('Оперативный ввод'!D250="","",'Оперативный ввод'!D250)</f>
        <v/>
      </c>
      <c r="E250" s="271">
        <f>IF(OR(C250="",D250=""),"",D250-C250)</f>
        <v/>
      </c>
      <c r="F250" s="172">
        <f>IF('Оперативный ввод'!F250="","",'Оперативный ввод'!F250)</f>
        <v/>
      </c>
      <c r="G250" s="172">
        <f>IF('Оперативный ввод'!G250="","",'Оперативный ввод'!G250)</f>
        <v/>
      </c>
      <c r="H250" s="172">
        <f>IF('Оперативный ввод'!H250="","",'Оперативный ввод'!H250)</f>
        <v/>
      </c>
      <c r="I250" s="172">
        <f>IF('Оперативный ввод'!I250="","",'Оперативный ввод'!I250)</f>
        <v/>
      </c>
      <c r="J250" s="172">
        <f>IF('Оперативный ввод'!J250="","",'Оперативный ввод'!J250)</f>
        <v/>
      </c>
      <c r="K250" s="172">
        <f>IF('Оперативный ввод'!K250="","",'Оперативный ввод'!K250)</f>
        <v/>
      </c>
      <c r="L250" s="172">
        <f>IF('Оперативный ввод'!L250="","",'Оперативный ввод'!L250)</f>
        <v/>
      </c>
      <c r="M250" s="172">
        <f>IF('Оперативный ввод'!M250="","",'Оперативный ввод'!M250)</f>
        <v/>
      </c>
      <c r="N250" s="172">
        <f>IF('Оперативный ввод'!N250="","",'Оперативный ввод'!N250)</f>
        <v/>
      </c>
      <c r="O250" s="172">
        <f>IF('Оперативный ввод'!O250="","",'Оперативный ввод'!O250)</f>
        <v/>
      </c>
      <c r="P250" s="205">
        <f>IF(AND(A250="",B250=""),"",IF(AND(A250&lt;&gt;"",B250&lt;&gt;"",C250&lt;&gt;"",D250&lt;&gt;"",F250&lt;&gt;"",G250&lt;&gt;"",H250&lt;&gt;"",ISERROR(SEARCH("по паспорту",G250)),ISERROR(SEARCH("по паспорту",H250)),I250&lt;&gt;"",J250&lt;&gt;"",K250&lt;&gt;"",L250&lt;&gt;"",M250&lt;&gt;""),"ГОТОВО","НЕ ГОТОВО"))</f>
        <v/>
      </c>
      <c r="Q250" s="205">
        <f>IF(P250&lt;&gt;"ГОТОВО","", "Предварительное заключение: "&amp;A250&amp;", скв. "&amp;B250&amp;". МРП: "&amp;E250&amp;" сут. ГНО: "&amp;F250&amp;", типоразмер "&amp;G250&amp;", марка "&amp;H250&amp;". Событие: "&amp;I250&amp;". Признак: "&amp;J250&amp;". Узел: "&amp;K250&amp;". Предварительная причина: "&amp;L250&amp;". Основное осложнение: "&amp;M250&amp;IF(N250&lt;&gt;"","; сопутствующее: "&amp;N250,"")&amp;IF(O250&lt;&gt;"","; дополнительно: "&amp;O250,"")&amp;".")</f>
        <v/>
      </c>
      <c r="R250" s="172">
        <f>IF('Оперативный ввод'!P250="","",'Оперативный ввод'!P250)</f>
        <v/>
      </c>
      <c r="S250" s="172">
        <f>IF('Оперативный ввод'!Q250="","",'Оперативный ввод'!Q250)</f>
        <v/>
      </c>
      <c r="T250" s="172">
        <f>IF('Оперативный ввод'!R250="","",'Оперативный ввод'!R250)</f>
        <v/>
      </c>
      <c r="U250" s="172">
        <f>IF('Оперативный ввод'!S250="","",'Оперативный ввод'!S250)</f>
        <v/>
      </c>
      <c r="V250" s="172">
        <f>IF('Оперативный ввод'!T250="","",'Оперативный ввод'!T250)</f>
        <v/>
      </c>
      <c r="W250" s="172" t="n"/>
      <c r="X250" s="172" t="n"/>
      <c r="Y250" s="172" t="n"/>
      <c r="Z250" s="172" t="n"/>
      <c r="AA250" s="172">
        <f>IF('Оперативный ввод'!U250="","",'Оперативный ввод'!U250)</f>
        <v/>
      </c>
      <c r="AB250" s="172">
        <f>IF('Оперативный ввод'!V250="","",'Оперативный ввод'!V250)</f>
        <v/>
      </c>
      <c r="AC250" s="172">
        <f>IF('Оперативный ввод'!W250="","",'Оперативный ввод'!W250)</f>
        <v/>
      </c>
      <c r="BB250" s="172" t="n"/>
      <c r="BC250" s="172" t="n"/>
      <c r="BD250" s="205">
        <f>IF(AND(A250="",B250=""),"",IF(AND(P250="ГОТОВО",R250&lt;&gt;"",T250&lt;&gt;"",U250&lt;&gt;"",AA250&lt;&gt;"",AB250&lt;&gt;"",AC250&lt;&gt;"",BB250&lt;&gt;"",BC250&lt;&gt;""),"ГОТОВО","НЕ ГОТОВО"))</f>
        <v/>
      </c>
      <c r="BE250" s="205">
        <f>IF(BD250&lt;&gt;"ГОТОВО","","Полное заключение: "&amp;A250&amp;", скв. "&amp;B250&amp;". МРП: "&amp;E250&amp;" сут. ГНО: "&amp;F250&amp;"; причина: "&amp;U250&amp;"; категория: "&amp;V250&amp;"; решение комиссии: "&amp;BB250&amp;".")</f>
        <v/>
      </c>
      <c r="BF250" s="173">
        <f>IF('Оперативный ввод'!X250="","",'Оперативный ввод'!X250)</f>
        <v/>
      </c>
    </row>
    <row r="251">
      <c r="A251" s="171">
        <f>IF('Оперативный ввод'!A251="","",'Оперативный ввод'!A251)</f>
        <v/>
      </c>
      <c r="B251" s="172">
        <f>IF('Оперативный ввод'!B251="","",'Оперативный ввод'!B251)</f>
        <v/>
      </c>
      <c r="C251" s="270">
        <f>IF('Оперативный ввод'!C251="","",'Оперативный ввод'!C251)</f>
        <v/>
      </c>
      <c r="D251" s="270">
        <f>IF('Оперативный ввод'!D251="","",'Оперативный ввод'!D251)</f>
        <v/>
      </c>
      <c r="E251" s="271">
        <f>IF(OR(C251="",D251=""),"",D251-C251)</f>
        <v/>
      </c>
      <c r="F251" s="172">
        <f>IF('Оперативный ввод'!F251="","",'Оперативный ввод'!F251)</f>
        <v/>
      </c>
      <c r="G251" s="172">
        <f>IF('Оперативный ввод'!G251="","",'Оперативный ввод'!G251)</f>
        <v/>
      </c>
      <c r="H251" s="172">
        <f>IF('Оперативный ввод'!H251="","",'Оперативный ввод'!H251)</f>
        <v/>
      </c>
      <c r="I251" s="172">
        <f>IF('Оперативный ввод'!I251="","",'Оперативный ввод'!I251)</f>
        <v/>
      </c>
      <c r="J251" s="172">
        <f>IF('Оперативный ввод'!J251="","",'Оперативный ввод'!J251)</f>
        <v/>
      </c>
      <c r="K251" s="172">
        <f>IF('Оперативный ввод'!K251="","",'Оперативный ввод'!K251)</f>
        <v/>
      </c>
      <c r="L251" s="172">
        <f>IF('Оперативный ввод'!L251="","",'Оперативный ввод'!L251)</f>
        <v/>
      </c>
      <c r="M251" s="172">
        <f>IF('Оперативный ввод'!M251="","",'Оперативный ввод'!M251)</f>
        <v/>
      </c>
      <c r="N251" s="172">
        <f>IF('Оперативный ввод'!N251="","",'Оперативный ввод'!N251)</f>
        <v/>
      </c>
      <c r="O251" s="172">
        <f>IF('Оперативный ввод'!O251="","",'Оперативный ввод'!O251)</f>
        <v/>
      </c>
      <c r="P251" s="205">
        <f>IF(AND(A251="",B251=""),"",IF(AND(A251&lt;&gt;"",B251&lt;&gt;"",C251&lt;&gt;"",D251&lt;&gt;"",F251&lt;&gt;"",G251&lt;&gt;"",H251&lt;&gt;"",ISERROR(SEARCH("по паспорту",G251)),ISERROR(SEARCH("по паспорту",H251)),I251&lt;&gt;"",J251&lt;&gt;"",K251&lt;&gt;"",L251&lt;&gt;"",M251&lt;&gt;""),"ГОТОВО","НЕ ГОТОВО"))</f>
        <v/>
      </c>
      <c r="Q251" s="205">
        <f>IF(P251&lt;&gt;"ГОТОВО","", "Предварительное заключение: "&amp;A251&amp;", скв. "&amp;B251&amp;". МРП: "&amp;E251&amp;" сут. ГНО: "&amp;F251&amp;", типоразмер "&amp;G251&amp;", марка "&amp;H251&amp;". Событие: "&amp;I251&amp;". Признак: "&amp;J251&amp;". Узел: "&amp;K251&amp;". Предварительная причина: "&amp;L251&amp;". Основное осложнение: "&amp;M251&amp;IF(N251&lt;&gt;"","; сопутствующее: "&amp;N251,"")&amp;IF(O251&lt;&gt;"","; дополнительно: "&amp;O251,"")&amp;".")</f>
        <v/>
      </c>
      <c r="R251" s="172">
        <f>IF('Оперативный ввод'!P251="","",'Оперативный ввод'!P251)</f>
        <v/>
      </c>
      <c r="S251" s="172">
        <f>IF('Оперативный ввод'!Q251="","",'Оперативный ввод'!Q251)</f>
        <v/>
      </c>
      <c r="T251" s="172">
        <f>IF('Оперативный ввод'!R251="","",'Оперативный ввод'!R251)</f>
        <v/>
      </c>
      <c r="U251" s="172">
        <f>IF('Оперативный ввод'!S251="","",'Оперативный ввод'!S251)</f>
        <v/>
      </c>
      <c r="V251" s="172">
        <f>IF('Оперативный ввод'!T251="","",'Оперативный ввод'!T251)</f>
        <v/>
      </c>
      <c r="W251" s="172" t="n"/>
      <c r="X251" s="172" t="n"/>
      <c r="Y251" s="172" t="n"/>
      <c r="Z251" s="172" t="n"/>
      <c r="AA251" s="172">
        <f>IF('Оперативный ввод'!U251="","",'Оперативный ввод'!U251)</f>
        <v/>
      </c>
      <c r="AB251" s="172">
        <f>IF('Оперативный ввод'!V251="","",'Оперативный ввод'!V251)</f>
        <v/>
      </c>
      <c r="AC251" s="172">
        <f>IF('Оперативный ввод'!W251="","",'Оперативный ввод'!W251)</f>
        <v/>
      </c>
      <c r="BB251" s="172" t="n"/>
      <c r="BC251" s="172" t="n"/>
      <c r="BD251" s="205">
        <f>IF(AND(A251="",B251=""),"",IF(AND(P251="ГОТОВО",R251&lt;&gt;"",T251&lt;&gt;"",U251&lt;&gt;"",AA251&lt;&gt;"",AB251&lt;&gt;"",AC251&lt;&gt;"",BB251&lt;&gt;"",BC251&lt;&gt;""),"ГОТОВО","НЕ ГОТОВО"))</f>
        <v/>
      </c>
      <c r="BE251" s="205">
        <f>IF(BD251&lt;&gt;"ГОТОВО","","Полное заключение: "&amp;A251&amp;", скв. "&amp;B251&amp;". МРП: "&amp;E251&amp;" сут. ГНО: "&amp;F251&amp;"; причина: "&amp;U251&amp;"; категория: "&amp;V251&amp;"; решение комиссии: "&amp;BB251&amp;".")</f>
        <v/>
      </c>
      <c r="BF251" s="173">
        <f>IF('Оперативный ввод'!X251="","",'Оперативный ввод'!X251)</f>
        <v/>
      </c>
    </row>
    <row r="252">
      <c r="A252" s="171">
        <f>IF('Оперативный ввод'!A252="","",'Оперативный ввод'!A252)</f>
        <v/>
      </c>
      <c r="B252" s="172">
        <f>IF('Оперативный ввод'!B252="","",'Оперативный ввод'!B252)</f>
        <v/>
      </c>
      <c r="C252" s="270">
        <f>IF('Оперативный ввод'!C252="","",'Оперативный ввод'!C252)</f>
        <v/>
      </c>
      <c r="D252" s="270">
        <f>IF('Оперативный ввод'!D252="","",'Оперативный ввод'!D252)</f>
        <v/>
      </c>
      <c r="E252" s="271">
        <f>IF(OR(C252="",D252=""),"",D252-C252)</f>
        <v/>
      </c>
      <c r="F252" s="172">
        <f>IF('Оперативный ввод'!F252="","",'Оперативный ввод'!F252)</f>
        <v/>
      </c>
      <c r="G252" s="172">
        <f>IF('Оперативный ввод'!G252="","",'Оперативный ввод'!G252)</f>
        <v/>
      </c>
      <c r="H252" s="172">
        <f>IF('Оперативный ввод'!H252="","",'Оперативный ввод'!H252)</f>
        <v/>
      </c>
      <c r="I252" s="172">
        <f>IF('Оперативный ввод'!I252="","",'Оперативный ввод'!I252)</f>
        <v/>
      </c>
      <c r="J252" s="172">
        <f>IF('Оперативный ввод'!J252="","",'Оперативный ввод'!J252)</f>
        <v/>
      </c>
      <c r="K252" s="172">
        <f>IF('Оперативный ввод'!K252="","",'Оперативный ввод'!K252)</f>
        <v/>
      </c>
      <c r="L252" s="172">
        <f>IF('Оперативный ввод'!L252="","",'Оперативный ввод'!L252)</f>
        <v/>
      </c>
      <c r="M252" s="172">
        <f>IF('Оперативный ввод'!M252="","",'Оперативный ввод'!M252)</f>
        <v/>
      </c>
      <c r="N252" s="172">
        <f>IF('Оперативный ввод'!N252="","",'Оперативный ввод'!N252)</f>
        <v/>
      </c>
      <c r="O252" s="172">
        <f>IF('Оперативный ввод'!O252="","",'Оперативный ввод'!O252)</f>
        <v/>
      </c>
      <c r="P252" s="205">
        <f>IF(AND(A252="",B252=""),"",IF(AND(A252&lt;&gt;"",B252&lt;&gt;"",C252&lt;&gt;"",D252&lt;&gt;"",F252&lt;&gt;"",G252&lt;&gt;"",H252&lt;&gt;"",ISERROR(SEARCH("по паспорту",G252)),ISERROR(SEARCH("по паспорту",H252)),I252&lt;&gt;"",J252&lt;&gt;"",K252&lt;&gt;"",L252&lt;&gt;"",M252&lt;&gt;""),"ГОТОВО","НЕ ГОТОВО"))</f>
        <v/>
      </c>
      <c r="Q252" s="205">
        <f>IF(P252&lt;&gt;"ГОТОВО","", "Предварительное заключение: "&amp;A252&amp;", скв. "&amp;B252&amp;". МРП: "&amp;E252&amp;" сут. ГНО: "&amp;F252&amp;", типоразмер "&amp;G252&amp;", марка "&amp;H252&amp;". Событие: "&amp;I252&amp;". Признак: "&amp;J252&amp;". Узел: "&amp;K252&amp;". Предварительная причина: "&amp;L252&amp;". Основное осложнение: "&amp;M252&amp;IF(N252&lt;&gt;"","; сопутствующее: "&amp;N252,"")&amp;IF(O252&lt;&gt;"","; дополнительно: "&amp;O252,"")&amp;".")</f>
        <v/>
      </c>
      <c r="R252" s="172">
        <f>IF('Оперативный ввод'!P252="","",'Оперативный ввод'!P252)</f>
        <v/>
      </c>
      <c r="S252" s="172">
        <f>IF('Оперативный ввод'!Q252="","",'Оперативный ввод'!Q252)</f>
        <v/>
      </c>
      <c r="T252" s="172">
        <f>IF('Оперативный ввод'!R252="","",'Оперативный ввод'!R252)</f>
        <v/>
      </c>
      <c r="U252" s="172">
        <f>IF('Оперативный ввод'!S252="","",'Оперативный ввод'!S252)</f>
        <v/>
      </c>
      <c r="V252" s="172">
        <f>IF('Оперативный ввод'!T252="","",'Оперативный ввод'!T252)</f>
        <v/>
      </c>
      <c r="W252" s="172" t="n"/>
      <c r="X252" s="172" t="n"/>
      <c r="Y252" s="172" t="n"/>
      <c r="Z252" s="172" t="n"/>
      <c r="AA252" s="172">
        <f>IF('Оперативный ввод'!U252="","",'Оперативный ввод'!U252)</f>
        <v/>
      </c>
      <c r="AB252" s="172">
        <f>IF('Оперативный ввод'!V252="","",'Оперативный ввод'!V252)</f>
        <v/>
      </c>
      <c r="AC252" s="172">
        <f>IF('Оперативный ввод'!W252="","",'Оперативный ввод'!W252)</f>
        <v/>
      </c>
      <c r="BB252" s="172" t="n"/>
      <c r="BC252" s="172" t="n"/>
      <c r="BD252" s="205">
        <f>IF(AND(A252="",B252=""),"",IF(AND(P252="ГОТОВО",R252&lt;&gt;"",T252&lt;&gt;"",U252&lt;&gt;"",AA252&lt;&gt;"",AB252&lt;&gt;"",AC252&lt;&gt;"",BB252&lt;&gt;"",BC252&lt;&gt;""),"ГОТОВО","НЕ ГОТОВО"))</f>
        <v/>
      </c>
      <c r="BE252" s="205">
        <f>IF(BD252&lt;&gt;"ГОТОВО","","Полное заключение: "&amp;A252&amp;", скв. "&amp;B252&amp;". МРП: "&amp;E252&amp;" сут. ГНО: "&amp;F252&amp;"; причина: "&amp;U252&amp;"; категория: "&amp;V252&amp;"; решение комиссии: "&amp;BB252&amp;".")</f>
        <v/>
      </c>
      <c r="BF252" s="173">
        <f>IF('Оперативный ввод'!X252="","",'Оперативный ввод'!X252)</f>
        <v/>
      </c>
    </row>
    <row r="253">
      <c r="A253" s="171">
        <f>IF('Оперативный ввод'!A253="","",'Оперативный ввод'!A253)</f>
        <v/>
      </c>
      <c r="B253" s="172">
        <f>IF('Оперативный ввод'!B253="","",'Оперативный ввод'!B253)</f>
        <v/>
      </c>
      <c r="C253" s="270">
        <f>IF('Оперативный ввод'!C253="","",'Оперативный ввод'!C253)</f>
        <v/>
      </c>
      <c r="D253" s="270">
        <f>IF('Оперативный ввод'!D253="","",'Оперативный ввод'!D253)</f>
        <v/>
      </c>
      <c r="E253" s="271">
        <f>IF(OR(C253="",D253=""),"",D253-C253)</f>
        <v/>
      </c>
      <c r="F253" s="172">
        <f>IF('Оперативный ввод'!F253="","",'Оперативный ввод'!F253)</f>
        <v/>
      </c>
      <c r="G253" s="172">
        <f>IF('Оперативный ввод'!G253="","",'Оперативный ввод'!G253)</f>
        <v/>
      </c>
      <c r="H253" s="172">
        <f>IF('Оперативный ввод'!H253="","",'Оперативный ввод'!H253)</f>
        <v/>
      </c>
      <c r="I253" s="172">
        <f>IF('Оперативный ввод'!I253="","",'Оперативный ввод'!I253)</f>
        <v/>
      </c>
      <c r="J253" s="172">
        <f>IF('Оперативный ввод'!J253="","",'Оперативный ввод'!J253)</f>
        <v/>
      </c>
      <c r="K253" s="172">
        <f>IF('Оперативный ввод'!K253="","",'Оперативный ввод'!K253)</f>
        <v/>
      </c>
      <c r="L253" s="172">
        <f>IF('Оперативный ввод'!L253="","",'Оперативный ввод'!L253)</f>
        <v/>
      </c>
      <c r="M253" s="172">
        <f>IF('Оперативный ввод'!M253="","",'Оперативный ввод'!M253)</f>
        <v/>
      </c>
      <c r="N253" s="172">
        <f>IF('Оперативный ввод'!N253="","",'Оперативный ввод'!N253)</f>
        <v/>
      </c>
      <c r="O253" s="172">
        <f>IF('Оперативный ввод'!O253="","",'Оперативный ввод'!O253)</f>
        <v/>
      </c>
      <c r="P253" s="205">
        <f>IF(AND(A253="",B253=""),"",IF(AND(A253&lt;&gt;"",B253&lt;&gt;"",C253&lt;&gt;"",D253&lt;&gt;"",F253&lt;&gt;"",G253&lt;&gt;"",H253&lt;&gt;"",ISERROR(SEARCH("по паспорту",G253)),ISERROR(SEARCH("по паспорту",H253)),I253&lt;&gt;"",J253&lt;&gt;"",K253&lt;&gt;"",L253&lt;&gt;"",M253&lt;&gt;""),"ГОТОВО","НЕ ГОТОВО"))</f>
        <v/>
      </c>
      <c r="Q253" s="205">
        <f>IF(P253&lt;&gt;"ГОТОВО","", "Предварительное заключение: "&amp;A253&amp;", скв. "&amp;B253&amp;". МРП: "&amp;E253&amp;" сут. ГНО: "&amp;F253&amp;", типоразмер "&amp;G253&amp;", марка "&amp;H253&amp;". Событие: "&amp;I253&amp;". Признак: "&amp;J253&amp;". Узел: "&amp;K253&amp;". Предварительная причина: "&amp;L253&amp;". Основное осложнение: "&amp;M253&amp;IF(N253&lt;&gt;"","; сопутствующее: "&amp;N253,"")&amp;IF(O253&lt;&gt;"","; дополнительно: "&amp;O253,"")&amp;".")</f>
        <v/>
      </c>
      <c r="R253" s="172">
        <f>IF('Оперативный ввод'!P253="","",'Оперативный ввод'!P253)</f>
        <v/>
      </c>
      <c r="S253" s="172">
        <f>IF('Оперативный ввод'!Q253="","",'Оперативный ввод'!Q253)</f>
        <v/>
      </c>
      <c r="T253" s="172">
        <f>IF('Оперативный ввод'!R253="","",'Оперативный ввод'!R253)</f>
        <v/>
      </c>
      <c r="U253" s="172">
        <f>IF('Оперативный ввод'!S253="","",'Оперативный ввод'!S253)</f>
        <v/>
      </c>
      <c r="V253" s="172">
        <f>IF('Оперативный ввод'!T253="","",'Оперативный ввод'!T253)</f>
        <v/>
      </c>
      <c r="W253" s="172" t="n"/>
      <c r="X253" s="172" t="n"/>
      <c r="Y253" s="172" t="n"/>
      <c r="Z253" s="172" t="n"/>
      <c r="AA253" s="172">
        <f>IF('Оперативный ввод'!U253="","",'Оперативный ввод'!U253)</f>
        <v/>
      </c>
      <c r="AB253" s="172">
        <f>IF('Оперативный ввод'!V253="","",'Оперативный ввод'!V253)</f>
        <v/>
      </c>
      <c r="AC253" s="172">
        <f>IF('Оперативный ввод'!W253="","",'Оперативный ввод'!W253)</f>
        <v/>
      </c>
      <c r="BB253" s="172" t="n"/>
      <c r="BC253" s="172" t="n"/>
      <c r="BD253" s="205">
        <f>IF(AND(A253="",B253=""),"",IF(AND(P253="ГОТОВО",R253&lt;&gt;"",T253&lt;&gt;"",U253&lt;&gt;"",AA253&lt;&gt;"",AB253&lt;&gt;"",AC253&lt;&gt;"",BB253&lt;&gt;"",BC253&lt;&gt;""),"ГОТОВО","НЕ ГОТОВО"))</f>
        <v/>
      </c>
      <c r="BE253" s="205">
        <f>IF(BD253&lt;&gt;"ГОТОВО","","Полное заключение: "&amp;A253&amp;", скв. "&amp;B253&amp;". МРП: "&amp;E253&amp;" сут. ГНО: "&amp;F253&amp;"; причина: "&amp;U253&amp;"; категория: "&amp;V253&amp;"; решение комиссии: "&amp;BB253&amp;".")</f>
        <v/>
      </c>
      <c r="BF253" s="173">
        <f>IF('Оперативный ввод'!X253="","",'Оперативный ввод'!X253)</f>
        <v/>
      </c>
    </row>
    <row r="254">
      <c r="A254" s="171">
        <f>IF('Оперативный ввод'!A254="","",'Оперативный ввод'!A254)</f>
        <v/>
      </c>
      <c r="B254" s="172">
        <f>IF('Оперативный ввод'!B254="","",'Оперативный ввод'!B254)</f>
        <v/>
      </c>
      <c r="C254" s="270">
        <f>IF('Оперативный ввод'!C254="","",'Оперативный ввод'!C254)</f>
        <v/>
      </c>
      <c r="D254" s="270">
        <f>IF('Оперативный ввод'!D254="","",'Оперативный ввод'!D254)</f>
        <v/>
      </c>
      <c r="E254" s="271">
        <f>IF(OR(C254="",D254=""),"",D254-C254)</f>
        <v/>
      </c>
      <c r="F254" s="172">
        <f>IF('Оперативный ввод'!F254="","",'Оперативный ввод'!F254)</f>
        <v/>
      </c>
      <c r="G254" s="172">
        <f>IF('Оперативный ввод'!G254="","",'Оперативный ввод'!G254)</f>
        <v/>
      </c>
      <c r="H254" s="172">
        <f>IF('Оперативный ввод'!H254="","",'Оперативный ввод'!H254)</f>
        <v/>
      </c>
      <c r="I254" s="172">
        <f>IF('Оперативный ввод'!I254="","",'Оперативный ввод'!I254)</f>
        <v/>
      </c>
      <c r="J254" s="172">
        <f>IF('Оперативный ввод'!J254="","",'Оперативный ввод'!J254)</f>
        <v/>
      </c>
      <c r="K254" s="172">
        <f>IF('Оперативный ввод'!K254="","",'Оперативный ввод'!K254)</f>
        <v/>
      </c>
      <c r="L254" s="172">
        <f>IF('Оперативный ввод'!L254="","",'Оперативный ввод'!L254)</f>
        <v/>
      </c>
      <c r="M254" s="172">
        <f>IF('Оперативный ввод'!M254="","",'Оперативный ввод'!M254)</f>
        <v/>
      </c>
      <c r="N254" s="172">
        <f>IF('Оперативный ввод'!N254="","",'Оперативный ввод'!N254)</f>
        <v/>
      </c>
      <c r="O254" s="172">
        <f>IF('Оперативный ввод'!O254="","",'Оперативный ввод'!O254)</f>
        <v/>
      </c>
      <c r="P254" s="205">
        <f>IF(AND(A254="",B254=""),"",IF(AND(A254&lt;&gt;"",B254&lt;&gt;"",C254&lt;&gt;"",D254&lt;&gt;"",F254&lt;&gt;"",G254&lt;&gt;"",H254&lt;&gt;"",ISERROR(SEARCH("по паспорту",G254)),ISERROR(SEARCH("по паспорту",H254)),I254&lt;&gt;"",J254&lt;&gt;"",K254&lt;&gt;"",L254&lt;&gt;"",M254&lt;&gt;""),"ГОТОВО","НЕ ГОТОВО"))</f>
        <v/>
      </c>
      <c r="Q254" s="205">
        <f>IF(P254&lt;&gt;"ГОТОВО","", "Предварительное заключение: "&amp;A254&amp;", скв. "&amp;B254&amp;". МРП: "&amp;E254&amp;" сут. ГНО: "&amp;F254&amp;", типоразмер "&amp;G254&amp;", марка "&amp;H254&amp;". Событие: "&amp;I254&amp;". Признак: "&amp;J254&amp;". Узел: "&amp;K254&amp;". Предварительная причина: "&amp;L254&amp;". Основное осложнение: "&amp;M254&amp;IF(N254&lt;&gt;"","; сопутствующее: "&amp;N254,"")&amp;IF(O254&lt;&gt;"","; дополнительно: "&amp;O254,"")&amp;".")</f>
        <v/>
      </c>
      <c r="R254" s="172">
        <f>IF('Оперативный ввод'!P254="","",'Оперативный ввод'!P254)</f>
        <v/>
      </c>
      <c r="S254" s="172">
        <f>IF('Оперативный ввод'!Q254="","",'Оперативный ввод'!Q254)</f>
        <v/>
      </c>
      <c r="T254" s="172">
        <f>IF('Оперативный ввод'!R254="","",'Оперативный ввод'!R254)</f>
        <v/>
      </c>
      <c r="U254" s="172">
        <f>IF('Оперативный ввод'!S254="","",'Оперативный ввод'!S254)</f>
        <v/>
      </c>
      <c r="V254" s="172">
        <f>IF('Оперативный ввод'!T254="","",'Оперативный ввод'!T254)</f>
        <v/>
      </c>
      <c r="W254" s="172" t="n"/>
      <c r="X254" s="172" t="n"/>
      <c r="Y254" s="172" t="n"/>
      <c r="Z254" s="172" t="n"/>
      <c r="AA254" s="172">
        <f>IF('Оперативный ввод'!U254="","",'Оперативный ввод'!U254)</f>
        <v/>
      </c>
      <c r="AB254" s="172">
        <f>IF('Оперативный ввод'!V254="","",'Оперативный ввод'!V254)</f>
        <v/>
      </c>
      <c r="AC254" s="172">
        <f>IF('Оперативный ввод'!W254="","",'Оперативный ввод'!W254)</f>
        <v/>
      </c>
      <c r="BB254" s="172" t="n"/>
      <c r="BC254" s="172" t="n"/>
      <c r="BD254" s="205">
        <f>IF(AND(A254="",B254=""),"",IF(AND(P254="ГОТОВО",R254&lt;&gt;"",T254&lt;&gt;"",U254&lt;&gt;"",AA254&lt;&gt;"",AB254&lt;&gt;"",AC254&lt;&gt;"",BB254&lt;&gt;"",BC254&lt;&gt;""),"ГОТОВО","НЕ ГОТОВО"))</f>
        <v/>
      </c>
      <c r="BE254" s="205">
        <f>IF(BD254&lt;&gt;"ГОТОВО","","Полное заключение: "&amp;A254&amp;", скв. "&amp;B254&amp;". МРП: "&amp;E254&amp;" сут. ГНО: "&amp;F254&amp;"; причина: "&amp;U254&amp;"; категория: "&amp;V254&amp;"; решение комиссии: "&amp;BB254&amp;".")</f>
        <v/>
      </c>
      <c r="BF254" s="173">
        <f>IF('Оперативный ввод'!X254="","",'Оперативный ввод'!X254)</f>
        <v/>
      </c>
    </row>
    <row r="255">
      <c r="A255" s="171">
        <f>IF('Оперативный ввод'!A255="","",'Оперативный ввод'!A255)</f>
        <v/>
      </c>
      <c r="B255" s="172">
        <f>IF('Оперативный ввод'!B255="","",'Оперативный ввод'!B255)</f>
        <v/>
      </c>
      <c r="C255" s="270">
        <f>IF('Оперативный ввод'!C255="","",'Оперативный ввод'!C255)</f>
        <v/>
      </c>
      <c r="D255" s="270">
        <f>IF('Оперативный ввод'!D255="","",'Оперативный ввод'!D255)</f>
        <v/>
      </c>
      <c r="E255" s="271">
        <f>IF(OR(C255="",D255=""),"",D255-C255)</f>
        <v/>
      </c>
      <c r="F255" s="172">
        <f>IF('Оперативный ввод'!F255="","",'Оперативный ввод'!F255)</f>
        <v/>
      </c>
      <c r="G255" s="172">
        <f>IF('Оперативный ввод'!G255="","",'Оперативный ввод'!G255)</f>
        <v/>
      </c>
      <c r="H255" s="172">
        <f>IF('Оперативный ввод'!H255="","",'Оперативный ввод'!H255)</f>
        <v/>
      </c>
      <c r="I255" s="172">
        <f>IF('Оперативный ввод'!I255="","",'Оперативный ввод'!I255)</f>
        <v/>
      </c>
      <c r="J255" s="172">
        <f>IF('Оперативный ввод'!J255="","",'Оперативный ввод'!J255)</f>
        <v/>
      </c>
      <c r="K255" s="172">
        <f>IF('Оперативный ввод'!K255="","",'Оперативный ввод'!K255)</f>
        <v/>
      </c>
      <c r="L255" s="172">
        <f>IF('Оперативный ввод'!L255="","",'Оперативный ввод'!L255)</f>
        <v/>
      </c>
      <c r="M255" s="172">
        <f>IF('Оперативный ввод'!M255="","",'Оперативный ввод'!M255)</f>
        <v/>
      </c>
      <c r="N255" s="172">
        <f>IF('Оперативный ввод'!N255="","",'Оперативный ввод'!N255)</f>
        <v/>
      </c>
      <c r="O255" s="172">
        <f>IF('Оперативный ввод'!O255="","",'Оперативный ввод'!O255)</f>
        <v/>
      </c>
      <c r="P255" s="205">
        <f>IF(AND(A255="",B255=""),"",IF(AND(A255&lt;&gt;"",B255&lt;&gt;"",C255&lt;&gt;"",D255&lt;&gt;"",F255&lt;&gt;"",G255&lt;&gt;"",H255&lt;&gt;"",ISERROR(SEARCH("по паспорту",G255)),ISERROR(SEARCH("по паспорту",H255)),I255&lt;&gt;"",J255&lt;&gt;"",K255&lt;&gt;"",L255&lt;&gt;"",M255&lt;&gt;""),"ГОТОВО","НЕ ГОТОВО"))</f>
        <v/>
      </c>
      <c r="Q255" s="205">
        <f>IF(P255&lt;&gt;"ГОТОВО","", "Предварительное заключение: "&amp;A255&amp;", скв. "&amp;B255&amp;". МРП: "&amp;E255&amp;" сут. ГНО: "&amp;F255&amp;", типоразмер "&amp;G255&amp;", марка "&amp;H255&amp;". Событие: "&amp;I255&amp;". Признак: "&amp;J255&amp;". Узел: "&amp;K255&amp;". Предварительная причина: "&amp;L255&amp;". Основное осложнение: "&amp;M255&amp;IF(N255&lt;&gt;"","; сопутствующее: "&amp;N255,"")&amp;IF(O255&lt;&gt;"","; дополнительно: "&amp;O255,"")&amp;".")</f>
        <v/>
      </c>
      <c r="R255" s="172">
        <f>IF('Оперативный ввод'!P255="","",'Оперативный ввод'!P255)</f>
        <v/>
      </c>
      <c r="S255" s="172">
        <f>IF('Оперативный ввод'!Q255="","",'Оперативный ввод'!Q255)</f>
        <v/>
      </c>
      <c r="T255" s="172">
        <f>IF('Оперативный ввод'!R255="","",'Оперативный ввод'!R255)</f>
        <v/>
      </c>
      <c r="U255" s="172">
        <f>IF('Оперативный ввод'!S255="","",'Оперативный ввод'!S255)</f>
        <v/>
      </c>
      <c r="V255" s="172">
        <f>IF('Оперативный ввод'!T255="","",'Оперативный ввод'!T255)</f>
        <v/>
      </c>
      <c r="W255" s="172" t="n"/>
      <c r="X255" s="172" t="n"/>
      <c r="Y255" s="172" t="n"/>
      <c r="Z255" s="172" t="n"/>
      <c r="AA255" s="172">
        <f>IF('Оперативный ввод'!U255="","",'Оперативный ввод'!U255)</f>
        <v/>
      </c>
      <c r="AB255" s="172">
        <f>IF('Оперативный ввод'!V255="","",'Оперативный ввод'!V255)</f>
        <v/>
      </c>
      <c r="AC255" s="172">
        <f>IF('Оперативный ввод'!W255="","",'Оперативный ввод'!W255)</f>
        <v/>
      </c>
      <c r="BB255" s="172" t="n"/>
      <c r="BC255" s="172" t="n"/>
      <c r="BD255" s="205">
        <f>IF(AND(A255="",B255=""),"",IF(AND(P255="ГОТОВО",R255&lt;&gt;"",T255&lt;&gt;"",U255&lt;&gt;"",AA255&lt;&gt;"",AB255&lt;&gt;"",AC255&lt;&gt;"",BB255&lt;&gt;"",BC255&lt;&gt;""),"ГОТОВО","НЕ ГОТОВО"))</f>
        <v/>
      </c>
      <c r="BE255" s="205">
        <f>IF(BD255&lt;&gt;"ГОТОВО","","Полное заключение: "&amp;A255&amp;", скв. "&amp;B255&amp;". МРП: "&amp;E255&amp;" сут. ГНО: "&amp;F255&amp;"; причина: "&amp;U255&amp;"; категория: "&amp;V255&amp;"; решение комиссии: "&amp;BB255&amp;".")</f>
        <v/>
      </c>
      <c r="BF255" s="173">
        <f>IF('Оперативный ввод'!X255="","",'Оперативный ввод'!X255)</f>
        <v/>
      </c>
    </row>
    <row r="256">
      <c r="A256" s="171">
        <f>IF('Оперативный ввод'!A256="","",'Оперативный ввод'!A256)</f>
        <v/>
      </c>
      <c r="B256" s="172">
        <f>IF('Оперативный ввод'!B256="","",'Оперативный ввод'!B256)</f>
        <v/>
      </c>
      <c r="C256" s="270">
        <f>IF('Оперативный ввод'!C256="","",'Оперативный ввод'!C256)</f>
        <v/>
      </c>
      <c r="D256" s="270">
        <f>IF('Оперативный ввод'!D256="","",'Оперативный ввод'!D256)</f>
        <v/>
      </c>
      <c r="E256" s="271">
        <f>IF(OR(C256="",D256=""),"",D256-C256)</f>
        <v/>
      </c>
      <c r="F256" s="172">
        <f>IF('Оперативный ввод'!F256="","",'Оперативный ввод'!F256)</f>
        <v/>
      </c>
      <c r="G256" s="172">
        <f>IF('Оперативный ввод'!G256="","",'Оперативный ввод'!G256)</f>
        <v/>
      </c>
      <c r="H256" s="172">
        <f>IF('Оперативный ввод'!H256="","",'Оперативный ввод'!H256)</f>
        <v/>
      </c>
      <c r="I256" s="172">
        <f>IF('Оперативный ввод'!I256="","",'Оперативный ввод'!I256)</f>
        <v/>
      </c>
      <c r="J256" s="172">
        <f>IF('Оперативный ввод'!J256="","",'Оперативный ввод'!J256)</f>
        <v/>
      </c>
      <c r="K256" s="172">
        <f>IF('Оперативный ввод'!K256="","",'Оперативный ввод'!K256)</f>
        <v/>
      </c>
      <c r="L256" s="172">
        <f>IF('Оперативный ввод'!L256="","",'Оперативный ввод'!L256)</f>
        <v/>
      </c>
      <c r="M256" s="172">
        <f>IF('Оперативный ввод'!M256="","",'Оперативный ввод'!M256)</f>
        <v/>
      </c>
      <c r="N256" s="172">
        <f>IF('Оперативный ввод'!N256="","",'Оперативный ввод'!N256)</f>
        <v/>
      </c>
      <c r="O256" s="172">
        <f>IF('Оперативный ввод'!O256="","",'Оперативный ввод'!O256)</f>
        <v/>
      </c>
      <c r="P256" s="205">
        <f>IF(AND(A256="",B256=""),"",IF(AND(A256&lt;&gt;"",B256&lt;&gt;"",C256&lt;&gt;"",D256&lt;&gt;"",F256&lt;&gt;"",G256&lt;&gt;"",H256&lt;&gt;"",ISERROR(SEARCH("по паспорту",G256)),ISERROR(SEARCH("по паспорту",H256)),I256&lt;&gt;"",J256&lt;&gt;"",K256&lt;&gt;"",L256&lt;&gt;"",M256&lt;&gt;""),"ГОТОВО","НЕ ГОТОВО"))</f>
        <v/>
      </c>
      <c r="Q256" s="205">
        <f>IF(P256&lt;&gt;"ГОТОВО","", "Предварительное заключение: "&amp;A256&amp;", скв. "&amp;B256&amp;". МРП: "&amp;E256&amp;" сут. ГНО: "&amp;F256&amp;", типоразмер "&amp;G256&amp;", марка "&amp;H256&amp;". Событие: "&amp;I256&amp;". Признак: "&amp;J256&amp;". Узел: "&amp;K256&amp;". Предварительная причина: "&amp;L256&amp;". Основное осложнение: "&amp;M256&amp;IF(N256&lt;&gt;"","; сопутствующее: "&amp;N256,"")&amp;IF(O256&lt;&gt;"","; дополнительно: "&amp;O256,"")&amp;".")</f>
        <v/>
      </c>
      <c r="R256" s="172">
        <f>IF('Оперативный ввод'!P256="","",'Оперативный ввод'!P256)</f>
        <v/>
      </c>
      <c r="S256" s="172">
        <f>IF('Оперативный ввод'!Q256="","",'Оперативный ввод'!Q256)</f>
        <v/>
      </c>
      <c r="T256" s="172">
        <f>IF('Оперативный ввод'!R256="","",'Оперативный ввод'!R256)</f>
        <v/>
      </c>
      <c r="U256" s="172">
        <f>IF('Оперативный ввод'!S256="","",'Оперативный ввод'!S256)</f>
        <v/>
      </c>
      <c r="V256" s="172">
        <f>IF('Оперативный ввод'!T256="","",'Оперативный ввод'!T256)</f>
        <v/>
      </c>
      <c r="W256" s="172" t="n"/>
      <c r="X256" s="172" t="n"/>
      <c r="Y256" s="172" t="n"/>
      <c r="Z256" s="172" t="n"/>
      <c r="AA256" s="172">
        <f>IF('Оперативный ввод'!U256="","",'Оперативный ввод'!U256)</f>
        <v/>
      </c>
      <c r="AB256" s="172">
        <f>IF('Оперативный ввод'!V256="","",'Оперативный ввод'!V256)</f>
        <v/>
      </c>
      <c r="AC256" s="172">
        <f>IF('Оперативный ввод'!W256="","",'Оперативный ввод'!W256)</f>
        <v/>
      </c>
      <c r="BB256" s="172" t="n"/>
      <c r="BC256" s="172" t="n"/>
      <c r="BD256" s="205">
        <f>IF(AND(A256="",B256=""),"",IF(AND(P256="ГОТОВО",R256&lt;&gt;"",T256&lt;&gt;"",U256&lt;&gt;"",AA256&lt;&gt;"",AB256&lt;&gt;"",AC256&lt;&gt;"",BB256&lt;&gt;"",BC256&lt;&gt;""),"ГОТОВО","НЕ ГОТОВО"))</f>
        <v/>
      </c>
      <c r="BE256" s="205">
        <f>IF(BD256&lt;&gt;"ГОТОВО","","Полное заключение: "&amp;A256&amp;", скв. "&amp;B256&amp;". МРП: "&amp;E256&amp;" сут. ГНО: "&amp;F256&amp;"; причина: "&amp;U256&amp;"; категория: "&amp;V256&amp;"; решение комиссии: "&amp;BB256&amp;".")</f>
        <v/>
      </c>
      <c r="BF256" s="173">
        <f>IF('Оперативный ввод'!X256="","",'Оперативный ввод'!X256)</f>
        <v/>
      </c>
    </row>
    <row r="257">
      <c r="A257" s="171">
        <f>IF('Оперативный ввод'!A257="","",'Оперативный ввод'!A257)</f>
        <v/>
      </c>
      <c r="B257" s="172">
        <f>IF('Оперативный ввод'!B257="","",'Оперативный ввод'!B257)</f>
        <v/>
      </c>
      <c r="C257" s="270">
        <f>IF('Оперативный ввод'!C257="","",'Оперативный ввод'!C257)</f>
        <v/>
      </c>
      <c r="D257" s="270">
        <f>IF('Оперативный ввод'!D257="","",'Оперативный ввод'!D257)</f>
        <v/>
      </c>
      <c r="E257" s="271">
        <f>IF(OR(C257="",D257=""),"",D257-C257)</f>
        <v/>
      </c>
      <c r="F257" s="172">
        <f>IF('Оперативный ввод'!F257="","",'Оперативный ввод'!F257)</f>
        <v/>
      </c>
      <c r="G257" s="172">
        <f>IF('Оперативный ввод'!G257="","",'Оперативный ввод'!G257)</f>
        <v/>
      </c>
      <c r="H257" s="172">
        <f>IF('Оперативный ввод'!H257="","",'Оперативный ввод'!H257)</f>
        <v/>
      </c>
      <c r="I257" s="172">
        <f>IF('Оперативный ввод'!I257="","",'Оперативный ввод'!I257)</f>
        <v/>
      </c>
      <c r="J257" s="172">
        <f>IF('Оперативный ввод'!J257="","",'Оперативный ввод'!J257)</f>
        <v/>
      </c>
      <c r="K257" s="172">
        <f>IF('Оперативный ввод'!K257="","",'Оперативный ввод'!K257)</f>
        <v/>
      </c>
      <c r="L257" s="172">
        <f>IF('Оперативный ввод'!L257="","",'Оперативный ввод'!L257)</f>
        <v/>
      </c>
      <c r="M257" s="172">
        <f>IF('Оперативный ввод'!M257="","",'Оперативный ввод'!M257)</f>
        <v/>
      </c>
      <c r="N257" s="172">
        <f>IF('Оперативный ввод'!N257="","",'Оперативный ввод'!N257)</f>
        <v/>
      </c>
      <c r="O257" s="172">
        <f>IF('Оперативный ввод'!O257="","",'Оперативный ввод'!O257)</f>
        <v/>
      </c>
      <c r="P257" s="205">
        <f>IF(AND(A257="",B257=""),"",IF(AND(A257&lt;&gt;"",B257&lt;&gt;"",C257&lt;&gt;"",D257&lt;&gt;"",F257&lt;&gt;"",G257&lt;&gt;"",H257&lt;&gt;"",ISERROR(SEARCH("по паспорту",G257)),ISERROR(SEARCH("по паспорту",H257)),I257&lt;&gt;"",J257&lt;&gt;"",K257&lt;&gt;"",L257&lt;&gt;"",M257&lt;&gt;""),"ГОТОВО","НЕ ГОТОВО"))</f>
        <v/>
      </c>
      <c r="Q257" s="205">
        <f>IF(P257&lt;&gt;"ГОТОВО","", "Предварительное заключение: "&amp;A257&amp;", скв. "&amp;B257&amp;". МРП: "&amp;E257&amp;" сут. ГНО: "&amp;F257&amp;", типоразмер "&amp;G257&amp;", марка "&amp;H257&amp;". Событие: "&amp;I257&amp;". Признак: "&amp;J257&amp;". Узел: "&amp;K257&amp;". Предварительная причина: "&amp;L257&amp;". Основное осложнение: "&amp;M257&amp;IF(N257&lt;&gt;"","; сопутствующее: "&amp;N257,"")&amp;IF(O257&lt;&gt;"","; дополнительно: "&amp;O257,"")&amp;".")</f>
        <v/>
      </c>
      <c r="R257" s="172">
        <f>IF('Оперативный ввод'!P257="","",'Оперативный ввод'!P257)</f>
        <v/>
      </c>
      <c r="S257" s="172">
        <f>IF('Оперативный ввод'!Q257="","",'Оперативный ввод'!Q257)</f>
        <v/>
      </c>
      <c r="T257" s="172">
        <f>IF('Оперативный ввод'!R257="","",'Оперативный ввод'!R257)</f>
        <v/>
      </c>
      <c r="U257" s="172">
        <f>IF('Оперативный ввод'!S257="","",'Оперативный ввод'!S257)</f>
        <v/>
      </c>
      <c r="V257" s="172">
        <f>IF('Оперативный ввод'!T257="","",'Оперативный ввод'!T257)</f>
        <v/>
      </c>
      <c r="W257" s="172" t="n"/>
      <c r="X257" s="172" t="n"/>
      <c r="Y257" s="172" t="n"/>
      <c r="Z257" s="172" t="n"/>
      <c r="AA257" s="172">
        <f>IF('Оперативный ввод'!U257="","",'Оперативный ввод'!U257)</f>
        <v/>
      </c>
      <c r="AB257" s="172">
        <f>IF('Оперативный ввод'!V257="","",'Оперативный ввод'!V257)</f>
        <v/>
      </c>
      <c r="AC257" s="172">
        <f>IF('Оперативный ввод'!W257="","",'Оперативный ввод'!W257)</f>
        <v/>
      </c>
      <c r="BB257" s="172" t="n"/>
      <c r="BC257" s="172" t="n"/>
      <c r="BD257" s="205">
        <f>IF(AND(A257="",B257=""),"",IF(AND(P257="ГОТОВО",R257&lt;&gt;"",T257&lt;&gt;"",U257&lt;&gt;"",AA257&lt;&gt;"",AB257&lt;&gt;"",AC257&lt;&gt;"",BB257&lt;&gt;"",BC257&lt;&gt;""),"ГОТОВО","НЕ ГОТОВО"))</f>
        <v/>
      </c>
      <c r="BE257" s="205">
        <f>IF(BD257&lt;&gt;"ГОТОВО","","Полное заключение: "&amp;A257&amp;", скв. "&amp;B257&amp;". МРП: "&amp;E257&amp;" сут. ГНО: "&amp;F257&amp;"; причина: "&amp;U257&amp;"; категория: "&amp;V257&amp;"; решение комиссии: "&amp;BB257&amp;".")</f>
        <v/>
      </c>
      <c r="BF257" s="173">
        <f>IF('Оперативный ввод'!X257="","",'Оперативный ввод'!X257)</f>
        <v/>
      </c>
    </row>
    <row r="258">
      <c r="A258" s="171">
        <f>IF('Оперативный ввод'!A258="","",'Оперативный ввод'!A258)</f>
        <v/>
      </c>
      <c r="B258" s="172">
        <f>IF('Оперативный ввод'!B258="","",'Оперативный ввод'!B258)</f>
        <v/>
      </c>
      <c r="C258" s="270">
        <f>IF('Оперативный ввод'!C258="","",'Оперативный ввод'!C258)</f>
        <v/>
      </c>
      <c r="D258" s="270">
        <f>IF('Оперативный ввод'!D258="","",'Оперативный ввод'!D258)</f>
        <v/>
      </c>
      <c r="E258" s="271">
        <f>IF(OR(C258="",D258=""),"",D258-C258)</f>
        <v/>
      </c>
      <c r="F258" s="172">
        <f>IF('Оперативный ввод'!F258="","",'Оперативный ввод'!F258)</f>
        <v/>
      </c>
      <c r="G258" s="172">
        <f>IF('Оперативный ввод'!G258="","",'Оперативный ввод'!G258)</f>
        <v/>
      </c>
      <c r="H258" s="172">
        <f>IF('Оперативный ввод'!H258="","",'Оперативный ввод'!H258)</f>
        <v/>
      </c>
      <c r="I258" s="172">
        <f>IF('Оперативный ввод'!I258="","",'Оперативный ввод'!I258)</f>
        <v/>
      </c>
      <c r="J258" s="172">
        <f>IF('Оперативный ввод'!J258="","",'Оперативный ввод'!J258)</f>
        <v/>
      </c>
      <c r="K258" s="172">
        <f>IF('Оперативный ввод'!K258="","",'Оперативный ввод'!K258)</f>
        <v/>
      </c>
      <c r="L258" s="172">
        <f>IF('Оперативный ввод'!L258="","",'Оперативный ввод'!L258)</f>
        <v/>
      </c>
      <c r="M258" s="172">
        <f>IF('Оперативный ввод'!M258="","",'Оперативный ввод'!M258)</f>
        <v/>
      </c>
      <c r="N258" s="172">
        <f>IF('Оперативный ввод'!N258="","",'Оперативный ввод'!N258)</f>
        <v/>
      </c>
      <c r="O258" s="172">
        <f>IF('Оперативный ввод'!O258="","",'Оперативный ввод'!O258)</f>
        <v/>
      </c>
      <c r="P258" s="205">
        <f>IF(AND(A258="",B258=""),"",IF(AND(A258&lt;&gt;"",B258&lt;&gt;"",C258&lt;&gt;"",D258&lt;&gt;"",F258&lt;&gt;"",G258&lt;&gt;"",H258&lt;&gt;"",ISERROR(SEARCH("по паспорту",G258)),ISERROR(SEARCH("по паспорту",H258)),I258&lt;&gt;"",J258&lt;&gt;"",K258&lt;&gt;"",L258&lt;&gt;"",M258&lt;&gt;""),"ГОТОВО","НЕ ГОТОВО"))</f>
        <v/>
      </c>
      <c r="Q258" s="205">
        <f>IF(P258&lt;&gt;"ГОТОВО","", "Предварительное заключение: "&amp;A258&amp;", скв. "&amp;B258&amp;". МРП: "&amp;E258&amp;" сут. ГНО: "&amp;F258&amp;", типоразмер "&amp;G258&amp;", марка "&amp;H258&amp;". Событие: "&amp;I258&amp;". Признак: "&amp;J258&amp;". Узел: "&amp;K258&amp;". Предварительная причина: "&amp;L258&amp;". Основное осложнение: "&amp;M258&amp;IF(N258&lt;&gt;"","; сопутствующее: "&amp;N258,"")&amp;IF(O258&lt;&gt;"","; дополнительно: "&amp;O258,"")&amp;".")</f>
        <v/>
      </c>
      <c r="R258" s="172">
        <f>IF('Оперативный ввод'!P258="","",'Оперативный ввод'!P258)</f>
        <v/>
      </c>
      <c r="S258" s="172">
        <f>IF('Оперативный ввод'!Q258="","",'Оперативный ввод'!Q258)</f>
        <v/>
      </c>
      <c r="T258" s="172">
        <f>IF('Оперативный ввод'!R258="","",'Оперативный ввод'!R258)</f>
        <v/>
      </c>
      <c r="U258" s="172">
        <f>IF('Оперативный ввод'!S258="","",'Оперативный ввод'!S258)</f>
        <v/>
      </c>
      <c r="V258" s="172">
        <f>IF('Оперативный ввод'!T258="","",'Оперативный ввод'!T258)</f>
        <v/>
      </c>
      <c r="W258" s="172" t="n"/>
      <c r="X258" s="172" t="n"/>
      <c r="Y258" s="172" t="n"/>
      <c r="Z258" s="172" t="n"/>
      <c r="AA258" s="172">
        <f>IF('Оперативный ввод'!U258="","",'Оперативный ввод'!U258)</f>
        <v/>
      </c>
      <c r="AB258" s="172">
        <f>IF('Оперативный ввод'!V258="","",'Оперативный ввод'!V258)</f>
        <v/>
      </c>
      <c r="AC258" s="172">
        <f>IF('Оперативный ввод'!W258="","",'Оперативный ввод'!W258)</f>
        <v/>
      </c>
      <c r="BB258" s="172" t="n"/>
      <c r="BC258" s="172" t="n"/>
      <c r="BD258" s="205">
        <f>IF(AND(A258="",B258=""),"",IF(AND(P258="ГОТОВО",R258&lt;&gt;"",T258&lt;&gt;"",U258&lt;&gt;"",AA258&lt;&gt;"",AB258&lt;&gt;"",AC258&lt;&gt;"",BB258&lt;&gt;"",BC258&lt;&gt;""),"ГОТОВО","НЕ ГОТОВО"))</f>
        <v/>
      </c>
      <c r="BE258" s="205">
        <f>IF(BD258&lt;&gt;"ГОТОВО","","Полное заключение: "&amp;A258&amp;", скв. "&amp;B258&amp;". МРП: "&amp;E258&amp;" сут. ГНО: "&amp;F258&amp;"; причина: "&amp;U258&amp;"; категория: "&amp;V258&amp;"; решение комиссии: "&amp;BB258&amp;".")</f>
        <v/>
      </c>
      <c r="BF258" s="173">
        <f>IF('Оперативный ввод'!X258="","",'Оперативный ввод'!X258)</f>
        <v/>
      </c>
    </row>
    <row r="259">
      <c r="A259" s="171">
        <f>IF('Оперативный ввод'!A259="","",'Оперативный ввод'!A259)</f>
        <v/>
      </c>
      <c r="B259" s="172">
        <f>IF('Оперативный ввод'!B259="","",'Оперативный ввод'!B259)</f>
        <v/>
      </c>
      <c r="C259" s="270">
        <f>IF('Оперативный ввод'!C259="","",'Оперативный ввод'!C259)</f>
        <v/>
      </c>
      <c r="D259" s="270">
        <f>IF('Оперативный ввод'!D259="","",'Оперативный ввод'!D259)</f>
        <v/>
      </c>
      <c r="E259" s="271">
        <f>IF(OR(C259="",D259=""),"",D259-C259)</f>
        <v/>
      </c>
      <c r="F259" s="172">
        <f>IF('Оперативный ввод'!F259="","",'Оперативный ввод'!F259)</f>
        <v/>
      </c>
      <c r="G259" s="172">
        <f>IF('Оперативный ввод'!G259="","",'Оперативный ввод'!G259)</f>
        <v/>
      </c>
      <c r="H259" s="172">
        <f>IF('Оперативный ввод'!H259="","",'Оперативный ввод'!H259)</f>
        <v/>
      </c>
      <c r="I259" s="172">
        <f>IF('Оперативный ввод'!I259="","",'Оперативный ввод'!I259)</f>
        <v/>
      </c>
      <c r="J259" s="172">
        <f>IF('Оперативный ввод'!J259="","",'Оперативный ввод'!J259)</f>
        <v/>
      </c>
      <c r="K259" s="172">
        <f>IF('Оперативный ввод'!K259="","",'Оперативный ввод'!K259)</f>
        <v/>
      </c>
      <c r="L259" s="172">
        <f>IF('Оперативный ввод'!L259="","",'Оперативный ввод'!L259)</f>
        <v/>
      </c>
      <c r="M259" s="172">
        <f>IF('Оперативный ввод'!M259="","",'Оперативный ввод'!M259)</f>
        <v/>
      </c>
      <c r="N259" s="172">
        <f>IF('Оперативный ввод'!N259="","",'Оперативный ввод'!N259)</f>
        <v/>
      </c>
      <c r="O259" s="172">
        <f>IF('Оперативный ввод'!O259="","",'Оперативный ввод'!O259)</f>
        <v/>
      </c>
      <c r="P259" s="205">
        <f>IF(AND(A259="",B259=""),"",IF(AND(A259&lt;&gt;"",B259&lt;&gt;"",C259&lt;&gt;"",D259&lt;&gt;"",F259&lt;&gt;"",G259&lt;&gt;"",H259&lt;&gt;"",ISERROR(SEARCH("по паспорту",G259)),ISERROR(SEARCH("по паспорту",H259)),I259&lt;&gt;"",J259&lt;&gt;"",K259&lt;&gt;"",L259&lt;&gt;"",M259&lt;&gt;""),"ГОТОВО","НЕ ГОТОВО"))</f>
        <v/>
      </c>
      <c r="Q259" s="205">
        <f>IF(P259&lt;&gt;"ГОТОВО","", "Предварительное заключение: "&amp;A259&amp;", скв. "&amp;B259&amp;". МРП: "&amp;E259&amp;" сут. ГНО: "&amp;F259&amp;", типоразмер "&amp;G259&amp;", марка "&amp;H259&amp;". Событие: "&amp;I259&amp;". Признак: "&amp;J259&amp;". Узел: "&amp;K259&amp;". Предварительная причина: "&amp;L259&amp;". Основное осложнение: "&amp;M259&amp;IF(N259&lt;&gt;"","; сопутствующее: "&amp;N259,"")&amp;IF(O259&lt;&gt;"","; дополнительно: "&amp;O259,"")&amp;".")</f>
        <v/>
      </c>
      <c r="R259" s="172">
        <f>IF('Оперативный ввод'!P259="","",'Оперативный ввод'!P259)</f>
        <v/>
      </c>
      <c r="S259" s="172">
        <f>IF('Оперативный ввод'!Q259="","",'Оперативный ввод'!Q259)</f>
        <v/>
      </c>
      <c r="T259" s="172">
        <f>IF('Оперативный ввод'!R259="","",'Оперативный ввод'!R259)</f>
        <v/>
      </c>
      <c r="U259" s="172">
        <f>IF('Оперативный ввод'!S259="","",'Оперативный ввод'!S259)</f>
        <v/>
      </c>
      <c r="V259" s="172">
        <f>IF('Оперативный ввод'!T259="","",'Оперативный ввод'!T259)</f>
        <v/>
      </c>
      <c r="W259" s="172" t="n"/>
      <c r="X259" s="172" t="n"/>
      <c r="Y259" s="172" t="n"/>
      <c r="Z259" s="172" t="n"/>
      <c r="AA259" s="172">
        <f>IF('Оперативный ввод'!U259="","",'Оперативный ввод'!U259)</f>
        <v/>
      </c>
      <c r="AB259" s="172">
        <f>IF('Оперативный ввод'!V259="","",'Оперативный ввод'!V259)</f>
        <v/>
      </c>
      <c r="AC259" s="172">
        <f>IF('Оперативный ввод'!W259="","",'Оперативный ввод'!W259)</f>
        <v/>
      </c>
      <c r="BB259" s="172" t="n"/>
      <c r="BC259" s="172" t="n"/>
      <c r="BD259" s="205">
        <f>IF(AND(A259="",B259=""),"",IF(AND(P259="ГОТОВО",R259&lt;&gt;"",T259&lt;&gt;"",U259&lt;&gt;"",AA259&lt;&gt;"",AB259&lt;&gt;"",AC259&lt;&gt;"",BB259&lt;&gt;"",BC259&lt;&gt;""),"ГОТОВО","НЕ ГОТОВО"))</f>
        <v/>
      </c>
      <c r="BE259" s="205">
        <f>IF(BD259&lt;&gt;"ГОТОВО","","Полное заключение: "&amp;A259&amp;", скв. "&amp;B259&amp;". МРП: "&amp;E259&amp;" сут. ГНО: "&amp;F259&amp;"; причина: "&amp;U259&amp;"; категория: "&amp;V259&amp;"; решение комиссии: "&amp;BB259&amp;".")</f>
        <v/>
      </c>
      <c r="BF259" s="173">
        <f>IF('Оперативный ввод'!X259="","",'Оперативный ввод'!X259)</f>
        <v/>
      </c>
    </row>
    <row r="260">
      <c r="A260" s="171">
        <f>IF('Оперативный ввод'!A260="","",'Оперативный ввод'!A260)</f>
        <v/>
      </c>
      <c r="B260" s="172">
        <f>IF('Оперативный ввод'!B260="","",'Оперативный ввод'!B260)</f>
        <v/>
      </c>
      <c r="C260" s="270">
        <f>IF('Оперативный ввод'!C260="","",'Оперативный ввод'!C260)</f>
        <v/>
      </c>
      <c r="D260" s="270">
        <f>IF('Оперативный ввод'!D260="","",'Оперативный ввод'!D260)</f>
        <v/>
      </c>
      <c r="E260" s="271">
        <f>IF(OR(C260="",D260=""),"",D260-C260)</f>
        <v/>
      </c>
      <c r="F260" s="172">
        <f>IF('Оперативный ввод'!F260="","",'Оперативный ввод'!F260)</f>
        <v/>
      </c>
      <c r="G260" s="172">
        <f>IF('Оперативный ввод'!G260="","",'Оперативный ввод'!G260)</f>
        <v/>
      </c>
      <c r="H260" s="172">
        <f>IF('Оперативный ввод'!H260="","",'Оперативный ввод'!H260)</f>
        <v/>
      </c>
      <c r="I260" s="172">
        <f>IF('Оперативный ввод'!I260="","",'Оперативный ввод'!I260)</f>
        <v/>
      </c>
      <c r="J260" s="172">
        <f>IF('Оперативный ввод'!J260="","",'Оперативный ввод'!J260)</f>
        <v/>
      </c>
      <c r="K260" s="172">
        <f>IF('Оперативный ввод'!K260="","",'Оперативный ввод'!K260)</f>
        <v/>
      </c>
      <c r="L260" s="172">
        <f>IF('Оперативный ввод'!L260="","",'Оперативный ввод'!L260)</f>
        <v/>
      </c>
      <c r="M260" s="172">
        <f>IF('Оперативный ввод'!M260="","",'Оперативный ввод'!M260)</f>
        <v/>
      </c>
      <c r="N260" s="172">
        <f>IF('Оперативный ввод'!N260="","",'Оперативный ввод'!N260)</f>
        <v/>
      </c>
      <c r="O260" s="172">
        <f>IF('Оперативный ввод'!O260="","",'Оперативный ввод'!O260)</f>
        <v/>
      </c>
      <c r="P260" s="205">
        <f>IF(AND(A260="",B260=""),"",IF(AND(A260&lt;&gt;"",B260&lt;&gt;"",C260&lt;&gt;"",D260&lt;&gt;"",F260&lt;&gt;"",G260&lt;&gt;"",H260&lt;&gt;"",ISERROR(SEARCH("по паспорту",G260)),ISERROR(SEARCH("по паспорту",H260)),I260&lt;&gt;"",J260&lt;&gt;"",K260&lt;&gt;"",L260&lt;&gt;"",M260&lt;&gt;""),"ГОТОВО","НЕ ГОТОВО"))</f>
        <v/>
      </c>
      <c r="Q260" s="205">
        <f>IF(P260&lt;&gt;"ГОТОВО","", "Предварительное заключение: "&amp;A260&amp;", скв. "&amp;B260&amp;". МРП: "&amp;E260&amp;" сут. ГНО: "&amp;F260&amp;", типоразмер "&amp;G260&amp;", марка "&amp;H260&amp;". Событие: "&amp;I260&amp;". Признак: "&amp;J260&amp;". Узел: "&amp;K260&amp;". Предварительная причина: "&amp;L260&amp;". Основное осложнение: "&amp;M260&amp;IF(N260&lt;&gt;"","; сопутствующее: "&amp;N260,"")&amp;IF(O260&lt;&gt;"","; дополнительно: "&amp;O260,"")&amp;".")</f>
        <v/>
      </c>
      <c r="R260" s="172">
        <f>IF('Оперативный ввод'!P260="","",'Оперативный ввод'!P260)</f>
        <v/>
      </c>
      <c r="S260" s="172">
        <f>IF('Оперативный ввод'!Q260="","",'Оперативный ввод'!Q260)</f>
        <v/>
      </c>
      <c r="T260" s="172">
        <f>IF('Оперативный ввод'!R260="","",'Оперативный ввод'!R260)</f>
        <v/>
      </c>
      <c r="U260" s="172">
        <f>IF('Оперативный ввод'!S260="","",'Оперативный ввод'!S260)</f>
        <v/>
      </c>
      <c r="V260" s="172">
        <f>IF('Оперативный ввод'!T260="","",'Оперативный ввод'!T260)</f>
        <v/>
      </c>
      <c r="W260" s="172" t="n"/>
      <c r="X260" s="172" t="n"/>
      <c r="Y260" s="172" t="n"/>
      <c r="Z260" s="172" t="n"/>
      <c r="AA260" s="172">
        <f>IF('Оперативный ввод'!U260="","",'Оперативный ввод'!U260)</f>
        <v/>
      </c>
      <c r="AB260" s="172">
        <f>IF('Оперативный ввод'!V260="","",'Оперативный ввод'!V260)</f>
        <v/>
      </c>
      <c r="AC260" s="172">
        <f>IF('Оперативный ввод'!W260="","",'Оперативный ввод'!W260)</f>
        <v/>
      </c>
      <c r="BB260" s="172" t="n"/>
      <c r="BC260" s="172" t="n"/>
      <c r="BD260" s="205">
        <f>IF(AND(A260="",B260=""),"",IF(AND(P260="ГОТОВО",R260&lt;&gt;"",T260&lt;&gt;"",U260&lt;&gt;"",AA260&lt;&gt;"",AB260&lt;&gt;"",AC260&lt;&gt;"",BB260&lt;&gt;"",BC260&lt;&gt;""),"ГОТОВО","НЕ ГОТОВО"))</f>
        <v/>
      </c>
      <c r="BE260" s="205">
        <f>IF(BD260&lt;&gt;"ГОТОВО","","Полное заключение: "&amp;A260&amp;", скв. "&amp;B260&amp;". МРП: "&amp;E260&amp;" сут. ГНО: "&amp;F260&amp;"; причина: "&amp;U260&amp;"; категория: "&amp;V260&amp;"; решение комиссии: "&amp;BB260&amp;".")</f>
        <v/>
      </c>
      <c r="BF260" s="173">
        <f>IF('Оперативный ввод'!X260="","",'Оперативный ввод'!X260)</f>
        <v/>
      </c>
    </row>
    <row r="261">
      <c r="A261" s="171">
        <f>IF('Оперативный ввод'!A261="","",'Оперативный ввод'!A261)</f>
        <v/>
      </c>
      <c r="B261" s="172">
        <f>IF('Оперативный ввод'!B261="","",'Оперативный ввод'!B261)</f>
        <v/>
      </c>
      <c r="C261" s="270">
        <f>IF('Оперативный ввод'!C261="","",'Оперативный ввод'!C261)</f>
        <v/>
      </c>
      <c r="D261" s="270">
        <f>IF('Оперативный ввод'!D261="","",'Оперативный ввод'!D261)</f>
        <v/>
      </c>
      <c r="E261" s="271">
        <f>IF(OR(C261="",D261=""),"",D261-C261)</f>
        <v/>
      </c>
      <c r="F261" s="172">
        <f>IF('Оперативный ввод'!F261="","",'Оперативный ввод'!F261)</f>
        <v/>
      </c>
      <c r="G261" s="172">
        <f>IF('Оперативный ввод'!G261="","",'Оперативный ввод'!G261)</f>
        <v/>
      </c>
      <c r="H261" s="172">
        <f>IF('Оперативный ввод'!H261="","",'Оперативный ввод'!H261)</f>
        <v/>
      </c>
      <c r="I261" s="172">
        <f>IF('Оперативный ввод'!I261="","",'Оперативный ввод'!I261)</f>
        <v/>
      </c>
      <c r="J261" s="172">
        <f>IF('Оперативный ввод'!J261="","",'Оперативный ввод'!J261)</f>
        <v/>
      </c>
      <c r="K261" s="172">
        <f>IF('Оперативный ввод'!K261="","",'Оперативный ввод'!K261)</f>
        <v/>
      </c>
      <c r="L261" s="172">
        <f>IF('Оперативный ввод'!L261="","",'Оперативный ввод'!L261)</f>
        <v/>
      </c>
      <c r="M261" s="172">
        <f>IF('Оперативный ввод'!M261="","",'Оперативный ввод'!M261)</f>
        <v/>
      </c>
      <c r="N261" s="172">
        <f>IF('Оперативный ввод'!N261="","",'Оперативный ввод'!N261)</f>
        <v/>
      </c>
      <c r="O261" s="172">
        <f>IF('Оперативный ввод'!O261="","",'Оперативный ввод'!O261)</f>
        <v/>
      </c>
      <c r="P261" s="205">
        <f>IF(AND(A261="",B261=""),"",IF(AND(A261&lt;&gt;"",B261&lt;&gt;"",C261&lt;&gt;"",D261&lt;&gt;"",F261&lt;&gt;"",G261&lt;&gt;"",H261&lt;&gt;"",ISERROR(SEARCH("по паспорту",G261)),ISERROR(SEARCH("по паспорту",H261)),I261&lt;&gt;"",J261&lt;&gt;"",K261&lt;&gt;"",L261&lt;&gt;"",M261&lt;&gt;""),"ГОТОВО","НЕ ГОТОВО"))</f>
        <v/>
      </c>
      <c r="Q261" s="205">
        <f>IF(P261&lt;&gt;"ГОТОВО","", "Предварительное заключение: "&amp;A261&amp;", скв. "&amp;B261&amp;". МРП: "&amp;E261&amp;" сут. ГНО: "&amp;F261&amp;", типоразмер "&amp;G261&amp;", марка "&amp;H261&amp;". Событие: "&amp;I261&amp;". Признак: "&amp;J261&amp;". Узел: "&amp;K261&amp;". Предварительная причина: "&amp;L261&amp;". Основное осложнение: "&amp;M261&amp;IF(N261&lt;&gt;"","; сопутствующее: "&amp;N261,"")&amp;IF(O261&lt;&gt;"","; дополнительно: "&amp;O261,"")&amp;".")</f>
        <v/>
      </c>
      <c r="R261" s="172">
        <f>IF('Оперативный ввод'!P261="","",'Оперативный ввод'!P261)</f>
        <v/>
      </c>
      <c r="S261" s="172">
        <f>IF('Оперативный ввод'!Q261="","",'Оперативный ввод'!Q261)</f>
        <v/>
      </c>
      <c r="T261" s="172">
        <f>IF('Оперативный ввод'!R261="","",'Оперативный ввод'!R261)</f>
        <v/>
      </c>
      <c r="U261" s="172">
        <f>IF('Оперативный ввод'!S261="","",'Оперативный ввод'!S261)</f>
        <v/>
      </c>
      <c r="V261" s="172">
        <f>IF('Оперативный ввод'!T261="","",'Оперативный ввод'!T261)</f>
        <v/>
      </c>
      <c r="W261" s="172" t="n"/>
      <c r="X261" s="172" t="n"/>
      <c r="Y261" s="172" t="n"/>
      <c r="Z261" s="172" t="n"/>
      <c r="AA261" s="172">
        <f>IF('Оперативный ввод'!U261="","",'Оперативный ввод'!U261)</f>
        <v/>
      </c>
      <c r="AB261" s="172">
        <f>IF('Оперативный ввод'!V261="","",'Оперативный ввод'!V261)</f>
        <v/>
      </c>
      <c r="AC261" s="172">
        <f>IF('Оперативный ввод'!W261="","",'Оперативный ввод'!W261)</f>
        <v/>
      </c>
      <c r="BB261" s="172" t="n"/>
      <c r="BC261" s="172" t="n"/>
      <c r="BD261" s="205">
        <f>IF(AND(A261="",B261=""),"",IF(AND(P261="ГОТОВО",R261&lt;&gt;"",T261&lt;&gt;"",U261&lt;&gt;"",AA261&lt;&gt;"",AB261&lt;&gt;"",AC261&lt;&gt;"",BB261&lt;&gt;"",BC261&lt;&gt;""),"ГОТОВО","НЕ ГОТОВО"))</f>
        <v/>
      </c>
      <c r="BE261" s="205">
        <f>IF(BD261&lt;&gt;"ГОТОВО","","Полное заключение: "&amp;A261&amp;", скв. "&amp;B261&amp;". МРП: "&amp;E261&amp;" сут. ГНО: "&amp;F261&amp;"; причина: "&amp;U261&amp;"; категория: "&amp;V261&amp;"; решение комиссии: "&amp;BB261&amp;".")</f>
        <v/>
      </c>
      <c r="BF261" s="173">
        <f>IF('Оперативный ввод'!X261="","",'Оперативный ввод'!X261)</f>
        <v/>
      </c>
    </row>
    <row r="262">
      <c r="A262" s="171">
        <f>IF('Оперативный ввод'!A262="","",'Оперативный ввод'!A262)</f>
        <v/>
      </c>
      <c r="B262" s="172">
        <f>IF('Оперативный ввод'!B262="","",'Оперативный ввод'!B262)</f>
        <v/>
      </c>
      <c r="C262" s="270">
        <f>IF('Оперативный ввод'!C262="","",'Оперативный ввод'!C262)</f>
        <v/>
      </c>
      <c r="D262" s="270">
        <f>IF('Оперативный ввод'!D262="","",'Оперативный ввод'!D262)</f>
        <v/>
      </c>
      <c r="E262" s="271">
        <f>IF(OR(C262="",D262=""),"",D262-C262)</f>
        <v/>
      </c>
      <c r="F262" s="172">
        <f>IF('Оперативный ввод'!F262="","",'Оперативный ввод'!F262)</f>
        <v/>
      </c>
      <c r="G262" s="172">
        <f>IF('Оперативный ввод'!G262="","",'Оперативный ввод'!G262)</f>
        <v/>
      </c>
      <c r="H262" s="172">
        <f>IF('Оперативный ввод'!H262="","",'Оперативный ввод'!H262)</f>
        <v/>
      </c>
      <c r="I262" s="172">
        <f>IF('Оперативный ввод'!I262="","",'Оперативный ввод'!I262)</f>
        <v/>
      </c>
      <c r="J262" s="172">
        <f>IF('Оперативный ввод'!J262="","",'Оперативный ввод'!J262)</f>
        <v/>
      </c>
      <c r="K262" s="172">
        <f>IF('Оперативный ввод'!K262="","",'Оперативный ввод'!K262)</f>
        <v/>
      </c>
      <c r="L262" s="172">
        <f>IF('Оперативный ввод'!L262="","",'Оперативный ввод'!L262)</f>
        <v/>
      </c>
      <c r="M262" s="172">
        <f>IF('Оперативный ввод'!M262="","",'Оперативный ввод'!M262)</f>
        <v/>
      </c>
      <c r="N262" s="172">
        <f>IF('Оперативный ввод'!N262="","",'Оперативный ввод'!N262)</f>
        <v/>
      </c>
      <c r="O262" s="172">
        <f>IF('Оперативный ввод'!O262="","",'Оперативный ввод'!O262)</f>
        <v/>
      </c>
      <c r="P262" s="205">
        <f>IF(AND(A262="",B262=""),"",IF(AND(A262&lt;&gt;"",B262&lt;&gt;"",C262&lt;&gt;"",D262&lt;&gt;"",F262&lt;&gt;"",G262&lt;&gt;"",H262&lt;&gt;"",ISERROR(SEARCH("по паспорту",G262)),ISERROR(SEARCH("по паспорту",H262)),I262&lt;&gt;"",J262&lt;&gt;"",K262&lt;&gt;"",L262&lt;&gt;"",M262&lt;&gt;""),"ГОТОВО","НЕ ГОТОВО"))</f>
        <v/>
      </c>
      <c r="Q262" s="205">
        <f>IF(P262&lt;&gt;"ГОТОВО","", "Предварительное заключение: "&amp;A262&amp;", скв. "&amp;B262&amp;". МРП: "&amp;E262&amp;" сут. ГНО: "&amp;F262&amp;", типоразмер "&amp;G262&amp;", марка "&amp;H262&amp;". Событие: "&amp;I262&amp;". Признак: "&amp;J262&amp;". Узел: "&amp;K262&amp;". Предварительная причина: "&amp;L262&amp;". Основное осложнение: "&amp;M262&amp;IF(N262&lt;&gt;"","; сопутствующее: "&amp;N262,"")&amp;IF(O262&lt;&gt;"","; дополнительно: "&amp;O262,"")&amp;".")</f>
        <v/>
      </c>
      <c r="R262" s="172">
        <f>IF('Оперативный ввод'!P262="","",'Оперативный ввод'!P262)</f>
        <v/>
      </c>
      <c r="S262" s="172">
        <f>IF('Оперативный ввод'!Q262="","",'Оперативный ввод'!Q262)</f>
        <v/>
      </c>
      <c r="T262" s="172">
        <f>IF('Оперативный ввод'!R262="","",'Оперативный ввод'!R262)</f>
        <v/>
      </c>
      <c r="U262" s="172">
        <f>IF('Оперативный ввод'!S262="","",'Оперативный ввод'!S262)</f>
        <v/>
      </c>
      <c r="V262" s="172">
        <f>IF('Оперативный ввод'!T262="","",'Оперативный ввод'!T262)</f>
        <v/>
      </c>
      <c r="W262" s="172" t="n"/>
      <c r="X262" s="172" t="n"/>
      <c r="Y262" s="172" t="n"/>
      <c r="Z262" s="172" t="n"/>
      <c r="AA262" s="172">
        <f>IF('Оперативный ввод'!U262="","",'Оперативный ввод'!U262)</f>
        <v/>
      </c>
      <c r="AB262" s="172">
        <f>IF('Оперативный ввод'!V262="","",'Оперативный ввод'!V262)</f>
        <v/>
      </c>
      <c r="AC262" s="172">
        <f>IF('Оперативный ввод'!W262="","",'Оперативный ввод'!W262)</f>
        <v/>
      </c>
      <c r="BB262" s="172" t="n"/>
      <c r="BC262" s="172" t="n"/>
      <c r="BD262" s="205">
        <f>IF(AND(A262="",B262=""),"",IF(AND(P262="ГОТОВО",R262&lt;&gt;"",T262&lt;&gt;"",U262&lt;&gt;"",AA262&lt;&gt;"",AB262&lt;&gt;"",AC262&lt;&gt;"",BB262&lt;&gt;"",BC262&lt;&gt;""),"ГОТОВО","НЕ ГОТОВО"))</f>
        <v/>
      </c>
      <c r="BE262" s="205">
        <f>IF(BD262&lt;&gt;"ГОТОВО","","Полное заключение: "&amp;A262&amp;", скв. "&amp;B262&amp;". МРП: "&amp;E262&amp;" сут. ГНО: "&amp;F262&amp;"; причина: "&amp;U262&amp;"; категория: "&amp;V262&amp;"; решение комиссии: "&amp;BB262&amp;".")</f>
        <v/>
      </c>
      <c r="BF262" s="173">
        <f>IF('Оперативный ввод'!X262="","",'Оперативный ввод'!X262)</f>
        <v/>
      </c>
    </row>
    <row r="263">
      <c r="A263" s="171">
        <f>IF('Оперативный ввод'!A263="","",'Оперативный ввод'!A263)</f>
        <v/>
      </c>
      <c r="B263" s="172">
        <f>IF('Оперативный ввод'!B263="","",'Оперативный ввод'!B263)</f>
        <v/>
      </c>
      <c r="C263" s="270">
        <f>IF('Оперативный ввод'!C263="","",'Оперативный ввод'!C263)</f>
        <v/>
      </c>
      <c r="D263" s="270">
        <f>IF('Оперативный ввод'!D263="","",'Оперативный ввод'!D263)</f>
        <v/>
      </c>
      <c r="E263" s="271">
        <f>IF(OR(C263="",D263=""),"",D263-C263)</f>
        <v/>
      </c>
      <c r="F263" s="172">
        <f>IF('Оперативный ввод'!F263="","",'Оперативный ввод'!F263)</f>
        <v/>
      </c>
      <c r="G263" s="172">
        <f>IF('Оперативный ввод'!G263="","",'Оперативный ввод'!G263)</f>
        <v/>
      </c>
      <c r="H263" s="172">
        <f>IF('Оперативный ввод'!H263="","",'Оперативный ввод'!H263)</f>
        <v/>
      </c>
      <c r="I263" s="172">
        <f>IF('Оперативный ввод'!I263="","",'Оперативный ввод'!I263)</f>
        <v/>
      </c>
      <c r="J263" s="172">
        <f>IF('Оперативный ввод'!J263="","",'Оперативный ввод'!J263)</f>
        <v/>
      </c>
      <c r="K263" s="172">
        <f>IF('Оперативный ввод'!K263="","",'Оперативный ввод'!K263)</f>
        <v/>
      </c>
      <c r="L263" s="172">
        <f>IF('Оперативный ввод'!L263="","",'Оперативный ввод'!L263)</f>
        <v/>
      </c>
      <c r="M263" s="172">
        <f>IF('Оперативный ввод'!M263="","",'Оперативный ввод'!M263)</f>
        <v/>
      </c>
      <c r="N263" s="172">
        <f>IF('Оперативный ввод'!N263="","",'Оперативный ввод'!N263)</f>
        <v/>
      </c>
      <c r="O263" s="172">
        <f>IF('Оперативный ввод'!O263="","",'Оперативный ввод'!O263)</f>
        <v/>
      </c>
      <c r="P263" s="205">
        <f>IF(AND(A263="",B263=""),"",IF(AND(A263&lt;&gt;"",B263&lt;&gt;"",C263&lt;&gt;"",D263&lt;&gt;"",F263&lt;&gt;"",G263&lt;&gt;"",H263&lt;&gt;"",ISERROR(SEARCH("по паспорту",G263)),ISERROR(SEARCH("по паспорту",H263)),I263&lt;&gt;"",J263&lt;&gt;"",K263&lt;&gt;"",L263&lt;&gt;"",M263&lt;&gt;""),"ГОТОВО","НЕ ГОТОВО"))</f>
        <v/>
      </c>
      <c r="Q263" s="205">
        <f>IF(P263&lt;&gt;"ГОТОВО","", "Предварительное заключение: "&amp;A263&amp;", скв. "&amp;B263&amp;". МРП: "&amp;E263&amp;" сут. ГНО: "&amp;F263&amp;", типоразмер "&amp;G263&amp;", марка "&amp;H263&amp;". Событие: "&amp;I263&amp;". Признак: "&amp;J263&amp;". Узел: "&amp;K263&amp;". Предварительная причина: "&amp;L263&amp;". Основное осложнение: "&amp;M263&amp;IF(N263&lt;&gt;"","; сопутствующее: "&amp;N263,"")&amp;IF(O263&lt;&gt;"","; дополнительно: "&amp;O263,"")&amp;".")</f>
        <v/>
      </c>
      <c r="R263" s="172">
        <f>IF('Оперативный ввод'!P263="","",'Оперативный ввод'!P263)</f>
        <v/>
      </c>
      <c r="S263" s="172">
        <f>IF('Оперативный ввод'!Q263="","",'Оперативный ввод'!Q263)</f>
        <v/>
      </c>
      <c r="T263" s="172">
        <f>IF('Оперативный ввод'!R263="","",'Оперативный ввод'!R263)</f>
        <v/>
      </c>
      <c r="U263" s="172">
        <f>IF('Оперативный ввод'!S263="","",'Оперативный ввод'!S263)</f>
        <v/>
      </c>
      <c r="V263" s="172">
        <f>IF('Оперативный ввод'!T263="","",'Оперативный ввод'!T263)</f>
        <v/>
      </c>
      <c r="W263" s="172" t="n"/>
      <c r="X263" s="172" t="n"/>
      <c r="Y263" s="172" t="n"/>
      <c r="Z263" s="172" t="n"/>
      <c r="AA263" s="172">
        <f>IF('Оперативный ввод'!U263="","",'Оперативный ввод'!U263)</f>
        <v/>
      </c>
      <c r="AB263" s="172">
        <f>IF('Оперативный ввод'!V263="","",'Оперативный ввод'!V263)</f>
        <v/>
      </c>
      <c r="AC263" s="172">
        <f>IF('Оперативный ввод'!W263="","",'Оперативный ввод'!W263)</f>
        <v/>
      </c>
      <c r="BB263" s="172" t="n"/>
      <c r="BC263" s="172" t="n"/>
      <c r="BD263" s="205">
        <f>IF(AND(A263="",B263=""),"",IF(AND(P263="ГОТОВО",R263&lt;&gt;"",T263&lt;&gt;"",U263&lt;&gt;"",AA263&lt;&gt;"",AB263&lt;&gt;"",AC263&lt;&gt;"",BB263&lt;&gt;"",BC263&lt;&gt;""),"ГОТОВО","НЕ ГОТОВО"))</f>
        <v/>
      </c>
      <c r="BE263" s="205">
        <f>IF(BD263&lt;&gt;"ГОТОВО","","Полное заключение: "&amp;A263&amp;", скв. "&amp;B263&amp;". МРП: "&amp;E263&amp;" сут. ГНО: "&amp;F263&amp;"; причина: "&amp;U263&amp;"; категория: "&amp;V263&amp;"; решение комиссии: "&amp;BB263&amp;".")</f>
        <v/>
      </c>
      <c r="BF263" s="173">
        <f>IF('Оперативный ввод'!X263="","",'Оперативный ввод'!X263)</f>
        <v/>
      </c>
    </row>
    <row r="264">
      <c r="A264" s="171">
        <f>IF('Оперативный ввод'!A264="","",'Оперативный ввод'!A264)</f>
        <v/>
      </c>
      <c r="B264" s="172">
        <f>IF('Оперативный ввод'!B264="","",'Оперативный ввод'!B264)</f>
        <v/>
      </c>
      <c r="C264" s="270">
        <f>IF('Оперативный ввод'!C264="","",'Оперативный ввод'!C264)</f>
        <v/>
      </c>
      <c r="D264" s="270">
        <f>IF('Оперативный ввод'!D264="","",'Оперативный ввод'!D264)</f>
        <v/>
      </c>
      <c r="E264" s="271">
        <f>IF(OR(C264="",D264=""),"",D264-C264)</f>
        <v/>
      </c>
      <c r="F264" s="172">
        <f>IF('Оперативный ввод'!F264="","",'Оперативный ввод'!F264)</f>
        <v/>
      </c>
      <c r="G264" s="172">
        <f>IF('Оперативный ввод'!G264="","",'Оперативный ввод'!G264)</f>
        <v/>
      </c>
      <c r="H264" s="172">
        <f>IF('Оперативный ввод'!H264="","",'Оперативный ввод'!H264)</f>
        <v/>
      </c>
      <c r="I264" s="172">
        <f>IF('Оперативный ввод'!I264="","",'Оперативный ввод'!I264)</f>
        <v/>
      </c>
      <c r="J264" s="172">
        <f>IF('Оперативный ввод'!J264="","",'Оперативный ввод'!J264)</f>
        <v/>
      </c>
      <c r="K264" s="172">
        <f>IF('Оперативный ввод'!K264="","",'Оперативный ввод'!K264)</f>
        <v/>
      </c>
      <c r="L264" s="172">
        <f>IF('Оперативный ввод'!L264="","",'Оперативный ввод'!L264)</f>
        <v/>
      </c>
      <c r="M264" s="172">
        <f>IF('Оперативный ввод'!M264="","",'Оперативный ввод'!M264)</f>
        <v/>
      </c>
      <c r="N264" s="172">
        <f>IF('Оперативный ввод'!N264="","",'Оперативный ввод'!N264)</f>
        <v/>
      </c>
      <c r="O264" s="172">
        <f>IF('Оперативный ввод'!O264="","",'Оперативный ввод'!O264)</f>
        <v/>
      </c>
      <c r="P264" s="205">
        <f>IF(AND(A264="",B264=""),"",IF(AND(A264&lt;&gt;"",B264&lt;&gt;"",C264&lt;&gt;"",D264&lt;&gt;"",F264&lt;&gt;"",G264&lt;&gt;"",H264&lt;&gt;"",ISERROR(SEARCH("по паспорту",G264)),ISERROR(SEARCH("по паспорту",H264)),I264&lt;&gt;"",J264&lt;&gt;"",K264&lt;&gt;"",L264&lt;&gt;"",M264&lt;&gt;""),"ГОТОВО","НЕ ГОТОВО"))</f>
        <v/>
      </c>
      <c r="Q264" s="205">
        <f>IF(P264&lt;&gt;"ГОТОВО","", "Предварительное заключение: "&amp;A264&amp;", скв. "&amp;B264&amp;". МРП: "&amp;E264&amp;" сут. ГНО: "&amp;F264&amp;", типоразмер "&amp;G264&amp;", марка "&amp;H264&amp;". Событие: "&amp;I264&amp;". Признак: "&amp;J264&amp;". Узел: "&amp;K264&amp;". Предварительная причина: "&amp;L264&amp;". Основное осложнение: "&amp;M264&amp;IF(N264&lt;&gt;"","; сопутствующее: "&amp;N264,"")&amp;IF(O264&lt;&gt;"","; дополнительно: "&amp;O264,"")&amp;".")</f>
        <v/>
      </c>
      <c r="R264" s="172">
        <f>IF('Оперативный ввод'!P264="","",'Оперативный ввод'!P264)</f>
        <v/>
      </c>
      <c r="S264" s="172">
        <f>IF('Оперативный ввод'!Q264="","",'Оперативный ввод'!Q264)</f>
        <v/>
      </c>
      <c r="T264" s="172">
        <f>IF('Оперативный ввод'!R264="","",'Оперативный ввод'!R264)</f>
        <v/>
      </c>
      <c r="U264" s="172">
        <f>IF('Оперативный ввод'!S264="","",'Оперативный ввод'!S264)</f>
        <v/>
      </c>
      <c r="V264" s="172">
        <f>IF('Оперативный ввод'!T264="","",'Оперативный ввод'!T264)</f>
        <v/>
      </c>
      <c r="W264" s="172" t="n"/>
      <c r="X264" s="172" t="n"/>
      <c r="Y264" s="172" t="n"/>
      <c r="Z264" s="172" t="n"/>
      <c r="AA264" s="172">
        <f>IF('Оперативный ввод'!U264="","",'Оперативный ввод'!U264)</f>
        <v/>
      </c>
      <c r="AB264" s="172">
        <f>IF('Оперативный ввод'!V264="","",'Оперативный ввод'!V264)</f>
        <v/>
      </c>
      <c r="AC264" s="172">
        <f>IF('Оперативный ввод'!W264="","",'Оперативный ввод'!W264)</f>
        <v/>
      </c>
      <c r="BB264" s="172" t="n"/>
      <c r="BC264" s="172" t="n"/>
      <c r="BD264" s="205">
        <f>IF(AND(A264="",B264=""),"",IF(AND(P264="ГОТОВО",R264&lt;&gt;"",T264&lt;&gt;"",U264&lt;&gt;"",AA264&lt;&gt;"",AB264&lt;&gt;"",AC264&lt;&gt;"",BB264&lt;&gt;"",BC264&lt;&gt;""),"ГОТОВО","НЕ ГОТОВО"))</f>
        <v/>
      </c>
      <c r="BE264" s="205">
        <f>IF(BD264&lt;&gt;"ГОТОВО","","Полное заключение: "&amp;A264&amp;", скв. "&amp;B264&amp;". МРП: "&amp;E264&amp;" сут. ГНО: "&amp;F264&amp;"; причина: "&amp;U264&amp;"; категория: "&amp;V264&amp;"; решение комиссии: "&amp;BB264&amp;".")</f>
        <v/>
      </c>
      <c r="BF264" s="173">
        <f>IF('Оперативный ввод'!X264="","",'Оперативный ввод'!X264)</f>
        <v/>
      </c>
    </row>
    <row r="265">
      <c r="A265" s="171">
        <f>IF('Оперативный ввод'!A265="","",'Оперативный ввод'!A265)</f>
        <v/>
      </c>
      <c r="B265" s="172">
        <f>IF('Оперативный ввод'!B265="","",'Оперативный ввод'!B265)</f>
        <v/>
      </c>
      <c r="C265" s="270">
        <f>IF('Оперативный ввод'!C265="","",'Оперативный ввод'!C265)</f>
        <v/>
      </c>
      <c r="D265" s="270">
        <f>IF('Оперативный ввод'!D265="","",'Оперативный ввод'!D265)</f>
        <v/>
      </c>
      <c r="E265" s="271">
        <f>IF(OR(C265="",D265=""),"",D265-C265)</f>
        <v/>
      </c>
      <c r="F265" s="172">
        <f>IF('Оперативный ввод'!F265="","",'Оперативный ввод'!F265)</f>
        <v/>
      </c>
      <c r="G265" s="172">
        <f>IF('Оперативный ввод'!G265="","",'Оперативный ввод'!G265)</f>
        <v/>
      </c>
      <c r="H265" s="172">
        <f>IF('Оперативный ввод'!H265="","",'Оперативный ввод'!H265)</f>
        <v/>
      </c>
      <c r="I265" s="172">
        <f>IF('Оперативный ввод'!I265="","",'Оперативный ввод'!I265)</f>
        <v/>
      </c>
      <c r="J265" s="172">
        <f>IF('Оперативный ввод'!J265="","",'Оперативный ввод'!J265)</f>
        <v/>
      </c>
      <c r="K265" s="172">
        <f>IF('Оперативный ввод'!K265="","",'Оперативный ввод'!K265)</f>
        <v/>
      </c>
      <c r="L265" s="172">
        <f>IF('Оперативный ввод'!L265="","",'Оперативный ввод'!L265)</f>
        <v/>
      </c>
      <c r="M265" s="172">
        <f>IF('Оперативный ввод'!M265="","",'Оперативный ввод'!M265)</f>
        <v/>
      </c>
      <c r="N265" s="172">
        <f>IF('Оперативный ввод'!N265="","",'Оперативный ввод'!N265)</f>
        <v/>
      </c>
      <c r="O265" s="172">
        <f>IF('Оперативный ввод'!O265="","",'Оперативный ввод'!O265)</f>
        <v/>
      </c>
      <c r="P265" s="205">
        <f>IF(AND(A265="",B265=""),"",IF(AND(A265&lt;&gt;"",B265&lt;&gt;"",C265&lt;&gt;"",D265&lt;&gt;"",F265&lt;&gt;"",G265&lt;&gt;"",H265&lt;&gt;"",ISERROR(SEARCH("по паспорту",G265)),ISERROR(SEARCH("по паспорту",H265)),I265&lt;&gt;"",J265&lt;&gt;"",K265&lt;&gt;"",L265&lt;&gt;"",M265&lt;&gt;""),"ГОТОВО","НЕ ГОТОВО"))</f>
        <v/>
      </c>
      <c r="Q265" s="205">
        <f>IF(P265&lt;&gt;"ГОТОВО","", "Предварительное заключение: "&amp;A265&amp;", скв. "&amp;B265&amp;". МРП: "&amp;E265&amp;" сут. ГНО: "&amp;F265&amp;", типоразмер "&amp;G265&amp;", марка "&amp;H265&amp;". Событие: "&amp;I265&amp;". Признак: "&amp;J265&amp;". Узел: "&amp;K265&amp;". Предварительная причина: "&amp;L265&amp;". Основное осложнение: "&amp;M265&amp;IF(N265&lt;&gt;"","; сопутствующее: "&amp;N265,"")&amp;IF(O265&lt;&gt;"","; дополнительно: "&amp;O265,"")&amp;".")</f>
        <v/>
      </c>
      <c r="R265" s="172">
        <f>IF('Оперативный ввод'!P265="","",'Оперативный ввод'!P265)</f>
        <v/>
      </c>
      <c r="S265" s="172">
        <f>IF('Оперативный ввод'!Q265="","",'Оперативный ввод'!Q265)</f>
        <v/>
      </c>
      <c r="T265" s="172">
        <f>IF('Оперативный ввод'!R265="","",'Оперативный ввод'!R265)</f>
        <v/>
      </c>
      <c r="U265" s="172">
        <f>IF('Оперативный ввод'!S265="","",'Оперативный ввод'!S265)</f>
        <v/>
      </c>
      <c r="V265" s="172">
        <f>IF('Оперативный ввод'!T265="","",'Оперативный ввод'!T265)</f>
        <v/>
      </c>
      <c r="W265" s="172" t="n"/>
      <c r="X265" s="172" t="n"/>
      <c r="Y265" s="172" t="n"/>
      <c r="Z265" s="172" t="n"/>
      <c r="AA265" s="172">
        <f>IF('Оперативный ввод'!U265="","",'Оперативный ввод'!U265)</f>
        <v/>
      </c>
      <c r="AB265" s="172">
        <f>IF('Оперативный ввод'!V265="","",'Оперативный ввод'!V265)</f>
        <v/>
      </c>
      <c r="AC265" s="172">
        <f>IF('Оперативный ввод'!W265="","",'Оперативный ввод'!W265)</f>
        <v/>
      </c>
      <c r="BB265" s="172" t="n"/>
      <c r="BC265" s="172" t="n"/>
      <c r="BD265" s="205">
        <f>IF(AND(A265="",B265=""),"",IF(AND(P265="ГОТОВО",R265&lt;&gt;"",T265&lt;&gt;"",U265&lt;&gt;"",AA265&lt;&gt;"",AB265&lt;&gt;"",AC265&lt;&gt;"",BB265&lt;&gt;"",BC265&lt;&gt;""),"ГОТОВО","НЕ ГОТОВО"))</f>
        <v/>
      </c>
      <c r="BE265" s="205">
        <f>IF(BD265&lt;&gt;"ГОТОВО","","Полное заключение: "&amp;A265&amp;", скв. "&amp;B265&amp;". МРП: "&amp;E265&amp;" сут. ГНО: "&amp;F265&amp;"; причина: "&amp;U265&amp;"; категория: "&amp;V265&amp;"; решение комиссии: "&amp;BB265&amp;".")</f>
        <v/>
      </c>
      <c r="BF265" s="173">
        <f>IF('Оперативный ввод'!X265="","",'Оперативный ввод'!X265)</f>
        <v/>
      </c>
    </row>
    <row r="266">
      <c r="A266" s="171">
        <f>IF('Оперативный ввод'!A266="","",'Оперативный ввод'!A266)</f>
        <v/>
      </c>
      <c r="B266" s="172">
        <f>IF('Оперативный ввод'!B266="","",'Оперативный ввод'!B266)</f>
        <v/>
      </c>
      <c r="C266" s="270">
        <f>IF('Оперативный ввод'!C266="","",'Оперативный ввод'!C266)</f>
        <v/>
      </c>
      <c r="D266" s="270">
        <f>IF('Оперативный ввод'!D266="","",'Оперативный ввод'!D266)</f>
        <v/>
      </c>
      <c r="E266" s="271">
        <f>IF(OR(C266="",D266=""),"",D266-C266)</f>
        <v/>
      </c>
      <c r="F266" s="172">
        <f>IF('Оперативный ввод'!F266="","",'Оперативный ввод'!F266)</f>
        <v/>
      </c>
      <c r="G266" s="172">
        <f>IF('Оперативный ввод'!G266="","",'Оперативный ввод'!G266)</f>
        <v/>
      </c>
      <c r="H266" s="172">
        <f>IF('Оперативный ввод'!H266="","",'Оперативный ввод'!H266)</f>
        <v/>
      </c>
      <c r="I266" s="172">
        <f>IF('Оперативный ввод'!I266="","",'Оперативный ввод'!I266)</f>
        <v/>
      </c>
      <c r="J266" s="172">
        <f>IF('Оперативный ввод'!J266="","",'Оперативный ввод'!J266)</f>
        <v/>
      </c>
      <c r="K266" s="172">
        <f>IF('Оперативный ввод'!K266="","",'Оперативный ввод'!K266)</f>
        <v/>
      </c>
      <c r="L266" s="172">
        <f>IF('Оперативный ввод'!L266="","",'Оперативный ввод'!L266)</f>
        <v/>
      </c>
      <c r="M266" s="172">
        <f>IF('Оперативный ввод'!M266="","",'Оперативный ввод'!M266)</f>
        <v/>
      </c>
      <c r="N266" s="172">
        <f>IF('Оперативный ввод'!N266="","",'Оперативный ввод'!N266)</f>
        <v/>
      </c>
      <c r="O266" s="172">
        <f>IF('Оперативный ввод'!O266="","",'Оперативный ввод'!O266)</f>
        <v/>
      </c>
      <c r="P266" s="205">
        <f>IF(AND(A266="",B266=""),"",IF(AND(A266&lt;&gt;"",B266&lt;&gt;"",C266&lt;&gt;"",D266&lt;&gt;"",F266&lt;&gt;"",G266&lt;&gt;"",H266&lt;&gt;"",ISERROR(SEARCH("по паспорту",G266)),ISERROR(SEARCH("по паспорту",H266)),I266&lt;&gt;"",J266&lt;&gt;"",K266&lt;&gt;"",L266&lt;&gt;"",M266&lt;&gt;""),"ГОТОВО","НЕ ГОТОВО"))</f>
        <v/>
      </c>
      <c r="Q266" s="205">
        <f>IF(P266&lt;&gt;"ГОТОВО","", "Предварительное заключение: "&amp;A266&amp;", скв. "&amp;B266&amp;". МРП: "&amp;E266&amp;" сут. ГНО: "&amp;F266&amp;", типоразмер "&amp;G266&amp;", марка "&amp;H266&amp;". Событие: "&amp;I266&amp;". Признак: "&amp;J266&amp;". Узел: "&amp;K266&amp;". Предварительная причина: "&amp;L266&amp;". Основное осложнение: "&amp;M266&amp;IF(N266&lt;&gt;"","; сопутствующее: "&amp;N266,"")&amp;IF(O266&lt;&gt;"","; дополнительно: "&amp;O266,"")&amp;".")</f>
        <v/>
      </c>
      <c r="R266" s="172">
        <f>IF('Оперативный ввод'!P266="","",'Оперативный ввод'!P266)</f>
        <v/>
      </c>
      <c r="S266" s="172">
        <f>IF('Оперативный ввод'!Q266="","",'Оперативный ввод'!Q266)</f>
        <v/>
      </c>
      <c r="T266" s="172">
        <f>IF('Оперативный ввод'!R266="","",'Оперативный ввод'!R266)</f>
        <v/>
      </c>
      <c r="U266" s="172">
        <f>IF('Оперативный ввод'!S266="","",'Оперативный ввод'!S266)</f>
        <v/>
      </c>
      <c r="V266" s="172">
        <f>IF('Оперативный ввод'!T266="","",'Оперативный ввод'!T266)</f>
        <v/>
      </c>
      <c r="W266" s="172" t="n"/>
      <c r="X266" s="172" t="n"/>
      <c r="Y266" s="172" t="n"/>
      <c r="Z266" s="172" t="n"/>
      <c r="AA266" s="172">
        <f>IF('Оперативный ввод'!U266="","",'Оперативный ввод'!U266)</f>
        <v/>
      </c>
      <c r="AB266" s="172">
        <f>IF('Оперативный ввод'!V266="","",'Оперативный ввод'!V266)</f>
        <v/>
      </c>
      <c r="AC266" s="172">
        <f>IF('Оперативный ввод'!W266="","",'Оперативный ввод'!W266)</f>
        <v/>
      </c>
      <c r="BB266" s="172" t="n"/>
      <c r="BC266" s="172" t="n"/>
      <c r="BD266" s="205">
        <f>IF(AND(A266="",B266=""),"",IF(AND(P266="ГОТОВО",R266&lt;&gt;"",T266&lt;&gt;"",U266&lt;&gt;"",AA266&lt;&gt;"",AB266&lt;&gt;"",AC266&lt;&gt;"",BB266&lt;&gt;"",BC266&lt;&gt;""),"ГОТОВО","НЕ ГОТОВО"))</f>
        <v/>
      </c>
      <c r="BE266" s="205">
        <f>IF(BD266&lt;&gt;"ГОТОВО","","Полное заключение: "&amp;A266&amp;", скв. "&amp;B266&amp;". МРП: "&amp;E266&amp;" сут. ГНО: "&amp;F266&amp;"; причина: "&amp;U266&amp;"; категория: "&amp;V266&amp;"; решение комиссии: "&amp;BB266&amp;".")</f>
        <v/>
      </c>
      <c r="BF266" s="173">
        <f>IF('Оперативный ввод'!X266="","",'Оперативный ввод'!X266)</f>
        <v/>
      </c>
    </row>
    <row r="267">
      <c r="A267" s="171">
        <f>IF('Оперативный ввод'!A267="","",'Оперативный ввод'!A267)</f>
        <v/>
      </c>
      <c r="B267" s="172">
        <f>IF('Оперативный ввод'!B267="","",'Оперативный ввод'!B267)</f>
        <v/>
      </c>
      <c r="C267" s="270">
        <f>IF('Оперативный ввод'!C267="","",'Оперативный ввод'!C267)</f>
        <v/>
      </c>
      <c r="D267" s="270">
        <f>IF('Оперативный ввод'!D267="","",'Оперативный ввод'!D267)</f>
        <v/>
      </c>
      <c r="E267" s="271">
        <f>IF(OR(C267="",D267=""),"",D267-C267)</f>
        <v/>
      </c>
      <c r="F267" s="172">
        <f>IF('Оперативный ввод'!F267="","",'Оперативный ввод'!F267)</f>
        <v/>
      </c>
      <c r="G267" s="172">
        <f>IF('Оперативный ввод'!G267="","",'Оперативный ввод'!G267)</f>
        <v/>
      </c>
      <c r="H267" s="172">
        <f>IF('Оперативный ввод'!H267="","",'Оперативный ввод'!H267)</f>
        <v/>
      </c>
      <c r="I267" s="172">
        <f>IF('Оперативный ввод'!I267="","",'Оперативный ввод'!I267)</f>
        <v/>
      </c>
      <c r="J267" s="172">
        <f>IF('Оперативный ввод'!J267="","",'Оперативный ввод'!J267)</f>
        <v/>
      </c>
      <c r="K267" s="172">
        <f>IF('Оперативный ввод'!K267="","",'Оперативный ввод'!K267)</f>
        <v/>
      </c>
      <c r="L267" s="172">
        <f>IF('Оперативный ввод'!L267="","",'Оперативный ввод'!L267)</f>
        <v/>
      </c>
      <c r="M267" s="172">
        <f>IF('Оперативный ввод'!M267="","",'Оперативный ввод'!M267)</f>
        <v/>
      </c>
      <c r="N267" s="172">
        <f>IF('Оперативный ввод'!N267="","",'Оперативный ввод'!N267)</f>
        <v/>
      </c>
      <c r="O267" s="172">
        <f>IF('Оперативный ввод'!O267="","",'Оперативный ввод'!O267)</f>
        <v/>
      </c>
      <c r="P267" s="205">
        <f>IF(AND(A267="",B267=""),"",IF(AND(A267&lt;&gt;"",B267&lt;&gt;"",C267&lt;&gt;"",D267&lt;&gt;"",F267&lt;&gt;"",G267&lt;&gt;"",H267&lt;&gt;"",ISERROR(SEARCH("по паспорту",G267)),ISERROR(SEARCH("по паспорту",H267)),I267&lt;&gt;"",J267&lt;&gt;"",K267&lt;&gt;"",L267&lt;&gt;"",M267&lt;&gt;""),"ГОТОВО","НЕ ГОТОВО"))</f>
        <v/>
      </c>
      <c r="Q267" s="205">
        <f>IF(P267&lt;&gt;"ГОТОВО","", "Предварительное заключение: "&amp;A267&amp;", скв. "&amp;B267&amp;". МРП: "&amp;E267&amp;" сут. ГНО: "&amp;F267&amp;", типоразмер "&amp;G267&amp;", марка "&amp;H267&amp;". Событие: "&amp;I267&amp;". Признак: "&amp;J267&amp;". Узел: "&amp;K267&amp;". Предварительная причина: "&amp;L267&amp;". Основное осложнение: "&amp;M267&amp;IF(N267&lt;&gt;"","; сопутствующее: "&amp;N267,"")&amp;IF(O267&lt;&gt;"","; дополнительно: "&amp;O267,"")&amp;".")</f>
        <v/>
      </c>
      <c r="R267" s="172">
        <f>IF('Оперативный ввод'!P267="","",'Оперативный ввод'!P267)</f>
        <v/>
      </c>
      <c r="S267" s="172">
        <f>IF('Оперативный ввод'!Q267="","",'Оперативный ввод'!Q267)</f>
        <v/>
      </c>
      <c r="T267" s="172">
        <f>IF('Оперативный ввод'!R267="","",'Оперативный ввод'!R267)</f>
        <v/>
      </c>
      <c r="U267" s="172">
        <f>IF('Оперативный ввод'!S267="","",'Оперативный ввод'!S267)</f>
        <v/>
      </c>
      <c r="V267" s="172">
        <f>IF('Оперативный ввод'!T267="","",'Оперативный ввод'!T267)</f>
        <v/>
      </c>
      <c r="W267" s="172" t="n"/>
      <c r="X267" s="172" t="n"/>
      <c r="Y267" s="172" t="n"/>
      <c r="Z267" s="172" t="n"/>
      <c r="AA267" s="172">
        <f>IF('Оперативный ввод'!U267="","",'Оперативный ввод'!U267)</f>
        <v/>
      </c>
      <c r="AB267" s="172">
        <f>IF('Оперативный ввод'!V267="","",'Оперативный ввод'!V267)</f>
        <v/>
      </c>
      <c r="AC267" s="172">
        <f>IF('Оперативный ввод'!W267="","",'Оперативный ввод'!W267)</f>
        <v/>
      </c>
      <c r="BB267" s="172" t="n"/>
      <c r="BC267" s="172" t="n"/>
      <c r="BD267" s="205">
        <f>IF(AND(A267="",B267=""),"",IF(AND(P267="ГОТОВО",R267&lt;&gt;"",T267&lt;&gt;"",U267&lt;&gt;"",AA267&lt;&gt;"",AB267&lt;&gt;"",AC267&lt;&gt;"",BB267&lt;&gt;"",BC267&lt;&gt;""),"ГОТОВО","НЕ ГОТОВО"))</f>
        <v/>
      </c>
      <c r="BE267" s="205">
        <f>IF(BD267&lt;&gt;"ГОТОВО","","Полное заключение: "&amp;A267&amp;", скв. "&amp;B267&amp;". МРП: "&amp;E267&amp;" сут. ГНО: "&amp;F267&amp;"; причина: "&amp;U267&amp;"; категория: "&amp;V267&amp;"; решение комиссии: "&amp;BB267&amp;".")</f>
        <v/>
      </c>
      <c r="BF267" s="173">
        <f>IF('Оперативный ввод'!X267="","",'Оперативный ввод'!X267)</f>
        <v/>
      </c>
    </row>
    <row r="268">
      <c r="A268" s="171">
        <f>IF('Оперативный ввод'!A268="","",'Оперативный ввод'!A268)</f>
        <v/>
      </c>
      <c r="B268" s="172">
        <f>IF('Оперативный ввод'!B268="","",'Оперативный ввод'!B268)</f>
        <v/>
      </c>
      <c r="C268" s="270">
        <f>IF('Оперативный ввод'!C268="","",'Оперативный ввод'!C268)</f>
        <v/>
      </c>
      <c r="D268" s="270">
        <f>IF('Оперативный ввод'!D268="","",'Оперативный ввод'!D268)</f>
        <v/>
      </c>
      <c r="E268" s="271">
        <f>IF(OR(C268="",D268=""),"",D268-C268)</f>
        <v/>
      </c>
      <c r="F268" s="172">
        <f>IF('Оперативный ввод'!F268="","",'Оперативный ввод'!F268)</f>
        <v/>
      </c>
      <c r="G268" s="172">
        <f>IF('Оперативный ввод'!G268="","",'Оперативный ввод'!G268)</f>
        <v/>
      </c>
      <c r="H268" s="172">
        <f>IF('Оперативный ввод'!H268="","",'Оперативный ввод'!H268)</f>
        <v/>
      </c>
      <c r="I268" s="172">
        <f>IF('Оперативный ввод'!I268="","",'Оперативный ввод'!I268)</f>
        <v/>
      </c>
      <c r="J268" s="172">
        <f>IF('Оперативный ввод'!J268="","",'Оперативный ввод'!J268)</f>
        <v/>
      </c>
      <c r="K268" s="172">
        <f>IF('Оперативный ввод'!K268="","",'Оперативный ввод'!K268)</f>
        <v/>
      </c>
      <c r="L268" s="172">
        <f>IF('Оперативный ввод'!L268="","",'Оперативный ввод'!L268)</f>
        <v/>
      </c>
      <c r="M268" s="172">
        <f>IF('Оперативный ввод'!M268="","",'Оперативный ввод'!M268)</f>
        <v/>
      </c>
      <c r="N268" s="172">
        <f>IF('Оперативный ввод'!N268="","",'Оперативный ввод'!N268)</f>
        <v/>
      </c>
      <c r="O268" s="172">
        <f>IF('Оперативный ввод'!O268="","",'Оперативный ввод'!O268)</f>
        <v/>
      </c>
      <c r="P268" s="205">
        <f>IF(AND(A268="",B268=""),"",IF(AND(A268&lt;&gt;"",B268&lt;&gt;"",C268&lt;&gt;"",D268&lt;&gt;"",F268&lt;&gt;"",G268&lt;&gt;"",H268&lt;&gt;"",ISERROR(SEARCH("по паспорту",G268)),ISERROR(SEARCH("по паспорту",H268)),I268&lt;&gt;"",J268&lt;&gt;"",K268&lt;&gt;"",L268&lt;&gt;"",M268&lt;&gt;""),"ГОТОВО","НЕ ГОТОВО"))</f>
        <v/>
      </c>
      <c r="Q268" s="205">
        <f>IF(P268&lt;&gt;"ГОТОВО","", "Предварительное заключение: "&amp;A268&amp;", скв. "&amp;B268&amp;". МРП: "&amp;E268&amp;" сут. ГНО: "&amp;F268&amp;", типоразмер "&amp;G268&amp;", марка "&amp;H268&amp;". Событие: "&amp;I268&amp;". Признак: "&amp;J268&amp;". Узел: "&amp;K268&amp;". Предварительная причина: "&amp;L268&amp;". Основное осложнение: "&amp;M268&amp;IF(N268&lt;&gt;"","; сопутствующее: "&amp;N268,"")&amp;IF(O268&lt;&gt;"","; дополнительно: "&amp;O268,"")&amp;".")</f>
        <v/>
      </c>
      <c r="R268" s="172">
        <f>IF('Оперативный ввод'!P268="","",'Оперативный ввод'!P268)</f>
        <v/>
      </c>
      <c r="S268" s="172">
        <f>IF('Оперативный ввод'!Q268="","",'Оперативный ввод'!Q268)</f>
        <v/>
      </c>
      <c r="T268" s="172">
        <f>IF('Оперативный ввод'!R268="","",'Оперативный ввод'!R268)</f>
        <v/>
      </c>
      <c r="U268" s="172">
        <f>IF('Оперативный ввод'!S268="","",'Оперативный ввод'!S268)</f>
        <v/>
      </c>
      <c r="V268" s="172">
        <f>IF('Оперативный ввод'!T268="","",'Оперативный ввод'!T268)</f>
        <v/>
      </c>
      <c r="W268" s="172" t="n"/>
      <c r="X268" s="172" t="n"/>
      <c r="Y268" s="172" t="n"/>
      <c r="Z268" s="172" t="n"/>
      <c r="AA268" s="172">
        <f>IF('Оперативный ввод'!U268="","",'Оперативный ввод'!U268)</f>
        <v/>
      </c>
      <c r="AB268" s="172">
        <f>IF('Оперативный ввод'!V268="","",'Оперативный ввод'!V268)</f>
        <v/>
      </c>
      <c r="AC268" s="172">
        <f>IF('Оперативный ввод'!W268="","",'Оперативный ввод'!W268)</f>
        <v/>
      </c>
      <c r="BB268" s="172" t="n"/>
      <c r="BC268" s="172" t="n"/>
      <c r="BD268" s="205">
        <f>IF(AND(A268="",B268=""),"",IF(AND(P268="ГОТОВО",R268&lt;&gt;"",T268&lt;&gt;"",U268&lt;&gt;"",AA268&lt;&gt;"",AB268&lt;&gt;"",AC268&lt;&gt;"",BB268&lt;&gt;"",BC268&lt;&gt;""),"ГОТОВО","НЕ ГОТОВО"))</f>
        <v/>
      </c>
      <c r="BE268" s="205">
        <f>IF(BD268&lt;&gt;"ГОТОВО","","Полное заключение: "&amp;A268&amp;", скв. "&amp;B268&amp;". МРП: "&amp;E268&amp;" сут. ГНО: "&amp;F268&amp;"; причина: "&amp;U268&amp;"; категория: "&amp;V268&amp;"; решение комиссии: "&amp;BB268&amp;".")</f>
        <v/>
      </c>
      <c r="BF268" s="173">
        <f>IF('Оперативный ввод'!X268="","",'Оперативный ввод'!X268)</f>
        <v/>
      </c>
    </row>
    <row r="269">
      <c r="A269" s="171">
        <f>IF('Оперативный ввод'!A269="","",'Оперативный ввод'!A269)</f>
        <v/>
      </c>
      <c r="B269" s="172">
        <f>IF('Оперативный ввод'!B269="","",'Оперативный ввод'!B269)</f>
        <v/>
      </c>
      <c r="C269" s="270">
        <f>IF('Оперативный ввод'!C269="","",'Оперативный ввод'!C269)</f>
        <v/>
      </c>
      <c r="D269" s="270">
        <f>IF('Оперативный ввод'!D269="","",'Оперативный ввод'!D269)</f>
        <v/>
      </c>
      <c r="E269" s="271">
        <f>IF(OR(C269="",D269=""),"",D269-C269)</f>
        <v/>
      </c>
      <c r="F269" s="172">
        <f>IF('Оперативный ввод'!F269="","",'Оперативный ввод'!F269)</f>
        <v/>
      </c>
      <c r="G269" s="172">
        <f>IF('Оперативный ввод'!G269="","",'Оперативный ввод'!G269)</f>
        <v/>
      </c>
      <c r="H269" s="172">
        <f>IF('Оперативный ввод'!H269="","",'Оперативный ввод'!H269)</f>
        <v/>
      </c>
      <c r="I269" s="172">
        <f>IF('Оперативный ввод'!I269="","",'Оперативный ввод'!I269)</f>
        <v/>
      </c>
      <c r="J269" s="172">
        <f>IF('Оперативный ввод'!J269="","",'Оперативный ввод'!J269)</f>
        <v/>
      </c>
      <c r="K269" s="172">
        <f>IF('Оперативный ввод'!K269="","",'Оперативный ввод'!K269)</f>
        <v/>
      </c>
      <c r="L269" s="172">
        <f>IF('Оперативный ввод'!L269="","",'Оперативный ввод'!L269)</f>
        <v/>
      </c>
      <c r="M269" s="172">
        <f>IF('Оперативный ввод'!M269="","",'Оперативный ввод'!M269)</f>
        <v/>
      </c>
      <c r="N269" s="172">
        <f>IF('Оперативный ввод'!N269="","",'Оперативный ввод'!N269)</f>
        <v/>
      </c>
      <c r="O269" s="172">
        <f>IF('Оперативный ввод'!O269="","",'Оперативный ввод'!O269)</f>
        <v/>
      </c>
      <c r="P269" s="205">
        <f>IF(AND(A269="",B269=""),"",IF(AND(A269&lt;&gt;"",B269&lt;&gt;"",C269&lt;&gt;"",D269&lt;&gt;"",F269&lt;&gt;"",G269&lt;&gt;"",H269&lt;&gt;"",ISERROR(SEARCH("по паспорту",G269)),ISERROR(SEARCH("по паспорту",H269)),I269&lt;&gt;"",J269&lt;&gt;"",K269&lt;&gt;"",L269&lt;&gt;"",M269&lt;&gt;""),"ГОТОВО","НЕ ГОТОВО"))</f>
        <v/>
      </c>
      <c r="Q269" s="205">
        <f>IF(P269&lt;&gt;"ГОТОВО","", "Предварительное заключение: "&amp;A269&amp;", скв. "&amp;B269&amp;". МРП: "&amp;E269&amp;" сут. ГНО: "&amp;F269&amp;", типоразмер "&amp;G269&amp;", марка "&amp;H269&amp;". Событие: "&amp;I269&amp;". Признак: "&amp;J269&amp;". Узел: "&amp;K269&amp;". Предварительная причина: "&amp;L269&amp;". Основное осложнение: "&amp;M269&amp;IF(N269&lt;&gt;"","; сопутствующее: "&amp;N269,"")&amp;IF(O269&lt;&gt;"","; дополнительно: "&amp;O269,"")&amp;".")</f>
        <v/>
      </c>
      <c r="R269" s="172">
        <f>IF('Оперативный ввод'!P269="","",'Оперативный ввод'!P269)</f>
        <v/>
      </c>
      <c r="S269" s="172">
        <f>IF('Оперативный ввод'!Q269="","",'Оперативный ввод'!Q269)</f>
        <v/>
      </c>
      <c r="T269" s="172">
        <f>IF('Оперативный ввод'!R269="","",'Оперативный ввод'!R269)</f>
        <v/>
      </c>
      <c r="U269" s="172">
        <f>IF('Оперативный ввод'!S269="","",'Оперативный ввод'!S269)</f>
        <v/>
      </c>
      <c r="V269" s="172">
        <f>IF('Оперативный ввод'!T269="","",'Оперативный ввод'!T269)</f>
        <v/>
      </c>
      <c r="W269" s="172" t="n"/>
      <c r="X269" s="172" t="n"/>
      <c r="Y269" s="172" t="n"/>
      <c r="Z269" s="172" t="n"/>
      <c r="AA269" s="172">
        <f>IF('Оперативный ввод'!U269="","",'Оперативный ввод'!U269)</f>
        <v/>
      </c>
      <c r="AB269" s="172">
        <f>IF('Оперативный ввод'!V269="","",'Оперативный ввод'!V269)</f>
        <v/>
      </c>
      <c r="AC269" s="172">
        <f>IF('Оперативный ввод'!W269="","",'Оперативный ввод'!W269)</f>
        <v/>
      </c>
      <c r="BB269" s="172" t="n"/>
      <c r="BC269" s="172" t="n"/>
      <c r="BD269" s="205">
        <f>IF(AND(A269="",B269=""),"",IF(AND(P269="ГОТОВО",R269&lt;&gt;"",T269&lt;&gt;"",U269&lt;&gt;"",AA269&lt;&gt;"",AB269&lt;&gt;"",AC269&lt;&gt;"",BB269&lt;&gt;"",BC269&lt;&gt;""),"ГОТОВО","НЕ ГОТОВО"))</f>
        <v/>
      </c>
      <c r="BE269" s="205">
        <f>IF(BD269&lt;&gt;"ГОТОВО","","Полное заключение: "&amp;A269&amp;", скв. "&amp;B269&amp;". МРП: "&amp;E269&amp;" сут. ГНО: "&amp;F269&amp;"; причина: "&amp;U269&amp;"; категория: "&amp;V269&amp;"; решение комиссии: "&amp;BB269&amp;".")</f>
        <v/>
      </c>
      <c r="BF269" s="173">
        <f>IF('Оперативный ввод'!X269="","",'Оперативный ввод'!X269)</f>
        <v/>
      </c>
    </row>
    <row r="270">
      <c r="A270" s="171">
        <f>IF('Оперативный ввод'!A270="","",'Оперативный ввод'!A270)</f>
        <v/>
      </c>
      <c r="B270" s="172">
        <f>IF('Оперативный ввод'!B270="","",'Оперативный ввод'!B270)</f>
        <v/>
      </c>
      <c r="C270" s="270">
        <f>IF('Оперативный ввод'!C270="","",'Оперативный ввод'!C270)</f>
        <v/>
      </c>
      <c r="D270" s="270">
        <f>IF('Оперативный ввод'!D270="","",'Оперативный ввод'!D270)</f>
        <v/>
      </c>
      <c r="E270" s="271">
        <f>IF(OR(C270="",D270=""),"",D270-C270)</f>
        <v/>
      </c>
      <c r="F270" s="172">
        <f>IF('Оперативный ввод'!F270="","",'Оперативный ввод'!F270)</f>
        <v/>
      </c>
      <c r="G270" s="172">
        <f>IF('Оперативный ввод'!G270="","",'Оперативный ввод'!G270)</f>
        <v/>
      </c>
      <c r="H270" s="172">
        <f>IF('Оперативный ввод'!H270="","",'Оперативный ввод'!H270)</f>
        <v/>
      </c>
      <c r="I270" s="172">
        <f>IF('Оперативный ввод'!I270="","",'Оперативный ввод'!I270)</f>
        <v/>
      </c>
      <c r="J270" s="172">
        <f>IF('Оперативный ввод'!J270="","",'Оперативный ввод'!J270)</f>
        <v/>
      </c>
      <c r="K270" s="172">
        <f>IF('Оперативный ввод'!K270="","",'Оперативный ввод'!K270)</f>
        <v/>
      </c>
      <c r="L270" s="172">
        <f>IF('Оперативный ввод'!L270="","",'Оперативный ввод'!L270)</f>
        <v/>
      </c>
      <c r="M270" s="172">
        <f>IF('Оперативный ввод'!M270="","",'Оперативный ввод'!M270)</f>
        <v/>
      </c>
      <c r="N270" s="172">
        <f>IF('Оперативный ввод'!N270="","",'Оперативный ввод'!N270)</f>
        <v/>
      </c>
      <c r="O270" s="172">
        <f>IF('Оперативный ввод'!O270="","",'Оперативный ввод'!O270)</f>
        <v/>
      </c>
      <c r="P270" s="205">
        <f>IF(AND(A270="",B270=""),"",IF(AND(A270&lt;&gt;"",B270&lt;&gt;"",C270&lt;&gt;"",D270&lt;&gt;"",F270&lt;&gt;"",G270&lt;&gt;"",H270&lt;&gt;"",ISERROR(SEARCH("по паспорту",G270)),ISERROR(SEARCH("по паспорту",H270)),I270&lt;&gt;"",J270&lt;&gt;"",K270&lt;&gt;"",L270&lt;&gt;"",M270&lt;&gt;""),"ГОТОВО","НЕ ГОТОВО"))</f>
        <v/>
      </c>
      <c r="Q270" s="205">
        <f>IF(P270&lt;&gt;"ГОТОВО","", "Предварительное заключение: "&amp;A270&amp;", скв. "&amp;B270&amp;". МРП: "&amp;E270&amp;" сут. ГНО: "&amp;F270&amp;", типоразмер "&amp;G270&amp;", марка "&amp;H270&amp;". Событие: "&amp;I270&amp;". Признак: "&amp;J270&amp;". Узел: "&amp;K270&amp;". Предварительная причина: "&amp;L270&amp;". Основное осложнение: "&amp;M270&amp;IF(N270&lt;&gt;"","; сопутствующее: "&amp;N270,"")&amp;IF(O270&lt;&gt;"","; дополнительно: "&amp;O270,"")&amp;".")</f>
        <v/>
      </c>
      <c r="R270" s="172">
        <f>IF('Оперативный ввод'!P270="","",'Оперативный ввод'!P270)</f>
        <v/>
      </c>
      <c r="S270" s="172">
        <f>IF('Оперативный ввод'!Q270="","",'Оперативный ввод'!Q270)</f>
        <v/>
      </c>
      <c r="T270" s="172">
        <f>IF('Оперативный ввод'!R270="","",'Оперативный ввод'!R270)</f>
        <v/>
      </c>
      <c r="U270" s="172">
        <f>IF('Оперативный ввод'!S270="","",'Оперативный ввод'!S270)</f>
        <v/>
      </c>
      <c r="V270" s="172">
        <f>IF('Оперативный ввод'!T270="","",'Оперативный ввод'!T270)</f>
        <v/>
      </c>
      <c r="W270" s="172" t="n"/>
      <c r="X270" s="172" t="n"/>
      <c r="Y270" s="172" t="n"/>
      <c r="Z270" s="172" t="n"/>
      <c r="AA270" s="172">
        <f>IF('Оперативный ввод'!U270="","",'Оперативный ввод'!U270)</f>
        <v/>
      </c>
      <c r="AB270" s="172">
        <f>IF('Оперативный ввод'!V270="","",'Оперативный ввод'!V270)</f>
        <v/>
      </c>
      <c r="AC270" s="172">
        <f>IF('Оперативный ввод'!W270="","",'Оперативный ввод'!W270)</f>
        <v/>
      </c>
      <c r="BB270" s="172" t="n"/>
      <c r="BC270" s="172" t="n"/>
      <c r="BD270" s="205">
        <f>IF(AND(A270="",B270=""),"",IF(AND(P270="ГОТОВО",R270&lt;&gt;"",T270&lt;&gt;"",U270&lt;&gt;"",AA270&lt;&gt;"",AB270&lt;&gt;"",AC270&lt;&gt;"",BB270&lt;&gt;"",BC270&lt;&gt;""),"ГОТОВО","НЕ ГОТОВО"))</f>
        <v/>
      </c>
      <c r="BE270" s="205">
        <f>IF(BD270&lt;&gt;"ГОТОВО","","Полное заключение: "&amp;A270&amp;", скв. "&amp;B270&amp;". МРП: "&amp;E270&amp;" сут. ГНО: "&amp;F270&amp;"; причина: "&amp;U270&amp;"; категория: "&amp;V270&amp;"; решение комиссии: "&amp;BB270&amp;".")</f>
        <v/>
      </c>
      <c r="BF270" s="173">
        <f>IF('Оперативный ввод'!X270="","",'Оперативный ввод'!X270)</f>
        <v/>
      </c>
    </row>
    <row r="271">
      <c r="A271" s="171">
        <f>IF('Оперативный ввод'!A271="","",'Оперативный ввод'!A271)</f>
        <v/>
      </c>
      <c r="B271" s="172">
        <f>IF('Оперативный ввод'!B271="","",'Оперативный ввод'!B271)</f>
        <v/>
      </c>
      <c r="C271" s="270">
        <f>IF('Оперативный ввод'!C271="","",'Оперативный ввод'!C271)</f>
        <v/>
      </c>
      <c r="D271" s="270">
        <f>IF('Оперативный ввод'!D271="","",'Оперативный ввод'!D271)</f>
        <v/>
      </c>
      <c r="E271" s="271">
        <f>IF(OR(C271="",D271=""),"",D271-C271)</f>
        <v/>
      </c>
      <c r="F271" s="172">
        <f>IF('Оперативный ввод'!F271="","",'Оперативный ввод'!F271)</f>
        <v/>
      </c>
      <c r="G271" s="172">
        <f>IF('Оперативный ввод'!G271="","",'Оперативный ввод'!G271)</f>
        <v/>
      </c>
      <c r="H271" s="172">
        <f>IF('Оперативный ввод'!H271="","",'Оперативный ввод'!H271)</f>
        <v/>
      </c>
      <c r="I271" s="172">
        <f>IF('Оперативный ввод'!I271="","",'Оперативный ввод'!I271)</f>
        <v/>
      </c>
      <c r="J271" s="172">
        <f>IF('Оперативный ввод'!J271="","",'Оперативный ввод'!J271)</f>
        <v/>
      </c>
      <c r="K271" s="172">
        <f>IF('Оперативный ввод'!K271="","",'Оперативный ввод'!K271)</f>
        <v/>
      </c>
      <c r="L271" s="172">
        <f>IF('Оперативный ввод'!L271="","",'Оперативный ввод'!L271)</f>
        <v/>
      </c>
      <c r="M271" s="172">
        <f>IF('Оперативный ввод'!M271="","",'Оперативный ввод'!M271)</f>
        <v/>
      </c>
      <c r="N271" s="172">
        <f>IF('Оперативный ввод'!N271="","",'Оперативный ввод'!N271)</f>
        <v/>
      </c>
      <c r="O271" s="172">
        <f>IF('Оперативный ввод'!O271="","",'Оперативный ввод'!O271)</f>
        <v/>
      </c>
      <c r="P271" s="205">
        <f>IF(AND(A271="",B271=""),"",IF(AND(A271&lt;&gt;"",B271&lt;&gt;"",C271&lt;&gt;"",D271&lt;&gt;"",F271&lt;&gt;"",G271&lt;&gt;"",H271&lt;&gt;"",ISERROR(SEARCH("по паспорту",G271)),ISERROR(SEARCH("по паспорту",H271)),I271&lt;&gt;"",J271&lt;&gt;"",K271&lt;&gt;"",L271&lt;&gt;"",M271&lt;&gt;""),"ГОТОВО","НЕ ГОТОВО"))</f>
        <v/>
      </c>
      <c r="Q271" s="205">
        <f>IF(P271&lt;&gt;"ГОТОВО","", "Предварительное заключение: "&amp;A271&amp;", скв. "&amp;B271&amp;". МРП: "&amp;E271&amp;" сут. ГНО: "&amp;F271&amp;", типоразмер "&amp;G271&amp;", марка "&amp;H271&amp;". Событие: "&amp;I271&amp;". Признак: "&amp;J271&amp;". Узел: "&amp;K271&amp;". Предварительная причина: "&amp;L271&amp;". Основное осложнение: "&amp;M271&amp;IF(N271&lt;&gt;"","; сопутствующее: "&amp;N271,"")&amp;IF(O271&lt;&gt;"","; дополнительно: "&amp;O271,"")&amp;".")</f>
        <v/>
      </c>
      <c r="R271" s="172">
        <f>IF('Оперативный ввод'!P271="","",'Оперативный ввод'!P271)</f>
        <v/>
      </c>
      <c r="S271" s="172">
        <f>IF('Оперативный ввод'!Q271="","",'Оперативный ввод'!Q271)</f>
        <v/>
      </c>
      <c r="T271" s="172">
        <f>IF('Оперативный ввод'!R271="","",'Оперативный ввод'!R271)</f>
        <v/>
      </c>
      <c r="U271" s="172">
        <f>IF('Оперативный ввод'!S271="","",'Оперативный ввод'!S271)</f>
        <v/>
      </c>
      <c r="V271" s="172">
        <f>IF('Оперативный ввод'!T271="","",'Оперативный ввод'!T271)</f>
        <v/>
      </c>
      <c r="W271" s="172" t="n"/>
      <c r="X271" s="172" t="n"/>
      <c r="Y271" s="172" t="n"/>
      <c r="Z271" s="172" t="n"/>
      <c r="AA271" s="172">
        <f>IF('Оперативный ввод'!U271="","",'Оперативный ввод'!U271)</f>
        <v/>
      </c>
      <c r="AB271" s="172">
        <f>IF('Оперативный ввод'!V271="","",'Оперативный ввод'!V271)</f>
        <v/>
      </c>
      <c r="AC271" s="172">
        <f>IF('Оперативный ввод'!W271="","",'Оперативный ввод'!W271)</f>
        <v/>
      </c>
      <c r="BB271" s="172" t="n"/>
      <c r="BC271" s="172" t="n"/>
      <c r="BD271" s="205">
        <f>IF(AND(A271="",B271=""),"",IF(AND(P271="ГОТОВО",R271&lt;&gt;"",T271&lt;&gt;"",U271&lt;&gt;"",AA271&lt;&gt;"",AB271&lt;&gt;"",AC271&lt;&gt;"",BB271&lt;&gt;"",BC271&lt;&gt;""),"ГОТОВО","НЕ ГОТОВО"))</f>
        <v/>
      </c>
      <c r="BE271" s="205">
        <f>IF(BD271&lt;&gt;"ГОТОВО","","Полное заключение: "&amp;A271&amp;", скв. "&amp;B271&amp;". МРП: "&amp;E271&amp;" сут. ГНО: "&amp;F271&amp;"; причина: "&amp;U271&amp;"; категория: "&amp;V271&amp;"; решение комиссии: "&amp;BB271&amp;".")</f>
        <v/>
      </c>
      <c r="BF271" s="173">
        <f>IF('Оперативный ввод'!X271="","",'Оперативный ввод'!X271)</f>
        <v/>
      </c>
    </row>
    <row r="272">
      <c r="A272" s="171">
        <f>IF('Оперативный ввод'!A272="","",'Оперативный ввод'!A272)</f>
        <v/>
      </c>
      <c r="B272" s="172">
        <f>IF('Оперативный ввод'!B272="","",'Оперативный ввод'!B272)</f>
        <v/>
      </c>
      <c r="C272" s="270">
        <f>IF('Оперативный ввод'!C272="","",'Оперативный ввод'!C272)</f>
        <v/>
      </c>
      <c r="D272" s="270">
        <f>IF('Оперативный ввод'!D272="","",'Оперативный ввод'!D272)</f>
        <v/>
      </c>
      <c r="E272" s="271">
        <f>IF(OR(C272="",D272=""),"",D272-C272)</f>
        <v/>
      </c>
      <c r="F272" s="172">
        <f>IF('Оперативный ввод'!F272="","",'Оперативный ввод'!F272)</f>
        <v/>
      </c>
      <c r="G272" s="172">
        <f>IF('Оперативный ввод'!G272="","",'Оперативный ввод'!G272)</f>
        <v/>
      </c>
      <c r="H272" s="172">
        <f>IF('Оперативный ввод'!H272="","",'Оперативный ввод'!H272)</f>
        <v/>
      </c>
      <c r="I272" s="172">
        <f>IF('Оперативный ввод'!I272="","",'Оперативный ввод'!I272)</f>
        <v/>
      </c>
      <c r="J272" s="172">
        <f>IF('Оперативный ввод'!J272="","",'Оперативный ввод'!J272)</f>
        <v/>
      </c>
      <c r="K272" s="172">
        <f>IF('Оперативный ввод'!K272="","",'Оперативный ввод'!K272)</f>
        <v/>
      </c>
      <c r="L272" s="172">
        <f>IF('Оперативный ввод'!L272="","",'Оперативный ввод'!L272)</f>
        <v/>
      </c>
      <c r="M272" s="172">
        <f>IF('Оперативный ввод'!M272="","",'Оперативный ввод'!M272)</f>
        <v/>
      </c>
      <c r="N272" s="172">
        <f>IF('Оперативный ввод'!N272="","",'Оперативный ввод'!N272)</f>
        <v/>
      </c>
      <c r="O272" s="172">
        <f>IF('Оперативный ввод'!O272="","",'Оперативный ввод'!O272)</f>
        <v/>
      </c>
      <c r="P272" s="205">
        <f>IF(AND(A272="",B272=""),"",IF(AND(A272&lt;&gt;"",B272&lt;&gt;"",C272&lt;&gt;"",D272&lt;&gt;"",F272&lt;&gt;"",G272&lt;&gt;"",H272&lt;&gt;"",ISERROR(SEARCH("по паспорту",G272)),ISERROR(SEARCH("по паспорту",H272)),I272&lt;&gt;"",J272&lt;&gt;"",K272&lt;&gt;"",L272&lt;&gt;"",M272&lt;&gt;""),"ГОТОВО","НЕ ГОТОВО"))</f>
        <v/>
      </c>
      <c r="Q272" s="205">
        <f>IF(P272&lt;&gt;"ГОТОВО","", "Предварительное заключение: "&amp;A272&amp;", скв. "&amp;B272&amp;". МРП: "&amp;E272&amp;" сут. ГНО: "&amp;F272&amp;", типоразмер "&amp;G272&amp;", марка "&amp;H272&amp;". Событие: "&amp;I272&amp;". Признак: "&amp;J272&amp;". Узел: "&amp;K272&amp;". Предварительная причина: "&amp;L272&amp;". Основное осложнение: "&amp;M272&amp;IF(N272&lt;&gt;"","; сопутствующее: "&amp;N272,"")&amp;IF(O272&lt;&gt;"","; дополнительно: "&amp;O272,"")&amp;".")</f>
        <v/>
      </c>
      <c r="R272" s="172">
        <f>IF('Оперативный ввод'!P272="","",'Оперативный ввод'!P272)</f>
        <v/>
      </c>
      <c r="S272" s="172">
        <f>IF('Оперативный ввод'!Q272="","",'Оперативный ввод'!Q272)</f>
        <v/>
      </c>
      <c r="T272" s="172">
        <f>IF('Оперативный ввод'!R272="","",'Оперативный ввод'!R272)</f>
        <v/>
      </c>
      <c r="U272" s="172">
        <f>IF('Оперативный ввод'!S272="","",'Оперативный ввод'!S272)</f>
        <v/>
      </c>
      <c r="V272" s="172">
        <f>IF('Оперативный ввод'!T272="","",'Оперативный ввод'!T272)</f>
        <v/>
      </c>
      <c r="W272" s="172" t="n"/>
      <c r="X272" s="172" t="n"/>
      <c r="Y272" s="172" t="n"/>
      <c r="Z272" s="172" t="n"/>
      <c r="AA272" s="172">
        <f>IF('Оперативный ввод'!U272="","",'Оперативный ввод'!U272)</f>
        <v/>
      </c>
      <c r="AB272" s="172">
        <f>IF('Оперативный ввод'!V272="","",'Оперативный ввод'!V272)</f>
        <v/>
      </c>
      <c r="AC272" s="172">
        <f>IF('Оперативный ввод'!W272="","",'Оперативный ввод'!W272)</f>
        <v/>
      </c>
      <c r="BB272" s="172" t="n"/>
      <c r="BC272" s="172" t="n"/>
      <c r="BD272" s="205">
        <f>IF(AND(A272="",B272=""),"",IF(AND(P272="ГОТОВО",R272&lt;&gt;"",T272&lt;&gt;"",U272&lt;&gt;"",AA272&lt;&gt;"",AB272&lt;&gt;"",AC272&lt;&gt;"",BB272&lt;&gt;"",BC272&lt;&gt;""),"ГОТОВО","НЕ ГОТОВО"))</f>
        <v/>
      </c>
      <c r="BE272" s="205">
        <f>IF(BD272&lt;&gt;"ГОТОВО","","Полное заключение: "&amp;A272&amp;", скв. "&amp;B272&amp;". МРП: "&amp;E272&amp;" сут. ГНО: "&amp;F272&amp;"; причина: "&amp;U272&amp;"; категория: "&amp;V272&amp;"; решение комиссии: "&amp;BB272&amp;".")</f>
        <v/>
      </c>
      <c r="BF272" s="173">
        <f>IF('Оперативный ввод'!X272="","",'Оперативный ввод'!X272)</f>
        <v/>
      </c>
    </row>
    <row r="273">
      <c r="A273" s="171">
        <f>IF('Оперативный ввод'!A273="","",'Оперативный ввод'!A273)</f>
        <v/>
      </c>
      <c r="B273" s="172">
        <f>IF('Оперативный ввод'!B273="","",'Оперативный ввод'!B273)</f>
        <v/>
      </c>
      <c r="C273" s="270">
        <f>IF('Оперативный ввод'!C273="","",'Оперативный ввод'!C273)</f>
        <v/>
      </c>
      <c r="D273" s="270">
        <f>IF('Оперативный ввод'!D273="","",'Оперативный ввод'!D273)</f>
        <v/>
      </c>
      <c r="E273" s="271">
        <f>IF(OR(C273="",D273=""),"",D273-C273)</f>
        <v/>
      </c>
      <c r="F273" s="172">
        <f>IF('Оперативный ввод'!F273="","",'Оперативный ввод'!F273)</f>
        <v/>
      </c>
      <c r="G273" s="172">
        <f>IF('Оперативный ввод'!G273="","",'Оперативный ввод'!G273)</f>
        <v/>
      </c>
      <c r="H273" s="172">
        <f>IF('Оперативный ввод'!H273="","",'Оперативный ввод'!H273)</f>
        <v/>
      </c>
      <c r="I273" s="172">
        <f>IF('Оперативный ввод'!I273="","",'Оперативный ввод'!I273)</f>
        <v/>
      </c>
      <c r="J273" s="172">
        <f>IF('Оперативный ввод'!J273="","",'Оперативный ввод'!J273)</f>
        <v/>
      </c>
      <c r="K273" s="172">
        <f>IF('Оперативный ввод'!K273="","",'Оперативный ввод'!K273)</f>
        <v/>
      </c>
      <c r="L273" s="172">
        <f>IF('Оперативный ввод'!L273="","",'Оперативный ввод'!L273)</f>
        <v/>
      </c>
      <c r="M273" s="172">
        <f>IF('Оперативный ввод'!M273="","",'Оперативный ввод'!M273)</f>
        <v/>
      </c>
      <c r="N273" s="172">
        <f>IF('Оперативный ввод'!N273="","",'Оперативный ввод'!N273)</f>
        <v/>
      </c>
      <c r="O273" s="172">
        <f>IF('Оперативный ввод'!O273="","",'Оперативный ввод'!O273)</f>
        <v/>
      </c>
      <c r="P273" s="205">
        <f>IF(AND(A273="",B273=""),"",IF(AND(A273&lt;&gt;"",B273&lt;&gt;"",C273&lt;&gt;"",D273&lt;&gt;"",F273&lt;&gt;"",G273&lt;&gt;"",H273&lt;&gt;"",ISERROR(SEARCH("по паспорту",G273)),ISERROR(SEARCH("по паспорту",H273)),I273&lt;&gt;"",J273&lt;&gt;"",K273&lt;&gt;"",L273&lt;&gt;"",M273&lt;&gt;""),"ГОТОВО","НЕ ГОТОВО"))</f>
        <v/>
      </c>
      <c r="Q273" s="205">
        <f>IF(P273&lt;&gt;"ГОТОВО","", "Предварительное заключение: "&amp;A273&amp;", скв. "&amp;B273&amp;". МРП: "&amp;E273&amp;" сут. ГНО: "&amp;F273&amp;", типоразмер "&amp;G273&amp;", марка "&amp;H273&amp;". Событие: "&amp;I273&amp;". Признак: "&amp;J273&amp;". Узел: "&amp;K273&amp;". Предварительная причина: "&amp;L273&amp;". Основное осложнение: "&amp;M273&amp;IF(N273&lt;&gt;"","; сопутствующее: "&amp;N273,"")&amp;IF(O273&lt;&gt;"","; дополнительно: "&amp;O273,"")&amp;".")</f>
        <v/>
      </c>
      <c r="R273" s="172">
        <f>IF('Оперативный ввод'!P273="","",'Оперативный ввод'!P273)</f>
        <v/>
      </c>
      <c r="S273" s="172">
        <f>IF('Оперативный ввод'!Q273="","",'Оперативный ввод'!Q273)</f>
        <v/>
      </c>
      <c r="T273" s="172">
        <f>IF('Оперативный ввод'!R273="","",'Оперативный ввод'!R273)</f>
        <v/>
      </c>
      <c r="U273" s="172">
        <f>IF('Оперативный ввод'!S273="","",'Оперативный ввод'!S273)</f>
        <v/>
      </c>
      <c r="V273" s="172">
        <f>IF('Оперативный ввод'!T273="","",'Оперативный ввод'!T273)</f>
        <v/>
      </c>
      <c r="W273" s="172" t="n"/>
      <c r="X273" s="172" t="n"/>
      <c r="Y273" s="172" t="n"/>
      <c r="Z273" s="172" t="n"/>
      <c r="AA273" s="172">
        <f>IF('Оперативный ввод'!U273="","",'Оперативный ввод'!U273)</f>
        <v/>
      </c>
      <c r="AB273" s="172">
        <f>IF('Оперативный ввод'!V273="","",'Оперативный ввод'!V273)</f>
        <v/>
      </c>
      <c r="AC273" s="172">
        <f>IF('Оперативный ввод'!W273="","",'Оперативный ввод'!W273)</f>
        <v/>
      </c>
      <c r="BB273" s="172" t="n"/>
      <c r="BC273" s="172" t="n"/>
      <c r="BD273" s="205">
        <f>IF(AND(A273="",B273=""),"",IF(AND(P273="ГОТОВО",R273&lt;&gt;"",T273&lt;&gt;"",U273&lt;&gt;"",AA273&lt;&gt;"",AB273&lt;&gt;"",AC273&lt;&gt;"",BB273&lt;&gt;"",BC273&lt;&gt;""),"ГОТОВО","НЕ ГОТОВО"))</f>
        <v/>
      </c>
      <c r="BE273" s="205">
        <f>IF(BD273&lt;&gt;"ГОТОВО","","Полное заключение: "&amp;A273&amp;", скв. "&amp;B273&amp;". МРП: "&amp;E273&amp;" сут. ГНО: "&amp;F273&amp;"; причина: "&amp;U273&amp;"; категория: "&amp;V273&amp;"; решение комиссии: "&amp;BB273&amp;".")</f>
        <v/>
      </c>
      <c r="BF273" s="173">
        <f>IF('Оперативный ввод'!X273="","",'Оперативный ввод'!X273)</f>
        <v/>
      </c>
    </row>
    <row r="274">
      <c r="A274" s="171">
        <f>IF('Оперативный ввод'!A274="","",'Оперативный ввод'!A274)</f>
        <v/>
      </c>
      <c r="B274" s="172">
        <f>IF('Оперативный ввод'!B274="","",'Оперативный ввод'!B274)</f>
        <v/>
      </c>
      <c r="C274" s="270">
        <f>IF('Оперативный ввод'!C274="","",'Оперативный ввод'!C274)</f>
        <v/>
      </c>
      <c r="D274" s="270">
        <f>IF('Оперативный ввод'!D274="","",'Оперативный ввод'!D274)</f>
        <v/>
      </c>
      <c r="E274" s="271">
        <f>IF(OR(C274="",D274=""),"",D274-C274)</f>
        <v/>
      </c>
      <c r="F274" s="172">
        <f>IF('Оперативный ввод'!F274="","",'Оперативный ввод'!F274)</f>
        <v/>
      </c>
      <c r="G274" s="172">
        <f>IF('Оперативный ввод'!G274="","",'Оперативный ввод'!G274)</f>
        <v/>
      </c>
      <c r="H274" s="172">
        <f>IF('Оперативный ввод'!H274="","",'Оперативный ввод'!H274)</f>
        <v/>
      </c>
      <c r="I274" s="172">
        <f>IF('Оперативный ввод'!I274="","",'Оперативный ввод'!I274)</f>
        <v/>
      </c>
      <c r="J274" s="172">
        <f>IF('Оперативный ввод'!J274="","",'Оперативный ввод'!J274)</f>
        <v/>
      </c>
      <c r="K274" s="172">
        <f>IF('Оперативный ввод'!K274="","",'Оперативный ввод'!K274)</f>
        <v/>
      </c>
      <c r="L274" s="172">
        <f>IF('Оперативный ввод'!L274="","",'Оперативный ввод'!L274)</f>
        <v/>
      </c>
      <c r="M274" s="172">
        <f>IF('Оперативный ввод'!M274="","",'Оперативный ввод'!M274)</f>
        <v/>
      </c>
      <c r="N274" s="172">
        <f>IF('Оперативный ввод'!N274="","",'Оперативный ввод'!N274)</f>
        <v/>
      </c>
      <c r="O274" s="172">
        <f>IF('Оперативный ввод'!O274="","",'Оперативный ввод'!O274)</f>
        <v/>
      </c>
      <c r="P274" s="205">
        <f>IF(AND(A274="",B274=""),"",IF(AND(A274&lt;&gt;"",B274&lt;&gt;"",C274&lt;&gt;"",D274&lt;&gt;"",F274&lt;&gt;"",G274&lt;&gt;"",H274&lt;&gt;"",ISERROR(SEARCH("по паспорту",G274)),ISERROR(SEARCH("по паспорту",H274)),I274&lt;&gt;"",J274&lt;&gt;"",K274&lt;&gt;"",L274&lt;&gt;"",M274&lt;&gt;""),"ГОТОВО","НЕ ГОТОВО"))</f>
        <v/>
      </c>
      <c r="Q274" s="205">
        <f>IF(P274&lt;&gt;"ГОТОВО","", "Предварительное заключение: "&amp;A274&amp;", скв. "&amp;B274&amp;". МРП: "&amp;E274&amp;" сут. ГНО: "&amp;F274&amp;", типоразмер "&amp;G274&amp;", марка "&amp;H274&amp;". Событие: "&amp;I274&amp;". Признак: "&amp;J274&amp;". Узел: "&amp;K274&amp;". Предварительная причина: "&amp;L274&amp;". Основное осложнение: "&amp;M274&amp;IF(N274&lt;&gt;"","; сопутствующее: "&amp;N274,"")&amp;IF(O274&lt;&gt;"","; дополнительно: "&amp;O274,"")&amp;".")</f>
        <v/>
      </c>
      <c r="R274" s="172">
        <f>IF('Оперативный ввод'!P274="","",'Оперативный ввод'!P274)</f>
        <v/>
      </c>
      <c r="S274" s="172">
        <f>IF('Оперативный ввод'!Q274="","",'Оперативный ввод'!Q274)</f>
        <v/>
      </c>
      <c r="T274" s="172">
        <f>IF('Оперативный ввод'!R274="","",'Оперативный ввод'!R274)</f>
        <v/>
      </c>
      <c r="U274" s="172">
        <f>IF('Оперативный ввод'!S274="","",'Оперативный ввод'!S274)</f>
        <v/>
      </c>
      <c r="V274" s="172">
        <f>IF('Оперативный ввод'!T274="","",'Оперативный ввод'!T274)</f>
        <v/>
      </c>
      <c r="W274" s="172" t="n"/>
      <c r="X274" s="172" t="n"/>
      <c r="Y274" s="172" t="n"/>
      <c r="Z274" s="172" t="n"/>
      <c r="AA274" s="172">
        <f>IF('Оперативный ввод'!U274="","",'Оперативный ввод'!U274)</f>
        <v/>
      </c>
      <c r="AB274" s="172">
        <f>IF('Оперативный ввод'!V274="","",'Оперативный ввод'!V274)</f>
        <v/>
      </c>
      <c r="AC274" s="172">
        <f>IF('Оперативный ввод'!W274="","",'Оперативный ввод'!W274)</f>
        <v/>
      </c>
      <c r="BB274" s="172" t="n"/>
      <c r="BC274" s="172" t="n"/>
      <c r="BD274" s="205">
        <f>IF(AND(A274="",B274=""),"",IF(AND(P274="ГОТОВО",R274&lt;&gt;"",T274&lt;&gt;"",U274&lt;&gt;"",AA274&lt;&gt;"",AB274&lt;&gt;"",AC274&lt;&gt;"",BB274&lt;&gt;"",BC274&lt;&gt;""),"ГОТОВО","НЕ ГОТОВО"))</f>
        <v/>
      </c>
      <c r="BE274" s="205">
        <f>IF(BD274&lt;&gt;"ГОТОВО","","Полное заключение: "&amp;A274&amp;", скв. "&amp;B274&amp;". МРП: "&amp;E274&amp;" сут. ГНО: "&amp;F274&amp;"; причина: "&amp;U274&amp;"; категория: "&amp;V274&amp;"; решение комиссии: "&amp;BB274&amp;".")</f>
        <v/>
      </c>
      <c r="BF274" s="173">
        <f>IF('Оперативный ввод'!X274="","",'Оперативный ввод'!X274)</f>
        <v/>
      </c>
    </row>
    <row r="275">
      <c r="A275" s="171">
        <f>IF('Оперативный ввод'!A275="","",'Оперативный ввод'!A275)</f>
        <v/>
      </c>
      <c r="B275" s="172">
        <f>IF('Оперативный ввод'!B275="","",'Оперативный ввод'!B275)</f>
        <v/>
      </c>
      <c r="C275" s="270">
        <f>IF('Оперативный ввод'!C275="","",'Оперативный ввод'!C275)</f>
        <v/>
      </c>
      <c r="D275" s="270">
        <f>IF('Оперативный ввод'!D275="","",'Оперативный ввод'!D275)</f>
        <v/>
      </c>
      <c r="E275" s="271">
        <f>IF(OR(C275="",D275=""),"",D275-C275)</f>
        <v/>
      </c>
      <c r="F275" s="172">
        <f>IF('Оперативный ввод'!F275="","",'Оперативный ввод'!F275)</f>
        <v/>
      </c>
      <c r="G275" s="172">
        <f>IF('Оперативный ввод'!G275="","",'Оперативный ввод'!G275)</f>
        <v/>
      </c>
      <c r="H275" s="172">
        <f>IF('Оперативный ввод'!H275="","",'Оперативный ввод'!H275)</f>
        <v/>
      </c>
      <c r="I275" s="172">
        <f>IF('Оперативный ввод'!I275="","",'Оперативный ввод'!I275)</f>
        <v/>
      </c>
      <c r="J275" s="172">
        <f>IF('Оперативный ввод'!J275="","",'Оперативный ввод'!J275)</f>
        <v/>
      </c>
      <c r="K275" s="172">
        <f>IF('Оперативный ввод'!K275="","",'Оперативный ввод'!K275)</f>
        <v/>
      </c>
      <c r="L275" s="172">
        <f>IF('Оперативный ввод'!L275="","",'Оперативный ввод'!L275)</f>
        <v/>
      </c>
      <c r="M275" s="172">
        <f>IF('Оперативный ввод'!M275="","",'Оперативный ввод'!M275)</f>
        <v/>
      </c>
      <c r="N275" s="172">
        <f>IF('Оперативный ввод'!N275="","",'Оперативный ввод'!N275)</f>
        <v/>
      </c>
      <c r="O275" s="172">
        <f>IF('Оперативный ввод'!O275="","",'Оперативный ввод'!O275)</f>
        <v/>
      </c>
      <c r="P275" s="205">
        <f>IF(AND(A275="",B275=""),"",IF(AND(A275&lt;&gt;"",B275&lt;&gt;"",C275&lt;&gt;"",D275&lt;&gt;"",F275&lt;&gt;"",G275&lt;&gt;"",H275&lt;&gt;"",ISERROR(SEARCH("по паспорту",G275)),ISERROR(SEARCH("по паспорту",H275)),I275&lt;&gt;"",J275&lt;&gt;"",K275&lt;&gt;"",L275&lt;&gt;"",M275&lt;&gt;""),"ГОТОВО","НЕ ГОТОВО"))</f>
        <v/>
      </c>
      <c r="Q275" s="205">
        <f>IF(P275&lt;&gt;"ГОТОВО","", "Предварительное заключение: "&amp;A275&amp;", скв. "&amp;B275&amp;". МРП: "&amp;E275&amp;" сут. ГНО: "&amp;F275&amp;", типоразмер "&amp;G275&amp;", марка "&amp;H275&amp;". Событие: "&amp;I275&amp;". Признак: "&amp;J275&amp;". Узел: "&amp;K275&amp;". Предварительная причина: "&amp;L275&amp;". Основное осложнение: "&amp;M275&amp;IF(N275&lt;&gt;"","; сопутствующее: "&amp;N275,"")&amp;IF(O275&lt;&gt;"","; дополнительно: "&amp;O275,"")&amp;".")</f>
        <v/>
      </c>
      <c r="R275" s="172">
        <f>IF('Оперативный ввод'!P275="","",'Оперативный ввод'!P275)</f>
        <v/>
      </c>
      <c r="S275" s="172">
        <f>IF('Оперативный ввод'!Q275="","",'Оперативный ввод'!Q275)</f>
        <v/>
      </c>
      <c r="T275" s="172">
        <f>IF('Оперативный ввод'!R275="","",'Оперативный ввод'!R275)</f>
        <v/>
      </c>
      <c r="U275" s="172">
        <f>IF('Оперативный ввод'!S275="","",'Оперативный ввод'!S275)</f>
        <v/>
      </c>
      <c r="V275" s="172">
        <f>IF('Оперативный ввод'!T275="","",'Оперативный ввод'!T275)</f>
        <v/>
      </c>
      <c r="W275" s="172" t="n"/>
      <c r="X275" s="172" t="n"/>
      <c r="Y275" s="172" t="n"/>
      <c r="Z275" s="172" t="n"/>
      <c r="AA275" s="172">
        <f>IF('Оперативный ввод'!U275="","",'Оперативный ввод'!U275)</f>
        <v/>
      </c>
      <c r="AB275" s="172">
        <f>IF('Оперативный ввод'!V275="","",'Оперативный ввод'!V275)</f>
        <v/>
      </c>
      <c r="AC275" s="172">
        <f>IF('Оперативный ввод'!W275="","",'Оперативный ввод'!W275)</f>
        <v/>
      </c>
      <c r="BB275" s="172" t="n"/>
      <c r="BC275" s="172" t="n"/>
      <c r="BD275" s="205">
        <f>IF(AND(A275="",B275=""),"",IF(AND(P275="ГОТОВО",R275&lt;&gt;"",T275&lt;&gt;"",U275&lt;&gt;"",AA275&lt;&gt;"",AB275&lt;&gt;"",AC275&lt;&gt;"",BB275&lt;&gt;"",BC275&lt;&gt;""),"ГОТОВО","НЕ ГОТОВО"))</f>
        <v/>
      </c>
      <c r="BE275" s="205">
        <f>IF(BD275&lt;&gt;"ГОТОВО","","Полное заключение: "&amp;A275&amp;", скв. "&amp;B275&amp;". МРП: "&amp;E275&amp;" сут. ГНО: "&amp;F275&amp;"; причина: "&amp;U275&amp;"; категория: "&amp;V275&amp;"; решение комиссии: "&amp;BB275&amp;".")</f>
        <v/>
      </c>
      <c r="BF275" s="173">
        <f>IF('Оперативный ввод'!X275="","",'Оперативный ввод'!X275)</f>
        <v/>
      </c>
    </row>
    <row r="276">
      <c r="A276" s="171">
        <f>IF('Оперативный ввод'!A276="","",'Оперативный ввод'!A276)</f>
        <v/>
      </c>
      <c r="B276" s="172">
        <f>IF('Оперативный ввод'!B276="","",'Оперативный ввод'!B276)</f>
        <v/>
      </c>
      <c r="C276" s="270">
        <f>IF('Оперативный ввод'!C276="","",'Оперативный ввод'!C276)</f>
        <v/>
      </c>
      <c r="D276" s="270">
        <f>IF('Оперативный ввод'!D276="","",'Оперативный ввод'!D276)</f>
        <v/>
      </c>
      <c r="E276" s="271">
        <f>IF(OR(C276="",D276=""),"",D276-C276)</f>
        <v/>
      </c>
      <c r="F276" s="172">
        <f>IF('Оперативный ввод'!F276="","",'Оперативный ввод'!F276)</f>
        <v/>
      </c>
      <c r="G276" s="172">
        <f>IF('Оперативный ввод'!G276="","",'Оперативный ввод'!G276)</f>
        <v/>
      </c>
      <c r="H276" s="172">
        <f>IF('Оперативный ввод'!H276="","",'Оперативный ввод'!H276)</f>
        <v/>
      </c>
      <c r="I276" s="172">
        <f>IF('Оперативный ввод'!I276="","",'Оперативный ввод'!I276)</f>
        <v/>
      </c>
      <c r="J276" s="172">
        <f>IF('Оперативный ввод'!J276="","",'Оперативный ввод'!J276)</f>
        <v/>
      </c>
      <c r="K276" s="172">
        <f>IF('Оперативный ввод'!K276="","",'Оперативный ввод'!K276)</f>
        <v/>
      </c>
      <c r="L276" s="172">
        <f>IF('Оперативный ввод'!L276="","",'Оперативный ввод'!L276)</f>
        <v/>
      </c>
      <c r="M276" s="172">
        <f>IF('Оперативный ввод'!M276="","",'Оперативный ввод'!M276)</f>
        <v/>
      </c>
      <c r="N276" s="172">
        <f>IF('Оперативный ввод'!N276="","",'Оперативный ввод'!N276)</f>
        <v/>
      </c>
      <c r="O276" s="172">
        <f>IF('Оперативный ввод'!O276="","",'Оперативный ввод'!O276)</f>
        <v/>
      </c>
      <c r="P276" s="205">
        <f>IF(AND(A276="",B276=""),"",IF(AND(A276&lt;&gt;"",B276&lt;&gt;"",C276&lt;&gt;"",D276&lt;&gt;"",F276&lt;&gt;"",G276&lt;&gt;"",H276&lt;&gt;"",ISERROR(SEARCH("по паспорту",G276)),ISERROR(SEARCH("по паспорту",H276)),I276&lt;&gt;"",J276&lt;&gt;"",K276&lt;&gt;"",L276&lt;&gt;"",M276&lt;&gt;""),"ГОТОВО","НЕ ГОТОВО"))</f>
        <v/>
      </c>
      <c r="Q276" s="205">
        <f>IF(P276&lt;&gt;"ГОТОВО","", "Предварительное заключение: "&amp;A276&amp;", скв. "&amp;B276&amp;". МРП: "&amp;E276&amp;" сут. ГНО: "&amp;F276&amp;", типоразмер "&amp;G276&amp;", марка "&amp;H276&amp;". Событие: "&amp;I276&amp;". Признак: "&amp;J276&amp;". Узел: "&amp;K276&amp;". Предварительная причина: "&amp;L276&amp;". Основное осложнение: "&amp;M276&amp;IF(N276&lt;&gt;"","; сопутствующее: "&amp;N276,"")&amp;IF(O276&lt;&gt;"","; дополнительно: "&amp;O276,"")&amp;".")</f>
        <v/>
      </c>
      <c r="R276" s="172">
        <f>IF('Оперативный ввод'!P276="","",'Оперативный ввод'!P276)</f>
        <v/>
      </c>
      <c r="S276" s="172">
        <f>IF('Оперативный ввод'!Q276="","",'Оперативный ввод'!Q276)</f>
        <v/>
      </c>
      <c r="T276" s="172">
        <f>IF('Оперативный ввод'!R276="","",'Оперативный ввод'!R276)</f>
        <v/>
      </c>
      <c r="U276" s="172">
        <f>IF('Оперативный ввод'!S276="","",'Оперативный ввод'!S276)</f>
        <v/>
      </c>
      <c r="V276" s="172">
        <f>IF('Оперативный ввод'!T276="","",'Оперативный ввод'!T276)</f>
        <v/>
      </c>
      <c r="W276" s="172" t="n"/>
      <c r="X276" s="172" t="n"/>
      <c r="Y276" s="172" t="n"/>
      <c r="Z276" s="172" t="n"/>
      <c r="AA276" s="172">
        <f>IF('Оперативный ввод'!U276="","",'Оперативный ввод'!U276)</f>
        <v/>
      </c>
      <c r="AB276" s="172">
        <f>IF('Оперативный ввод'!V276="","",'Оперативный ввод'!V276)</f>
        <v/>
      </c>
      <c r="AC276" s="172">
        <f>IF('Оперативный ввод'!W276="","",'Оперативный ввод'!W276)</f>
        <v/>
      </c>
      <c r="BB276" s="172" t="n"/>
      <c r="BC276" s="172" t="n"/>
      <c r="BD276" s="205">
        <f>IF(AND(A276="",B276=""),"",IF(AND(P276="ГОТОВО",R276&lt;&gt;"",T276&lt;&gt;"",U276&lt;&gt;"",AA276&lt;&gt;"",AB276&lt;&gt;"",AC276&lt;&gt;"",BB276&lt;&gt;"",BC276&lt;&gt;""),"ГОТОВО","НЕ ГОТОВО"))</f>
        <v/>
      </c>
      <c r="BE276" s="205">
        <f>IF(BD276&lt;&gt;"ГОТОВО","","Полное заключение: "&amp;A276&amp;", скв. "&amp;B276&amp;". МРП: "&amp;E276&amp;" сут. ГНО: "&amp;F276&amp;"; причина: "&amp;U276&amp;"; категория: "&amp;V276&amp;"; решение комиссии: "&amp;BB276&amp;".")</f>
        <v/>
      </c>
      <c r="BF276" s="173">
        <f>IF('Оперативный ввод'!X276="","",'Оперативный ввод'!X276)</f>
        <v/>
      </c>
    </row>
    <row r="277">
      <c r="A277" s="171">
        <f>IF('Оперативный ввод'!A277="","",'Оперативный ввод'!A277)</f>
        <v/>
      </c>
      <c r="B277" s="172">
        <f>IF('Оперативный ввод'!B277="","",'Оперативный ввод'!B277)</f>
        <v/>
      </c>
      <c r="C277" s="270">
        <f>IF('Оперативный ввод'!C277="","",'Оперативный ввод'!C277)</f>
        <v/>
      </c>
      <c r="D277" s="270">
        <f>IF('Оперативный ввод'!D277="","",'Оперативный ввод'!D277)</f>
        <v/>
      </c>
      <c r="E277" s="271">
        <f>IF(OR(C277="",D277=""),"",D277-C277)</f>
        <v/>
      </c>
      <c r="F277" s="172">
        <f>IF('Оперативный ввод'!F277="","",'Оперативный ввод'!F277)</f>
        <v/>
      </c>
      <c r="G277" s="172">
        <f>IF('Оперативный ввод'!G277="","",'Оперативный ввод'!G277)</f>
        <v/>
      </c>
      <c r="H277" s="172">
        <f>IF('Оперативный ввод'!H277="","",'Оперативный ввод'!H277)</f>
        <v/>
      </c>
      <c r="I277" s="172">
        <f>IF('Оперативный ввод'!I277="","",'Оперативный ввод'!I277)</f>
        <v/>
      </c>
      <c r="J277" s="172">
        <f>IF('Оперативный ввод'!J277="","",'Оперативный ввод'!J277)</f>
        <v/>
      </c>
      <c r="K277" s="172">
        <f>IF('Оперативный ввод'!K277="","",'Оперативный ввод'!K277)</f>
        <v/>
      </c>
      <c r="L277" s="172">
        <f>IF('Оперативный ввод'!L277="","",'Оперативный ввод'!L277)</f>
        <v/>
      </c>
      <c r="M277" s="172">
        <f>IF('Оперативный ввод'!M277="","",'Оперативный ввод'!M277)</f>
        <v/>
      </c>
      <c r="N277" s="172">
        <f>IF('Оперативный ввод'!N277="","",'Оперативный ввод'!N277)</f>
        <v/>
      </c>
      <c r="O277" s="172">
        <f>IF('Оперативный ввод'!O277="","",'Оперативный ввод'!O277)</f>
        <v/>
      </c>
      <c r="P277" s="205">
        <f>IF(AND(A277="",B277=""),"",IF(AND(A277&lt;&gt;"",B277&lt;&gt;"",C277&lt;&gt;"",D277&lt;&gt;"",F277&lt;&gt;"",G277&lt;&gt;"",H277&lt;&gt;"",ISERROR(SEARCH("по паспорту",G277)),ISERROR(SEARCH("по паспорту",H277)),I277&lt;&gt;"",J277&lt;&gt;"",K277&lt;&gt;"",L277&lt;&gt;"",M277&lt;&gt;""),"ГОТОВО","НЕ ГОТОВО"))</f>
        <v/>
      </c>
      <c r="Q277" s="205">
        <f>IF(P277&lt;&gt;"ГОТОВО","", "Предварительное заключение: "&amp;A277&amp;", скв. "&amp;B277&amp;". МРП: "&amp;E277&amp;" сут. ГНО: "&amp;F277&amp;", типоразмер "&amp;G277&amp;", марка "&amp;H277&amp;". Событие: "&amp;I277&amp;". Признак: "&amp;J277&amp;". Узел: "&amp;K277&amp;". Предварительная причина: "&amp;L277&amp;". Основное осложнение: "&amp;M277&amp;IF(N277&lt;&gt;"","; сопутствующее: "&amp;N277,"")&amp;IF(O277&lt;&gt;"","; дополнительно: "&amp;O277,"")&amp;".")</f>
        <v/>
      </c>
      <c r="R277" s="172">
        <f>IF('Оперативный ввод'!P277="","",'Оперативный ввод'!P277)</f>
        <v/>
      </c>
      <c r="S277" s="172">
        <f>IF('Оперативный ввод'!Q277="","",'Оперативный ввод'!Q277)</f>
        <v/>
      </c>
      <c r="T277" s="172">
        <f>IF('Оперативный ввод'!R277="","",'Оперативный ввод'!R277)</f>
        <v/>
      </c>
      <c r="U277" s="172">
        <f>IF('Оперативный ввод'!S277="","",'Оперативный ввод'!S277)</f>
        <v/>
      </c>
      <c r="V277" s="172">
        <f>IF('Оперативный ввод'!T277="","",'Оперативный ввод'!T277)</f>
        <v/>
      </c>
      <c r="W277" s="172" t="n"/>
      <c r="X277" s="172" t="n"/>
      <c r="Y277" s="172" t="n"/>
      <c r="Z277" s="172" t="n"/>
      <c r="AA277" s="172">
        <f>IF('Оперативный ввод'!U277="","",'Оперативный ввод'!U277)</f>
        <v/>
      </c>
      <c r="AB277" s="172">
        <f>IF('Оперативный ввод'!V277="","",'Оперативный ввод'!V277)</f>
        <v/>
      </c>
      <c r="AC277" s="172">
        <f>IF('Оперативный ввод'!W277="","",'Оперативный ввод'!W277)</f>
        <v/>
      </c>
      <c r="BB277" s="172" t="n"/>
      <c r="BC277" s="172" t="n"/>
      <c r="BD277" s="205">
        <f>IF(AND(A277="",B277=""),"",IF(AND(P277="ГОТОВО",R277&lt;&gt;"",T277&lt;&gt;"",U277&lt;&gt;"",AA277&lt;&gt;"",AB277&lt;&gt;"",AC277&lt;&gt;"",BB277&lt;&gt;"",BC277&lt;&gt;""),"ГОТОВО","НЕ ГОТОВО"))</f>
        <v/>
      </c>
      <c r="BE277" s="205">
        <f>IF(BD277&lt;&gt;"ГОТОВО","","Полное заключение: "&amp;A277&amp;", скв. "&amp;B277&amp;". МРП: "&amp;E277&amp;" сут. ГНО: "&amp;F277&amp;"; причина: "&amp;U277&amp;"; категория: "&amp;V277&amp;"; решение комиссии: "&amp;BB277&amp;".")</f>
        <v/>
      </c>
      <c r="BF277" s="173">
        <f>IF('Оперативный ввод'!X277="","",'Оперативный ввод'!X277)</f>
        <v/>
      </c>
    </row>
    <row r="278">
      <c r="A278" s="171">
        <f>IF('Оперативный ввод'!A278="","",'Оперативный ввод'!A278)</f>
        <v/>
      </c>
      <c r="B278" s="172">
        <f>IF('Оперативный ввод'!B278="","",'Оперативный ввод'!B278)</f>
        <v/>
      </c>
      <c r="C278" s="270">
        <f>IF('Оперативный ввод'!C278="","",'Оперативный ввод'!C278)</f>
        <v/>
      </c>
      <c r="D278" s="270">
        <f>IF('Оперативный ввод'!D278="","",'Оперативный ввод'!D278)</f>
        <v/>
      </c>
      <c r="E278" s="271">
        <f>IF(OR(C278="",D278=""),"",D278-C278)</f>
        <v/>
      </c>
      <c r="F278" s="172">
        <f>IF('Оперативный ввод'!F278="","",'Оперативный ввод'!F278)</f>
        <v/>
      </c>
      <c r="G278" s="172">
        <f>IF('Оперативный ввод'!G278="","",'Оперативный ввод'!G278)</f>
        <v/>
      </c>
      <c r="H278" s="172">
        <f>IF('Оперативный ввод'!H278="","",'Оперативный ввод'!H278)</f>
        <v/>
      </c>
      <c r="I278" s="172">
        <f>IF('Оперативный ввод'!I278="","",'Оперативный ввод'!I278)</f>
        <v/>
      </c>
      <c r="J278" s="172">
        <f>IF('Оперативный ввод'!J278="","",'Оперативный ввод'!J278)</f>
        <v/>
      </c>
      <c r="K278" s="172">
        <f>IF('Оперативный ввод'!K278="","",'Оперативный ввод'!K278)</f>
        <v/>
      </c>
      <c r="L278" s="172">
        <f>IF('Оперативный ввод'!L278="","",'Оперативный ввод'!L278)</f>
        <v/>
      </c>
      <c r="M278" s="172">
        <f>IF('Оперативный ввод'!M278="","",'Оперативный ввод'!M278)</f>
        <v/>
      </c>
      <c r="N278" s="172">
        <f>IF('Оперативный ввод'!N278="","",'Оперативный ввод'!N278)</f>
        <v/>
      </c>
      <c r="O278" s="172">
        <f>IF('Оперативный ввод'!O278="","",'Оперативный ввод'!O278)</f>
        <v/>
      </c>
      <c r="P278" s="205">
        <f>IF(AND(A278="",B278=""),"",IF(AND(A278&lt;&gt;"",B278&lt;&gt;"",C278&lt;&gt;"",D278&lt;&gt;"",F278&lt;&gt;"",G278&lt;&gt;"",H278&lt;&gt;"",ISERROR(SEARCH("по паспорту",G278)),ISERROR(SEARCH("по паспорту",H278)),I278&lt;&gt;"",J278&lt;&gt;"",K278&lt;&gt;"",L278&lt;&gt;"",M278&lt;&gt;""),"ГОТОВО","НЕ ГОТОВО"))</f>
        <v/>
      </c>
      <c r="Q278" s="205">
        <f>IF(P278&lt;&gt;"ГОТОВО","", "Предварительное заключение: "&amp;A278&amp;", скв. "&amp;B278&amp;". МРП: "&amp;E278&amp;" сут. ГНО: "&amp;F278&amp;", типоразмер "&amp;G278&amp;", марка "&amp;H278&amp;". Событие: "&amp;I278&amp;". Признак: "&amp;J278&amp;". Узел: "&amp;K278&amp;". Предварительная причина: "&amp;L278&amp;". Основное осложнение: "&amp;M278&amp;IF(N278&lt;&gt;"","; сопутствующее: "&amp;N278,"")&amp;IF(O278&lt;&gt;"","; дополнительно: "&amp;O278,"")&amp;".")</f>
        <v/>
      </c>
      <c r="R278" s="172">
        <f>IF('Оперативный ввод'!P278="","",'Оперативный ввод'!P278)</f>
        <v/>
      </c>
      <c r="S278" s="172">
        <f>IF('Оперативный ввод'!Q278="","",'Оперативный ввод'!Q278)</f>
        <v/>
      </c>
      <c r="T278" s="172">
        <f>IF('Оперативный ввод'!R278="","",'Оперативный ввод'!R278)</f>
        <v/>
      </c>
      <c r="U278" s="172">
        <f>IF('Оперативный ввод'!S278="","",'Оперативный ввод'!S278)</f>
        <v/>
      </c>
      <c r="V278" s="172">
        <f>IF('Оперативный ввод'!T278="","",'Оперативный ввод'!T278)</f>
        <v/>
      </c>
      <c r="W278" s="172" t="n"/>
      <c r="X278" s="172" t="n"/>
      <c r="Y278" s="172" t="n"/>
      <c r="Z278" s="172" t="n"/>
      <c r="AA278" s="172">
        <f>IF('Оперативный ввод'!U278="","",'Оперативный ввод'!U278)</f>
        <v/>
      </c>
      <c r="AB278" s="172">
        <f>IF('Оперативный ввод'!V278="","",'Оперативный ввод'!V278)</f>
        <v/>
      </c>
      <c r="AC278" s="172">
        <f>IF('Оперативный ввод'!W278="","",'Оперативный ввод'!W278)</f>
        <v/>
      </c>
      <c r="BB278" s="172" t="n"/>
      <c r="BC278" s="172" t="n"/>
      <c r="BD278" s="205">
        <f>IF(AND(A278="",B278=""),"",IF(AND(P278="ГОТОВО",R278&lt;&gt;"",T278&lt;&gt;"",U278&lt;&gt;"",AA278&lt;&gt;"",AB278&lt;&gt;"",AC278&lt;&gt;"",BB278&lt;&gt;"",BC278&lt;&gt;""),"ГОТОВО","НЕ ГОТОВО"))</f>
        <v/>
      </c>
      <c r="BE278" s="205">
        <f>IF(BD278&lt;&gt;"ГОТОВО","","Полное заключение: "&amp;A278&amp;", скв. "&amp;B278&amp;". МРП: "&amp;E278&amp;" сут. ГНО: "&amp;F278&amp;"; причина: "&amp;U278&amp;"; категория: "&amp;V278&amp;"; решение комиссии: "&amp;BB278&amp;".")</f>
        <v/>
      </c>
      <c r="BF278" s="173">
        <f>IF('Оперативный ввод'!X278="","",'Оперативный ввод'!X278)</f>
        <v/>
      </c>
    </row>
    <row r="279">
      <c r="A279" s="171">
        <f>IF('Оперативный ввод'!A279="","",'Оперативный ввод'!A279)</f>
        <v/>
      </c>
      <c r="B279" s="172">
        <f>IF('Оперативный ввод'!B279="","",'Оперативный ввод'!B279)</f>
        <v/>
      </c>
      <c r="C279" s="270">
        <f>IF('Оперативный ввод'!C279="","",'Оперативный ввод'!C279)</f>
        <v/>
      </c>
      <c r="D279" s="270">
        <f>IF('Оперативный ввод'!D279="","",'Оперативный ввод'!D279)</f>
        <v/>
      </c>
      <c r="E279" s="271">
        <f>IF(OR(C279="",D279=""),"",D279-C279)</f>
        <v/>
      </c>
      <c r="F279" s="172">
        <f>IF('Оперативный ввод'!F279="","",'Оперативный ввод'!F279)</f>
        <v/>
      </c>
      <c r="G279" s="172">
        <f>IF('Оперативный ввод'!G279="","",'Оперативный ввод'!G279)</f>
        <v/>
      </c>
      <c r="H279" s="172">
        <f>IF('Оперативный ввод'!H279="","",'Оперативный ввод'!H279)</f>
        <v/>
      </c>
      <c r="I279" s="172">
        <f>IF('Оперативный ввод'!I279="","",'Оперативный ввод'!I279)</f>
        <v/>
      </c>
      <c r="J279" s="172">
        <f>IF('Оперативный ввод'!J279="","",'Оперативный ввод'!J279)</f>
        <v/>
      </c>
      <c r="K279" s="172">
        <f>IF('Оперативный ввод'!K279="","",'Оперативный ввод'!K279)</f>
        <v/>
      </c>
      <c r="L279" s="172">
        <f>IF('Оперативный ввод'!L279="","",'Оперативный ввод'!L279)</f>
        <v/>
      </c>
      <c r="M279" s="172">
        <f>IF('Оперативный ввод'!M279="","",'Оперативный ввод'!M279)</f>
        <v/>
      </c>
      <c r="N279" s="172">
        <f>IF('Оперативный ввод'!N279="","",'Оперативный ввод'!N279)</f>
        <v/>
      </c>
      <c r="O279" s="172">
        <f>IF('Оперативный ввод'!O279="","",'Оперативный ввод'!O279)</f>
        <v/>
      </c>
      <c r="P279" s="205">
        <f>IF(AND(A279="",B279=""),"",IF(AND(A279&lt;&gt;"",B279&lt;&gt;"",C279&lt;&gt;"",D279&lt;&gt;"",F279&lt;&gt;"",G279&lt;&gt;"",H279&lt;&gt;"",ISERROR(SEARCH("по паспорту",G279)),ISERROR(SEARCH("по паспорту",H279)),I279&lt;&gt;"",J279&lt;&gt;"",K279&lt;&gt;"",L279&lt;&gt;"",M279&lt;&gt;""),"ГОТОВО","НЕ ГОТОВО"))</f>
        <v/>
      </c>
      <c r="Q279" s="205">
        <f>IF(P279&lt;&gt;"ГОТОВО","", "Предварительное заключение: "&amp;A279&amp;", скв. "&amp;B279&amp;". МРП: "&amp;E279&amp;" сут. ГНО: "&amp;F279&amp;", типоразмер "&amp;G279&amp;", марка "&amp;H279&amp;". Событие: "&amp;I279&amp;". Признак: "&amp;J279&amp;". Узел: "&amp;K279&amp;". Предварительная причина: "&amp;L279&amp;". Основное осложнение: "&amp;M279&amp;IF(N279&lt;&gt;"","; сопутствующее: "&amp;N279,"")&amp;IF(O279&lt;&gt;"","; дополнительно: "&amp;O279,"")&amp;".")</f>
        <v/>
      </c>
      <c r="R279" s="172">
        <f>IF('Оперативный ввод'!P279="","",'Оперативный ввод'!P279)</f>
        <v/>
      </c>
      <c r="S279" s="172">
        <f>IF('Оперативный ввод'!Q279="","",'Оперативный ввод'!Q279)</f>
        <v/>
      </c>
      <c r="T279" s="172">
        <f>IF('Оперативный ввод'!R279="","",'Оперативный ввод'!R279)</f>
        <v/>
      </c>
      <c r="U279" s="172">
        <f>IF('Оперативный ввод'!S279="","",'Оперативный ввод'!S279)</f>
        <v/>
      </c>
      <c r="V279" s="172">
        <f>IF('Оперативный ввод'!T279="","",'Оперативный ввод'!T279)</f>
        <v/>
      </c>
      <c r="W279" s="172" t="n"/>
      <c r="X279" s="172" t="n"/>
      <c r="Y279" s="172" t="n"/>
      <c r="Z279" s="172" t="n"/>
      <c r="AA279" s="172">
        <f>IF('Оперативный ввод'!U279="","",'Оперативный ввод'!U279)</f>
        <v/>
      </c>
      <c r="AB279" s="172">
        <f>IF('Оперативный ввод'!V279="","",'Оперативный ввод'!V279)</f>
        <v/>
      </c>
      <c r="AC279" s="172">
        <f>IF('Оперативный ввод'!W279="","",'Оперативный ввод'!W279)</f>
        <v/>
      </c>
      <c r="BB279" s="172" t="n"/>
      <c r="BC279" s="172" t="n"/>
      <c r="BD279" s="205">
        <f>IF(AND(A279="",B279=""),"",IF(AND(P279="ГОТОВО",R279&lt;&gt;"",T279&lt;&gt;"",U279&lt;&gt;"",AA279&lt;&gt;"",AB279&lt;&gt;"",AC279&lt;&gt;"",BB279&lt;&gt;"",BC279&lt;&gt;""),"ГОТОВО","НЕ ГОТОВО"))</f>
        <v/>
      </c>
      <c r="BE279" s="205">
        <f>IF(BD279&lt;&gt;"ГОТОВО","","Полное заключение: "&amp;A279&amp;", скв. "&amp;B279&amp;". МРП: "&amp;E279&amp;" сут. ГНО: "&amp;F279&amp;"; причина: "&amp;U279&amp;"; категория: "&amp;V279&amp;"; решение комиссии: "&amp;BB279&amp;".")</f>
        <v/>
      </c>
      <c r="BF279" s="173">
        <f>IF('Оперативный ввод'!X279="","",'Оперативный ввод'!X279)</f>
        <v/>
      </c>
    </row>
    <row r="280">
      <c r="A280" s="171">
        <f>IF('Оперативный ввод'!A280="","",'Оперативный ввод'!A280)</f>
        <v/>
      </c>
      <c r="B280" s="172">
        <f>IF('Оперативный ввод'!B280="","",'Оперативный ввод'!B280)</f>
        <v/>
      </c>
      <c r="C280" s="270">
        <f>IF('Оперативный ввод'!C280="","",'Оперативный ввод'!C280)</f>
        <v/>
      </c>
      <c r="D280" s="270">
        <f>IF('Оперативный ввод'!D280="","",'Оперативный ввод'!D280)</f>
        <v/>
      </c>
      <c r="E280" s="271">
        <f>IF(OR(C280="",D280=""),"",D280-C280)</f>
        <v/>
      </c>
      <c r="F280" s="172">
        <f>IF('Оперативный ввод'!F280="","",'Оперативный ввод'!F280)</f>
        <v/>
      </c>
      <c r="G280" s="172">
        <f>IF('Оперативный ввод'!G280="","",'Оперативный ввод'!G280)</f>
        <v/>
      </c>
      <c r="H280" s="172">
        <f>IF('Оперативный ввод'!H280="","",'Оперативный ввод'!H280)</f>
        <v/>
      </c>
      <c r="I280" s="172">
        <f>IF('Оперативный ввод'!I280="","",'Оперативный ввод'!I280)</f>
        <v/>
      </c>
      <c r="J280" s="172">
        <f>IF('Оперативный ввод'!J280="","",'Оперативный ввод'!J280)</f>
        <v/>
      </c>
      <c r="K280" s="172">
        <f>IF('Оперативный ввод'!K280="","",'Оперативный ввод'!K280)</f>
        <v/>
      </c>
      <c r="L280" s="172">
        <f>IF('Оперативный ввод'!L280="","",'Оперативный ввод'!L280)</f>
        <v/>
      </c>
      <c r="M280" s="172">
        <f>IF('Оперативный ввод'!M280="","",'Оперативный ввод'!M280)</f>
        <v/>
      </c>
      <c r="N280" s="172">
        <f>IF('Оперативный ввод'!N280="","",'Оперативный ввод'!N280)</f>
        <v/>
      </c>
      <c r="O280" s="172">
        <f>IF('Оперативный ввод'!O280="","",'Оперативный ввод'!O280)</f>
        <v/>
      </c>
      <c r="P280" s="205">
        <f>IF(AND(A280="",B280=""),"",IF(AND(A280&lt;&gt;"",B280&lt;&gt;"",C280&lt;&gt;"",D280&lt;&gt;"",F280&lt;&gt;"",G280&lt;&gt;"",H280&lt;&gt;"",ISERROR(SEARCH("по паспорту",G280)),ISERROR(SEARCH("по паспорту",H280)),I280&lt;&gt;"",J280&lt;&gt;"",K280&lt;&gt;"",L280&lt;&gt;"",M280&lt;&gt;""),"ГОТОВО","НЕ ГОТОВО"))</f>
        <v/>
      </c>
      <c r="Q280" s="205">
        <f>IF(P280&lt;&gt;"ГОТОВО","", "Предварительное заключение: "&amp;A280&amp;", скв. "&amp;B280&amp;". МРП: "&amp;E280&amp;" сут. ГНО: "&amp;F280&amp;", типоразмер "&amp;G280&amp;", марка "&amp;H280&amp;". Событие: "&amp;I280&amp;". Признак: "&amp;J280&amp;". Узел: "&amp;K280&amp;". Предварительная причина: "&amp;L280&amp;". Основное осложнение: "&amp;M280&amp;IF(N280&lt;&gt;"","; сопутствующее: "&amp;N280,"")&amp;IF(O280&lt;&gt;"","; дополнительно: "&amp;O280,"")&amp;".")</f>
        <v/>
      </c>
      <c r="R280" s="172">
        <f>IF('Оперативный ввод'!P280="","",'Оперативный ввод'!P280)</f>
        <v/>
      </c>
      <c r="S280" s="172">
        <f>IF('Оперативный ввод'!Q280="","",'Оперативный ввод'!Q280)</f>
        <v/>
      </c>
      <c r="T280" s="172">
        <f>IF('Оперативный ввод'!R280="","",'Оперативный ввод'!R280)</f>
        <v/>
      </c>
      <c r="U280" s="172">
        <f>IF('Оперативный ввод'!S280="","",'Оперативный ввод'!S280)</f>
        <v/>
      </c>
      <c r="V280" s="172">
        <f>IF('Оперативный ввод'!T280="","",'Оперативный ввод'!T280)</f>
        <v/>
      </c>
      <c r="W280" s="172" t="n"/>
      <c r="X280" s="172" t="n"/>
      <c r="Y280" s="172" t="n"/>
      <c r="Z280" s="172" t="n"/>
      <c r="AA280" s="172">
        <f>IF('Оперативный ввод'!U280="","",'Оперативный ввод'!U280)</f>
        <v/>
      </c>
      <c r="AB280" s="172">
        <f>IF('Оперативный ввод'!V280="","",'Оперативный ввод'!V280)</f>
        <v/>
      </c>
      <c r="AC280" s="172">
        <f>IF('Оперативный ввод'!W280="","",'Оперативный ввод'!W280)</f>
        <v/>
      </c>
      <c r="BB280" s="172" t="n"/>
      <c r="BC280" s="172" t="n"/>
      <c r="BD280" s="205">
        <f>IF(AND(A280="",B280=""),"",IF(AND(P280="ГОТОВО",R280&lt;&gt;"",T280&lt;&gt;"",U280&lt;&gt;"",AA280&lt;&gt;"",AB280&lt;&gt;"",AC280&lt;&gt;"",BB280&lt;&gt;"",BC280&lt;&gt;""),"ГОТОВО","НЕ ГОТОВО"))</f>
        <v/>
      </c>
      <c r="BE280" s="205">
        <f>IF(BD280&lt;&gt;"ГОТОВО","","Полное заключение: "&amp;A280&amp;", скв. "&amp;B280&amp;". МРП: "&amp;E280&amp;" сут. ГНО: "&amp;F280&amp;"; причина: "&amp;U280&amp;"; категория: "&amp;V280&amp;"; решение комиссии: "&amp;BB280&amp;".")</f>
        <v/>
      </c>
      <c r="BF280" s="173">
        <f>IF('Оперативный ввод'!X280="","",'Оперативный ввод'!X280)</f>
        <v/>
      </c>
    </row>
    <row r="281">
      <c r="A281" s="171">
        <f>IF('Оперативный ввод'!A281="","",'Оперативный ввод'!A281)</f>
        <v/>
      </c>
      <c r="B281" s="172">
        <f>IF('Оперативный ввод'!B281="","",'Оперативный ввод'!B281)</f>
        <v/>
      </c>
      <c r="C281" s="270">
        <f>IF('Оперативный ввод'!C281="","",'Оперативный ввод'!C281)</f>
        <v/>
      </c>
      <c r="D281" s="270">
        <f>IF('Оперативный ввод'!D281="","",'Оперативный ввод'!D281)</f>
        <v/>
      </c>
      <c r="E281" s="271">
        <f>IF(OR(C281="",D281=""),"",D281-C281)</f>
        <v/>
      </c>
      <c r="F281" s="172">
        <f>IF('Оперативный ввод'!F281="","",'Оперативный ввод'!F281)</f>
        <v/>
      </c>
      <c r="G281" s="172">
        <f>IF('Оперативный ввод'!G281="","",'Оперативный ввод'!G281)</f>
        <v/>
      </c>
      <c r="H281" s="172">
        <f>IF('Оперативный ввод'!H281="","",'Оперативный ввод'!H281)</f>
        <v/>
      </c>
      <c r="I281" s="172">
        <f>IF('Оперативный ввод'!I281="","",'Оперативный ввод'!I281)</f>
        <v/>
      </c>
      <c r="J281" s="172">
        <f>IF('Оперативный ввод'!J281="","",'Оперативный ввод'!J281)</f>
        <v/>
      </c>
      <c r="K281" s="172">
        <f>IF('Оперативный ввод'!K281="","",'Оперативный ввод'!K281)</f>
        <v/>
      </c>
      <c r="L281" s="172">
        <f>IF('Оперативный ввод'!L281="","",'Оперативный ввод'!L281)</f>
        <v/>
      </c>
      <c r="M281" s="172">
        <f>IF('Оперативный ввод'!M281="","",'Оперативный ввод'!M281)</f>
        <v/>
      </c>
      <c r="N281" s="172">
        <f>IF('Оперативный ввод'!N281="","",'Оперативный ввод'!N281)</f>
        <v/>
      </c>
      <c r="O281" s="172">
        <f>IF('Оперативный ввод'!O281="","",'Оперативный ввод'!O281)</f>
        <v/>
      </c>
      <c r="P281" s="205">
        <f>IF(AND(A281="",B281=""),"",IF(AND(A281&lt;&gt;"",B281&lt;&gt;"",C281&lt;&gt;"",D281&lt;&gt;"",F281&lt;&gt;"",G281&lt;&gt;"",H281&lt;&gt;"",ISERROR(SEARCH("по паспорту",G281)),ISERROR(SEARCH("по паспорту",H281)),I281&lt;&gt;"",J281&lt;&gt;"",K281&lt;&gt;"",L281&lt;&gt;"",M281&lt;&gt;""),"ГОТОВО","НЕ ГОТОВО"))</f>
        <v/>
      </c>
      <c r="Q281" s="205">
        <f>IF(P281&lt;&gt;"ГОТОВО","", "Предварительное заключение: "&amp;A281&amp;", скв. "&amp;B281&amp;". МРП: "&amp;E281&amp;" сут. ГНО: "&amp;F281&amp;", типоразмер "&amp;G281&amp;", марка "&amp;H281&amp;". Событие: "&amp;I281&amp;". Признак: "&amp;J281&amp;". Узел: "&amp;K281&amp;". Предварительная причина: "&amp;L281&amp;". Основное осложнение: "&amp;M281&amp;IF(N281&lt;&gt;"","; сопутствующее: "&amp;N281,"")&amp;IF(O281&lt;&gt;"","; дополнительно: "&amp;O281,"")&amp;".")</f>
        <v/>
      </c>
      <c r="R281" s="172">
        <f>IF('Оперативный ввод'!P281="","",'Оперативный ввод'!P281)</f>
        <v/>
      </c>
      <c r="S281" s="172">
        <f>IF('Оперативный ввод'!Q281="","",'Оперативный ввод'!Q281)</f>
        <v/>
      </c>
      <c r="T281" s="172">
        <f>IF('Оперативный ввод'!R281="","",'Оперативный ввод'!R281)</f>
        <v/>
      </c>
      <c r="U281" s="172">
        <f>IF('Оперативный ввод'!S281="","",'Оперативный ввод'!S281)</f>
        <v/>
      </c>
      <c r="V281" s="172">
        <f>IF('Оперативный ввод'!T281="","",'Оперативный ввод'!T281)</f>
        <v/>
      </c>
      <c r="W281" s="172" t="n"/>
      <c r="X281" s="172" t="n"/>
      <c r="Y281" s="172" t="n"/>
      <c r="Z281" s="172" t="n"/>
      <c r="AA281" s="172">
        <f>IF('Оперативный ввод'!U281="","",'Оперативный ввод'!U281)</f>
        <v/>
      </c>
      <c r="AB281" s="172">
        <f>IF('Оперативный ввод'!V281="","",'Оперативный ввод'!V281)</f>
        <v/>
      </c>
      <c r="AC281" s="172">
        <f>IF('Оперативный ввод'!W281="","",'Оперативный ввод'!W281)</f>
        <v/>
      </c>
      <c r="BB281" s="172" t="n"/>
      <c r="BC281" s="172" t="n"/>
      <c r="BD281" s="205">
        <f>IF(AND(A281="",B281=""),"",IF(AND(P281="ГОТОВО",R281&lt;&gt;"",T281&lt;&gt;"",U281&lt;&gt;"",AA281&lt;&gt;"",AB281&lt;&gt;"",AC281&lt;&gt;"",BB281&lt;&gt;"",BC281&lt;&gt;""),"ГОТОВО","НЕ ГОТОВО"))</f>
        <v/>
      </c>
      <c r="BE281" s="205">
        <f>IF(BD281&lt;&gt;"ГОТОВО","","Полное заключение: "&amp;A281&amp;", скв. "&amp;B281&amp;". МРП: "&amp;E281&amp;" сут. ГНО: "&amp;F281&amp;"; причина: "&amp;U281&amp;"; категория: "&amp;V281&amp;"; решение комиссии: "&amp;BB281&amp;".")</f>
        <v/>
      </c>
      <c r="BF281" s="173">
        <f>IF('Оперативный ввод'!X281="","",'Оперативный ввод'!X281)</f>
        <v/>
      </c>
    </row>
    <row r="282">
      <c r="A282" s="171">
        <f>IF('Оперативный ввод'!A282="","",'Оперативный ввод'!A282)</f>
        <v/>
      </c>
      <c r="B282" s="172">
        <f>IF('Оперативный ввод'!B282="","",'Оперативный ввод'!B282)</f>
        <v/>
      </c>
      <c r="C282" s="270">
        <f>IF('Оперативный ввод'!C282="","",'Оперативный ввод'!C282)</f>
        <v/>
      </c>
      <c r="D282" s="270">
        <f>IF('Оперативный ввод'!D282="","",'Оперативный ввод'!D282)</f>
        <v/>
      </c>
      <c r="E282" s="271">
        <f>IF(OR(C282="",D282=""),"",D282-C282)</f>
        <v/>
      </c>
      <c r="F282" s="172">
        <f>IF('Оперативный ввод'!F282="","",'Оперативный ввод'!F282)</f>
        <v/>
      </c>
      <c r="G282" s="172">
        <f>IF('Оперативный ввод'!G282="","",'Оперативный ввод'!G282)</f>
        <v/>
      </c>
      <c r="H282" s="172">
        <f>IF('Оперативный ввод'!H282="","",'Оперативный ввод'!H282)</f>
        <v/>
      </c>
      <c r="I282" s="172">
        <f>IF('Оперативный ввод'!I282="","",'Оперативный ввод'!I282)</f>
        <v/>
      </c>
      <c r="J282" s="172">
        <f>IF('Оперативный ввод'!J282="","",'Оперативный ввод'!J282)</f>
        <v/>
      </c>
      <c r="K282" s="172">
        <f>IF('Оперативный ввод'!K282="","",'Оперативный ввод'!K282)</f>
        <v/>
      </c>
      <c r="L282" s="172">
        <f>IF('Оперативный ввод'!L282="","",'Оперативный ввод'!L282)</f>
        <v/>
      </c>
      <c r="M282" s="172">
        <f>IF('Оперативный ввод'!M282="","",'Оперативный ввод'!M282)</f>
        <v/>
      </c>
      <c r="N282" s="172">
        <f>IF('Оперативный ввод'!N282="","",'Оперативный ввод'!N282)</f>
        <v/>
      </c>
      <c r="O282" s="172">
        <f>IF('Оперативный ввод'!O282="","",'Оперативный ввод'!O282)</f>
        <v/>
      </c>
      <c r="P282" s="205">
        <f>IF(AND(A282="",B282=""),"",IF(AND(A282&lt;&gt;"",B282&lt;&gt;"",C282&lt;&gt;"",D282&lt;&gt;"",F282&lt;&gt;"",G282&lt;&gt;"",H282&lt;&gt;"",ISERROR(SEARCH("по паспорту",G282)),ISERROR(SEARCH("по паспорту",H282)),I282&lt;&gt;"",J282&lt;&gt;"",K282&lt;&gt;"",L282&lt;&gt;"",M282&lt;&gt;""),"ГОТОВО","НЕ ГОТОВО"))</f>
        <v/>
      </c>
      <c r="Q282" s="205">
        <f>IF(P282&lt;&gt;"ГОТОВО","", "Предварительное заключение: "&amp;A282&amp;", скв. "&amp;B282&amp;". МРП: "&amp;E282&amp;" сут. ГНО: "&amp;F282&amp;", типоразмер "&amp;G282&amp;", марка "&amp;H282&amp;". Событие: "&amp;I282&amp;". Признак: "&amp;J282&amp;". Узел: "&amp;K282&amp;". Предварительная причина: "&amp;L282&amp;". Основное осложнение: "&amp;M282&amp;IF(N282&lt;&gt;"","; сопутствующее: "&amp;N282,"")&amp;IF(O282&lt;&gt;"","; дополнительно: "&amp;O282,"")&amp;".")</f>
        <v/>
      </c>
      <c r="R282" s="172">
        <f>IF('Оперативный ввод'!P282="","",'Оперативный ввод'!P282)</f>
        <v/>
      </c>
      <c r="S282" s="172">
        <f>IF('Оперативный ввод'!Q282="","",'Оперативный ввод'!Q282)</f>
        <v/>
      </c>
      <c r="T282" s="172">
        <f>IF('Оперативный ввод'!R282="","",'Оперативный ввод'!R282)</f>
        <v/>
      </c>
      <c r="U282" s="172">
        <f>IF('Оперативный ввод'!S282="","",'Оперативный ввод'!S282)</f>
        <v/>
      </c>
      <c r="V282" s="172">
        <f>IF('Оперативный ввод'!T282="","",'Оперативный ввод'!T282)</f>
        <v/>
      </c>
      <c r="W282" s="172" t="n"/>
      <c r="X282" s="172" t="n"/>
      <c r="Y282" s="172" t="n"/>
      <c r="Z282" s="172" t="n"/>
      <c r="AA282" s="172">
        <f>IF('Оперативный ввод'!U282="","",'Оперативный ввод'!U282)</f>
        <v/>
      </c>
      <c r="AB282" s="172">
        <f>IF('Оперативный ввод'!V282="","",'Оперативный ввод'!V282)</f>
        <v/>
      </c>
      <c r="AC282" s="172">
        <f>IF('Оперативный ввод'!W282="","",'Оперативный ввод'!W282)</f>
        <v/>
      </c>
      <c r="BB282" s="172" t="n"/>
      <c r="BC282" s="172" t="n"/>
      <c r="BD282" s="205">
        <f>IF(AND(A282="",B282=""),"",IF(AND(P282="ГОТОВО",R282&lt;&gt;"",T282&lt;&gt;"",U282&lt;&gt;"",AA282&lt;&gt;"",AB282&lt;&gt;"",AC282&lt;&gt;"",BB282&lt;&gt;"",BC282&lt;&gt;""),"ГОТОВО","НЕ ГОТОВО"))</f>
        <v/>
      </c>
      <c r="BE282" s="205">
        <f>IF(BD282&lt;&gt;"ГОТОВО","","Полное заключение: "&amp;A282&amp;", скв. "&amp;B282&amp;". МРП: "&amp;E282&amp;" сут. ГНО: "&amp;F282&amp;"; причина: "&amp;U282&amp;"; категория: "&amp;V282&amp;"; решение комиссии: "&amp;BB282&amp;".")</f>
        <v/>
      </c>
      <c r="BF282" s="173">
        <f>IF('Оперативный ввод'!X282="","",'Оперативный ввод'!X282)</f>
        <v/>
      </c>
    </row>
    <row r="283">
      <c r="A283" s="171">
        <f>IF('Оперативный ввод'!A283="","",'Оперативный ввод'!A283)</f>
        <v/>
      </c>
      <c r="B283" s="172">
        <f>IF('Оперативный ввод'!B283="","",'Оперативный ввод'!B283)</f>
        <v/>
      </c>
      <c r="C283" s="270">
        <f>IF('Оперативный ввод'!C283="","",'Оперативный ввод'!C283)</f>
        <v/>
      </c>
      <c r="D283" s="270">
        <f>IF('Оперативный ввод'!D283="","",'Оперативный ввод'!D283)</f>
        <v/>
      </c>
      <c r="E283" s="271">
        <f>IF(OR(C283="",D283=""),"",D283-C283)</f>
        <v/>
      </c>
      <c r="F283" s="172">
        <f>IF('Оперативный ввод'!F283="","",'Оперативный ввод'!F283)</f>
        <v/>
      </c>
      <c r="G283" s="172">
        <f>IF('Оперативный ввод'!G283="","",'Оперативный ввод'!G283)</f>
        <v/>
      </c>
      <c r="H283" s="172">
        <f>IF('Оперативный ввод'!H283="","",'Оперативный ввод'!H283)</f>
        <v/>
      </c>
      <c r="I283" s="172">
        <f>IF('Оперативный ввод'!I283="","",'Оперативный ввод'!I283)</f>
        <v/>
      </c>
      <c r="J283" s="172">
        <f>IF('Оперативный ввод'!J283="","",'Оперативный ввод'!J283)</f>
        <v/>
      </c>
      <c r="K283" s="172">
        <f>IF('Оперативный ввод'!K283="","",'Оперативный ввод'!K283)</f>
        <v/>
      </c>
      <c r="L283" s="172">
        <f>IF('Оперативный ввод'!L283="","",'Оперативный ввод'!L283)</f>
        <v/>
      </c>
      <c r="M283" s="172">
        <f>IF('Оперативный ввод'!M283="","",'Оперативный ввод'!M283)</f>
        <v/>
      </c>
      <c r="N283" s="172">
        <f>IF('Оперативный ввод'!N283="","",'Оперативный ввод'!N283)</f>
        <v/>
      </c>
      <c r="O283" s="172">
        <f>IF('Оперативный ввод'!O283="","",'Оперативный ввод'!O283)</f>
        <v/>
      </c>
      <c r="P283" s="205">
        <f>IF(AND(A283="",B283=""),"",IF(AND(A283&lt;&gt;"",B283&lt;&gt;"",C283&lt;&gt;"",D283&lt;&gt;"",F283&lt;&gt;"",G283&lt;&gt;"",H283&lt;&gt;"",ISERROR(SEARCH("по паспорту",G283)),ISERROR(SEARCH("по паспорту",H283)),I283&lt;&gt;"",J283&lt;&gt;"",K283&lt;&gt;"",L283&lt;&gt;"",M283&lt;&gt;""),"ГОТОВО","НЕ ГОТОВО"))</f>
        <v/>
      </c>
      <c r="Q283" s="205">
        <f>IF(P283&lt;&gt;"ГОТОВО","", "Предварительное заключение: "&amp;A283&amp;", скв. "&amp;B283&amp;". МРП: "&amp;E283&amp;" сут. ГНО: "&amp;F283&amp;", типоразмер "&amp;G283&amp;", марка "&amp;H283&amp;". Событие: "&amp;I283&amp;". Признак: "&amp;J283&amp;". Узел: "&amp;K283&amp;". Предварительная причина: "&amp;L283&amp;". Основное осложнение: "&amp;M283&amp;IF(N283&lt;&gt;"","; сопутствующее: "&amp;N283,"")&amp;IF(O283&lt;&gt;"","; дополнительно: "&amp;O283,"")&amp;".")</f>
        <v/>
      </c>
      <c r="R283" s="172">
        <f>IF('Оперативный ввод'!P283="","",'Оперативный ввод'!P283)</f>
        <v/>
      </c>
      <c r="S283" s="172">
        <f>IF('Оперативный ввод'!Q283="","",'Оперативный ввод'!Q283)</f>
        <v/>
      </c>
      <c r="T283" s="172">
        <f>IF('Оперативный ввод'!R283="","",'Оперативный ввод'!R283)</f>
        <v/>
      </c>
      <c r="U283" s="172">
        <f>IF('Оперативный ввод'!S283="","",'Оперативный ввод'!S283)</f>
        <v/>
      </c>
      <c r="V283" s="172">
        <f>IF('Оперативный ввод'!T283="","",'Оперативный ввод'!T283)</f>
        <v/>
      </c>
      <c r="W283" s="172" t="n"/>
      <c r="X283" s="172" t="n"/>
      <c r="Y283" s="172" t="n"/>
      <c r="Z283" s="172" t="n"/>
      <c r="AA283" s="172">
        <f>IF('Оперативный ввод'!U283="","",'Оперативный ввод'!U283)</f>
        <v/>
      </c>
      <c r="AB283" s="172">
        <f>IF('Оперативный ввод'!V283="","",'Оперативный ввод'!V283)</f>
        <v/>
      </c>
      <c r="AC283" s="172">
        <f>IF('Оперативный ввод'!W283="","",'Оперативный ввод'!W283)</f>
        <v/>
      </c>
      <c r="BB283" s="172" t="n"/>
      <c r="BC283" s="172" t="n"/>
      <c r="BD283" s="205">
        <f>IF(AND(A283="",B283=""),"",IF(AND(P283="ГОТОВО",R283&lt;&gt;"",T283&lt;&gt;"",U283&lt;&gt;"",AA283&lt;&gt;"",AB283&lt;&gt;"",AC283&lt;&gt;"",BB283&lt;&gt;"",BC283&lt;&gt;""),"ГОТОВО","НЕ ГОТОВО"))</f>
        <v/>
      </c>
      <c r="BE283" s="205">
        <f>IF(BD283&lt;&gt;"ГОТОВО","","Полное заключение: "&amp;A283&amp;", скв. "&amp;B283&amp;". МРП: "&amp;E283&amp;" сут. ГНО: "&amp;F283&amp;"; причина: "&amp;U283&amp;"; категория: "&amp;V283&amp;"; решение комиссии: "&amp;BB283&amp;".")</f>
        <v/>
      </c>
      <c r="BF283" s="173">
        <f>IF('Оперативный ввод'!X283="","",'Оперативный ввод'!X283)</f>
        <v/>
      </c>
    </row>
    <row r="284">
      <c r="A284" s="171">
        <f>IF('Оперативный ввод'!A284="","",'Оперативный ввод'!A284)</f>
        <v/>
      </c>
      <c r="B284" s="172">
        <f>IF('Оперативный ввод'!B284="","",'Оперативный ввод'!B284)</f>
        <v/>
      </c>
      <c r="C284" s="270">
        <f>IF('Оперативный ввод'!C284="","",'Оперативный ввод'!C284)</f>
        <v/>
      </c>
      <c r="D284" s="270">
        <f>IF('Оперативный ввод'!D284="","",'Оперативный ввод'!D284)</f>
        <v/>
      </c>
      <c r="E284" s="271">
        <f>IF(OR(C284="",D284=""),"",D284-C284)</f>
        <v/>
      </c>
      <c r="F284" s="172">
        <f>IF('Оперативный ввод'!F284="","",'Оперативный ввод'!F284)</f>
        <v/>
      </c>
      <c r="G284" s="172">
        <f>IF('Оперативный ввод'!G284="","",'Оперативный ввод'!G284)</f>
        <v/>
      </c>
      <c r="H284" s="172">
        <f>IF('Оперативный ввод'!H284="","",'Оперативный ввод'!H284)</f>
        <v/>
      </c>
      <c r="I284" s="172">
        <f>IF('Оперативный ввод'!I284="","",'Оперативный ввод'!I284)</f>
        <v/>
      </c>
      <c r="J284" s="172">
        <f>IF('Оперативный ввод'!J284="","",'Оперативный ввод'!J284)</f>
        <v/>
      </c>
      <c r="K284" s="172">
        <f>IF('Оперативный ввод'!K284="","",'Оперативный ввод'!K284)</f>
        <v/>
      </c>
      <c r="L284" s="172">
        <f>IF('Оперативный ввод'!L284="","",'Оперативный ввод'!L284)</f>
        <v/>
      </c>
      <c r="M284" s="172">
        <f>IF('Оперативный ввод'!M284="","",'Оперативный ввод'!M284)</f>
        <v/>
      </c>
      <c r="N284" s="172">
        <f>IF('Оперативный ввод'!N284="","",'Оперативный ввод'!N284)</f>
        <v/>
      </c>
      <c r="O284" s="172">
        <f>IF('Оперативный ввод'!O284="","",'Оперативный ввод'!O284)</f>
        <v/>
      </c>
      <c r="P284" s="205">
        <f>IF(AND(A284="",B284=""),"",IF(AND(A284&lt;&gt;"",B284&lt;&gt;"",C284&lt;&gt;"",D284&lt;&gt;"",F284&lt;&gt;"",G284&lt;&gt;"",H284&lt;&gt;"",ISERROR(SEARCH("по паспорту",G284)),ISERROR(SEARCH("по паспорту",H284)),I284&lt;&gt;"",J284&lt;&gt;"",K284&lt;&gt;"",L284&lt;&gt;"",M284&lt;&gt;""),"ГОТОВО","НЕ ГОТОВО"))</f>
        <v/>
      </c>
      <c r="Q284" s="205">
        <f>IF(P284&lt;&gt;"ГОТОВО","", "Предварительное заключение: "&amp;A284&amp;", скв. "&amp;B284&amp;". МРП: "&amp;E284&amp;" сут. ГНО: "&amp;F284&amp;", типоразмер "&amp;G284&amp;", марка "&amp;H284&amp;". Событие: "&amp;I284&amp;". Признак: "&amp;J284&amp;". Узел: "&amp;K284&amp;". Предварительная причина: "&amp;L284&amp;". Основное осложнение: "&amp;M284&amp;IF(N284&lt;&gt;"","; сопутствующее: "&amp;N284,"")&amp;IF(O284&lt;&gt;"","; дополнительно: "&amp;O284,"")&amp;".")</f>
        <v/>
      </c>
      <c r="R284" s="172">
        <f>IF('Оперативный ввод'!P284="","",'Оперативный ввод'!P284)</f>
        <v/>
      </c>
      <c r="S284" s="172">
        <f>IF('Оперативный ввод'!Q284="","",'Оперативный ввод'!Q284)</f>
        <v/>
      </c>
      <c r="T284" s="172">
        <f>IF('Оперативный ввод'!R284="","",'Оперативный ввод'!R284)</f>
        <v/>
      </c>
      <c r="U284" s="172">
        <f>IF('Оперативный ввод'!S284="","",'Оперативный ввод'!S284)</f>
        <v/>
      </c>
      <c r="V284" s="172">
        <f>IF('Оперативный ввод'!T284="","",'Оперативный ввод'!T284)</f>
        <v/>
      </c>
      <c r="W284" s="172" t="n"/>
      <c r="X284" s="172" t="n"/>
      <c r="Y284" s="172" t="n"/>
      <c r="Z284" s="172" t="n"/>
      <c r="AA284" s="172">
        <f>IF('Оперативный ввод'!U284="","",'Оперативный ввод'!U284)</f>
        <v/>
      </c>
      <c r="AB284" s="172">
        <f>IF('Оперативный ввод'!V284="","",'Оперативный ввод'!V284)</f>
        <v/>
      </c>
      <c r="AC284" s="172">
        <f>IF('Оперативный ввод'!W284="","",'Оперативный ввод'!W284)</f>
        <v/>
      </c>
      <c r="BB284" s="172" t="n"/>
      <c r="BC284" s="172" t="n"/>
      <c r="BD284" s="205">
        <f>IF(AND(A284="",B284=""),"",IF(AND(P284="ГОТОВО",R284&lt;&gt;"",T284&lt;&gt;"",U284&lt;&gt;"",AA284&lt;&gt;"",AB284&lt;&gt;"",AC284&lt;&gt;"",BB284&lt;&gt;"",BC284&lt;&gt;""),"ГОТОВО","НЕ ГОТОВО"))</f>
        <v/>
      </c>
      <c r="BE284" s="205">
        <f>IF(BD284&lt;&gt;"ГОТОВО","","Полное заключение: "&amp;A284&amp;", скв. "&amp;B284&amp;". МРП: "&amp;E284&amp;" сут. ГНО: "&amp;F284&amp;"; причина: "&amp;U284&amp;"; категория: "&amp;V284&amp;"; решение комиссии: "&amp;BB284&amp;".")</f>
        <v/>
      </c>
      <c r="BF284" s="173">
        <f>IF('Оперативный ввод'!X284="","",'Оперативный ввод'!X284)</f>
        <v/>
      </c>
    </row>
    <row r="285">
      <c r="A285" s="171">
        <f>IF('Оперативный ввод'!A285="","",'Оперативный ввод'!A285)</f>
        <v/>
      </c>
      <c r="B285" s="172">
        <f>IF('Оперативный ввод'!B285="","",'Оперативный ввод'!B285)</f>
        <v/>
      </c>
      <c r="C285" s="270">
        <f>IF('Оперативный ввод'!C285="","",'Оперативный ввод'!C285)</f>
        <v/>
      </c>
      <c r="D285" s="270">
        <f>IF('Оперативный ввод'!D285="","",'Оперативный ввод'!D285)</f>
        <v/>
      </c>
      <c r="E285" s="271">
        <f>IF(OR(C285="",D285=""),"",D285-C285)</f>
        <v/>
      </c>
      <c r="F285" s="172">
        <f>IF('Оперативный ввод'!F285="","",'Оперативный ввод'!F285)</f>
        <v/>
      </c>
      <c r="G285" s="172">
        <f>IF('Оперативный ввод'!G285="","",'Оперативный ввод'!G285)</f>
        <v/>
      </c>
      <c r="H285" s="172">
        <f>IF('Оперативный ввод'!H285="","",'Оперативный ввод'!H285)</f>
        <v/>
      </c>
      <c r="I285" s="172">
        <f>IF('Оперативный ввод'!I285="","",'Оперативный ввод'!I285)</f>
        <v/>
      </c>
      <c r="J285" s="172">
        <f>IF('Оперативный ввод'!J285="","",'Оперативный ввод'!J285)</f>
        <v/>
      </c>
      <c r="K285" s="172">
        <f>IF('Оперативный ввод'!K285="","",'Оперативный ввод'!K285)</f>
        <v/>
      </c>
      <c r="L285" s="172">
        <f>IF('Оперативный ввод'!L285="","",'Оперативный ввод'!L285)</f>
        <v/>
      </c>
      <c r="M285" s="172">
        <f>IF('Оперативный ввод'!M285="","",'Оперативный ввод'!M285)</f>
        <v/>
      </c>
      <c r="N285" s="172">
        <f>IF('Оперативный ввод'!N285="","",'Оперативный ввод'!N285)</f>
        <v/>
      </c>
      <c r="O285" s="172">
        <f>IF('Оперативный ввод'!O285="","",'Оперативный ввод'!O285)</f>
        <v/>
      </c>
      <c r="P285" s="205">
        <f>IF(AND(A285="",B285=""),"",IF(AND(A285&lt;&gt;"",B285&lt;&gt;"",C285&lt;&gt;"",D285&lt;&gt;"",F285&lt;&gt;"",G285&lt;&gt;"",H285&lt;&gt;"",ISERROR(SEARCH("по паспорту",G285)),ISERROR(SEARCH("по паспорту",H285)),I285&lt;&gt;"",J285&lt;&gt;"",K285&lt;&gt;"",L285&lt;&gt;"",M285&lt;&gt;""),"ГОТОВО","НЕ ГОТОВО"))</f>
        <v/>
      </c>
      <c r="Q285" s="205">
        <f>IF(P285&lt;&gt;"ГОТОВО","", "Предварительное заключение: "&amp;A285&amp;", скв. "&amp;B285&amp;". МРП: "&amp;E285&amp;" сут. ГНО: "&amp;F285&amp;", типоразмер "&amp;G285&amp;", марка "&amp;H285&amp;". Событие: "&amp;I285&amp;". Признак: "&amp;J285&amp;". Узел: "&amp;K285&amp;". Предварительная причина: "&amp;L285&amp;". Основное осложнение: "&amp;M285&amp;IF(N285&lt;&gt;"","; сопутствующее: "&amp;N285,"")&amp;IF(O285&lt;&gt;"","; дополнительно: "&amp;O285,"")&amp;".")</f>
        <v/>
      </c>
      <c r="R285" s="172">
        <f>IF('Оперативный ввод'!P285="","",'Оперативный ввод'!P285)</f>
        <v/>
      </c>
      <c r="S285" s="172">
        <f>IF('Оперативный ввод'!Q285="","",'Оперативный ввод'!Q285)</f>
        <v/>
      </c>
      <c r="T285" s="172">
        <f>IF('Оперативный ввод'!R285="","",'Оперативный ввод'!R285)</f>
        <v/>
      </c>
      <c r="U285" s="172">
        <f>IF('Оперативный ввод'!S285="","",'Оперативный ввод'!S285)</f>
        <v/>
      </c>
      <c r="V285" s="172">
        <f>IF('Оперативный ввод'!T285="","",'Оперативный ввод'!T285)</f>
        <v/>
      </c>
      <c r="W285" s="172" t="n"/>
      <c r="X285" s="172" t="n"/>
      <c r="Y285" s="172" t="n"/>
      <c r="Z285" s="172" t="n"/>
      <c r="AA285" s="172">
        <f>IF('Оперативный ввод'!U285="","",'Оперативный ввод'!U285)</f>
        <v/>
      </c>
      <c r="AB285" s="172">
        <f>IF('Оперативный ввод'!V285="","",'Оперативный ввод'!V285)</f>
        <v/>
      </c>
      <c r="AC285" s="172">
        <f>IF('Оперативный ввод'!W285="","",'Оперативный ввод'!W285)</f>
        <v/>
      </c>
      <c r="BB285" s="172" t="n"/>
      <c r="BC285" s="172" t="n"/>
      <c r="BD285" s="205">
        <f>IF(AND(A285="",B285=""),"",IF(AND(P285="ГОТОВО",R285&lt;&gt;"",T285&lt;&gt;"",U285&lt;&gt;"",AA285&lt;&gt;"",AB285&lt;&gt;"",AC285&lt;&gt;"",BB285&lt;&gt;"",BC285&lt;&gt;""),"ГОТОВО","НЕ ГОТОВО"))</f>
        <v/>
      </c>
      <c r="BE285" s="205">
        <f>IF(BD285&lt;&gt;"ГОТОВО","","Полное заключение: "&amp;A285&amp;", скв. "&amp;B285&amp;". МРП: "&amp;E285&amp;" сут. ГНО: "&amp;F285&amp;"; причина: "&amp;U285&amp;"; категория: "&amp;V285&amp;"; решение комиссии: "&amp;BB285&amp;".")</f>
        <v/>
      </c>
      <c r="BF285" s="173">
        <f>IF('Оперативный ввод'!X285="","",'Оперативный ввод'!X285)</f>
        <v/>
      </c>
    </row>
    <row r="286">
      <c r="A286" s="171">
        <f>IF('Оперативный ввод'!A286="","",'Оперативный ввод'!A286)</f>
        <v/>
      </c>
      <c r="B286" s="172">
        <f>IF('Оперативный ввод'!B286="","",'Оперативный ввод'!B286)</f>
        <v/>
      </c>
      <c r="C286" s="270">
        <f>IF('Оперативный ввод'!C286="","",'Оперативный ввод'!C286)</f>
        <v/>
      </c>
      <c r="D286" s="270">
        <f>IF('Оперативный ввод'!D286="","",'Оперативный ввод'!D286)</f>
        <v/>
      </c>
      <c r="E286" s="271">
        <f>IF(OR(C286="",D286=""),"",D286-C286)</f>
        <v/>
      </c>
      <c r="F286" s="172">
        <f>IF('Оперативный ввод'!F286="","",'Оперативный ввод'!F286)</f>
        <v/>
      </c>
      <c r="G286" s="172">
        <f>IF('Оперативный ввод'!G286="","",'Оперативный ввод'!G286)</f>
        <v/>
      </c>
      <c r="H286" s="172">
        <f>IF('Оперативный ввод'!H286="","",'Оперативный ввод'!H286)</f>
        <v/>
      </c>
      <c r="I286" s="172">
        <f>IF('Оперативный ввод'!I286="","",'Оперативный ввод'!I286)</f>
        <v/>
      </c>
      <c r="J286" s="172">
        <f>IF('Оперативный ввод'!J286="","",'Оперативный ввод'!J286)</f>
        <v/>
      </c>
      <c r="K286" s="172">
        <f>IF('Оперативный ввод'!K286="","",'Оперативный ввод'!K286)</f>
        <v/>
      </c>
      <c r="L286" s="172">
        <f>IF('Оперативный ввод'!L286="","",'Оперативный ввод'!L286)</f>
        <v/>
      </c>
      <c r="M286" s="172">
        <f>IF('Оперативный ввод'!M286="","",'Оперативный ввод'!M286)</f>
        <v/>
      </c>
      <c r="N286" s="172">
        <f>IF('Оперативный ввод'!N286="","",'Оперативный ввод'!N286)</f>
        <v/>
      </c>
      <c r="O286" s="172">
        <f>IF('Оперативный ввод'!O286="","",'Оперативный ввод'!O286)</f>
        <v/>
      </c>
      <c r="P286" s="205">
        <f>IF(AND(A286="",B286=""),"",IF(AND(A286&lt;&gt;"",B286&lt;&gt;"",C286&lt;&gt;"",D286&lt;&gt;"",F286&lt;&gt;"",G286&lt;&gt;"",H286&lt;&gt;"",ISERROR(SEARCH("по паспорту",G286)),ISERROR(SEARCH("по паспорту",H286)),I286&lt;&gt;"",J286&lt;&gt;"",K286&lt;&gt;"",L286&lt;&gt;"",M286&lt;&gt;""),"ГОТОВО","НЕ ГОТОВО"))</f>
        <v/>
      </c>
      <c r="Q286" s="205">
        <f>IF(P286&lt;&gt;"ГОТОВО","", "Предварительное заключение: "&amp;A286&amp;", скв. "&amp;B286&amp;". МРП: "&amp;E286&amp;" сут. ГНО: "&amp;F286&amp;", типоразмер "&amp;G286&amp;", марка "&amp;H286&amp;". Событие: "&amp;I286&amp;". Признак: "&amp;J286&amp;". Узел: "&amp;K286&amp;". Предварительная причина: "&amp;L286&amp;". Основное осложнение: "&amp;M286&amp;IF(N286&lt;&gt;"","; сопутствующее: "&amp;N286,"")&amp;IF(O286&lt;&gt;"","; дополнительно: "&amp;O286,"")&amp;".")</f>
        <v/>
      </c>
      <c r="R286" s="172">
        <f>IF('Оперативный ввод'!P286="","",'Оперативный ввод'!P286)</f>
        <v/>
      </c>
      <c r="S286" s="172">
        <f>IF('Оперативный ввод'!Q286="","",'Оперативный ввод'!Q286)</f>
        <v/>
      </c>
      <c r="T286" s="172">
        <f>IF('Оперативный ввод'!R286="","",'Оперативный ввод'!R286)</f>
        <v/>
      </c>
      <c r="U286" s="172">
        <f>IF('Оперативный ввод'!S286="","",'Оперативный ввод'!S286)</f>
        <v/>
      </c>
      <c r="V286" s="172">
        <f>IF('Оперативный ввод'!T286="","",'Оперативный ввод'!T286)</f>
        <v/>
      </c>
      <c r="W286" s="172" t="n"/>
      <c r="X286" s="172" t="n"/>
      <c r="Y286" s="172" t="n"/>
      <c r="Z286" s="172" t="n"/>
      <c r="AA286" s="172">
        <f>IF('Оперативный ввод'!U286="","",'Оперативный ввод'!U286)</f>
        <v/>
      </c>
      <c r="AB286" s="172">
        <f>IF('Оперативный ввод'!V286="","",'Оперативный ввод'!V286)</f>
        <v/>
      </c>
      <c r="AC286" s="172">
        <f>IF('Оперативный ввод'!W286="","",'Оперативный ввод'!W286)</f>
        <v/>
      </c>
      <c r="BB286" s="172" t="n"/>
      <c r="BC286" s="172" t="n"/>
      <c r="BD286" s="205">
        <f>IF(AND(A286="",B286=""),"",IF(AND(P286="ГОТОВО",R286&lt;&gt;"",T286&lt;&gt;"",U286&lt;&gt;"",AA286&lt;&gt;"",AB286&lt;&gt;"",AC286&lt;&gt;"",BB286&lt;&gt;"",BC286&lt;&gt;""),"ГОТОВО","НЕ ГОТОВО"))</f>
        <v/>
      </c>
      <c r="BE286" s="205">
        <f>IF(BD286&lt;&gt;"ГОТОВО","","Полное заключение: "&amp;A286&amp;", скв. "&amp;B286&amp;". МРП: "&amp;E286&amp;" сут. ГНО: "&amp;F286&amp;"; причина: "&amp;U286&amp;"; категория: "&amp;V286&amp;"; решение комиссии: "&amp;BB286&amp;".")</f>
        <v/>
      </c>
      <c r="BF286" s="173">
        <f>IF('Оперативный ввод'!X286="","",'Оперативный ввод'!X286)</f>
        <v/>
      </c>
    </row>
    <row r="287">
      <c r="A287" s="171">
        <f>IF('Оперативный ввод'!A287="","",'Оперативный ввод'!A287)</f>
        <v/>
      </c>
      <c r="B287" s="172">
        <f>IF('Оперативный ввод'!B287="","",'Оперативный ввод'!B287)</f>
        <v/>
      </c>
      <c r="C287" s="270">
        <f>IF('Оперативный ввод'!C287="","",'Оперативный ввод'!C287)</f>
        <v/>
      </c>
      <c r="D287" s="270">
        <f>IF('Оперативный ввод'!D287="","",'Оперативный ввод'!D287)</f>
        <v/>
      </c>
      <c r="E287" s="271">
        <f>IF(OR(C287="",D287=""),"",D287-C287)</f>
        <v/>
      </c>
      <c r="F287" s="172">
        <f>IF('Оперативный ввод'!F287="","",'Оперативный ввод'!F287)</f>
        <v/>
      </c>
      <c r="G287" s="172">
        <f>IF('Оперативный ввод'!G287="","",'Оперативный ввод'!G287)</f>
        <v/>
      </c>
      <c r="H287" s="172">
        <f>IF('Оперативный ввод'!H287="","",'Оперативный ввод'!H287)</f>
        <v/>
      </c>
      <c r="I287" s="172">
        <f>IF('Оперативный ввод'!I287="","",'Оперативный ввод'!I287)</f>
        <v/>
      </c>
      <c r="J287" s="172">
        <f>IF('Оперативный ввод'!J287="","",'Оперативный ввод'!J287)</f>
        <v/>
      </c>
      <c r="K287" s="172">
        <f>IF('Оперативный ввод'!K287="","",'Оперативный ввод'!K287)</f>
        <v/>
      </c>
      <c r="L287" s="172">
        <f>IF('Оперативный ввод'!L287="","",'Оперативный ввод'!L287)</f>
        <v/>
      </c>
      <c r="M287" s="172">
        <f>IF('Оперативный ввод'!M287="","",'Оперативный ввод'!M287)</f>
        <v/>
      </c>
      <c r="N287" s="172">
        <f>IF('Оперативный ввод'!N287="","",'Оперативный ввод'!N287)</f>
        <v/>
      </c>
      <c r="O287" s="172">
        <f>IF('Оперативный ввод'!O287="","",'Оперативный ввод'!O287)</f>
        <v/>
      </c>
      <c r="P287" s="205">
        <f>IF(AND(A287="",B287=""),"",IF(AND(A287&lt;&gt;"",B287&lt;&gt;"",C287&lt;&gt;"",D287&lt;&gt;"",F287&lt;&gt;"",G287&lt;&gt;"",H287&lt;&gt;"",ISERROR(SEARCH("по паспорту",G287)),ISERROR(SEARCH("по паспорту",H287)),I287&lt;&gt;"",J287&lt;&gt;"",K287&lt;&gt;"",L287&lt;&gt;"",M287&lt;&gt;""),"ГОТОВО","НЕ ГОТОВО"))</f>
        <v/>
      </c>
      <c r="Q287" s="205">
        <f>IF(P287&lt;&gt;"ГОТОВО","", "Предварительное заключение: "&amp;A287&amp;", скв. "&amp;B287&amp;". МРП: "&amp;E287&amp;" сут. ГНО: "&amp;F287&amp;", типоразмер "&amp;G287&amp;", марка "&amp;H287&amp;". Событие: "&amp;I287&amp;". Признак: "&amp;J287&amp;". Узел: "&amp;K287&amp;". Предварительная причина: "&amp;L287&amp;". Основное осложнение: "&amp;M287&amp;IF(N287&lt;&gt;"","; сопутствующее: "&amp;N287,"")&amp;IF(O287&lt;&gt;"","; дополнительно: "&amp;O287,"")&amp;".")</f>
        <v/>
      </c>
      <c r="R287" s="172">
        <f>IF('Оперативный ввод'!P287="","",'Оперативный ввод'!P287)</f>
        <v/>
      </c>
      <c r="S287" s="172">
        <f>IF('Оперативный ввод'!Q287="","",'Оперативный ввод'!Q287)</f>
        <v/>
      </c>
      <c r="T287" s="172">
        <f>IF('Оперативный ввод'!R287="","",'Оперативный ввод'!R287)</f>
        <v/>
      </c>
      <c r="U287" s="172">
        <f>IF('Оперативный ввод'!S287="","",'Оперативный ввод'!S287)</f>
        <v/>
      </c>
      <c r="V287" s="172">
        <f>IF('Оперативный ввод'!T287="","",'Оперативный ввод'!T287)</f>
        <v/>
      </c>
      <c r="W287" s="172" t="n"/>
      <c r="X287" s="172" t="n"/>
      <c r="Y287" s="172" t="n"/>
      <c r="Z287" s="172" t="n"/>
      <c r="AA287" s="172">
        <f>IF('Оперативный ввод'!U287="","",'Оперативный ввод'!U287)</f>
        <v/>
      </c>
      <c r="AB287" s="172">
        <f>IF('Оперативный ввод'!V287="","",'Оперативный ввод'!V287)</f>
        <v/>
      </c>
      <c r="AC287" s="172">
        <f>IF('Оперативный ввод'!W287="","",'Оперативный ввод'!W287)</f>
        <v/>
      </c>
      <c r="BB287" s="172" t="n"/>
      <c r="BC287" s="172" t="n"/>
      <c r="BD287" s="205">
        <f>IF(AND(A287="",B287=""),"",IF(AND(P287="ГОТОВО",R287&lt;&gt;"",T287&lt;&gt;"",U287&lt;&gt;"",AA287&lt;&gt;"",AB287&lt;&gt;"",AC287&lt;&gt;"",BB287&lt;&gt;"",BC287&lt;&gt;""),"ГОТОВО","НЕ ГОТОВО"))</f>
        <v/>
      </c>
      <c r="BE287" s="205">
        <f>IF(BD287&lt;&gt;"ГОТОВО","","Полное заключение: "&amp;A287&amp;", скв. "&amp;B287&amp;". МРП: "&amp;E287&amp;" сут. ГНО: "&amp;F287&amp;"; причина: "&amp;U287&amp;"; категория: "&amp;V287&amp;"; решение комиссии: "&amp;BB287&amp;".")</f>
        <v/>
      </c>
      <c r="BF287" s="173">
        <f>IF('Оперативный ввод'!X287="","",'Оперативный ввод'!X287)</f>
        <v/>
      </c>
    </row>
    <row r="288">
      <c r="A288" s="171">
        <f>IF('Оперативный ввод'!A288="","",'Оперативный ввод'!A288)</f>
        <v/>
      </c>
      <c r="B288" s="172">
        <f>IF('Оперативный ввод'!B288="","",'Оперативный ввод'!B288)</f>
        <v/>
      </c>
      <c r="C288" s="270">
        <f>IF('Оперативный ввод'!C288="","",'Оперативный ввод'!C288)</f>
        <v/>
      </c>
      <c r="D288" s="270">
        <f>IF('Оперативный ввод'!D288="","",'Оперативный ввод'!D288)</f>
        <v/>
      </c>
      <c r="E288" s="271">
        <f>IF(OR(C288="",D288=""),"",D288-C288)</f>
        <v/>
      </c>
      <c r="F288" s="172">
        <f>IF('Оперативный ввод'!F288="","",'Оперативный ввод'!F288)</f>
        <v/>
      </c>
      <c r="G288" s="172">
        <f>IF('Оперативный ввод'!G288="","",'Оперативный ввод'!G288)</f>
        <v/>
      </c>
      <c r="H288" s="172">
        <f>IF('Оперативный ввод'!H288="","",'Оперативный ввод'!H288)</f>
        <v/>
      </c>
      <c r="I288" s="172">
        <f>IF('Оперативный ввод'!I288="","",'Оперативный ввод'!I288)</f>
        <v/>
      </c>
      <c r="J288" s="172">
        <f>IF('Оперативный ввод'!J288="","",'Оперативный ввод'!J288)</f>
        <v/>
      </c>
      <c r="K288" s="172">
        <f>IF('Оперативный ввод'!K288="","",'Оперативный ввод'!K288)</f>
        <v/>
      </c>
      <c r="L288" s="172">
        <f>IF('Оперативный ввод'!L288="","",'Оперативный ввод'!L288)</f>
        <v/>
      </c>
      <c r="M288" s="172">
        <f>IF('Оперативный ввод'!M288="","",'Оперативный ввод'!M288)</f>
        <v/>
      </c>
      <c r="N288" s="172">
        <f>IF('Оперативный ввод'!N288="","",'Оперативный ввод'!N288)</f>
        <v/>
      </c>
      <c r="O288" s="172">
        <f>IF('Оперативный ввод'!O288="","",'Оперативный ввод'!O288)</f>
        <v/>
      </c>
      <c r="P288" s="205">
        <f>IF(AND(A288="",B288=""),"",IF(AND(A288&lt;&gt;"",B288&lt;&gt;"",C288&lt;&gt;"",D288&lt;&gt;"",F288&lt;&gt;"",G288&lt;&gt;"",H288&lt;&gt;"",ISERROR(SEARCH("по паспорту",G288)),ISERROR(SEARCH("по паспорту",H288)),I288&lt;&gt;"",J288&lt;&gt;"",K288&lt;&gt;"",L288&lt;&gt;"",M288&lt;&gt;""),"ГОТОВО","НЕ ГОТОВО"))</f>
        <v/>
      </c>
      <c r="Q288" s="205">
        <f>IF(P288&lt;&gt;"ГОТОВО","", "Предварительное заключение: "&amp;A288&amp;", скв. "&amp;B288&amp;". МРП: "&amp;E288&amp;" сут. ГНО: "&amp;F288&amp;", типоразмер "&amp;G288&amp;", марка "&amp;H288&amp;". Событие: "&amp;I288&amp;". Признак: "&amp;J288&amp;". Узел: "&amp;K288&amp;". Предварительная причина: "&amp;L288&amp;". Основное осложнение: "&amp;M288&amp;IF(N288&lt;&gt;"","; сопутствующее: "&amp;N288,"")&amp;IF(O288&lt;&gt;"","; дополнительно: "&amp;O288,"")&amp;".")</f>
        <v/>
      </c>
      <c r="R288" s="172">
        <f>IF('Оперативный ввод'!P288="","",'Оперативный ввод'!P288)</f>
        <v/>
      </c>
      <c r="S288" s="172">
        <f>IF('Оперативный ввод'!Q288="","",'Оперативный ввод'!Q288)</f>
        <v/>
      </c>
      <c r="T288" s="172">
        <f>IF('Оперативный ввод'!R288="","",'Оперативный ввод'!R288)</f>
        <v/>
      </c>
      <c r="U288" s="172">
        <f>IF('Оперативный ввод'!S288="","",'Оперативный ввод'!S288)</f>
        <v/>
      </c>
      <c r="V288" s="172">
        <f>IF('Оперативный ввод'!T288="","",'Оперативный ввод'!T288)</f>
        <v/>
      </c>
      <c r="W288" s="172" t="n"/>
      <c r="X288" s="172" t="n"/>
      <c r="Y288" s="172" t="n"/>
      <c r="Z288" s="172" t="n"/>
      <c r="AA288" s="172">
        <f>IF('Оперативный ввод'!U288="","",'Оперативный ввод'!U288)</f>
        <v/>
      </c>
      <c r="AB288" s="172">
        <f>IF('Оперативный ввод'!V288="","",'Оперативный ввод'!V288)</f>
        <v/>
      </c>
      <c r="AC288" s="172">
        <f>IF('Оперативный ввод'!W288="","",'Оперативный ввод'!W288)</f>
        <v/>
      </c>
      <c r="BB288" s="172" t="n"/>
      <c r="BC288" s="172" t="n"/>
      <c r="BD288" s="205">
        <f>IF(AND(A288="",B288=""),"",IF(AND(P288="ГОТОВО",R288&lt;&gt;"",T288&lt;&gt;"",U288&lt;&gt;"",AA288&lt;&gt;"",AB288&lt;&gt;"",AC288&lt;&gt;"",BB288&lt;&gt;"",BC288&lt;&gt;""),"ГОТОВО","НЕ ГОТОВО"))</f>
        <v/>
      </c>
      <c r="BE288" s="205">
        <f>IF(BD288&lt;&gt;"ГОТОВО","","Полное заключение: "&amp;A288&amp;", скв. "&amp;B288&amp;". МРП: "&amp;E288&amp;" сут. ГНО: "&amp;F288&amp;"; причина: "&amp;U288&amp;"; категория: "&amp;V288&amp;"; решение комиссии: "&amp;BB288&amp;".")</f>
        <v/>
      </c>
      <c r="BF288" s="173">
        <f>IF('Оперативный ввод'!X288="","",'Оперативный ввод'!X288)</f>
        <v/>
      </c>
    </row>
    <row r="289">
      <c r="A289" s="171">
        <f>IF('Оперативный ввод'!A289="","",'Оперативный ввод'!A289)</f>
        <v/>
      </c>
      <c r="B289" s="172">
        <f>IF('Оперативный ввод'!B289="","",'Оперативный ввод'!B289)</f>
        <v/>
      </c>
      <c r="C289" s="270">
        <f>IF('Оперативный ввод'!C289="","",'Оперативный ввод'!C289)</f>
        <v/>
      </c>
      <c r="D289" s="270">
        <f>IF('Оперативный ввод'!D289="","",'Оперативный ввод'!D289)</f>
        <v/>
      </c>
      <c r="E289" s="271">
        <f>IF(OR(C289="",D289=""),"",D289-C289)</f>
        <v/>
      </c>
      <c r="F289" s="172">
        <f>IF('Оперативный ввод'!F289="","",'Оперативный ввод'!F289)</f>
        <v/>
      </c>
      <c r="G289" s="172">
        <f>IF('Оперативный ввод'!G289="","",'Оперативный ввод'!G289)</f>
        <v/>
      </c>
      <c r="H289" s="172">
        <f>IF('Оперативный ввод'!H289="","",'Оперативный ввод'!H289)</f>
        <v/>
      </c>
      <c r="I289" s="172">
        <f>IF('Оперативный ввод'!I289="","",'Оперативный ввод'!I289)</f>
        <v/>
      </c>
      <c r="J289" s="172">
        <f>IF('Оперативный ввод'!J289="","",'Оперативный ввод'!J289)</f>
        <v/>
      </c>
      <c r="K289" s="172">
        <f>IF('Оперативный ввод'!K289="","",'Оперативный ввод'!K289)</f>
        <v/>
      </c>
      <c r="L289" s="172">
        <f>IF('Оперативный ввод'!L289="","",'Оперативный ввод'!L289)</f>
        <v/>
      </c>
      <c r="M289" s="172">
        <f>IF('Оперативный ввод'!M289="","",'Оперативный ввод'!M289)</f>
        <v/>
      </c>
      <c r="N289" s="172">
        <f>IF('Оперативный ввод'!N289="","",'Оперативный ввод'!N289)</f>
        <v/>
      </c>
      <c r="O289" s="172">
        <f>IF('Оперативный ввод'!O289="","",'Оперативный ввод'!O289)</f>
        <v/>
      </c>
      <c r="P289" s="205">
        <f>IF(AND(A289="",B289=""),"",IF(AND(A289&lt;&gt;"",B289&lt;&gt;"",C289&lt;&gt;"",D289&lt;&gt;"",F289&lt;&gt;"",G289&lt;&gt;"",H289&lt;&gt;"",ISERROR(SEARCH("по паспорту",G289)),ISERROR(SEARCH("по паспорту",H289)),I289&lt;&gt;"",J289&lt;&gt;"",K289&lt;&gt;"",L289&lt;&gt;"",M289&lt;&gt;""),"ГОТОВО","НЕ ГОТОВО"))</f>
        <v/>
      </c>
      <c r="Q289" s="205">
        <f>IF(P289&lt;&gt;"ГОТОВО","", "Предварительное заключение: "&amp;A289&amp;", скв. "&amp;B289&amp;". МРП: "&amp;E289&amp;" сут. ГНО: "&amp;F289&amp;", типоразмер "&amp;G289&amp;", марка "&amp;H289&amp;". Событие: "&amp;I289&amp;". Признак: "&amp;J289&amp;". Узел: "&amp;K289&amp;". Предварительная причина: "&amp;L289&amp;". Основное осложнение: "&amp;M289&amp;IF(N289&lt;&gt;"","; сопутствующее: "&amp;N289,"")&amp;IF(O289&lt;&gt;"","; дополнительно: "&amp;O289,"")&amp;".")</f>
        <v/>
      </c>
      <c r="R289" s="172">
        <f>IF('Оперативный ввод'!P289="","",'Оперативный ввод'!P289)</f>
        <v/>
      </c>
      <c r="S289" s="172">
        <f>IF('Оперативный ввод'!Q289="","",'Оперативный ввод'!Q289)</f>
        <v/>
      </c>
      <c r="T289" s="172">
        <f>IF('Оперативный ввод'!R289="","",'Оперативный ввод'!R289)</f>
        <v/>
      </c>
      <c r="U289" s="172">
        <f>IF('Оперативный ввод'!S289="","",'Оперативный ввод'!S289)</f>
        <v/>
      </c>
      <c r="V289" s="172">
        <f>IF('Оперативный ввод'!T289="","",'Оперативный ввод'!T289)</f>
        <v/>
      </c>
      <c r="W289" s="172" t="n"/>
      <c r="X289" s="172" t="n"/>
      <c r="Y289" s="172" t="n"/>
      <c r="Z289" s="172" t="n"/>
      <c r="AA289" s="172">
        <f>IF('Оперативный ввод'!U289="","",'Оперативный ввод'!U289)</f>
        <v/>
      </c>
      <c r="AB289" s="172">
        <f>IF('Оперативный ввод'!V289="","",'Оперативный ввод'!V289)</f>
        <v/>
      </c>
      <c r="AC289" s="172">
        <f>IF('Оперативный ввод'!W289="","",'Оперативный ввод'!W289)</f>
        <v/>
      </c>
      <c r="BB289" s="172" t="n"/>
      <c r="BC289" s="172" t="n"/>
      <c r="BD289" s="205">
        <f>IF(AND(A289="",B289=""),"",IF(AND(P289="ГОТОВО",R289&lt;&gt;"",T289&lt;&gt;"",U289&lt;&gt;"",AA289&lt;&gt;"",AB289&lt;&gt;"",AC289&lt;&gt;"",BB289&lt;&gt;"",BC289&lt;&gt;""),"ГОТОВО","НЕ ГОТОВО"))</f>
        <v/>
      </c>
      <c r="BE289" s="205">
        <f>IF(BD289&lt;&gt;"ГОТОВО","","Полное заключение: "&amp;A289&amp;", скв. "&amp;B289&amp;". МРП: "&amp;E289&amp;" сут. ГНО: "&amp;F289&amp;"; причина: "&amp;U289&amp;"; категория: "&amp;V289&amp;"; решение комиссии: "&amp;BB289&amp;".")</f>
        <v/>
      </c>
      <c r="BF289" s="173">
        <f>IF('Оперативный ввод'!X289="","",'Оперативный ввод'!X289)</f>
        <v/>
      </c>
    </row>
    <row r="290">
      <c r="A290" s="171">
        <f>IF('Оперативный ввод'!A290="","",'Оперативный ввод'!A290)</f>
        <v/>
      </c>
      <c r="B290" s="172">
        <f>IF('Оперативный ввод'!B290="","",'Оперативный ввод'!B290)</f>
        <v/>
      </c>
      <c r="C290" s="270">
        <f>IF('Оперативный ввод'!C290="","",'Оперативный ввод'!C290)</f>
        <v/>
      </c>
      <c r="D290" s="270">
        <f>IF('Оперативный ввод'!D290="","",'Оперативный ввод'!D290)</f>
        <v/>
      </c>
      <c r="E290" s="271">
        <f>IF(OR(C290="",D290=""),"",D290-C290)</f>
        <v/>
      </c>
      <c r="F290" s="172">
        <f>IF('Оперативный ввод'!F290="","",'Оперативный ввод'!F290)</f>
        <v/>
      </c>
      <c r="G290" s="172">
        <f>IF('Оперативный ввод'!G290="","",'Оперативный ввод'!G290)</f>
        <v/>
      </c>
      <c r="H290" s="172">
        <f>IF('Оперативный ввод'!H290="","",'Оперативный ввод'!H290)</f>
        <v/>
      </c>
      <c r="I290" s="172">
        <f>IF('Оперативный ввод'!I290="","",'Оперативный ввод'!I290)</f>
        <v/>
      </c>
      <c r="J290" s="172">
        <f>IF('Оперативный ввод'!J290="","",'Оперативный ввод'!J290)</f>
        <v/>
      </c>
      <c r="K290" s="172">
        <f>IF('Оперативный ввод'!K290="","",'Оперативный ввод'!K290)</f>
        <v/>
      </c>
      <c r="L290" s="172">
        <f>IF('Оперативный ввод'!L290="","",'Оперативный ввод'!L290)</f>
        <v/>
      </c>
      <c r="M290" s="172">
        <f>IF('Оперативный ввод'!M290="","",'Оперативный ввод'!M290)</f>
        <v/>
      </c>
      <c r="N290" s="172">
        <f>IF('Оперативный ввод'!N290="","",'Оперативный ввод'!N290)</f>
        <v/>
      </c>
      <c r="O290" s="172">
        <f>IF('Оперативный ввод'!O290="","",'Оперативный ввод'!O290)</f>
        <v/>
      </c>
      <c r="P290" s="205">
        <f>IF(AND(A290="",B290=""),"",IF(AND(A290&lt;&gt;"",B290&lt;&gt;"",C290&lt;&gt;"",D290&lt;&gt;"",F290&lt;&gt;"",G290&lt;&gt;"",H290&lt;&gt;"",ISERROR(SEARCH("по паспорту",G290)),ISERROR(SEARCH("по паспорту",H290)),I290&lt;&gt;"",J290&lt;&gt;"",K290&lt;&gt;"",L290&lt;&gt;"",M290&lt;&gt;""),"ГОТОВО","НЕ ГОТОВО"))</f>
        <v/>
      </c>
      <c r="Q290" s="205">
        <f>IF(P290&lt;&gt;"ГОТОВО","", "Предварительное заключение: "&amp;A290&amp;", скв. "&amp;B290&amp;". МРП: "&amp;E290&amp;" сут. ГНО: "&amp;F290&amp;", типоразмер "&amp;G290&amp;", марка "&amp;H290&amp;". Событие: "&amp;I290&amp;". Признак: "&amp;J290&amp;". Узел: "&amp;K290&amp;". Предварительная причина: "&amp;L290&amp;". Основное осложнение: "&amp;M290&amp;IF(N290&lt;&gt;"","; сопутствующее: "&amp;N290,"")&amp;IF(O290&lt;&gt;"","; дополнительно: "&amp;O290,"")&amp;".")</f>
        <v/>
      </c>
      <c r="R290" s="172">
        <f>IF('Оперативный ввод'!P290="","",'Оперативный ввод'!P290)</f>
        <v/>
      </c>
      <c r="S290" s="172">
        <f>IF('Оперативный ввод'!Q290="","",'Оперативный ввод'!Q290)</f>
        <v/>
      </c>
      <c r="T290" s="172">
        <f>IF('Оперативный ввод'!R290="","",'Оперативный ввод'!R290)</f>
        <v/>
      </c>
      <c r="U290" s="172">
        <f>IF('Оперативный ввод'!S290="","",'Оперативный ввод'!S290)</f>
        <v/>
      </c>
      <c r="V290" s="172">
        <f>IF('Оперативный ввод'!T290="","",'Оперативный ввод'!T290)</f>
        <v/>
      </c>
      <c r="W290" s="172" t="n"/>
      <c r="X290" s="172" t="n"/>
      <c r="Y290" s="172" t="n"/>
      <c r="Z290" s="172" t="n"/>
      <c r="AA290" s="172">
        <f>IF('Оперативный ввод'!U290="","",'Оперативный ввод'!U290)</f>
        <v/>
      </c>
      <c r="AB290" s="172">
        <f>IF('Оперативный ввод'!V290="","",'Оперативный ввод'!V290)</f>
        <v/>
      </c>
      <c r="AC290" s="172">
        <f>IF('Оперативный ввод'!W290="","",'Оперативный ввод'!W290)</f>
        <v/>
      </c>
      <c r="BB290" s="172" t="n"/>
      <c r="BC290" s="172" t="n"/>
      <c r="BD290" s="205">
        <f>IF(AND(A290="",B290=""),"",IF(AND(P290="ГОТОВО",R290&lt;&gt;"",T290&lt;&gt;"",U290&lt;&gt;"",AA290&lt;&gt;"",AB290&lt;&gt;"",AC290&lt;&gt;"",BB290&lt;&gt;"",BC290&lt;&gt;""),"ГОТОВО","НЕ ГОТОВО"))</f>
        <v/>
      </c>
      <c r="BE290" s="205">
        <f>IF(BD290&lt;&gt;"ГОТОВО","","Полное заключение: "&amp;A290&amp;", скв. "&amp;B290&amp;". МРП: "&amp;E290&amp;" сут. ГНО: "&amp;F290&amp;"; причина: "&amp;U290&amp;"; категория: "&amp;V290&amp;"; решение комиссии: "&amp;BB290&amp;".")</f>
        <v/>
      </c>
      <c r="BF290" s="173">
        <f>IF('Оперативный ввод'!X290="","",'Оперативный ввод'!X290)</f>
        <v/>
      </c>
    </row>
    <row r="291">
      <c r="A291" s="171">
        <f>IF('Оперативный ввод'!A291="","",'Оперативный ввод'!A291)</f>
        <v/>
      </c>
      <c r="B291" s="172">
        <f>IF('Оперативный ввод'!B291="","",'Оперативный ввод'!B291)</f>
        <v/>
      </c>
      <c r="C291" s="270">
        <f>IF('Оперативный ввод'!C291="","",'Оперативный ввод'!C291)</f>
        <v/>
      </c>
      <c r="D291" s="270">
        <f>IF('Оперативный ввод'!D291="","",'Оперативный ввод'!D291)</f>
        <v/>
      </c>
      <c r="E291" s="271">
        <f>IF(OR(C291="",D291=""),"",D291-C291)</f>
        <v/>
      </c>
      <c r="F291" s="172">
        <f>IF('Оперативный ввод'!F291="","",'Оперативный ввод'!F291)</f>
        <v/>
      </c>
      <c r="G291" s="172">
        <f>IF('Оперативный ввод'!G291="","",'Оперативный ввод'!G291)</f>
        <v/>
      </c>
      <c r="H291" s="172">
        <f>IF('Оперативный ввод'!H291="","",'Оперативный ввод'!H291)</f>
        <v/>
      </c>
      <c r="I291" s="172">
        <f>IF('Оперативный ввод'!I291="","",'Оперативный ввод'!I291)</f>
        <v/>
      </c>
      <c r="J291" s="172">
        <f>IF('Оперативный ввод'!J291="","",'Оперативный ввод'!J291)</f>
        <v/>
      </c>
      <c r="K291" s="172">
        <f>IF('Оперативный ввод'!K291="","",'Оперативный ввод'!K291)</f>
        <v/>
      </c>
      <c r="L291" s="172">
        <f>IF('Оперативный ввод'!L291="","",'Оперативный ввод'!L291)</f>
        <v/>
      </c>
      <c r="M291" s="172">
        <f>IF('Оперативный ввод'!M291="","",'Оперативный ввод'!M291)</f>
        <v/>
      </c>
      <c r="N291" s="172">
        <f>IF('Оперативный ввод'!N291="","",'Оперативный ввод'!N291)</f>
        <v/>
      </c>
      <c r="O291" s="172">
        <f>IF('Оперативный ввод'!O291="","",'Оперативный ввод'!O291)</f>
        <v/>
      </c>
      <c r="P291" s="205">
        <f>IF(AND(A291="",B291=""),"",IF(AND(A291&lt;&gt;"",B291&lt;&gt;"",C291&lt;&gt;"",D291&lt;&gt;"",F291&lt;&gt;"",G291&lt;&gt;"",H291&lt;&gt;"",ISERROR(SEARCH("по паспорту",G291)),ISERROR(SEARCH("по паспорту",H291)),I291&lt;&gt;"",J291&lt;&gt;"",K291&lt;&gt;"",L291&lt;&gt;"",M291&lt;&gt;""),"ГОТОВО","НЕ ГОТОВО"))</f>
        <v/>
      </c>
      <c r="Q291" s="205">
        <f>IF(P291&lt;&gt;"ГОТОВО","", "Предварительное заключение: "&amp;A291&amp;", скв. "&amp;B291&amp;". МРП: "&amp;E291&amp;" сут. ГНО: "&amp;F291&amp;", типоразмер "&amp;G291&amp;", марка "&amp;H291&amp;". Событие: "&amp;I291&amp;". Признак: "&amp;J291&amp;". Узел: "&amp;K291&amp;". Предварительная причина: "&amp;L291&amp;". Основное осложнение: "&amp;M291&amp;IF(N291&lt;&gt;"","; сопутствующее: "&amp;N291,"")&amp;IF(O291&lt;&gt;"","; дополнительно: "&amp;O291,"")&amp;".")</f>
        <v/>
      </c>
      <c r="R291" s="172">
        <f>IF('Оперативный ввод'!P291="","",'Оперативный ввод'!P291)</f>
        <v/>
      </c>
      <c r="S291" s="172">
        <f>IF('Оперативный ввод'!Q291="","",'Оперативный ввод'!Q291)</f>
        <v/>
      </c>
      <c r="T291" s="172">
        <f>IF('Оперативный ввод'!R291="","",'Оперативный ввод'!R291)</f>
        <v/>
      </c>
      <c r="U291" s="172">
        <f>IF('Оперативный ввод'!S291="","",'Оперативный ввод'!S291)</f>
        <v/>
      </c>
      <c r="V291" s="172">
        <f>IF('Оперативный ввод'!T291="","",'Оперативный ввод'!T291)</f>
        <v/>
      </c>
      <c r="W291" s="172" t="n"/>
      <c r="X291" s="172" t="n"/>
      <c r="Y291" s="172" t="n"/>
      <c r="Z291" s="172" t="n"/>
      <c r="AA291" s="172">
        <f>IF('Оперативный ввод'!U291="","",'Оперативный ввод'!U291)</f>
        <v/>
      </c>
      <c r="AB291" s="172">
        <f>IF('Оперативный ввод'!V291="","",'Оперативный ввод'!V291)</f>
        <v/>
      </c>
      <c r="AC291" s="172">
        <f>IF('Оперативный ввод'!W291="","",'Оперативный ввод'!W291)</f>
        <v/>
      </c>
      <c r="BB291" s="172" t="n"/>
      <c r="BC291" s="172" t="n"/>
      <c r="BD291" s="205">
        <f>IF(AND(A291="",B291=""),"",IF(AND(P291="ГОТОВО",R291&lt;&gt;"",T291&lt;&gt;"",U291&lt;&gt;"",AA291&lt;&gt;"",AB291&lt;&gt;"",AC291&lt;&gt;"",BB291&lt;&gt;"",BC291&lt;&gt;""),"ГОТОВО","НЕ ГОТОВО"))</f>
        <v/>
      </c>
      <c r="BE291" s="205">
        <f>IF(BD291&lt;&gt;"ГОТОВО","","Полное заключение: "&amp;A291&amp;", скв. "&amp;B291&amp;". МРП: "&amp;E291&amp;" сут. ГНО: "&amp;F291&amp;"; причина: "&amp;U291&amp;"; категория: "&amp;V291&amp;"; решение комиссии: "&amp;BB291&amp;".")</f>
        <v/>
      </c>
      <c r="BF291" s="173">
        <f>IF('Оперативный ввод'!X291="","",'Оперативный ввод'!X291)</f>
        <v/>
      </c>
    </row>
    <row r="292">
      <c r="A292" s="171">
        <f>IF('Оперативный ввод'!A292="","",'Оперативный ввод'!A292)</f>
        <v/>
      </c>
      <c r="B292" s="172">
        <f>IF('Оперативный ввод'!B292="","",'Оперативный ввод'!B292)</f>
        <v/>
      </c>
      <c r="C292" s="270">
        <f>IF('Оперативный ввод'!C292="","",'Оперативный ввод'!C292)</f>
        <v/>
      </c>
      <c r="D292" s="270">
        <f>IF('Оперативный ввод'!D292="","",'Оперативный ввод'!D292)</f>
        <v/>
      </c>
      <c r="E292" s="271">
        <f>IF(OR(C292="",D292=""),"",D292-C292)</f>
        <v/>
      </c>
      <c r="F292" s="172">
        <f>IF('Оперативный ввод'!F292="","",'Оперативный ввод'!F292)</f>
        <v/>
      </c>
      <c r="G292" s="172">
        <f>IF('Оперативный ввод'!G292="","",'Оперативный ввод'!G292)</f>
        <v/>
      </c>
      <c r="H292" s="172">
        <f>IF('Оперативный ввод'!H292="","",'Оперативный ввод'!H292)</f>
        <v/>
      </c>
      <c r="I292" s="172">
        <f>IF('Оперативный ввод'!I292="","",'Оперативный ввод'!I292)</f>
        <v/>
      </c>
      <c r="J292" s="172">
        <f>IF('Оперативный ввод'!J292="","",'Оперативный ввод'!J292)</f>
        <v/>
      </c>
      <c r="K292" s="172">
        <f>IF('Оперативный ввод'!K292="","",'Оперативный ввод'!K292)</f>
        <v/>
      </c>
      <c r="L292" s="172">
        <f>IF('Оперативный ввод'!L292="","",'Оперативный ввод'!L292)</f>
        <v/>
      </c>
      <c r="M292" s="172">
        <f>IF('Оперативный ввод'!M292="","",'Оперативный ввод'!M292)</f>
        <v/>
      </c>
      <c r="N292" s="172">
        <f>IF('Оперативный ввод'!N292="","",'Оперативный ввод'!N292)</f>
        <v/>
      </c>
      <c r="O292" s="172">
        <f>IF('Оперативный ввод'!O292="","",'Оперативный ввод'!O292)</f>
        <v/>
      </c>
      <c r="P292" s="205">
        <f>IF(AND(A292="",B292=""),"",IF(AND(A292&lt;&gt;"",B292&lt;&gt;"",C292&lt;&gt;"",D292&lt;&gt;"",F292&lt;&gt;"",G292&lt;&gt;"",H292&lt;&gt;"",ISERROR(SEARCH("по паспорту",G292)),ISERROR(SEARCH("по паспорту",H292)),I292&lt;&gt;"",J292&lt;&gt;"",K292&lt;&gt;"",L292&lt;&gt;"",M292&lt;&gt;""),"ГОТОВО","НЕ ГОТОВО"))</f>
        <v/>
      </c>
      <c r="Q292" s="205">
        <f>IF(P292&lt;&gt;"ГОТОВО","", "Предварительное заключение: "&amp;A292&amp;", скв. "&amp;B292&amp;". МРП: "&amp;E292&amp;" сут. ГНО: "&amp;F292&amp;", типоразмер "&amp;G292&amp;", марка "&amp;H292&amp;". Событие: "&amp;I292&amp;". Признак: "&amp;J292&amp;". Узел: "&amp;K292&amp;". Предварительная причина: "&amp;L292&amp;". Основное осложнение: "&amp;M292&amp;IF(N292&lt;&gt;"","; сопутствующее: "&amp;N292,"")&amp;IF(O292&lt;&gt;"","; дополнительно: "&amp;O292,"")&amp;".")</f>
        <v/>
      </c>
      <c r="R292" s="172">
        <f>IF('Оперативный ввод'!P292="","",'Оперативный ввод'!P292)</f>
        <v/>
      </c>
      <c r="S292" s="172">
        <f>IF('Оперативный ввод'!Q292="","",'Оперативный ввод'!Q292)</f>
        <v/>
      </c>
      <c r="T292" s="172">
        <f>IF('Оперативный ввод'!R292="","",'Оперативный ввод'!R292)</f>
        <v/>
      </c>
      <c r="U292" s="172">
        <f>IF('Оперативный ввод'!S292="","",'Оперативный ввод'!S292)</f>
        <v/>
      </c>
      <c r="V292" s="172">
        <f>IF('Оперативный ввод'!T292="","",'Оперативный ввод'!T292)</f>
        <v/>
      </c>
      <c r="W292" s="172" t="n"/>
      <c r="X292" s="172" t="n"/>
      <c r="Y292" s="172" t="n"/>
      <c r="Z292" s="172" t="n"/>
      <c r="AA292" s="172">
        <f>IF('Оперативный ввод'!U292="","",'Оперативный ввод'!U292)</f>
        <v/>
      </c>
      <c r="AB292" s="172">
        <f>IF('Оперативный ввод'!V292="","",'Оперативный ввод'!V292)</f>
        <v/>
      </c>
      <c r="AC292" s="172">
        <f>IF('Оперативный ввод'!W292="","",'Оперативный ввод'!W292)</f>
        <v/>
      </c>
      <c r="BB292" s="172" t="n"/>
      <c r="BC292" s="172" t="n"/>
      <c r="BD292" s="205">
        <f>IF(AND(A292="",B292=""),"",IF(AND(P292="ГОТОВО",R292&lt;&gt;"",T292&lt;&gt;"",U292&lt;&gt;"",AA292&lt;&gt;"",AB292&lt;&gt;"",AC292&lt;&gt;"",BB292&lt;&gt;"",BC292&lt;&gt;""),"ГОТОВО","НЕ ГОТОВО"))</f>
        <v/>
      </c>
      <c r="BE292" s="205">
        <f>IF(BD292&lt;&gt;"ГОТОВО","","Полное заключение: "&amp;A292&amp;", скв. "&amp;B292&amp;". МРП: "&amp;E292&amp;" сут. ГНО: "&amp;F292&amp;"; причина: "&amp;U292&amp;"; категория: "&amp;V292&amp;"; решение комиссии: "&amp;BB292&amp;".")</f>
        <v/>
      </c>
      <c r="BF292" s="173">
        <f>IF('Оперативный ввод'!X292="","",'Оперативный ввод'!X292)</f>
        <v/>
      </c>
    </row>
    <row r="293">
      <c r="A293" s="171">
        <f>IF('Оперативный ввод'!A293="","",'Оперативный ввод'!A293)</f>
        <v/>
      </c>
      <c r="B293" s="172">
        <f>IF('Оперативный ввод'!B293="","",'Оперативный ввод'!B293)</f>
        <v/>
      </c>
      <c r="C293" s="270">
        <f>IF('Оперативный ввод'!C293="","",'Оперативный ввод'!C293)</f>
        <v/>
      </c>
      <c r="D293" s="270">
        <f>IF('Оперативный ввод'!D293="","",'Оперативный ввод'!D293)</f>
        <v/>
      </c>
      <c r="E293" s="271">
        <f>IF(OR(C293="",D293=""),"",D293-C293)</f>
        <v/>
      </c>
      <c r="F293" s="172">
        <f>IF('Оперативный ввод'!F293="","",'Оперативный ввод'!F293)</f>
        <v/>
      </c>
      <c r="G293" s="172">
        <f>IF('Оперативный ввод'!G293="","",'Оперативный ввод'!G293)</f>
        <v/>
      </c>
      <c r="H293" s="172">
        <f>IF('Оперативный ввод'!H293="","",'Оперативный ввод'!H293)</f>
        <v/>
      </c>
      <c r="I293" s="172">
        <f>IF('Оперативный ввод'!I293="","",'Оперативный ввод'!I293)</f>
        <v/>
      </c>
      <c r="J293" s="172">
        <f>IF('Оперативный ввод'!J293="","",'Оперативный ввод'!J293)</f>
        <v/>
      </c>
      <c r="K293" s="172">
        <f>IF('Оперативный ввод'!K293="","",'Оперативный ввод'!K293)</f>
        <v/>
      </c>
      <c r="L293" s="172">
        <f>IF('Оперативный ввод'!L293="","",'Оперативный ввод'!L293)</f>
        <v/>
      </c>
      <c r="M293" s="172">
        <f>IF('Оперативный ввод'!M293="","",'Оперативный ввод'!M293)</f>
        <v/>
      </c>
      <c r="N293" s="172">
        <f>IF('Оперативный ввод'!N293="","",'Оперативный ввод'!N293)</f>
        <v/>
      </c>
      <c r="O293" s="172">
        <f>IF('Оперативный ввод'!O293="","",'Оперативный ввод'!O293)</f>
        <v/>
      </c>
      <c r="P293" s="205">
        <f>IF(AND(A293="",B293=""),"",IF(AND(A293&lt;&gt;"",B293&lt;&gt;"",C293&lt;&gt;"",D293&lt;&gt;"",F293&lt;&gt;"",G293&lt;&gt;"",H293&lt;&gt;"",ISERROR(SEARCH("по паспорту",G293)),ISERROR(SEARCH("по паспорту",H293)),I293&lt;&gt;"",J293&lt;&gt;"",K293&lt;&gt;"",L293&lt;&gt;"",M293&lt;&gt;""),"ГОТОВО","НЕ ГОТОВО"))</f>
        <v/>
      </c>
      <c r="Q293" s="205">
        <f>IF(P293&lt;&gt;"ГОТОВО","", "Предварительное заключение: "&amp;A293&amp;", скв. "&amp;B293&amp;". МРП: "&amp;E293&amp;" сут. ГНО: "&amp;F293&amp;", типоразмер "&amp;G293&amp;", марка "&amp;H293&amp;". Событие: "&amp;I293&amp;". Признак: "&amp;J293&amp;". Узел: "&amp;K293&amp;". Предварительная причина: "&amp;L293&amp;". Основное осложнение: "&amp;M293&amp;IF(N293&lt;&gt;"","; сопутствующее: "&amp;N293,"")&amp;IF(O293&lt;&gt;"","; дополнительно: "&amp;O293,"")&amp;".")</f>
        <v/>
      </c>
      <c r="R293" s="172">
        <f>IF('Оперативный ввод'!P293="","",'Оперативный ввод'!P293)</f>
        <v/>
      </c>
      <c r="S293" s="172">
        <f>IF('Оперативный ввод'!Q293="","",'Оперативный ввод'!Q293)</f>
        <v/>
      </c>
      <c r="T293" s="172">
        <f>IF('Оперативный ввод'!R293="","",'Оперативный ввод'!R293)</f>
        <v/>
      </c>
      <c r="U293" s="172">
        <f>IF('Оперативный ввод'!S293="","",'Оперативный ввод'!S293)</f>
        <v/>
      </c>
      <c r="V293" s="172">
        <f>IF('Оперативный ввод'!T293="","",'Оперативный ввод'!T293)</f>
        <v/>
      </c>
      <c r="W293" s="172" t="n"/>
      <c r="X293" s="172" t="n"/>
      <c r="Y293" s="172" t="n"/>
      <c r="Z293" s="172" t="n"/>
      <c r="AA293" s="172">
        <f>IF('Оперативный ввод'!U293="","",'Оперативный ввод'!U293)</f>
        <v/>
      </c>
      <c r="AB293" s="172">
        <f>IF('Оперативный ввод'!V293="","",'Оперативный ввод'!V293)</f>
        <v/>
      </c>
      <c r="AC293" s="172">
        <f>IF('Оперативный ввод'!W293="","",'Оперативный ввод'!W293)</f>
        <v/>
      </c>
      <c r="BB293" s="172" t="n"/>
      <c r="BC293" s="172" t="n"/>
      <c r="BD293" s="205">
        <f>IF(AND(A293="",B293=""),"",IF(AND(P293="ГОТОВО",R293&lt;&gt;"",T293&lt;&gt;"",U293&lt;&gt;"",AA293&lt;&gt;"",AB293&lt;&gt;"",AC293&lt;&gt;"",BB293&lt;&gt;"",BC293&lt;&gt;""),"ГОТОВО","НЕ ГОТОВО"))</f>
        <v/>
      </c>
      <c r="BE293" s="205">
        <f>IF(BD293&lt;&gt;"ГОТОВО","","Полное заключение: "&amp;A293&amp;", скв. "&amp;B293&amp;". МРП: "&amp;E293&amp;" сут. ГНО: "&amp;F293&amp;"; причина: "&amp;U293&amp;"; категория: "&amp;V293&amp;"; решение комиссии: "&amp;BB293&amp;".")</f>
        <v/>
      </c>
      <c r="BF293" s="173">
        <f>IF('Оперативный ввод'!X293="","",'Оперативный ввод'!X293)</f>
        <v/>
      </c>
    </row>
    <row r="294">
      <c r="A294" s="171">
        <f>IF('Оперативный ввод'!A294="","",'Оперативный ввод'!A294)</f>
        <v/>
      </c>
      <c r="B294" s="172">
        <f>IF('Оперативный ввод'!B294="","",'Оперативный ввод'!B294)</f>
        <v/>
      </c>
      <c r="C294" s="270">
        <f>IF('Оперативный ввод'!C294="","",'Оперативный ввод'!C294)</f>
        <v/>
      </c>
      <c r="D294" s="270">
        <f>IF('Оперативный ввод'!D294="","",'Оперативный ввод'!D294)</f>
        <v/>
      </c>
      <c r="E294" s="271">
        <f>IF(OR(C294="",D294=""),"",D294-C294)</f>
        <v/>
      </c>
      <c r="F294" s="172">
        <f>IF('Оперативный ввод'!F294="","",'Оперативный ввод'!F294)</f>
        <v/>
      </c>
      <c r="G294" s="172">
        <f>IF('Оперативный ввод'!G294="","",'Оперативный ввод'!G294)</f>
        <v/>
      </c>
      <c r="H294" s="172">
        <f>IF('Оперативный ввод'!H294="","",'Оперативный ввод'!H294)</f>
        <v/>
      </c>
      <c r="I294" s="172">
        <f>IF('Оперативный ввод'!I294="","",'Оперативный ввод'!I294)</f>
        <v/>
      </c>
      <c r="J294" s="172">
        <f>IF('Оперативный ввод'!J294="","",'Оперативный ввод'!J294)</f>
        <v/>
      </c>
      <c r="K294" s="172">
        <f>IF('Оперативный ввод'!K294="","",'Оперативный ввод'!K294)</f>
        <v/>
      </c>
      <c r="L294" s="172">
        <f>IF('Оперативный ввод'!L294="","",'Оперативный ввод'!L294)</f>
        <v/>
      </c>
      <c r="M294" s="172">
        <f>IF('Оперативный ввод'!M294="","",'Оперативный ввод'!M294)</f>
        <v/>
      </c>
      <c r="N294" s="172">
        <f>IF('Оперативный ввод'!N294="","",'Оперативный ввод'!N294)</f>
        <v/>
      </c>
      <c r="O294" s="172">
        <f>IF('Оперативный ввод'!O294="","",'Оперативный ввод'!O294)</f>
        <v/>
      </c>
      <c r="P294" s="205">
        <f>IF(AND(A294="",B294=""),"",IF(AND(A294&lt;&gt;"",B294&lt;&gt;"",C294&lt;&gt;"",D294&lt;&gt;"",F294&lt;&gt;"",G294&lt;&gt;"",H294&lt;&gt;"",ISERROR(SEARCH("по паспорту",G294)),ISERROR(SEARCH("по паспорту",H294)),I294&lt;&gt;"",J294&lt;&gt;"",K294&lt;&gt;"",L294&lt;&gt;"",M294&lt;&gt;""),"ГОТОВО","НЕ ГОТОВО"))</f>
        <v/>
      </c>
      <c r="Q294" s="205">
        <f>IF(P294&lt;&gt;"ГОТОВО","", "Предварительное заключение: "&amp;A294&amp;", скв. "&amp;B294&amp;". МРП: "&amp;E294&amp;" сут. ГНО: "&amp;F294&amp;", типоразмер "&amp;G294&amp;", марка "&amp;H294&amp;". Событие: "&amp;I294&amp;". Признак: "&amp;J294&amp;". Узел: "&amp;K294&amp;". Предварительная причина: "&amp;L294&amp;". Основное осложнение: "&amp;M294&amp;IF(N294&lt;&gt;"","; сопутствующее: "&amp;N294,"")&amp;IF(O294&lt;&gt;"","; дополнительно: "&amp;O294,"")&amp;".")</f>
        <v/>
      </c>
      <c r="R294" s="172">
        <f>IF('Оперативный ввод'!P294="","",'Оперативный ввод'!P294)</f>
        <v/>
      </c>
      <c r="S294" s="172">
        <f>IF('Оперативный ввод'!Q294="","",'Оперативный ввод'!Q294)</f>
        <v/>
      </c>
      <c r="T294" s="172">
        <f>IF('Оперативный ввод'!R294="","",'Оперативный ввод'!R294)</f>
        <v/>
      </c>
      <c r="U294" s="172">
        <f>IF('Оперативный ввод'!S294="","",'Оперативный ввод'!S294)</f>
        <v/>
      </c>
      <c r="V294" s="172">
        <f>IF('Оперативный ввод'!T294="","",'Оперативный ввод'!T294)</f>
        <v/>
      </c>
      <c r="W294" s="172" t="n"/>
      <c r="X294" s="172" t="n"/>
      <c r="Y294" s="172" t="n"/>
      <c r="Z294" s="172" t="n"/>
      <c r="AA294" s="172">
        <f>IF('Оперативный ввод'!U294="","",'Оперативный ввод'!U294)</f>
        <v/>
      </c>
      <c r="AB294" s="172">
        <f>IF('Оперативный ввод'!V294="","",'Оперативный ввод'!V294)</f>
        <v/>
      </c>
      <c r="AC294" s="172">
        <f>IF('Оперативный ввод'!W294="","",'Оперативный ввод'!W294)</f>
        <v/>
      </c>
      <c r="BB294" s="172" t="n"/>
      <c r="BC294" s="172" t="n"/>
      <c r="BD294" s="205">
        <f>IF(AND(A294="",B294=""),"",IF(AND(P294="ГОТОВО",R294&lt;&gt;"",T294&lt;&gt;"",U294&lt;&gt;"",AA294&lt;&gt;"",AB294&lt;&gt;"",AC294&lt;&gt;"",BB294&lt;&gt;"",BC294&lt;&gt;""),"ГОТОВО","НЕ ГОТОВО"))</f>
        <v/>
      </c>
      <c r="BE294" s="205">
        <f>IF(BD294&lt;&gt;"ГОТОВО","","Полное заключение: "&amp;A294&amp;", скв. "&amp;B294&amp;". МРП: "&amp;E294&amp;" сут. ГНО: "&amp;F294&amp;"; причина: "&amp;U294&amp;"; категория: "&amp;V294&amp;"; решение комиссии: "&amp;BB294&amp;".")</f>
        <v/>
      </c>
      <c r="BF294" s="173">
        <f>IF('Оперативный ввод'!X294="","",'Оперативный ввод'!X294)</f>
        <v/>
      </c>
    </row>
    <row r="295">
      <c r="A295" s="171">
        <f>IF('Оперативный ввод'!A295="","",'Оперативный ввод'!A295)</f>
        <v/>
      </c>
      <c r="B295" s="172">
        <f>IF('Оперативный ввод'!B295="","",'Оперативный ввод'!B295)</f>
        <v/>
      </c>
      <c r="C295" s="270">
        <f>IF('Оперативный ввод'!C295="","",'Оперативный ввод'!C295)</f>
        <v/>
      </c>
      <c r="D295" s="270">
        <f>IF('Оперативный ввод'!D295="","",'Оперативный ввод'!D295)</f>
        <v/>
      </c>
      <c r="E295" s="271">
        <f>IF(OR(C295="",D295=""),"",D295-C295)</f>
        <v/>
      </c>
      <c r="F295" s="172">
        <f>IF('Оперативный ввод'!F295="","",'Оперативный ввод'!F295)</f>
        <v/>
      </c>
      <c r="G295" s="172">
        <f>IF('Оперативный ввод'!G295="","",'Оперативный ввод'!G295)</f>
        <v/>
      </c>
      <c r="H295" s="172">
        <f>IF('Оперативный ввод'!H295="","",'Оперативный ввод'!H295)</f>
        <v/>
      </c>
      <c r="I295" s="172">
        <f>IF('Оперативный ввод'!I295="","",'Оперативный ввод'!I295)</f>
        <v/>
      </c>
      <c r="J295" s="172">
        <f>IF('Оперативный ввод'!J295="","",'Оперативный ввод'!J295)</f>
        <v/>
      </c>
      <c r="K295" s="172">
        <f>IF('Оперативный ввод'!K295="","",'Оперативный ввод'!K295)</f>
        <v/>
      </c>
      <c r="L295" s="172">
        <f>IF('Оперативный ввод'!L295="","",'Оперативный ввод'!L295)</f>
        <v/>
      </c>
      <c r="M295" s="172">
        <f>IF('Оперативный ввод'!M295="","",'Оперативный ввод'!M295)</f>
        <v/>
      </c>
      <c r="N295" s="172">
        <f>IF('Оперативный ввод'!N295="","",'Оперативный ввод'!N295)</f>
        <v/>
      </c>
      <c r="O295" s="172">
        <f>IF('Оперативный ввод'!O295="","",'Оперативный ввод'!O295)</f>
        <v/>
      </c>
      <c r="P295" s="205">
        <f>IF(AND(A295="",B295=""),"",IF(AND(A295&lt;&gt;"",B295&lt;&gt;"",C295&lt;&gt;"",D295&lt;&gt;"",F295&lt;&gt;"",G295&lt;&gt;"",H295&lt;&gt;"",ISERROR(SEARCH("по паспорту",G295)),ISERROR(SEARCH("по паспорту",H295)),I295&lt;&gt;"",J295&lt;&gt;"",K295&lt;&gt;"",L295&lt;&gt;"",M295&lt;&gt;""),"ГОТОВО","НЕ ГОТОВО"))</f>
        <v/>
      </c>
      <c r="Q295" s="205">
        <f>IF(P295&lt;&gt;"ГОТОВО","", "Предварительное заключение: "&amp;A295&amp;", скв. "&amp;B295&amp;". МРП: "&amp;E295&amp;" сут. ГНО: "&amp;F295&amp;", типоразмер "&amp;G295&amp;", марка "&amp;H295&amp;". Событие: "&amp;I295&amp;". Признак: "&amp;J295&amp;". Узел: "&amp;K295&amp;". Предварительная причина: "&amp;L295&amp;". Основное осложнение: "&amp;M295&amp;IF(N295&lt;&gt;"","; сопутствующее: "&amp;N295,"")&amp;IF(O295&lt;&gt;"","; дополнительно: "&amp;O295,"")&amp;".")</f>
        <v/>
      </c>
      <c r="R295" s="172">
        <f>IF('Оперативный ввод'!P295="","",'Оперативный ввод'!P295)</f>
        <v/>
      </c>
      <c r="S295" s="172">
        <f>IF('Оперативный ввод'!Q295="","",'Оперативный ввод'!Q295)</f>
        <v/>
      </c>
      <c r="T295" s="172">
        <f>IF('Оперативный ввод'!R295="","",'Оперативный ввод'!R295)</f>
        <v/>
      </c>
      <c r="U295" s="172">
        <f>IF('Оперативный ввод'!S295="","",'Оперативный ввод'!S295)</f>
        <v/>
      </c>
      <c r="V295" s="172">
        <f>IF('Оперативный ввод'!T295="","",'Оперативный ввод'!T295)</f>
        <v/>
      </c>
      <c r="W295" s="172" t="n"/>
      <c r="X295" s="172" t="n"/>
      <c r="Y295" s="172" t="n"/>
      <c r="Z295" s="172" t="n"/>
      <c r="AA295" s="172">
        <f>IF('Оперативный ввод'!U295="","",'Оперативный ввод'!U295)</f>
        <v/>
      </c>
      <c r="AB295" s="172">
        <f>IF('Оперативный ввод'!V295="","",'Оперативный ввод'!V295)</f>
        <v/>
      </c>
      <c r="AC295" s="172">
        <f>IF('Оперативный ввод'!W295="","",'Оперативный ввод'!W295)</f>
        <v/>
      </c>
      <c r="BB295" s="172" t="n"/>
      <c r="BC295" s="172" t="n"/>
      <c r="BD295" s="205">
        <f>IF(AND(A295="",B295=""),"",IF(AND(P295="ГОТОВО",R295&lt;&gt;"",T295&lt;&gt;"",U295&lt;&gt;"",AA295&lt;&gt;"",AB295&lt;&gt;"",AC295&lt;&gt;"",BB295&lt;&gt;"",BC295&lt;&gt;""),"ГОТОВО","НЕ ГОТОВО"))</f>
        <v/>
      </c>
      <c r="BE295" s="205">
        <f>IF(BD295&lt;&gt;"ГОТОВО","","Полное заключение: "&amp;A295&amp;", скв. "&amp;B295&amp;". МРП: "&amp;E295&amp;" сут. ГНО: "&amp;F295&amp;"; причина: "&amp;U295&amp;"; категория: "&amp;V295&amp;"; решение комиссии: "&amp;BB295&amp;".")</f>
        <v/>
      </c>
      <c r="BF295" s="173">
        <f>IF('Оперативный ввод'!X295="","",'Оперативный ввод'!X295)</f>
        <v/>
      </c>
    </row>
    <row r="296">
      <c r="A296" s="171">
        <f>IF('Оперативный ввод'!A296="","",'Оперативный ввод'!A296)</f>
        <v/>
      </c>
      <c r="B296" s="172">
        <f>IF('Оперативный ввод'!B296="","",'Оперативный ввод'!B296)</f>
        <v/>
      </c>
      <c r="C296" s="270">
        <f>IF('Оперативный ввод'!C296="","",'Оперативный ввод'!C296)</f>
        <v/>
      </c>
      <c r="D296" s="270">
        <f>IF('Оперативный ввод'!D296="","",'Оперативный ввод'!D296)</f>
        <v/>
      </c>
      <c r="E296" s="271">
        <f>IF(OR(C296="",D296=""),"",D296-C296)</f>
        <v/>
      </c>
      <c r="F296" s="172">
        <f>IF('Оперативный ввод'!F296="","",'Оперативный ввод'!F296)</f>
        <v/>
      </c>
      <c r="G296" s="172">
        <f>IF('Оперативный ввод'!G296="","",'Оперативный ввод'!G296)</f>
        <v/>
      </c>
      <c r="H296" s="172">
        <f>IF('Оперативный ввод'!H296="","",'Оперативный ввод'!H296)</f>
        <v/>
      </c>
      <c r="I296" s="172">
        <f>IF('Оперативный ввод'!I296="","",'Оперативный ввод'!I296)</f>
        <v/>
      </c>
      <c r="J296" s="172">
        <f>IF('Оперативный ввод'!J296="","",'Оперативный ввод'!J296)</f>
        <v/>
      </c>
      <c r="K296" s="172">
        <f>IF('Оперативный ввод'!K296="","",'Оперативный ввод'!K296)</f>
        <v/>
      </c>
      <c r="L296" s="172">
        <f>IF('Оперативный ввод'!L296="","",'Оперативный ввод'!L296)</f>
        <v/>
      </c>
      <c r="M296" s="172">
        <f>IF('Оперативный ввод'!M296="","",'Оперативный ввод'!M296)</f>
        <v/>
      </c>
      <c r="N296" s="172">
        <f>IF('Оперативный ввод'!N296="","",'Оперативный ввод'!N296)</f>
        <v/>
      </c>
      <c r="O296" s="172">
        <f>IF('Оперативный ввод'!O296="","",'Оперативный ввод'!O296)</f>
        <v/>
      </c>
      <c r="P296" s="205">
        <f>IF(AND(A296="",B296=""),"",IF(AND(A296&lt;&gt;"",B296&lt;&gt;"",C296&lt;&gt;"",D296&lt;&gt;"",F296&lt;&gt;"",G296&lt;&gt;"",H296&lt;&gt;"",ISERROR(SEARCH("по паспорту",G296)),ISERROR(SEARCH("по паспорту",H296)),I296&lt;&gt;"",J296&lt;&gt;"",K296&lt;&gt;"",L296&lt;&gt;"",M296&lt;&gt;""),"ГОТОВО","НЕ ГОТОВО"))</f>
        <v/>
      </c>
      <c r="Q296" s="205">
        <f>IF(P296&lt;&gt;"ГОТОВО","", "Предварительное заключение: "&amp;A296&amp;", скв. "&amp;B296&amp;". МРП: "&amp;E296&amp;" сут. ГНО: "&amp;F296&amp;", типоразмер "&amp;G296&amp;", марка "&amp;H296&amp;". Событие: "&amp;I296&amp;". Признак: "&amp;J296&amp;". Узел: "&amp;K296&amp;". Предварительная причина: "&amp;L296&amp;". Основное осложнение: "&amp;M296&amp;IF(N296&lt;&gt;"","; сопутствующее: "&amp;N296,"")&amp;IF(O296&lt;&gt;"","; дополнительно: "&amp;O296,"")&amp;".")</f>
        <v/>
      </c>
      <c r="R296" s="172">
        <f>IF('Оперативный ввод'!P296="","",'Оперативный ввод'!P296)</f>
        <v/>
      </c>
      <c r="S296" s="172">
        <f>IF('Оперативный ввод'!Q296="","",'Оперативный ввод'!Q296)</f>
        <v/>
      </c>
      <c r="T296" s="172">
        <f>IF('Оперативный ввод'!R296="","",'Оперативный ввод'!R296)</f>
        <v/>
      </c>
      <c r="U296" s="172">
        <f>IF('Оперативный ввод'!S296="","",'Оперативный ввод'!S296)</f>
        <v/>
      </c>
      <c r="V296" s="172">
        <f>IF('Оперативный ввод'!T296="","",'Оперативный ввод'!T296)</f>
        <v/>
      </c>
      <c r="W296" s="172" t="n"/>
      <c r="X296" s="172" t="n"/>
      <c r="Y296" s="172" t="n"/>
      <c r="Z296" s="172" t="n"/>
      <c r="AA296" s="172">
        <f>IF('Оперативный ввод'!U296="","",'Оперативный ввод'!U296)</f>
        <v/>
      </c>
      <c r="AB296" s="172">
        <f>IF('Оперативный ввод'!V296="","",'Оперативный ввод'!V296)</f>
        <v/>
      </c>
      <c r="AC296" s="172">
        <f>IF('Оперативный ввод'!W296="","",'Оперативный ввод'!W296)</f>
        <v/>
      </c>
      <c r="BB296" s="172" t="n"/>
      <c r="BC296" s="172" t="n"/>
      <c r="BD296" s="205">
        <f>IF(AND(A296="",B296=""),"",IF(AND(P296="ГОТОВО",R296&lt;&gt;"",T296&lt;&gt;"",U296&lt;&gt;"",AA296&lt;&gt;"",AB296&lt;&gt;"",AC296&lt;&gt;"",BB296&lt;&gt;"",BC296&lt;&gt;""),"ГОТОВО","НЕ ГОТОВО"))</f>
        <v/>
      </c>
      <c r="BE296" s="205">
        <f>IF(BD296&lt;&gt;"ГОТОВО","","Полное заключение: "&amp;A296&amp;", скв. "&amp;B296&amp;". МРП: "&amp;E296&amp;" сут. ГНО: "&amp;F296&amp;"; причина: "&amp;U296&amp;"; категория: "&amp;V296&amp;"; решение комиссии: "&amp;BB296&amp;".")</f>
        <v/>
      </c>
      <c r="BF296" s="173">
        <f>IF('Оперативный ввод'!X296="","",'Оперативный ввод'!X296)</f>
        <v/>
      </c>
    </row>
    <row r="297">
      <c r="A297" s="171">
        <f>IF('Оперативный ввод'!A297="","",'Оперативный ввод'!A297)</f>
        <v/>
      </c>
      <c r="B297" s="172">
        <f>IF('Оперативный ввод'!B297="","",'Оперативный ввод'!B297)</f>
        <v/>
      </c>
      <c r="C297" s="270">
        <f>IF('Оперативный ввод'!C297="","",'Оперативный ввод'!C297)</f>
        <v/>
      </c>
      <c r="D297" s="270">
        <f>IF('Оперативный ввод'!D297="","",'Оперативный ввод'!D297)</f>
        <v/>
      </c>
      <c r="E297" s="271">
        <f>IF(OR(C297="",D297=""),"",D297-C297)</f>
        <v/>
      </c>
      <c r="F297" s="172">
        <f>IF('Оперативный ввод'!F297="","",'Оперативный ввод'!F297)</f>
        <v/>
      </c>
      <c r="G297" s="172">
        <f>IF('Оперативный ввод'!G297="","",'Оперативный ввод'!G297)</f>
        <v/>
      </c>
      <c r="H297" s="172">
        <f>IF('Оперативный ввод'!H297="","",'Оперативный ввод'!H297)</f>
        <v/>
      </c>
      <c r="I297" s="172">
        <f>IF('Оперативный ввод'!I297="","",'Оперативный ввод'!I297)</f>
        <v/>
      </c>
      <c r="J297" s="172">
        <f>IF('Оперативный ввод'!J297="","",'Оперативный ввод'!J297)</f>
        <v/>
      </c>
      <c r="K297" s="172">
        <f>IF('Оперативный ввод'!K297="","",'Оперативный ввод'!K297)</f>
        <v/>
      </c>
      <c r="L297" s="172">
        <f>IF('Оперативный ввод'!L297="","",'Оперативный ввод'!L297)</f>
        <v/>
      </c>
      <c r="M297" s="172">
        <f>IF('Оперативный ввод'!M297="","",'Оперативный ввод'!M297)</f>
        <v/>
      </c>
      <c r="N297" s="172">
        <f>IF('Оперативный ввод'!N297="","",'Оперативный ввод'!N297)</f>
        <v/>
      </c>
      <c r="O297" s="172">
        <f>IF('Оперативный ввод'!O297="","",'Оперативный ввод'!O297)</f>
        <v/>
      </c>
      <c r="P297" s="205">
        <f>IF(AND(A297="",B297=""),"",IF(AND(A297&lt;&gt;"",B297&lt;&gt;"",C297&lt;&gt;"",D297&lt;&gt;"",F297&lt;&gt;"",G297&lt;&gt;"",H297&lt;&gt;"",ISERROR(SEARCH("по паспорту",G297)),ISERROR(SEARCH("по паспорту",H297)),I297&lt;&gt;"",J297&lt;&gt;"",K297&lt;&gt;"",L297&lt;&gt;"",M297&lt;&gt;""),"ГОТОВО","НЕ ГОТОВО"))</f>
        <v/>
      </c>
      <c r="Q297" s="205">
        <f>IF(P297&lt;&gt;"ГОТОВО","", "Предварительное заключение: "&amp;A297&amp;", скв. "&amp;B297&amp;". МРП: "&amp;E297&amp;" сут. ГНО: "&amp;F297&amp;", типоразмер "&amp;G297&amp;", марка "&amp;H297&amp;". Событие: "&amp;I297&amp;". Признак: "&amp;J297&amp;". Узел: "&amp;K297&amp;". Предварительная причина: "&amp;L297&amp;". Основное осложнение: "&amp;M297&amp;IF(N297&lt;&gt;"","; сопутствующее: "&amp;N297,"")&amp;IF(O297&lt;&gt;"","; дополнительно: "&amp;O297,"")&amp;".")</f>
        <v/>
      </c>
      <c r="R297" s="172">
        <f>IF('Оперативный ввод'!P297="","",'Оперативный ввод'!P297)</f>
        <v/>
      </c>
      <c r="S297" s="172">
        <f>IF('Оперативный ввод'!Q297="","",'Оперативный ввод'!Q297)</f>
        <v/>
      </c>
      <c r="T297" s="172">
        <f>IF('Оперативный ввод'!R297="","",'Оперативный ввод'!R297)</f>
        <v/>
      </c>
      <c r="U297" s="172">
        <f>IF('Оперативный ввод'!S297="","",'Оперативный ввод'!S297)</f>
        <v/>
      </c>
      <c r="V297" s="172">
        <f>IF('Оперативный ввод'!T297="","",'Оперативный ввод'!T297)</f>
        <v/>
      </c>
      <c r="W297" s="172" t="n"/>
      <c r="X297" s="172" t="n"/>
      <c r="Y297" s="172" t="n"/>
      <c r="Z297" s="172" t="n"/>
      <c r="AA297" s="172">
        <f>IF('Оперативный ввод'!U297="","",'Оперативный ввод'!U297)</f>
        <v/>
      </c>
      <c r="AB297" s="172">
        <f>IF('Оперативный ввод'!V297="","",'Оперативный ввод'!V297)</f>
        <v/>
      </c>
      <c r="AC297" s="172">
        <f>IF('Оперативный ввод'!W297="","",'Оперативный ввод'!W297)</f>
        <v/>
      </c>
      <c r="BB297" s="172" t="n"/>
      <c r="BC297" s="172" t="n"/>
      <c r="BD297" s="205">
        <f>IF(AND(A297="",B297=""),"",IF(AND(P297="ГОТОВО",R297&lt;&gt;"",T297&lt;&gt;"",U297&lt;&gt;"",AA297&lt;&gt;"",AB297&lt;&gt;"",AC297&lt;&gt;"",BB297&lt;&gt;"",BC297&lt;&gt;""),"ГОТОВО","НЕ ГОТОВО"))</f>
        <v/>
      </c>
      <c r="BE297" s="205">
        <f>IF(BD297&lt;&gt;"ГОТОВО","","Полное заключение: "&amp;A297&amp;", скв. "&amp;B297&amp;". МРП: "&amp;E297&amp;" сут. ГНО: "&amp;F297&amp;"; причина: "&amp;U297&amp;"; категория: "&amp;V297&amp;"; решение комиссии: "&amp;BB297&amp;".")</f>
        <v/>
      </c>
      <c r="BF297" s="173">
        <f>IF('Оперативный ввод'!X297="","",'Оперативный ввод'!X297)</f>
        <v/>
      </c>
    </row>
    <row r="298">
      <c r="A298" s="171">
        <f>IF('Оперативный ввод'!A298="","",'Оперативный ввод'!A298)</f>
        <v/>
      </c>
      <c r="B298" s="172">
        <f>IF('Оперативный ввод'!B298="","",'Оперативный ввод'!B298)</f>
        <v/>
      </c>
      <c r="C298" s="270">
        <f>IF('Оперативный ввод'!C298="","",'Оперативный ввод'!C298)</f>
        <v/>
      </c>
      <c r="D298" s="270">
        <f>IF('Оперативный ввод'!D298="","",'Оперативный ввод'!D298)</f>
        <v/>
      </c>
      <c r="E298" s="271">
        <f>IF(OR(C298="",D298=""),"",D298-C298)</f>
        <v/>
      </c>
      <c r="F298" s="172">
        <f>IF('Оперативный ввод'!F298="","",'Оперативный ввод'!F298)</f>
        <v/>
      </c>
      <c r="G298" s="172">
        <f>IF('Оперативный ввод'!G298="","",'Оперативный ввод'!G298)</f>
        <v/>
      </c>
      <c r="H298" s="172">
        <f>IF('Оперативный ввод'!H298="","",'Оперативный ввод'!H298)</f>
        <v/>
      </c>
      <c r="I298" s="172">
        <f>IF('Оперативный ввод'!I298="","",'Оперативный ввод'!I298)</f>
        <v/>
      </c>
      <c r="J298" s="172">
        <f>IF('Оперативный ввод'!J298="","",'Оперативный ввод'!J298)</f>
        <v/>
      </c>
      <c r="K298" s="172">
        <f>IF('Оперативный ввод'!K298="","",'Оперативный ввод'!K298)</f>
        <v/>
      </c>
      <c r="L298" s="172">
        <f>IF('Оперативный ввод'!L298="","",'Оперативный ввод'!L298)</f>
        <v/>
      </c>
      <c r="M298" s="172">
        <f>IF('Оперативный ввод'!M298="","",'Оперативный ввод'!M298)</f>
        <v/>
      </c>
      <c r="N298" s="172">
        <f>IF('Оперативный ввод'!N298="","",'Оперативный ввод'!N298)</f>
        <v/>
      </c>
      <c r="O298" s="172">
        <f>IF('Оперативный ввод'!O298="","",'Оперативный ввод'!O298)</f>
        <v/>
      </c>
      <c r="P298" s="205">
        <f>IF(AND(A298="",B298=""),"",IF(AND(A298&lt;&gt;"",B298&lt;&gt;"",C298&lt;&gt;"",D298&lt;&gt;"",F298&lt;&gt;"",G298&lt;&gt;"",H298&lt;&gt;"",ISERROR(SEARCH("по паспорту",G298)),ISERROR(SEARCH("по паспорту",H298)),I298&lt;&gt;"",J298&lt;&gt;"",K298&lt;&gt;"",L298&lt;&gt;"",M298&lt;&gt;""),"ГОТОВО","НЕ ГОТОВО"))</f>
        <v/>
      </c>
      <c r="Q298" s="205">
        <f>IF(P298&lt;&gt;"ГОТОВО","", "Предварительное заключение: "&amp;A298&amp;", скв. "&amp;B298&amp;". МРП: "&amp;E298&amp;" сут. ГНО: "&amp;F298&amp;", типоразмер "&amp;G298&amp;", марка "&amp;H298&amp;". Событие: "&amp;I298&amp;". Признак: "&amp;J298&amp;". Узел: "&amp;K298&amp;". Предварительная причина: "&amp;L298&amp;". Основное осложнение: "&amp;M298&amp;IF(N298&lt;&gt;"","; сопутствующее: "&amp;N298,"")&amp;IF(O298&lt;&gt;"","; дополнительно: "&amp;O298,"")&amp;".")</f>
        <v/>
      </c>
      <c r="R298" s="172">
        <f>IF('Оперативный ввод'!P298="","",'Оперативный ввод'!P298)</f>
        <v/>
      </c>
      <c r="S298" s="172">
        <f>IF('Оперативный ввод'!Q298="","",'Оперативный ввод'!Q298)</f>
        <v/>
      </c>
      <c r="T298" s="172">
        <f>IF('Оперативный ввод'!R298="","",'Оперативный ввод'!R298)</f>
        <v/>
      </c>
      <c r="U298" s="172">
        <f>IF('Оперативный ввод'!S298="","",'Оперативный ввод'!S298)</f>
        <v/>
      </c>
      <c r="V298" s="172">
        <f>IF('Оперативный ввод'!T298="","",'Оперативный ввод'!T298)</f>
        <v/>
      </c>
      <c r="W298" s="172" t="n"/>
      <c r="X298" s="172" t="n"/>
      <c r="Y298" s="172" t="n"/>
      <c r="Z298" s="172" t="n"/>
      <c r="AA298" s="172">
        <f>IF('Оперативный ввод'!U298="","",'Оперативный ввод'!U298)</f>
        <v/>
      </c>
      <c r="AB298" s="172">
        <f>IF('Оперативный ввод'!V298="","",'Оперативный ввод'!V298)</f>
        <v/>
      </c>
      <c r="AC298" s="172">
        <f>IF('Оперативный ввод'!W298="","",'Оперативный ввод'!W298)</f>
        <v/>
      </c>
      <c r="BB298" s="172" t="n"/>
      <c r="BC298" s="172" t="n"/>
      <c r="BD298" s="205">
        <f>IF(AND(A298="",B298=""),"",IF(AND(P298="ГОТОВО",R298&lt;&gt;"",T298&lt;&gt;"",U298&lt;&gt;"",AA298&lt;&gt;"",AB298&lt;&gt;"",AC298&lt;&gt;"",BB298&lt;&gt;"",BC298&lt;&gt;""),"ГОТОВО","НЕ ГОТОВО"))</f>
        <v/>
      </c>
      <c r="BE298" s="205">
        <f>IF(BD298&lt;&gt;"ГОТОВО","","Полное заключение: "&amp;A298&amp;", скв. "&amp;B298&amp;". МРП: "&amp;E298&amp;" сут. ГНО: "&amp;F298&amp;"; причина: "&amp;U298&amp;"; категория: "&amp;V298&amp;"; решение комиссии: "&amp;BB298&amp;".")</f>
        <v/>
      </c>
      <c r="BF298" s="173">
        <f>IF('Оперативный ввод'!X298="","",'Оперативный ввод'!X298)</f>
        <v/>
      </c>
    </row>
    <row r="299">
      <c r="A299" s="171">
        <f>IF('Оперативный ввод'!A299="","",'Оперативный ввод'!A299)</f>
        <v/>
      </c>
      <c r="B299" s="172">
        <f>IF('Оперативный ввод'!B299="","",'Оперативный ввод'!B299)</f>
        <v/>
      </c>
      <c r="C299" s="270">
        <f>IF('Оперативный ввод'!C299="","",'Оперативный ввод'!C299)</f>
        <v/>
      </c>
      <c r="D299" s="270">
        <f>IF('Оперативный ввод'!D299="","",'Оперативный ввод'!D299)</f>
        <v/>
      </c>
      <c r="E299" s="271">
        <f>IF(OR(C299="",D299=""),"",D299-C299)</f>
        <v/>
      </c>
      <c r="F299" s="172">
        <f>IF('Оперативный ввод'!F299="","",'Оперативный ввод'!F299)</f>
        <v/>
      </c>
      <c r="G299" s="172">
        <f>IF('Оперативный ввод'!G299="","",'Оперативный ввод'!G299)</f>
        <v/>
      </c>
      <c r="H299" s="172">
        <f>IF('Оперативный ввод'!H299="","",'Оперативный ввод'!H299)</f>
        <v/>
      </c>
      <c r="I299" s="172">
        <f>IF('Оперативный ввод'!I299="","",'Оперативный ввод'!I299)</f>
        <v/>
      </c>
      <c r="J299" s="172">
        <f>IF('Оперативный ввод'!J299="","",'Оперативный ввод'!J299)</f>
        <v/>
      </c>
      <c r="K299" s="172">
        <f>IF('Оперативный ввод'!K299="","",'Оперативный ввод'!K299)</f>
        <v/>
      </c>
      <c r="L299" s="172">
        <f>IF('Оперативный ввод'!L299="","",'Оперативный ввод'!L299)</f>
        <v/>
      </c>
      <c r="M299" s="172">
        <f>IF('Оперативный ввод'!M299="","",'Оперативный ввод'!M299)</f>
        <v/>
      </c>
      <c r="N299" s="172">
        <f>IF('Оперативный ввод'!N299="","",'Оперативный ввод'!N299)</f>
        <v/>
      </c>
      <c r="O299" s="172">
        <f>IF('Оперативный ввод'!O299="","",'Оперативный ввод'!O299)</f>
        <v/>
      </c>
      <c r="P299" s="205">
        <f>IF(AND(A299="",B299=""),"",IF(AND(A299&lt;&gt;"",B299&lt;&gt;"",C299&lt;&gt;"",D299&lt;&gt;"",F299&lt;&gt;"",G299&lt;&gt;"",H299&lt;&gt;"",ISERROR(SEARCH("по паспорту",G299)),ISERROR(SEARCH("по паспорту",H299)),I299&lt;&gt;"",J299&lt;&gt;"",K299&lt;&gt;"",L299&lt;&gt;"",M299&lt;&gt;""),"ГОТОВО","НЕ ГОТОВО"))</f>
        <v/>
      </c>
      <c r="Q299" s="205">
        <f>IF(P299&lt;&gt;"ГОТОВО","", "Предварительное заключение: "&amp;A299&amp;", скв. "&amp;B299&amp;". МРП: "&amp;E299&amp;" сут. ГНО: "&amp;F299&amp;", типоразмер "&amp;G299&amp;", марка "&amp;H299&amp;". Событие: "&amp;I299&amp;". Признак: "&amp;J299&amp;". Узел: "&amp;K299&amp;". Предварительная причина: "&amp;L299&amp;". Основное осложнение: "&amp;M299&amp;IF(N299&lt;&gt;"","; сопутствующее: "&amp;N299,"")&amp;IF(O299&lt;&gt;"","; дополнительно: "&amp;O299,"")&amp;".")</f>
        <v/>
      </c>
      <c r="R299" s="172">
        <f>IF('Оперативный ввод'!P299="","",'Оперативный ввод'!P299)</f>
        <v/>
      </c>
      <c r="S299" s="172">
        <f>IF('Оперативный ввод'!Q299="","",'Оперативный ввод'!Q299)</f>
        <v/>
      </c>
      <c r="T299" s="172">
        <f>IF('Оперативный ввод'!R299="","",'Оперативный ввод'!R299)</f>
        <v/>
      </c>
      <c r="U299" s="172">
        <f>IF('Оперативный ввод'!S299="","",'Оперативный ввод'!S299)</f>
        <v/>
      </c>
      <c r="V299" s="172">
        <f>IF('Оперативный ввод'!T299="","",'Оперативный ввод'!T299)</f>
        <v/>
      </c>
      <c r="W299" s="172" t="n"/>
      <c r="X299" s="172" t="n"/>
      <c r="Y299" s="172" t="n"/>
      <c r="Z299" s="172" t="n"/>
      <c r="AA299" s="172">
        <f>IF('Оперативный ввод'!U299="","",'Оперативный ввод'!U299)</f>
        <v/>
      </c>
      <c r="AB299" s="172">
        <f>IF('Оперативный ввод'!V299="","",'Оперативный ввод'!V299)</f>
        <v/>
      </c>
      <c r="AC299" s="172">
        <f>IF('Оперативный ввод'!W299="","",'Оперативный ввод'!W299)</f>
        <v/>
      </c>
      <c r="BB299" s="172" t="n"/>
      <c r="BC299" s="172" t="n"/>
      <c r="BD299" s="205">
        <f>IF(AND(A299="",B299=""),"",IF(AND(P299="ГОТОВО",R299&lt;&gt;"",T299&lt;&gt;"",U299&lt;&gt;"",AA299&lt;&gt;"",AB299&lt;&gt;"",AC299&lt;&gt;"",BB299&lt;&gt;"",BC299&lt;&gt;""),"ГОТОВО","НЕ ГОТОВО"))</f>
        <v/>
      </c>
      <c r="BE299" s="205">
        <f>IF(BD299&lt;&gt;"ГОТОВО","","Полное заключение: "&amp;A299&amp;", скв. "&amp;B299&amp;". МРП: "&amp;E299&amp;" сут. ГНО: "&amp;F299&amp;"; причина: "&amp;U299&amp;"; категория: "&amp;V299&amp;"; решение комиссии: "&amp;BB299&amp;".")</f>
        <v/>
      </c>
      <c r="BF299" s="173">
        <f>IF('Оперативный ввод'!X299="","",'Оперативный ввод'!X299)</f>
        <v/>
      </c>
    </row>
    <row r="300">
      <c r="A300" s="171">
        <f>IF('Оперативный ввод'!A300="","",'Оперативный ввод'!A300)</f>
        <v/>
      </c>
      <c r="B300" s="172">
        <f>IF('Оперативный ввод'!B300="","",'Оперативный ввод'!B300)</f>
        <v/>
      </c>
      <c r="C300" s="270">
        <f>IF('Оперативный ввод'!C300="","",'Оперативный ввод'!C300)</f>
        <v/>
      </c>
      <c r="D300" s="270">
        <f>IF('Оперативный ввод'!D300="","",'Оперативный ввод'!D300)</f>
        <v/>
      </c>
      <c r="E300" s="271">
        <f>IF(OR(C300="",D300=""),"",D300-C300)</f>
        <v/>
      </c>
      <c r="F300" s="172">
        <f>IF('Оперативный ввод'!F300="","",'Оперативный ввод'!F300)</f>
        <v/>
      </c>
      <c r="G300" s="172">
        <f>IF('Оперативный ввод'!G300="","",'Оперативный ввод'!G300)</f>
        <v/>
      </c>
      <c r="H300" s="172">
        <f>IF('Оперативный ввод'!H300="","",'Оперативный ввод'!H300)</f>
        <v/>
      </c>
      <c r="I300" s="172">
        <f>IF('Оперативный ввод'!I300="","",'Оперативный ввод'!I300)</f>
        <v/>
      </c>
      <c r="J300" s="172">
        <f>IF('Оперативный ввод'!J300="","",'Оперативный ввод'!J300)</f>
        <v/>
      </c>
      <c r="K300" s="172">
        <f>IF('Оперативный ввод'!K300="","",'Оперативный ввод'!K300)</f>
        <v/>
      </c>
      <c r="L300" s="172">
        <f>IF('Оперативный ввод'!L300="","",'Оперативный ввод'!L300)</f>
        <v/>
      </c>
      <c r="M300" s="172">
        <f>IF('Оперативный ввод'!M300="","",'Оперативный ввод'!M300)</f>
        <v/>
      </c>
      <c r="N300" s="172">
        <f>IF('Оперативный ввод'!N300="","",'Оперативный ввод'!N300)</f>
        <v/>
      </c>
      <c r="O300" s="172">
        <f>IF('Оперативный ввод'!O300="","",'Оперативный ввод'!O300)</f>
        <v/>
      </c>
      <c r="P300" s="205">
        <f>IF(AND(A300="",B300=""),"",IF(AND(A300&lt;&gt;"",B300&lt;&gt;"",C300&lt;&gt;"",D300&lt;&gt;"",F300&lt;&gt;"",G300&lt;&gt;"",H300&lt;&gt;"",ISERROR(SEARCH("по паспорту",G300)),ISERROR(SEARCH("по паспорту",H300)),I300&lt;&gt;"",J300&lt;&gt;"",K300&lt;&gt;"",L300&lt;&gt;"",M300&lt;&gt;""),"ГОТОВО","НЕ ГОТОВО"))</f>
        <v/>
      </c>
      <c r="Q300" s="205">
        <f>IF(P300&lt;&gt;"ГОТОВО","", "Предварительное заключение: "&amp;A300&amp;", скв. "&amp;B300&amp;". МРП: "&amp;E300&amp;" сут. ГНО: "&amp;F300&amp;", типоразмер "&amp;G300&amp;", марка "&amp;H300&amp;". Событие: "&amp;I300&amp;". Признак: "&amp;J300&amp;". Узел: "&amp;K300&amp;". Предварительная причина: "&amp;L300&amp;". Основное осложнение: "&amp;M300&amp;IF(N300&lt;&gt;"","; сопутствующее: "&amp;N300,"")&amp;IF(O300&lt;&gt;"","; дополнительно: "&amp;O300,"")&amp;".")</f>
        <v/>
      </c>
      <c r="R300" s="172">
        <f>IF('Оперативный ввод'!P300="","",'Оперативный ввод'!P300)</f>
        <v/>
      </c>
      <c r="S300" s="172">
        <f>IF('Оперативный ввод'!Q300="","",'Оперативный ввод'!Q300)</f>
        <v/>
      </c>
      <c r="T300" s="172">
        <f>IF('Оперативный ввод'!R300="","",'Оперативный ввод'!R300)</f>
        <v/>
      </c>
      <c r="U300" s="172">
        <f>IF('Оперативный ввод'!S300="","",'Оперативный ввод'!S300)</f>
        <v/>
      </c>
      <c r="V300" s="172">
        <f>IF('Оперативный ввод'!T300="","",'Оперативный ввод'!T300)</f>
        <v/>
      </c>
      <c r="W300" s="172" t="n"/>
      <c r="X300" s="172" t="n"/>
      <c r="Y300" s="172" t="n"/>
      <c r="Z300" s="172" t="n"/>
      <c r="AA300" s="172">
        <f>IF('Оперативный ввод'!U300="","",'Оперативный ввод'!U300)</f>
        <v/>
      </c>
      <c r="AB300" s="172">
        <f>IF('Оперативный ввод'!V300="","",'Оперативный ввод'!V300)</f>
        <v/>
      </c>
      <c r="AC300" s="172">
        <f>IF('Оперативный ввод'!W300="","",'Оперативный ввод'!W300)</f>
        <v/>
      </c>
      <c r="BB300" s="172" t="n"/>
      <c r="BC300" s="172" t="n"/>
      <c r="BD300" s="205">
        <f>IF(AND(A300="",B300=""),"",IF(AND(P300="ГОТОВО",R300&lt;&gt;"",T300&lt;&gt;"",U300&lt;&gt;"",AA300&lt;&gt;"",AB300&lt;&gt;"",AC300&lt;&gt;"",BB300&lt;&gt;"",BC300&lt;&gt;""),"ГОТОВО","НЕ ГОТОВО"))</f>
        <v/>
      </c>
      <c r="BE300" s="205">
        <f>IF(BD300&lt;&gt;"ГОТОВО","","Полное заключение: "&amp;A300&amp;", скв. "&amp;B300&amp;". МРП: "&amp;E300&amp;" сут. ГНО: "&amp;F300&amp;"; причина: "&amp;U300&amp;"; категория: "&amp;V300&amp;"; решение комиссии: "&amp;BB300&amp;".")</f>
        <v/>
      </c>
      <c r="BF300" s="173">
        <f>IF('Оперативный ввод'!X300="","",'Оперативный ввод'!X300)</f>
        <v/>
      </c>
    </row>
    <row r="301">
      <c r="A301" s="171">
        <f>IF('Оперативный ввод'!A301="","",'Оперативный ввод'!A301)</f>
        <v/>
      </c>
      <c r="B301" s="172">
        <f>IF('Оперативный ввод'!B301="","",'Оперативный ввод'!B301)</f>
        <v/>
      </c>
      <c r="C301" s="270">
        <f>IF('Оперативный ввод'!C301="","",'Оперативный ввод'!C301)</f>
        <v/>
      </c>
      <c r="D301" s="270">
        <f>IF('Оперативный ввод'!D301="","",'Оперативный ввод'!D301)</f>
        <v/>
      </c>
      <c r="E301" s="271">
        <f>IF(OR(C301="",D301=""),"",D301-C301)</f>
        <v/>
      </c>
      <c r="F301" s="172">
        <f>IF('Оперативный ввод'!F301="","",'Оперативный ввод'!F301)</f>
        <v/>
      </c>
      <c r="G301" s="172">
        <f>IF('Оперативный ввод'!G301="","",'Оперативный ввод'!G301)</f>
        <v/>
      </c>
      <c r="H301" s="172">
        <f>IF('Оперативный ввод'!H301="","",'Оперативный ввод'!H301)</f>
        <v/>
      </c>
      <c r="I301" s="172">
        <f>IF('Оперативный ввод'!I301="","",'Оперативный ввод'!I301)</f>
        <v/>
      </c>
      <c r="J301" s="172">
        <f>IF('Оперативный ввод'!J301="","",'Оперативный ввод'!J301)</f>
        <v/>
      </c>
      <c r="K301" s="172">
        <f>IF('Оперативный ввод'!K301="","",'Оперативный ввод'!K301)</f>
        <v/>
      </c>
      <c r="L301" s="172">
        <f>IF('Оперативный ввод'!L301="","",'Оперативный ввод'!L301)</f>
        <v/>
      </c>
      <c r="M301" s="172">
        <f>IF('Оперативный ввод'!M301="","",'Оперативный ввод'!M301)</f>
        <v/>
      </c>
      <c r="N301" s="172">
        <f>IF('Оперативный ввод'!N301="","",'Оперативный ввод'!N301)</f>
        <v/>
      </c>
      <c r="O301" s="172">
        <f>IF('Оперативный ввод'!O301="","",'Оперативный ввод'!O301)</f>
        <v/>
      </c>
      <c r="P301" s="205">
        <f>IF(AND(A301="",B301=""),"",IF(AND(A301&lt;&gt;"",B301&lt;&gt;"",C301&lt;&gt;"",D301&lt;&gt;"",F301&lt;&gt;"",G301&lt;&gt;"",H301&lt;&gt;"",ISERROR(SEARCH("по паспорту",G301)),ISERROR(SEARCH("по паспорту",H301)),I301&lt;&gt;"",J301&lt;&gt;"",K301&lt;&gt;"",L301&lt;&gt;"",M301&lt;&gt;""),"ГОТОВО","НЕ ГОТОВО"))</f>
        <v/>
      </c>
      <c r="Q301" s="205">
        <f>IF(P301&lt;&gt;"ГОТОВО","", "Предварительное заключение: "&amp;A301&amp;", скв. "&amp;B301&amp;". МРП: "&amp;E301&amp;" сут. ГНО: "&amp;F301&amp;", типоразмер "&amp;G301&amp;", марка "&amp;H301&amp;". Событие: "&amp;I301&amp;". Признак: "&amp;J301&amp;". Узел: "&amp;K301&amp;". Предварительная причина: "&amp;L301&amp;". Основное осложнение: "&amp;M301&amp;IF(N301&lt;&gt;"","; сопутствующее: "&amp;N301,"")&amp;IF(O301&lt;&gt;"","; дополнительно: "&amp;O301,"")&amp;".")</f>
        <v/>
      </c>
      <c r="R301" s="172">
        <f>IF('Оперативный ввод'!P301="","",'Оперативный ввод'!P301)</f>
        <v/>
      </c>
      <c r="S301" s="172">
        <f>IF('Оперативный ввод'!Q301="","",'Оперативный ввод'!Q301)</f>
        <v/>
      </c>
      <c r="T301" s="172">
        <f>IF('Оперативный ввод'!R301="","",'Оперативный ввод'!R301)</f>
        <v/>
      </c>
      <c r="U301" s="172">
        <f>IF('Оперативный ввод'!S301="","",'Оперативный ввод'!S301)</f>
        <v/>
      </c>
      <c r="V301" s="172">
        <f>IF('Оперативный ввод'!T301="","",'Оперативный ввод'!T301)</f>
        <v/>
      </c>
      <c r="W301" s="172" t="n"/>
      <c r="X301" s="172" t="n"/>
      <c r="Y301" s="172" t="n"/>
      <c r="Z301" s="172" t="n"/>
      <c r="AA301" s="172">
        <f>IF('Оперативный ввод'!U301="","",'Оперативный ввод'!U301)</f>
        <v/>
      </c>
      <c r="AB301" s="172">
        <f>IF('Оперативный ввод'!V301="","",'Оперативный ввод'!V301)</f>
        <v/>
      </c>
      <c r="AC301" s="172">
        <f>IF('Оперативный ввод'!W301="","",'Оперативный ввод'!W301)</f>
        <v/>
      </c>
      <c r="BB301" s="172" t="n"/>
      <c r="BC301" s="172" t="n"/>
      <c r="BD301" s="205">
        <f>IF(AND(A301="",B301=""),"",IF(AND(P301="ГОТОВО",R301&lt;&gt;"",T301&lt;&gt;"",U301&lt;&gt;"",AA301&lt;&gt;"",AB301&lt;&gt;"",AC301&lt;&gt;"",BB301&lt;&gt;"",BC301&lt;&gt;""),"ГОТОВО","НЕ ГОТОВО"))</f>
        <v/>
      </c>
      <c r="BE301" s="205">
        <f>IF(BD301&lt;&gt;"ГОТОВО","","Полное заключение: "&amp;A301&amp;", скв. "&amp;B301&amp;". МРП: "&amp;E301&amp;" сут. ГНО: "&amp;F301&amp;"; причина: "&amp;U301&amp;"; категория: "&amp;V301&amp;"; решение комиссии: "&amp;BB301&amp;".")</f>
        <v/>
      </c>
      <c r="BF301" s="173">
        <f>IF('Оперативный ввод'!X301="","",'Оперативный ввод'!X301)</f>
        <v/>
      </c>
    </row>
    <row r="302">
      <c r="A302" s="171">
        <f>IF('Оперативный ввод'!A302="","",'Оперативный ввод'!A302)</f>
        <v/>
      </c>
      <c r="B302" s="172">
        <f>IF('Оперативный ввод'!B302="","",'Оперативный ввод'!B302)</f>
        <v/>
      </c>
      <c r="C302" s="270">
        <f>IF('Оперативный ввод'!C302="","",'Оперативный ввод'!C302)</f>
        <v/>
      </c>
      <c r="D302" s="270">
        <f>IF('Оперативный ввод'!D302="","",'Оперативный ввод'!D302)</f>
        <v/>
      </c>
      <c r="E302" s="271">
        <f>IF(OR(C302="",D302=""),"",D302-C302)</f>
        <v/>
      </c>
      <c r="F302" s="172">
        <f>IF('Оперативный ввод'!F302="","",'Оперативный ввод'!F302)</f>
        <v/>
      </c>
      <c r="G302" s="172">
        <f>IF('Оперативный ввод'!G302="","",'Оперативный ввод'!G302)</f>
        <v/>
      </c>
      <c r="H302" s="172">
        <f>IF('Оперативный ввод'!H302="","",'Оперативный ввод'!H302)</f>
        <v/>
      </c>
      <c r="I302" s="172">
        <f>IF('Оперативный ввод'!I302="","",'Оперативный ввод'!I302)</f>
        <v/>
      </c>
      <c r="J302" s="172">
        <f>IF('Оперативный ввод'!J302="","",'Оперативный ввод'!J302)</f>
        <v/>
      </c>
      <c r="K302" s="172">
        <f>IF('Оперативный ввод'!K302="","",'Оперативный ввод'!K302)</f>
        <v/>
      </c>
      <c r="L302" s="172">
        <f>IF('Оперативный ввод'!L302="","",'Оперативный ввод'!L302)</f>
        <v/>
      </c>
      <c r="M302" s="172">
        <f>IF('Оперативный ввод'!M302="","",'Оперативный ввод'!M302)</f>
        <v/>
      </c>
      <c r="N302" s="172">
        <f>IF('Оперативный ввод'!N302="","",'Оперативный ввод'!N302)</f>
        <v/>
      </c>
      <c r="O302" s="172">
        <f>IF('Оперативный ввод'!O302="","",'Оперативный ввод'!O302)</f>
        <v/>
      </c>
      <c r="P302" s="205">
        <f>IF(AND(A302="",B302=""),"",IF(AND(A302&lt;&gt;"",B302&lt;&gt;"",C302&lt;&gt;"",D302&lt;&gt;"",F302&lt;&gt;"",G302&lt;&gt;"",H302&lt;&gt;"",ISERROR(SEARCH("по паспорту",G302)),ISERROR(SEARCH("по паспорту",H302)),I302&lt;&gt;"",J302&lt;&gt;"",K302&lt;&gt;"",L302&lt;&gt;"",M302&lt;&gt;""),"ГОТОВО","НЕ ГОТОВО"))</f>
        <v/>
      </c>
      <c r="Q302" s="205">
        <f>IF(P302&lt;&gt;"ГОТОВО","", "Предварительное заключение: "&amp;A302&amp;", скв. "&amp;B302&amp;". МРП: "&amp;E302&amp;" сут. ГНО: "&amp;F302&amp;", типоразмер "&amp;G302&amp;", марка "&amp;H302&amp;". Событие: "&amp;I302&amp;". Признак: "&amp;J302&amp;". Узел: "&amp;K302&amp;". Предварительная причина: "&amp;L302&amp;". Основное осложнение: "&amp;M302&amp;IF(N302&lt;&gt;"","; сопутствующее: "&amp;N302,"")&amp;IF(O302&lt;&gt;"","; дополнительно: "&amp;O302,"")&amp;".")</f>
        <v/>
      </c>
      <c r="R302" s="172">
        <f>IF('Оперативный ввод'!P302="","",'Оперативный ввод'!P302)</f>
        <v/>
      </c>
      <c r="S302" s="172">
        <f>IF('Оперативный ввод'!Q302="","",'Оперативный ввод'!Q302)</f>
        <v/>
      </c>
      <c r="T302" s="172">
        <f>IF('Оперативный ввод'!R302="","",'Оперативный ввод'!R302)</f>
        <v/>
      </c>
      <c r="U302" s="172">
        <f>IF('Оперативный ввод'!S302="","",'Оперативный ввод'!S302)</f>
        <v/>
      </c>
      <c r="V302" s="172">
        <f>IF('Оперативный ввод'!T302="","",'Оперативный ввод'!T302)</f>
        <v/>
      </c>
      <c r="W302" s="172" t="n"/>
      <c r="X302" s="172" t="n"/>
      <c r="Y302" s="172" t="n"/>
      <c r="Z302" s="172" t="n"/>
      <c r="AA302" s="172">
        <f>IF('Оперативный ввод'!U302="","",'Оперативный ввод'!U302)</f>
        <v/>
      </c>
      <c r="AB302" s="172">
        <f>IF('Оперативный ввод'!V302="","",'Оперативный ввод'!V302)</f>
        <v/>
      </c>
      <c r="AC302" s="172">
        <f>IF('Оперативный ввод'!W302="","",'Оперативный ввод'!W302)</f>
        <v/>
      </c>
      <c r="BB302" s="172" t="n"/>
      <c r="BC302" s="172" t="n"/>
      <c r="BD302" s="205">
        <f>IF(AND(A302="",B302=""),"",IF(AND(P302="ГОТОВО",R302&lt;&gt;"",T302&lt;&gt;"",U302&lt;&gt;"",AA302&lt;&gt;"",AB302&lt;&gt;"",AC302&lt;&gt;"",BB302&lt;&gt;"",BC302&lt;&gt;""),"ГОТОВО","НЕ ГОТОВО"))</f>
        <v/>
      </c>
      <c r="BE302" s="205">
        <f>IF(BD302&lt;&gt;"ГОТОВО","","Полное заключение: "&amp;A302&amp;", скв. "&amp;B302&amp;". МРП: "&amp;E302&amp;" сут. ГНО: "&amp;F302&amp;"; причина: "&amp;U302&amp;"; категория: "&amp;V302&amp;"; решение комиссии: "&amp;BB302&amp;".")</f>
        <v/>
      </c>
      <c r="BF302" s="173">
        <f>IF('Оперативный ввод'!X302="","",'Оперативный ввод'!X302)</f>
        <v/>
      </c>
    </row>
    <row r="303">
      <c r="A303" s="171">
        <f>IF('Оперативный ввод'!A303="","",'Оперативный ввод'!A303)</f>
        <v/>
      </c>
      <c r="B303" s="172">
        <f>IF('Оперативный ввод'!B303="","",'Оперативный ввод'!B303)</f>
        <v/>
      </c>
      <c r="C303" s="270">
        <f>IF('Оперативный ввод'!C303="","",'Оперативный ввод'!C303)</f>
        <v/>
      </c>
      <c r="D303" s="270">
        <f>IF('Оперативный ввод'!D303="","",'Оперативный ввод'!D303)</f>
        <v/>
      </c>
      <c r="E303" s="271">
        <f>IF(OR(C303="",D303=""),"",D303-C303)</f>
        <v/>
      </c>
      <c r="F303" s="172">
        <f>IF('Оперативный ввод'!F303="","",'Оперативный ввод'!F303)</f>
        <v/>
      </c>
      <c r="G303" s="172">
        <f>IF('Оперативный ввод'!G303="","",'Оперативный ввод'!G303)</f>
        <v/>
      </c>
      <c r="H303" s="172">
        <f>IF('Оперативный ввод'!H303="","",'Оперативный ввод'!H303)</f>
        <v/>
      </c>
      <c r="I303" s="172">
        <f>IF('Оперативный ввод'!I303="","",'Оперативный ввод'!I303)</f>
        <v/>
      </c>
      <c r="J303" s="172">
        <f>IF('Оперативный ввод'!J303="","",'Оперативный ввод'!J303)</f>
        <v/>
      </c>
      <c r="K303" s="172">
        <f>IF('Оперативный ввод'!K303="","",'Оперативный ввод'!K303)</f>
        <v/>
      </c>
      <c r="L303" s="172">
        <f>IF('Оперативный ввод'!L303="","",'Оперативный ввод'!L303)</f>
        <v/>
      </c>
      <c r="M303" s="172">
        <f>IF('Оперативный ввод'!M303="","",'Оперативный ввод'!M303)</f>
        <v/>
      </c>
      <c r="N303" s="172">
        <f>IF('Оперативный ввод'!N303="","",'Оперативный ввод'!N303)</f>
        <v/>
      </c>
      <c r="O303" s="172">
        <f>IF('Оперативный ввод'!O303="","",'Оперативный ввод'!O303)</f>
        <v/>
      </c>
      <c r="P303" s="205">
        <f>IF(AND(A303="",B303=""),"",IF(AND(A303&lt;&gt;"",B303&lt;&gt;"",C303&lt;&gt;"",D303&lt;&gt;"",F303&lt;&gt;"",G303&lt;&gt;"",H303&lt;&gt;"",ISERROR(SEARCH("по паспорту",G303)),ISERROR(SEARCH("по паспорту",H303)),I303&lt;&gt;"",J303&lt;&gt;"",K303&lt;&gt;"",L303&lt;&gt;"",M303&lt;&gt;""),"ГОТОВО","НЕ ГОТОВО"))</f>
        <v/>
      </c>
      <c r="Q303" s="205">
        <f>IF(P303&lt;&gt;"ГОТОВО","", "Предварительное заключение: "&amp;A303&amp;", скв. "&amp;B303&amp;". МРП: "&amp;E303&amp;" сут. ГНО: "&amp;F303&amp;", типоразмер "&amp;G303&amp;", марка "&amp;H303&amp;". Событие: "&amp;I303&amp;". Признак: "&amp;J303&amp;". Узел: "&amp;K303&amp;". Предварительная причина: "&amp;L303&amp;". Основное осложнение: "&amp;M303&amp;IF(N303&lt;&gt;"","; сопутствующее: "&amp;N303,"")&amp;IF(O303&lt;&gt;"","; дополнительно: "&amp;O303,"")&amp;".")</f>
        <v/>
      </c>
      <c r="R303" s="172">
        <f>IF('Оперативный ввод'!P303="","",'Оперативный ввод'!P303)</f>
        <v/>
      </c>
      <c r="S303" s="172">
        <f>IF('Оперативный ввод'!Q303="","",'Оперативный ввод'!Q303)</f>
        <v/>
      </c>
      <c r="T303" s="172">
        <f>IF('Оперативный ввод'!R303="","",'Оперативный ввод'!R303)</f>
        <v/>
      </c>
      <c r="U303" s="172">
        <f>IF('Оперативный ввод'!S303="","",'Оперативный ввод'!S303)</f>
        <v/>
      </c>
      <c r="V303" s="172">
        <f>IF('Оперативный ввод'!T303="","",'Оперативный ввод'!T303)</f>
        <v/>
      </c>
      <c r="W303" s="172" t="n"/>
      <c r="X303" s="172" t="n"/>
      <c r="Y303" s="172" t="n"/>
      <c r="Z303" s="172" t="n"/>
      <c r="AA303" s="172">
        <f>IF('Оперативный ввод'!U303="","",'Оперативный ввод'!U303)</f>
        <v/>
      </c>
      <c r="AB303" s="172">
        <f>IF('Оперативный ввод'!V303="","",'Оперативный ввод'!V303)</f>
        <v/>
      </c>
      <c r="AC303" s="172">
        <f>IF('Оперативный ввод'!W303="","",'Оперативный ввод'!W303)</f>
        <v/>
      </c>
      <c r="BB303" s="172" t="n"/>
      <c r="BC303" s="172" t="n"/>
      <c r="BD303" s="205">
        <f>IF(AND(A303="",B303=""),"",IF(AND(P303="ГОТОВО",R303&lt;&gt;"",T303&lt;&gt;"",U303&lt;&gt;"",AA303&lt;&gt;"",AB303&lt;&gt;"",AC303&lt;&gt;"",BB303&lt;&gt;"",BC303&lt;&gt;""),"ГОТОВО","НЕ ГОТОВО"))</f>
        <v/>
      </c>
      <c r="BE303" s="205">
        <f>IF(BD303&lt;&gt;"ГОТОВО","","Полное заключение: "&amp;A303&amp;", скв. "&amp;B303&amp;". МРП: "&amp;E303&amp;" сут. ГНО: "&amp;F303&amp;"; причина: "&amp;U303&amp;"; категория: "&amp;V303&amp;"; решение комиссии: "&amp;BB303&amp;".")</f>
        <v/>
      </c>
      <c r="BF303" s="173">
        <f>IF('Оперативный ввод'!X303="","",'Оперативный ввод'!X303)</f>
        <v/>
      </c>
    </row>
    <row r="304">
      <c r="A304" s="171">
        <f>IF('Оперативный ввод'!A304="","",'Оперативный ввод'!A304)</f>
        <v/>
      </c>
      <c r="B304" s="172">
        <f>IF('Оперативный ввод'!B304="","",'Оперативный ввод'!B304)</f>
        <v/>
      </c>
      <c r="C304" s="270">
        <f>IF('Оперативный ввод'!C304="","",'Оперативный ввод'!C304)</f>
        <v/>
      </c>
      <c r="D304" s="270">
        <f>IF('Оперативный ввод'!D304="","",'Оперативный ввод'!D304)</f>
        <v/>
      </c>
      <c r="E304" s="271">
        <f>IF(OR(C304="",D304=""),"",D304-C304)</f>
        <v/>
      </c>
      <c r="F304" s="172">
        <f>IF('Оперативный ввод'!F304="","",'Оперативный ввод'!F304)</f>
        <v/>
      </c>
      <c r="G304" s="172">
        <f>IF('Оперативный ввод'!G304="","",'Оперативный ввод'!G304)</f>
        <v/>
      </c>
      <c r="H304" s="172">
        <f>IF('Оперативный ввод'!H304="","",'Оперативный ввод'!H304)</f>
        <v/>
      </c>
      <c r="I304" s="172">
        <f>IF('Оперативный ввод'!I304="","",'Оперативный ввод'!I304)</f>
        <v/>
      </c>
      <c r="J304" s="172">
        <f>IF('Оперативный ввод'!J304="","",'Оперативный ввод'!J304)</f>
        <v/>
      </c>
      <c r="K304" s="172">
        <f>IF('Оперативный ввод'!K304="","",'Оперативный ввод'!K304)</f>
        <v/>
      </c>
      <c r="L304" s="172">
        <f>IF('Оперативный ввод'!L304="","",'Оперативный ввод'!L304)</f>
        <v/>
      </c>
      <c r="M304" s="172">
        <f>IF('Оперативный ввод'!M304="","",'Оперативный ввод'!M304)</f>
        <v/>
      </c>
      <c r="N304" s="172">
        <f>IF('Оперативный ввод'!N304="","",'Оперативный ввод'!N304)</f>
        <v/>
      </c>
      <c r="O304" s="172">
        <f>IF('Оперативный ввод'!O304="","",'Оперативный ввод'!O304)</f>
        <v/>
      </c>
      <c r="P304" s="205">
        <f>IF(AND(A304="",B304=""),"",IF(AND(A304&lt;&gt;"",B304&lt;&gt;"",C304&lt;&gt;"",D304&lt;&gt;"",F304&lt;&gt;"",G304&lt;&gt;"",H304&lt;&gt;"",ISERROR(SEARCH("по паспорту",G304)),ISERROR(SEARCH("по паспорту",H304)),I304&lt;&gt;"",J304&lt;&gt;"",K304&lt;&gt;"",L304&lt;&gt;"",M304&lt;&gt;""),"ГОТОВО","НЕ ГОТОВО"))</f>
        <v/>
      </c>
      <c r="Q304" s="205">
        <f>IF(P304&lt;&gt;"ГОТОВО","", "Предварительное заключение: "&amp;A304&amp;", скв. "&amp;B304&amp;". МРП: "&amp;E304&amp;" сут. ГНО: "&amp;F304&amp;", типоразмер "&amp;G304&amp;", марка "&amp;H304&amp;". Событие: "&amp;I304&amp;". Признак: "&amp;J304&amp;". Узел: "&amp;K304&amp;". Предварительная причина: "&amp;L304&amp;". Основное осложнение: "&amp;M304&amp;IF(N304&lt;&gt;"","; сопутствующее: "&amp;N304,"")&amp;IF(O304&lt;&gt;"","; дополнительно: "&amp;O304,"")&amp;".")</f>
        <v/>
      </c>
      <c r="R304" s="172">
        <f>IF('Оперативный ввод'!P304="","",'Оперативный ввод'!P304)</f>
        <v/>
      </c>
      <c r="S304" s="172">
        <f>IF('Оперативный ввод'!Q304="","",'Оперативный ввод'!Q304)</f>
        <v/>
      </c>
      <c r="T304" s="172">
        <f>IF('Оперативный ввод'!R304="","",'Оперативный ввод'!R304)</f>
        <v/>
      </c>
      <c r="U304" s="172">
        <f>IF('Оперативный ввод'!S304="","",'Оперативный ввод'!S304)</f>
        <v/>
      </c>
      <c r="V304" s="172">
        <f>IF('Оперативный ввод'!T304="","",'Оперативный ввод'!T304)</f>
        <v/>
      </c>
      <c r="W304" s="172" t="n"/>
      <c r="X304" s="172" t="n"/>
      <c r="Y304" s="172" t="n"/>
      <c r="Z304" s="172" t="n"/>
      <c r="AA304" s="172">
        <f>IF('Оперативный ввод'!U304="","",'Оперативный ввод'!U304)</f>
        <v/>
      </c>
      <c r="AB304" s="172">
        <f>IF('Оперативный ввод'!V304="","",'Оперативный ввод'!V304)</f>
        <v/>
      </c>
      <c r="AC304" s="172">
        <f>IF('Оперативный ввод'!W304="","",'Оперативный ввод'!W304)</f>
        <v/>
      </c>
      <c r="BB304" s="172" t="n"/>
      <c r="BC304" s="172" t="n"/>
      <c r="BD304" s="205">
        <f>IF(AND(A304="",B304=""),"",IF(AND(P304="ГОТОВО",R304&lt;&gt;"",T304&lt;&gt;"",U304&lt;&gt;"",AA304&lt;&gt;"",AB304&lt;&gt;"",AC304&lt;&gt;"",BB304&lt;&gt;"",BC304&lt;&gt;""),"ГОТОВО","НЕ ГОТОВО"))</f>
        <v/>
      </c>
      <c r="BE304" s="205">
        <f>IF(BD304&lt;&gt;"ГОТОВО","","Полное заключение: "&amp;A304&amp;", скв. "&amp;B304&amp;". МРП: "&amp;E304&amp;" сут. ГНО: "&amp;F304&amp;"; причина: "&amp;U304&amp;"; категория: "&amp;V304&amp;"; решение комиссии: "&amp;BB304&amp;".")</f>
        <v/>
      </c>
      <c r="BF304" s="173">
        <f>IF('Оперативный ввод'!X304="","",'Оперативный ввод'!X304)</f>
        <v/>
      </c>
    </row>
    <row r="305">
      <c r="A305" s="171">
        <f>IF('Оперативный ввод'!A305="","",'Оперативный ввод'!A305)</f>
        <v/>
      </c>
      <c r="B305" s="172">
        <f>IF('Оперативный ввод'!B305="","",'Оперативный ввод'!B305)</f>
        <v/>
      </c>
      <c r="C305" s="270">
        <f>IF('Оперативный ввод'!C305="","",'Оперативный ввод'!C305)</f>
        <v/>
      </c>
      <c r="D305" s="270">
        <f>IF('Оперативный ввод'!D305="","",'Оперативный ввод'!D305)</f>
        <v/>
      </c>
      <c r="E305" s="271">
        <f>IF(OR(C305="",D305=""),"",D305-C305)</f>
        <v/>
      </c>
      <c r="F305" s="172">
        <f>IF('Оперативный ввод'!F305="","",'Оперативный ввод'!F305)</f>
        <v/>
      </c>
      <c r="G305" s="172">
        <f>IF('Оперативный ввод'!G305="","",'Оперативный ввод'!G305)</f>
        <v/>
      </c>
      <c r="H305" s="172">
        <f>IF('Оперативный ввод'!H305="","",'Оперативный ввод'!H305)</f>
        <v/>
      </c>
      <c r="I305" s="172">
        <f>IF('Оперативный ввод'!I305="","",'Оперативный ввод'!I305)</f>
        <v/>
      </c>
      <c r="J305" s="172">
        <f>IF('Оперативный ввод'!J305="","",'Оперативный ввод'!J305)</f>
        <v/>
      </c>
      <c r="K305" s="172">
        <f>IF('Оперативный ввод'!K305="","",'Оперативный ввод'!K305)</f>
        <v/>
      </c>
      <c r="L305" s="172">
        <f>IF('Оперативный ввод'!L305="","",'Оперативный ввод'!L305)</f>
        <v/>
      </c>
      <c r="M305" s="172">
        <f>IF('Оперативный ввод'!M305="","",'Оперативный ввод'!M305)</f>
        <v/>
      </c>
      <c r="N305" s="172">
        <f>IF('Оперативный ввод'!N305="","",'Оперативный ввод'!N305)</f>
        <v/>
      </c>
      <c r="O305" s="172">
        <f>IF('Оперативный ввод'!O305="","",'Оперативный ввод'!O305)</f>
        <v/>
      </c>
      <c r="P305" s="205">
        <f>IF(AND(A305="",B305=""),"",IF(AND(A305&lt;&gt;"",B305&lt;&gt;"",C305&lt;&gt;"",D305&lt;&gt;"",F305&lt;&gt;"",G305&lt;&gt;"",H305&lt;&gt;"",ISERROR(SEARCH("по паспорту",G305)),ISERROR(SEARCH("по паспорту",H305)),I305&lt;&gt;"",J305&lt;&gt;"",K305&lt;&gt;"",L305&lt;&gt;"",M305&lt;&gt;""),"ГОТОВО","НЕ ГОТОВО"))</f>
        <v/>
      </c>
      <c r="Q305" s="205">
        <f>IF(P305&lt;&gt;"ГОТОВО","", "Предварительное заключение: "&amp;A305&amp;", скв. "&amp;B305&amp;". МРП: "&amp;E305&amp;" сут. ГНО: "&amp;F305&amp;", типоразмер "&amp;G305&amp;", марка "&amp;H305&amp;". Событие: "&amp;I305&amp;". Признак: "&amp;J305&amp;". Узел: "&amp;K305&amp;". Предварительная причина: "&amp;L305&amp;". Основное осложнение: "&amp;M305&amp;IF(N305&lt;&gt;"","; сопутствующее: "&amp;N305,"")&amp;IF(O305&lt;&gt;"","; дополнительно: "&amp;O305,"")&amp;".")</f>
        <v/>
      </c>
      <c r="R305" s="172">
        <f>IF('Оперативный ввод'!P305="","",'Оперативный ввод'!P305)</f>
        <v/>
      </c>
      <c r="S305" s="172">
        <f>IF('Оперативный ввод'!Q305="","",'Оперативный ввод'!Q305)</f>
        <v/>
      </c>
      <c r="T305" s="172">
        <f>IF('Оперативный ввод'!R305="","",'Оперативный ввод'!R305)</f>
        <v/>
      </c>
      <c r="U305" s="172">
        <f>IF('Оперативный ввод'!S305="","",'Оперативный ввод'!S305)</f>
        <v/>
      </c>
      <c r="V305" s="172">
        <f>IF('Оперативный ввод'!T305="","",'Оперативный ввод'!T305)</f>
        <v/>
      </c>
      <c r="W305" s="172" t="n"/>
      <c r="X305" s="172" t="n"/>
      <c r="Y305" s="172" t="n"/>
      <c r="Z305" s="172" t="n"/>
      <c r="AA305" s="172">
        <f>IF('Оперативный ввод'!U305="","",'Оперативный ввод'!U305)</f>
        <v/>
      </c>
      <c r="AB305" s="172">
        <f>IF('Оперативный ввод'!V305="","",'Оперативный ввод'!V305)</f>
        <v/>
      </c>
      <c r="AC305" s="172">
        <f>IF('Оперативный ввод'!W305="","",'Оперативный ввод'!W305)</f>
        <v/>
      </c>
      <c r="BB305" s="172" t="n"/>
      <c r="BC305" s="172" t="n"/>
      <c r="BD305" s="205">
        <f>IF(AND(A305="",B305=""),"",IF(AND(P305="ГОТОВО",R305&lt;&gt;"",T305&lt;&gt;"",U305&lt;&gt;"",AA305&lt;&gt;"",AB305&lt;&gt;"",AC305&lt;&gt;"",BB305&lt;&gt;"",BC305&lt;&gt;""),"ГОТОВО","НЕ ГОТОВО"))</f>
        <v/>
      </c>
      <c r="BE305" s="205">
        <f>IF(BD305&lt;&gt;"ГОТОВО","","Полное заключение: "&amp;A305&amp;", скв. "&amp;B305&amp;". МРП: "&amp;E305&amp;" сут. ГНО: "&amp;F305&amp;"; причина: "&amp;U305&amp;"; категория: "&amp;V305&amp;"; решение комиссии: "&amp;BB305&amp;".")</f>
        <v/>
      </c>
      <c r="BF305" s="173">
        <f>IF('Оперативный ввод'!X305="","",'Оперативный ввод'!X305)</f>
        <v/>
      </c>
    </row>
    <row r="306">
      <c r="A306" s="171">
        <f>IF('Оперативный ввод'!A306="","",'Оперативный ввод'!A306)</f>
        <v/>
      </c>
      <c r="B306" s="172">
        <f>IF('Оперативный ввод'!B306="","",'Оперативный ввод'!B306)</f>
        <v/>
      </c>
      <c r="C306" s="270">
        <f>IF('Оперативный ввод'!C306="","",'Оперативный ввод'!C306)</f>
        <v/>
      </c>
      <c r="D306" s="270">
        <f>IF('Оперативный ввод'!D306="","",'Оперативный ввод'!D306)</f>
        <v/>
      </c>
      <c r="E306" s="271">
        <f>IF(OR(C306="",D306=""),"",D306-C306)</f>
        <v/>
      </c>
      <c r="F306" s="172">
        <f>IF('Оперативный ввод'!F306="","",'Оперативный ввод'!F306)</f>
        <v/>
      </c>
      <c r="G306" s="172">
        <f>IF('Оперативный ввод'!G306="","",'Оперативный ввод'!G306)</f>
        <v/>
      </c>
      <c r="H306" s="172">
        <f>IF('Оперативный ввод'!H306="","",'Оперативный ввод'!H306)</f>
        <v/>
      </c>
      <c r="I306" s="172">
        <f>IF('Оперативный ввод'!I306="","",'Оперативный ввод'!I306)</f>
        <v/>
      </c>
      <c r="J306" s="172">
        <f>IF('Оперативный ввод'!J306="","",'Оперативный ввод'!J306)</f>
        <v/>
      </c>
      <c r="K306" s="172">
        <f>IF('Оперативный ввод'!K306="","",'Оперативный ввод'!K306)</f>
        <v/>
      </c>
      <c r="L306" s="172">
        <f>IF('Оперативный ввод'!L306="","",'Оперативный ввод'!L306)</f>
        <v/>
      </c>
      <c r="M306" s="172">
        <f>IF('Оперативный ввод'!M306="","",'Оперативный ввод'!M306)</f>
        <v/>
      </c>
      <c r="N306" s="172">
        <f>IF('Оперативный ввод'!N306="","",'Оперативный ввод'!N306)</f>
        <v/>
      </c>
      <c r="O306" s="172">
        <f>IF('Оперативный ввод'!O306="","",'Оперативный ввод'!O306)</f>
        <v/>
      </c>
      <c r="P306" s="205">
        <f>IF(AND(A306="",B306=""),"",IF(AND(A306&lt;&gt;"",B306&lt;&gt;"",C306&lt;&gt;"",D306&lt;&gt;"",F306&lt;&gt;"",G306&lt;&gt;"",H306&lt;&gt;"",ISERROR(SEARCH("по паспорту",G306)),ISERROR(SEARCH("по паспорту",H306)),I306&lt;&gt;"",J306&lt;&gt;"",K306&lt;&gt;"",L306&lt;&gt;"",M306&lt;&gt;""),"ГОТОВО","НЕ ГОТОВО"))</f>
        <v/>
      </c>
      <c r="Q306" s="205">
        <f>IF(P306&lt;&gt;"ГОТОВО","", "Предварительное заключение: "&amp;A306&amp;", скв. "&amp;B306&amp;". МРП: "&amp;E306&amp;" сут. ГНО: "&amp;F306&amp;", типоразмер "&amp;G306&amp;", марка "&amp;H306&amp;". Событие: "&amp;I306&amp;". Признак: "&amp;J306&amp;". Узел: "&amp;K306&amp;". Предварительная причина: "&amp;L306&amp;". Основное осложнение: "&amp;M306&amp;IF(N306&lt;&gt;"","; сопутствующее: "&amp;N306,"")&amp;IF(O306&lt;&gt;"","; дополнительно: "&amp;O306,"")&amp;".")</f>
        <v/>
      </c>
      <c r="R306" s="172">
        <f>IF('Оперативный ввод'!P306="","",'Оперативный ввод'!P306)</f>
        <v/>
      </c>
      <c r="S306" s="172">
        <f>IF('Оперативный ввод'!Q306="","",'Оперативный ввод'!Q306)</f>
        <v/>
      </c>
      <c r="T306" s="172">
        <f>IF('Оперативный ввод'!R306="","",'Оперативный ввод'!R306)</f>
        <v/>
      </c>
      <c r="U306" s="172">
        <f>IF('Оперативный ввод'!S306="","",'Оперативный ввод'!S306)</f>
        <v/>
      </c>
      <c r="V306" s="172">
        <f>IF('Оперативный ввод'!T306="","",'Оперативный ввод'!T306)</f>
        <v/>
      </c>
      <c r="W306" s="172" t="n"/>
      <c r="X306" s="172" t="n"/>
      <c r="Y306" s="172" t="n"/>
      <c r="Z306" s="172" t="n"/>
      <c r="AA306" s="172">
        <f>IF('Оперативный ввод'!U306="","",'Оперативный ввод'!U306)</f>
        <v/>
      </c>
      <c r="AB306" s="172">
        <f>IF('Оперативный ввод'!V306="","",'Оперативный ввод'!V306)</f>
        <v/>
      </c>
      <c r="AC306" s="172">
        <f>IF('Оперативный ввод'!W306="","",'Оперативный ввод'!W306)</f>
        <v/>
      </c>
      <c r="BB306" s="172" t="n"/>
      <c r="BC306" s="172" t="n"/>
      <c r="BD306" s="205">
        <f>IF(AND(A306="",B306=""),"",IF(AND(P306="ГОТОВО",R306&lt;&gt;"",T306&lt;&gt;"",U306&lt;&gt;"",AA306&lt;&gt;"",AB306&lt;&gt;"",AC306&lt;&gt;"",BB306&lt;&gt;"",BC306&lt;&gt;""),"ГОТОВО","НЕ ГОТОВО"))</f>
        <v/>
      </c>
      <c r="BE306" s="205">
        <f>IF(BD306&lt;&gt;"ГОТОВО","","Полное заключение: "&amp;A306&amp;", скв. "&amp;B306&amp;". МРП: "&amp;E306&amp;" сут. ГНО: "&amp;F306&amp;"; причина: "&amp;U306&amp;"; категория: "&amp;V306&amp;"; решение комиссии: "&amp;BB306&amp;".")</f>
        <v/>
      </c>
      <c r="BF306" s="173">
        <f>IF('Оперативный ввод'!X306="","",'Оперативный ввод'!X306)</f>
        <v/>
      </c>
    </row>
    <row r="307">
      <c r="A307" s="171">
        <f>IF('Оперативный ввод'!A307="","",'Оперативный ввод'!A307)</f>
        <v/>
      </c>
      <c r="B307" s="172">
        <f>IF('Оперативный ввод'!B307="","",'Оперативный ввод'!B307)</f>
        <v/>
      </c>
      <c r="C307" s="270">
        <f>IF('Оперативный ввод'!C307="","",'Оперативный ввод'!C307)</f>
        <v/>
      </c>
      <c r="D307" s="270">
        <f>IF('Оперативный ввод'!D307="","",'Оперативный ввод'!D307)</f>
        <v/>
      </c>
      <c r="E307" s="271">
        <f>IF(OR(C307="",D307=""),"",D307-C307)</f>
        <v/>
      </c>
      <c r="F307" s="172">
        <f>IF('Оперативный ввод'!F307="","",'Оперативный ввод'!F307)</f>
        <v/>
      </c>
      <c r="G307" s="172">
        <f>IF('Оперативный ввод'!G307="","",'Оперативный ввод'!G307)</f>
        <v/>
      </c>
      <c r="H307" s="172">
        <f>IF('Оперативный ввод'!H307="","",'Оперативный ввод'!H307)</f>
        <v/>
      </c>
      <c r="I307" s="172">
        <f>IF('Оперативный ввод'!I307="","",'Оперативный ввод'!I307)</f>
        <v/>
      </c>
      <c r="J307" s="172">
        <f>IF('Оперативный ввод'!J307="","",'Оперативный ввод'!J307)</f>
        <v/>
      </c>
      <c r="K307" s="172">
        <f>IF('Оперативный ввод'!K307="","",'Оперативный ввод'!K307)</f>
        <v/>
      </c>
      <c r="L307" s="172">
        <f>IF('Оперативный ввод'!L307="","",'Оперативный ввод'!L307)</f>
        <v/>
      </c>
      <c r="M307" s="172">
        <f>IF('Оперативный ввод'!M307="","",'Оперативный ввод'!M307)</f>
        <v/>
      </c>
      <c r="N307" s="172">
        <f>IF('Оперативный ввод'!N307="","",'Оперативный ввод'!N307)</f>
        <v/>
      </c>
      <c r="O307" s="172">
        <f>IF('Оперативный ввод'!O307="","",'Оперативный ввод'!O307)</f>
        <v/>
      </c>
      <c r="P307" s="205">
        <f>IF(AND(A307="",B307=""),"",IF(AND(A307&lt;&gt;"",B307&lt;&gt;"",C307&lt;&gt;"",D307&lt;&gt;"",F307&lt;&gt;"",G307&lt;&gt;"",H307&lt;&gt;"",ISERROR(SEARCH("по паспорту",G307)),ISERROR(SEARCH("по паспорту",H307)),I307&lt;&gt;"",J307&lt;&gt;"",K307&lt;&gt;"",L307&lt;&gt;"",M307&lt;&gt;""),"ГОТОВО","НЕ ГОТОВО"))</f>
        <v/>
      </c>
      <c r="Q307" s="205">
        <f>IF(P307&lt;&gt;"ГОТОВО","", "Предварительное заключение: "&amp;A307&amp;", скв. "&amp;B307&amp;". МРП: "&amp;E307&amp;" сут. ГНО: "&amp;F307&amp;", типоразмер "&amp;G307&amp;", марка "&amp;H307&amp;". Событие: "&amp;I307&amp;". Признак: "&amp;J307&amp;". Узел: "&amp;K307&amp;". Предварительная причина: "&amp;L307&amp;". Основное осложнение: "&amp;M307&amp;IF(N307&lt;&gt;"","; сопутствующее: "&amp;N307,"")&amp;IF(O307&lt;&gt;"","; дополнительно: "&amp;O307,"")&amp;".")</f>
        <v/>
      </c>
      <c r="R307" s="172">
        <f>IF('Оперативный ввод'!P307="","",'Оперативный ввод'!P307)</f>
        <v/>
      </c>
      <c r="S307" s="172">
        <f>IF('Оперативный ввод'!Q307="","",'Оперативный ввод'!Q307)</f>
        <v/>
      </c>
      <c r="T307" s="172">
        <f>IF('Оперативный ввод'!R307="","",'Оперативный ввод'!R307)</f>
        <v/>
      </c>
      <c r="U307" s="172">
        <f>IF('Оперативный ввод'!S307="","",'Оперативный ввод'!S307)</f>
        <v/>
      </c>
      <c r="V307" s="172">
        <f>IF('Оперативный ввод'!T307="","",'Оперативный ввод'!T307)</f>
        <v/>
      </c>
      <c r="W307" s="172" t="n"/>
      <c r="X307" s="172" t="n"/>
      <c r="Y307" s="172" t="n"/>
      <c r="Z307" s="172" t="n"/>
      <c r="AA307" s="172">
        <f>IF('Оперативный ввод'!U307="","",'Оперативный ввод'!U307)</f>
        <v/>
      </c>
      <c r="AB307" s="172">
        <f>IF('Оперативный ввод'!V307="","",'Оперативный ввод'!V307)</f>
        <v/>
      </c>
      <c r="AC307" s="172">
        <f>IF('Оперативный ввод'!W307="","",'Оперативный ввод'!W307)</f>
        <v/>
      </c>
      <c r="BB307" s="172" t="n"/>
      <c r="BC307" s="172" t="n"/>
      <c r="BD307" s="205">
        <f>IF(AND(A307="",B307=""),"",IF(AND(P307="ГОТОВО",R307&lt;&gt;"",T307&lt;&gt;"",U307&lt;&gt;"",AA307&lt;&gt;"",AB307&lt;&gt;"",AC307&lt;&gt;"",BB307&lt;&gt;"",BC307&lt;&gt;""),"ГОТОВО","НЕ ГОТОВО"))</f>
        <v/>
      </c>
      <c r="BE307" s="205">
        <f>IF(BD307&lt;&gt;"ГОТОВО","","Полное заключение: "&amp;A307&amp;", скв. "&amp;B307&amp;". МРП: "&amp;E307&amp;" сут. ГНО: "&amp;F307&amp;"; причина: "&amp;U307&amp;"; категория: "&amp;V307&amp;"; решение комиссии: "&amp;BB307&amp;".")</f>
        <v/>
      </c>
      <c r="BF307" s="173">
        <f>IF('Оперативный ввод'!X307="","",'Оперативный ввод'!X307)</f>
        <v/>
      </c>
    </row>
    <row r="308">
      <c r="A308" s="171">
        <f>IF('Оперативный ввод'!A308="","",'Оперативный ввод'!A308)</f>
        <v/>
      </c>
      <c r="B308" s="172">
        <f>IF('Оперативный ввод'!B308="","",'Оперативный ввод'!B308)</f>
        <v/>
      </c>
      <c r="C308" s="270">
        <f>IF('Оперативный ввод'!C308="","",'Оперативный ввод'!C308)</f>
        <v/>
      </c>
      <c r="D308" s="270">
        <f>IF('Оперативный ввод'!D308="","",'Оперативный ввод'!D308)</f>
        <v/>
      </c>
      <c r="E308" s="271">
        <f>IF(OR(C308="",D308=""),"",D308-C308)</f>
        <v/>
      </c>
      <c r="F308" s="172">
        <f>IF('Оперативный ввод'!F308="","",'Оперативный ввод'!F308)</f>
        <v/>
      </c>
      <c r="G308" s="172">
        <f>IF('Оперативный ввод'!G308="","",'Оперативный ввод'!G308)</f>
        <v/>
      </c>
      <c r="H308" s="172">
        <f>IF('Оперативный ввод'!H308="","",'Оперативный ввод'!H308)</f>
        <v/>
      </c>
      <c r="I308" s="172">
        <f>IF('Оперативный ввод'!I308="","",'Оперативный ввод'!I308)</f>
        <v/>
      </c>
      <c r="J308" s="172">
        <f>IF('Оперативный ввод'!J308="","",'Оперативный ввод'!J308)</f>
        <v/>
      </c>
      <c r="K308" s="172">
        <f>IF('Оперативный ввод'!K308="","",'Оперативный ввод'!K308)</f>
        <v/>
      </c>
      <c r="L308" s="172">
        <f>IF('Оперативный ввод'!L308="","",'Оперативный ввод'!L308)</f>
        <v/>
      </c>
      <c r="M308" s="172">
        <f>IF('Оперативный ввод'!M308="","",'Оперативный ввод'!M308)</f>
        <v/>
      </c>
      <c r="N308" s="172">
        <f>IF('Оперативный ввод'!N308="","",'Оперативный ввод'!N308)</f>
        <v/>
      </c>
      <c r="O308" s="172">
        <f>IF('Оперативный ввод'!O308="","",'Оперативный ввод'!O308)</f>
        <v/>
      </c>
      <c r="P308" s="205">
        <f>IF(AND(A308="",B308=""),"",IF(AND(A308&lt;&gt;"",B308&lt;&gt;"",C308&lt;&gt;"",D308&lt;&gt;"",F308&lt;&gt;"",G308&lt;&gt;"",H308&lt;&gt;"",ISERROR(SEARCH("по паспорту",G308)),ISERROR(SEARCH("по паспорту",H308)),I308&lt;&gt;"",J308&lt;&gt;"",K308&lt;&gt;"",L308&lt;&gt;"",M308&lt;&gt;""),"ГОТОВО","НЕ ГОТОВО"))</f>
        <v/>
      </c>
      <c r="Q308" s="205">
        <f>IF(P308&lt;&gt;"ГОТОВО","", "Предварительное заключение: "&amp;A308&amp;", скв. "&amp;B308&amp;". МРП: "&amp;E308&amp;" сут. ГНО: "&amp;F308&amp;", типоразмер "&amp;G308&amp;", марка "&amp;H308&amp;". Событие: "&amp;I308&amp;". Признак: "&amp;J308&amp;". Узел: "&amp;K308&amp;". Предварительная причина: "&amp;L308&amp;". Основное осложнение: "&amp;M308&amp;IF(N308&lt;&gt;"","; сопутствующее: "&amp;N308,"")&amp;IF(O308&lt;&gt;"","; дополнительно: "&amp;O308,"")&amp;".")</f>
        <v/>
      </c>
      <c r="R308" s="172">
        <f>IF('Оперативный ввод'!P308="","",'Оперативный ввод'!P308)</f>
        <v/>
      </c>
      <c r="S308" s="172">
        <f>IF('Оперативный ввод'!Q308="","",'Оперативный ввод'!Q308)</f>
        <v/>
      </c>
      <c r="T308" s="172">
        <f>IF('Оперативный ввод'!R308="","",'Оперативный ввод'!R308)</f>
        <v/>
      </c>
      <c r="U308" s="172">
        <f>IF('Оперативный ввод'!S308="","",'Оперативный ввод'!S308)</f>
        <v/>
      </c>
      <c r="V308" s="172">
        <f>IF('Оперативный ввод'!T308="","",'Оперативный ввод'!T308)</f>
        <v/>
      </c>
      <c r="W308" s="172" t="n"/>
      <c r="X308" s="172" t="n"/>
      <c r="Y308" s="172" t="n"/>
      <c r="Z308" s="172" t="n"/>
      <c r="AA308" s="172">
        <f>IF('Оперативный ввод'!U308="","",'Оперативный ввод'!U308)</f>
        <v/>
      </c>
      <c r="AB308" s="172">
        <f>IF('Оперативный ввод'!V308="","",'Оперативный ввод'!V308)</f>
        <v/>
      </c>
      <c r="AC308" s="172">
        <f>IF('Оперативный ввод'!W308="","",'Оперативный ввод'!W308)</f>
        <v/>
      </c>
      <c r="BB308" s="172" t="n"/>
      <c r="BC308" s="172" t="n"/>
      <c r="BD308" s="205">
        <f>IF(AND(A308="",B308=""),"",IF(AND(P308="ГОТОВО",R308&lt;&gt;"",T308&lt;&gt;"",U308&lt;&gt;"",AA308&lt;&gt;"",AB308&lt;&gt;"",AC308&lt;&gt;"",BB308&lt;&gt;"",BC308&lt;&gt;""),"ГОТОВО","НЕ ГОТОВО"))</f>
        <v/>
      </c>
      <c r="BE308" s="205">
        <f>IF(BD308&lt;&gt;"ГОТОВО","","Полное заключение: "&amp;A308&amp;", скв. "&amp;B308&amp;". МРП: "&amp;E308&amp;" сут. ГНО: "&amp;F308&amp;"; причина: "&amp;U308&amp;"; категория: "&amp;V308&amp;"; решение комиссии: "&amp;BB308&amp;".")</f>
        <v/>
      </c>
      <c r="BF308" s="173">
        <f>IF('Оперативный ввод'!X308="","",'Оперативный ввод'!X308)</f>
        <v/>
      </c>
    </row>
    <row r="309">
      <c r="A309" s="171">
        <f>IF('Оперативный ввод'!A309="","",'Оперативный ввод'!A309)</f>
        <v/>
      </c>
      <c r="B309" s="172">
        <f>IF('Оперативный ввод'!B309="","",'Оперативный ввод'!B309)</f>
        <v/>
      </c>
      <c r="C309" s="270">
        <f>IF('Оперативный ввод'!C309="","",'Оперативный ввод'!C309)</f>
        <v/>
      </c>
      <c r="D309" s="270">
        <f>IF('Оперативный ввод'!D309="","",'Оперативный ввод'!D309)</f>
        <v/>
      </c>
      <c r="E309" s="271">
        <f>IF(OR(C309="",D309=""),"",D309-C309)</f>
        <v/>
      </c>
      <c r="F309" s="172">
        <f>IF('Оперативный ввод'!F309="","",'Оперативный ввод'!F309)</f>
        <v/>
      </c>
      <c r="G309" s="172">
        <f>IF('Оперативный ввод'!G309="","",'Оперативный ввод'!G309)</f>
        <v/>
      </c>
      <c r="H309" s="172">
        <f>IF('Оперативный ввод'!H309="","",'Оперативный ввод'!H309)</f>
        <v/>
      </c>
      <c r="I309" s="172">
        <f>IF('Оперативный ввод'!I309="","",'Оперативный ввод'!I309)</f>
        <v/>
      </c>
      <c r="J309" s="172">
        <f>IF('Оперативный ввод'!J309="","",'Оперативный ввод'!J309)</f>
        <v/>
      </c>
      <c r="K309" s="172">
        <f>IF('Оперативный ввод'!K309="","",'Оперативный ввод'!K309)</f>
        <v/>
      </c>
      <c r="L309" s="172">
        <f>IF('Оперативный ввод'!L309="","",'Оперативный ввод'!L309)</f>
        <v/>
      </c>
      <c r="M309" s="172">
        <f>IF('Оперативный ввод'!M309="","",'Оперативный ввод'!M309)</f>
        <v/>
      </c>
      <c r="N309" s="172">
        <f>IF('Оперативный ввод'!N309="","",'Оперативный ввод'!N309)</f>
        <v/>
      </c>
      <c r="O309" s="172">
        <f>IF('Оперативный ввод'!O309="","",'Оперативный ввод'!O309)</f>
        <v/>
      </c>
      <c r="P309" s="205">
        <f>IF(AND(A309="",B309=""),"",IF(AND(A309&lt;&gt;"",B309&lt;&gt;"",C309&lt;&gt;"",D309&lt;&gt;"",F309&lt;&gt;"",G309&lt;&gt;"",H309&lt;&gt;"",ISERROR(SEARCH("по паспорту",G309)),ISERROR(SEARCH("по паспорту",H309)),I309&lt;&gt;"",J309&lt;&gt;"",K309&lt;&gt;"",L309&lt;&gt;"",M309&lt;&gt;""),"ГОТОВО","НЕ ГОТОВО"))</f>
        <v/>
      </c>
      <c r="Q309" s="205">
        <f>IF(P309&lt;&gt;"ГОТОВО","", "Предварительное заключение: "&amp;A309&amp;", скв. "&amp;B309&amp;". МРП: "&amp;E309&amp;" сут. ГНО: "&amp;F309&amp;", типоразмер "&amp;G309&amp;", марка "&amp;H309&amp;". Событие: "&amp;I309&amp;". Признак: "&amp;J309&amp;". Узел: "&amp;K309&amp;". Предварительная причина: "&amp;L309&amp;". Основное осложнение: "&amp;M309&amp;IF(N309&lt;&gt;"","; сопутствующее: "&amp;N309,"")&amp;IF(O309&lt;&gt;"","; дополнительно: "&amp;O309,"")&amp;".")</f>
        <v/>
      </c>
      <c r="R309" s="172">
        <f>IF('Оперативный ввод'!P309="","",'Оперативный ввод'!P309)</f>
        <v/>
      </c>
      <c r="S309" s="172">
        <f>IF('Оперативный ввод'!Q309="","",'Оперативный ввод'!Q309)</f>
        <v/>
      </c>
      <c r="T309" s="172">
        <f>IF('Оперативный ввод'!R309="","",'Оперативный ввод'!R309)</f>
        <v/>
      </c>
      <c r="U309" s="172">
        <f>IF('Оперативный ввод'!S309="","",'Оперативный ввод'!S309)</f>
        <v/>
      </c>
      <c r="V309" s="172">
        <f>IF('Оперативный ввод'!T309="","",'Оперативный ввод'!T309)</f>
        <v/>
      </c>
      <c r="W309" s="172" t="n"/>
      <c r="X309" s="172" t="n"/>
      <c r="Y309" s="172" t="n"/>
      <c r="Z309" s="172" t="n"/>
      <c r="AA309" s="172">
        <f>IF('Оперативный ввод'!U309="","",'Оперативный ввод'!U309)</f>
        <v/>
      </c>
      <c r="AB309" s="172">
        <f>IF('Оперативный ввод'!V309="","",'Оперативный ввод'!V309)</f>
        <v/>
      </c>
      <c r="AC309" s="172">
        <f>IF('Оперативный ввод'!W309="","",'Оперативный ввод'!W309)</f>
        <v/>
      </c>
      <c r="BB309" s="172" t="n"/>
      <c r="BC309" s="172" t="n"/>
      <c r="BD309" s="205">
        <f>IF(AND(A309="",B309=""),"",IF(AND(P309="ГОТОВО",R309&lt;&gt;"",T309&lt;&gt;"",U309&lt;&gt;"",AA309&lt;&gt;"",AB309&lt;&gt;"",AC309&lt;&gt;"",BB309&lt;&gt;"",BC309&lt;&gt;""),"ГОТОВО","НЕ ГОТОВО"))</f>
        <v/>
      </c>
      <c r="BE309" s="205">
        <f>IF(BD309&lt;&gt;"ГОТОВО","","Полное заключение: "&amp;A309&amp;", скв. "&amp;B309&amp;". МРП: "&amp;E309&amp;" сут. ГНО: "&amp;F309&amp;"; причина: "&amp;U309&amp;"; категория: "&amp;V309&amp;"; решение комиссии: "&amp;BB309&amp;".")</f>
        <v/>
      </c>
      <c r="BF309" s="173">
        <f>IF('Оперативный ввод'!X309="","",'Оперативный ввод'!X309)</f>
        <v/>
      </c>
    </row>
    <row r="310">
      <c r="A310" s="171">
        <f>IF('Оперативный ввод'!A310="","",'Оперативный ввод'!A310)</f>
        <v/>
      </c>
      <c r="B310" s="172">
        <f>IF('Оперативный ввод'!B310="","",'Оперативный ввод'!B310)</f>
        <v/>
      </c>
      <c r="C310" s="270">
        <f>IF('Оперативный ввод'!C310="","",'Оперативный ввод'!C310)</f>
        <v/>
      </c>
      <c r="D310" s="270">
        <f>IF('Оперативный ввод'!D310="","",'Оперативный ввод'!D310)</f>
        <v/>
      </c>
      <c r="E310" s="271">
        <f>IF(OR(C310="",D310=""),"",D310-C310)</f>
        <v/>
      </c>
      <c r="F310" s="172">
        <f>IF('Оперативный ввод'!F310="","",'Оперативный ввод'!F310)</f>
        <v/>
      </c>
      <c r="G310" s="172">
        <f>IF('Оперативный ввод'!G310="","",'Оперативный ввод'!G310)</f>
        <v/>
      </c>
      <c r="H310" s="172">
        <f>IF('Оперативный ввод'!H310="","",'Оперативный ввод'!H310)</f>
        <v/>
      </c>
      <c r="I310" s="172">
        <f>IF('Оперативный ввод'!I310="","",'Оперативный ввод'!I310)</f>
        <v/>
      </c>
      <c r="J310" s="172">
        <f>IF('Оперативный ввод'!J310="","",'Оперативный ввод'!J310)</f>
        <v/>
      </c>
      <c r="K310" s="172">
        <f>IF('Оперативный ввод'!K310="","",'Оперативный ввод'!K310)</f>
        <v/>
      </c>
      <c r="L310" s="172">
        <f>IF('Оперативный ввод'!L310="","",'Оперативный ввод'!L310)</f>
        <v/>
      </c>
      <c r="M310" s="172">
        <f>IF('Оперативный ввод'!M310="","",'Оперативный ввод'!M310)</f>
        <v/>
      </c>
      <c r="N310" s="172">
        <f>IF('Оперативный ввод'!N310="","",'Оперативный ввод'!N310)</f>
        <v/>
      </c>
      <c r="O310" s="172">
        <f>IF('Оперативный ввод'!O310="","",'Оперативный ввод'!O310)</f>
        <v/>
      </c>
      <c r="P310" s="205">
        <f>IF(AND(A310="",B310=""),"",IF(AND(A310&lt;&gt;"",B310&lt;&gt;"",C310&lt;&gt;"",D310&lt;&gt;"",F310&lt;&gt;"",G310&lt;&gt;"",H310&lt;&gt;"",ISERROR(SEARCH("по паспорту",G310)),ISERROR(SEARCH("по паспорту",H310)),I310&lt;&gt;"",J310&lt;&gt;"",K310&lt;&gt;"",L310&lt;&gt;"",M310&lt;&gt;""),"ГОТОВО","НЕ ГОТОВО"))</f>
        <v/>
      </c>
      <c r="Q310" s="205">
        <f>IF(P310&lt;&gt;"ГОТОВО","", "Предварительное заключение: "&amp;A310&amp;", скв. "&amp;B310&amp;". МРП: "&amp;E310&amp;" сут. ГНО: "&amp;F310&amp;", типоразмер "&amp;G310&amp;", марка "&amp;H310&amp;". Событие: "&amp;I310&amp;". Признак: "&amp;J310&amp;". Узел: "&amp;K310&amp;". Предварительная причина: "&amp;L310&amp;". Основное осложнение: "&amp;M310&amp;IF(N310&lt;&gt;"","; сопутствующее: "&amp;N310,"")&amp;IF(O310&lt;&gt;"","; дополнительно: "&amp;O310,"")&amp;".")</f>
        <v/>
      </c>
      <c r="R310" s="172">
        <f>IF('Оперативный ввод'!P310="","",'Оперативный ввод'!P310)</f>
        <v/>
      </c>
      <c r="S310" s="172">
        <f>IF('Оперативный ввод'!Q310="","",'Оперативный ввод'!Q310)</f>
        <v/>
      </c>
      <c r="T310" s="172">
        <f>IF('Оперативный ввод'!R310="","",'Оперативный ввод'!R310)</f>
        <v/>
      </c>
      <c r="U310" s="172">
        <f>IF('Оперативный ввод'!S310="","",'Оперативный ввод'!S310)</f>
        <v/>
      </c>
      <c r="V310" s="172">
        <f>IF('Оперативный ввод'!T310="","",'Оперативный ввод'!T310)</f>
        <v/>
      </c>
      <c r="W310" s="172" t="n"/>
      <c r="X310" s="172" t="n"/>
      <c r="Y310" s="172" t="n"/>
      <c r="Z310" s="172" t="n"/>
      <c r="AA310" s="172">
        <f>IF('Оперативный ввод'!U310="","",'Оперативный ввод'!U310)</f>
        <v/>
      </c>
      <c r="AB310" s="172">
        <f>IF('Оперативный ввод'!V310="","",'Оперативный ввод'!V310)</f>
        <v/>
      </c>
      <c r="AC310" s="172">
        <f>IF('Оперативный ввод'!W310="","",'Оперативный ввод'!W310)</f>
        <v/>
      </c>
      <c r="BB310" s="172" t="n"/>
      <c r="BC310" s="172" t="n"/>
      <c r="BD310" s="205">
        <f>IF(AND(A310="",B310=""),"",IF(AND(P310="ГОТОВО",R310&lt;&gt;"",T310&lt;&gt;"",U310&lt;&gt;"",AA310&lt;&gt;"",AB310&lt;&gt;"",AC310&lt;&gt;"",BB310&lt;&gt;"",BC310&lt;&gt;""),"ГОТОВО","НЕ ГОТОВО"))</f>
        <v/>
      </c>
      <c r="BE310" s="205">
        <f>IF(BD310&lt;&gt;"ГОТОВО","","Полное заключение: "&amp;A310&amp;", скв. "&amp;B310&amp;". МРП: "&amp;E310&amp;" сут. ГНО: "&amp;F310&amp;"; причина: "&amp;U310&amp;"; категория: "&amp;V310&amp;"; решение комиссии: "&amp;BB310&amp;".")</f>
        <v/>
      </c>
      <c r="BF310" s="173">
        <f>IF('Оперативный ввод'!X310="","",'Оперативный ввод'!X310)</f>
        <v/>
      </c>
    </row>
    <row r="311">
      <c r="A311" s="171">
        <f>IF('Оперативный ввод'!A311="","",'Оперативный ввод'!A311)</f>
        <v/>
      </c>
      <c r="B311" s="172">
        <f>IF('Оперативный ввод'!B311="","",'Оперативный ввод'!B311)</f>
        <v/>
      </c>
      <c r="C311" s="270">
        <f>IF('Оперативный ввод'!C311="","",'Оперативный ввод'!C311)</f>
        <v/>
      </c>
      <c r="D311" s="270">
        <f>IF('Оперативный ввод'!D311="","",'Оперативный ввод'!D311)</f>
        <v/>
      </c>
      <c r="E311" s="271">
        <f>IF(OR(C311="",D311=""),"",D311-C311)</f>
        <v/>
      </c>
      <c r="F311" s="172">
        <f>IF('Оперативный ввод'!F311="","",'Оперативный ввод'!F311)</f>
        <v/>
      </c>
      <c r="G311" s="172">
        <f>IF('Оперативный ввод'!G311="","",'Оперативный ввод'!G311)</f>
        <v/>
      </c>
      <c r="H311" s="172">
        <f>IF('Оперативный ввод'!H311="","",'Оперативный ввод'!H311)</f>
        <v/>
      </c>
      <c r="I311" s="172">
        <f>IF('Оперативный ввод'!I311="","",'Оперативный ввод'!I311)</f>
        <v/>
      </c>
      <c r="J311" s="172">
        <f>IF('Оперативный ввод'!J311="","",'Оперативный ввод'!J311)</f>
        <v/>
      </c>
      <c r="K311" s="172">
        <f>IF('Оперативный ввод'!K311="","",'Оперативный ввод'!K311)</f>
        <v/>
      </c>
      <c r="L311" s="172">
        <f>IF('Оперативный ввод'!L311="","",'Оперативный ввод'!L311)</f>
        <v/>
      </c>
      <c r="M311" s="172">
        <f>IF('Оперативный ввод'!M311="","",'Оперативный ввод'!M311)</f>
        <v/>
      </c>
      <c r="N311" s="172">
        <f>IF('Оперативный ввод'!N311="","",'Оперативный ввод'!N311)</f>
        <v/>
      </c>
      <c r="O311" s="172">
        <f>IF('Оперативный ввод'!O311="","",'Оперативный ввод'!O311)</f>
        <v/>
      </c>
      <c r="P311" s="205">
        <f>IF(AND(A311="",B311=""),"",IF(AND(A311&lt;&gt;"",B311&lt;&gt;"",C311&lt;&gt;"",D311&lt;&gt;"",F311&lt;&gt;"",G311&lt;&gt;"",H311&lt;&gt;"",ISERROR(SEARCH("по паспорту",G311)),ISERROR(SEARCH("по паспорту",H311)),I311&lt;&gt;"",J311&lt;&gt;"",K311&lt;&gt;"",L311&lt;&gt;"",M311&lt;&gt;""),"ГОТОВО","НЕ ГОТОВО"))</f>
        <v/>
      </c>
      <c r="Q311" s="205">
        <f>IF(P311&lt;&gt;"ГОТОВО","", "Предварительное заключение: "&amp;A311&amp;", скв. "&amp;B311&amp;". МРП: "&amp;E311&amp;" сут. ГНО: "&amp;F311&amp;", типоразмер "&amp;G311&amp;", марка "&amp;H311&amp;". Событие: "&amp;I311&amp;". Признак: "&amp;J311&amp;". Узел: "&amp;K311&amp;". Предварительная причина: "&amp;L311&amp;". Основное осложнение: "&amp;M311&amp;IF(N311&lt;&gt;"","; сопутствующее: "&amp;N311,"")&amp;IF(O311&lt;&gt;"","; дополнительно: "&amp;O311,"")&amp;".")</f>
        <v/>
      </c>
      <c r="R311" s="172">
        <f>IF('Оперативный ввод'!P311="","",'Оперативный ввод'!P311)</f>
        <v/>
      </c>
      <c r="S311" s="172">
        <f>IF('Оперативный ввод'!Q311="","",'Оперативный ввод'!Q311)</f>
        <v/>
      </c>
      <c r="T311" s="172">
        <f>IF('Оперативный ввод'!R311="","",'Оперативный ввод'!R311)</f>
        <v/>
      </c>
      <c r="U311" s="172">
        <f>IF('Оперативный ввод'!S311="","",'Оперативный ввод'!S311)</f>
        <v/>
      </c>
      <c r="V311" s="172">
        <f>IF('Оперативный ввод'!T311="","",'Оперативный ввод'!T311)</f>
        <v/>
      </c>
      <c r="W311" s="172" t="n"/>
      <c r="X311" s="172" t="n"/>
      <c r="Y311" s="172" t="n"/>
      <c r="Z311" s="172" t="n"/>
      <c r="AA311" s="172">
        <f>IF('Оперативный ввод'!U311="","",'Оперативный ввод'!U311)</f>
        <v/>
      </c>
      <c r="AB311" s="172">
        <f>IF('Оперативный ввод'!V311="","",'Оперативный ввод'!V311)</f>
        <v/>
      </c>
      <c r="AC311" s="172">
        <f>IF('Оперативный ввод'!W311="","",'Оперативный ввод'!W311)</f>
        <v/>
      </c>
      <c r="BB311" s="172" t="n"/>
      <c r="BC311" s="172" t="n"/>
      <c r="BD311" s="205">
        <f>IF(AND(A311="",B311=""),"",IF(AND(P311="ГОТОВО",R311&lt;&gt;"",T311&lt;&gt;"",U311&lt;&gt;"",AA311&lt;&gt;"",AB311&lt;&gt;"",AC311&lt;&gt;"",BB311&lt;&gt;"",BC311&lt;&gt;""),"ГОТОВО","НЕ ГОТОВО"))</f>
        <v/>
      </c>
      <c r="BE311" s="205">
        <f>IF(BD311&lt;&gt;"ГОТОВО","","Полное заключение: "&amp;A311&amp;", скв. "&amp;B311&amp;". МРП: "&amp;E311&amp;" сут. ГНО: "&amp;F311&amp;"; причина: "&amp;U311&amp;"; категория: "&amp;V311&amp;"; решение комиссии: "&amp;BB311&amp;".")</f>
        <v/>
      </c>
      <c r="BF311" s="173">
        <f>IF('Оперативный ввод'!X311="","",'Оперативный ввод'!X311)</f>
        <v/>
      </c>
    </row>
    <row r="312">
      <c r="A312" s="171">
        <f>IF('Оперативный ввод'!A312="","",'Оперативный ввод'!A312)</f>
        <v/>
      </c>
      <c r="B312" s="172">
        <f>IF('Оперативный ввод'!B312="","",'Оперативный ввод'!B312)</f>
        <v/>
      </c>
      <c r="C312" s="270">
        <f>IF('Оперативный ввод'!C312="","",'Оперативный ввод'!C312)</f>
        <v/>
      </c>
      <c r="D312" s="270">
        <f>IF('Оперативный ввод'!D312="","",'Оперативный ввод'!D312)</f>
        <v/>
      </c>
      <c r="E312" s="271">
        <f>IF(OR(C312="",D312=""),"",D312-C312)</f>
        <v/>
      </c>
      <c r="F312" s="172">
        <f>IF('Оперативный ввод'!F312="","",'Оперативный ввод'!F312)</f>
        <v/>
      </c>
      <c r="G312" s="172">
        <f>IF('Оперативный ввод'!G312="","",'Оперативный ввод'!G312)</f>
        <v/>
      </c>
      <c r="H312" s="172">
        <f>IF('Оперативный ввод'!H312="","",'Оперативный ввод'!H312)</f>
        <v/>
      </c>
      <c r="I312" s="172">
        <f>IF('Оперативный ввод'!I312="","",'Оперативный ввод'!I312)</f>
        <v/>
      </c>
      <c r="J312" s="172">
        <f>IF('Оперативный ввод'!J312="","",'Оперативный ввод'!J312)</f>
        <v/>
      </c>
      <c r="K312" s="172">
        <f>IF('Оперативный ввод'!K312="","",'Оперативный ввод'!K312)</f>
        <v/>
      </c>
      <c r="L312" s="172">
        <f>IF('Оперативный ввод'!L312="","",'Оперативный ввод'!L312)</f>
        <v/>
      </c>
      <c r="M312" s="172">
        <f>IF('Оперативный ввод'!M312="","",'Оперативный ввод'!M312)</f>
        <v/>
      </c>
      <c r="N312" s="172">
        <f>IF('Оперативный ввод'!N312="","",'Оперативный ввод'!N312)</f>
        <v/>
      </c>
      <c r="O312" s="172">
        <f>IF('Оперативный ввод'!O312="","",'Оперативный ввод'!O312)</f>
        <v/>
      </c>
      <c r="P312" s="205">
        <f>IF(AND(A312="",B312=""),"",IF(AND(A312&lt;&gt;"",B312&lt;&gt;"",C312&lt;&gt;"",D312&lt;&gt;"",F312&lt;&gt;"",G312&lt;&gt;"",H312&lt;&gt;"",ISERROR(SEARCH("по паспорту",G312)),ISERROR(SEARCH("по паспорту",H312)),I312&lt;&gt;"",J312&lt;&gt;"",K312&lt;&gt;"",L312&lt;&gt;"",M312&lt;&gt;""),"ГОТОВО","НЕ ГОТОВО"))</f>
        <v/>
      </c>
      <c r="Q312" s="205">
        <f>IF(P312&lt;&gt;"ГОТОВО","", "Предварительное заключение: "&amp;A312&amp;", скв. "&amp;B312&amp;". МРП: "&amp;E312&amp;" сут. ГНО: "&amp;F312&amp;", типоразмер "&amp;G312&amp;", марка "&amp;H312&amp;". Событие: "&amp;I312&amp;". Признак: "&amp;J312&amp;". Узел: "&amp;K312&amp;". Предварительная причина: "&amp;L312&amp;". Основное осложнение: "&amp;M312&amp;IF(N312&lt;&gt;"","; сопутствующее: "&amp;N312,"")&amp;IF(O312&lt;&gt;"","; дополнительно: "&amp;O312,"")&amp;".")</f>
        <v/>
      </c>
      <c r="R312" s="172">
        <f>IF('Оперативный ввод'!P312="","",'Оперативный ввод'!P312)</f>
        <v/>
      </c>
      <c r="S312" s="172">
        <f>IF('Оперативный ввод'!Q312="","",'Оперативный ввод'!Q312)</f>
        <v/>
      </c>
      <c r="T312" s="172">
        <f>IF('Оперативный ввод'!R312="","",'Оперативный ввод'!R312)</f>
        <v/>
      </c>
      <c r="U312" s="172">
        <f>IF('Оперативный ввод'!S312="","",'Оперативный ввод'!S312)</f>
        <v/>
      </c>
      <c r="V312" s="172">
        <f>IF('Оперативный ввод'!T312="","",'Оперативный ввод'!T312)</f>
        <v/>
      </c>
      <c r="W312" s="172" t="n"/>
      <c r="X312" s="172" t="n"/>
      <c r="Y312" s="172" t="n"/>
      <c r="Z312" s="172" t="n"/>
      <c r="AA312" s="172">
        <f>IF('Оперативный ввод'!U312="","",'Оперативный ввод'!U312)</f>
        <v/>
      </c>
      <c r="AB312" s="172">
        <f>IF('Оперативный ввод'!V312="","",'Оперативный ввод'!V312)</f>
        <v/>
      </c>
      <c r="AC312" s="172">
        <f>IF('Оперативный ввод'!W312="","",'Оперативный ввод'!W312)</f>
        <v/>
      </c>
      <c r="BB312" s="172" t="n"/>
      <c r="BC312" s="172" t="n"/>
      <c r="BD312" s="205">
        <f>IF(AND(A312="",B312=""),"",IF(AND(P312="ГОТОВО",R312&lt;&gt;"",T312&lt;&gt;"",U312&lt;&gt;"",AA312&lt;&gt;"",AB312&lt;&gt;"",AC312&lt;&gt;"",BB312&lt;&gt;"",BC312&lt;&gt;""),"ГОТОВО","НЕ ГОТОВО"))</f>
        <v/>
      </c>
      <c r="BE312" s="205">
        <f>IF(BD312&lt;&gt;"ГОТОВО","","Полное заключение: "&amp;A312&amp;", скв. "&amp;B312&amp;". МРП: "&amp;E312&amp;" сут. ГНО: "&amp;F312&amp;"; причина: "&amp;U312&amp;"; категория: "&amp;V312&amp;"; решение комиссии: "&amp;BB312&amp;".")</f>
        <v/>
      </c>
      <c r="BF312" s="173">
        <f>IF('Оперативный ввод'!X312="","",'Оперативный ввод'!X312)</f>
        <v/>
      </c>
    </row>
    <row r="313">
      <c r="A313" s="171">
        <f>IF('Оперативный ввод'!A313="","",'Оперативный ввод'!A313)</f>
        <v/>
      </c>
      <c r="B313" s="172">
        <f>IF('Оперативный ввод'!B313="","",'Оперативный ввод'!B313)</f>
        <v/>
      </c>
      <c r="C313" s="270">
        <f>IF('Оперативный ввод'!C313="","",'Оперативный ввод'!C313)</f>
        <v/>
      </c>
      <c r="D313" s="270">
        <f>IF('Оперативный ввод'!D313="","",'Оперативный ввод'!D313)</f>
        <v/>
      </c>
      <c r="E313" s="271">
        <f>IF(OR(C313="",D313=""),"",D313-C313)</f>
        <v/>
      </c>
      <c r="F313" s="172">
        <f>IF('Оперативный ввод'!F313="","",'Оперативный ввод'!F313)</f>
        <v/>
      </c>
      <c r="G313" s="172">
        <f>IF('Оперативный ввод'!G313="","",'Оперативный ввод'!G313)</f>
        <v/>
      </c>
      <c r="H313" s="172">
        <f>IF('Оперативный ввод'!H313="","",'Оперативный ввод'!H313)</f>
        <v/>
      </c>
      <c r="I313" s="172">
        <f>IF('Оперативный ввод'!I313="","",'Оперативный ввод'!I313)</f>
        <v/>
      </c>
      <c r="J313" s="172">
        <f>IF('Оперативный ввод'!J313="","",'Оперативный ввод'!J313)</f>
        <v/>
      </c>
      <c r="K313" s="172">
        <f>IF('Оперативный ввод'!K313="","",'Оперативный ввод'!K313)</f>
        <v/>
      </c>
      <c r="L313" s="172">
        <f>IF('Оперативный ввод'!L313="","",'Оперативный ввод'!L313)</f>
        <v/>
      </c>
      <c r="M313" s="172">
        <f>IF('Оперативный ввод'!M313="","",'Оперативный ввод'!M313)</f>
        <v/>
      </c>
      <c r="N313" s="172">
        <f>IF('Оперативный ввод'!N313="","",'Оперативный ввод'!N313)</f>
        <v/>
      </c>
      <c r="O313" s="172">
        <f>IF('Оперативный ввод'!O313="","",'Оперативный ввод'!O313)</f>
        <v/>
      </c>
      <c r="P313" s="205">
        <f>IF(AND(A313="",B313=""),"",IF(AND(A313&lt;&gt;"",B313&lt;&gt;"",C313&lt;&gt;"",D313&lt;&gt;"",F313&lt;&gt;"",G313&lt;&gt;"",H313&lt;&gt;"",ISERROR(SEARCH("по паспорту",G313)),ISERROR(SEARCH("по паспорту",H313)),I313&lt;&gt;"",J313&lt;&gt;"",K313&lt;&gt;"",L313&lt;&gt;"",M313&lt;&gt;""),"ГОТОВО","НЕ ГОТОВО"))</f>
        <v/>
      </c>
      <c r="Q313" s="205">
        <f>IF(P313&lt;&gt;"ГОТОВО","", "Предварительное заключение: "&amp;A313&amp;", скв. "&amp;B313&amp;". МРП: "&amp;E313&amp;" сут. ГНО: "&amp;F313&amp;", типоразмер "&amp;G313&amp;", марка "&amp;H313&amp;". Событие: "&amp;I313&amp;". Признак: "&amp;J313&amp;". Узел: "&amp;K313&amp;". Предварительная причина: "&amp;L313&amp;". Основное осложнение: "&amp;M313&amp;IF(N313&lt;&gt;"","; сопутствующее: "&amp;N313,"")&amp;IF(O313&lt;&gt;"","; дополнительно: "&amp;O313,"")&amp;".")</f>
        <v/>
      </c>
      <c r="R313" s="172">
        <f>IF('Оперативный ввод'!P313="","",'Оперативный ввод'!P313)</f>
        <v/>
      </c>
      <c r="S313" s="172">
        <f>IF('Оперативный ввод'!Q313="","",'Оперативный ввод'!Q313)</f>
        <v/>
      </c>
      <c r="T313" s="172">
        <f>IF('Оперативный ввод'!R313="","",'Оперативный ввод'!R313)</f>
        <v/>
      </c>
      <c r="U313" s="172">
        <f>IF('Оперативный ввод'!S313="","",'Оперативный ввод'!S313)</f>
        <v/>
      </c>
      <c r="V313" s="172">
        <f>IF('Оперативный ввод'!T313="","",'Оперативный ввод'!T313)</f>
        <v/>
      </c>
      <c r="W313" s="172" t="n"/>
      <c r="X313" s="172" t="n"/>
      <c r="Y313" s="172" t="n"/>
      <c r="Z313" s="172" t="n"/>
      <c r="AA313" s="172">
        <f>IF('Оперативный ввод'!U313="","",'Оперативный ввод'!U313)</f>
        <v/>
      </c>
      <c r="AB313" s="172">
        <f>IF('Оперативный ввод'!V313="","",'Оперативный ввод'!V313)</f>
        <v/>
      </c>
      <c r="AC313" s="172">
        <f>IF('Оперативный ввод'!W313="","",'Оперативный ввод'!W313)</f>
        <v/>
      </c>
      <c r="BB313" s="172" t="n"/>
      <c r="BC313" s="172" t="n"/>
      <c r="BD313" s="205">
        <f>IF(AND(A313="",B313=""),"",IF(AND(P313="ГОТОВО",R313&lt;&gt;"",T313&lt;&gt;"",U313&lt;&gt;"",AA313&lt;&gt;"",AB313&lt;&gt;"",AC313&lt;&gt;"",BB313&lt;&gt;"",BC313&lt;&gt;""),"ГОТОВО","НЕ ГОТОВО"))</f>
        <v/>
      </c>
      <c r="BE313" s="205">
        <f>IF(BD313&lt;&gt;"ГОТОВО","","Полное заключение: "&amp;A313&amp;", скв. "&amp;B313&amp;". МРП: "&amp;E313&amp;" сут. ГНО: "&amp;F313&amp;"; причина: "&amp;U313&amp;"; категория: "&amp;V313&amp;"; решение комиссии: "&amp;BB313&amp;".")</f>
        <v/>
      </c>
      <c r="BF313" s="173">
        <f>IF('Оперативный ввод'!X313="","",'Оперативный ввод'!X313)</f>
        <v/>
      </c>
    </row>
    <row r="314">
      <c r="A314" s="171">
        <f>IF('Оперативный ввод'!A314="","",'Оперативный ввод'!A314)</f>
        <v/>
      </c>
      <c r="B314" s="172">
        <f>IF('Оперативный ввод'!B314="","",'Оперативный ввод'!B314)</f>
        <v/>
      </c>
      <c r="C314" s="270">
        <f>IF('Оперативный ввод'!C314="","",'Оперативный ввод'!C314)</f>
        <v/>
      </c>
      <c r="D314" s="270">
        <f>IF('Оперативный ввод'!D314="","",'Оперативный ввод'!D314)</f>
        <v/>
      </c>
      <c r="E314" s="271">
        <f>IF(OR(C314="",D314=""),"",D314-C314)</f>
        <v/>
      </c>
      <c r="F314" s="172">
        <f>IF('Оперативный ввод'!F314="","",'Оперативный ввод'!F314)</f>
        <v/>
      </c>
      <c r="G314" s="172">
        <f>IF('Оперативный ввод'!G314="","",'Оперативный ввод'!G314)</f>
        <v/>
      </c>
      <c r="H314" s="172">
        <f>IF('Оперативный ввод'!H314="","",'Оперативный ввод'!H314)</f>
        <v/>
      </c>
      <c r="I314" s="172">
        <f>IF('Оперативный ввод'!I314="","",'Оперативный ввод'!I314)</f>
        <v/>
      </c>
      <c r="J314" s="172">
        <f>IF('Оперативный ввод'!J314="","",'Оперативный ввод'!J314)</f>
        <v/>
      </c>
      <c r="K314" s="172">
        <f>IF('Оперативный ввод'!K314="","",'Оперативный ввод'!K314)</f>
        <v/>
      </c>
      <c r="L314" s="172">
        <f>IF('Оперативный ввод'!L314="","",'Оперативный ввод'!L314)</f>
        <v/>
      </c>
      <c r="M314" s="172">
        <f>IF('Оперативный ввод'!M314="","",'Оперативный ввод'!M314)</f>
        <v/>
      </c>
      <c r="N314" s="172">
        <f>IF('Оперативный ввод'!N314="","",'Оперативный ввод'!N314)</f>
        <v/>
      </c>
      <c r="O314" s="172">
        <f>IF('Оперативный ввод'!O314="","",'Оперативный ввод'!O314)</f>
        <v/>
      </c>
      <c r="P314" s="205">
        <f>IF(AND(A314="",B314=""),"",IF(AND(A314&lt;&gt;"",B314&lt;&gt;"",C314&lt;&gt;"",D314&lt;&gt;"",F314&lt;&gt;"",G314&lt;&gt;"",H314&lt;&gt;"",ISERROR(SEARCH("по паспорту",G314)),ISERROR(SEARCH("по паспорту",H314)),I314&lt;&gt;"",J314&lt;&gt;"",K314&lt;&gt;"",L314&lt;&gt;"",M314&lt;&gt;""),"ГОТОВО","НЕ ГОТОВО"))</f>
        <v/>
      </c>
      <c r="Q314" s="205">
        <f>IF(P314&lt;&gt;"ГОТОВО","", "Предварительное заключение: "&amp;A314&amp;", скв. "&amp;B314&amp;". МРП: "&amp;E314&amp;" сут. ГНО: "&amp;F314&amp;", типоразмер "&amp;G314&amp;", марка "&amp;H314&amp;". Событие: "&amp;I314&amp;". Признак: "&amp;J314&amp;". Узел: "&amp;K314&amp;". Предварительная причина: "&amp;L314&amp;". Основное осложнение: "&amp;M314&amp;IF(N314&lt;&gt;"","; сопутствующее: "&amp;N314,"")&amp;IF(O314&lt;&gt;"","; дополнительно: "&amp;O314,"")&amp;".")</f>
        <v/>
      </c>
      <c r="R314" s="172">
        <f>IF('Оперативный ввод'!P314="","",'Оперативный ввод'!P314)</f>
        <v/>
      </c>
      <c r="S314" s="172">
        <f>IF('Оперативный ввод'!Q314="","",'Оперативный ввод'!Q314)</f>
        <v/>
      </c>
      <c r="T314" s="172">
        <f>IF('Оперативный ввод'!R314="","",'Оперативный ввод'!R314)</f>
        <v/>
      </c>
      <c r="U314" s="172">
        <f>IF('Оперативный ввод'!S314="","",'Оперативный ввод'!S314)</f>
        <v/>
      </c>
      <c r="V314" s="172">
        <f>IF('Оперативный ввод'!T314="","",'Оперативный ввод'!T314)</f>
        <v/>
      </c>
      <c r="W314" s="172" t="n"/>
      <c r="X314" s="172" t="n"/>
      <c r="Y314" s="172" t="n"/>
      <c r="Z314" s="172" t="n"/>
      <c r="AA314" s="172">
        <f>IF('Оперативный ввод'!U314="","",'Оперативный ввод'!U314)</f>
        <v/>
      </c>
      <c r="AB314" s="172">
        <f>IF('Оперативный ввод'!V314="","",'Оперативный ввод'!V314)</f>
        <v/>
      </c>
      <c r="AC314" s="172">
        <f>IF('Оперативный ввод'!W314="","",'Оперативный ввод'!W314)</f>
        <v/>
      </c>
      <c r="BB314" s="172" t="n"/>
      <c r="BC314" s="172" t="n"/>
      <c r="BD314" s="205">
        <f>IF(AND(A314="",B314=""),"",IF(AND(P314="ГОТОВО",R314&lt;&gt;"",T314&lt;&gt;"",U314&lt;&gt;"",AA314&lt;&gt;"",AB314&lt;&gt;"",AC314&lt;&gt;"",BB314&lt;&gt;"",BC314&lt;&gt;""),"ГОТОВО","НЕ ГОТОВО"))</f>
        <v/>
      </c>
      <c r="BE314" s="205">
        <f>IF(BD314&lt;&gt;"ГОТОВО","","Полное заключение: "&amp;A314&amp;", скв. "&amp;B314&amp;". МРП: "&amp;E314&amp;" сут. ГНО: "&amp;F314&amp;"; причина: "&amp;U314&amp;"; категория: "&amp;V314&amp;"; решение комиссии: "&amp;BB314&amp;".")</f>
        <v/>
      </c>
      <c r="BF314" s="173">
        <f>IF('Оперативный ввод'!X314="","",'Оперативный ввод'!X314)</f>
        <v/>
      </c>
    </row>
    <row r="315">
      <c r="A315" s="171">
        <f>IF('Оперативный ввод'!A315="","",'Оперативный ввод'!A315)</f>
        <v/>
      </c>
      <c r="B315" s="172">
        <f>IF('Оперативный ввод'!B315="","",'Оперативный ввод'!B315)</f>
        <v/>
      </c>
      <c r="C315" s="270">
        <f>IF('Оперативный ввод'!C315="","",'Оперативный ввод'!C315)</f>
        <v/>
      </c>
      <c r="D315" s="270">
        <f>IF('Оперативный ввод'!D315="","",'Оперативный ввод'!D315)</f>
        <v/>
      </c>
      <c r="E315" s="271">
        <f>IF(OR(C315="",D315=""),"",D315-C315)</f>
        <v/>
      </c>
      <c r="F315" s="172">
        <f>IF('Оперативный ввод'!F315="","",'Оперативный ввод'!F315)</f>
        <v/>
      </c>
      <c r="G315" s="172">
        <f>IF('Оперативный ввод'!G315="","",'Оперативный ввод'!G315)</f>
        <v/>
      </c>
      <c r="H315" s="172">
        <f>IF('Оперативный ввод'!H315="","",'Оперативный ввод'!H315)</f>
        <v/>
      </c>
      <c r="I315" s="172">
        <f>IF('Оперативный ввод'!I315="","",'Оперативный ввод'!I315)</f>
        <v/>
      </c>
      <c r="J315" s="172">
        <f>IF('Оперативный ввод'!J315="","",'Оперативный ввод'!J315)</f>
        <v/>
      </c>
      <c r="K315" s="172">
        <f>IF('Оперативный ввод'!K315="","",'Оперативный ввод'!K315)</f>
        <v/>
      </c>
      <c r="L315" s="172">
        <f>IF('Оперативный ввод'!L315="","",'Оперативный ввод'!L315)</f>
        <v/>
      </c>
      <c r="M315" s="172">
        <f>IF('Оперативный ввод'!M315="","",'Оперативный ввод'!M315)</f>
        <v/>
      </c>
      <c r="N315" s="172">
        <f>IF('Оперативный ввод'!N315="","",'Оперативный ввод'!N315)</f>
        <v/>
      </c>
      <c r="O315" s="172">
        <f>IF('Оперативный ввод'!O315="","",'Оперативный ввод'!O315)</f>
        <v/>
      </c>
      <c r="P315" s="205">
        <f>IF(AND(A315="",B315=""),"",IF(AND(A315&lt;&gt;"",B315&lt;&gt;"",C315&lt;&gt;"",D315&lt;&gt;"",F315&lt;&gt;"",G315&lt;&gt;"",H315&lt;&gt;"",ISERROR(SEARCH("по паспорту",G315)),ISERROR(SEARCH("по паспорту",H315)),I315&lt;&gt;"",J315&lt;&gt;"",K315&lt;&gt;"",L315&lt;&gt;"",M315&lt;&gt;""),"ГОТОВО","НЕ ГОТОВО"))</f>
        <v/>
      </c>
      <c r="Q315" s="205">
        <f>IF(P315&lt;&gt;"ГОТОВО","", "Предварительное заключение: "&amp;A315&amp;", скв. "&amp;B315&amp;". МРП: "&amp;E315&amp;" сут. ГНО: "&amp;F315&amp;", типоразмер "&amp;G315&amp;", марка "&amp;H315&amp;". Событие: "&amp;I315&amp;". Признак: "&amp;J315&amp;". Узел: "&amp;K315&amp;". Предварительная причина: "&amp;L315&amp;". Основное осложнение: "&amp;M315&amp;IF(N315&lt;&gt;"","; сопутствующее: "&amp;N315,"")&amp;IF(O315&lt;&gt;"","; дополнительно: "&amp;O315,"")&amp;".")</f>
        <v/>
      </c>
      <c r="R315" s="172">
        <f>IF('Оперативный ввод'!P315="","",'Оперативный ввод'!P315)</f>
        <v/>
      </c>
      <c r="S315" s="172">
        <f>IF('Оперативный ввод'!Q315="","",'Оперативный ввод'!Q315)</f>
        <v/>
      </c>
      <c r="T315" s="172">
        <f>IF('Оперативный ввод'!R315="","",'Оперативный ввод'!R315)</f>
        <v/>
      </c>
      <c r="U315" s="172">
        <f>IF('Оперативный ввод'!S315="","",'Оперативный ввод'!S315)</f>
        <v/>
      </c>
      <c r="V315" s="172">
        <f>IF('Оперативный ввод'!T315="","",'Оперативный ввод'!T315)</f>
        <v/>
      </c>
      <c r="W315" s="172" t="n"/>
      <c r="X315" s="172" t="n"/>
      <c r="Y315" s="172" t="n"/>
      <c r="Z315" s="172" t="n"/>
      <c r="AA315" s="172">
        <f>IF('Оперативный ввод'!U315="","",'Оперативный ввод'!U315)</f>
        <v/>
      </c>
      <c r="AB315" s="172">
        <f>IF('Оперативный ввод'!V315="","",'Оперативный ввод'!V315)</f>
        <v/>
      </c>
      <c r="AC315" s="172">
        <f>IF('Оперативный ввод'!W315="","",'Оперативный ввод'!W315)</f>
        <v/>
      </c>
      <c r="BB315" s="172" t="n"/>
      <c r="BC315" s="172" t="n"/>
      <c r="BD315" s="205">
        <f>IF(AND(A315="",B315=""),"",IF(AND(P315="ГОТОВО",R315&lt;&gt;"",T315&lt;&gt;"",U315&lt;&gt;"",AA315&lt;&gt;"",AB315&lt;&gt;"",AC315&lt;&gt;"",BB315&lt;&gt;"",BC315&lt;&gt;""),"ГОТОВО","НЕ ГОТОВО"))</f>
        <v/>
      </c>
      <c r="BE315" s="205">
        <f>IF(BD315&lt;&gt;"ГОТОВО","","Полное заключение: "&amp;A315&amp;", скв. "&amp;B315&amp;". МРП: "&amp;E315&amp;" сут. ГНО: "&amp;F315&amp;"; причина: "&amp;U315&amp;"; категория: "&amp;V315&amp;"; решение комиссии: "&amp;BB315&amp;".")</f>
        <v/>
      </c>
      <c r="BF315" s="173">
        <f>IF('Оперативный ввод'!X315="","",'Оперативный ввод'!X315)</f>
        <v/>
      </c>
    </row>
    <row r="316">
      <c r="A316" s="171">
        <f>IF('Оперативный ввод'!A316="","",'Оперативный ввод'!A316)</f>
        <v/>
      </c>
      <c r="B316" s="172">
        <f>IF('Оперативный ввод'!B316="","",'Оперативный ввод'!B316)</f>
        <v/>
      </c>
      <c r="C316" s="270">
        <f>IF('Оперативный ввод'!C316="","",'Оперативный ввод'!C316)</f>
        <v/>
      </c>
      <c r="D316" s="270">
        <f>IF('Оперативный ввод'!D316="","",'Оперативный ввод'!D316)</f>
        <v/>
      </c>
      <c r="E316" s="271">
        <f>IF(OR(C316="",D316=""),"",D316-C316)</f>
        <v/>
      </c>
      <c r="F316" s="172">
        <f>IF('Оперативный ввод'!F316="","",'Оперативный ввод'!F316)</f>
        <v/>
      </c>
      <c r="G316" s="172">
        <f>IF('Оперативный ввод'!G316="","",'Оперативный ввод'!G316)</f>
        <v/>
      </c>
      <c r="H316" s="172">
        <f>IF('Оперативный ввод'!H316="","",'Оперативный ввод'!H316)</f>
        <v/>
      </c>
      <c r="I316" s="172">
        <f>IF('Оперативный ввод'!I316="","",'Оперативный ввод'!I316)</f>
        <v/>
      </c>
      <c r="J316" s="172">
        <f>IF('Оперативный ввод'!J316="","",'Оперативный ввод'!J316)</f>
        <v/>
      </c>
      <c r="K316" s="172">
        <f>IF('Оперативный ввод'!K316="","",'Оперативный ввод'!K316)</f>
        <v/>
      </c>
      <c r="L316" s="172">
        <f>IF('Оперативный ввод'!L316="","",'Оперативный ввод'!L316)</f>
        <v/>
      </c>
      <c r="M316" s="172">
        <f>IF('Оперативный ввод'!M316="","",'Оперативный ввод'!M316)</f>
        <v/>
      </c>
      <c r="N316" s="172">
        <f>IF('Оперативный ввод'!N316="","",'Оперативный ввод'!N316)</f>
        <v/>
      </c>
      <c r="O316" s="172">
        <f>IF('Оперативный ввод'!O316="","",'Оперативный ввод'!O316)</f>
        <v/>
      </c>
      <c r="P316" s="205">
        <f>IF(AND(A316="",B316=""),"",IF(AND(A316&lt;&gt;"",B316&lt;&gt;"",C316&lt;&gt;"",D316&lt;&gt;"",F316&lt;&gt;"",G316&lt;&gt;"",H316&lt;&gt;"",ISERROR(SEARCH("по паспорту",G316)),ISERROR(SEARCH("по паспорту",H316)),I316&lt;&gt;"",J316&lt;&gt;"",K316&lt;&gt;"",L316&lt;&gt;"",M316&lt;&gt;""),"ГОТОВО","НЕ ГОТОВО"))</f>
        <v/>
      </c>
      <c r="Q316" s="205">
        <f>IF(P316&lt;&gt;"ГОТОВО","", "Предварительное заключение: "&amp;A316&amp;", скв. "&amp;B316&amp;". МРП: "&amp;E316&amp;" сут. ГНО: "&amp;F316&amp;", типоразмер "&amp;G316&amp;", марка "&amp;H316&amp;". Событие: "&amp;I316&amp;". Признак: "&amp;J316&amp;". Узел: "&amp;K316&amp;". Предварительная причина: "&amp;L316&amp;". Основное осложнение: "&amp;M316&amp;IF(N316&lt;&gt;"","; сопутствующее: "&amp;N316,"")&amp;IF(O316&lt;&gt;"","; дополнительно: "&amp;O316,"")&amp;".")</f>
        <v/>
      </c>
      <c r="R316" s="172">
        <f>IF('Оперативный ввод'!P316="","",'Оперативный ввод'!P316)</f>
        <v/>
      </c>
      <c r="S316" s="172">
        <f>IF('Оперативный ввод'!Q316="","",'Оперативный ввод'!Q316)</f>
        <v/>
      </c>
      <c r="T316" s="172">
        <f>IF('Оперативный ввод'!R316="","",'Оперативный ввод'!R316)</f>
        <v/>
      </c>
      <c r="U316" s="172">
        <f>IF('Оперативный ввод'!S316="","",'Оперативный ввод'!S316)</f>
        <v/>
      </c>
      <c r="V316" s="172">
        <f>IF('Оперативный ввод'!T316="","",'Оперативный ввод'!T316)</f>
        <v/>
      </c>
      <c r="W316" s="172" t="n"/>
      <c r="X316" s="172" t="n"/>
      <c r="Y316" s="172" t="n"/>
      <c r="Z316" s="172" t="n"/>
      <c r="AA316" s="172">
        <f>IF('Оперативный ввод'!U316="","",'Оперативный ввод'!U316)</f>
        <v/>
      </c>
      <c r="AB316" s="172">
        <f>IF('Оперативный ввод'!V316="","",'Оперативный ввод'!V316)</f>
        <v/>
      </c>
      <c r="AC316" s="172">
        <f>IF('Оперативный ввод'!W316="","",'Оперативный ввод'!W316)</f>
        <v/>
      </c>
      <c r="BB316" s="172" t="n"/>
      <c r="BC316" s="172" t="n"/>
      <c r="BD316" s="205">
        <f>IF(AND(A316="",B316=""),"",IF(AND(P316="ГОТОВО",R316&lt;&gt;"",T316&lt;&gt;"",U316&lt;&gt;"",AA316&lt;&gt;"",AB316&lt;&gt;"",AC316&lt;&gt;"",BB316&lt;&gt;"",BC316&lt;&gt;""),"ГОТОВО","НЕ ГОТОВО"))</f>
        <v/>
      </c>
      <c r="BE316" s="205">
        <f>IF(BD316&lt;&gt;"ГОТОВО","","Полное заключение: "&amp;A316&amp;", скв. "&amp;B316&amp;". МРП: "&amp;E316&amp;" сут. ГНО: "&amp;F316&amp;"; причина: "&amp;U316&amp;"; категория: "&amp;V316&amp;"; решение комиссии: "&amp;BB316&amp;".")</f>
        <v/>
      </c>
      <c r="BF316" s="173">
        <f>IF('Оперативный ввод'!X316="","",'Оперативный ввод'!X316)</f>
        <v/>
      </c>
    </row>
    <row r="317">
      <c r="A317" s="171">
        <f>IF('Оперативный ввод'!A317="","",'Оперативный ввод'!A317)</f>
        <v/>
      </c>
      <c r="B317" s="172">
        <f>IF('Оперативный ввод'!B317="","",'Оперативный ввод'!B317)</f>
        <v/>
      </c>
      <c r="C317" s="270">
        <f>IF('Оперативный ввод'!C317="","",'Оперативный ввод'!C317)</f>
        <v/>
      </c>
      <c r="D317" s="270">
        <f>IF('Оперативный ввод'!D317="","",'Оперативный ввод'!D317)</f>
        <v/>
      </c>
      <c r="E317" s="271">
        <f>IF(OR(C317="",D317=""),"",D317-C317)</f>
        <v/>
      </c>
      <c r="F317" s="172">
        <f>IF('Оперативный ввод'!F317="","",'Оперативный ввод'!F317)</f>
        <v/>
      </c>
      <c r="G317" s="172">
        <f>IF('Оперативный ввод'!G317="","",'Оперативный ввод'!G317)</f>
        <v/>
      </c>
      <c r="H317" s="172">
        <f>IF('Оперативный ввод'!H317="","",'Оперативный ввод'!H317)</f>
        <v/>
      </c>
      <c r="I317" s="172">
        <f>IF('Оперативный ввод'!I317="","",'Оперативный ввод'!I317)</f>
        <v/>
      </c>
      <c r="J317" s="172">
        <f>IF('Оперативный ввод'!J317="","",'Оперативный ввод'!J317)</f>
        <v/>
      </c>
      <c r="K317" s="172">
        <f>IF('Оперативный ввод'!K317="","",'Оперативный ввод'!K317)</f>
        <v/>
      </c>
      <c r="L317" s="172">
        <f>IF('Оперативный ввод'!L317="","",'Оперативный ввод'!L317)</f>
        <v/>
      </c>
      <c r="M317" s="172">
        <f>IF('Оперативный ввод'!M317="","",'Оперативный ввод'!M317)</f>
        <v/>
      </c>
      <c r="N317" s="172">
        <f>IF('Оперативный ввод'!N317="","",'Оперативный ввод'!N317)</f>
        <v/>
      </c>
      <c r="O317" s="172">
        <f>IF('Оперативный ввод'!O317="","",'Оперативный ввод'!O317)</f>
        <v/>
      </c>
      <c r="P317" s="205">
        <f>IF(AND(A317="",B317=""),"",IF(AND(A317&lt;&gt;"",B317&lt;&gt;"",C317&lt;&gt;"",D317&lt;&gt;"",F317&lt;&gt;"",G317&lt;&gt;"",H317&lt;&gt;"",ISERROR(SEARCH("по паспорту",G317)),ISERROR(SEARCH("по паспорту",H317)),I317&lt;&gt;"",J317&lt;&gt;"",K317&lt;&gt;"",L317&lt;&gt;"",M317&lt;&gt;""),"ГОТОВО","НЕ ГОТОВО"))</f>
        <v/>
      </c>
      <c r="Q317" s="205">
        <f>IF(P317&lt;&gt;"ГОТОВО","", "Предварительное заключение: "&amp;A317&amp;", скв. "&amp;B317&amp;". МРП: "&amp;E317&amp;" сут. ГНО: "&amp;F317&amp;", типоразмер "&amp;G317&amp;", марка "&amp;H317&amp;". Событие: "&amp;I317&amp;". Признак: "&amp;J317&amp;". Узел: "&amp;K317&amp;". Предварительная причина: "&amp;L317&amp;". Основное осложнение: "&amp;M317&amp;IF(N317&lt;&gt;"","; сопутствующее: "&amp;N317,"")&amp;IF(O317&lt;&gt;"","; дополнительно: "&amp;O317,"")&amp;".")</f>
        <v/>
      </c>
      <c r="R317" s="172">
        <f>IF('Оперативный ввод'!P317="","",'Оперативный ввод'!P317)</f>
        <v/>
      </c>
      <c r="S317" s="172">
        <f>IF('Оперативный ввод'!Q317="","",'Оперативный ввод'!Q317)</f>
        <v/>
      </c>
      <c r="T317" s="172">
        <f>IF('Оперативный ввод'!R317="","",'Оперативный ввод'!R317)</f>
        <v/>
      </c>
      <c r="U317" s="172">
        <f>IF('Оперативный ввод'!S317="","",'Оперативный ввод'!S317)</f>
        <v/>
      </c>
      <c r="V317" s="172">
        <f>IF('Оперативный ввод'!T317="","",'Оперативный ввод'!T317)</f>
        <v/>
      </c>
      <c r="W317" s="172" t="n"/>
      <c r="X317" s="172" t="n"/>
      <c r="Y317" s="172" t="n"/>
      <c r="Z317" s="172" t="n"/>
      <c r="AA317" s="172">
        <f>IF('Оперативный ввод'!U317="","",'Оперативный ввод'!U317)</f>
        <v/>
      </c>
      <c r="AB317" s="172">
        <f>IF('Оперативный ввод'!V317="","",'Оперативный ввод'!V317)</f>
        <v/>
      </c>
      <c r="AC317" s="172">
        <f>IF('Оперативный ввод'!W317="","",'Оперативный ввод'!W317)</f>
        <v/>
      </c>
      <c r="BB317" s="172" t="n"/>
      <c r="BC317" s="172" t="n"/>
      <c r="BD317" s="205">
        <f>IF(AND(A317="",B317=""),"",IF(AND(P317="ГОТОВО",R317&lt;&gt;"",T317&lt;&gt;"",U317&lt;&gt;"",AA317&lt;&gt;"",AB317&lt;&gt;"",AC317&lt;&gt;"",BB317&lt;&gt;"",BC317&lt;&gt;""),"ГОТОВО","НЕ ГОТОВО"))</f>
        <v/>
      </c>
      <c r="BE317" s="205">
        <f>IF(BD317&lt;&gt;"ГОТОВО","","Полное заключение: "&amp;A317&amp;", скв. "&amp;B317&amp;". МРП: "&amp;E317&amp;" сут. ГНО: "&amp;F317&amp;"; причина: "&amp;U317&amp;"; категория: "&amp;V317&amp;"; решение комиссии: "&amp;BB317&amp;".")</f>
        <v/>
      </c>
      <c r="BF317" s="173">
        <f>IF('Оперативный ввод'!X317="","",'Оперативный ввод'!X317)</f>
        <v/>
      </c>
    </row>
    <row r="318">
      <c r="A318" s="171">
        <f>IF('Оперативный ввод'!A318="","",'Оперативный ввод'!A318)</f>
        <v/>
      </c>
      <c r="B318" s="172">
        <f>IF('Оперативный ввод'!B318="","",'Оперативный ввод'!B318)</f>
        <v/>
      </c>
      <c r="C318" s="270">
        <f>IF('Оперативный ввод'!C318="","",'Оперативный ввод'!C318)</f>
        <v/>
      </c>
      <c r="D318" s="270">
        <f>IF('Оперативный ввод'!D318="","",'Оперативный ввод'!D318)</f>
        <v/>
      </c>
      <c r="E318" s="271">
        <f>IF(OR(C318="",D318=""),"",D318-C318)</f>
        <v/>
      </c>
      <c r="F318" s="172">
        <f>IF('Оперативный ввод'!F318="","",'Оперативный ввод'!F318)</f>
        <v/>
      </c>
      <c r="G318" s="172">
        <f>IF('Оперативный ввод'!G318="","",'Оперативный ввод'!G318)</f>
        <v/>
      </c>
      <c r="H318" s="172">
        <f>IF('Оперативный ввод'!H318="","",'Оперативный ввод'!H318)</f>
        <v/>
      </c>
      <c r="I318" s="172">
        <f>IF('Оперативный ввод'!I318="","",'Оперативный ввод'!I318)</f>
        <v/>
      </c>
      <c r="J318" s="172">
        <f>IF('Оперативный ввод'!J318="","",'Оперативный ввод'!J318)</f>
        <v/>
      </c>
      <c r="K318" s="172">
        <f>IF('Оперативный ввод'!K318="","",'Оперативный ввод'!K318)</f>
        <v/>
      </c>
      <c r="L318" s="172">
        <f>IF('Оперативный ввод'!L318="","",'Оперативный ввод'!L318)</f>
        <v/>
      </c>
      <c r="M318" s="172">
        <f>IF('Оперативный ввод'!M318="","",'Оперативный ввод'!M318)</f>
        <v/>
      </c>
      <c r="N318" s="172">
        <f>IF('Оперативный ввод'!N318="","",'Оперативный ввод'!N318)</f>
        <v/>
      </c>
      <c r="O318" s="172">
        <f>IF('Оперативный ввод'!O318="","",'Оперативный ввод'!O318)</f>
        <v/>
      </c>
      <c r="P318" s="205">
        <f>IF(AND(A318="",B318=""),"",IF(AND(A318&lt;&gt;"",B318&lt;&gt;"",C318&lt;&gt;"",D318&lt;&gt;"",F318&lt;&gt;"",G318&lt;&gt;"",H318&lt;&gt;"",ISERROR(SEARCH("по паспорту",G318)),ISERROR(SEARCH("по паспорту",H318)),I318&lt;&gt;"",J318&lt;&gt;"",K318&lt;&gt;"",L318&lt;&gt;"",M318&lt;&gt;""),"ГОТОВО","НЕ ГОТОВО"))</f>
        <v/>
      </c>
      <c r="Q318" s="205">
        <f>IF(P318&lt;&gt;"ГОТОВО","", "Предварительное заключение: "&amp;A318&amp;", скв. "&amp;B318&amp;". МРП: "&amp;E318&amp;" сут. ГНО: "&amp;F318&amp;", типоразмер "&amp;G318&amp;", марка "&amp;H318&amp;". Событие: "&amp;I318&amp;". Признак: "&amp;J318&amp;". Узел: "&amp;K318&amp;". Предварительная причина: "&amp;L318&amp;". Основное осложнение: "&amp;M318&amp;IF(N318&lt;&gt;"","; сопутствующее: "&amp;N318,"")&amp;IF(O318&lt;&gt;"","; дополнительно: "&amp;O318,"")&amp;".")</f>
        <v/>
      </c>
      <c r="R318" s="172">
        <f>IF('Оперативный ввод'!P318="","",'Оперативный ввод'!P318)</f>
        <v/>
      </c>
      <c r="S318" s="172">
        <f>IF('Оперативный ввод'!Q318="","",'Оперативный ввод'!Q318)</f>
        <v/>
      </c>
      <c r="T318" s="172">
        <f>IF('Оперативный ввод'!R318="","",'Оперативный ввод'!R318)</f>
        <v/>
      </c>
      <c r="U318" s="172">
        <f>IF('Оперативный ввод'!S318="","",'Оперативный ввод'!S318)</f>
        <v/>
      </c>
      <c r="V318" s="172">
        <f>IF('Оперативный ввод'!T318="","",'Оперативный ввод'!T318)</f>
        <v/>
      </c>
      <c r="W318" s="172" t="n"/>
      <c r="X318" s="172" t="n"/>
      <c r="Y318" s="172" t="n"/>
      <c r="Z318" s="172" t="n"/>
      <c r="AA318" s="172">
        <f>IF('Оперативный ввод'!U318="","",'Оперативный ввод'!U318)</f>
        <v/>
      </c>
      <c r="AB318" s="172">
        <f>IF('Оперативный ввод'!V318="","",'Оперативный ввод'!V318)</f>
        <v/>
      </c>
      <c r="AC318" s="172">
        <f>IF('Оперативный ввод'!W318="","",'Оперативный ввод'!W318)</f>
        <v/>
      </c>
      <c r="BB318" s="172" t="n"/>
      <c r="BC318" s="172" t="n"/>
      <c r="BD318" s="205">
        <f>IF(AND(A318="",B318=""),"",IF(AND(P318="ГОТОВО",R318&lt;&gt;"",T318&lt;&gt;"",U318&lt;&gt;"",AA318&lt;&gt;"",AB318&lt;&gt;"",AC318&lt;&gt;"",BB318&lt;&gt;"",BC318&lt;&gt;""),"ГОТОВО","НЕ ГОТОВО"))</f>
        <v/>
      </c>
      <c r="BE318" s="205">
        <f>IF(BD318&lt;&gt;"ГОТОВО","","Полное заключение: "&amp;A318&amp;", скв. "&amp;B318&amp;". МРП: "&amp;E318&amp;" сут. ГНО: "&amp;F318&amp;"; причина: "&amp;U318&amp;"; категория: "&amp;V318&amp;"; решение комиссии: "&amp;BB318&amp;".")</f>
        <v/>
      </c>
      <c r="BF318" s="173">
        <f>IF('Оперативный ввод'!X318="","",'Оперативный ввод'!X318)</f>
        <v/>
      </c>
    </row>
    <row r="319">
      <c r="A319" s="171">
        <f>IF('Оперативный ввод'!A319="","",'Оперативный ввод'!A319)</f>
        <v/>
      </c>
      <c r="B319" s="172">
        <f>IF('Оперативный ввод'!B319="","",'Оперативный ввод'!B319)</f>
        <v/>
      </c>
      <c r="C319" s="270">
        <f>IF('Оперативный ввод'!C319="","",'Оперативный ввод'!C319)</f>
        <v/>
      </c>
      <c r="D319" s="270">
        <f>IF('Оперативный ввод'!D319="","",'Оперативный ввод'!D319)</f>
        <v/>
      </c>
      <c r="E319" s="271">
        <f>IF(OR(C319="",D319=""),"",D319-C319)</f>
        <v/>
      </c>
      <c r="F319" s="172">
        <f>IF('Оперативный ввод'!F319="","",'Оперативный ввод'!F319)</f>
        <v/>
      </c>
      <c r="G319" s="172">
        <f>IF('Оперативный ввод'!G319="","",'Оперативный ввод'!G319)</f>
        <v/>
      </c>
      <c r="H319" s="172">
        <f>IF('Оперативный ввод'!H319="","",'Оперативный ввод'!H319)</f>
        <v/>
      </c>
      <c r="I319" s="172">
        <f>IF('Оперативный ввод'!I319="","",'Оперативный ввод'!I319)</f>
        <v/>
      </c>
      <c r="J319" s="172">
        <f>IF('Оперативный ввод'!J319="","",'Оперативный ввод'!J319)</f>
        <v/>
      </c>
      <c r="K319" s="172">
        <f>IF('Оперативный ввод'!K319="","",'Оперативный ввод'!K319)</f>
        <v/>
      </c>
      <c r="L319" s="172">
        <f>IF('Оперативный ввод'!L319="","",'Оперативный ввод'!L319)</f>
        <v/>
      </c>
      <c r="M319" s="172">
        <f>IF('Оперативный ввод'!M319="","",'Оперативный ввод'!M319)</f>
        <v/>
      </c>
      <c r="N319" s="172">
        <f>IF('Оперативный ввод'!N319="","",'Оперативный ввод'!N319)</f>
        <v/>
      </c>
      <c r="O319" s="172">
        <f>IF('Оперативный ввод'!O319="","",'Оперативный ввод'!O319)</f>
        <v/>
      </c>
      <c r="P319" s="205">
        <f>IF(AND(A319="",B319=""),"",IF(AND(A319&lt;&gt;"",B319&lt;&gt;"",C319&lt;&gt;"",D319&lt;&gt;"",F319&lt;&gt;"",G319&lt;&gt;"",H319&lt;&gt;"",ISERROR(SEARCH("по паспорту",G319)),ISERROR(SEARCH("по паспорту",H319)),I319&lt;&gt;"",J319&lt;&gt;"",K319&lt;&gt;"",L319&lt;&gt;"",M319&lt;&gt;""),"ГОТОВО","НЕ ГОТОВО"))</f>
        <v/>
      </c>
      <c r="Q319" s="205">
        <f>IF(P319&lt;&gt;"ГОТОВО","", "Предварительное заключение: "&amp;A319&amp;", скв. "&amp;B319&amp;". МРП: "&amp;E319&amp;" сут. ГНО: "&amp;F319&amp;", типоразмер "&amp;G319&amp;", марка "&amp;H319&amp;". Событие: "&amp;I319&amp;". Признак: "&amp;J319&amp;". Узел: "&amp;K319&amp;". Предварительная причина: "&amp;L319&amp;". Основное осложнение: "&amp;M319&amp;IF(N319&lt;&gt;"","; сопутствующее: "&amp;N319,"")&amp;IF(O319&lt;&gt;"","; дополнительно: "&amp;O319,"")&amp;".")</f>
        <v/>
      </c>
      <c r="R319" s="172">
        <f>IF('Оперативный ввод'!P319="","",'Оперативный ввод'!P319)</f>
        <v/>
      </c>
      <c r="S319" s="172">
        <f>IF('Оперативный ввод'!Q319="","",'Оперативный ввод'!Q319)</f>
        <v/>
      </c>
      <c r="T319" s="172">
        <f>IF('Оперативный ввод'!R319="","",'Оперативный ввод'!R319)</f>
        <v/>
      </c>
      <c r="U319" s="172">
        <f>IF('Оперативный ввод'!S319="","",'Оперативный ввод'!S319)</f>
        <v/>
      </c>
      <c r="V319" s="172">
        <f>IF('Оперативный ввод'!T319="","",'Оперативный ввод'!T319)</f>
        <v/>
      </c>
      <c r="W319" s="172" t="n"/>
      <c r="X319" s="172" t="n"/>
      <c r="Y319" s="172" t="n"/>
      <c r="Z319" s="172" t="n"/>
      <c r="AA319" s="172">
        <f>IF('Оперативный ввод'!U319="","",'Оперативный ввод'!U319)</f>
        <v/>
      </c>
      <c r="AB319" s="172">
        <f>IF('Оперативный ввод'!V319="","",'Оперативный ввод'!V319)</f>
        <v/>
      </c>
      <c r="AC319" s="172">
        <f>IF('Оперативный ввод'!W319="","",'Оперативный ввод'!W319)</f>
        <v/>
      </c>
      <c r="BB319" s="172" t="n"/>
      <c r="BC319" s="172" t="n"/>
      <c r="BD319" s="205">
        <f>IF(AND(A319="",B319=""),"",IF(AND(P319="ГОТОВО",R319&lt;&gt;"",T319&lt;&gt;"",U319&lt;&gt;"",AA319&lt;&gt;"",AB319&lt;&gt;"",AC319&lt;&gt;"",BB319&lt;&gt;"",BC319&lt;&gt;""),"ГОТОВО","НЕ ГОТОВО"))</f>
        <v/>
      </c>
      <c r="BE319" s="205">
        <f>IF(BD319&lt;&gt;"ГОТОВО","","Полное заключение: "&amp;A319&amp;", скв. "&amp;B319&amp;". МРП: "&amp;E319&amp;" сут. ГНО: "&amp;F319&amp;"; причина: "&amp;U319&amp;"; категория: "&amp;V319&amp;"; решение комиссии: "&amp;BB319&amp;".")</f>
        <v/>
      </c>
      <c r="BF319" s="173">
        <f>IF('Оперативный ввод'!X319="","",'Оперативный ввод'!X319)</f>
        <v/>
      </c>
    </row>
    <row r="320">
      <c r="A320" s="171">
        <f>IF('Оперативный ввод'!A320="","",'Оперативный ввод'!A320)</f>
        <v/>
      </c>
      <c r="B320" s="172">
        <f>IF('Оперативный ввод'!B320="","",'Оперативный ввод'!B320)</f>
        <v/>
      </c>
      <c r="C320" s="270">
        <f>IF('Оперативный ввод'!C320="","",'Оперативный ввод'!C320)</f>
        <v/>
      </c>
      <c r="D320" s="270">
        <f>IF('Оперативный ввод'!D320="","",'Оперативный ввод'!D320)</f>
        <v/>
      </c>
      <c r="E320" s="271">
        <f>IF(OR(C320="",D320=""),"",D320-C320)</f>
        <v/>
      </c>
      <c r="F320" s="172">
        <f>IF('Оперативный ввод'!F320="","",'Оперативный ввод'!F320)</f>
        <v/>
      </c>
      <c r="G320" s="172">
        <f>IF('Оперативный ввод'!G320="","",'Оперативный ввод'!G320)</f>
        <v/>
      </c>
      <c r="H320" s="172">
        <f>IF('Оперативный ввод'!H320="","",'Оперативный ввод'!H320)</f>
        <v/>
      </c>
      <c r="I320" s="172">
        <f>IF('Оперативный ввод'!I320="","",'Оперативный ввод'!I320)</f>
        <v/>
      </c>
      <c r="J320" s="172">
        <f>IF('Оперативный ввод'!J320="","",'Оперативный ввод'!J320)</f>
        <v/>
      </c>
      <c r="K320" s="172">
        <f>IF('Оперативный ввод'!K320="","",'Оперативный ввод'!K320)</f>
        <v/>
      </c>
      <c r="L320" s="172">
        <f>IF('Оперативный ввод'!L320="","",'Оперативный ввод'!L320)</f>
        <v/>
      </c>
      <c r="M320" s="172">
        <f>IF('Оперативный ввод'!M320="","",'Оперативный ввод'!M320)</f>
        <v/>
      </c>
      <c r="N320" s="172">
        <f>IF('Оперативный ввод'!N320="","",'Оперативный ввод'!N320)</f>
        <v/>
      </c>
      <c r="O320" s="172">
        <f>IF('Оперативный ввод'!O320="","",'Оперативный ввод'!O320)</f>
        <v/>
      </c>
      <c r="P320" s="205">
        <f>IF(AND(A320="",B320=""),"",IF(AND(A320&lt;&gt;"",B320&lt;&gt;"",C320&lt;&gt;"",D320&lt;&gt;"",F320&lt;&gt;"",G320&lt;&gt;"",H320&lt;&gt;"",ISERROR(SEARCH("по паспорту",G320)),ISERROR(SEARCH("по паспорту",H320)),I320&lt;&gt;"",J320&lt;&gt;"",K320&lt;&gt;"",L320&lt;&gt;"",M320&lt;&gt;""),"ГОТОВО","НЕ ГОТОВО"))</f>
        <v/>
      </c>
      <c r="Q320" s="205">
        <f>IF(P320&lt;&gt;"ГОТОВО","", "Предварительное заключение: "&amp;A320&amp;", скв. "&amp;B320&amp;". МРП: "&amp;E320&amp;" сут. ГНО: "&amp;F320&amp;", типоразмер "&amp;G320&amp;", марка "&amp;H320&amp;". Событие: "&amp;I320&amp;". Признак: "&amp;J320&amp;". Узел: "&amp;K320&amp;". Предварительная причина: "&amp;L320&amp;". Основное осложнение: "&amp;M320&amp;IF(N320&lt;&gt;"","; сопутствующее: "&amp;N320,"")&amp;IF(O320&lt;&gt;"","; дополнительно: "&amp;O320,"")&amp;".")</f>
        <v/>
      </c>
      <c r="R320" s="172">
        <f>IF('Оперативный ввод'!P320="","",'Оперативный ввод'!P320)</f>
        <v/>
      </c>
      <c r="S320" s="172">
        <f>IF('Оперативный ввод'!Q320="","",'Оперативный ввод'!Q320)</f>
        <v/>
      </c>
      <c r="T320" s="172">
        <f>IF('Оперативный ввод'!R320="","",'Оперативный ввод'!R320)</f>
        <v/>
      </c>
      <c r="U320" s="172">
        <f>IF('Оперативный ввод'!S320="","",'Оперативный ввод'!S320)</f>
        <v/>
      </c>
      <c r="V320" s="172">
        <f>IF('Оперативный ввод'!T320="","",'Оперативный ввод'!T320)</f>
        <v/>
      </c>
      <c r="W320" s="172" t="n"/>
      <c r="X320" s="172" t="n"/>
      <c r="Y320" s="172" t="n"/>
      <c r="Z320" s="172" t="n"/>
      <c r="AA320" s="172">
        <f>IF('Оперативный ввод'!U320="","",'Оперативный ввод'!U320)</f>
        <v/>
      </c>
      <c r="AB320" s="172">
        <f>IF('Оперативный ввод'!V320="","",'Оперативный ввод'!V320)</f>
        <v/>
      </c>
      <c r="AC320" s="172">
        <f>IF('Оперативный ввод'!W320="","",'Оперативный ввод'!W320)</f>
        <v/>
      </c>
      <c r="BB320" s="172" t="n"/>
      <c r="BC320" s="172" t="n"/>
      <c r="BD320" s="205">
        <f>IF(AND(A320="",B320=""),"",IF(AND(P320="ГОТОВО",R320&lt;&gt;"",T320&lt;&gt;"",U320&lt;&gt;"",AA320&lt;&gt;"",AB320&lt;&gt;"",AC320&lt;&gt;"",BB320&lt;&gt;"",BC320&lt;&gt;""),"ГОТОВО","НЕ ГОТОВО"))</f>
        <v/>
      </c>
      <c r="BE320" s="205">
        <f>IF(BD320&lt;&gt;"ГОТОВО","","Полное заключение: "&amp;A320&amp;", скв. "&amp;B320&amp;". МРП: "&amp;E320&amp;" сут. ГНО: "&amp;F320&amp;"; причина: "&amp;U320&amp;"; категория: "&amp;V320&amp;"; решение комиссии: "&amp;BB320&amp;".")</f>
        <v/>
      </c>
      <c r="BF320" s="173">
        <f>IF('Оперативный ввод'!X320="","",'Оперативный ввод'!X320)</f>
        <v/>
      </c>
    </row>
    <row r="321">
      <c r="A321" s="171">
        <f>IF('Оперативный ввод'!A321="","",'Оперативный ввод'!A321)</f>
        <v/>
      </c>
      <c r="B321" s="172">
        <f>IF('Оперативный ввод'!B321="","",'Оперативный ввод'!B321)</f>
        <v/>
      </c>
      <c r="C321" s="270">
        <f>IF('Оперативный ввод'!C321="","",'Оперативный ввод'!C321)</f>
        <v/>
      </c>
      <c r="D321" s="270">
        <f>IF('Оперативный ввод'!D321="","",'Оперативный ввод'!D321)</f>
        <v/>
      </c>
      <c r="E321" s="271">
        <f>IF(OR(C321="",D321=""),"",D321-C321)</f>
        <v/>
      </c>
      <c r="F321" s="172">
        <f>IF('Оперативный ввод'!F321="","",'Оперативный ввод'!F321)</f>
        <v/>
      </c>
      <c r="G321" s="172">
        <f>IF('Оперативный ввод'!G321="","",'Оперативный ввод'!G321)</f>
        <v/>
      </c>
      <c r="H321" s="172">
        <f>IF('Оперативный ввод'!H321="","",'Оперативный ввод'!H321)</f>
        <v/>
      </c>
      <c r="I321" s="172">
        <f>IF('Оперативный ввод'!I321="","",'Оперативный ввод'!I321)</f>
        <v/>
      </c>
      <c r="J321" s="172">
        <f>IF('Оперативный ввод'!J321="","",'Оперативный ввод'!J321)</f>
        <v/>
      </c>
      <c r="K321" s="172">
        <f>IF('Оперативный ввод'!K321="","",'Оперативный ввод'!K321)</f>
        <v/>
      </c>
      <c r="L321" s="172">
        <f>IF('Оперативный ввод'!L321="","",'Оперативный ввод'!L321)</f>
        <v/>
      </c>
      <c r="M321" s="172">
        <f>IF('Оперативный ввод'!M321="","",'Оперативный ввод'!M321)</f>
        <v/>
      </c>
      <c r="N321" s="172">
        <f>IF('Оперативный ввод'!N321="","",'Оперативный ввод'!N321)</f>
        <v/>
      </c>
      <c r="O321" s="172">
        <f>IF('Оперативный ввод'!O321="","",'Оперативный ввод'!O321)</f>
        <v/>
      </c>
      <c r="P321" s="205">
        <f>IF(AND(A321="",B321=""),"",IF(AND(A321&lt;&gt;"",B321&lt;&gt;"",C321&lt;&gt;"",D321&lt;&gt;"",F321&lt;&gt;"",G321&lt;&gt;"",H321&lt;&gt;"",ISERROR(SEARCH("по паспорту",G321)),ISERROR(SEARCH("по паспорту",H321)),I321&lt;&gt;"",J321&lt;&gt;"",K321&lt;&gt;"",L321&lt;&gt;"",M321&lt;&gt;""),"ГОТОВО","НЕ ГОТОВО"))</f>
        <v/>
      </c>
      <c r="Q321" s="205">
        <f>IF(P321&lt;&gt;"ГОТОВО","", "Предварительное заключение: "&amp;A321&amp;", скв. "&amp;B321&amp;". МРП: "&amp;E321&amp;" сут. ГНО: "&amp;F321&amp;", типоразмер "&amp;G321&amp;", марка "&amp;H321&amp;". Событие: "&amp;I321&amp;". Признак: "&amp;J321&amp;". Узел: "&amp;K321&amp;". Предварительная причина: "&amp;L321&amp;". Основное осложнение: "&amp;M321&amp;IF(N321&lt;&gt;"","; сопутствующее: "&amp;N321,"")&amp;IF(O321&lt;&gt;"","; дополнительно: "&amp;O321,"")&amp;".")</f>
        <v/>
      </c>
      <c r="R321" s="172">
        <f>IF('Оперативный ввод'!P321="","",'Оперативный ввод'!P321)</f>
        <v/>
      </c>
      <c r="S321" s="172">
        <f>IF('Оперативный ввод'!Q321="","",'Оперативный ввод'!Q321)</f>
        <v/>
      </c>
      <c r="T321" s="172">
        <f>IF('Оперативный ввод'!R321="","",'Оперативный ввод'!R321)</f>
        <v/>
      </c>
      <c r="U321" s="172">
        <f>IF('Оперативный ввод'!S321="","",'Оперативный ввод'!S321)</f>
        <v/>
      </c>
      <c r="V321" s="172">
        <f>IF('Оперативный ввод'!T321="","",'Оперативный ввод'!T321)</f>
        <v/>
      </c>
      <c r="W321" s="172" t="n"/>
      <c r="X321" s="172" t="n"/>
      <c r="Y321" s="172" t="n"/>
      <c r="Z321" s="172" t="n"/>
      <c r="AA321" s="172">
        <f>IF('Оперативный ввод'!U321="","",'Оперативный ввод'!U321)</f>
        <v/>
      </c>
      <c r="AB321" s="172">
        <f>IF('Оперативный ввод'!V321="","",'Оперативный ввод'!V321)</f>
        <v/>
      </c>
      <c r="AC321" s="172">
        <f>IF('Оперативный ввод'!W321="","",'Оперативный ввод'!W321)</f>
        <v/>
      </c>
      <c r="BB321" s="172" t="n"/>
      <c r="BC321" s="172" t="n"/>
      <c r="BD321" s="205">
        <f>IF(AND(A321="",B321=""),"",IF(AND(P321="ГОТОВО",R321&lt;&gt;"",T321&lt;&gt;"",U321&lt;&gt;"",AA321&lt;&gt;"",AB321&lt;&gt;"",AC321&lt;&gt;"",BB321&lt;&gt;"",BC321&lt;&gt;""),"ГОТОВО","НЕ ГОТОВО"))</f>
        <v/>
      </c>
      <c r="BE321" s="205">
        <f>IF(BD321&lt;&gt;"ГОТОВО","","Полное заключение: "&amp;A321&amp;", скв. "&amp;B321&amp;". МРП: "&amp;E321&amp;" сут. ГНО: "&amp;F321&amp;"; причина: "&amp;U321&amp;"; категория: "&amp;V321&amp;"; решение комиссии: "&amp;BB321&amp;".")</f>
        <v/>
      </c>
      <c r="BF321" s="173">
        <f>IF('Оперативный ввод'!X321="","",'Оперативный ввод'!X321)</f>
        <v/>
      </c>
    </row>
    <row r="322">
      <c r="A322" s="171">
        <f>IF('Оперативный ввод'!A322="","",'Оперативный ввод'!A322)</f>
        <v/>
      </c>
      <c r="B322" s="172">
        <f>IF('Оперативный ввод'!B322="","",'Оперативный ввод'!B322)</f>
        <v/>
      </c>
      <c r="C322" s="270">
        <f>IF('Оперативный ввод'!C322="","",'Оперативный ввод'!C322)</f>
        <v/>
      </c>
      <c r="D322" s="270">
        <f>IF('Оперативный ввод'!D322="","",'Оперативный ввод'!D322)</f>
        <v/>
      </c>
      <c r="E322" s="271">
        <f>IF(OR(C322="",D322=""),"",D322-C322)</f>
        <v/>
      </c>
      <c r="F322" s="172">
        <f>IF('Оперативный ввод'!F322="","",'Оперативный ввод'!F322)</f>
        <v/>
      </c>
      <c r="G322" s="172">
        <f>IF('Оперативный ввод'!G322="","",'Оперативный ввод'!G322)</f>
        <v/>
      </c>
      <c r="H322" s="172">
        <f>IF('Оперативный ввод'!H322="","",'Оперативный ввод'!H322)</f>
        <v/>
      </c>
      <c r="I322" s="172">
        <f>IF('Оперативный ввод'!I322="","",'Оперативный ввод'!I322)</f>
        <v/>
      </c>
      <c r="J322" s="172">
        <f>IF('Оперативный ввод'!J322="","",'Оперативный ввод'!J322)</f>
        <v/>
      </c>
      <c r="K322" s="172">
        <f>IF('Оперативный ввод'!K322="","",'Оперативный ввод'!K322)</f>
        <v/>
      </c>
      <c r="L322" s="172">
        <f>IF('Оперативный ввод'!L322="","",'Оперативный ввод'!L322)</f>
        <v/>
      </c>
      <c r="M322" s="172">
        <f>IF('Оперативный ввод'!M322="","",'Оперативный ввод'!M322)</f>
        <v/>
      </c>
      <c r="N322" s="172">
        <f>IF('Оперативный ввод'!N322="","",'Оперативный ввод'!N322)</f>
        <v/>
      </c>
      <c r="O322" s="172">
        <f>IF('Оперативный ввод'!O322="","",'Оперативный ввод'!O322)</f>
        <v/>
      </c>
      <c r="P322" s="205">
        <f>IF(AND(A322="",B322=""),"",IF(AND(A322&lt;&gt;"",B322&lt;&gt;"",C322&lt;&gt;"",D322&lt;&gt;"",F322&lt;&gt;"",G322&lt;&gt;"",H322&lt;&gt;"",ISERROR(SEARCH("по паспорту",G322)),ISERROR(SEARCH("по паспорту",H322)),I322&lt;&gt;"",J322&lt;&gt;"",K322&lt;&gt;"",L322&lt;&gt;"",M322&lt;&gt;""),"ГОТОВО","НЕ ГОТОВО"))</f>
        <v/>
      </c>
      <c r="Q322" s="205">
        <f>IF(P322&lt;&gt;"ГОТОВО","", "Предварительное заключение: "&amp;A322&amp;", скв. "&amp;B322&amp;". МРП: "&amp;E322&amp;" сут. ГНО: "&amp;F322&amp;", типоразмер "&amp;G322&amp;", марка "&amp;H322&amp;". Событие: "&amp;I322&amp;". Признак: "&amp;J322&amp;". Узел: "&amp;K322&amp;". Предварительная причина: "&amp;L322&amp;". Основное осложнение: "&amp;M322&amp;IF(N322&lt;&gt;"","; сопутствующее: "&amp;N322,"")&amp;IF(O322&lt;&gt;"","; дополнительно: "&amp;O322,"")&amp;".")</f>
        <v/>
      </c>
      <c r="R322" s="172">
        <f>IF('Оперативный ввод'!P322="","",'Оперативный ввод'!P322)</f>
        <v/>
      </c>
      <c r="S322" s="172">
        <f>IF('Оперативный ввод'!Q322="","",'Оперативный ввод'!Q322)</f>
        <v/>
      </c>
      <c r="T322" s="172">
        <f>IF('Оперативный ввод'!R322="","",'Оперативный ввод'!R322)</f>
        <v/>
      </c>
      <c r="U322" s="172">
        <f>IF('Оперативный ввод'!S322="","",'Оперативный ввод'!S322)</f>
        <v/>
      </c>
      <c r="V322" s="172">
        <f>IF('Оперативный ввод'!T322="","",'Оперативный ввод'!T322)</f>
        <v/>
      </c>
      <c r="W322" s="172" t="n"/>
      <c r="X322" s="172" t="n"/>
      <c r="Y322" s="172" t="n"/>
      <c r="Z322" s="172" t="n"/>
      <c r="AA322" s="172">
        <f>IF('Оперативный ввод'!U322="","",'Оперативный ввод'!U322)</f>
        <v/>
      </c>
      <c r="AB322" s="172">
        <f>IF('Оперативный ввод'!V322="","",'Оперативный ввод'!V322)</f>
        <v/>
      </c>
      <c r="AC322" s="172">
        <f>IF('Оперативный ввод'!W322="","",'Оперативный ввод'!W322)</f>
        <v/>
      </c>
      <c r="BB322" s="172" t="n"/>
      <c r="BC322" s="172" t="n"/>
      <c r="BD322" s="205">
        <f>IF(AND(A322="",B322=""),"",IF(AND(P322="ГОТОВО",R322&lt;&gt;"",T322&lt;&gt;"",U322&lt;&gt;"",AA322&lt;&gt;"",AB322&lt;&gt;"",AC322&lt;&gt;"",BB322&lt;&gt;"",BC322&lt;&gt;""),"ГОТОВО","НЕ ГОТОВО"))</f>
        <v/>
      </c>
      <c r="BE322" s="205">
        <f>IF(BD322&lt;&gt;"ГОТОВО","","Полное заключение: "&amp;A322&amp;", скв. "&amp;B322&amp;". МРП: "&amp;E322&amp;" сут. ГНО: "&amp;F322&amp;"; причина: "&amp;U322&amp;"; категория: "&amp;V322&amp;"; решение комиссии: "&amp;BB322&amp;".")</f>
        <v/>
      </c>
      <c r="BF322" s="173">
        <f>IF('Оперативный ввод'!X322="","",'Оперативный ввод'!X322)</f>
        <v/>
      </c>
    </row>
    <row r="323">
      <c r="A323" s="171">
        <f>IF('Оперативный ввод'!A323="","",'Оперативный ввод'!A323)</f>
        <v/>
      </c>
      <c r="B323" s="172">
        <f>IF('Оперативный ввод'!B323="","",'Оперативный ввод'!B323)</f>
        <v/>
      </c>
      <c r="C323" s="270">
        <f>IF('Оперативный ввод'!C323="","",'Оперативный ввод'!C323)</f>
        <v/>
      </c>
      <c r="D323" s="270">
        <f>IF('Оперативный ввод'!D323="","",'Оперативный ввод'!D323)</f>
        <v/>
      </c>
      <c r="E323" s="271">
        <f>IF(OR(C323="",D323=""),"",D323-C323)</f>
        <v/>
      </c>
      <c r="F323" s="172">
        <f>IF('Оперативный ввод'!F323="","",'Оперативный ввод'!F323)</f>
        <v/>
      </c>
      <c r="G323" s="172">
        <f>IF('Оперативный ввод'!G323="","",'Оперативный ввод'!G323)</f>
        <v/>
      </c>
      <c r="H323" s="172">
        <f>IF('Оперативный ввод'!H323="","",'Оперативный ввод'!H323)</f>
        <v/>
      </c>
      <c r="I323" s="172">
        <f>IF('Оперативный ввод'!I323="","",'Оперативный ввод'!I323)</f>
        <v/>
      </c>
      <c r="J323" s="172">
        <f>IF('Оперативный ввод'!J323="","",'Оперативный ввод'!J323)</f>
        <v/>
      </c>
      <c r="K323" s="172">
        <f>IF('Оперативный ввод'!K323="","",'Оперативный ввод'!K323)</f>
        <v/>
      </c>
      <c r="L323" s="172">
        <f>IF('Оперативный ввод'!L323="","",'Оперативный ввод'!L323)</f>
        <v/>
      </c>
      <c r="M323" s="172">
        <f>IF('Оперативный ввод'!M323="","",'Оперативный ввод'!M323)</f>
        <v/>
      </c>
      <c r="N323" s="172">
        <f>IF('Оперативный ввод'!N323="","",'Оперативный ввод'!N323)</f>
        <v/>
      </c>
      <c r="O323" s="172">
        <f>IF('Оперативный ввод'!O323="","",'Оперативный ввод'!O323)</f>
        <v/>
      </c>
      <c r="P323" s="205">
        <f>IF(AND(A323="",B323=""),"",IF(AND(A323&lt;&gt;"",B323&lt;&gt;"",C323&lt;&gt;"",D323&lt;&gt;"",F323&lt;&gt;"",G323&lt;&gt;"",H323&lt;&gt;"",ISERROR(SEARCH("по паспорту",G323)),ISERROR(SEARCH("по паспорту",H323)),I323&lt;&gt;"",J323&lt;&gt;"",K323&lt;&gt;"",L323&lt;&gt;"",M323&lt;&gt;""),"ГОТОВО","НЕ ГОТОВО"))</f>
        <v/>
      </c>
      <c r="Q323" s="205">
        <f>IF(P323&lt;&gt;"ГОТОВО","", "Предварительное заключение: "&amp;A323&amp;", скв. "&amp;B323&amp;". МРП: "&amp;E323&amp;" сут. ГНО: "&amp;F323&amp;", типоразмер "&amp;G323&amp;", марка "&amp;H323&amp;". Событие: "&amp;I323&amp;". Признак: "&amp;J323&amp;". Узел: "&amp;K323&amp;". Предварительная причина: "&amp;L323&amp;". Основное осложнение: "&amp;M323&amp;IF(N323&lt;&gt;"","; сопутствующее: "&amp;N323,"")&amp;IF(O323&lt;&gt;"","; дополнительно: "&amp;O323,"")&amp;".")</f>
        <v/>
      </c>
      <c r="R323" s="172">
        <f>IF('Оперативный ввод'!P323="","",'Оперативный ввод'!P323)</f>
        <v/>
      </c>
      <c r="S323" s="172">
        <f>IF('Оперативный ввод'!Q323="","",'Оперативный ввод'!Q323)</f>
        <v/>
      </c>
      <c r="T323" s="172">
        <f>IF('Оперативный ввод'!R323="","",'Оперативный ввод'!R323)</f>
        <v/>
      </c>
      <c r="U323" s="172">
        <f>IF('Оперативный ввод'!S323="","",'Оперативный ввод'!S323)</f>
        <v/>
      </c>
      <c r="V323" s="172">
        <f>IF('Оперативный ввод'!T323="","",'Оперативный ввод'!T323)</f>
        <v/>
      </c>
      <c r="W323" s="172" t="n"/>
      <c r="X323" s="172" t="n"/>
      <c r="Y323" s="172" t="n"/>
      <c r="Z323" s="172" t="n"/>
      <c r="AA323" s="172">
        <f>IF('Оперативный ввод'!U323="","",'Оперативный ввод'!U323)</f>
        <v/>
      </c>
      <c r="AB323" s="172">
        <f>IF('Оперативный ввод'!V323="","",'Оперативный ввод'!V323)</f>
        <v/>
      </c>
      <c r="AC323" s="172">
        <f>IF('Оперативный ввод'!W323="","",'Оперативный ввод'!W323)</f>
        <v/>
      </c>
      <c r="BB323" s="172" t="n"/>
      <c r="BC323" s="172" t="n"/>
      <c r="BD323" s="205">
        <f>IF(AND(A323="",B323=""),"",IF(AND(P323="ГОТОВО",R323&lt;&gt;"",T323&lt;&gt;"",U323&lt;&gt;"",AA323&lt;&gt;"",AB323&lt;&gt;"",AC323&lt;&gt;"",BB323&lt;&gt;"",BC323&lt;&gt;""),"ГОТОВО","НЕ ГОТОВО"))</f>
        <v/>
      </c>
      <c r="BE323" s="205">
        <f>IF(BD323&lt;&gt;"ГОТОВО","","Полное заключение: "&amp;A323&amp;", скв. "&amp;B323&amp;". МРП: "&amp;E323&amp;" сут. ГНО: "&amp;F323&amp;"; причина: "&amp;U323&amp;"; категория: "&amp;V323&amp;"; решение комиссии: "&amp;BB323&amp;".")</f>
        <v/>
      </c>
      <c r="BF323" s="173">
        <f>IF('Оперативный ввод'!X323="","",'Оперативный ввод'!X323)</f>
        <v/>
      </c>
    </row>
    <row r="324">
      <c r="A324" s="171">
        <f>IF('Оперативный ввод'!A324="","",'Оперативный ввод'!A324)</f>
        <v/>
      </c>
      <c r="B324" s="172">
        <f>IF('Оперативный ввод'!B324="","",'Оперативный ввод'!B324)</f>
        <v/>
      </c>
      <c r="C324" s="270">
        <f>IF('Оперативный ввод'!C324="","",'Оперативный ввод'!C324)</f>
        <v/>
      </c>
      <c r="D324" s="270">
        <f>IF('Оперативный ввод'!D324="","",'Оперативный ввод'!D324)</f>
        <v/>
      </c>
      <c r="E324" s="271">
        <f>IF(OR(C324="",D324=""),"",D324-C324)</f>
        <v/>
      </c>
      <c r="F324" s="172">
        <f>IF('Оперативный ввод'!F324="","",'Оперативный ввод'!F324)</f>
        <v/>
      </c>
      <c r="G324" s="172">
        <f>IF('Оперативный ввод'!G324="","",'Оперативный ввод'!G324)</f>
        <v/>
      </c>
      <c r="H324" s="172">
        <f>IF('Оперативный ввод'!H324="","",'Оперативный ввод'!H324)</f>
        <v/>
      </c>
      <c r="I324" s="172">
        <f>IF('Оперативный ввод'!I324="","",'Оперативный ввод'!I324)</f>
        <v/>
      </c>
      <c r="J324" s="172">
        <f>IF('Оперативный ввод'!J324="","",'Оперативный ввод'!J324)</f>
        <v/>
      </c>
      <c r="K324" s="172">
        <f>IF('Оперативный ввод'!K324="","",'Оперативный ввод'!K324)</f>
        <v/>
      </c>
      <c r="L324" s="172">
        <f>IF('Оперативный ввод'!L324="","",'Оперативный ввод'!L324)</f>
        <v/>
      </c>
      <c r="M324" s="172">
        <f>IF('Оперативный ввод'!M324="","",'Оперативный ввод'!M324)</f>
        <v/>
      </c>
      <c r="N324" s="172">
        <f>IF('Оперативный ввод'!N324="","",'Оперативный ввод'!N324)</f>
        <v/>
      </c>
      <c r="O324" s="172">
        <f>IF('Оперативный ввод'!O324="","",'Оперативный ввод'!O324)</f>
        <v/>
      </c>
      <c r="P324" s="205">
        <f>IF(AND(A324="",B324=""),"",IF(AND(A324&lt;&gt;"",B324&lt;&gt;"",C324&lt;&gt;"",D324&lt;&gt;"",F324&lt;&gt;"",G324&lt;&gt;"",H324&lt;&gt;"",ISERROR(SEARCH("по паспорту",G324)),ISERROR(SEARCH("по паспорту",H324)),I324&lt;&gt;"",J324&lt;&gt;"",K324&lt;&gt;"",L324&lt;&gt;"",M324&lt;&gt;""),"ГОТОВО","НЕ ГОТОВО"))</f>
        <v/>
      </c>
      <c r="Q324" s="205">
        <f>IF(P324&lt;&gt;"ГОТОВО","", "Предварительное заключение: "&amp;A324&amp;", скв. "&amp;B324&amp;". МРП: "&amp;E324&amp;" сут. ГНО: "&amp;F324&amp;", типоразмер "&amp;G324&amp;", марка "&amp;H324&amp;". Событие: "&amp;I324&amp;". Признак: "&amp;J324&amp;". Узел: "&amp;K324&amp;". Предварительная причина: "&amp;L324&amp;". Основное осложнение: "&amp;M324&amp;IF(N324&lt;&gt;"","; сопутствующее: "&amp;N324,"")&amp;IF(O324&lt;&gt;"","; дополнительно: "&amp;O324,"")&amp;".")</f>
        <v/>
      </c>
      <c r="R324" s="172">
        <f>IF('Оперативный ввод'!P324="","",'Оперативный ввод'!P324)</f>
        <v/>
      </c>
      <c r="S324" s="172">
        <f>IF('Оперативный ввод'!Q324="","",'Оперативный ввод'!Q324)</f>
        <v/>
      </c>
      <c r="T324" s="172">
        <f>IF('Оперативный ввод'!R324="","",'Оперативный ввод'!R324)</f>
        <v/>
      </c>
      <c r="U324" s="172">
        <f>IF('Оперативный ввод'!S324="","",'Оперативный ввод'!S324)</f>
        <v/>
      </c>
      <c r="V324" s="172">
        <f>IF('Оперативный ввод'!T324="","",'Оперативный ввод'!T324)</f>
        <v/>
      </c>
      <c r="W324" s="172" t="n"/>
      <c r="X324" s="172" t="n"/>
      <c r="Y324" s="172" t="n"/>
      <c r="Z324" s="172" t="n"/>
      <c r="AA324" s="172">
        <f>IF('Оперативный ввод'!U324="","",'Оперативный ввод'!U324)</f>
        <v/>
      </c>
      <c r="AB324" s="172">
        <f>IF('Оперативный ввод'!V324="","",'Оперативный ввод'!V324)</f>
        <v/>
      </c>
      <c r="AC324" s="172">
        <f>IF('Оперативный ввод'!W324="","",'Оперативный ввод'!W324)</f>
        <v/>
      </c>
      <c r="BB324" s="172" t="n"/>
      <c r="BC324" s="172" t="n"/>
      <c r="BD324" s="205">
        <f>IF(AND(A324="",B324=""),"",IF(AND(P324="ГОТОВО",R324&lt;&gt;"",T324&lt;&gt;"",U324&lt;&gt;"",AA324&lt;&gt;"",AB324&lt;&gt;"",AC324&lt;&gt;"",BB324&lt;&gt;"",BC324&lt;&gt;""),"ГОТОВО","НЕ ГОТОВО"))</f>
        <v/>
      </c>
      <c r="BE324" s="205">
        <f>IF(BD324&lt;&gt;"ГОТОВО","","Полное заключение: "&amp;A324&amp;", скв. "&amp;B324&amp;". МРП: "&amp;E324&amp;" сут. ГНО: "&amp;F324&amp;"; причина: "&amp;U324&amp;"; категория: "&amp;V324&amp;"; решение комиссии: "&amp;BB324&amp;".")</f>
        <v/>
      </c>
      <c r="BF324" s="173">
        <f>IF('Оперативный ввод'!X324="","",'Оперативный ввод'!X324)</f>
        <v/>
      </c>
    </row>
    <row r="325">
      <c r="A325" s="171">
        <f>IF('Оперативный ввод'!A325="","",'Оперативный ввод'!A325)</f>
        <v/>
      </c>
      <c r="B325" s="172">
        <f>IF('Оперативный ввод'!B325="","",'Оперативный ввод'!B325)</f>
        <v/>
      </c>
      <c r="C325" s="270">
        <f>IF('Оперативный ввод'!C325="","",'Оперативный ввод'!C325)</f>
        <v/>
      </c>
      <c r="D325" s="270">
        <f>IF('Оперативный ввод'!D325="","",'Оперативный ввод'!D325)</f>
        <v/>
      </c>
      <c r="E325" s="271">
        <f>IF(OR(C325="",D325=""),"",D325-C325)</f>
        <v/>
      </c>
      <c r="F325" s="172">
        <f>IF('Оперативный ввод'!F325="","",'Оперативный ввод'!F325)</f>
        <v/>
      </c>
      <c r="G325" s="172">
        <f>IF('Оперативный ввод'!G325="","",'Оперативный ввод'!G325)</f>
        <v/>
      </c>
      <c r="H325" s="172">
        <f>IF('Оперативный ввод'!H325="","",'Оперативный ввод'!H325)</f>
        <v/>
      </c>
      <c r="I325" s="172">
        <f>IF('Оперативный ввод'!I325="","",'Оперативный ввод'!I325)</f>
        <v/>
      </c>
      <c r="J325" s="172">
        <f>IF('Оперативный ввод'!J325="","",'Оперативный ввод'!J325)</f>
        <v/>
      </c>
      <c r="K325" s="172">
        <f>IF('Оперативный ввод'!K325="","",'Оперативный ввод'!K325)</f>
        <v/>
      </c>
      <c r="L325" s="172">
        <f>IF('Оперативный ввод'!L325="","",'Оперативный ввод'!L325)</f>
        <v/>
      </c>
      <c r="M325" s="172">
        <f>IF('Оперативный ввод'!M325="","",'Оперативный ввод'!M325)</f>
        <v/>
      </c>
      <c r="N325" s="172">
        <f>IF('Оперативный ввод'!N325="","",'Оперативный ввод'!N325)</f>
        <v/>
      </c>
      <c r="O325" s="172">
        <f>IF('Оперативный ввод'!O325="","",'Оперативный ввод'!O325)</f>
        <v/>
      </c>
      <c r="P325" s="205">
        <f>IF(AND(A325="",B325=""),"",IF(AND(A325&lt;&gt;"",B325&lt;&gt;"",C325&lt;&gt;"",D325&lt;&gt;"",F325&lt;&gt;"",G325&lt;&gt;"",H325&lt;&gt;"",ISERROR(SEARCH("по паспорту",G325)),ISERROR(SEARCH("по паспорту",H325)),I325&lt;&gt;"",J325&lt;&gt;"",K325&lt;&gt;"",L325&lt;&gt;"",M325&lt;&gt;""),"ГОТОВО","НЕ ГОТОВО"))</f>
        <v/>
      </c>
      <c r="Q325" s="205">
        <f>IF(P325&lt;&gt;"ГОТОВО","", "Предварительное заключение: "&amp;A325&amp;", скв. "&amp;B325&amp;". МРП: "&amp;E325&amp;" сут. ГНО: "&amp;F325&amp;", типоразмер "&amp;G325&amp;", марка "&amp;H325&amp;". Событие: "&amp;I325&amp;". Признак: "&amp;J325&amp;". Узел: "&amp;K325&amp;". Предварительная причина: "&amp;L325&amp;". Основное осложнение: "&amp;M325&amp;IF(N325&lt;&gt;"","; сопутствующее: "&amp;N325,"")&amp;IF(O325&lt;&gt;"","; дополнительно: "&amp;O325,"")&amp;".")</f>
        <v/>
      </c>
      <c r="R325" s="172">
        <f>IF('Оперативный ввод'!P325="","",'Оперативный ввод'!P325)</f>
        <v/>
      </c>
      <c r="S325" s="172">
        <f>IF('Оперативный ввод'!Q325="","",'Оперативный ввод'!Q325)</f>
        <v/>
      </c>
      <c r="T325" s="172">
        <f>IF('Оперативный ввод'!R325="","",'Оперативный ввод'!R325)</f>
        <v/>
      </c>
      <c r="U325" s="172">
        <f>IF('Оперативный ввод'!S325="","",'Оперативный ввод'!S325)</f>
        <v/>
      </c>
      <c r="V325" s="172">
        <f>IF('Оперативный ввод'!T325="","",'Оперативный ввод'!T325)</f>
        <v/>
      </c>
      <c r="W325" s="172" t="n"/>
      <c r="X325" s="172" t="n"/>
      <c r="Y325" s="172" t="n"/>
      <c r="Z325" s="172" t="n"/>
      <c r="AA325" s="172">
        <f>IF('Оперативный ввод'!U325="","",'Оперативный ввод'!U325)</f>
        <v/>
      </c>
      <c r="AB325" s="172">
        <f>IF('Оперативный ввод'!V325="","",'Оперативный ввод'!V325)</f>
        <v/>
      </c>
      <c r="AC325" s="172">
        <f>IF('Оперативный ввод'!W325="","",'Оперативный ввод'!W325)</f>
        <v/>
      </c>
      <c r="BB325" s="172" t="n"/>
      <c r="BC325" s="172" t="n"/>
      <c r="BD325" s="205">
        <f>IF(AND(A325="",B325=""),"",IF(AND(P325="ГОТОВО",R325&lt;&gt;"",T325&lt;&gt;"",U325&lt;&gt;"",AA325&lt;&gt;"",AB325&lt;&gt;"",AC325&lt;&gt;"",BB325&lt;&gt;"",BC325&lt;&gt;""),"ГОТОВО","НЕ ГОТОВО"))</f>
        <v/>
      </c>
      <c r="BE325" s="205">
        <f>IF(BD325&lt;&gt;"ГОТОВО","","Полное заключение: "&amp;A325&amp;", скв. "&amp;B325&amp;". МРП: "&amp;E325&amp;" сут. ГНО: "&amp;F325&amp;"; причина: "&amp;U325&amp;"; категория: "&amp;V325&amp;"; решение комиссии: "&amp;BB325&amp;".")</f>
        <v/>
      </c>
      <c r="BF325" s="173">
        <f>IF('Оперативный ввод'!X325="","",'Оперативный ввод'!X325)</f>
        <v/>
      </c>
    </row>
    <row r="326">
      <c r="A326" s="171">
        <f>IF('Оперативный ввод'!A326="","",'Оперативный ввод'!A326)</f>
        <v/>
      </c>
      <c r="B326" s="172">
        <f>IF('Оперативный ввод'!B326="","",'Оперативный ввод'!B326)</f>
        <v/>
      </c>
      <c r="C326" s="270">
        <f>IF('Оперативный ввод'!C326="","",'Оперативный ввод'!C326)</f>
        <v/>
      </c>
      <c r="D326" s="270">
        <f>IF('Оперативный ввод'!D326="","",'Оперативный ввод'!D326)</f>
        <v/>
      </c>
      <c r="E326" s="271">
        <f>IF(OR(C326="",D326=""),"",D326-C326)</f>
        <v/>
      </c>
      <c r="F326" s="172">
        <f>IF('Оперативный ввод'!F326="","",'Оперативный ввод'!F326)</f>
        <v/>
      </c>
      <c r="G326" s="172">
        <f>IF('Оперативный ввод'!G326="","",'Оперативный ввод'!G326)</f>
        <v/>
      </c>
      <c r="H326" s="172">
        <f>IF('Оперативный ввод'!H326="","",'Оперативный ввод'!H326)</f>
        <v/>
      </c>
      <c r="I326" s="172">
        <f>IF('Оперативный ввод'!I326="","",'Оперативный ввод'!I326)</f>
        <v/>
      </c>
      <c r="J326" s="172">
        <f>IF('Оперативный ввод'!J326="","",'Оперативный ввод'!J326)</f>
        <v/>
      </c>
      <c r="K326" s="172">
        <f>IF('Оперативный ввод'!K326="","",'Оперативный ввод'!K326)</f>
        <v/>
      </c>
      <c r="L326" s="172">
        <f>IF('Оперативный ввод'!L326="","",'Оперативный ввод'!L326)</f>
        <v/>
      </c>
      <c r="M326" s="172">
        <f>IF('Оперативный ввод'!M326="","",'Оперативный ввод'!M326)</f>
        <v/>
      </c>
      <c r="N326" s="172">
        <f>IF('Оперативный ввод'!N326="","",'Оперативный ввод'!N326)</f>
        <v/>
      </c>
      <c r="O326" s="172">
        <f>IF('Оперативный ввод'!O326="","",'Оперативный ввод'!O326)</f>
        <v/>
      </c>
      <c r="P326" s="205">
        <f>IF(AND(A326="",B326=""),"",IF(AND(A326&lt;&gt;"",B326&lt;&gt;"",C326&lt;&gt;"",D326&lt;&gt;"",F326&lt;&gt;"",G326&lt;&gt;"",H326&lt;&gt;"",ISERROR(SEARCH("по паспорту",G326)),ISERROR(SEARCH("по паспорту",H326)),I326&lt;&gt;"",J326&lt;&gt;"",K326&lt;&gt;"",L326&lt;&gt;"",M326&lt;&gt;""),"ГОТОВО","НЕ ГОТОВО"))</f>
        <v/>
      </c>
      <c r="Q326" s="205">
        <f>IF(P326&lt;&gt;"ГОТОВО","", "Предварительное заключение: "&amp;A326&amp;", скв. "&amp;B326&amp;". МРП: "&amp;E326&amp;" сут. ГНО: "&amp;F326&amp;", типоразмер "&amp;G326&amp;", марка "&amp;H326&amp;". Событие: "&amp;I326&amp;". Признак: "&amp;J326&amp;". Узел: "&amp;K326&amp;". Предварительная причина: "&amp;L326&amp;". Основное осложнение: "&amp;M326&amp;IF(N326&lt;&gt;"","; сопутствующее: "&amp;N326,"")&amp;IF(O326&lt;&gt;"","; дополнительно: "&amp;O326,"")&amp;".")</f>
        <v/>
      </c>
      <c r="R326" s="172">
        <f>IF('Оперативный ввод'!P326="","",'Оперативный ввод'!P326)</f>
        <v/>
      </c>
      <c r="S326" s="172">
        <f>IF('Оперативный ввод'!Q326="","",'Оперативный ввод'!Q326)</f>
        <v/>
      </c>
      <c r="T326" s="172">
        <f>IF('Оперативный ввод'!R326="","",'Оперативный ввод'!R326)</f>
        <v/>
      </c>
      <c r="U326" s="172">
        <f>IF('Оперативный ввод'!S326="","",'Оперативный ввод'!S326)</f>
        <v/>
      </c>
      <c r="V326" s="172">
        <f>IF('Оперативный ввод'!T326="","",'Оперативный ввод'!T326)</f>
        <v/>
      </c>
      <c r="W326" s="172" t="n"/>
      <c r="X326" s="172" t="n"/>
      <c r="Y326" s="172" t="n"/>
      <c r="Z326" s="172" t="n"/>
      <c r="AA326" s="172">
        <f>IF('Оперативный ввод'!U326="","",'Оперативный ввод'!U326)</f>
        <v/>
      </c>
      <c r="AB326" s="172">
        <f>IF('Оперативный ввод'!V326="","",'Оперативный ввод'!V326)</f>
        <v/>
      </c>
      <c r="AC326" s="172">
        <f>IF('Оперативный ввод'!W326="","",'Оперативный ввод'!W326)</f>
        <v/>
      </c>
      <c r="BB326" s="172" t="n"/>
      <c r="BC326" s="172" t="n"/>
      <c r="BD326" s="205">
        <f>IF(AND(A326="",B326=""),"",IF(AND(P326="ГОТОВО",R326&lt;&gt;"",T326&lt;&gt;"",U326&lt;&gt;"",AA326&lt;&gt;"",AB326&lt;&gt;"",AC326&lt;&gt;"",BB326&lt;&gt;"",BC326&lt;&gt;""),"ГОТОВО","НЕ ГОТОВО"))</f>
        <v/>
      </c>
      <c r="BE326" s="205">
        <f>IF(BD326&lt;&gt;"ГОТОВО","","Полное заключение: "&amp;A326&amp;", скв. "&amp;B326&amp;". МРП: "&amp;E326&amp;" сут. ГНО: "&amp;F326&amp;"; причина: "&amp;U326&amp;"; категория: "&amp;V326&amp;"; решение комиссии: "&amp;BB326&amp;".")</f>
        <v/>
      </c>
      <c r="BF326" s="173">
        <f>IF('Оперативный ввод'!X326="","",'Оперативный ввод'!X326)</f>
        <v/>
      </c>
    </row>
    <row r="327">
      <c r="A327" s="171">
        <f>IF('Оперативный ввод'!A327="","",'Оперативный ввод'!A327)</f>
        <v/>
      </c>
      <c r="B327" s="172">
        <f>IF('Оперативный ввод'!B327="","",'Оперативный ввод'!B327)</f>
        <v/>
      </c>
      <c r="C327" s="270">
        <f>IF('Оперативный ввод'!C327="","",'Оперативный ввод'!C327)</f>
        <v/>
      </c>
      <c r="D327" s="270">
        <f>IF('Оперативный ввод'!D327="","",'Оперативный ввод'!D327)</f>
        <v/>
      </c>
      <c r="E327" s="271">
        <f>IF(OR(C327="",D327=""),"",D327-C327)</f>
        <v/>
      </c>
      <c r="F327" s="172">
        <f>IF('Оперативный ввод'!F327="","",'Оперативный ввод'!F327)</f>
        <v/>
      </c>
      <c r="G327" s="172">
        <f>IF('Оперативный ввод'!G327="","",'Оперативный ввод'!G327)</f>
        <v/>
      </c>
      <c r="H327" s="172">
        <f>IF('Оперативный ввод'!H327="","",'Оперативный ввод'!H327)</f>
        <v/>
      </c>
      <c r="I327" s="172">
        <f>IF('Оперативный ввод'!I327="","",'Оперативный ввод'!I327)</f>
        <v/>
      </c>
      <c r="J327" s="172">
        <f>IF('Оперативный ввод'!J327="","",'Оперативный ввод'!J327)</f>
        <v/>
      </c>
      <c r="K327" s="172">
        <f>IF('Оперативный ввод'!K327="","",'Оперативный ввод'!K327)</f>
        <v/>
      </c>
      <c r="L327" s="172">
        <f>IF('Оперативный ввод'!L327="","",'Оперативный ввод'!L327)</f>
        <v/>
      </c>
      <c r="M327" s="172">
        <f>IF('Оперативный ввод'!M327="","",'Оперативный ввод'!M327)</f>
        <v/>
      </c>
      <c r="N327" s="172">
        <f>IF('Оперативный ввод'!N327="","",'Оперативный ввод'!N327)</f>
        <v/>
      </c>
      <c r="O327" s="172">
        <f>IF('Оперативный ввод'!O327="","",'Оперативный ввод'!O327)</f>
        <v/>
      </c>
      <c r="P327" s="205">
        <f>IF(AND(A327="",B327=""),"",IF(AND(A327&lt;&gt;"",B327&lt;&gt;"",C327&lt;&gt;"",D327&lt;&gt;"",F327&lt;&gt;"",G327&lt;&gt;"",H327&lt;&gt;"",ISERROR(SEARCH("по паспорту",G327)),ISERROR(SEARCH("по паспорту",H327)),I327&lt;&gt;"",J327&lt;&gt;"",K327&lt;&gt;"",L327&lt;&gt;"",M327&lt;&gt;""),"ГОТОВО","НЕ ГОТОВО"))</f>
        <v/>
      </c>
      <c r="Q327" s="205">
        <f>IF(P327&lt;&gt;"ГОТОВО","", "Предварительное заключение: "&amp;A327&amp;", скв. "&amp;B327&amp;". МРП: "&amp;E327&amp;" сут. ГНО: "&amp;F327&amp;", типоразмер "&amp;G327&amp;", марка "&amp;H327&amp;". Событие: "&amp;I327&amp;". Признак: "&amp;J327&amp;". Узел: "&amp;K327&amp;". Предварительная причина: "&amp;L327&amp;". Основное осложнение: "&amp;M327&amp;IF(N327&lt;&gt;"","; сопутствующее: "&amp;N327,"")&amp;IF(O327&lt;&gt;"","; дополнительно: "&amp;O327,"")&amp;".")</f>
        <v/>
      </c>
      <c r="R327" s="172">
        <f>IF('Оперативный ввод'!P327="","",'Оперативный ввод'!P327)</f>
        <v/>
      </c>
      <c r="S327" s="172">
        <f>IF('Оперативный ввод'!Q327="","",'Оперативный ввод'!Q327)</f>
        <v/>
      </c>
      <c r="T327" s="172">
        <f>IF('Оперативный ввод'!R327="","",'Оперативный ввод'!R327)</f>
        <v/>
      </c>
      <c r="U327" s="172">
        <f>IF('Оперативный ввод'!S327="","",'Оперативный ввод'!S327)</f>
        <v/>
      </c>
      <c r="V327" s="172">
        <f>IF('Оперативный ввод'!T327="","",'Оперативный ввод'!T327)</f>
        <v/>
      </c>
      <c r="W327" s="172" t="n"/>
      <c r="X327" s="172" t="n"/>
      <c r="Y327" s="172" t="n"/>
      <c r="Z327" s="172" t="n"/>
      <c r="AA327" s="172">
        <f>IF('Оперативный ввод'!U327="","",'Оперативный ввод'!U327)</f>
        <v/>
      </c>
      <c r="AB327" s="172">
        <f>IF('Оперативный ввод'!V327="","",'Оперативный ввод'!V327)</f>
        <v/>
      </c>
      <c r="AC327" s="172">
        <f>IF('Оперативный ввод'!W327="","",'Оперативный ввод'!W327)</f>
        <v/>
      </c>
      <c r="BB327" s="172" t="n"/>
      <c r="BC327" s="172" t="n"/>
      <c r="BD327" s="205">
        <f>IF(AND(A327="",B327=""),"",IF(AND(P327="ГОТОВО",R327&lt;&gt;"",T327&lt;&gt;"",U327&lt;&gt;"",AA327&lt;&gt;"",AB327&lt;&gt;"",AC327&lt;&gt;"",BB327&lt;&gt;"",BC327&lt;&gt;""),"ГОТОВО","НЕ ГОТОВО"))</f>
        <v/>
      </c>
      <c r="BE327" s="205">
        <f>IF(BD327&lt;&gt;"ГОТОВО","","Полное заключение: "&amp;A327&amp;", скв. "&amp;B327&amp;". МРП: "&amp;E327&amp;" сут. ГНО: "&amp;F327&amp;"; причина: "&amp;U327&amp;"; категория: "&amp;V327&amp;"; решение комиссии: "&amp;BB327&amp;".")</f>
        <v/>
      </c>
      <c r="BF327" s="173">
        <f>IF('Оперативный ввод'!X327="","",'Оперативный ввод'!X327)</f>
        <v/>
      </c>
    </row>
    <row r="328">
      <c r="A328" s="171">
        <f>IF('Оперативный ввод'!A328="","",'Оперативный ввод'!A328)</f>
        <v/>
      </c>
      <c r="B328" s="172">
        <f>IF('Оперативный ввод'!B328="","",'Оперативный ввод'!B328)</f>
        <v/>
      </c>
      <c r="C328" s="270">
        <f>IF('Оперативный ввод'!C328="","",'Оперативный ввод'!C328)</f>
        <v/>
      </c>
      <c r="D328" s="270">
        <f>IF('Оперативный ввод'!D328="","",'Оперативный ввод'!D328)</f>
        <v/>
      </c>
      <c r="E328" s="271">
        <f>IF(OR(C328="",D328=""),"",D328-C328)</f>
        <v/>
      </c>
      <c r="F328" s="172">
        <f>IF('Оперативный ввод'!F328="","",'Оперативный ввод'!F328)</f>
        <v/>
      </c>
      <c r="G328" s="172">
        <f>IF('Оперативный ввод'!G328="","",'Оперативный ввод'!G328)</f>
        <v/>
      </c>
      <c r="H328" s="172">
        <f>IF('Оперативный ввод'!H328="","",'Оперативный ввод'!H328)</f>
        <v/>
      </c>
      <c r="I328" s="172">
        <f>IF('Оперативный ввод'!I328="","",'Оперативный ввод'!I328)</f>
        <v/>
      </c>
      <c r="J328" s="172">
        <f>IF('Оперативный ввод'!J328="","",'Оперативный ввод'!J328)</f>
        <v/>
      </c>
      <c r="K328" s="172">
        <f>IF('Оперативный ввод'!K328="","",'Оперативный ввод'!K328)</f>
        <v/>
      </c>
      <c r="L328" s="172">
        <f>IF('Оперативный ввод'!L328="","",'Оперативный ввод'!L328)</f>
        <v/>
      </c>
      <c r="M328" s="172">
        <f>IF('Оперативный ввод'!M328="","",'Оперативный ввод'!M328)</f>
        <v/>
      </c>
      <c r="N328" s="172">
        <f>IF('Оперативный ввод'!N328="","",'Оперативный ввод'!N328)</f>
        <v/>
      </c>
      <c r="O328" s="172">
        <f>IF('Оперативный ввод'!O328="","",'Оперативный ввод'!O328)</f>
        <v/>
      </c>
      <c r="P328" s="205">
        <f>IF(AND(A328="",B328=""),"",IF(AND(A328&lt;&gt;"",B328&lt;&gt;"",C328&lt;&gt;"",D328&lt;&gt;"",F328&lt;&gt;"",G328&lt;&gt;"",H328&lt;&gt;"",ISERROR(SEARCH("по паспорту",G328)),ISERROR(SEARCH("по паспорту",H328)),I328&lt;&gt;"",J328&lt;&gt;"",K328&lt;&gt;"",L328&lt;&gt;"",M328&lt;&gt;""),"ГОТОВО","НЕ ГОТОВО"))</f>
        <v/>
      </c>
      <c r="Q328" s="205">
        <f>IF(P328&lt;&gt;"ГОТОВО","", "Предварительное заключение: "&amp;A328&amp;", скв. "&amp;B328&amp;". МРП: "&amp;E328&amp;" сут. ГНО: "&amp;F328&amp;", типоразмер "&amp;G328&amp;", марка "&amp;H328&amp;". Событие: "&amp;I328&amp;". Признак: "&amp;J328&amp;". Узел: "&amp;K328&amp;". Предварительная причина: "&amp;L328&amp;". Основное осложнение: "&amp;M328&amp;IF(N328&lt;&gt;"","; сопутствующее: "&amp;N328,"")&amp;IF(O328&lt;&gt;"","; дополнительно: "&amp;O328,"")&amp;".")</f>
        <v/>
      </c>
      <c r="R328" s="172">
        <f>IF('Оперативный ввод'!P328="","",'Оперативный ввод'!P328)</f>
        <v/>
      </c>
      <c r="S328" s="172">
        <f>IF('Оперативный ввод'!Q328="","",'Оперативный ввод'!Q328)</f>
        <v/>
      </c>
      <c r="T328" s="172">
        <f>IF('Оперативный ввод'!R328="","",'Оперативный ввод'!R328)</f>
        <v/>
      </c>
      <c r="U328" s="172">
        <f>IF('Оперативный ввод'!S328="","",'Оперативный ввод'!S328)</f>
        <v/>
      </c>
      <c r="V328" s="172">
        <f>IF('Оперативный ввод'!T328="","",'Оперативный ввод'!T328)</f>
        <v/>
      </c>
      <c r="W328" s="172" t="n"/>
      <c r="X328" s="172" t="n"/>
      <c r="Y328" s="172" t="n"/>
      <c r="Z328" s="172" t="n"/>
      <c r="AA328" s="172">
        <f>IF('Оперативный ввод'!U328="","",'Оперативный ввод'!U328)</f>
        <v/>
      </c>
      <c r="AB328" s="172">
        <f>IF('Оперативный ввод'!V328="","",'Оперативный ввод'!V328)</f>
        <v/>
      </c>
      <c r="AC328" s="172">
        <f>IF('Оперативный ввод'!W328="","",'Оперативный ввод'!W328)</f>
        <v/>
      </c>
      <c r="BB328" s="172" t="n"/>
      <c r="BC328" s="172" t="n"/>
      <c r="BD328" s="205">
        <f>IF(AND(A328="",B328=""),"",IF(AND(P328="ГОТОВО",R328&lt;&gt;"",T328&lt;&gt;"",U328&lt;&gt;"",AA328&lt;&gt;"",AB328&lt;&gt;"",AC328&lt;&gt;"",BB328&lt;&gt;"",BC328&lt;&gt;""),"ГОТОВО","НЕ ГОТОВО"))</f>
        <v/>
      </c>
      <c r="BE328" s="205">
        <f>IF(BD328&lt;&gt;"ГОТОВО","","Полное заключение: "&amp;A328&amp;", скв. "&amp;B328&amp;". МРП: "&amp;E328&amp;" сут. ГНО: "&amp;F328&amp;"; причина: "&amp;U328&amp;"; категория: "&amp;V328&amp;"; решение комиссии: "&amp;BB328&amp;".")</f>
        <v/>
      </c>
      <c r="BF328" s="173">
        <f>IF('Оперативный ввод'!X328="","",'Оперативный ввод'!X328)</f>
        <v/>
      </c>
    </row>
    <row r="329">
      <c r="A329" s="171">
        <f>IF('Оперативный ввод'!A329="","",'Оперативный ввод'!A329)</f>
        <v/>
      </c>
      <c r="B329" s="172">
        <f>IF('Оперативный ввод'!B329="","",'Оперативный ввод'!B329)</f>
        <v/>
      </c>
      <c r="C329" s="270">
        <f>IF('Оперативный ввод'!C329="","",'Оперативный ввод'!C329)</f>
        <v/>
      </c>
      <c r="D329" s="270">
        <f>IF('Оперативный ввод'!D329="","",'Оперативный ввод'!D329)</f>
        <v/>
      </c>
      <c r="E329" s="271">
        <f>IF(OR(C329="",D329=""),"",D329-C329)</f>
        <v/>
      </c>
      <c r="F329" s="172">
        <f>IF('Оперативный ввод'!F329="","",'Оперативный ввод'!F329)</f>
        <v/>
      </c>
      <c r="G329" s="172">
        <f>IF('Оперативный ввод'!G329="","",'Оперативный ввод'!G329)</f>
        <v/>
      </c>
      <c r="H329" s="172">
        <f>IF('Оперативный ввод'!H329="","",'Оперативный ввод'!H329)</f>
        <v/>
      </c>
      <c r="I329" s="172">
        <f>IF('Оперативный ввод'!I329="","",'Оперативный ввод'!I329)</f>
        <v/>
      </c>
      <c r="J329" s="172">
        <f>IF('Оперативный ввод'!J329="","",'Оперативный ввод'!J329)</f>
        <v/>
      </c>
      <c r="K329" s="172">
        <f>IF('Оперативный ввод'!K329="","",'Оперативный ввод'!K329)</f>
        <v/>
      </c>
      <c r="L329" s="172">
        <f>IF('Оперативный ввод'!L329="","",'Оперативный ввод'!L329)</f>
        <v/>
      </c>
      <c r="M329" s="172">
        <f>IF('Оперативный ввод'!M329="","",'Оперативный ввод'!M329)</f>
        <v/>
      </c>
      <c r="N329" s="172">
        <f>IF('Оперативный ввод'!N329="","",'Оперативный ввод'!N329)</f>
        <v/>
      </c>
      <c r="O329" s="172">
        <f>IF('Оперативный ввод'!O329="","",'Оперативный ввод'!O329)</f>
        <v/>
      </c>
      <c r="P329" s="205">
        <f>IF(AND(A329="",B329=""),"",IF(AND(A329&lt;&gt;"",B329&lt;&gt;"",C329&lt;&gt;"",D329&lt;&gt;"",F329&lt;&gt;"",G329&lt;&gt;"",H329&lt;&gt;"",ISERROR(SEARCH("по паспорту",G329)),ISERROR(SEARCH("по паспорту",H329)),I329&lt;&gt;"",J329&lt;&gt;"",K329&lt;&gt;"",L329&lt;&gt;"",M329&lt;&gt;""),"ГОТОВО","НЕ ГОТОВО"))</f>
        <v/>
      </c>
      <c r="Q329" s="205">
        <f>IF(P329&lt;&gt;"ГОТОВО","", "Предварительное заключение: "&amp;A329&amp;", скв. "&amp;B329&amp;". МРП: "&amp;E329&amp;" сут. ГНО: "&amp;F329&amp;", типоразмер "&amp;G329&amp;", марка "&amp;H329&amp;". Событие: "&amp;I329&amp;". Признак: "&amp;J329&amp;". Узел: "&amp;K329&amp;". Предварительная причина: "&amp;L329&amp;". Основное осложнение: "&amp;M329&amp;IF(N329&lt;&gt;"","; сопутствующее: "&amp;N329,"")&amp;IF(O329&lt;&gt;"","; дополнительно: "&amp;O329,"")&amp;".")</f>
        <v/>
      </c>
      <c r="R329" s="172">
        <f>IF('Оперативный ввод'!P329="","",'Оперативный ввод'!P329)</f>
        <v/>
      </c>
      <c r="S329" s="172">
        <f>IF('Оперативный ввод'!Q329="","",'Оперативный ввод'!Q329)</f>
        <v/>
      </c>
      <c r="T329" s="172">
        <f>IF('Оперативный ввод'!R329="","",'Оперативный ввод'!R329)</f>
        <v/>
      </c>
      <c r="U329" s="172">
        <f>IF('Оперативный ввод'!S329="","",'Оперативный ввод'!S329)</f>
        <v/>
      </c>
      <c r="V329" s="172">
        <f>IF('Оперативный ввод'!T329="","",'Оперативный ввод'!T329)</f>
        <v/>
      </c>
      <c r="W329" s="172" t="n"/>
      <c r="X329" s="172" t="n"/>
      <c r="Y329" s="172" t="n"/>
      <c r="Z329" s="172" t="n"/>
      <c r="AA329" s="172">
        <f>IF('Оперативный ввод'!U329="","",'Оперативный ввод'!U329)</f>
        <v/>
      </c>
      <c r="AB329" s="172">
        <f>IF('Оперативный ввод'!V329="","",'Оперативный ввод'!V329)</f>
        <v/>
      </c>
      <c r="AC329" s="172">
        <f>IF('Оперативный ввод'!W329="","",'Оперативный ввод'!W329)</f>
        <v/>
      </c>
      <c r="BB329" s="172" t="n"/>
      <c r="BC329" s="172" t="n"/>
      <c r="BD329" s="205">
        <f>IF(AND(A329="",B329=""),"",IF(AND(P329="ГОТОВО",R329&lt;&gt;"",T329&lt;&gt;"",U329&lt;&gt;"",AA329&lt;&gt;"",AB329&lt;&gt;"",AC329&lt;&gt;"",BB329&lt;&gt;"",BC329&lt;&gt;""),"ГОТОВО","НЕ ГОТОВО"))</f>
        <v/>
      </c>
      <c r="BE329" s="205">
        <f>IF(BD329&lt;&gt;"ГОТОВО","","Полное заключение: "&amp;A329&amp;", скв. "&amp;B329&amp;". МРП: "&amp;E329&amp;" сут. ГНО: "&amp;F329&amp;"; причина: "&amp;U329&amp;"; категория: "&amp;V329&amp;"; решение комиссии: "&amp;BB329&amp;".")</f>
        <v/>
      </c>
      <c r="BF329" s="173">
        <f>IF('Оперативный ввод'!X329="","",'Оперативный ввод'!X329)</f>
        <v/>
      </c>
    </row>
    <row r="330">
      <c r="A330" s="171">
        <f>IF('Оперативный ввод'!A330="","",'Оперативный ввод'!A330)</f>
        <v/>
      </c>
      <c r="B330" s="172">
        <f>IF('Оперативный ввод'!B330="","",'Оперативный ввод'!B330)</f>
        <v/>
      </c>
      <c r="C330" s="270">
        <f>IF('Оперативный ввод'!C330="","",'Оперативный ввод'!C330)</f>
        <v/>
      </c>
      <c r="D330" s="270">
        <f>IF('Оперативный ввод'!D330="","",'Оперативный ввод'!D330)</f>
        <v/>
      </c>
      <c r="E330" s="271">
        <f>IF(OR(C330="",D330=""),"",D330-C330)</f>
        <v/>
      </c>
      <c r="F330" s="172">
        <f>IF('Оперативный ввод'!F330="","",'Оперативный ввод'!F330)</f>
        <v/>
      </c>
      <c r="G330" s="172">
        <f>IF('Оперативный ввод'!G330="","",'Оперативный ввод'!G330)</f>
        <v/>
      </c>
      <c r="H330" s="172">
        <f>IF('Оперативный ввод'!H330="","",'Оперативный ввод'!H330)</f>
        <v/>
      </c>
      <c r="I330" s="172">
        <f>IF('Оперативный ввод'!I330="","",'Оперативный ввод'!I330)</f>
        <v/>
      </c>
      <c r="J330" s="172">
        <f>IF('Оперативный ввод'!J330="","",'Оперативный ввод'!J330)</f>
        <v/>
      </c>
      <c r="K330" s="172">
        <f>IF('Оперативный ввод'!K330="","",'Оперативный ввод'!K330)</f>
        <v/>
      </c>
      <c r="L330" s="172">
        <f>IF('Оперативный ввод'!L330="","",'Оперативный ввод'!L330)</f>
        <v/>
      </c>
      <c r="M330" s="172">
        <f>IF('Оперативный ввод'!M330="","",'Оперативный ввод'!M330)</f>
        <v/>
      </c>
      <c r="N330" s="172">
        <f>IF('Оперативный ввод'!N330="","",'Оперативный ввод'!N330)</f>
        <v/>
      </c>
      <c r="O330" s="172">
        <f>IF('Оперативный ввод'!O330="","",'Оперативный ввод'!O330)</f>
        <v/>
      </c>
      <c r="P330" s="205">
        <f>IF(AND(A330="",B330=""),"",IF(AND(A330&lt;&gt;"",B330&lt;&gt;"",C330&lt;&gt;"",D330&lt;&gt;"",F330&lt;&gt;"",G330&lt;&gt;"",H330&lt;&gt;"",ISERROR(SEARCH("по паспорту",G330)),ISERROR(SEARCH("по паспорту",H330)),I330&lt;&gt;"",J330&lt;&gt;"",K330&lt;&gt;"",L330&lt;&gt;"",M330&lt;&gt;""),"ГОТОВО","НЕ ГОТОВО"))</f>
        <v/>
      </c>
      <c r="Q330" s="205">
        <f>IF(P330&lt;&gt;"ГОТОВО","", "Предварительное заключение: "&amp;A330&amp;", скв. "&amp;B330&amp;". МРП: "&amp;E330&amp;" сут. ГНО: "&amp;F330&amp;", типоразмер "&amp;G330&amp;", марка "&amp;H330&amp;". Событие: "&amp;I330&amp;". Признак: "&amp;J330&amp;". Узел: "&amp;K330&amp;". Предварительная причина: "&amp;L330&amp;". Основное осложнение: "&amp;M330&amp;IF(N330&lt;&gt;"","; сопутствующее: "&amp;N330,"")&amp;IF(O330&lt;&gt;"","; дополнительно: "&amp;O330,"")&amp;".")</f>
        <v/>
      </c>
      <c r="R330" s="172">
        <f>IF('Оперативный ввод'!P330="","",'Оперативный ввод'!P330)</f>
        <v/>
      </c>
      <c r="S330" s="172">
        <f>IF('Оперативный ввод'!Q330="","",'Оперативный ввод'!Q330)</f>
        <v/>
      </c>
      <c r="T330" s="172">
        <f>IF('Оперативный ввод'!R330="","",'Оперативный ввод'!R330)</f>
        <v/>
      </c>
      <c r="U330" s="172">
        <f>IF('Оперативный ввод'!S330="","",'Оперативный ввод'!S330)</f>
        <v/>
      </c>
      <c r="V330" s="172">
        <f>IF('Оперативный ввод'!T330="","",'Оперативный ввод'!T330)</f>
        <v/>
      </c>
      <c r="W330" s="172" t="n"/>
      <c r="X330" s="172" t="n"/>
      <c r="Y330" s="172" t="n"/>
      <c r="Z330" s="172" t="n"/>
      <c r="AA330" s="172">
        <f>IF('Оперативный ввод'!U330="","",'Оперативный ввод'!U330)</f>
        <v/>
      </c>
      <c r="AB330" s="172">
        <f>IF('Оперативный ввод'!V330="","",'Оперативный ввод'!V330)</f>
        <v/>
      </c>
      <c r="AC330" s="172">
        <f>IF('Оперативный ввод'!W330="","",'Оперативный ввод'!W330)</f>
        <v/>
      </c>
      <c r="BB330" s="172" t="n"/>
      <c r="BC330" s="172" t="n"/>
      <c r="BD330" s="205">
        <f>IF(AND(A330="",B330=""),"",IF(AND(P330="ГОТОВО",R330&lt;&gt;"",T330&lt;&gt;"",U330&lt;&gt;"",AA330&lt;&gt;"",AB330&lt;&gt;"",AC330&lt;&gt;"",BB330&lt;&gt;"",BC330&lt;&gt;""),"ГОТОВО","НЕ ГОТОВО"))</f>
        <v/>
      </c>
      <c r="BE330" s="205">
        <f>IF(BD330&lt;&gt;"ГОТОВО","","Полное заключение: "&amp;A330&amp;", скв. "&amp;B330&amp;". МРП: "&amp;E330&amp;" сут. ГНО: "&amp;F330&amp;"; причина: "&amp;U330&amp;"; категория: "&amp;V330&amp;"; решение комиссии: "&amp;BB330&amp;".")</f>
        <v/>
      </c>
      <c r="BF330" s="173">
        <f>IF('Оперативный ввод'!X330="","",'Оперативный ввод'!X330)</f>
        <v/>
      </c>
    </row>
    <row r="331">
      <c r="A331" s="171">
        <f>IF('Оперативный ввод'!A331="","",'Оперативный ввод'!A331)</f>
        <v/>
      </c>
      <c r="B331" s="172">
        <f>IF('Оперативный ввод'!B331="","",'Оперативный ввод'!B331)</f>
        <v/>
      </c>
      <c r="C331" s="270">
        <f>IF('Оперативный ввод'!C331="","",'Оперативный ввод'!C331)</f>
        <v/>
      </c>
      <c r="D331" s="270">
        <f>IF('Оперативный ввод'!D331="","",'Оперативный ввод'!D331)</f>
        <v/>
      </c>
      <c r="E331" s="271">
        <f>IF(OR(C331="",D331=""),"",D331-C331)</f>
        <v/>
      </c>
      <c r="F331" s="172">
        <f>IF('Оперативный ввод'!F331="","",'Оперативный ввод'!F331)</f>
        <v/>
      </c>
      <c r="G331" s="172">
        <f>IF('Оперативный ввод'!G331="","",'Оперативный ввод'!G331)</f>
        <v/>
      </c>
      <c r="H331" s="172">
        <f>IF('Оперативный ввод'!H331="","",'Оперативный ввод'!H331)</f>
        <v/>
      </c>
      <c r="I331" s="172">
        <f>IF('Оперативный ввод'!I331="","",'Оперативный ввод'!I331)</f>
        <v/>
      </c>
      <c r="J331" s="172">
        <f>IF('Оперативный ввод'!J331="","",'Оперативный ввод'!J331)</f>
        <v/>
      </c>
      <c r="K331" s="172">
        <f>IF('Оперативный ввод'!K331="","",'Оперативный ввод'!K331)</f>
        <v/>
      </c>
      <c r="L331" s="172">
        <f>IF('Оперативный ввод'!L331="","",'Оперативный ввод'!L331)</f>
        <v/>
      </c>
      <c r="M331" s="172">
        <f>IF('Оперативный ввод'!M331="","",'Оперативный ввод'!M331)</f>
        <v/>
      </c>
      <c r="N331" s="172">
        <f>IF('Оперативный ввод'!N331="","",'Оперативный ввод'!N331)</f>
        <v/>
      </c>
      <c r="O331" s="172">
        <f>IF('Оперативный ввод'!O331="","",'Оперативный ввод'!O331)</f>
        <v/>
      </c>
      <c r="P331" s="205">
        <f>IF(AND(A331="",B331=""),"",IF(AND(A331&lt;&gt;"",B331&lt;&gt;"",C331&lt;&gt;"",D331&lt;&gt;"",F331&lt;&gt;"",G331&lt;&gt;"",H331&lt;&gt;"",ISERROR(SEARCH("по паспорту",G331)),ISERROR(SEARCH("по паспорту",H331)),I331&lt;&gt;"",J331&lt;&gt;"",K331&lt;&gt;"",L331&lt;&gt;"",M331&lt;&gt;""),"ГОТОВО","НЕ ГОТОВО"))</f>
        <v/>
      </c>
      <c r="Q331" s="205">
        <f>IF(P331&lt;&gt;"ГОТОВО","", "Предварительное заключение: "&amp;A331&amp;", скв. "&amp;B331&amp;". МРП: "&amp;E331&amp;" сут. ГНО: "&amp;F331&amp;", типоразмер "&amp;G331&amp;", марка "&amp;H331&amp;". Событие: "&amp;I331&amp;". Признак: "&amp;J331&amp;". Узел: "&amp;K331&amp;". Предварительная причина: "&amp;L331&amp;". Основное осложнение: "&amp;M331&amp;IF(N331&lt;&gt;"","; сопутствующее: "&amp;N331,"")&amp;IF(O331&lt;&gt;"","; дополнительно: "&amp;O331,"")&amp;".")</f>
        <v/>
      </c>
      <c r="R331" s="172">
        <f>IF('Оперативный ввод'!P331="","",'Оперативный ввод'!P331)</f>
        <v/>
      </c>
      <c r="S331" s="172">
        <f>IF('Оперативный ввод'!Q331="","",'Оперативный ввод'!Q331)</f>
        <v/>
      </c>
      <c r="T331" s="172">
        <f>IF('Оперативный ввод'!R331="","",'Оперативный ввод'!R331)</f>
        <v/>
      </c>
      <c r="U331" s="172">
        <f>IF('Оперативный ввод'!S331="","",'Оперативный ввод'!S331)</f>
        <v/>
      </c>
      <c r="V331" s="172">
        <f>IF('Оперативный ввод'!T331="","",'Оперативный ввод'!T331)</f>
        <v/>
      </c>
      <c r="W331" s="172" t="n"/>
      <c r="X331" s="172" t="n"/>
      <c r="Y331" s="172" t="n"/>
      <c r="Z331" s="172" t="n"/>
      <c r="AA331" s="172">
        <f>IF('Оперативный ввод'!U331="","",'Оперативный ввод'!U331)</f>
        <v/>
      </c>
      <c r="AB331" s="172">
        <f>IF('Оперативный ввод'!V331="","",'Оперативный ввод'!V331)</f>
        <v/>
      </c>
      <c r="AC331" s="172">
        <f>IF('Оперативный ввод'!W331="","",'Оперативный ввод'!W331)</f>
        <v/>
      </c>
      <c r="BB331" s="172" t="n"/>
      <c r="BC331" s="172" t="n"/>
      <c r="BD331" s="205">
        <f>IF(AND(A331="",B331=""),"",IF(AND(P331="ГОТОВО",R331&lt;&gt;"",T331&lt;&gt;"",U331&lt;&gt;"",AA331&lt;&gt;"",AB331&lt;&gt;"",AC331&lt;&gt;"",BB331&lt;&gt;"",BC331&lt;&gt;""),"ГОТОВО","НЕ ГОТОВО"))</f>
        <v/>
      </c>
      <c r="BE331" s="205">
        <f>IF(BD331&lt;&gt;"ГОТОВО","","Полное заключение: "&amp;A331&amp;", скв. "&amp;B331&amp;". МРП: "&amp;E331&amp;" сут. ГНО: "&amp;F331&amp;"; причина: "&amp;U331&amp;"; категория: "&amp;V331&amp;"; решение комиссии: "&amp;BB331&amp;".")</f>
        <v/>
      </c>
      <c r="BF331" s="173">
        <f>IF('Оперативный ввод'!X331="","",'Оперативный ввод'!X331)</f>
        <v/>
      </c>
    </row>
    <row r="332">
      <c r="A332" s="171">
        <f>IF('Оперативный ввод'!A332="","",'Оперативный ввод'!A332)</f>
        <v/>
      </c>
      <c r="B332" s="172">
        <f>IF('Оперативный ввод'!B332="","",'Оперативный ввод'!B332)</f>
        <v/>
      </c>
      <c r="C332" s="270">
        <f>IF('Оперативный ввод'!C332="","",'Оперативный ввод'!C332)</f>
        <v/>
      </c>
      <c r="D332" s="270">
        <f>IF('Оперативный ввод'!D332="","",'Оперативный ввод'!D332)</f>
        <v/>
      </c>
      <c r="E332" s="271">
        <f>IF(OR(C332="",D332=""),"",D332-C332)</f>
        <v/>
      </c>
      <c r="F332" s="172">
        <f>IF('Оперативный ввод'!F332="","",'Оперативный ввод'!F332)</f>
        <v/>
      </c>
      <c r="G332" s="172">
        <f>IF('Оперативный ввод'!G332="","",'Оперативный ввод'!G332)</f>
        <v/>
      </c>
      <c r="H332" s="172">
        <f>IF('Оперативный ввод'!H332="","",'Оперативный ввод'!H332)</f>
        <v/>
      </c>
      <c r="I332" s="172">
        <f>IF('Оперативный ввод'!I332="","",'Оперативный ввод'!I332)</f>
        <v/>
      </c>
      <c r="J332" s="172">
        <f>IF('Оперативный ввод'!J332="","",'Оперативный ввод'!J332)</f>
        <v/>
      </c>
      <c r="K332" s="172">
        <f>IF('Оперативный ввод'!K332="","",'Оперативный ввод'!K332)</f>
        <v/>
      </c>
      <c r="L332" s="172">
        <f>IF('Оперативный ввод'!L332="","",'Оперативный ввод'!L332)</f>
        <v/>
      </c>
      <c r="M332" s="172">
        <f>IF('Оперативный ввод'!M332="","",'Оперативный ввод'!M332)</f>
        <v/>
      </c>
      <c r="N332" s="172">
        <f>IF('Оперативный ввод'!N332="","",'Оперативный ввод'!N332)</f>
        <v/>
      </c>
      <c r="O332" s="172">
        <f>IF('Оперативный ввод'!O332="","",'Оперативный ввод'!O332)</f>
        <v/>
      </c>
      <c r="P332" s="205">
        <f>IF(AND(A332="",B332=""),"",IF(AND(A332&lt;&gt;"",B332&lt;&gt;"",C332&lt;&gt;"",D332&lt;&gt;"",F332&lt;&gt;"",G332&lt;&gt;"",H332&lt;&gt;"",ISERROR(SEARCH("по паспорту",G332)),ISERROR(SEARCH("по паспорту",H332)),I332&lt;&gt;"",J332&lt;&gt;"",K332&lt;&gt;"",L332&lt;&gt;"",M332&lt;&gt;""),"ГОТОВО","НЕ ГОТОВО"))</f>
        <v/>
      </c>
      <c r="Q332" s="205">
        <f>IF(P332&lt;&gt;"ГОТОВО","", "Предварительное заключение: "&amp;A332&amp;", скв. "&amp;B332&amp;". МРП: "&amp;E332&amp;" сут. ГНО: "&amp;F332&amp;", типоразмер "&amp;G332&amp;", марка "&amp;H332&amp;". Событие: "&amp;I332&amp;". Признак: "&amp;J332&amp;". Узел: "&amp;K332&amp;". Предварительная причина: "&amp;L332&amp;". Основное осложнение: "&amp;M332&amp;IF(N332&lt;&gt;"","; сопутствующее: "&amp;N332,"")&amp;IF(O332&lt;&gt;"","; дополнительно: "&amp;O332,"")&amp;".")</f>
        <v/>
      </c>
      <c r="R332" s="172">
        <f>IF('Оперативный ввод'!P332="","",'Оперативный ввод'!P332)</f>
        <v/>
      </c>
      <c r="S332" s="172">
        <f>IF('Оперативный ввод'!Q332="","",'Оперативный ввод'!Q332)</f>
        <v/>
      </c>
      <c r="T332" s="172">
        <f>IF('Оперативный ввод'!R332="","",'Оперативный ввод'!R332)</f>
        <v/>
      </c>
      <c r="U332" s="172">
        <f>IF('Оперативный ввод'!S332="","",'Оперативный ввод'!S332)</f>
        <v/>
      </c>
      <c r="V332" s="172">
        <f>IF('Оперативный ввод'!T332="","",'Оперативный ввод'!T332)</f>
        <v/>
      </c>
      <c r="W332" s="172" t="n"/>
      <c r="X332" s="172" t="n"/>
      <c r="Y332" s="172" t="n"/>
      <c r="Z332" s="172" t="n"/>
      <c r="AA332" s="172">
        <f>IF('Оперативный ввод'!U332="","",'Оперативный ввод'!U332)</f>
        <v/>
      </c>
      <c r="AB332" s="172">
        <f>IF('Оперативный ввод'!V332="","",'Оперативный ввод'!V332)</f>
        <v/>
      </c>
      <c r="AC332" s="172">
        <f>IF('Оперативный ввод'!W332="","",'Оперативный ввод'!W332)</f>
        <v/>
      </c>
      <c r="BB332" s="172" t="n"/>
      <c r="BC332" s="172" t="n"/>
      <c r="BD332" s="205">
        <f>IF(AND(A332="",B332=""),"",IF(AND(P332="ГОТОВО",R332&lt;&gt;"",T332&lt;&gt;"",U332&lt;&gt;"",AA332&lt;&gt;"",AB332&lt;&gt;"",AC332&lt;&gt;"",BB332&lt;&gt;"",BC332&lt;&gt;""),"ГОТОВО","НЕ ГОТОВО"))</f>
        <v/>
      </c>
      <c r="BE332" s="205">
        <f>IF(BD332&lt;&gt;"ГОТОВО","","Полное заключение: "&amp;A332&amp;", скв. "&amp;B332&amp;". МРП: "&amp;E332&amp;" сут. ГНО: "&amp;F332&amp;"; причина: "&amp;U332&amp;"; категория: "&amp;V332&amp;"; решение комиссии: "&amp;BB332&amp;".")</f>
        <v/>
      </c>
      <c r="BF332" s="173">
        <f>IF('Оперативный ввод'!X332="","",'Оперативный ввод'!X332)</f>
        <v/>
      </c>
    </row>
    <row r="333">
      <c r="A333" s="171">
        <f>IF('Оперативный ввод'!A333="","",'Оперативный ввод'!A333)</f>
        <v/>
      </c>
      <c r="B333" s="172">
        <f>IF('Оперативный ввод'!B333="","",'Оперативный ввод'!B333)</f>
        <v/>
      </c>
      <c r="C333" s="270">
        <f>IF('Оперативный ввод'!C333="","",'Оперативный ввод'!C333)</f>
        <v/>
      </c>
      <c r="D333" s="270">
        <f>IF('Оперативный ввод'!D333="","",'Оперативный ввод'!D333)</f>
        <v/>
      </c>
      <c r="E333" s="271">
        <f>IF(OR(C333="",D333=""),"",D333-C333)</f>
        <v/>
      </c>
      <c r="F333" s="172">
        <f>IF('Оперативный ввод'!F333="","",'Оперативный ввод'!F333)</f>
        <v/>
      </c>
      <c r="G333" s="172">
        <f>IF('Оперативный ввод'!G333="","",'Оперативный ввод'!G333)</f>
        <v/>
      </c>
      <c r="H333" s="172">
        <f>IF('Оперативный ввод'!H333="","",'Оперативный ввод'!H333)</f>
        <v/>
      </c>
      <c r="I333" s="172">
        <f>IF('Оперативный ввод'!I333="","",'Оперативный ввод'!I333)</f>
        <v/>
      </c>
      <c r="J333" s="172">
        <f>IF('Оперативный ввод'!J333="","",'Оперативный ввод'!J333)</f>
        <v/>
      </c>
      <c r="K333" s="172">
        <f>IF('Оперативный ввод'!K333="","",'Оперативный ввод'!K333)</f>
        <v/>
      </c>
      <c r="L333" s="172">
        <f>IF('Оперативный ввод'!L333="","",'Оперативный ввод'!L333)</f>
        <v/>
      </c>
      <c r="M333" s="172">
        <f>IF('Оперативный ввод'!M333="","",'Оперативный ввод'!M333)</f>
        <v/>
      </c>
      <c r="N333" s="172">
        <f>IF('Оперативный ввод'!N333="","",'Оперативный ввод'!N333)</f>
        <v/>
      </c>
      <c r="O333" s="172">
        <f>IF('Оперативный ввод'!O333="","",'Оперативный ввод'!O333)</f>
        <v/>
      </c>
      <c r="P333" s="205">
        <f>IF(AND(A333="",B333=""),"",IF(AND(A333&lt;&gt;"",B333&lt;&gt;"",C333&lt;&gt;"",D333&lt;&gt;"",F333&lt;&gt;"",G333&lt;&gt;"",H333&lt;&gt;"",ISERROR(SEARCH("по паспорту",G333)),ISERROR(SEARCH("по паспорту",H333)),I333&lt;&gt;"",J333&lt;&gt;"",K333&lt;&gt;"",L333&lt;&gt;"",M333&lt;&gt;""),"ГОТОВО","НЕ ГОТОВО"))</f>
        <v/>
      </c>
      <c r="Q333" s="205">
        <f>IF(P333&lt;&gt;"ГОТОВО","", "Предварительное заключение: "&amp;A333&amp;", скв. "&amp;B333&amp;". МРП: "&amp;E333&amp;" сут. ГНО: "&amp;F333&amp;", типоразмер "&amp;G333&amp;", марка "&amp;H333&amp;". Событие: "&amp;I333&amp;". Признак: "&amp;J333&amp;". Узел: "&amp;K333&amp;". Предварительная причина: "&amp;L333&amp;". Основное осложнение: "&amp;M333&amp;IF(N333&lt;&gt;"","; сопутствующее: "&amp;N333,"")&amp;IF(O333&lt;&gt;"","; дополнительно: "&amp;O333,"")&amp;".")</f>
        <v/>
      </c>
      <c r="R333" s="172">
        <f>IF('Оперативный ввод'!P333="","",'Оперативный ввод'!P333)</f>
        <v/>
      </c>
      <c r="S333" s="172">
        <f>IF('Оперативный ввод'!Q333="","",'Оперативный ввод'!Q333)</f>
        <v/>
      </c>
      <c r="T333" s="172">
        <f>IF('Оперативный ввод'!R333="","",'Оперативный ввод'!R333)</f>
        <v/>
      </c>
      <c r="U333" s="172">
        <f>IF('Оперативный ввод'!S333="","",'Оперативный ввод'!S333)</f>
        <v/>
      </c>
      <c r="V333" s="172">
        <f>IF('Оперативный ввод'!T333="","",'Оперативный ввод'!T333)</f>
        <v/>
      </c>
      <c r="W333" s="172" t="n"/>
      <c r="X333" s="172" t="n"/>
      <c r="Y333" s="172" t="n"/>
      <c r="Z333" s="172" t="n"/>
      <c r="AA333" s="172">
        <f>IF('Оперативный ввод'!U333="","",'Оперативный ввод'!U333)</f>
        <v/>
      </c>
      <c r="AB333" s="172">
        <f>IF('Оперативный ввод'!V333="","",'Оперативный ввод'!V333)</f>
        <v/>
      </c>
      <c r="AC333" s="172">
        <f>IF('Оперативный ввод'!W333="","",'Оперативный ввод'!W333)</f>
        <v/>
      </c>
      <c r="BB333" s="172" t="n"/>
      <c r="BC333" s="172" t="n"/>
      <c r="BD333" s="205">
        <f>IF(AND(A333="",B333=""),"",IF(AND(P333="ГОТОВО",R333&lt;&gt;"",T333&lt;&gt;"",U333&lt;&gt;"",AA333&lt;&gt;"",AB333&lt;&gt;"",AC333&lt;&gt;"",BB333&lt;&gt;"",BC333&lt;&gt;""),"ГОТОВО","НЕ ГОТОВО"))</f>
        <v/>
      </c>
      <c r="BE333" s="205">
        <f>IF(BD333&lt;&gt;"ГОТОВО","","Полное заключение: "&amp;A333&amp;", скв. "&amp;B333&amp;". МРП: "&amp;E333&amp;" сут. ГНО: "&amp;F333&amp;"; причина: "&amp;U333&amp;"; категория: "&amp;V333&amp;"; решение комиссии: "&amp;BB333&amp;".")</f>
        <v/>
      </c>
      <c r="BF333" s="173">
        <f>IF('Оперативный ввод'!X333="","",'Оперативный ввод'!X333)</f>
        <v/>
      </c>
    </row>
    <row r="334">
      <c r="A334" s="171">
        <f>IF('Оперативный ввод'!A334="","",'Оперативный ввод'!A334)</f>
        <v/>
      </c>
      <c r="B334" s="172">
        <f>IF('Оперативный ввод'!B334="","",'Оперативный ввод'!B334)</f>
        <v/>
      </c>
      <c r="C334" s="270">
        <f>IF('Оперативный ввод'!C334="","",'Оперативный ввод'!C334)</f>
        <v/>
      </c>
      <c r="D334" s="270">
        <f>IF('Оперативный ввод'!D334="","",'Оперативный ввод'!D334)</f>
        <v/>
      </c>
      <c r="E334" s="271">
        <f>IF(OR(C334="",D334=""),"",D334-C334)</f>
        <v/>
      </c>
      <c r="F334" s="172">
        <f>IF('Оперативный ввод'!F334="","",'Оперативный ввод'!F334)</f>
        <v/>
      </c>
      <c r="G334" s="172">
        <f>IF('Оперативный ввод'!G334="","",'Оперативный ввод'!G334)</f>
        <v/>
      </c>
      <c r="H334" s="172">
        <f>IF('Оперативный ввод'!H334="","",'Оперативный ввод'!H334)</f>
        <v/>
      </c>
      <c r="I334" s="172">
        <f>IF('Оперативный ввод'!I334="","",'Оперативный ввод'!I334)</f>
        <v/>
      </c>
      <c r="J334" s="172">
        <f>IF('Оперативный ввод'!J334="","",'Оперативный ввод'!J334)</f>
        <v/>
      </c>
      <c r="K334" s="172">
        <f>IF('Оперативный ввод'!K334="","",'Оперативный ввод'!K334)</f>
        <v/>
      </c>
      <c r="L334" s="172">
        <f>IF('Оперативный ввод'!L334="","",'Оперативный ввод'!L334)</f>
        <v/>
      </c>
      <c r="M334" s="172">
        <f>IF('Оперативный ввод'!M334="","",'Оперативный ввод'!M334)</f>
        <v/>
      </c>
      <c r="N334" s="172">
        <f>IF('Оперативный ввод'!N334="","",'Оперативный ввод'!N334)</f>
        <v/>
      </c>
      <c r="O334" s="172">
        <f>IF('Оперативный ввод'!O334="","",'Оперативный ввод'!O334)</f>
        <v/>
      </c>
      <c r="P334" s="205">
        <f>IF(AND(A334="",B334=""),"",IF(AND(A334&lt;&gt;"",B334&lt;&gt;"",C334&lt;&gt;"",D334&lt;&gt;"",F334&lt;&gt;"",G334&lt;&gt;"",H334&lt;&gt;"",ISERROR(SEARCH("по паспорту",G334)),ISERROR(SEARCH("по паспорту",H334)),I334&lt;&gt;"",J334&lt;&gt;"",K334&lt;&gt;"",L334&lt;&gt;"",M334&lt;&gt;""),"ГОТОВО","НЕ ГОТОВО"))</f>
        <v/>
      </c>
      <c r="Q334" s="205">
        <f>IF(P334&lt;&gt;"ГОТОВО","", "Предварительное заключение: "&amp;A334&amp;", скв. "&amp;B334&amp;". МРП: "&amp;E334&amp;" сут. ГНО: "&amp;F334&amp;", типоразмер "&amp;G334&amp;", марка "&amp;H334&amp;". Событие: "&amp;I334&amp;". Признак: "&amp;J334&amp;". Узел: "&amp;K334&amp;". Предварительная причина: "&amp;L334&amp;". Основное осложнение: "&amp;M334&amp;IF(N334&lt;&gt;"","; сопутствующее: "&amp;N334,"")&amp;IF(O334&lt;&gt;"","; дополнительно: "&amp;O334,"")&amp;".")</f>
        <v/>
      </c>
      <c r="R334" s="172">
        <f>IF('Оперативный ввод'!P334="","",'Оперативный ввод'!P334)</f>
        <v/>
      </c>
      <c r="S334" s="172">
        <f>IF('Оперативный ввод'!Q334="","",'Оперативный ввод'!Q334)</f>
        <v/>
      </c>
      <c r="T334" s="172">
        <f>IF('Оперативный ввод'!R334="","",'Оперативный ввод'!R334)</f>
        <v/>
      </c>
      <c r="U334" s="172">
        <f>IF('Оперативный ввод'!S334="","",'Оперативный ввод'!S334)</f>
        <v/>
      </c>
      <c r="V334" s="172">
        <f>IF('Оперативный ввод'!T334="","",'Оперативный ввод'!T334)</f>
        <v/>
      </c>
      <c r="W334" s="172" t="n"/>
      <c r="X334" s="172" t="n"/>
      <c r="Y334" s="172" t="n"/>
      <c r="Z334" s="172" t="n"/>
      <c r="AA334" s="172">
        <f>IF('Оперативный ввод'!U334="","",'Оперативный ввод'!U334)</f>
        <v/>
      </c>
      <c r="AB334" s="172">
        <f>IF('Оперативный ввод'!V334="","",'Оперативный ввод'!V334)</f>
        <v/>
      </c>
      <c r="AC334" s="172">
        <f>IF('Оперативный ввод'!W334="","",'Оперативный ввод'!W334)</f>
        <v/>
      </c>
      <c r="BB334" s="172" t="n"/>
      <c r="BC334" s="172" t="n"/>
      <c r="BD334" s="205">
        <f>IF(AND(A334="",B334=""),"",IF(AND(P334="ГОТОВО",R334&lt;&gt;"",T334&lt;&gt;"",U334&lt;&gt;"",AA334&lt;&gt;"",AB334&lt;&gt;"",AC334&lt;&gt;"",BB334&lt;&gt;"",BC334&lt;&gt;""),"ГОТОВО","НЕ ГОТОВО"))</f>
        <v/>
      </c>
      <c r="BE334" s="205">
        <f>IF(BD334&lt;&gt;"ГОТОВО","","Полное заключение: "&amp;A334&amp;", скв. "&amp;B334&amp;". МРП: "&amp;E334&amp;" сут. ГНО: "&amp;F334&amp;"; причина: "&amp;U334&amp;"; категория: "&amp;V334&amp;"; решение комиссии: "&amp;BB334&amp;".")</f>
        <v/>
      </c>
      <c r="BF334" s="173">
        <f>IF('Оперативный ввод'!X334="","",'Оперативный ввод'!X334)</f>
        <v/>
      </c>
    </row>
    <row r="335">
      <c r="A335" s="171">
        <f>IF('Оперативный ввод'!A335="","",'Оперативный ввод'!A335)</f>
        <v/>
      </c>
      <c r="B335" s="172">
        <f>IF('Оперативный ввод'!B335="","",'Оперативный ввод'!B335)</f>
        <v/>
      </c>
      <c r="C335" s="270">
        <f>IF('Оперативный ввод'!C335="","",'Оперативный ввод'!C335)</f>
        <v/>
      </c>
      <c r="D335" s="270">
        <f>IF('Оперативный ввод'!D335="","",'Оперативный ввод'!D335)</f>
        <v/>
      </c>
      <c r="E335" s="271">
        <f>IF(OR(C335="",D335=""),"",D335-C335)</f>
        <v/>
      </c>
      <c r="F335" s="172">
        <f>IF('Оперативный ввод'!F335="","",'Оперативный ввод'!F335)</f>
        <v/>
      </c>
      <c r="G335" s="172">
        <f>IF('Оперативный ввод'!G335="","",'Оперативный ввод'!G335)</f>
        <v/>
      </c>
      <c r="H335" s="172">
        <f>IF('Оперативный ввод'!H335="","",'Оперативный ввод'!H335)</f>
        <v/>
      </c>
      <c r="I335" s="172">
        <f>IF('Оперативный ввод'!I335="","",'Оперативный ввод'!I335)</f>
        <v/>
      </c>
      <c r="J335" s="172">
        <f>IF('Оперативный ввод'!J335="","",'Оперативный ввод'!J335)</f>
        <v/>
      </c>
      <c r="K335" s="172">
        <f>IF('Оперативный ввод'!K335="","",'Оперативный ввод'!K335)</f>
        <v/>
      </c>
      <c r="L335" s="172">
        <f>IF('Оперативный ввод'!L335="","",'Оперативный ввод'!L335)</f>
        <v/>
      </c>
      <c r="M335" s="172">
        <f>IF('Оперативный ввод'!M335="","",'Оперативный ввод'!M335)</f>
        <v/>
      </c>
      <c r="N335" s="172">
        <f>IF('Оперативный ввод'!N335="","",'Оперативный ввод'!N335)</f>
        <v/>
      </c>
      <c r="O335" s="172">
        <f>IF('Оперативный ввод'!O335="","",'Оперативный ввод'!O335)</f>
        <v/>
      </c>
      <c r="P335" s="205">
        <f>IF(AND(A335="",B335=""),"",IF(AND(A335&lt;&gt;"",B335&lt;&gt;"",C335&lt;&gt;"",D335&lt;&gt;"",F335&lt;&gt;"",G335&lt;&gt;"",H335&lt;&gt;"",ISERROR(SEARCH("по паспорту",G335)),ISERROR(SEARCH("по паспорту",H335)),I335&lt;&gt;"",J335&lt;&gt;"",K335&lt;&gt;"",L335&lt;&gt;"",M335&lt;&gt;""),"ГОТОВО","НЕ ГОТОВО"))</f>
        <v/>
      </c>
      <c r="Q335" s="205">
        <f>IF(P335&lt;&gt;"ГОТОВО","", "Предварительное заключение: "&amp;A335&amp;", скв. "&amp;B335&amp;". МРП: "&amp;E335&amp;" сут. ГНО: "&amp;F335&amp;", типоразмер "&amp;G335&amp;", марка "&amp;H335&amp;". Событие: "&amp;I335&amp;". Признак: "&amp;J335&amp;". Узел: "&amp;K335&amp;". Предварительная причина: "&amp;L335&amp;". Основное осложнение: "&amp;M335&amp;IF(N335&lt;&gt;"","; сопутствующее: "&amp;N335,"")&amp;IF(O335&lt;&gt;"","; дополнительно: "&amp;O335,"")&amp;".")</f>
        <v/>
      </c>
      <c r="R335" s="172">
        <f>IF('Оперативный ввод'!P335="","",'Оперативный ввод'!P335)</f>
        <v/>
      </c>
      <c r="S335" s="172">
        <f>IF('Оперативный ввод'!Q335="","",'Оперативный ввод'!Q335)</f>
        <v/>
      </c>
      <c r="T335" s="172">
        <f>IF('Оперативный ввод'!R335="","",'Оперативный ввод'!R335)</f>
        <v/>
      </c>
      <c r="U335" s="172">
        <f>IF('Оперативный ввод'!S335="","",'Оперативный ввод'!S335)</f>
        <v/>
      </c>
      <c r="V335" s="172">
        <f>IF('Оперативный ввод'!T335="","",'Оперативный ввод'!T335)</f>
        <v/>
      </c>
      <c r="W335" s="172" t="n"/>
      <c r="X335" s="172" t="n"/>
      <c r="Y335" s="172" t="n"/>
      <c r="Z335" s="172" t="n"/>
      <c r="AA335" s="172">
        <f>IF('Оперативный ввод'!U335="","",'Оперативный ввод'!U335)</f>
        <v/>
      </c>
      <c r="AB335" s="172">
        <f>IF('Оперативный ввод'!V335="","",'Оперативный ввод'!V335)</f>
        <v/>
      </c>
      <c r="AC335" s="172">
        <f>IF('Оперативный ввод'!W335="","",'Оперативный ввод'!W335)</f>
        <v/>
      </c>
      <c r="BB335" s="172" t="n"/>
      <c r="BC335" s="172" t="n"/>
      <c r="BD335" s="205">
        <f>IF(AND(A335="",B335=""),"",IF(AND(P335="ГОТОВО",R335&lt;&gt;"",T335&lt;&gt;"",U335&lt;&gt;"",AA335&lt;&gt;"",AB335&lt;&gt;"",AC335&lt;&gt;"",BB335&lt;&gt;"",BC335&lt;&gt;""),"ГОТОВО","НЕ ГОТОВО"))</f>
        <v/>
      </c>
      <c r="BE335" s="205">
        <f>IF(BD335&lt;&gt;"ГОТОВО","","Полное заключение: "&amp;A335&amp;", скв. "&amp;B335&amp;". МРП: "&amp;E335&amp;" сут. ГНО: "&amp;F335&amp;"; причина: "&amp;U335&amp;"; категория: "&amp;V335&amp;"; решение комиссии: "&amp;BB335&amp;".")</f>
        <v/>
      </c>
      <c r="BF335" s="173">
        <f>IF('Оперативный ввод'!X335="","",'Оперативный ввод'!X335)</f>
        <v/>
      </c>
    </row>
    <row r="336">
      <c r="A336" s="171">
        <f>IF('Оперативный ввод'!A336="","",'Оперативный ввод'!A336)</f>
        <v/>
      </c>
      <c r="B336" s="172">
        <f>IF('Оперативный ввод'!B336="","",'Оперативный ввод'!B336)</f>
        <v/>
      </c>
      <c r="C336" s="270">
        <f>IF('Оперативный ввод'!C336="","",'Оперативный ввод'!C336)</f>
        <v/>
      </c>
      <c r="D336" s="270">
        <f>IF('Оперативный ввод'!D336="","",'Оперативный ввод'!D336)</f>
        <v/>
      </c>
      <c r="E336" s="271">
        <f>IF(OR(C336="",D336=""),"",D336-C336)</f>
        <v/>
      </c>
      <c r="F336" s="172">
        <f>IF('Оперативный ввод'!F336="","",'Оперативный ввод'!F336)</f>
        <v/>
      </c>
      <c r="G336" s="172">
        <f>IF('Оперативный ввод'!G336="","",'Оперативный ввод'!G336)</f>
        <v/>
      </c>
      <c r="H336" s="172">
        <f>IF('Оперативный ввод'!H336="","",'Оперативный ввод'!H336)</f>
        <v/>
      </c>
      <c r="I336" s="172">
        <f>IF('Оперативный ввод'!I336="","",'Оперативный ввод'!I336)</f>
        <v/>
      </c>
      <c r="J336" s="172">
        <f>IF('Оперативный ввод'!J336="","",'Оперативный ввод'!J336)</f>
        <v/>
      </c>
      <c r="K336" s="172">
        <f>IF('Оперативный ввод'!K336="","",'Оперативный ввод'!K336)</f>
        <v/>
      </c>
      <c r="L336" s="172">
        <f>IF('Оперативный ввод'!L336="","",'Оперативный ввод'!L336)</f>
        <v/>
      </c>
      <c r="M336" s="172">
        <f>IF('Оперативный ввод'!M336="","",'Оперативный ввод'!M336)</f>
        <v/>
      </c>
      <c r="N336" s="172">
        <f>IF('Оперативный ввод'!N336="","",'Оперативный ввод'!N336)</f>
        <v/>
      </c>
      <c r="O336" s="172">
        <f>IF('Оперативный ввод'!O336="","",'Оперативный ввод'!O336)</f>
        <v/>
      </c>
      <c r="P336" s="205">
        <f>IF(AND(A336="",B336=""),"",IF(AND(A336&lt;&gt;"",B336&lt;&gt;"",C336&lt;&gt;"",D336&lt;&gt;"",F336&lt;&gt;"",G336&lt;&gt;"",H336&lt;&gt;"",ISERROR(SEARCH("по паспорту",G336)),ISERROR(SEARCH("по паспорту",H336)),I336&lt;&gt;"",J336&lt;&gt;"",K336&lt;&gt;"",L336&lt;&gt;"",M336&lt;&gt;""),"ГОТОВО","НЕ ГОТОВО"))</f>
        <v/>
      </c>
      <c r="Q336" s="205">
        <f>IF(P336&lt;&gt;"ГОТОВО","", "Предварительное заключение: "&amp;A336&amp;", скв. "&amp;B336&amp;". МРП: "&amp;E336&amp;" сут. ГНО: "&amp;F336&amp;", типоразмер "&amp;G336&amp;", марка "&amp;H336&amp;". Событие: "&amp;I336&amp;". Признак: "&amp;J336&amp;". Узел: "&amp;K336&amp;". Предварительная причина: "&amp;L336&amp;". Основное осложнение: "&amp;M336&amp;IF(N336&lt;&gt;"","; сопутствующее: "&amp;N336,"")&amp;IF(O336&lt;&gt;"","; дополнительно: "&amp;O336,"")&amp;".")</f>
        <v/>
      </c>
      <c r="R336" s="172">
        <f>IF('Оперативный ввод'!P336="","",'Оперативный ввод'!P336)</f>
        <v/>
      </c>
      <c r="S336" s="172">
        <f>IF('Оперативный ввод'!Q336="","",'Оперативный ввод'!Q336)</f>
        <v/>
      </c>
      <c r="T336" s="172">
        <f>IF('Оперативный ввод'!R336="","",'Оперативный ввод'!R336)</f>
        <v/>
      </c>
      <c r="U336" s="172">
        <f>IF('Оперативный ввод'!S336="","",'Оперативный ввод'!S336)</f>
        <v/>
      </c>
      <c r="V336" s="172">
        <f>IF('Оперативный ввод'!T336="","",'Оперативный ввод'!T336)</f>
        <v/>
      </c>
      <c r="W336" s="172" t="n"/>
      <c r="X336" s="172" t="n"/>
      <c r="Y336" s="172" t="n"/>
      <c r="Z336" s="172" t="n"/>
      <c r="AA336" s="172">
        <f>IF('Оперативный ввод'!U336="","",'Оперативный ввод'!U336)</f>
        <v/>
      </c>
      <c r="AB336" s="172">
        <f>IF('Оперативный ввод'!V336="","",'Оперативный ввод'!V336)</f>
        <v/>
      </c>
      <c r="AC336" s="172">
        <f>IF('Оперативный ввод'!W336="","",'Оперативный ввод'!W336)</f>
        <v/>
      </c>
      <c r="BB336" s="172" t="n"/>
      <c r="BC336" s="172" t="n"/>
      <c r="BD336" s="205">
        <f>IF(AND(A336="",B336=""),"",IF(AND(P336="ГОТОВО",R336&lt;&gt;"",T336&lt;&gt;"",U336&lt;&gt;"",AA336&lt;&gt;"",AB336&lt;&gt;"",AC336&lt;&gt;"",BB336&lt;&gt;"",BC336&lt;&gt;""),"ГОТОВО","НЕ ГОТОВО"))</f>
        <v/>
      </c>
      <c r="BE336" s="205">
        <f>IF(BD336&lt;&gt;"ГОТОВО","","Полное заключение: "&amp;A336&amp;", скв. "&amp;B336&amp;". МРП: "&amp;E336&amp;" сут. ГНО: "&amp;F336&amp;"; причина: "&amp;U336&amp;"; категория: "&amp;V336&amp;"; решение комиссии: "&amp;BB336&amp;".")</f>
        <v/>
      </c>
      <c r="BF336" s="173">
        <f>IF('Оперативный ввод'!X336="","",'Оперативный ввод'!X336)</f>
        <v/>
      </c>
    </row>
    <row r="337">
      <c r="A337" s="171">
        <f>IF('Оперативный ввод'!A337="","",'Оперативный ввод'!A337)</f>
        <v/>
      </c>
      <c r="B337" s="172">
        <f>IF('Оперативный ввод'!B337="","",'Оперативный ввод'!B337)</f>
        <v/>
      </c>
      <c r="C337" s="270">
        <f>IF('Оперативный ввод'!C337="","",'Оперативный ввод'!C337)</f>
        <v/>
      </c>
      <c r="D337" s="270">
        <f>IF('Оперативный ввод'!D337="","",'Оперативный ввод'!D337)</f>
        <v/>
      </c>
      <c r="E337" s="271">
        <f>IF(OR(C337="",D337=""),"",D337-C337)</f>
        <v/>
      </c>
      <c r="F337" s="172">
        <f>IF('Оперативный ввод'!F337="","",'Оперативный ввод'!F337)</f>
        <v/>
      </c>
      <c r="G337" s="172">
        <f>IF('Оперативный ввод'!G337="","",'Оперативный ввод'!G337)</f>
        <v/>
      </c>
      <c r="H337" s="172">
        <f>IF('Оперативный ввод'!H337="","",'Оперативный ввод'!H337)</f>
        <v/>
      </c>
      <c r="I337" s="172">
        <f>IF('Оперативный ввод'!I337="","",'Оперативный ввод'!I337)</f>
        <v/>
      </c>
      <c r="J337" s="172">
        <f>IF('Оперативный ввод'!J337="","",'Оперативный ввод'!J337)</f>
        <v/>
      </c>
      <c r="K337" s="172">
        <f>IF('Оперативный ввод'!K337="","",'Оперативный ввод'!K337)</f>
        <v/>
      </c>
      <c r="L337" s="172">
        <f>IF('Оперативный ввод'!L337="","",'Оперативный ввод'!L337)</f>
        <v/>
      </c>
      <c r="M337" s="172">
        <f>IF('Оперативный ввод'!M337="","",'Оперативный ввод'!M337)</f>
        <v/>
      </c>
      <c r="N337" s="172">
        <f>IF('Оперативный ввод'!N337="","",'Оперативный ввод'!N337)</f>
        <v/>
      </c>
      <c r="O337" s="172">
        <f>IF('Оперативный ввод'!O337="","",'Оперативный ввод'!O337)</f>
        <v/>
      </c>
      <c r="P337" s="205">
        <f>IF(AND(A337="",B337=""),"",IF(AND(A337&lt;&gt;"",B337&lt;&gt;"",C337&lt;&gt;"",D337&lt;&gt;"",F337&lt;&gt;"",G337&lt;&gt;"",H337&lt;&gt;"",ISERROR(SEARCH("по паспорту",G337)),ISERROR(SEARCH("по паспорту",H337)),I337&lt;&gt;"",J337&lt;&gt;"",K337&lt;&gt;"",L337&lt;&gt;"",M337&lt;&gt;""),"ГОТОВО","НЕ ГОТОВО"))</f>
        <v/>
      </c>
      <c r="Q337" s="205">
        <f>IF(P337&lt;&gt;"ГОТОВО","", "Предварительное заключение: "&amp;A337&amp;", скв. "&amp;B337&amp;". МРП: "&amp;E337&amp;" сут. ГНО: "&amp;F337&amp;", типоразмер "&amp;G337&amp;", марка "&amp;H337&amp;". Событие: "&amp;I337&amp;". Признак: "&amp;J337&amp;". Узел: "&amp;K337&amp;". Предварительная причина: "&amp;L337&amp;". Основное осложнение: "&amp;M337&amp;IF(N337&lt;&gt;"","; сопутствующее: "&amp;N337,"")&amp;IF(O337&lt;&gt;"","; дополнительно: "&amp;O337,"")&amp;".")</f>
        <v/>
      </c>
      <c r="R337" s="172">
        <f>IF('Оперативный ввод'!P337="","",'Оперативный ввод'!P337)</f>
        <v/>
      </c>
      <c r="S337" s="172">
        <f>IF('Оперативный ввод'!Q337="","",'Оперативный ввод'!Q337)</f>
        <v/>
      </c>
      <c r="T337" s="172">
        <f>IF('Оперативный ввод'!R337="","",'Оперативный ввод'!R337)</f>
        <v/>
      </c>
      <c r="U337" s="172">
        <f>IF('Оперативный ввод'!S337="","",'Оперативный ввод'!S337)</f>
        <v/>
      </c>
      <c r="V337" s="172">
        <f>IF('Оперативный ввод'!T337="","",'Оперативный ввод'!T337)</f>
        <v/>
      </c>
      <c r="W337" s="172" t="n"/>
      <c r="X337" s="172" t="n"/>
      <c r="Y337" s="172" t="n"/>
      <c r="Z337" s="172" t="n"/>
      <c r="AA337" s="172">
        <f>IF('Оперативный ввод'!U337="","",'Оперативный ввод'!U337)</f>
        <v/>
      </c>
      <c r="AB337" s="172">
        <f>IF('Оперативный ввод'!V337="","",'Оперативный ввод'!V337)</f>
        <v/>
      </c>
      <c r="AC337" s="172">
        <f>IF('Оперативный ввод'!W337="","",'Оперативный ввод'!W337)</f>
        <v/>
      </c>
      <c r="BB337" s="172" t="n"/>
      <c r="BC337" s="172" t="n"/>
      <c r="BD337" s="205">
        <f>IF(AND(A337="",B337=""),"",IF(AND(P337="ГОТОВО",R337&lt;&gt;"",T337&lt;&gt;"",U337&lt;&gt;"",AA337&lt;&gt;"",AB337&lt;&gt;"",AC337&lt;&gt;"",BB337&lt;&gt;"",BC337&lt;&gt;""),"ГОТОВО","НЕ ГОТОВО"))</f>
        <v/>
      </c>
      <c r="BE337" s="205">
        <f>IF(BD337&lt;&gt;"ГОТОВО","","Полное заключение: "&amp;A337&amp;", скв. "&amp;B337&amp;". МРП: "&amp;E337&amp;" сут. ГНО: "&amp;F337&amp;"; причина: "&amp;U337&amp;"; категория: "&amp;V337&amp;"; решение комиссии: "&amp;BB337&amp;".")</f>
        <v/>
      </c>
      <c r="BF337" s="173">
        <f>IF('Оперативный ввод'!X337="","",'Оперативный ввод'!X337)</f>
        <v/>
      </c>
    </row>
    <row r="338">
      <c r="A338" s="171">
        <f>IF('Оперативный ввод'!A338="","",'Оперативный ввод'!A338)</f>
        <v/>
      </c>
      <c r="B338" s="172">
        <f>IF('Оперативный ввод'!B338="","",'Оперативный ввод'!B338)</f>
        <v/>
      </c>
      <c r="C338" s="270">
        <f>IF('Оперативный ввод'!C338="","",'Оперативный ввод'!C338)</f>
        <v/>
      </c>
      <c r="D338" s="270">
        <f>IF('Оперативный ввод'!D338="","",'Оперативный ввод'!D338)</f>
        <v/>
      </c>
      <c r="E338" s="271">
        <f>IF(OR(C338="",D338=""),"",D338-C338)</f>
        <v/>
      </c>
      <c r="F338" s="172">
        <f>IF('Оперативный ввод'!F338="","",'Оперативный ввод'!F338)</f>
        <v/>
      </c>
      <c r="G338" s="172">
        <f>IF('Оперативный ввод'!G338="","",'Оперативный ввод'!G338)</f>
        <v/>
      </c>
      <c r="H338" s="172">
        <f>IF('Оперативный ввод'!H338="","",'Оперативный ввод'!H338)</f>
        <v/>
      </c>
      <c r="I338" s="172">
        <f>IF('Оперативный ввод'!I338="","",'Оперативный ввод'!I338)</f>
        <v/>
      </c>
      <c r="J338" s="172">
        <f>IF('Оперативный ввод'!J338="","",'Оперативный ввод'!J338)</f>
        <v/>
      </c>
      <c r="K338" s="172">
        <f>IF('Оперативный ввод'!K338="","",'Оперативный ввод'!K338)</f>
        <v/>
      </c>
      <c r="L338" s="172">
        <f>IF('Оперативный ввод'!L338="","",'Оперативный ввод'!L338)</f>
        <v/>
      </c>
      <c r="M338" s="172">
        <f>IF('Оперативный ввод'!M338="","",'Оперативный ввод'!M338)</f>
        <v/>
      </c>
      <c r="N338" s="172">
        <f>IF('Оперативный ввод'!N338="","",'Оперативный ввод'!N338)</f>
        <v/>
      </c>
      <c r="O338" s="172">
        <f>IF('Оперативный ввод'!O338="","",'Оперативный ввод'!O338)</f>
        <v/>
      </c>
      <c r="P338" s="205">
        <f>IF(AND(A338="",B338=""),"",IF(AND(A338&lt;&gt;"",B338&lt;&gt;"",C338&lt;&gt;"",D338&lt;&gt;"",F338&lt;&gt;"",G338&lt;&gt;"",H338&lt;&gt;"",ISERROR(SEARCH("по паспорту",G338)),ISERROR(SEARCH("по паспорту",H338)),I338&lt;&gt;"",J338&lt;&gt;"",K338&lt;&gt;"",L338&lt;&gt;"",M338&lt;&gt;""),"ГОТОВО","НЕ ГОТОВО"))</f>
        <v/>
      </c>
      <c r="Q338" s="205">
        <f>IF(P338&lt;&gt;"ГОТОВО","", "Предварительное заключение: "&amp;A338&amp;", скв. "&amp;B338&amp;". МРП: "&amp;E338&amp;" сут. ГНО: "&amp;F338&amp;", типоразмер "&amp;G338&amp;", марка "&amp;H338&amp;". Событие: "&amp;I338&amp;". Признак: "&amp;J338&amp;". Узел: "&amp;K338&amp;". Предварительная причина: "&amp;L338&amp;". Основное осложнение: "&amp;M338&amp;IF(N338&lt;&gt;"","; сопутствующее: "&amp;N338,"")&amp;IF(O338&lt;&gt;"","; дополнительно: "&amp;O338,"")&amp;".")</f>
        <v/>
      </c>
      <c r="R338" s="172">
        <f>IF('Оперативный ввод'!P338="","",'Оперативный ввод'!P338)</f>
        <v/>
      </c>
      <c r="S338" s="172">
        <f>IF('Оперативный ввод'!Q338="","",'Оперативный ввод'!Q338)</f>
        <v/>
      </c>
      <c r="T338" s="172">
        <f>IF('Оперативный ввод'!R338="","",'Оперативный ввод'!R338)</f>
        <v/>
      </c>
      <c r="U338" s="172">
        <f>IF('Оперативный ввод'!S338="","",'Оперативный ввод'!S338)</f>
        <v/>
      </c>
      <c r="V338" s="172">
        <f>IF('Оперативный ввод'!T338="","",'Оперативный ввод'!T338)</f>
        <v/>
      </c>
      <c r="W338" s="172" t="n"/>
      <c r="X338" s="172" t="n"/>
      <c r="Y338" s="172" t="n"/>
      <c r="Z338" s="172" t="n"/>
      <c r="AA338" s="172">
        <f>IF('Оперативный ввод'!U338="","",'Оперативный ввод'!U338)</f>
        <v/>
      </c>
      <c r="AB338" s="172">
        <f>IF('Оперативный ввод'!V338="","",'Оперативный ввод'!V338)</f>
        <v/>
      </c>
      <c r="AC338" s="172">
        <f>IF('Оперативный ввод'!W338="","",'Оперативный ввод'!W338)</f>
        <v/>
      </c>
      <c r="BB338" s="172" t="n"/>
      <c r="BC338" s="172" t="n"/>
      <c r="BD338" s="205">
        <f>IF(AND(A338="",B338=""),"",IF(AND(P338="ГОТОВО",R338&lt;&gt;"",T338&lt;&gt;"",U338&lt;&gt;"",AA338&lt;&gt;"",AB338&lt;&gt;"",AC338&lt;&gt;"",BB338&lt;&gt;"",BC338&lt;&gt;""),"ГОТОВО","НЕ ГОТОВО"))</f>
        <v/>
      </c>
      <c r="BE338" s="205">
        <f>IF(BD338&lt;&gt;"ГОТОВО","","Полное заключение: "&amp;A338&amp;", скв. "&amp;B338&amp;". МРП: "&amp;E338&amp;" сут. ГНО: "&amp;F338&amp;"; причина: "&amp;U338&amp;"; категория: "&amp;V338&amp;"; решение комиссии: "&amp;BB338&amp;".")</f>
        <v/>
      </c>
      <c r="BF338" s="173">
        <f>IF('Оперативный ввод'!X338="","",'Оперативный ввод'!X338)</f>
        <v/>
      </c>
    </row>
    <row r="339">
      <c r="A339" s="171">
        <f>IF('Оперативный ввод'!A339="","",'Оперативный ввод'!A339)</f>
        <v/>
      </c>
      <c r="B339" s="172">
        <f>IF('Оперативный ввод'!B339="","",'Оперативный ввод'!B339)</f>
        <v/>
      </c>
      <c r="C339" s="270">
        <f>IF('Оперативный ввод'!C339="","",'Оперативный ввод'!C339)</f>
        <v/>
      </c>
      <c r="D339" s="270">
        <f>IF('Оперативный ввод'!D339="","",'Оперативный ввод'!D339)</f>
        <v/>
      </c>
      <c r="E339" s="271">
        <f>IF(OR(C339="",D339=""),"",D339-C339)</f>
        <v/>
      </c>
      <c r="F339" s="172">
        <f>IF('Оперативный ввод'!F339="","",'Оперативный ввод'!F339)</f>
        <v/>
      </c>
      <c r="G339" s="172">
        <f>IF('Оперативный ввод'!G339="","",'Оперативный ввод'!G339)</f>
        <v/>
      </c>
      <c r="H339" s="172">
        <f>IF('Оперативный ввод'!H339="","",'Оперативный ввод'!H339)</f>
        <v/>
      </c>
      <c r="I339" s="172">
        <f>IF('Оперативный ввод'!I339="","",'Оперативный ввод'!I339)</f>
        <v/>
      </c>
      <c r="J339" s="172">
        <f>IF('Оперативный ввод'!J339="","",'Оперативный ввод'!J339)</f>
        <v/>
      </c>
      <c r="K339" s="172">
        <f>IF('Оперативный ввод'!K339="","",'Оперативный ввод'!K339)</f>
        <v/>
      </c>
      <c r="L339" s="172">
        <f>IF('Оперативный ввод'!L339="","",'Оперативный ввод'!L339)</f>
        <v/>
      </c>
      <c r="M339" s="172">
        <f>IF('Оперативный ввод'!M339="","",'Оперативный ввод'!M339)</f>
        <v/>
      </c>
      <c r="N339" s="172">
        <f>IF('Оперативный ввод'!N339="","",'Оперативный ввод'!N339)</f>
        <v/>
      </c>
      <c r="O339" s="172">
        <f>IF('Оперативный ввод'!O339="","",'Оперативный ввод'!O339)</f>
        <v/>
      </c>
      <c r="P339" s="205">
        <f>IF(AND(A339="",B339=""),"",IF(AND(A339&lt;&gt;"",B339&lt;&gt;"",C339&lt;&gt;"",D339&lt;&gt;"",F339&lt;&gt;"",G339&lt;&gt;"",H339&lt;&gt;"",ISERROR(SEARCH("по паспорту",G339)),ISERROR(SEARCH("по паспорту",H339)),I339&lt;&gt;"",J339&lt;&gt;"",K339&lt;&gt;"",L339&lt;&gt;"",M339&lt;&gt;""),"ГОТОВО","НЕ ГОТОВО"))</f>
        <v/>
      </c>
      <c r="Q339" s="205">
        <f>IF(P339&lt;&gt;"ГОТОВО","", "Предварительное заключение: "&amp;A339&amp;", скв. "&amp;B339&amp;". МРП: "&amp;E339&amp;" сут. ГНО: "&amp;F339&amp;", типоразмер "&amp;G339&amp;", марка "&amp;H339&amp;". Событие: "&amp;I339&amp;". Признак: "&amp;J339&amp;". Узел: "&amp;K339&amp;". Предварительная причина: "&amp;L339&amp;". Основное осложнение: "&amp;M339&amp;IF(N339&lt;&gt;"","; сопутствующее: "&amp;N339,"")&amp;IF(O339&lt;&gt;"","; дополнительно: "&amp;O339,"")&amp;".")</f>
        <v/>
      </c>
      <c r="R339" s="172">
        <f>IF('Оперативный ввод'!P339="","",'Оперативный ввод'!P339)</f>
        <v/>
      </c>
      <c r="S339" s="172">
        <f>IF('Оперативный ввод'!Q339="","",'Оперативный ввод'!Q339)</f>
        <v/>
      </c>
      <c r="T339" s="172">
        <f>IF('Оперативный ввод'!R339="","",'Оперативный ввод'!R339)</f>
        <v/>
      </c>
      <c r="U339" s="172">
        <f>IF('Оперативный ввод'!S339="","",'Оперативный ввод'!S339)</f>
        <v/>
      </c>
      <c r="V339" s="172">
        <f>IF('Оперативный ввод'!T339="","",'Оперативный ввод'!T339)</f>
        <v/>
      </c>
      <c r="W339" s="172" t="n"/>
      <c r="X339" s="172" t="n"/>
      <c r="Y339" s="172" t="n"/>
      <c r="Z339" s="172" t="n"/>
      <c r="AA339" s="172">
        <f>IF('Оперативный ввод'!U339="","",'Оперативный ввод'!U339)</f>
        <v/>
      </c>
      <c r="AB339" s="172">
        <f>IF('Оперативный ввод'!V339="","",'Оперативный ввод'!V339)</f>
        <v/>
      </c>
      <c r="AC339" s="172">
        <f>IF('Оперативный ввод'!W339="","",'Оперативный ввод'!W339)</f>
        <v/>
      </c>
      <c r="BB339" s="172" t="n"/>
      <c r="BC339" s="172" t="n"/>
      <c r="BD339" s="205">
        <f>IF(AND(A339="",B339=""),"",IF(AND(P339="ГОТОВО",R339&lt;&gt;"",T339&lt;&gt;"",U339&lt;&gt;"",AA339&lt;&gt;"",AB339&lt;&gt;"",AC339&lt;&gt;"",BB339&lt;&gt;"",BC339&lt;&gt;""),"ГОТОВО","НЕ ГОТОВО"))</f>
        <v/>
      </c>
      <c r="BE339" s="205">
        <f>IF(BD339&lt;&gt;"ГОТОВО","","Полное заключение: "&amp;A339&amp;", скв. "&amp;B339&amp;". МРП: "&amp;E339&amp;" сут. ГНО: "&amp;F339&amp;"; причина: "&amp;U339&amp;"; категория: "&amp;V339&amp;"; решение комиссии: "&amp;BB339&amp;".")</f>
        <v/>
      </c>
      <c r="BF339" s="173">
        <f>IF('Оперативный ввод'!X339="","",'Оперативный ввод'!X339)</f>
        <v/>
      </c>
    </row>
    <row r="340">
      <c r="A340" s="171">
        <f>IF('Оперативный ввод'!A340="","",'Оперативный ввод'!A340)</f>
        <v/>
      </c>
      <c r="B340" s="172">
        <f>IF('Оперативный ввод'!B340="","",'Оперативный ввод'!B340)</f>
        <v/>
      </c>
      <c r="C340" s="270">
        <f>IF('Оперативный ввод'!C340="","",'Оперативный ввод'!C340)</f>
        <v/>
      </c>
      <c r="D340" s="270">
        <f>IF('Оперативный ввод'!D340="","",'Оперативный ввод'!D340)</f>
        <v/>
      </c>
      <c r="E340" s="271">
        <f>IF(OR(C340="",D340=""),"",D340-C340)</f>
        <v/>
      </c>
      <c r="F340" s="172">
        <f>IF('Оперативный ввод'!F340="","",'Оперативный ввод'!F340)</f>
        <v/>
      </c>
      <c r="G340" s="172">
        <f>IF('Оперативный ввод'!G340="","",'Оперативный ввод'!G340)</f>
        <v/>
      </c>
      <c r="H340" s="172">
        <f>IF('Оперативный ввод'!H340="","",'Оперативный ввод'!H340)</f>
        <v/>
      </c>
      <c r="I340" s="172">
        <f>IF('Оперативный ввод'!I340="","",'Оперативный ввод'!I340)</f>
        <v/>
      </c>
      <c r="J340" s="172">
        <f>IF('Оперативный ввод'!J340="","",'Оперативный ввод'!J340)</f>
        <v/>
      </c>
      <c r="K340" s="172">
        <f>IF('Оперативный ввод'!K340="","",'Оперативный ввод'!K340)</f>
        <v/>
      </c>
      <c r="L340" s="172">
        <f>IF('Оперативный ввод'!L340="","",'Оперативный ввод'!L340)</f>
        <v/>
      </c>
      <c r="M340" s="172">
        <f>IF('Оперативный ввод'!M340="","",'Оперативный ввод'!M340)</f>
        <v/>
      </c>
      <c r="N340" s="172">
        <f>IF('Оперативный ввод'!N340="","",'Оперативный ввод'!N340)</f>
        <v/>
      </c>
      <c r="O340" s="172">
        <f>IF('Оперативный ввод'!O340="","",'Оперативный ввод'!O340)</f>
        <v/>
      </c>
      <c r="P340" s="205">
        <f>IF(AND(A340="",B340=""),"",IF(AND(A340&lt;&gt;"",B340&lt;&gt;"",C340&lt;&gt;"",D340&lt;&gt;"",F340&lt;&gt;"",G340&lt;&gt;"",H340&lt;&gt;"",ISERROR(SEARCH("по паспорту",G340)),ISERROR(SEARCH("по паспорту",H340)),I340&lt;&gt;"",J340&lt;&gt;"",K340&lt;&gt;"",L340&lt;&gt;"",M340&lt;&gt;""),"ГОТОВО","НЕ ГОТОВО"))</f>
        <v/>
      </c>
      <c r="Q340" s="205">
        <f>IF(P340&lt;&gt;"ГОТОВО","", "Предварительное заключение: "&amp;A340&amp;", скв. "&amp;B340&amp;". МРП: "&amp;E340&amp;" сут. ГНО: "&amp;F340&amp;", типоразмер "&amp;G340&amp;", марка "&amp;H340&amp;". Событие: "&amp;I340&amp;". Признак: "&amp;J340&amp;". Узел: "&amp;K340&amp;". Предварительная причина: "&amp;L340&amp;". Основное осложнение: "&amp;M340&amp;IF(N340&lt;&gt;"","; сопутствующее: "&amp;N340,"")&amp;IF(O340&lt;&gt;"","; дополнительно: "&amp;O340,"")&amp;".")</f>
        <v/>
      </c>
      <c r="R340" s="172">
        <f>IF('Оперативный ввод'!P340="","",'Оперативный ввод'!P340)</f>
        <v/>
      </c>
      <c r="S340" s="172">
        <f>IF('Оперативный ввод'!Q340="","",'Оперативный ввод'!Q340)</f>
        <v/>
      </c>
      <c r="T340" s="172">
        <f>IF('Оперативный ввод'!R340="","",'Оперативный ввод'!R340)</f>
        <v/>
      </c>
      <c r="U340" s="172">
        <f>IF('Оперативный ввод'!S340="","",'Оперативный ввод'!S340)</f>
        <v/>
      </c>
      <c r="V340" s="172">
        <f>IF('Оперативный ввод'!T340="","",'Оперативный ввод'!T340)</f>
        <v/>
      </c>
      <c r="W340" s="172" t="n"/>
      <c r="X340" s="172" t="n"/>
      <c r="Y340" s="172" t="n"/>
      <c r="Z340" s="172" t="n"/>
      <c r="AA340" s="172">
        <f>IF('Оперативный ввод'!U340="","",'Оперативный ввод'!U340)</f>
        <v/>
      </c>
      <c r="AB340" s="172">
        <f>IF('Оперативный ввод'!V340="","",'Оперативный ввод'!V340)</f>
        <v/>
      </c>
      <c r="AC340" s="172">
        <f>IF('Оперативный ввод'!W340="","",'Оперативный ввод'!W340)</f>
        <v/>
      </c>
      <c r="BB340" s="172" t="n"/>
      <c r="BC340" s="172" t="n"/>
      <c r="BD340" s="205">
        <f>IF(AND(A340="",B340=""),"",IF(AND(P340="ГОТОВО",R340&lt;&gt;"",T340&lt;&gt;"",U340&lt;&gt;"",AA340&lt;&gt;"",AB340&lt;&gt;"",AC340&lt;&gt;"",BB340&lt;&gt;"",BC340&lt;&gt;""),"ГОТОВО","НЕ ГОТОВО"))</f>
        <v/>
      </c>
      <c r="BE340" s="205">
        <f>IF(BD340&lt;&gt;"ГОТОВО","","Полное заключение: "&amp;A340&amp;", скв. "&amp;B340&amp;". МРП: "&amp;E340&amp;" сут. ГНО: "&amp;F340&amp;"; причина: "&amp;U340&amp;"; категория: "&amp;V340&amp;"; решение комиссии: "&amp;BB340&amp;".")</f>
        <v/>
      </c>
      <c r="BF340" s="173">
        <f>IF('Оперативный ввод'!X340="","",'Оперативный ввод'!X340)</f>
        <v/>
      </c>
    </row>
    <row r="341">
      <c r="A341" s="171">
        <f>IF('Оперативный ввод'!A341="","",'Оперативный ввод'!A341)</f>
        <v/>
      </c>
      <c r="B341" s="172">
        <f>IF('Оперативный ввод'!B341="","",'Оперативный ввод'!B341)</f>
        <v/>
      </c>
      <c r="C341" s="270">
        <f>IF('Оперативный ввод'!C341="","",'Оперативный ввод'!C341)</f>
        <v/>
      </c>
      <c r="D341" s="270">
        <f>IF('Оперативный ввод'!D341="","",'Оперативный ввод'!D341)</f>
        <v/>
      </c>
      <c r="E341" s="271">
        <f>IF(OR(C341="",D341=""),"",D341-C341)</f>
        <v/>
      </c>
      <c r="F341" s="172">
        <f>IF('Оперативный ввод'!F341="","",'Оперативный ввод'!F341)</f>
        <v/>
      </c>
      <c r="G341" s="172">
        <f>IF('Оперативный ввод'!G341="","",'Оперативный ввод'!G341)</f>
        <v/>
      </c>
      <c r="H341" s="172">
        <f>IF('Оперативный ввод'!H341="","",'Оперативный ввод'!H341)</f>
        <v/>
      </c>
      <c r="I341" s="172">
        <f>IF('Оперативный ввод'!I341="","",'Оперативный ввод'!I341)</f>
        <v/>
      </c>
      <c r="J341" s="172">
        <f>IF('Оперативный ввод'!J341="","",'Оперативный ввод'!J341)</f>
        <v/>
      </c>
      <c r="K341" s="172">
        <f>IF('Оперативный ввод'!K341="","",'Оперативный ввод'!K341)</f>
        <v/>
      </c>
      <c r="L341" s="172">
        <f>IF('Оперативный ввод'!L341="","",'Оперативный ввод'!L341)</f>
        <v/>
      </c>
      <c r="M341" s="172">
        <f>IF('Оперативный ввод'!M341="","",'Оперативный ввод'!M341)</f>
        <v/>
      </c>
      <c r="N341" s="172">
        <f>IF('Оперативный ввод'!N341="","",'Оперативный ввод'!N341)</f>
        <v/>
      </c>
      <c r="O341" s="172">
        <f>IF('Оперативный ввод'!O341="","",'Оперативный ввод'!O341)</f>
        <v/>
      </c>
      <c r="P341" s="205">
        <f>IF(AND(A341="",B341=""),"",IF(AND(A341&lt;&gt;"",B341&lt;&gt;"",C341&lt;&gt;"",D341&lt;&gt;"",F341&lt;&gt;"",G341&lt;&gt;"",H341&lt;&gt;"",ISERROR(SEARCH("по паспорту",G341)),ISERROR(SEARCH("по паспорту",H341)),I341&lt;&gt;"",J341&lt;&gt;"",K341&lt;&gt;"",L341&lt;&gt;"",M341&lt;&gt;""),"ГОТОВО","НЕ ГОТОВО"))</f>
        <v/>
      </c>
      <c r="Q341" s="205">
        <f>IF(P341&lt;&gt;"ГОТОВО","", "Предварительное заключение: "&amp;A341&amp;", скв. "&amp;B341&amp;". МРП: "&amp;E341&amp;" сут. ГНО: "&amp;F341&amp;", типоразмер "&amp;G341&amp;", марка "&amp;H341&amp;". Событие: "&amp;I341&amp;". Признак: "&amp;J341&amp;". Узел: "&amp;K341&amp;". Предварительная причина: "&amp;L341&amp;". Основное осложнение: "&amp;M341&amp;IF(N341&lt;&gt;"","; сопутствующее: "&amp;N341,"")&amp;IF(O341&lt;&gt;"","; дополнительно: "&amp;O341,"")&amp;".")</f>
        <v/>
      </c>
      <c r="R341" s="172">
        <f>IF('Оперативный ввод'!P341="","",'Оперативный ввод'!P341)</f>
        <v/>
      </c>
      <c r="S341" s="172">
        <f>IF('Оперативный ввод'!Q341="","",'Оперативный ввод'!Q341)</f>
        <v/>
      </c>
      <c r="T341" s="172">
        <f>IF('Оперативный ввод'!R341="","",'Оперативный ввод'!R341)</f>
        <v/>
      </c>
      <c r="U341" s="172">
        <f>IF('Оперативный ввод'!S341="","",'Оперативный ввод'!S341)</f>
        <v/>
      </c>
      <c r="V341" s="172">
        <f>IF('Оперативный ввод'!T341="","",'Оперативный ввод'!T341)</f>
        <v/>
      </c>
      <c r="W341" s="172" t="n"/>
      <c r="X341" s="172" t="n"/>
      <c r="Y341" s="172" t="n"/>
      <c r="Z341" s="172" t="n"/>
      <c r="AA341" s="172">
        <f>IF('Оперативный ввод'!U341="","",'Оперативный ввод'!U341)</f>
        <v/>
      </c>
      <c r="AB341" s="172">
        <f>IF('Оперативный ввод'!V341="","",'Оперативный ввод'!V341)</f>
        <v/>
      </c>
      <c r="AC341" s="172">
        <f>IF('Оперативный ввод'!W341="","",'Оперативный ввод'!W341)</f>
        <v/>
      </c>
      <c r="BB341" s="172" t="n"/>
      <c r="BC341" s="172" t="n"/>
      <c r="BD341" s="205">
        <f>IF(AND(A341="",B341=""),"",IF(AND(P341="ГОТОВО",R341&lt;&gt;"",T341&lt;&gt;"",U341&lt;&gt;"",AA341&lt;&gt;"",AB341&lt;&gt;"",AC341&lt;&gt;"",BB341&lt;&gt;"",BC341&lt;&gt;""),"ГОТОВО","НЕ ГОТОВО"))</f>
        <v/>
      </c>
      <c r="BE341" s="205">
        <f>IF(BD341&lt;&gt;"ГОТОВО","","Полное заключение: "&amp;A341&amp;", скв. "&amp;B341&amp;". МРП: "&amp;E341&amp;" сут. ГНО: "&amp;F341&amp;"; причина: "&amp;U341&amp;"; категория: "&amp;V341&amp;"; решение комиссии: "&amp;BB341&amp;".")</f>
        <v/>
      </c>
      <c r="BF341" s="173">
        <f>IF('Оперативный ввод'!X341="","",'Оперативный ввод'!X341)</f>
        <v/>
      </c>
    </row>
    <row r="342">
      <c r="A342" s="171">
        <f>IF('Оперативный ввод'!A342="","",'Оперативный ввод'!A342)</f>
        <v/>
      </c>
      <c r="B342" s="172">
        <f>IF('Оперативный ввод'!B342="","",'Оперативный ввод'!B342)</f>
        <v/>
      </c>
      <c r="C342" s="270">
        <f>IF('Оперативный ввод'!C342="","",'Оперативный ввод'!C342)</f>
        <v/>
      </c>
      <c r="D342" s="270">
        <f>IF('Оперативный ввод'!D342="","",'Оперативный ввод'!D342)</f>
        <v/>
      </c>
      <c r="E342" s="271">
        <f>IF(OR(C342="",D342=""),"",D342-C342)</f>
        <v/>
      </c>
      <c r="F342" s="172">
        <f>IF('Оперативный ввод'!F342="","",'Оперативный ввод'!F342)</f>
        <v/>
      </c>
      <c r="G342" s="172">
        <f>IF('Оперативный ввод'!G342="","",'Оперативный ввод'!G342)</f>
        <v/>
      </c>
      <c r="H342" s="172">
        <f>IF('Оперативный ввод'!H342="","",'Оперативный ввод'!H342)</f>
        <v/>
      </c>
      <c r="I342" s="172">
        <f>IF('Оперативный ввод'!I342="","",'Оперативный ввод'!I342)</f>
        <v/>
      </c>
      <c r="J342" s="172">
        <f>IF('Оперативный ввод'!J342="","",'Оперативный ввод'!J342)</f>
        <v/>
      </c>
      <c r="K342" s="172">
        <f>IF('Оперативный ввод'!K342="","",'Оперативный ввод'!K342)</f>
        <v/>
      </c>
      <c r="L342" s="172">
        <f>IF('Оперативный ввод'!L342="","",'Оперативный ввод'!L342)</f>
        <v/>
      </c>
      <c r="M342" s="172">
        <f>IF('Оперативный ввод'!M342="","",'Оперативный ввод'!M342)</f>
        <v/>
      </c>
      <c r="N342" s="172">
        <f>IF('Оперативный ввод'!N342="","",'Оперативный ввод'!N342)</f>
        <v/>
      </c>
      <c r="O342" s="172">
        <f>IF('Оперативный ввод'!O342="","",'Оперативный ввод'!O342)</f>
        <v/>
      </c>
      <c r="P342" s="205">
        <f>IF(AND(A342="",B342=""),"",IF(AND(A342&lt;&gt;"",B342&lt;&gt;"",C342&lt;&gt;"",D342&lt;&gt;"",F342&lt;&gt;"",G342&lt;&gt;"",H342&lt;&gt;"",ISERROR(SEARCH("по паспорту",G342)),ISERROR(SEARCH("по паспорту",H342)),I342&lt;&gt;"",J342&lt;&gt;"",K342&lt;&gt;"",L342&lt;&gt;"",M342&lt;&gt;""),"ГОТОВО","НЕ ГОТОВО"))</f>
        <v/>
      </c>
      <c r="Q342" s="205">
        <f>IF(P342&lt;&gt;"ГОТОВО","", "Предварительное заключение: "&amp;A342&amp;", скв. "&amp;B342&amp;". МРП: "&amp;E342&amp;" сут. ГНО: "&amp;F342&amp;", типоразмер "&amp;G342&amp;", марка "&amp;H342&amp;". Событие: "&amp;I342&amp;". Признак: "&amp;J342&amp;". Узел: "&amp;K342&amp;". Предварительная причина: "&amp;L342&amp;". Основное осложнение: "&amp;M342&amp;IF(N342&lt;&gt;"","; сопутствующее: "&amp;N342,"")&amp;IF(O342&lt;&gt;"","; дополнительно: "&amp;O342,"")&amp;".")</f>
        <v/>
      </c>
      <c r="R342" s="172">
        <f>IF('Оперативный ввод'!P342="","",'Оперативный ввод'!P342)</f>
        <v/>
      </c>
      <c r="S342" s="172">
        <f>IF('Оперативный ввод'!Q342="","",'Оперативный ввод'!Q342)</f>
        <v/>
      </c>
      <c r="T342" s="172">
        <f>IF('Оперативный ввод'!R342="","",'Оперативный ввод'!R342)</f>
        <v/>
      </c>
      <c r="U342" s="172">
        <f>IF('Оперативный ввод'!S342="","",'Оперативный ввод'!S342)</f>
        <v/>
      </c>
      <c r="V342" s="172">
        <f>IF('Оперативный ввод'!T342="","",'Оперативный ввод'!T342)</f>
        <v/>
      </c>
      <c r="W342" s="172" t="n"/>
      <c r="X342" s="172" t="n"/>
      <c r="Y342" s="172" t="n"/>
      <c r="Z342" s="172" t="n"/>
      <c r="AA342" s="172">
        <f>IF('Оперативный ввод'!U342="","",'Оперативный ввод'!U342)</f>
        <v/>
      </c>
      <c r="AB342" s="172">
        <f>IF('Оперативный ввод'!V342="","",'Оперативный ввод'!V342)</f>
        <v/>
      </c>
      <c r="AC342" s="172">
        <f>IF('Оперативный ввод'!W342="","",'Оперативный ввод'!W342)</f>
        <v/>
      </c>
      <c r="BB342" s="172" t="n"/>
      <c r="BC342" s="172" t="n"/>
      <c r="BD342" s="205">
        <f>IF(AND(A342="",B342=""),"",IF(AND(P342="ГОТОВО",R342&lt;&gt;"",T342&lt;&gt;"",U342&lt;&gt;"",AA342&lt;&gt;"",AB342&lt;&gt;"",AC342&lt;&gt;"",BB342&lt;&gt;"",BC342&lt;&gt;""),"ГОТОВО","НЕ ГОТОВО"))</f>
        <v/>
      </c>
      <c r="BE342" s="205">
        <f>IF(BD342&lt;&gt;"ГОТОВО","","Полное заключение: "&amp;A342&amp;", скв. "&amp;B342&amp;". МРП: "&amp;E342&amp;" сут. ГНО: "&amp;F342&amp;"; причина: "&amp;U342&amp;"; категория: "&amp;V342&amp;"; решение комиссии: "&amp;BB342&amp;".")</f>
        <v/>
      </c>
      <c r="BF342" s="173">
        <f>IF('Оперативный ввод'!X342="","",'Оперативный ввод'!X342)</f>
        <v/>
      </c>
    </row>
    <row r="343">
      <c r="A343" s="171">
        <f>IF('Оперативный ввод'!A343="","",'Оперативный ввод'!A343)</f>
        <v/>
      </c>
      <c r="B343" s="172">
        <f>IF('Оперативный ввод'!B343="","",'Оперативный ввод'!B343)</f>
        <v/>
      </c>
      <c r="C343" s="270">
        <f>IF('Оперативный ввод'!C343="","",'Оперативный ввод'!C343)</f>
        <v/>
      </c>
      <c r="D343" s="270">
        <f>IF('Оперативный ввод'!D343="","",'Оперативный ввод'!D343)</f>
        <v/>
      </c>
      <c r="E343" s="271">
        <f>IF(OR(C343="",D343=""),"",D343-C343)</f>
        <v/>
      </c>
      <c r="F343" s="172">
        <f>IF('Оперативный ввод'!F343="","",'Оперативный ввод'!F343)</f>
        <v/>
      </c>
      <c r="G343" s="172">
        <f>IF('Оперативный ввод'!G343="","",'Оперативный ввод'!G343)</f>
        <v/>
      </c>
      <c r="H343" s="172">
        <f>IF('Оперативный ввод'!H343="","",'Оперативный ввод'!H343)</f>
        <v/>
      </c>
      <c r="I343" s="172">
        <f>IF('Оперативный ввод'!I343="","",'Оперативный ввод'!I343)</f>
        <v/>
      </c>
      <c r="J343" s="172">
        <f>IF('Оперативный ввод'!J343="","",'Оперативный ввод'!J343)</f>
        <v/>
      </c>
      <c r="K343" s="172">
        <f>IF('Оперативный ввод'!K343="","",'Оперативный ввод'!K343)</f>
        <v/>
      </c>
      <c r="L343" s="172">
        <f>IF('Оперативный ввод'!L343="","",'Оперативный ввод'!L343)</f>
        <v/>
      </c>
      <c r="M343" s="172">
        <f>IF('Оперативный ввод'!M343="","",'Оперативный ввод'!M343)</f>
        <v/>
      </c>
      <c r="N343" s="172">
        <f>IF('Оперативный ввод'!N343="","",'Оперативный ввод'!N343)</f>
        <v/>
      </c>
      <c r="O343" s="172">
        <f>IF('Оперативный ввод'!O343="","",'Оперативный ввод'!O343)</f>
        <v/>
      </c>
      <c r="P343" s="205">
        <f>IF(AND(A343="",B343=""),"",IF(AND(A343&lt;&gt;"",B343&lt;&gt;"",C343&lt;&gt;"",D343&lt;&gt;"",F343&lt;&gt;"",G343&lt;&gt;"",H343&lt;&gt;"",ISERROR(SEARCH("по паспорту",G343)),ISERROR(SEARCH("по паспорту",H343)),I343&lt;&gt;"",J343&lt;&gt;"",K343&lt;&gt;"",L343&lt;&gt;"",M343&lt;&gt;""),"ГОТОВО","НЕ ГОТОВО"))</f>
        <v/>
      </c>
      <c r="Q343" s="205">
        <f>IF(P343&lt;&gt;"ГОТОВО","", "Предварительное заключение: "&amp;A343&amp;", скв. "&amp;B343&amp;". МРП: "&amp;E343&amp;" сут. ГНО: "&amp;F343&amp;", типоразмер "&amp;G343&amp;", марка "&amp;H343&amp;". Событие: "&amp;I343&amp;". Признак: "&amp;J343&amp;". Узел: "&amp;K343&amp;". Предварительная причина: "&amp;L343&amp;". Основное осложнение: "&amp;M343&amp;IF(N343&lt;&gt;"","; сопутствующее: "&amp;N343,"")&amp;IF(O343&lt;&gt;"","; дополнительно: "&amp;O343,"")&amp;".")</f>
        <v/>
      </c>
      <c r="R343" s="172">
        <f>IF('Оперативный ввод'!P343="","",'Оперативный ввод'!P343)</f>
        <v/>
      </c>
      <c r="S343" s="172">
        <f>IF('Оперативный ввод'!Q343="","",'Оперативный ввод'!Q343)</f>
        <v/>
      </c>
      <c r="T343" s="172">
        <f>IF('Оперативный ввод'!R343="","",'Оперативный ввод'!R343)</f>
        <v/>
      </c>
      <c r="U343" s="172">
        <f>IF('Оперативный ввод'!S343="","",'Оперативный ввод'!S343)</f>
        <v/>
      </c>
      <c r="V343" s="172">
        <f>IF('Оперативный ввод'!T343="","",'Оперативный ввод'!T343)</f>
        <v/>
      </c>
      <c r="W343" s="172" t="n"/>
      <c r="X343" s="172" t="n"/>
      <c r="Y343" s="172" t="n"/>
      <c r="Z343" s="172" t="n"/>
      <c r="AA343" s="172">
        <f>IF('Оперативный ввод'!U343="","",'Оперативный ввод'!U343)</f>
        <v/>
      </c>
      <c r="AB343" s="172">
        <f>IF('Оперативный ввод'!V343="","",'Оперативный ввод'!V343)</f>
        <v/>
      </c>
      <c r="AC343" s="172">
        <f>IF('Оперативный ввод'!W343="","",'Оперативный ввод'!W343)</f>
        <v/>
      </c>
      <c r="BB343" s="172" t="n"/>
      <c r="BC343" s="172" t="n"/>
      <c r="BD343" s="205">
        <f>IF(AND(A343="",B343=""),"",IF(AND(P343="ГОТОВО",R343&lt;&gt;"",T343&lt;&gt;"",U343&lt;&gt;"",AA343&lt;&gt;"",AB343&lt;&gt;"",AC343&lt;&gt;"",BB343&lt;&gt;"",BC343&lt;&gt;""),"ГОТОВО","НЕ ГОТОВО"))</f>
        <v/>
      </c>
      <c r="BE343" s="205">
        <f>IF(BD343&lt;&gt;"ГОТОВО","","Полное заключение: "&amp;A343&amp;", скв. "&amp;B343&amp;". МРП: "&amp;E343&amp;" сут. ГНО: "&amp;F343&amp;"; причина: "&amp;U343&amp;"; категория: "&amp;V343&amp;"; решение комиссии: "&amp;BB343&amp;".")</f>
        <v/>
      </c>
      <c r="BF343" s="173">
        <f>IF('Оперативный ввод'!X343="","",'Оперативный ввод'!X343)</f>
        <v/>
      </c>
    </row>
    <row r="344">
      <c r="A344" s="171">
        <f>IF('Оперативный ввод'!A344="","",'Оперативный ввод'!A344)</f>
        <v/>
      </c>
      <c r="B344" s="172">
        <f>IF('Оперативный ввод'!B344="","",'Оперативный ввод'!B344)</f>
        <v/>
      </c>
      <c r="C344" s="270">
        <f>IF('Оперативный ввод'!C344="","",'Оперативный ввод'!C344)</f>
        <v/>
      </c>
      <c r="D344" s="270">
        <f>IF('Оперативный ввод'!D344="","",'Оперативный ввод'!D344)</f>
        <v/>
      </c>
      <c r="E344" s="271">
        <f>IF(OR(C344="",D344=""),"",D344-C344)</f>
        <v/>
      </c>
      <c r="F344" s="172">
        <f>IF('Оперативный ввод'!F344="","",'Оперативный ввод'!F344)</f>
        <v/>
      </c>
      <c r="G344" s="172">
        <f>IF('Оперативный ввод'!G344="","",'Оперативный ввод'!G344)</f>
        <v/>
      </c>
      <c r="H344" s="172">
        <f>IF('Оперативный ввод'!H344="","",'Оперативный ввод'!H344)</f>
        <v/>
      </c>
      <c r="I344" s="172">
        <f>IF('Оперативный ввод'!I344="","",'Оперативный ввод'!I344)</f>
        <v/>
      </c>
      <c r="J344" s="172">
        <f>IF('Оперативный ввод'!J344="","",'Оперативный ввод'!J344)</f>
        <v/>
      </c>
      <c r="K344" s="172">
        <f>IF('Оперативный ввод'!K344="","",'Оперативный ввод'!K344)</f>
        <v/>
      </c>
      <c r="L344" s="172">
        <f>IF('Оперативный ввод'!L344="","",'Оперативный ввод'!L344)</f>
        <v/>
      </c>
      <c r="M344" s="172">
        <f>IF('Оперативный ввод'!M344="","",'Оперативный ввод'!M344)</f>
        <v/>
      </c>
      <c r="N344" s="172">
        <f>IF('Оперативный ввод'!N344="","",'Оперативный ввод'!N344)</f>
        <v/>
      </c>
      <c r="O344" s="172">
        <f>IF('Оперативный ввод'!O344="","",'Оперативный ввод'!O344)</f>
        <v/>
      </c>
      <c r="P344" s="205">
        <f>IF(AND(A344="",B344=""),"",IF(AND(A344&lt;&gt;"",B344&lt;&gt;"",C344&lt;&gt;"",D344&lt;&gt;"",F344&lt;&gt;"",G344&lt;&gt;"",H344&lt;&gt;"",ISERROR(SEARCH("по паспорту",G344)),ISERROR(SEARCH("по паспорту",H344)),I344&lt;&gt;"",J344&lt;&gt;"",K344&lt;&gt;"",L344&lt;&gt;"",M344&lt;&gt;""),"ГОТОВО","НЕ ГОТОВО"))</f>
        <v/>
      </c>
      <c r="Q344" s="205">
        <f>IF(P344&lt;&gt;"ГОТОВО","", "Предварительное заключение: "&amp;A344&amp;", скв. "&amp;B344&amp;". МРП: "&amp;E344&amp;" сут. ГНО: "&amp;F344&amp;", типоразмер "&amp;G344&amp;", марка "&amp;H344&amp;". Событие: "&amp;I344&amp;". Признак: "&amp;J344&amp;". Узел: "&amp;K344&amp;". Предварительная причина: "&amp;L344&amp;". Основное осложнение: "&amp;M344&amp;IF(N344&lt;&gt;"","; сопутствующее: "&amp;N344,"")&amp;IF(O344&lt;&gt;"","; дополнительно: "&amp;O344,"")&amp;".")</f>
        <v/>
      </c>
      <c r="R344" s="172">
        <f>IF('Оперативный ввод'!P344="","",'Оперативный ввод'!P344)</f>
        <v/>
      </c>
      <c r="S344" s="172">
        <f>IF('Оперативный ввод'!Q344="","",'Оперативный ввод'!Q344)</f>
        <v/>
      </c>
      <c r="T344" s="172">
        <f>IF('Оперативный ввод'!R344="","",'Оперативный ввод'!R344)</f>
        <v/>
      </c>
      <c r="U344" s="172">
        <f>IF('Оперативный ввод'!S344="","",'Оперативный ввод'!S344)</f>
        <v/>
      </c>
      <c r="V344" s="172">
        <f>IF('Оперативный ввод'!T344="","",'Оперативный ввод'!T344)</f>
        <v/>
      </c>
      <c r="W344" s="172" t="n"/>
      <c r="X344" s="172" t="n"/>
      <c r="Y344" s="172" t="n"/>
      <c r="Z344" s="172" t="n"/>
      <c r="AA344" s="172">
        <f>IF('Оперативный ввод'!U344="","",'Оперативный ввод'!U344)</f>
        <v/>
      </c>
      <c r="AB344" s="172">
        <f>IF('Оперативный ввод'!V344="","",'Оперативный ввод'!V344)</f>
        <v/>
      </c>
      <c r="AC344" s="172">
        <f>IF('Оперативный ввод'!W344="","",'Оперативный ввод'!W344)</f>
        <v/>
      </c>
      <c r="BB344" s="172" t="n"/>
      <c r="BC344" s="172" t="n"/>
      <c r="BD344" s="205">
        <f>IF(AND(A344="",B344=""),"",IF(AND(P344="ГОТОВО",R344&lt;&gt;"",T344&lt;&gt;"",U344&lt;&gt;"",AA344&lt;&gt;"",AB344&lt;&gt;"",AC344&lt;&gt;"",BB344&lt;&gt;"",BC344&lt;&gt;""),"ГОТОВО","НЕ ГОТОВО"))</f>
        <v/>
      </c>
      <c r="BE344" s="205">
        <f>IF(BD344&lt;&gt;"ГОТОВО","","Полное заключение: "&amp;A344&amp;", скв. "&amp;B344&amp;". МРП: "&amp;E344&amp;" сут. ГНО: "&amp;F344&amp;"; причина: "&amp;U344&amp;"; категория: "&amp;V344&amp;"; решение комиссии: "&amp;BB344&amp;".")</f>
        <v/>
      </c>
      <c r="BF344" s="173">
        <f>IF('Оперативный ввод'!X344="","",'Оперативный ввод'!X344)</f>
        <v/>
      </c>
    </row>
    <row r="345">
      <c r="A345" s="171">
        <f>IF('Оперативный ввод'!A345="","",'Оперативный ввод'!A345)</f>
        <v/>
      </c>
      <c r="B345" s="172">
        <f>IF('Оперативный ввод'!B345="","",'Оперативный ввод'!B345)</f>
        <v/>
      </c>
      <c r="C345" s="270">
        <f>IF('Оперативный ввод'!C345="","",'Оперативный ввод'!C345)</f>
        <v/>
      </c>
      <c r="D345" s="270">
        <f>IF('Оперативный ввод'!D345="","",'Оперативный ввод'!D345)</f>
        <v/>
      </c>
      <c r="E345" s="271">
        <f>IF(OR(C345="",D345=""),"",D345-C345)</f>
        <v/>
      </c>
      <c r="F345" s="172">
        <f>IF('Оперативный ввод'!F345="","",'Оперативный ввод'!F345)</f>
        <v/>
      </c>
      <c r="G345" s="172">
        <f>IF('Оперативный ввод'!G345="","",'Оперативный ввод'!G345)</f>
        <v/>
      </c>
      <c r="H345" s="172">
        <f>IF('Оперативный ввод'!H345="","",'Оперативный ввод'!H345)</f>
        <v/>
      </c>
      <c r="I345" s="172">
        <f>IF('Оперативный ввод'!I345="","",'Оперативный ввод'!I345)</f>
        <v/>
      </c>
      <c r="J345" s="172">
        <f>IF('Оперативный ввод'!J345="","",'Оперативный ввод'!J345)</f>
        <v/>
      </c>
      <c r="K345" s="172">
        <f>IF('Оперативный ввод'!K345="","",'Оперативный ввод'!K345)</f>
        <v/>
      </c>
      <c r="L345" s="172">
        <f>IF('Оперативный ввод'!L345="","",'Оперативный ввод'!L345)</f>
        <v/>
      </c>
      <c r="M345" s="172">
        <f>IF('Оперативный ввод'!M345="","",'Оперативный ввод'!M345)</f>
        <v/>
      </c>
      <c r="N345" s="172">
        <f>IF('Оперативный ввод'!N345="","",'Оперативный ввод'!N345)</f>
        <v/>
      </c>
      <c r="O345" s="172">
        <f>IF('Оперативный ввод'!O345="","",'Оперативный ввод'!O345)</f>
        <v/>
      </c>
      <c r="P345" s="205">
        <f>IF(AND(A345="",B345=""),"",IF(AND(A345&lt;&gt;"",B345&lt;&gt;"",C345&lt;&gt;"",D345&lt;&gt;"",F345&lt;&gt;"",G345&lt;&gt;"",H345&lt;&gt;"",ISERROR(SEARCH("по паспорту",G345)),ISERROR(SEARCH("по паспорту",H345)),I345&lt;&gt;"",J345&lt;&gt;"",K345&lt;&gt;"",L345&lt;&gt;"",M345&lt;&gt;""),"ГОТОВО","НЕ ГОТОВО"))</f>
        <v/>
      </c>
      <c r="Q345" s="205">
        <f>IF(P345&lt;&gt;"ГОТОВО","", "Предварительное заключение: "&amp;A345&amp;", скв. "&amp;B345&amp;". МРП: "&amp;E345&amp;" сут. ГНО: "&amp;F345&amp;", типоразмер "&amp;G345&amp;", марка "&amp;H345&amp;". Событие: "&amp;I345&amp;". Признак: "&amp;J345&amp;". Узел: "&amp;K345&amp;". Предварительная причина: "&amp;L345&amp;". Основное осложнение: "&amp;M345&amp;IF(N345&lt;&gt;"","; сопутствующее: "&amp;N345,"")&amp;IF(O345&lt;&gt;"","; дополнительно: "&amp;O345,"")&amp;".")</f>
        <v/>
      </c>
      <c r="R345" s="172">
        <f>IF('Оперативный ввод'!P345="","",'Оперативный ввод'!P345)</f>
        <v/>
      </c>
      <c r="S345" s="172">
        <f>IF('Оперативный ввод'!Q345="","",'Оперативный ввод'!Q345)</f>
        <v/>
      </c>
      <c r="T345" s="172">
        <f>IF('Оперативный ввод'!R345="","",'Оперативный ввод'!R345)</f>
        <v/>
      </c>
      <c r="U345" s="172">
        <f>IF('Оперативный ввод'!S345="","",'Оперативный ввод'!S345)</f>
        <v/>
      </c>
      <c r="V345" s="172">
        <f>IF('Оперативный ввод'!T345="","",'Оперативный ввод'!T345)</f>
        <v/>
      </c>
      <c r="W345" s="172" t="n"/>
      <c r="X345" s="172" t="n"/>
      <c r="Y345" s="172" t="n"/>
      <c r="Z345" s="172" t="n"/>
      <c r="AA345" s="172">
        <f>IF('Оперативный ввод'!U345="","",'Оперативный ввод'!U345)</f>
        <v/>
      </c>
      <c r="AB345" s="172">
        <f>IF('Оперативный ввод'!V345="","",'Оперативный ввод'!V345)</f>
        <v/>
      </c>
      <c r="AC345" s="172">
        <f>IF('Оперативный ввод'!W345="","",'Оперативный ввод'!W345)</f>
        <v/>
      </c>
      <c r="BB345" s="172" t="n"/>
      <c r="BC345" s="172" t="n"/>
      <c r="BD345" s="205">
        <f>IF(AND(A345="",B345=""),"",IF(AND(P345="ГОТОВО",R345&lt;&gt;"",T345&lt;&gt;"",U345&lt;&gt;"",AA345&lt;&gt;"",AB345&lt;&gt;"",AC345&lt;&gt;"",BB345&lt;&gt;"",BC345&lt;&gt;""),"ГОТОВО","НЕ ГОТОВО"))</f>
        <v/>
      </c>
      <c r="BE345" s="205">
        <f>IF(BD345&lt;&gt;"ГОТОВО","","Полное заключение: "&amp;A345&amp;", скв. "&amp;B345&amp;". МРП: "&amp;E345&amp;" сут. ГНО: "&amp;F345&amp;"; причина: "&amp;U345&amp;"; категория: "&amp;V345&amp;"; решение комиссии: "&amp;BB345&amp;".")</f>
        <v/>
      </c>
      <c r="BF345" s="173">
        <f>IF('Оперативный ввод'!X345="","",'Оперативный ввод'!X345)</f>
        <v/>
      </c>
    </row>
    <row r="346">
      <c r="A346" s="171">
        <f>IF('Оперативный ввод'!A346="","",'Оперативный ввод'!A346)</f>
        <v/>
      </c>
      <c r="B346" s="172">
        <f>IF('Оперативный ввод'!B346="","",'Оперативный ввод'!B346)</f>
        <v/>
      </c>
      <c r="C346" s="270">
        <f>IF('Оперативный ввод'!C346="","",'Оперативный ввод'!C346)</f>
        <v/>
      </c>
      <c r="D346" s="270">
        <f>IF('Оперативный ввод'!D346="","",'Оперативный ввод'!D346)</f>
        <v/>
      </c>
      <c r="E346" s="271">
        <f>IF(OR(C346="",D346=""),"",D346-C346)</f>
        <v/>
      </c>
      <c r="F346" s="172">
        <f>IF('Оперативный ввод'!F346="","",'Оперативный ввод'!F346)</f>
        <v/>
      </c>
      <c r="G346" s="172">
        <f>IF('Оперативный ввод'!G346="","",'Оперативный ввод'!G346)</f>
        <v/>
      </c>
      <c r="H346" s="172">
        <f>IF('Оперативный ввод'!H346="","",'Оперативный ввод'!H346)</f>
        <v/>
      </c>
      <c r="I346" s="172">
        <f>IF('Оперативный ввод'!I346="","",'Оперативный ввод'!I346)</f>
        <v/>
      </c>
      <c r="J346" s="172">
        <f>IF('Оперативный ввод'!J346="","",'Оперативный ввод'!J346)</f>
        <v/>
      </c>
      <c r="K346" s="172">
        <f>IF('Оперативный ввод'!K346="","",'Оперативный ввод'!K346)</f>
        <v/>
      </c>
      <c r="L346" s="172">
        <f>IF('Оперативный ввод'!L346="","",'Оперативный ввод'!L346)</f>
        <v/>
      </c>
      <c r="M346" s="172">
        <f>IF('Оперативный ввод'!M346="","",'Оперативный ввод'!M346)</f>
        <v/>
      </c>
      <c r="N346" s="172">
        <f>IF('Оперативный ввод'!N346="","",'Оперативный ввод'!N346)</f>
        <v/>
      </c>
      <c r="O346" s="172">
        <f>IF('Оперативный ввод'!O346="","",'Оперативный ввод'!O346)</f>
        <v/>
      </c>
      <c r="P346" s="205">
        <f>IF(AND(A346="",B346=""),"",IF(AND(A346&lt;&gt;"",B346&lt;&gt;"",C346&lt;&gt;"",D346&lt;&gt;"",F346&lt;&gt;"",G346&lt;&gt;"",H346&lt;&gt;"",ISERROR(SEARCH("по паспорту",G346)),ISERROR(SEARCH("по паспорту",H346)),I346&lt;&gt;"",J346&lt;&gt;"",K346&lt;&gt;"",L346&lt;&gt;"",M346&lt;&gt;""),"ГОТОВО","НЕ ГОТОВО"))</f>
        <v/>
      </c>
      <c r="Q346" s="205">
        <f>IF(P346&lt;&gt;"ГОТОВО","", "Предварительное заключение: "&amp;A346&amp;", скв. "&amp;B346&amp;". МРП: "&amp;E346&amp;" сут. ГНО: "&amp;F346&amp;", типоразмер "&amp;G346&amp;", марка "&amp;H346&amp;". Событие: "&amp;I346&amp;". Признак: "&amp;J346&amp;". Узел: "&amp;K346&amp;". Предварительная причина: "&amp;L346&amp;". Основное осложнение: "&amp;M346&amp;IF(N346&lt;&gt;"","; сопутствующее: "&amp;N346,"")&amp;IF(O346&lt;&gt;"","; дополнительно: "&amp;O346,"")&amp;".")</f>
        <v/>
      </c>
      <c r="R346" s="172">
        <f>IF('Оперативный ввод'!P346="","",'Оперативный ввод'!P346)</f>
        <v/>
      </c>
      <c r="S346" s="172">
        <f>IF('Оперативный ввод'!Q346="","",'Оперативный ввод'!Q346)</f>
        <v/>
      </c>
      <c r="T346" s="172">
        <f>IF('Оперативный ввод'!R346="","",'Оперативный ввод'!R346)</f>
        <v/>
      </c>
      <c r="U346" s="172">
        <f>IF('Оперативный ввод'!S346="","",'Оперативный ввод'!S346)</f>
        <v/>
      </c>
      <c r="V346" s="172">
        <f>IF('Оперативный ввод'!T346="","",'Оперативный ввод'!T346)</f>
        <v/>
      </c>
      <c r="W346" s="172" t="n"/>
      <c r="X346" s="172" t="n"/>
      <c r="Y346" s="172" t="n"/>
      <c r="Z346" s="172" t="n"/>
      <c r="AA346" s="172">
        <f>IF('Оперативный ввод'!U346="","",'Оперативный ввод'!U346)</f>
        <v/>
      </c>
      <c r="AB346" s="172">
        <f>IF('Оперативный ввод'!V346="","",'Оперативный ввод'!V346)</f>
        <v/>
      </c>
      <c r="AC346" s="172">
        <f>IF('Оперативный ввод'!W346="","",'Оперативный ввод'!W346)</f>
        <v/>
      </c>
      <c r="BB346" s="172" t="n"/>
      <c r="BC346" s="172" t="n"/>
      <c r="BD346" s="205">
        <f>IF(AND(A346="",B346=""),"",IF(AND(P346="ГОТОВО",R346&lt;&gt;"",T346&lt;&gt;"",U346&lt;&gt;"",AA346&lt;&gt;"",AB346&lt;&gt;"",AC346&lt;&gt;"",BB346&lt;&gt;"",BC346&lt;&gt;""),"ГОТОВО","НЕ ГОТОВО"))</f>
        <v/>
      </c>
      <c r="BE346" s="205">
        <f>IF(BD346&lt;&gt;"ГОТОВО","","Полное заключение: "&amp;A346&amp;", скв. "&amp;B346&amp;". МРП: "&amp;E346&amp;" сут. ГНО: "&amp;F346&amp;"; причина: "&amp;U346&amp;"; категория: "&amp;V346&amp;"; решение комиссии: "&amp;BB346&amp;".")</f>
        <v/>
      </c>
      <c r="BF346" s="173">
        <f>IF('Оперативный ввод'!X346="","",'Оперативный ввод'!X346)</f>
        <v/>
      </c>
    </row>
    <row r="347">
      <c r="A347" s="171">
        <f>IF('Оперативный ввод'!A347="","",'Оперативный ввод'!A347)</f>
        <v/>
      </c>
      <c r="B347" s="172">
        <f>IF('Оперативный ввод'!B347="","",'Оперативный ввод'!B347)</f>
        <v/>
      </c>
      <c r="C347" s="270">
        <f>IF('Оперативный ввод'!C347="","",'Оперативный ввод'!C347)</f>
        <v/>
      </c>
      <c r="D347" s="270">
        <f>IF('Оперативный ввод'!D347="","",'Оперативный ввод'!D347)</f>
        <v/>
      </c>
      <c r="E347" s="271">
        <f>IF(OR(C347="",D347=""),"",D347-C347)</f>
        <v/>
      </c>
      <c r="F347" s="172">
        <f>IF('Оперативный ввод'!F347="","",'Оперативный ввод'!F347)</f>
        <v/>
      </c>
      <c r="G347" s="172">
        <f>IF('Оперативный ввод'!G347="","",'Оперативный ввод'!G347)</f>
        <v/>
      </c>
      <c r="H347" s="172">
        <f>IF('Оперативный ввод'!H347="","",'Оперативный ввод'!H347)</f>
        <v/>
      </c>
      <c r="I347" s="172">
        <f>IF('Оперативный ввод'!I347="","",'Оперативный ввод'!I347)</f>
        <v/>
      </c>
      <c r="J347" s="172">
        <f>IF('Оперативный ввод'!J347="","",'Оперативный ввод'!J347)</f>
        <v/>
      </c>
      <c r="K347" s="172">
        <f>IF('Оперативный ввод'!K347="","",'Оперативный ввод'!K347)</f>
        <v/>
      </c>
      <c r="L347" s="172">
        <f>IF('Оперативный ввод'!L347="","",'Оперативный ввод'!L347)</f>
        <v/>
      </c>
      <c r="M347" s="172">
        <f>IF('Оперативный ввод'!M347="","",'Оперативный ввод'!M347)</f>
        <v/>
      </c>
      <c r="N347" s="172">
        <f>IF('Оперативный ввод'!N347="","",'Оперативный ввод'!N347)</f>
        <v/>
      </c>
      <c r="O347" s="172">
        <f>IF('Оперативный ввод'!O347="","",'Оперативный ввод'!O347)</f>
        <v/>
      </c>
      <c r="P347" s="205">
        <f>IF(AND(A347="",B347=""),"",IF(AND(A347&lt;&gt;"",B347&lt;&gt;"",C347&lt;&gt;"",D347&lt;&gt;"",F347&lt;&gt;"",G347&lt;&gt;"",H347&lt;&gt;"",ISERROR(SEARCH("по паспорту",G347)),ISERROR(SEARCH("по паспорту",H347)),I347&lt;&gt;"",J347&lt;&gt;"",K347&lt;&gt;"",L347&lt;&gt;"",M347&lt;&gt;""),"ГОТОВО","НЕ ГОТОВО"))</f>
        <v/>
      </c>
      <c r="Q347" s="205">
        <f>IF(P347&lt;&gt;"ГОТОВО","", "Предварительное заключение: "&amp;A347&amp;", скв. "&amp;B347&amp;". МРП: "&amp;E347&amp;" сут. ГНО: "&amp;F347&amp;", типоразмер "&amp;G347&amp;", марка "&amp;H347&amp;". Событие: "&amp;I347&amp;". Признак: "&amp;J347&amp;". Узел: "&amp;K347&amp;". Предварительная причина: "&amp;L347&amp;". Основное осложнение: "&amp;M347&amp;IF(N347&lt;&gt;"","; сопутствующее: "&amp;N347,"")&amp;IF(O347&lt;&gt;"","; дополнительно: "&amp;O347,"")&amp;".")</f>
        <v/>
      </c>
      <c r="R347" s="172">
        <f>IF('Оперативный ввод'!P347="","",'Оперативный ввод'!P347)</f>
        <v/>
      </c>
      <c r="S347" s="172">
        <f>IF('Оперативный ввод'!Q347="","",'Оперативный ввод'!Q347)</f>
        <v/>
      </c>
      <c r="T347" s="172">
        <f>IF('Оперативный ввод'!R347="","",'Оперативный ввод'!R347)</f>
        <v/>
      </c>
      <c r="U347" s="172">
        <f>IF('Оперативный ввод'!S347="","",'Оперативный ввод'!S347)</f>
        <v/>
      </c>
      <c r="V347" s="172">
        <f>IF('Оперативный ввод'!T347="","",'Оперативный ввод'!T347)</f>
        <v/>
      </c>
      <c r="W347" s="172" t="n"/>
      <c r="X347" s="172" t="n"/>
      <c r="Y347" s="172" t="n"/>
      <c r="Z347" s="172" t="n"/>
      <c r="AA347" s="172">
        <f>IF('Оперативный ввод'!U347="","",'Оперативный ввод'!U347)</f>
        <v/>
      </c>
      <c r="AB347" s="172">
        <f>IF('Оперативный ввод'!V347="","",'Оперативный ввод'!V347)</f>
        <v/>
      </c>
      <c r="AC347" s="172">
        <f>IF('Оперативный ввод'!W347="","",'Оперативный ввод'!W347)</f>
        <v/>
      </c>
      <c r="BB347" s="172" t="n"/>
      <c r="BC347" s="172" t="n"/>
      <c r="BD347" s="205">
        <f>IF(AND(A347="",B347=""),"",IF(AND(P347="ГОТОВО",R347&lt;&gt;"",T347&lt;&gt;"",U347&lt;&gt;"",AA347&lt;&gt;"",AB347&lt;&gt;"",AC347&lt;&gt;"",BB347&lt;&gt;"",BC347&lt;&gt;""),"ГОТОВО","НЕ ГОТОВО"))</f>
        <v/>
      </c>
      <c r="BE347" s="205">
        <f>IF(BD347&lt;&gt;"ГОТОВО","","Полное заключение: "&amp;A347&amp;", скв. "&amp;B347&amp;". МРП: "&amp;E347&amp;" сут. ГНО: "&amp;F347&amp;"; причина: "&amp;U347&amp;"; категория: "&amp;V347&amp;"; решение комиссии: "&amp;BB347&amp;".")</f>
        <v/>
      </c>
      <c r="BF347" s="173">
        <f>IF('Оперативный ввод'!X347="","",'Оперативный ввод'!X347)</f>
        <v/>
      </c>
    </row>
    <row r="348">
      <c r="A348" s="171">
        <f>IF('Оперативный ввод'!A348="","",'Оперативный ввод'!A348)</f>
        <v/>
      </c>
      <c r="B348" s="172">
        <f>IF('Оперативный ввод'!B348="","",'Оперативный ввод'!B348)</f>
        <v/>
      </c>
      <c r="C348" s="270">
        <f>IF('Оперативный ввод'!C348="","",'Оперативный ввод'!C348)</f>
        <v/>
      </c>
      <c r="D348" s="270">
        <f>IF('Оперативный ввод'!D348="","",'Оперативный ввод'!D348)</f>
        <v/>
      </c>
      <c r="E348" s="271">
        <f>IF(OR(C348="",D348=""),"",D348-C348)</f>
        <v/>
      </c>
      <c r="F348" s="172">
        <f>IF('Оперативный ввод'!F348="","",'Оперативный ввод'!F348)</f>
        <v/>
      </c>
      <c r="G348" s="172">
        <f>IF('Оперативный ввод'!G348="","",'Оперативный ввод'!G348)</f>
        <v/>
      </c>
      <c r="H348" s="172">
        <f>IF('Оперативный ввод'!H348="","",'Оперативный ввод'!H348)</f>
        <v/>
      </c>
      <c r="I348" s="172">
        <f>IF('Оперативный ввод'!I348="","",'Оперативный ввод'!I348)</f>
        <v/>
      </c>
      <c r="J348" s="172">
        <f>IF('Оперативный ввод'!J348="","",'Оперативный ввод'!J348)</f>
        <v/>
      </c>
      <c r="K348" s="172">
        <f>IF('Оперативный ввод'!K348="","",'Оперативный ввод'!K348)</f>
        <v/>
      </c>
      <c r="L348" s="172">
        <f>IF('Оперативный ввод'!L348="","",'Оперативный ввод'!L348)</f>
        <v/>
      </c>
      <c r="M348" s="172">
        <f>IF('Оперативный ввод'!M348="","",'Оперативный ввод'!M348)</f>
        <v/>
      </c>
      <c r="N348" s="172">
        <f>IF('Оперативный ввод'!N348="","",'Оперативный ввод'!N348)</f>
        <v/>
      </c>
      <c r="O348" s="172">
        <f>IF('Оперативный ввод'!O348="","",'Оперативный ввод'!O348)</f>
        <v/>
      </c>
      <c r="P348" s="205">
        <f>IF(AND(A348="",B348=""),"",IF(AND(A348&lt;&gt;"",B348&lt;&gt;"",C348&lt;&gt;"",D348&lt;&gt;"",F348&lt;&gt;"",G348&lt;&gt;"",H348&lt;&gt;"",ISERROR(SEARCH("по паспорту",G348)),ISERROR(SEARCH("по паспорту",H348)),I348&lt;&gt;"",J348&lt;&gt;"",K348&lt;&gt;"",L348&lt;&gt;"",M348&lt;&gt;""),"ГОТОВО","НЕ ГОТОВО"))</f>
        <v/>
      </c>
      <c r="Q348" s="205">
        <f>IF(P348&lt;&gt;"ГОТОВО","", "Предварительное заключение: "&amp;A348&amp;", скв. "&amp;B348&amp;". МРП: "&amp;E348&amp;" сут. ГНО: "&amp;F348&amp;", типоразмер "&amp;G348&amp;", марка "&amp;H348&amp;". Событие: "&amp;I348&amp;". Признак: "&amp;J348&amp;". Узел: "&amp;K348&amp;". Предварительная причина: "&amp;L348&amp;". Основное осложнение: "&amp;M348&amp;IF(N348&lt;&gt;"","; сопутствующее: "&amp;N348,"")&amp;IF(O348&lt;&gt;"","; дополнительно: "&amp;O348,"")&amp;".")</f>
        <v/>
      </c>
      <c r="R348" s="172">
        <f>IF('Оперативный ввод'!P348="","",'Оперативный ввод'!P348)</f>
        <v/>
      </c>
      <c r="S348" s="172">
        <f>IF('Оперативный ввод'!Q348="","",'Оперативный ввод'!Q348)</f>
        <v/>
      </c>
      <c r="T348" s="172">
        <f>IF('Оперативный ввод'!R348="","",'Оперативный ввод'!R348)</f>
        <v/>
      </c>
      <c r="U348" s="172">
        <f>IF('Оперативный ввод'!S348="","",'Оперативный ввод'!S348)</f>
        <v/>
      </c>
      <c r="V348" s="172">
        <f>IF('Оперативный ввод'!T348="","",'Оперативный ввод'!T348)</f>
        <v/>
      </c>
      <c r="W348" s="172" t="n"/>
      <c r="X348" s="172" t="n"/>
      <c r="Y348" s="172" t="n"/>
      <c r="Z348" s="172" t="n"/>
      <c r="AA348" s="172">
        <f>IF('Оперативный ввод'!U348="","",'Оперативный ввод'!U348)</f>
        <v/>
      </c>
      <c r="AB348" s="172">
        <f>IF('Оперативный ввод'!V348="","",'Оперативный ввод'!V348)</f>
        <v/>
      </c>
      <c r="AC348" s="172">
        <f>IF('Оперативный ввод'!W348="","",'Оперативный ввод'!W348)</f>
        <v/>
      </c>
      <c r="BB348" s="172" t="n"/>
      <c r="BC348" s="172" t="n"/>
      <c r="BD348" s="205">
        <f>IF(AND(A348="",B348=""),"",IF(AND(P348="ГОТОВО",R348&lt;&gt;"",T348&lt;&gt;"",U348&lt;&gt;"",AA348&lt;&gt;"",AB348&lt;&gt;"",AC348&lt;&gt;"",BB348&lt;&gt;"",BC348&lt;&gt;""),"ГОТОВО","НЕ ГОТОВО"))</f>
        <v/>
      </c>
      <c r="BE348" s="205">
        <f>IF(BD348&lt;&gt;"ГОТОВО","","Полное заключение: "&amp;A348&amp;", скв. "&amp;B348&amp;". МРП: "&amp;E348&amp;" сут. ГНО: "&amp;F348&amp;"; причина: "&amp;U348&amp;"; категория: "&amp;V348&amp;"; решение комиссии: "&amp;BB348&amp;".")</f>
        <v/>
      </c>
      <c r="BF348" s="173">
        <f>IF('Оперативный ввод'!X348="","",'Оперативный ввод'!X348)</f>
        <v/>
      </c>
    </row>
    <row r="349">
      <c r="A349" s="171">
        <f>IF('Оперативный ввод'!A349="","",'Оперативный ввод'!A349)</f>
        <v/>
      </c>
      <c r="B349" s="172">
        <f>IF('Оперативный ввод'!B349="","",'Оперативный ввод'!B349)</f>
        <v/>
      </c>
      <c r="C349" s="270">
        <f>IF('Оперативный ввод'!C349="","",'Оперативный ввод'!C349)</f>
        <v/>
      </c>
      <c r="D349" s="270">
        <f>IF('Оперативный ввод'!D349="","",'Оперативный ввод'!D349)</f>
        <v/>
      </c>
      <c r="E349" s="271">
        <f>IF(OR(C349="",D349=""),"",D349-C349)</f>
        <v/>
      </c>
      <c r="F349" s="172">
        <f>IF('Оперативный ввод'!F349="","",'Оперативный ввод'!F349)</f>
        <v/>
      </c>
      <c r="G349" s="172">
        <f>IF('Оперативный ввод'!G349="","",'Оперативный ввод'!G349)</f>
        <v/>
      </c>
      <c r="H349" s="172">
        <f>IF('Оперативный ввод'!H349="","",'Оперативный ввод'!H349)</f>
        <v/>
      </c>
      <c r="I349" s="172">
        <f>IF('Оперативный ввод'!I349="","",'Оперативный ввод'!I349)</f>
        <v/>
      </c>
      <c r="J349" s="172">
        <f>IF('Оперативный ввод'!J349="","",'Оперативный ввод'!J349)</f>
        <v/>
      </c>
      <c r="K349" s="172">
        <f>IF('Оперативный ввод'!K349="","",'Оперативный ввод'!K349)</f>
        <v/>
      </c>
      <c r="L349" s="172">
        <f>IF('Оперативный ввод'!L349="","",'Оперативный ввод'!L349)</f>
        <v/>
      </c>
      <c r="M349" s="172">
        <f>IF('Оперативный ввод'!M349="","",'Оперативный ввод'!M349)</f>
        <v/>
      </c>
      <c r="N349" s="172">
        <f>IF('Оперативный ввод'!N349="","",'Оперативный ввод'!N349)</f>
        <v/>
      </c>
      <c r="O349" s="172">
        <f>IF('Оперативный ввод'!O349="","",'Оперативный ввод'!O349)</f>
        <v/>
      </c>
      <c r="P349" s="205">
        <f>IF(AND(A349="",B349=""),"",IF(AND(A349&lt;&gt;"",B349&lt;&gt;"",C349&lt;&gt;"",D349&lt;&gt;"",F349&lt;&gt;"",G349&lt;&gt;"",H349&lt;&gt;"",ISERROR(SEARCH("по паспорту",G349)),ISERROR(SEARCH("по паспорту",H349)),I349&lt;&gt;"",J349&lt;&gt;"",K349&lt;&gt;"",L349&lt;&gt;"",M349&lt;&gt;""),"ГОТОВО","НЕ ГОТОВО"))</f>
        <v/>
      </c>
      <c r="Q349" s="205">
        <f>IF(P349&lt;&gt;"ГОТОВО","", "Предварительное заключение: "&amp;A349&amp;", скв. "&amp;B349&amp;". МРП: "&amp;E349&amp;" сут. ГНО: "&amp;F349&amp;", типоразмер "&amp;G349&amp;", марка "&amp;H349&amp;". Событие: "&amp;I349&amp;". Признак: "&amp;J349&amp;". Узел: "&amp;K349&amp;". Предварительная причина: "&amp;L349&amp;". Основное осложнение: "&amp;M349&amp;IF(N349&lt;&gt;"","; сопутствующее: "&amp;N349,"")&amp;IF(O349&lt;&gt;"","; дополнительно: "&amp;O349,"")&amp;".")</f>
        <v/>
      </c>
      <c r="R349" s="172">
        <f>IF('Оперативный ввод'!P349="","",'Оперативный ввод'!P349)</f>
        <v/>
      </c>
      <c r="S349" s="172">
        <f>IF('Оперативный ввод'!Q349="","",'Оперативный ввод'!Q349)</f>
        <v/>
      </c>
      <c r="T349" s="172">
        <f>IF('Оперативный ввод'!R349="","",'Оперативный ввод'!R349)</f>
        <v/>
      </c>
      <c r="U349" s="172">
        <f>IF('Оперативный ввод'!S349="","",'Оперативный ввод'!S349)</f>
        <v/>
      </c>
      <c r="V349" s="172">
        <f>IF('Оперативный ввод'!T349="","",'Оперативный ввод'!T349)</f>
        <v/>
      </c>
      <c r="W349" s="172" t="n"/>
      <c r="X349" s="172" t="n"/>
      <c r="Y349" s="172" t="n"/>
      <c r="Z349" s="172" t="n"/>
      <c r="AA349" s="172">
        <f>IF('Оперативный ввод'!U349="","",'Оперативный ввод'!U349)</f>
        <v/>
      </c>
      <c r="AB349" s="172">
        <f>IF('Оперативный ввод'!V349="","",'Оперативный ввод'!V349)</f>
        <v/>
      </c>
      <c r="AC349" s="172">
        <f>IF('Оперативный ввод'!W349="","",'Оперативный ввод'!W349)</f>
        <v/>
      </c>
      <c r="BB349" s="172" t="n"/>
      <c r="BC349" s="172" t="n"/>
      <c r="BD349" s="205">
        <f>IF(AND(A349="",B349=""),"",IF(AND(P349="ГОТОВО",R349&lt;&gt;"",T349&lt;&gt;"",U349&lt;&gt;"",AA349&lt;&gt;"",AB349&lt;&gt;"",AC349&lt;&gt;"",BB349&lt;&gt;"",BC349&lt;&gt;""),"ГОТОВО","НЕ ГОТОВО"))</f>
        <v/>
      </c>
      <c r="BE349" s="205">
        <f>IF(BD349&lt;&gt;"ГОТОВО","","Полное заключение: "&amp;A349&amp;", скв. "&amp;B349&amp;". МРП: "&amp;E349&amp;" сут. ГНО: "&amp;F349&amp;"; причина: "&amp;U349&amp;"; категория: "&amp;V349&amp;"; решение комиссии: "&amp;BB349&amp;".")</f>
        <v/>
      </c>
      <c r="BF349" s="173">
        <f>IF('Оперативный ввод'!X349="","",'Оперативный ввод'!X349)</f>
        <v/>
      </c>
    </row>
    <row r="350">
      <c r="A350" s="171">
        <f>IF('Оперативный ввод'!A350="","",'Оперативный ввод'!A350)</f>
        <v/>
      </c>
      <c r="B350" s="172">
        <f>IF('Оперативный ввод'!B350="","",'Оперативный ввод'!B350)</f>
        <v/>
      </c>
      <c r="C350" s="270">
        <f>IF('Оперативный ввод'!C350="","",'Оперативный ввод'!C350)</f>
        <v/>
      </c>
      <c r="D350" s="270">
        <f>IF('Оперативный ввод'!D350="","",'Оперативный ввод'!D350)</f>
        <v/>
      </c>
      <c r="E350" s="271">
        <f>IF(OR(C350="",D350=""),"",D350-C350)</f>
        <v/>
      </c>
      <c r="F350" s="172">
        <f>IF('Оперативный ввод'!F350="","",'Оперативный ввод'!F350)</f>
        <v/>
      </c>
      <c r="G350" s="172">
        <f>IF('Оперативный ввод'!G350="","",'Оперативный ввод'!G350)</f>
        <v/>
      </c>
      <c r="H350" s="172">
        <f>IF('Оперативный ввод'!H350="","",'Оперативный ввод'!H350)</f>
        <v/>
      </c>
      <c r="I350" s="172">
        <f>IF('Оперативный ввод'!I350="","",'Оперативный ввод'!I350)</f>
        <v/>
      </c>
      <c r="J350" s="172">
        <f>IF('Оперативный ввод'!J350="","",'Оперативный ввод'!J350)</f>
        <v/>
      </c>
      <c r="K350" s="172">
        <f>IF('Оперативный ввод'!K350="","",'Оперативный ввод'!K350)</f>
        <v/>
      </c>
      <c r="L350" s="172">
        <f>IF('Оперативный ввод'!L350="","",'Оперативный ввод'!L350)</f>
        <v/>
      </c>
      <c r="M350" s="172">
        <f>IF('Оперативный ввод'!M350="","",'Оперативный ввод'!M350)</f>
        <v/>
      </c>
      <c r="N350" s="172">
        <f>IF('Оперативный ввод'!N350="","",'Оперативный ввод'!N350)</f>
        <v/>
      </c>
      <c r="O350" s="172">
        <f>IF('Оперативный ввод'!O350="","",'Оперативный ввод'!O350)</f>
        <v/>
      </c>
      <c r="P350" s="205">
        <f>IF(AND(A350="",B350=""),"",IF(AND(A350&lt;&gt;"",B350&lt;&gt;"",C350&lt;&gt;"",D350&lt;&gt;"",F350&lt;&gt;"",G350&lt;&gt;"",H350&lt;&gt;"",ISERROR(SEARCH("по паспорту",G350)),ISERROR(SEARCH("по паспорту",H350)),I350&lt;&gt;"",J350&lt;&gt;"",K350&lt;&gt;"",L350&lt;&gt;"",M350&lt;&gt;""),"ГОТОВО","НЕ ГОТОВО"))</f>
        <v/>
      </c>
      <c r="Q350" s="205">
        <f>IF(P350&lt;&gt;"ГОТОВО","", "Предварительное заключение: "&amp;A350&amp;", скв. "&amp;B350&amp;". МРП: "&amp;E350&amp;" сут. ГНО: "&amp;F350&amp;", типоразмер "&amp;G350&amp;", марка "&amp;H350&amp;". Событие: "&amp;I350&amp;". Признак: "&amp;J350&amp;". Узел: "&amp;K350&amp;". Предварительная причина: "&amp;L350&amp;". Основное осложнение: "&amp;M350&amp;IF(N350&lt;&gt;"","; сопутствующее: "&amp;N350,"")&amp;IF(O350&lt;&gt;"","; дополнительно: "&amp;O350,"")&amp;".")</f>
        <v/>
      </c>
      <c r="R350" s="172">
        <f>IF('Оперативный ввод'!P350="","",'Оперативный ввод'!P350)</f>
        <v/>
      </c>
      <c r="S350" s="172">
        <f>IF('Оперативный ввод'!Q350="","",'Оперативный ввод'!Q350)</f>
        <v/>
      </c>
      <c r="T350" s="172">
        <f>IF('Оперативный ввод'!R350="","",'Оперативный ввод'!R350)</f>
        <v/>
      </c>
      <c r="U350" s="172">
        <f>IF('Оперативный ввод'!S350="","",'Оперативный ввод'!S350)</f>
        <v/>
      </c>
      <c r="V350" s="172">
        <f>IF('Оперативный ввод'!T350="","",'Оперативный ввод'!T350)</f>
        <v/>
      </c>
      <c r="W350" s="172" t="n"/>
      <c r="X350" s="172" t="n"/>
      <c r="Y350" s="172" t="n"/>
      <c r="Z350" s="172" t="n"/>
      <c r="AA350" s="172">
        <f>IF('Оперативный ввод'!U350="","",'Оперативный ввод'!U350)</f>
        <v/>
      </c>
      <c r="AB350" s="172">
        <f>IF('Оперативный ввод'!V350="","",'Оперативный ввод'!V350)</f>
        <v/>
      </c>
      <c r="AC350" s="172">
        <f>IF('Оперативный ввод'!W350="","",'Оперативный ввод'!W350)</f>
        <v/>
      </c>
      <c r="BB350" s="172" t="n"/>
      <c r="BC350" s="172" t="n"/>
      <c r="BD350" s="205">
        <f>IF(AND(A350="",B350=""),"",IF(AND(P350="ГОТОВО",R350&lt;&gt;"",T350&lt;&gt;"",U350&lt;&gt;"",AA350&lt;&gt;"",AB350&lt;&gt;"",AC350&lt;&gt;"",BB350&lt;&gt;"",BC350&lt;&gt;""),"ГОТОВО","НЕ ГОТОВО"))</f>
        <v/>
      </c>
      <c r="BE350" s="205">
        <f>IF(BD350&lt;&gt;"ГОТОВО","","Полное заключение: "&amp;A350&amp;", скв. "&amp;B350&amp;". МРП: "&amp;E350&amp;" сут. ГНО: "&amp;F350&amp;"; причина: "&amp;U350&amp;"; категория: "&amp;V350&amp;"; решение комиссии: "&amp;BB350&amp;".")</f>
        <v/>
      </c>
      <c r="BF350" s="173">
        <f>IF('Оперативный ввод'!X350="","",'Оперативный ввод'!X350)</f>
        <v/>
      </c>
    </row>
    <row r="351">
      <c r="A351" s="171">
        <f>IF('Оперативный ввод'!A351="","",'Оперативный ввод'!A351)</f>
        <v/>
      </c>
      <c r="B351" s="172">
        <f>IF('Оперативный ввод'!B351="","",'Оперативный ввод'!B351)</f>
        <v/>
      </c>
      <c r="C351" s="270">
        <f>IF('Оперативный ввод'!C351="","",'Оперативный ввод'!C351)</f>
        <v/>
      </c>
      <c r="D351" s="270">
        <f>IF('Оперативный ввод'!D351="","",'Оперативный ввод'!D351)</f>
        <v/>
      </c>
      <c r="E351" s="271">
        <f>IF(OR(C351="",D351=""),"",D351-C351)</f>
        <v/>
      </c>
      <c r="F351" s="172">
        <f>IF('Оперативный ввод'!F351="","",'Оперативный ввод'!F351)</f>
        <v/>
      </c>
      <c r="G351" s="172">
        <f>IF('Оперативный ввод'!G351="","",'Оперативный ввод'!G351)</f>
        <v/>
      </c>
      <c r="H351" s="172">
        <f>IF('Оперативный ввод'!H351="","",'Оперативный ввод'!H351)</f>
        <v/>
      </c>
      <c r="I351" s="172">
        <f>IF('Оперативный ввод'!I351="","",'Оперативный ввод'!I351)</f>
        <v/>
      </c>
      <c r="J351" s="172">
        <f>IF('Оперативный ввод'!J351="","",'Оперативный ввод'!J351)</f>
        <v/>
      </c>
      <c r="K351" s="172">
        <f>IF('Оперативный ввод'!K351="","",'Оперативный ввод'!K351)</f>
        <v/>
      </c>
      <c r="L351" s="172">
        <f>IF('Оперативный ввод'!L351="","",'Оперативный ввод'!L351)</f>
        <v/>
      </c>
      <c r="M351" s="172">
        <f>IF('Оперативный ввод'!M351="","",'Оперативный ввод'!M351)</f>
        <v/>
      </c>
      <c r="N351" s="172">
        <f>IF('Оперативный ввод'!N351="","",'Оперативный ввод'!N351)</f>
        <v/>
      </c>
      <c r="O351" s="172">
        <f>IF('Оперативный ввод'!O351="","",'Оперативный ввод'!O351)</f>
        <v/>
      </c>
      <c r="P351" s="205">
        <f>IF(AND(A351="",B351=""),"",IF(AND(A351&lt;&gt;"",B351&lt;&gt;"",C351&lt;&gt;"",D351&lt;&gt;"",F351&lt;&gt;"",G351&lt;&gt;"",H351&lt;&gt;"",ISERROR(SEARCH("по паспорту",G351)),ISERROR(SEARCH("по паспорту",H351)),I351&lt;&gt;"",J351&lt;&gt;"",K351&lt;&gt;"",L351&lt;&gt;"",M351&lt;&gt;""),"ГОТОВО","НЕ ГОТОВО"))</f>
        <v/>
      </c>
      <c r="Q351" s="205">
        <f>IF(P351&lt;&gt;"ГОТОВО","", "Предварительное заключение: "&amp;A351&amp;", скв. "&amp;B351&amp;". МРП: "&amp;E351&amp;" сут. ГНО: "&amp;F351&amp;", типоразмер "&amp;G351&amp;", марка "&amp;H351&amp;". Событие: "&amp;I351&amp;". Признак: "&amp;J351&amp;". Узел: "&amp;K351&amp;". Предварительная причина: "&amp;L351&amp;". Основное осложнение: "&amp;M351&amp;IF(N351&lt;&gt;"","; сопутствующее: "&amp;N351,"")&amp;IF(O351&lt;&gt;"","; дополнительно: "&amp;O351,"")&amp;".")</f>
        <v/>
      </c>
      <c r="R351" s="172">
        <f>IF('Оперативный ввод'!P351="","",'Оперативный ввод'!P351)</f>
        <v/>
      </c>
      <c r="S351" s="172">
        <f>IF('Оперативный ввод'!Q351="","",'Оперативный ввод'!Q351)</f>
        <v/>
      </c>
      <c r="T351" s="172">
        <f>IF('Оперативный ввод'!R351="","",'Оперативный ввод'!R351)</f>
        <v/>
      </c>
      <c r="U351" s="172">
        <f>IF('Оперативный ввод'!S351="","",'Оперативный ввод'!S351)</f>
        <v/>
      </c>
      <c r="V351" s="172">
        <f>IF('Оперативный ввод'!T351="","",'Оперативный ввод'!T351)</f>
        <v/>
      </c>
      <c r="W351" s="172" t="n"/>
      <c r="X351" s="172" t="n"/>
      <c r="Y351" s="172" t="n"/>
      <c r="Z351" s="172" t="n"/>
      <c r="AA351" s="172">
        <f>IF('Оперативный ввод'!U351="","",'Оперативный ввод'!U351)</f>
        <v/>
      </c>
      <c r="AB351" s="172">
        <f>IF('Оперативный ввод'!V351="","",'Оперативный ввод'!V351)</f>
        <v/>
      </c>
      <c r="AC351" s="172">
        <f>IF('Оперативный ввод'!W351="","",'Оперативный ввод'!W351)</f>
        <v/>
      </c>
      <c r="BB351" s="172" t="n"/>
      <c r="BC351" s="172" t="n"/>
      <c r="BD351" s="205">
        <f>IF(AND(A351="",B351=""),"",IF(AND(P351="ГОТОВО",R351&lt;&gt;"",T351&lt;&gt;"",U351&lt;&gt;"",AA351&lt;&gt;"",AB351&lt;&gt;"",AC351&lt;&gt;"",BB351&lt;&gt;"",BC351&lt;&gt;""),"ГОТОВО","НЕ ГОТОВО"))</f>
        <v/>
      </c>
      <c r="BE351" s="205">
        <f>IF(BD351&lt;&gt;"ГОТОВО","","Полное заключение: "&amp;A351&amp;", скв. "&amp;B351&amp;". МРП: "&amp;E351&amp;" сут. ГНО: "&amp;F351&amp;"; причина: "&amp;U351&amp;"; категория: "&amp;V351&amp;"; решение комиссии: "&amp;BB351&amp;".")</f>
        <v/>
      </c>
      <c r="BF351" s="173">
        <f>IF('Оперативный ввод'!X351="","",'Оперативный ввод'!X351)</f>
        <v/>
      </c>
    </row>
    <row r="352">
      <c r="A352" s="171">
        <f>IF('Оперативный ввод'!A352="","",'Оперативный ввод'!A352)</f>
        <v/>
      </c>
      <c r="B352" s="172">
        <f>IF('Оперативный ввод'!B352="","",'Оперативный ввод'!B352)</f>
        <v/>
      </c>
      <c r="C352" s="270">
        <f>IF('Оперативный ввод'!C352="","",'Оперативный ввод'!C352)</f>
        <v/>
      </c>
      <c r="D352" s="270">
        <f>IF('Оперативный ввод'!D352="","",'Оперативный ввод'!D352)</f>
        <v/>
      </c>
      <c r="E352" s="271">
        <f>IF(OR(C352="",D352=""),"",D352-C352)</f>
        <v/>
      </c>
      <c r="F352" s="172">
        <f>IF('Оперативный ввод'!F352="","",'Оперативный ввод'!F352)</f>
        <v/>
      </c>
      <c r="G352" s="172">
        <f>IF('Оперативный ввод'!G352="","",'Оперативный ввод'!G352)</f>
        <v/>
      </c>
      <c r="H352" s="172">
        <f>IF('Оперативный ввод'!H352="","",'Оперативный ввод'!H352)</f>
        <v/>
      </c>
      <c r="I352" s="172">
        <f>IF('Оперативный ввод'!I352="","",'Оперативный ввод'!I352)</f>
        <v/>
      </c>
      <c r="J352" s="172">
        <f>IF('Оперативный ввод'!J352="","",'Оперативный ввод'!J352)</f>
        <v/>
      </c>
      <c r="K352" s="172">
        <f>IF('Оперативный ввод'!K352="","",'Оперативный ввод'!K352)</f>
        <v/>
      </c>
      <c r="L352" s="172">
        <f>IF('Оперативный ввод'!L352="","",'Оперативный ввод'!L352)</f>
        <v/>
      </c>
      <c r="M352" s="172">
        <f>IF('Оперативный ввод'!M352="","",'Оперативный ввод'!M352)</f>
        <v/>
      </c>
      <c r="N352" s="172">
        <f>IF('Оперативный ввод'!N352="","",'Оперативный ввод'!N352)</f>
        <v/>
      </c>
      <c r="O352" s="172">
        <f>IF('Оперативный ввод'!O352="","",'Оперативный ввод'!O352)</f>
        <v/>
      </c>
      <c r="P352" s="205">
        <f>IF(AND(A352="",B352=""),"",IF(AND(A352&lt;&gt;"",B352&lt;&gt;"",C352&lt;&gt;"",D352&lt;&gt;"",F352&lt;&gt;"",G352&lt;&gt;"",H352&lt;&gt;"",ISERROR(SEARCH("по паспорту",G352)),ISERROR(SEARCH("по паспорту",H352)),I352&lt;&gt;"",J352&lt;&gt;"",K352&lt;&gt;"",L352&lt;&gt;"",M352&lt;&gt;""),"ГОТОВО","НЕ ГОТОВО"))</f>
        <v/>
      </c>
      <c r="Q352" s="205">
        <f>IF(P352&lt;&gt;"ГОТОВО","", "Предварительное заключение: "&amp;A352&amp;", скв. "&amp;B352&amp;". МРП: "&amp;E352&amp;" сут. ГНО: "&amp;F352&amp;", типоразмер "&amp;G352&amp;", марка "&amp;H352&amp;". Событие: "&amp;I352&amp;". Признак: "&amp;J352&amp;". Узел: "&amp;K352&amp;". Предварительная причина: "&amp;L352&amp;". Основное осложнение: "&amp;M352&amp;IF(N352&lt;&gt;"","; сопутствующее: "&amp;N352,"")&amp;IF(O352&lt;&gt;"","; дополнительно: "&amp;O352,"")&amp;".")</f>
        <v/>
      </c>
      <c r="R352" s="172">
        <f>IF('Оперативный ввод'!P352="","",'Оперативный ввод'!P352)</f>
        <v/>
      </c>
      <c r="S352" s="172">
        <f>IF('Оперативный ввод'!Q352="","",'Оперативный ввод'!Q352)</f>
        <v/>
      </c>
      <c r="T352" s="172">
        <f>IF('Оперативный ввод'!R352="","",'Оперативный ввод'!R352)</f>
        <v/>
      </c>
      <c r="U352" s="172">
        <f>IF('Оперативный ввод'!S352="","",'Оперативный ввод'!S352)</f>
        <v/>
      </c>
      <c r="V352" s="172">
        <f>IF('Оперативный ввод'!T352="","",'Оперативный ввод'!T352)</f>
        <v/>
      </c>
      <c r="W352" s="172" t="n"/>
      <c r="X352" s="172" t="n"/>
      <c r="Y352" s="172" t="n"/>
      <c r="Z352" s="172" t="n"/>
      <c r="AA352" s="172">
        <f>IF('Оперативный ввод'!U352="","",'Оперативный ввод'!U352)</f>
        <v/>
      </c>
      <c r="AB352" s="172">
        <f>IF('Оперативный ввод'!V352="","",'Оперативный ввод'!V352)</f>
        <v/>
      </c>
      <c r="AC352" s="172">
        <f>IF('Оперативный ввод'!W352="","",'Оперативный ввод'!W352)</f>
        <v/>
      </c>
      <c r="BB352" s="172" t="n"/>
      <c r="BC352" s="172" t="n"/>
      <c r="BD352" s="205">
        <f>IF(AND(A352="",B352=""),"",IF(AND(P352="ГОТОВО",R352&lt;&gt;"",T352&lt;&gt;"",U352&lt;&gt;"",AA352&lt;&gt;"",AB352&lt;&gt;"",AC352&lt;&gt;"",BB352&lt;&gt;"",BC352&lt;&gt;""),"ГОТОВО","НЕ ГОТОВО"))</f>
        <v/>
      </c>
      <c r="BE352" s="205">
        <f>IF(BD352&lt;&gt;"ГОТОВО","","Полное заключение: "&amp;A352&amp;", скв. "&amp;B352&amp;". МРП: "&amp;E352&amp;" сут. ГНО: "&amp;F352&amp;"; причина: "&amp;U352&amp;"; категория: "&amp;V352&amp;"; решение комиссии: "&amp;BB352&amp;".")</f>
        <v/>
      </c>
      <c r="BF352" s="173">
        <f>IF('Оперативный ввод'!X352="","",'Оперативный ввод'!X352)</f>
        <v/>
      </c>
    </row>
    <row r="353">
      <c r="A353" s="171">
        <f>IF('Оперативный ввод'!A353="","",'Оперативный ввод'!A353)</f>
        <v/>
      </c>
      <c r="B353" s="172">
        <f>IF('Оперативный ввод'!B353="","",'Оперативный ввод'!B353)</f>
        <v/>
      </c>
      <c r="C353" s="270">
        <f>IF('Оперативный ввод'!C353="","",'Оперативный ввод'!C353)</f>
        <v/>
      </c>
      <c r="D353" s="270">
        <f>IF('Оперативный ввод'!D353="","",'Оперативный ввод'!D353)</f>
        <v/>
      </c>
      <c r="E353" s="271">
        <f>IF(OR(C353="",D353=""),"",D353-C353)</f>
        <v/>
      </c>
      <c r="F353" s="172">
        <f>IF('Оперативный ввод'!F353="","",'Оперативный ввод'!F353)</f>
        <v/>
      </c>
      <c r="G353" s="172">
        <f>IF('Оперативный ввод'!G353="","",'Оперативный ввод'!G353)</f>
        <v/>
      </c>
      <c r="H353" s="172">
        <f>IF('Оперативный ввод'!H353="","",'Оперативный ввод'!H353)</f>
        <v/>
      </c>
      <c r="I353" s="172">
        <f>IF('Оперативный ввод'!I353="","",'Оперативный ввод'!I353)</f>
        <v/>
      </c>
      <c r="J353" s="172">
        <f>IF('Оперативный ввод'!J353="","",'Оперативный ввод'!J353)</f>
        <v/>
      </c>
      <c r="K353" s="172">
        <f>IF('Оперативный ввод'!K353="","",'Оперативный ввод'!K353)</f>
        <v/>
      </c>
      <c r="L353" s="172">
        <f>IF('Оперативный ввод'!L353="","",'Оперативный ввод'!L353)</f>
        <v/>
      </c>
      <c r="M353" s="172">
        <f>IF('Оперативный ввод'!M353="","",'Оперативный ввод'!M353)</f>
        <v/>
      </c>
      <c r="N353" s="172">
        <f>IF('Оперативный ввод'!N353="","",'Оперативный ввод'!N353)</f>
        <v/>
      </c>
      <c r="O353" s="172">
        <f>IF('Оперативный ввод'!O353="","",'Оперативный ввод'!O353)</f>
        <v/>
      </c>
      <c r="P353" s="205">
        <f>IF(AND(A353="",B353=""),"",IF(AND(A353&lt;&gt;"",B353&lt;&gt;"",C353&lt;&gt;"",D353&lt;&gt;"",F353&lt;&gt;"",G353&lt;&gt;"",H353&lt;&gt;"",ISERROR(SEARCH("по паспорту",G353)),ISERROR(SEARCH("по паспорту",H353)),I353&lt;&gt;"",J353&lt;&gt;"",K353&lt;&gt;"",L353&lt;&gt;"",M353&lt;&gt;""),"ГОТОВО","НЕ ГОТОВО"))</f>
        <v/>
      </c>
      <c r="Q353" s="205">
        <f>IF(P353&lt;&gt;"ГОТОВО","", "Предварительное заключение: "&amp;A353&amp;", скв. "&amp;B353&amp;". МРП: "&amp;E353&amp;" сут. ГНО: "&amp;F353&amp;", типоразмер "&amp;G353&amp;", марка "&amp;H353&amp;". Событие: "&amp;I353&amp;". Признак: "&amp;J353&amp;". Узел: "&amp;K353&amp;". Предварительная причина: "&amp;L353&amp;". Основное осложнение: "&amp;M353&amp;IF(N353&lt;&gt;"","; сопутствующее: "&amp;N353,"")&amp;IF(O353&lt;&gt;"","; дополнительно: "&amp;O353,"")&amp;".")</f>
        <v/>
      </c>
      <c r="R353" s="172">
        <f>IF('Оперативный ввод'!P353="","",'Оперативный ввод'!P353)</f>
        <v/>
      </c>
      <c r="S353" s="172">
        <f>IF('Оперативный ввод'!Q353="","",'Оперативный ввод'!Q353)</f>
        <v/>
      </c>
      <c r="T353" s="172">
        <f>IF('Оперативный ввод'!R353="","",'Оперативный ввод'!R353)</f>
        <v/>
      </c>
      <c r="U353" s="172">
        <f>IF('Оперативный ввод'!S353="","",'Оперативный ввод'!S353)</f>
        <v/>
      </c>
      <c r="V353" s="172">
        <f>IF('Оперативный ввод'!T353="","",'Оперативный ввод'!T353)</f>
        <v/>
      </c>
      <c r="W353" s="172" t="n"/>
      <c r="X353" s="172" t="n"/>
      <c r="Y353" s="172" t="n"/>
      <c r="Z353" s="172" t="n"/>
      <c r="AA353" s="172">
        <f>IF('Оперативный ввод'!U353="","",'Оперативный ввод'!U353)</f>
        <v/>
      </c>
      <c r="AB353" s="172">
        <f>IF('Оперативный ввод'!V353="","",'Оперативный ввод'!V353)</f>
        <v/>
      </c>
      <c r="AC353" s="172">
        <f>IF('Оперативный ввод'!W353="","",'Оперативный ввод'!W353)</f>
        <v/>
      </c>
      <c r="BB353" s="172" t="n"/>
      <c r="BC353" s="172" t="n"/>
      <c r="BD353" s="205">
        <f>IF(AND(A353="",B353=""),"",IF(AND(P353="ГОТОВО",R353&lt;&gt;"",T353&lt;&gt;"",U353&lt;&gt;"",AA353&lt;&gt;"",AB353&lt;&gt;"",AC353&lt;&gt;"",BB353&lt;&gt;"",BC353&lt;&gt;""),"ГОТОВО","НЕ ГОТОВО"))</f>
        <v/>
      </c>
      <c r="BE353" s="205">
        <f>IF(BD353&lt;&gt;"ГОТОВО","","Полное заключение: "&amp;A353&amp;", скв. "&amp;B353&amp;". МРП: "&amp;E353&amp;" сут. ГНО: "&amp;F353&amp;"; причина: "&amp;U353&amp;"; категория: "&amp;V353&amp;"; решение комиссии: "&amp;BB353&amp;".")</f>
        <v/>
      </c>
      <c r="BF353" s="173">
        <f>IF('Оперативный ввод'!X353="","",'Оперативный ввод'!X353)</f>
        <v/>
      </c>
    </row>
    <row r="354">
      <c r="A354" s="171">
        <f>IF('Оперативный ввод'!A354="","",'Оперативный ввод'!A354)</f>
        <v/>
      </c>
      <c r="B354" s="172">
        <f>IF('Оперативный ввод'!B354="","",'Оперативный ввод'!B354)</f>
        <v/>
      </c>
      <c r="C354" s="270">
        <f>IF('Оперативный ввод'!C354="","",'Оперативный ввод'!C354)</f>
        <v/>
      </c>
      <c r="D354" s="270">
        <f>IF('Оперативный ввод'!D354="","",'Оперативный ввод'!D354)</f>
        <v/>
      </c>
      <c r="E354" s="271">
        <f>IF(OR(C354="",D354=""),"",D354-C354)</f>
        <v/>
      </c>
      <c r="F354" s="172">
        <f>IF('Оперативный ввод'!F354="","",'Оперативный ввод'!F354)</f>
        <v/>
      </c>
      <c r="G354" s="172">
        <f>IF('Оперативный ввод'!G354="","",'Оперативный ввод'!G354)</f>
        <v/>
      </c>
      <c r="H354" s="172">
        <f>IF('Оперативный ввод'!H354="","",'Оперативный ввод'!H354)</f>
        <v/>
      </c>
      <c r="I354" s="172">
        <f>IF('Оперативный ввод'!I354="","",'Оперативный ввод'!I354)</f>
        <v/>
      </c>
      <c r="J354" s="172">
        <f>IF('Оперативный ввод'!J354="","",'Оперативный ввод'!J354)</f>
        <v/>
      </c>
      <c r="K354" s="172">
        <f>IF('Оперативный ввод'!K354="","",'Оперативный ввод'!K354)</f>
        <v/>
      </c>
      <c r="L354" s="172">
        <f>IF('Оперативный ввод'!L354="","",'Оперативный ввод'!L354)</f>
        <v/>
      </c>
      <c r="M354" s="172">
        <f>IF('Оперативный ввод'!M354="","",'Оперативный ввод'!M354)</f>
        <v/>
      </c>
      <c r="N354" s="172">
        <f>IF('Оперативный ввод'!N354="","",'Оперативный ввод'!N354)</f>
        <v/>
      </c>
      <c r="O354" s="172">
        <f>IF('Оперативный ввод'!O354="","",'Оперативный ввод'!O354)</f>
        <v/>
      </c>
      <c r="P354" s="205">
        <f>IF(AND(A354="",B354=""),"",IF(AND(A354&lt;&gt;"",B354&lt;&gt;"",C354&lt;&gt;"",D354&lt;&gt;"",F354&lt;&gt;"",G354&lt;&gt;"",H354&lt;&gt;"",ISERROR(SEARCH("по паспорту",G354)),ISERROR(SEARCH("по паспорту",H354)),I354&lt;&gt;"",J354&lt;&gt;"",K354&lt;&gt;"",L354&lt;&gt;"",M354&lt;&gt;""),"ГОТОВО","НЕ ГОТОВО"))</f>
        <v/>
      </c>
      <c r="Q354" s="205">
        <f>IF(P354&lt;&gt;"ГОТОВО","", "Предварительное заключение: "&amp;A354&amp;", скв. "&amp;B354&amp;". МРП: "&amp;E354&amp;" сут. ГНО: "&amp;F354&amp;", типоразмер "&amp;G354&amp;", марка "&amp;H354&amp;". Событие: "&amp;I354&amp;". Признак: "&amp;J354&amp;". Узел: "&amp;K354&amp;". Предварительная причина: "&amp;L354&amp;". Основное осложнение: "&amp;M354&amp;IF(N354&lt;&gt;"","; сопутствующее: "&amp;N354,"")&amp;IF(O354&lt;&gt;"","; дополнительно: "&amp;O354,"")&amp;".")</f>
        <v/>
      </c>
      <c r="R354" s="172">
        <f>IF('Оперативный ввод'!P354="","",'Оперативный ввод'!P354)</f>
        <v/>
      </c>
      <c r="S354" s="172">
        <f>IF('Оперативный ввод'!Q354="","",'Оперативный ввод'!Q354)</f>
        <v/>
      </c>
      <c r="T354" s="172">
        <f>IF('Оперативный ввод'!R354="","",'Оперативный ввод'!R354)</f>
        <v/>
      </c>
      <c r="U354" s="172">
        <f>IF('Оперативный ввод'!S354="","",'Оперативный ввод'!S354)</f>
        <v/>
      </c>
      <c r="V354" s="172">
        <f>IF('Оперативный ввод'!T354="","",'Оперативный ввод'!T354)</f>
        <v/>
      </c>
      <c r="W354" s="172" t="n"/>
      <c r="X354" s="172" t="n"/>
      <c r="Y354" s="172" t="n"/>
      <c r="Z354" s="172" t="n"/>
      <c r="AA354" s="172">
        <f>IF('Оперативный ввод'!U354="","",'Оперативный ввод'!U354)</f>
        <v/>
      </c>
      <c r="AB354" s="172">
        <f>IF('Оперативный ввод'!V354="","",'Оперативный ввод'!V354)</f>
        <v/>
      </c>
      <c r="AC354" s="172">
        <f>IF('Оперативный ввод'!W354="","",'Оперативный ввод'!W354)</f>
        <v/>
      </c>
      <c r="BB354" s="172" t="n"/>
      <c r="BC354" s="172" t="n"/>
      <c r="BD354" s="205">
        <f>IF(AND(A354="",B354=""),"",IF(AND(P354="ГОТОВО",R354&lt;&gt;"",T354&lt;&gt;"",U354&lt;&gt;"",AA354&lt;&gt;"",AB354&lt;&gt;"",AC354&lt;&gt;"",BB354&lt;&gt;"",BC354&lt;&gt;""),"ГОТОВО","НЕ ГОТОВО"))</f>
        <v/>
      </c>
      <c r="BE354" s="205">
        <f>IF(BD354&lt;&gt;"ГОТОВО","","Полное заключение: "&amp;A354&amp;", скв. "&amp;B354&amp;". МРП: "&amp;E354&amp;" сут. ГНО: "&amp;F354&amp;"; причина: "&amp;U354&amp;"; категория: "&amp;V354&amp;"; решение комиссии: "&amp;BB354&amp;".")</f>
        <v/>
      </c>
      <c r="BF354" s="173">
        <f>IF('Оперативный ввод'!X354="","",'Оперативный ввод'!X354)</f>
        <v/>
      </c>
    </row>
    <row r="355">
      <c r="A355" s="171">
        <f>IF('Оперативный ввод'!A355="","",'Оперативный ввод'!A355)</f>
        <v/>
      </c>
      <c r="B355" s="172">
        <f>IF('Оперативный ввод'!B355="","",'Оперативный ввод'!B355)</f>
        <v/>
      </c>
      <c r="C355" s="270">
        <f>IF('Оперативный ввод'!C355="","",'Оперативный ввод'!C355)</f>
        <v/>
      </c>
      <c r="D355" s="270">
        <f>IF('Оперативный ввод'!D355="","",'Оперативный ввод'!D355)</f>
        <v/>
      </c>
      <c r="E355" s="271">
        <f>IF(OR(C355="",D355=""),"",D355-C355)</f>
        <v/>
      </c>
      <c r="F355" s="172">
        <f>IF('Оперативный ввод'!F355="","",'Оперативный ввод'!F355)</f>
        <v/>
      </c>
      <c r="G355" s="172">
        <f>IF('Оперативный ввод'!G355="","",'Оперативный ввод'!G355)</f>
        <v/>
      </c>
      <c r="H355" s="172">
        <f>IF('Оперативный ввод'!H355="","",'Оперативный ввод'!H355)</f>
        <v/>
      </c>
      <c r="I355" s="172">
        <f>IF('Оперативный ввод'!I355="","",'Оперативный ввод'!I355)</f>
        <v/>
      </c>
      <c r="J355" s="172">
        <f>IF('Оперативный ввод'!J355="","",'Оперативный ввод'!J355)</f>
        <v/>
      </c>
      <c r="K355" s="172">
        <f>IF('Оперативный ввод'!K355="","",'Оперативный ввод'!K355)</f>
        <v/>
      </c>
      <c r="L355" s="172">
        <f>IF('Оперативный ввод'!L355="","",'Оперативный ввод'!L355)</f>
        <v/>
      </c>
      <c r="M355" s="172">
        <f>IF('Оперативный ввод'!M355="","",'Оперативный ввод'!M355)</f>
        <v/>
      </c>
      <c r="N355" s="172">
        <f>IF('Оперативный ввод'!N355="","",'Оперативный ввод'!N355)</f>
        <v/>
      </c>
      <c r="O355" s="172">
        <f>IF('Оперативный ввод'!O355="","",'Оперативный ввод'!O355)</f>
        <v/>
      </c>
      <c r="P355" s="205">
        <f>IF(AND(A355="",B355=""),"",IF(AND(A355&lt;&gt;"",B355&lt;&gt;"",C355&lt;&gt;"",D355&lt;&gt;"",F355&lt;&gt;"",G355&lt;&gt;"",H355&lt;&gt;"",ISERROR(SEARCH("по паспорту",G355)),ISERROR(SEARCH("по паспорту",H355)),I355&lt;&gt;"",J355&lt;&gt;"",K355&lt;&gt;"",L355&lt;&gt;"",M355&lt;&gt;""),"ГОТОВО","НЕ ГОТОВО"))</f>
        <v/>
      </c>
      <c r="Q355" s="205">
        <f>IF(P355&lt;&gt;"ГОТОВО","", "Предварительное заключение: "&amp;A355&amp;", скв. "&amp;B355&amp;". МРП: "&amp;E355&amp;" сут. ГНО: "&amp;F355&amp;", типоразмер "&amp;G355&amp;", марка "&amp;H355&amp;". Событие: "&amp;I355&amp;". Признак: "&amp;J355&amp;". Узел: "&amp;K355&amp;". Предварительная причина: "&amp;L355&amp;". Основное осложнение: "&amp;M355&amp;IF(N355&lt;&gt;"","; сопутствующее: "&amp;N355,"")&amp;IF(O355&lt;&gt;"","; дополнительно: "&amp;O355,"")&amp;".")</f>
        <v/>
      </c>
      <c r="R355" s="172">
        <f>IF('Оперативный ввод'!P355="","",'Оперативный ввод'!P355)</f>
        <v/>
      </c>
      <c r="S355" s="172">
        <f>IF('Оперативный ввод'!Q355="","",'Оперативный ввод'!Q355)</f>
        <v/>
      </c>
      <c r="T355" s="172">
        <f>IF('Оперативный ввод'!R355="","",'Оперативный ввод'!R355)</f>
        <v/>
      </c>
      <c r="U355" s="172">
        <f>IF('Оперативный ввод'!S355="","",'Оперативный ввод'!S355)</f>
        <v/>
      </c>
      <c r="V355" s="172">
        <f>IF('Оперативный ввод'!T355="","",'Оперативный ввод'!T355)</f>
        <v/>
      </c>
      <c r="W355" s="172" t="n"/>
      <c r="X355" s="172" t="n"/>
      <c r="Y355" s="172" t="n"/>
      <c r="Z355" s="172" t="n"/>
      <c r="AA355" s="172">
        <f>IF('Оперативный ввод'!U355="","",'Оперативный ввод'!U355)</f>
        <v/>
      </c>
      <c r="AB355" s="172">
        <f>IF('Оперативный ввод'!V355="","",'Оперативный ввод'!V355)</f>
        <v/>
      </c>
      <c r="AC355" s="172">
        <f>IF('Оперативный ввод'!W355="","",'Оперативный ввод'!W355)</f>
        <v/>
      </c>
      <c r="BB355" s="172" t="n"/>
      <c r="BC355" s="172" t="n"/>
      <c r="BD355" s="205">
        <f>IF(AND(A355="",B355=""),"",IF(AND(P355="ГОТОВО",R355&lt;&gt;"",T355&lt;&gt;"",U355&lt;&gt;"",AA355&lt;&gt;"",AB355&lt;&gt;"",AC355&lt;&gt;"",BB355&lt;&gt;"",BC355&lt;&gt;""),"ГОТОВО","НЕ ГОТОВО"))</f>
        <v/>
      </c>
      <c r="BE355" s="205">
        <f>IF(BD355&lt;&gt;"ГОТОВО","","Полное заключение: "&amp;A355&amp;", скв. "&amp;B355&amp;". МРП: "&amp;E355&amp;" сут. ГНО: "&amp;F355&amp;"; причина: "&amp;U355&amp;"; категория: "&amp;V355&amp;"; решение комиссии: "&amp;BB355&amp;".")</f>
        <v/>
      </c>
      <c r="BF355" s="173">
        <f>IF('Оперативный ввод'!X355="","",'Оперативный ввод'!X355)</f>
        <v/>
      </c>
    </row>
    <row r="356">
      <c r="A356" s="171">
        <f>IF('Оперативный ввод'!A356="","",'Оперативный ввод'!A356)</f>
        <v/>
      </c>
      <c r="B356" s="172">
        <f>IF('Оперативный ввод'!B356="","",'Оперативный ввод'!B356)</f>
        <v/>
      </c>
      <c r="C356" s="270">
        <f>IF('Оперативный ввод'!C356="","",'Оперативный ввод'!C356)</f>
        <v/>
      </c>
      <c r="D356" s="270">
        <f>IF('Оперативный ввод'!D356="","",'Оперативный ввод'!D356)</f>
        <v/>
      </c>
      <c r="E356" s="271">
        <f>IF(OR(C356="",D356=""),"",D356-C356)</f>
        <v/>
      </c>
      <c r="F356" s="172">
        <f>IF('Оперативный ввод'!F356="","",'Оперативный ввод'!F356)</f>
        <v/>
      </c>
      <c r="G356" s="172">
        <f>IF('Оперативный ввод'!G356="","",'Оперативный ввод'!G356)</f>
        <v/>
      </c>
      <c r="H356" s="172">
        <f>IF('Оперативный ввод'!H356="","",'Оперативный ввод'!H356)</f>
        <v/>
      </c>
      <c r="I356" s="172">
        <f>IF('Оперативный ввод'!I356="","",'Оперативный ввод'!I356)</f>
        <v/>
      </c>
      <c r="J356" s="172">
        <f>IF('Оперативный ввод'!J356="","",'Оперативный ввод'!J356)</f>
        <v/>
      </c>
      <c r="K356" s="172">
        <f>IF('Оперативный ввод'!K356="","",'Оперативный ввод'!K356)</f>
        <v/>
      </c>
      <c r="L356" s="172">
        <f>IF('Оперативный ввод'!L356="","",'Оперативный ввод'!L356)</f>
        <v/>
      </c>
      <c r="M356" s="172">
        <f>IF('Оперативный ввод'!M356="","",'Оперативный ввод'!M356)</f>
        <v/>
      </c>
      <c r="N356" s="172">
        <f>IF('Оперативный ввод'!N356="","",'Оперативный ввод'!N356)</f>
        <v/>
      </c>
      <c r="O356" s="172">
        <f>IF('Оперативный ввод'!O356="","",'Оперативный ввод'!O356)</f>
        <v/>
      </c>
      <c r="P356" s="205">
        <f>IF(AND(A356="",B356=""),"",IF(AND(A356&lt;&gt;"",B356&lt;&gt;"",C356&lt;&gt;"",D356&lt;&gt;"",F356&lt;&gt;"",G356&lt;&gt;"",H356&lt;&gt;"",ISERROR(SEARCH("по паспорту",G356)),ISERROR(SEARCH("по паспорту",H356)),I356&lt;&gt;"",J356&lt;&gt;"",K356&lt;&gt;"",L356&lt;&gt;"",M356&lt;&gt;""),"ГОТОВО","НЕ ГОТОВО"))</f>
        <v/>
      </c>
      <c r="Q356" s="205">
        <f>IF(P356&lt;&gt;"ГОТОВО","", "Предварительное заключение: "&amp;A356&amp;", скв. "&amp;B356&amp;". МРП: "&amp;E356&amp;" сут. ГНО: "&amp;F356&amp;", типоразмер "&amp;G356&amp;", марка "&amp;H356&amp;". Событие: "&amp;I356&amp;". Признак: "&amp;J356&amp;". Узел: "&amp;K356&amp;". Предварительная причина: "&amp;L356&amp;". Основное осложнение: "&amp;M356&amp;IF(N356&lt;&gt;"","; сопутствующее: "&amp;N356,"")&amp;IF(O356&lt;&gt;"","; дополнительно: "&amp;O356,"")&amp;".")</f>
        <v/>
      </c>
      <c r="R356" s="172">
        <f>IF('Оперативный ввод'!P356="","",'Оперативный ввод'!P356)</f>
        <v/>
      </c>
      <c r="S356" s="172">
        <f>IF('Оперативный ввод'!Q356="","",'Оперативный ввод'!Q356)</f>
        <v/>
      </c>
      <c r="T356" s="172">
        <f>IF('Оперативный ввод'!R356="","",'Оперативный ввод'!R356)</f>
        <v/>
      </c>
      <c r="U356" s="172">
        <f>IF('Оперативный ввод'!S356="","",'Оперативный ввод'!S356)</f>
        <v/>
      </c>
      <c r="V356" s="172">
        <f>IF('Оперативный ввод'!T356="","",'Оперативный ввод'!T356)</f>
        <v/>
      </c>
      <c r="W356" s="172" t="n"/>
      <c r="X356" s="172" t="n"/>
      <c r="Y356" s="172" t="n"/>
      <c r="Z356" s="172" t="n"/>
      <c r="AA356" s="172">
        <f>IF('Оперативный ввод'!U356="","",'Оперативный ввод'!U356)</f>
        <v/>
      </c>
      <c r="AB356" s="172">
        <f>IF('Оперативный ввод'!V356="","",'Оперативный ввод'!V356)</f>
        <v/>
      </c>
      <c r="AC356" s="172">
        <f>IF('Оперативный ввод'!W356="","",'Оперативный ввод'!W356)</f>
        <v/>
      </c>
      <c r="BB356" s="172" t="n"/>
      <c r="BC356" s="172" t="n"/>
      <c r="BD356" s="205">
        <f>IF(AND(A356="",B356=""),"",IF(AND(P356="ГОТОВО",R356&lt;&gt;"",T356&lt;&gt;"",U356&lt;&gt;"",AA356&lt;&gt;"",AB356&lt;&gt;"",AC356&lt;&gt;"",BB356&lt;&gt;"",BC356&lt;&gt;""),"ГОТОВО","НЕ ГОТОВО"))</f>
        <v/>
      </c>
      <c r="BE356" s="205">
        <f>IF(BD356&lt;&gt;"ГОТОВО","","Полное заключение: "&amp;A356&amp;", скв. "&amp;B356&amp;". МРП: "&amp;E356&amp;" сут. ГНО: "&amp;F356&amp;"; причина: "&amp;U356&amp;"; категория: "&amp;V356&amp;"; решение комиссии: "&amp;BB356&amp;".")</f>
        <v/>
      </c>
      <c r="BF356" s="173">
        <f>IF('Оперативный ввод'!X356="","",'Оперативный ввод'!X356)</f>
        <v/>
      </c>
    </row>
    <row r="357">
      <c r="A357" s="171">
        <f>IF('Оперативный ввод'!A357="","",'Оперативный ввод'!A357)</f>
        <v/>
      </c>
      <c r="B357" s="172">
        <f>IF('Оперативный ввод'!B357="","",'Оперативный ввод'!B357)</f>
        <v/>
      </c>
      <c r="C357" s="270">
        <f>IF('Оперативный ввод'!C357="","",'Оперативный ввод'!C357)</f>
        <v/>
      </c>
      <c r="D357" s="270">
        <f>IF('Оперативный ввод'!D357="","",'Оперативный ввод'!D357)</f>
        <v/>
      </c>
      <c r="E357" s="271">
        <f>IF(OR(C357="",D357=""),"",D357-C357)</f>
        <v/>
      </c>
      <c r="F357" s="172">
        <f>IF('Оперативный ввод'!F357="","",'Оперативный ввод'!F357)</f>
        <v/>
      </c>
      <c r="G357" s="172">
        <f>IF('Оперативный ввод'!G357="","",'Оперативный ввод'!G357)</f>
        <v/>
      </c>
      <c r="H357" s="172">
        <f>IF('Оперативный ввод'!H357="","",'Оперативный ввод'!H357)</f>
        <v/>
      </c>
      <c r="I357" s="172">
        <f>IF('Оперативный ввод'!I357="","",'Оперативный ввод'!I357)</f>
        <v/>
      </c>
      <c r="J357" s="172">
        <f>IF('Оперативный ввод'!J357="","",'Оперативный ввод'!J357)</f>
        <v/>
      </c>
      <c r="K357" s="172">
        <f>IF('Оперативный ввод'!K357="","",'Оперативный ввод'!K357)</f>
        <v/>
      </c>
      <c r="L357" s="172">
        <f>IF('Оперативный ввод'!L357="","",'Оперативный ввод'!L357)</f>
        <v/>
      </c>
      <c r="M357" s="172">
        <f>IF('Оперативный ввод'!M357="","",'Оперативный ввод'!M357)</f>
        <v/>
      </c>
      <c r="N357" s="172">
        <f>IF('Оперативный ввод'!N357="","",'Оперативный ввод'!N357)</f>
        <v/>
      </c>
      <c r="O357" s="172">
        <f>IF('Оперативный ввод'!O357="","",'Оперативный ввод'!O357)</f>
        <v/>
      </c>
      <c r="P357" s="205">
        <f>IF(AND(A357="",B357=""),"",IF(AND(A357&lt;&gt;"",B357&lt;&gt;"",C357&lt;&gt;"",D357&lt;&gt;"",F357&lt;&gt;"",G357&lt;&gt;"",H357&lt;&gt;"",ISERROR(SEARCH("по паспорту",G357)),ISERROR(SEARCH("по паспорту",H357)),I357&lt;&gt;"",J357&lt;&gt;"",K357&lt;&gt;"",L357&lt;&gt;"",M357&lt;&gt;""),"ГОТОВО","НЕ ГОТОВО"))</f>
        <v/>
      </c>
      <c r="Q357" s="205">
        <f>IF(P357&lt;&gt;"ГОТОВО","", "Предварительное заключение: "&amp;A357&amp;", скв. "&amp;B357&amp;". МРП: "&amp;E357&amp;" сут. ГНО: "&amp;F357&amp;", типоразмер "&amp;G357&amp;", марка "&amp;H357&amp;". Событие: "&amp;I357&amp;". Признак: "&amp;J357&amp;". Узел: "&amp;K357&amp;". Предварительная причина: "&amp;L357&amp;". Основное осложнение: "&amp;M357&amp;IF(N357&lt;&gt;"","; сопутствующее: "&amp;N357,"")&amp;IF(O357&lt;&gt;"","; дополнительно: "&amp;O357,"")&amp;".")</f>
        <v/>
      </c>
      <c r="R357" s="172">
        <f>IF('Оперативный ввод'!P357="","",'Оперативный ввод'!P357)</f>
        <v/>
      </c>
      <c r="S357" s="172">
        <f>IF('Оперативный ввод'!Q357="","",'Оперативный ввод'!Q357)</f>
        <v/>
      </c>
      <c r="T357" s="172">
        <f>IF('Оперативный ввод'!R357="","",'Оперативный ввод'!R357)</f>
        <v/>
      </c>
      <c r="U357" s="172">
        <f>IF('Оперативный ввод'!S357="","",'Оперативный ввод'!S357)</f>
        <v/>
      </c>
      <c r="V357" s="172">
        <f>IF('Оперативный ввод'!T357="","",'Оперативный ввод'!T357)</f>
        <v/>
      </c>
      <c r="W357" s="172" t="n"/>
      <c r="X357" s="172" t="n"/>
      <c r="Y357" s="172" t="n"/>
      <c r="Z357" s="172" t="n"/>
      <c r="AA357" s="172">
        <f>IF('Оперативный ввод'!U357="","",'Оперативный ввод'!U357)</f>
        <v/>
      </c>
      <c r="AB357" s="172">
        <f>IF('Оперативный ввод'!V357="","",'Оперативный ввод'!V357)</f>
        <v/>
      </c>
      <c r="AC357" s="172">
        <f>IF('Оперативный ввод'!W357="","",'Оперативный ввод'!W357)</f>
        <v/>
      </c>
      <c r="BB357" s="172" t="n"/>
      <c r="BC357" s="172" t="n"/>
      <c r="BD357" s="205">
        <f>IF(AND(A357="",B357=""),"",IF(AND(P357="ГОТОВО",R357&lt;&gt;"",T357&lt;&gt;"",U357&lt;&gt;"",AA357&lt;&gt;"",AB357&lt;&gt;"",AC357&lt;&gt;"",BB357&lt;&gt;"",BC357&lt;&gt;""),"ГОТОВО","НЕ ГОТОВО"))</f>
        <v/>
      </c>
      <c r="BE357" s="205">
        <f>IF(BD357&lt;&gt;"ГОТОВО","","Полное заключение: "&amp;A357&amp;", скв. "&amp;B357&amp;". МРП: "&amp;E357&amp;" сут. ГНО: "&amp;F357&amp;"; причина: "&amp;U357&amp;"; категория: "&amp;V357&amp;"; решение комиссии: "&amp;BB357&amp;".")</f>
        <v/>
      </c>
      <c r="BF357" s="173">
        <f>IF('Оперативный ввод'!X357="","",'Оперативный ввод'!X357)</f>
        <v/>
      </c>
    </row>
    <row r="358">
      <c r="A358" s="171">
        <f>IF('Оперативный ввод'!A358="","",'Оперативный ввод'!A358)</f>
        <v/>
      </c>
      <c r="B358" s="172">
        <f>IF('Оперативный ввод'!B358="","",'Оперативный ввод'!B358)</f>
        <v/>
      </c>
      <c r="C358" s="270">
        <f>IF('Оперативный ввод'!C358="","",'Оперативный ввод'!C358)</f>
        <v/>
      </c>
      <c r="D358" s="270">
        <f>IF('Оперативный ввод'!D358="","",'Оперативный ввод'!D358)</f>
        <v/>
      </c>
      <c r="E358" s="271">
        <f>IF(OR(C358="",D358=""),"",D358-C358)</f>
        <v/>
      </c>
      <c r="F358" s="172">
        <f>IF('Оперативный ввод'!F358="","",'Оперативный ввод'!F358)</f>
        <v/>
      </c>
      <c r="G358" s="172">
        <f>IF('Оперативный ввод'!G358="","",'Оперативный ввод'!G358)</f>
        <v/>
      </c>
      <c r="H358" s="172">
        <f>IF('Оперативный ввод'!H358="","",'Оперативный ввод'!H358)</f>
        <v/>
      </c>
      <c r="I358" s="172">
        <f>IF('Оперативный ввод'!I358="","",'Оперативный ввод'!I358)</f>
        <v/>
      </c>
      <c r="J358" s="172">
        <f>IF('Оперативный ввод'!J358="","",'Оперативный ввод'!J358)</f>
        <v/>
      </c>
      <c r="K358" s="172">
        <f>IF('Оперативный ввод'!K358="","",'Оперативный ввод'!K358)</f>
        <v/>
      </c>
      <c r="L358" s="172">
        <f>IF('Оперативный ввод'!L358="","",'Оперативный ввод'!L358)</f>
        <v/>
      </c>
      <c r="M358" s="172">
        <f>IF('Оперативный ввод'!M358="","",'Оперативный ввод'!M358)</f>
        <v/>
      </c>
      <c r="N358" s="172">
        <f>IF('Оперативный ввод'!N358="","",'Оперативный ввод'!N358)</f>
        <v/>
      </c>
      <c r="O358" s="172">
        <f>IF('Оперативный ввод'!O358="","",'Оперативный ввод'!O358)</f>
        <v/>
      </c>
      <c r="P358" s="205">
        <f>IF(AND(A358="",B358=""),"",IF(AND(A358&lt;&gt;"",B358&lt;&gt;"",C358&lt;&gt;"",D358&lt;&gt;"",F358&lt;&gt;"",G358&lt;&gt;"",H358&lt;&gt;"",ISERROR(SEARCH("по паспорту",G358)),ISERROR(SEARCH("по паспорту",H358)),I358&lt;&gt;"",J358&lt;&gt;"",K358&lt;&gt;"",L358&lt;&gt;"",M358&lt;&gt;""),"ГОТОВО","НЕ ГОТОВО"))</f>
        <v/>
      </c>
      <c r="Q358" s="205">
        <f>IF(P358&lt;&gt;"ГОТОВО","", "Предварительное заключение: "&amp;A358&amp;", скв. "&amp;B358&amp;". МРП: "&amp;E358&amp;" сут. ГНО: "&amp;F358&amp;", типоразмер "&amp;G358&amp;", марка "&amp;H358&amp;". Событие: "&amp;I358&amp;". Признак: "&amp;J358&amp;". Узел: "&amp;K358&amp;". Предварительная причина: "&amp;L358&amp;". Основное осложнение: "&amp;M358&amp;IF(N358&lt;&gt;"","; сопутствующее: "&amp;N358,"")&amp;IF(O358&lt;&gt;"","; дополнительно: "&amp;O358,"")&amp;".")</f>
        <v/>
      </c>
      <c r="R358" s="172">
        <f>IF('Оперативный ввод'!P358="","",'Оперативный ввод'!P358)</f>
        <v/>
      </c>
      <c r="S358" s="172">
        <f>IF('Оперативный ввод'!Q358="","",'Оперативный ввод'!Q358)</f>
        <v/>
      </c>
      <c r="T358" s="172">
        <f>IF('Оперативный ввод'!R358="","",'Оперативный ввод'!R358)</f>
        <v/>
      </c>
      <c r="U358" s="172">
        <f>IF('Оперативный ввод'!S358="","",'Оперативный ввод'!S358)</f>
        <v/>
      </c>
      <c r="V358" s="172">
        <f>IF('Оперативный ввод'!T358="","",'Оперативный ввод'!T358)</f>
        <v/>
      </c>
      <c r="W358" s="172" t="n"/>
      <c r="X358" s="172" t="n"/>
      <c r="Y358" s="172" t="n"/>
      <c r="Z358" s="172" t="n"/>
      <c r="AA358" s="172">
        <f>IF('Оперативный ввод'!U358="","",'Оперативный ввод'!U358)</f>
        <v/>
      </c>
      <c r="AB358" s="172">
        <f>IF('Оперативный ввод'!V358="","",'Оперативный ввод'!V358)</f>
        <v/>
      </c>
      <c r="AC358" s="172">
        <f>IF('Оперативный ввод'!W358="","",'Оперативный ввод'!W358)</f>
        <v/>
      </c>
      <c r="BB358" s="172" t="n"/>
      <c r="BC358" s="172" t="n"/>
      <c r="BD358" s="205">
        <f>IF(AND(A358="",B358=""),"",IF(AND(P358="ГОТОВО",R358&lt;&gt;"",T358&lt;&gt;"",U358&lt;&gt;"",AA358&lt;&gt;"",AB358&lt;&gt;"",AC358&lt;&gt;"",BB358&lt;&gt;"",BC358&lt;&gt;""),"ГОТОВО","НЕ ГОТОВО"))</f>
        <v/>
      </c>
      <c r="BE358" s="205">
        <f>IF(BD358&lt;&gt;"ГОТОВО","","Полное заключение: "&amp;A358&amp;", скв. "&amp;B358&amp;". МРП: "&amp;E358&amp;" сут. ГНО: "&amp;F358&amp;"; причина: "&amp;U358&amp;"; категория: "&amp;V358&amp;"; решение комиссии: "&amp;BB358&amp;".")</f>
        <v/>
      </c>
      <c r="BF358" s="173">
        <f>IF('Оперативный ввод'!X358="","",'Оперативный ввод'!X358)</f>
        <v/>
      </c>
    </row>
    <row r="359">
      <c r="A359" s="171">
        <f>IF('Оперативный ввод'!A359="","",'Оперативный ввод'!A359)</f>
        <v/>
      </c>
      <c r="B359" s="172">
        <f>IF('Оперативный ввод'!B359="","",'Оперативный ввод'!B359)</f>
        <v/>
      </c>
      <c r="C359" s="270">
        <f>IF('Оперативный ввод'!C359="","",'Оперативный ввод'!C359)</f>
        <v/>
      </c>
      <c r="D359" s="270">
        <f>IF('Оперативный ввод'!D359="","",'Оперативный ввод'!D359)</f>
        <v/>
      </c>
      <c r="E359" s="271">
        <f>IF(OR(C359="",D359=""),"",D359-C359)</f>
        <v/>
      </c>
      <c r="F359" s="172">
        <f>IF('Оперативный ввод'!F359="","",'Оперативный ввод'!F359)</f>
        <v/>
      </c>
      <c r="G359" s="172">
        <f>IF('Оперативный ввод'!G359="","",'Оперативный ввод'!G359)</f>
        <v/>
      </c>
      <c r="H359" s="172">
        <f>IF('Оперативный ввод'!H359="","",'Оперативный ввод'!H359)</f>
        <v/>
      </c>
      <c r="I359" s="172">
        <f>IF('Оперативный ввод'!I359="","",'Оперативный ввод'!I359)</f>
        <v/>
      </c>
      <c r="J359" s="172">
        <f>IF('Оперативный ввод'!J359="","",'Оперативный ввод'!J359)</f>
        <v/>
      </c>
      <c r="K359" s="172">
        <f>IF('Оперативный ввод'!K359="","",'Оперативный ввод'!K359)</f>
        <v/>
      </c>
      <c r="L359" s="172">
        <f>IF('Оперативный ввод'!L359="","",'Оперативный ввод'!L359)</f>
        <v/>
      </c>
      <c r="M359" s="172">
        <f>IF('Оперативный ввод'!M359="","",'Оперативный ввод'!M359)</f>
        <v/>
      </c>
      <c r="N359" s="172">
        <f>IF('Оперативный ввод'!N359="","",'Оперативный ввод'!N359)</f>
        <v/>
      </c>
      <c r="O359" s="172">
        <f>IF('Оперативный ввод'!O359="","",'Оперативный ввод'!O359)</f>
        <v/>
      </c>
      <c r="P359" s="205">
        <f>IF(AND(A359="",B359=""),"",IF(AND(A359&lt;&gt;"",B359&lt;&gt;"",C359&lt;&gt;"",D359&lt;&gt;"",F359&lt;&gt;"",G359&lt;&gt;"",H359&lt;&gt;"",ISERROR(SEARCH("по паспорту",G359)),ISERROR(SEARCH("по паспорту",H359)),I359&lt;&gt;"",J359&lt;&gt;"",K359&lt;&gt;"",L359&lt;&gt;"",M359&lt;&gt;""),"ГОТОВО","НЕ ГОТОВО"))</f>
        <v/>
      </c>
      <c r="Q359" s="205">
        <f>IF(P359&lt;&gt;"ГОТОВО","", "Предварительное заключение: "&amp;A359&amp;", скв. "&amp;B359&amp;". МРП: "&amp;E359&amp;" сут. ГНО: "&amp;F359&amp;", типоразмер "&amp;G359&amp;", марка "&amp;H359&amp;". Событие: "&amp;I359&amp;". Признак: "&amp;J359&amp;". Узел: "&amp;K359&amp;". Предварительная причина: "&amp;L359&amp;". Основное осложнение: "&amp;M359&amp;IF(N359&lt;&gt;"","; сопутствующее: "&amp;N359,"")&amp;IF(O359&lt;&gt;"","; дополнительно: "&amp;O359,"")&amp;".")</f>
        <v/>
      </c>
      <c r="R359" s="172">
        <f>IF('Оперативный ввод'!P359="","",'Оперативный ввод'!P359)</f>
        <v/>
      </c>
      <c r="S359" s="172">
        <f>IF('Оперативный ввод'!Q359="","",'Оперативный ввод'!Q359)</f>
        <v/>
      </c>
      <c r="T359" s="172">
        <f>IF('Оперативный ввод'!R359="","",'Оперативный ввод'!R359)</f>
        <v/>
      </c>
      <c r="U359" s="172">
        <f>IF('Оперативный ввод'!S359="","",'Оперативный ввод'!S359)</f>
        <v/>
      </c>
      <c r="V359" s="172">
        <f>IF('Оперативный ввод'!T359="","",'Оперативный ввод'!T359)</f>
        <v/>
      </c>
      <c r="W359" s="172" t="n"/>
      <c r="X359" s="172" t="n"/>
      <c r="Y359" s="172" t="n"/>
      <c r="Z359" s="172" t="n"/>
      <c r="AA359" s="172">
        <f>IF('Оперативный ввод'!U359="","",'Оперативный ввод'!U359)</f>
        <v/>
      </c>
      <c r="AB359" s="172">
        <f>IF('Оперативный ввод'!V359="","",'Оперативный ввод'!V359)</f>
        <v/>
      </c>
      <c r="AC359" s="172">
        <f>IF('Оперативный ввод'!W359="","",'Оперативный ввод'!W359)</f>
        <v/>
      </c>
      <c r="BB359" s="172" t="n"/>
      <c r="BC359" s="172" t="n"/>
      <c r="BD359" s="205">
        <f>IF(AND(A359="",B359=""),"",IF(AND(P359="ГОТОВО",R359&lt;&gt;"",T359&lt;&gt;"",U359&lt;&gt;"",AA359&lt;&gt;"",AB359&lt;&gt;"",AC359&lt;&gt;"",BB359&lt;&gt;"",BC359&lt;&gt;""),"ГОТОВО","НЕ ГОТОВО"))</f>
        <v/>
      </c>
      <c r="BE359" s="205">
        <f>IF(BD359&lt;&gt;"ГОТОВО","","Полное заключение: "&amp;A359&amp;", скв. "&amp;B359&amp;". МРП: "&amp;E359&amp;" сут. ГНО: "&amp;F359&amp;"; причина: "&amp;U359&amp;"; категория: "&amp;V359&amp;"; решение комиссии: "&amp;BB359&amp;".")</f>
        <v/>
      </c>
      <c r="BF359" s="173">
        <f>IF('Оперативный ввод'!X359="","",'Оперативный ввод'!X359)</f>
        <v/>
      </c>
    </row>
    <row r="360">
      <c r="A360" s="171">
        <f>IF('Оперативный ввод'!A360="","",'Оперативный ввод'!A360)</f>
        <v/>
      </c>
      <c r="B360" s="172">
        <f>IF('Оперативный ввод'!B360="","",'Оперативный ввод'!B360)</f>
        <v/>
      </c>
      <c r="C360" s="270">
        <f>IF('Оперативный ввод'!C360="","",'Оперативный ввод'!C360)</f>
        <v/>
      </c>
      <c r="D360" s="270">
        <f>IF('Оперативный ввод'!D360="","",'Оперативный ввод'!D360)</f>
        <v/>
      </c>
      <c r="E360" s="271">
        <f>IF(OR(C360="",D360=""),"",D360-C360)</f>
        <v/>
      </c>
      <c r="F360" s="172">
        <f>IF('Оперативный ввод'!F360="","",'Оперативный ввод'!F360)</f>
        <v/>
      </c>
      <c r="G360" s="172">
        <f>IF('Оперативный ввод'!G360="","",'Оперативный ввод'!G360)</f>
        <v/>
      </c>
      <c r="H360" s="172">
        <f>IF('Оперативный ввод'!H360="","",'Оперативный ввод'!H360)</f>
        <v/>
      </c>
      <c r="I360" s="172">
        <f>IF('Оперативный ввод'!I360="","",'Оперативный ввод'!I360)</f>
        <v/>
      </c>
      <c r="J360" s="172">
        <f>IF('Оперативный ввод'!J360="","",'Оперативный ввод'!J360)</f>
        <v/>
      </c>
      <c r="K360" s="172">
        <f>IF('Оперативный ввод'!K360="","",'Оперативный ввод'!K360)</f>
        <v/>
      </c>
      <c r="L360" s="172">
        <f>IF('Оперативный ввод'!L360="","",'Оперативный ввод'!L360)</f>
        <v/>
      </c>
      <c r="M360" s="172">
        <f>IF('Оперативный ввод'!M360="","",'Оперативный ввод'!M360)</f>
        <v/>
      </c>
      <c r="N360" s="172">
        <f>IF('Оперативный ввод'!N360="","",'Оперативный ввод'!N360)</f>
        <v/>
      </c>
      <c r="O360" s="172">
        <f>IF('Оперативный ввод'!O360="","",'Оперативный ввод'!O360)</f>
        <v/>
      </c>
      <c r="P360" s="205">
        <f>IF(AND(A360="",B360=""),"",IF(AND(A360&lt;&gt;"",B360&lt;&gt;"",C360&lt;&gt;"",D360&lt;&gt;"",F360&lt;&gt;"",G360&lt;&gt;"",H360&lt;&gt;"",ISERROR(SEARCH("по паспорту",G360)),ISERROR(SEARCH("по паспорту",H360)),I360&lt;&gt;"",J360&lt;&gt;"",K360&lt;&gt;"",L360&lt;&gt;"",M360&lt;&gt;""),"ГОТОВО","НЕ ГОТОВО"))</f>
        <v/>
      </c>
      <c r="Q360" s="205">
        <f>IF(P360&lt;&gt;"ГОТОВО","", "Предварительное заключение: "&amp;A360&amp;", скв. "&amp;B360&amp;". МРП: "&amp;E360&amp;" сут. ГНО: "&amp;F360&amp;", типоразмер "&amp;G360&amp;", марка "&amp;H360&amp;". Событие: "&amp;I360&amp;". Признак: "&amp;J360&amp;". Узел: "&amp;K360&amp;". Предварительная причина: "&amp;L360&amp;". Основное осложнение: "&amp;M360&amp;IF(N360&lt;&gt;"","; сопутствующее: "&amp;N360,"")&amp;IF(O360&lt;&gt;"","; дополнительно: "&amp;O360,"")&amp;".")</f>
        <v/>
      </c>
      <c r="R360" s="172">
        <f>IF('Оперативный ввод'!P360="","",'Оперативный ввод'!P360)</f>
        <v/>
      </c>
      <c r="S360" s="172">
        <f>IF('Оперативный ввод'!Q360="","",'Оперативный ввод'!Q360)</f>
        <v/>
      </c>
      <c r="T360" s="172">
        <f>IF('Оперативный ввод'!R360="","",'Оперативный ввод'!R360)</f>
        <v/>
      </c>
      <c r="U360" s="172">
        <f>IF('Оперативный ввод'!S360="","",'Оперативный ввод'!S360)</f>
        <v/>
      </c>
      <c r="V360" s="172">
        <f>IF('Оперативный ввод'!T360="","",'Оперативный ввод'!T360)</f>
        <v/>
      </c>
      <c r="W360" s="172" t="n"/>
      <c r="X360" s="172" t="n"/>
      <c r="Y360" s="172" t="n"/>
      <c r="Z360" s="172" t="n"/>
      <c r="AA360" s="172">
        <f>IF('Оперативный ввод'!U360="","",'Оперативный ввод'!U360)</f>
        <v/>
      </c>
      <c r="AB360" s="172">
        <f>IF('Оперативный ввод'!V360="","",'Оперативный ввод'!V360)</f>
        <v/>
      </c>
      <c r="AC360" s="172">
        <f>IF('Оперативный ввод'!W360="","",'Оперативный ввод'!W360)</f>
        <v/>
      </c>
      <c r="BB360" s="172" t="n"/>
      <c r="BC360" s="172" t="n"/>
      <c r="BD360" s="205">
        <f>IF(AND(A360="",B360=""),"",IF(AND(P360="ГОТОВО",R360&lt;&gt;"",T360&lt;&gt;"",U360&lt;&gt;"",AA360&lt;&gt;"",AB360&lt;&gt;"",AC360&lt;&gt;"",BB360&lt;&gt;"",BC360&lt;&gt;""),"ГОТОВО","НЕ ГОТОВО"))</f>
        <v/>
      </c>
      <c r="BE360" s="205">
        <f>IF(BD360&lt;&gt;"ГОТОВО","","Полное заключение: "&amp;A360&amp;", скв. "&amp;B360&amp;". МРП: "&amp;E360&amp;" сут. ГНО: "&amp;F360&amp;"; причина: "&amp;U360&amp;"; категория: "&amp;V360&amp;"; решение комиссии: "&amp;BB360&amp;".")</f>
        <v/>
      </c>
      <c r="BF360" s="173">
        <f>IF('Оперативный ввод'!X360="","",'Оперативный ввод'!X360)</f>
        <v/>
      </c>
    </row>
    <row r="361">
      <c r="A361" s="171">
        <f>IF('Оперативный ввод'!A361="","",'Оперативный ввод'!A361)</f>
        <v/>
      </c>
      <c r="B361" s="172">
        <f>IF('Оперативный ввод'!B361="","",'Оперативный ввод'!B361)</f>
        <v/>
      </c>
      <c r="C361" s="270">
        <f>IF('Оперативный ввод'!C361="","",'Оперативный ввод'!C361)</f>
        <v/>
      </c>
      <c r="D361" s="270">
        <f>IF('Оперативный ввод'!D361="","",'Оперативный ввод'!D361)</f>
        <v/>
      </c>
      <c r="E361" s="271">
        <f>IF(OR(C361="",D361=""),"",D361-C361)</f>
        <v/>
      </c>
      <c r="F361" s="172">
        <f>IF('Оперативный ввод'!F361="","",'Оперативный ввод'!F361)</f>
        <v/>
      </c>
      <c r="G361" s="172">
        <f>IF('Оперативный ввод'!G361="","",'Оперативный ввод'!G361)</f>
        <v/>
      </c>
      <c r="H361" s="172">
        <f>IF('Оперативный ввод'!H361="","",'Оперативный ввод'!H361)</f>
        <v/>
      </c>
      <c r="I361" s="172">
        <f>IF('Оперативный ввод'!I361="","",'Оперативный ввод'!I361)</f>
        <v/>
      </c>
      <c r="J361" s="172">
        <f>IF('Оперативный ввод'!J361="","",'Оперативный ввод'!J361)</f>
        <v/>
      </c>
      <c r="K361" s="172">
        <f>IF('Оперативный ввод'!K361="","",'Оперативный ввод'!K361)</f>
        <v/>
      </c>
      <c r="L361" s="172">
        <f>IF('Оперативный ввод'!L361="","",'Оперативный ввод'!L361)</f>
        <v/>
      </c>
      <c r="M361" s="172">
        <f>IF('Оперативный ввод'!M361="","",'Оперативный ввод'!M361)</f>
        <v/>
      </c>
      <c r="N361" s="172">
        <f>IF('Оперативный ввод'!N361="","",'Оперативный ввод'!N361)</f>
        <v/>
      </c>
      <c r="O361" s="172">
        <f>IF('Оперативный ввод'!O361="","",'Оперативный ввод'!O361)</f>
        <v/>
      </c>
      <c r="P361" s="205">
        <f>IF(AND(A361="",B361=""),"",IF(AND(A361&lt;&gt;"",B361&lt;&gt;"",C361&lt;&gt;"",D361&lt;&gt;"",F361&lt;&gt;"",G361&lt;&gt;"",H361&lt;&gt;"",ISERROR(SEARCH("по паспорту",G361)),ISERROR(SEARCH("по паспорту",H361)),I361&lt;&gt;"",J361&lt;&gt;"",K361&lt;&gt;"",L361&lt;&gt;"",M361&lt;&gt;""),"ГОТОВО","НЕ ГОТОВО"))</f>
        <v/>
      </c>
      <c r="Q361" s="205">
        <f>IF(P361&lt;&gt;"ГОТОВО","", "Предварительное заключение: "&amp;A361&amp;", скв. "&amp;B361&amp;". МРП: "&amp;E361&amp;" сут. ГНО: "&amp;F361&amp;", типоразмер "&amp;G361&amp;", марка "&amp;H361&amp;". Событие: "&amp;I361&amp;". Признак: "&amp;J361&amp;". Узел: "&amp;K361&amp;". Предварительная причина: "&amp;L361&amp;". Основное осложнение: "&amp;M361&amp;IF(N361&lt;&gt;"","; сопутствующее: "&amp;N361,"")&amp;IF(O361&lt;&gt;"","; дополнительно: "&amp;O361,"")&amp;".")</f>
        <v/>
      </c>
      <c r="R361" s="172">
        <f>IF('Оперативный ввод'!P361="","",'Оперативный ввод'!P361)</f>
        <v/>
      </c>
      <c r="S361" s="172">
        <f>IF('Оперативный ввод'!Q361="","",'Оперативный ввод'!Q361)</f>
        <v/>
      </c>
      <c r="T361" s="172">
        <f>IF('Оперативный ввод'!R361="","",'Оперативный ввод'!R361)</f>
        <v/>
      </c>
      <c r="U361" s="172">
        <f>IF('Оперативный ввод'!S361="","",'Оперативный ввод'!S361)</f>
        <v/>
      </c>
      <c r="V361" s="172">
        <f>IF('Оперативный ввод'!T361="","",'Оперативный ввод'!T361)</f>
        <v/>
      </c>
      <c r="W361" s="172" t="n"/>
      <c r="X361" s="172" t="n"/>
      <c r="Y361" s="172" t="n"/>
      <c r="Z361" s="172" t="n"/>
      <c r="AA361" s="172">
        <f>IF('Оперативный ввод'!U361="","",'Оперативный ввод'!U361)</f>
        <v/>
      </c>
      <c r="AB361" s="172">
        <f>IF('Оперативный ввод'!V361="","",'Оперативный ввод'!V361)</f>
        <v/>
      </c>
      <c r="AC361" s="172">
        <f>IF('Оперативный ввод'!W361="","",'Оперативный ввод'!W361)</f>
        <v/>
      </c>
      <c r="BB361" s="172" t="n"/>
      <c r="BC361" s="172" t="n"/>
      <c r="BD361" s="205">
        <f>IF(AND(A361="",B361=""),"",IF(AND(P361="ГОТОВО",R361&lt;&gt;"",T361&lt;&gt;"",U361&lt;&gt;"",AA361&lt;&gt;"",AB361&lt;&gt;"",AC361&lt;&gt;"",BB361&lt;&gt;"",BC361&lt;&gt;""),"ГОТОВО","НЕ ГОТОВО"))</f>
        <v/>
      </c>
      <c r="BE361" s="205">
        <f>IF(BD361&lt;&gt;"ГОТОВО","","Полное заключение: "&amp;A361&amp;", скв. "&amp;B361&amp;". МРП: "&amp;E361&amp;" сут. ГНО: "&amp;F361&amp;"; причина: "&amp;U361&amp;"; категория: "&amp;V361&amp;"; решение комиссии: "&amp;BB361&amp;".")</f>
        <v/>
      </c>
      <c r="BF361" s="173">
        <f>IF('Оперативный ввод'!X361="","",'Оперативный ввод'!X361)</f>
        <v/>
      </c>
    </row>
    <row r="362">
      <c r="A362" s="171">
        <f>IF('Оперативный ввод'!A362="","",'Оперативный ввод'!A362)</f>
        <v/>
      </c>
      <c r="B362" s="172">
        <f>IF('Оперативный ввод'!B362="","",'Оперативный ввод'!B362)</f>
        <v/>
      </c>
      <c r="C362" s="270">
        <f>IF('Оперативный ввод'!C362="","",'Оперативный ввод'!C362)</f>
        <v/>
      </c>
      <c r="D362" s="270">
        <f>IF('Оперативный ввод'!D362="","",'Оперативный ввод'!D362)</f>
        <v/>
      </c>
      <c r="E362" s="271">
        <f>IF(OR(C362="",D362=""),"",D362-C362)</f>
        <v/>
      </c>
      <c r="F362" s="172">
        <f>IF('Оперативный ввод'!F362="","",'Оперативный ввод'!F362)</f>
        <v/>
      </c>
      <c r="G362" s="172">
        <f>IF('Оперативный ввод'!G362="","",'Оперативный ввод'!G362)</f>
        <v/>
      </c>
      <c r="H362" s="172">
        <f>IF('Оперативный ввод'!H362="","",'Оперативный ввод'!H362)</f>
        <v/>
      </c>
      <c r="I362" s="172">
        <f>IF('Оперативный ввод'!I362="","",'Оперативный ввод'!I362)</f>
        <v/>
      </c>
      <c r="J362" s="172">
        <f>IF('Оперативный ввод'!J362="","",'Оперативный ввод'!J362)</f>
        <v/>
      </c>
      <c r="K362" s="172">
        <f>IF('Оперативный ввод'!K362="","",'Оперативный ввод'!K362)</f>
        <v/>
      </c>
      <c r="L362" s="172">
        <f>IF('Оперативный ввод'!L362="","",'Оперативный ввод'!L362)</f>
        <v/>
      </c>
      <c r="M362" s="172">
        <f>IF('Оперативный ввод'!M362="","",'Оперативный ввод'!M362)</f>
        <v/>
      </c>
      <c r="N362" s="172">
        <f>IF('Оперативный ввод'!N362="","",'Оперативный ввод'!N362)</f>
        <v/>
      </c>
      <c r="O362" s="172">
        <f>IF('Оперативный ввод'!O362="","",'Оперативный ввод'!O362)</f>
        <v/>
      </c>
      <c r="P362" s="205">
        <f>IF(AND(A362="",B362=""),"",IF(AND(A362&lt;&gt;"",B362&lt;&gt;"",C362&lt;&gt;"",D362&lt;&gt;"",F362&lt;&gt;"",G362&lt;&gt;"",H362&lt;&gt;"",ISERROR(SEARCH("по паспорту",G362)),ISERROR(SEARCH("по паспорту",H362)),I362&lt;&gt;"",J362&lt;&gt;"",K362&lt;&gt;"",L362&lt;&gt;"",M362&lt;&gt;""),"ГОТОВО","НЕ ГОТОВО"))</f>
        <v/>
      </c>
      <c r="Q362" s="205">
        <f>IF(P362&lt;&gt;"ГОТОВО","", "Предварительное заключение: "&amp;A362&amp;", скв. "&amp;B362&amp;". МРП: "&amp;E362&amp;" сут. ГНО: "&amp;F362&amp;", типоразмер "&amp;G362&amp;", марка "&amp;H362&amp;". Событие: "&amp;I362&amp;". Признак: "&amp;J362&amp;". Узел: "&amp;K362&amp;". Предварительная причина: "&amp;L362&amp;". Основное осложнение: "&amp;M362&amp;IF(N362&lt;&gt;"","; сопутствующее: "&amp;N362,"")&amp;IF(O362&lt;&gt;"","; дополнительно: "&amp;O362,"")&amp;".")</f>
        <v/>
      </c>
      <c r="R362" s="172">
        <f>IF('Оперативный ввод'!P362="","",'Оперативный ввод'!P362)</f>
        <v/>
      </c>
      <c r="S362" s="172">
        <f>IF('Оперативный ввод'!Q362="","",'Оперативный ввод'!Q362)</f>
        <v/>
      </c>
      <c r="T362" s="172">
        <f>IF('Оперативный ввод'!R362="","",'Оперативный ввод'!R362)</f>
        <v/>
      </c>
      <c r="U362" s="172">
        <f>IF('Оперативный ввод'!S362="","",'Оперативный ввод'!S362)</f>
        <v/>
      </c>
      <c r="V362" s="172">
        <f>IF('Оперативный ввод'!T362="","",'Оперативный ввод'!T362)</f>
        <v/>
      </c>
      <c r="W362" s="172" t="n"/>
      <c r="X362" s="172" t="n"/>
      <c r="Y362" s="172" t="n"/>
      <c r="Z362" s="172" t="n"/>
      <c r="AA362" s="172">
        <f>IF('Оперативный ввод'!U362="","",'Оперативный ввод'!U362)</f>
        <v/>
      </c>
      <c r="AB362" s="172">
        <f>IF('Оперативный ввод'!V362="","",'Оперативный ввод'!V362)</f>
        <v/>
      </c>
      <c r="AC362" s="172">
        <f>IF('Оперативный ввод'!W362="","",'Оперативный ввод'!W362)</f>
        <v/>
      </c>
      <c r="BB362" s="172" t="n"/>
      <c r="BC362" s="172" t="n"/>
      <c r="BD362" s="205">
        <f>IF(AND(A362="",B362=""),"",IF(AND(P362="ГОТОВО",R362&lt;&gt;"",T362&lt;&gt;"",U362&lt;&gt;"",AA362&lt;&gt;"",AB362&lt;&gt;"",AC362&lt;&gt;"",BB362&lt;&gt;"",BC362&lt;&gt;""),"ГОТОВО","НЕ ГОТОВО"))</f>
        <v/>
      </c>
      <c r="BE362" s="205">
        <f>IF(BD362&lt;&gt;"ГОТОВО","","Полное заключение: "&amp;A362&amp;", скв. "&amp;B362&amp;". МРП: "&amp;E362&amp;" сут. ГНО: "&amp;F362&amp;"; причина: "&amp;U362&amp;"; категория: "&amp;V362&amp;"; решение комиссии: "&amp;BB362&amp;".")</f>
        <v/>
      </c>
      <c r="BF362" s="173">
        <f>IF('Оперативный ввод'!X362="","",'Оперативный ввод'!X362)</f>
        <v/>
      </c>
    </row>
    <row r="363">
      <c r="A363" s="171">
        <f>IF('Оперативный ввод'!A363="","",'Оперативный ввод'!A363)</f>
        <v/>
      </c>
      <c r="B363" s="172">
        <f>IF('Оперативный ввод'!B363="","",'Оперативный ввод'!B363)</f>
        <v/>
      </c>
      <c r="C363" s="270">
        <f>IF('Оперативный ввод'!C363="","",'Оперативный ввод'!C363)</f>
        <v/>
      </c>
      <c r="D363" s="270">
        <f>IF('Оперативный ввод'!D363="","",'Оперативный ввод'!D363)</f>
        <v/>
      </c>
      <c r="E363" s="271">
        <f>IF(OR(C363="",D363=""),"",D363-C363)</f>
        <v/>
      </c>
      <c r="F363" s="172">
        <f>IF('Оперативный ввод'!F363="","",'Оперативный ввод'!F363)</f>
        <v/>
      </c>
      <c r="G363" s="172">
        <f>IF('Оперативный ввод'!G363="","",'Оперативный ввод'!G363)</f>
        <v/>
      </c>
      <c r="H363" s="172">
        <f>IF('Оперативный ввод'!H363="","",'Оперативный ввод'!H363)</f>
        <v/>
      </c>
      <c r="I363" s="172">
        <f>IF('Оперативный ввод'!I363="","",'Оперативный ввод'!I363)</f>
        <v/>
      </c>
      <c r="J363" s="172">
        <f>IF('Оперативный ввод'!J363="","",'Оперативный ввод'!J363)</f>
        <v/>
      </c>
      <c r="K363" s="172">
        <f>IF('Оперативный ввод'!K363="","",'Оперативный ввод'!K363)</f>
        <v/>
      </c>
      <c r="L363" s="172">
        <f>IF('Оперативный ввод'!L363="","",'Оперативный ввод'!L363)</f>
        <v/>
      </c>
      <c r="M363" s="172">
        <f>IF('Оперативный ввод'!M363="","",'Оперативный ввод'!M363)</f>
        <v/>
      </c>
      <c r="N363" s="172">
        <f>IF('Оперативный ввод'!N363="","",'Оперативный ввод'!N363)</f>
        <v/>
      </c>
      <c r="O363" s="172">
        <f>IF('Оперативный ввод'!O363="","",'Оперативный ввод'!O363)</f>
        <v/>
      </c>
      <c r="P363" s="205">
        <f>IF(AND(A363="",B363=""),"",IF(AND(A363&lt;&gt;"",B363&lt;&gt;"",C363&lt;&gt;"",D363&lt;&gt;"",F363&lt;&gt;"",G363&lt;&gt;"",H363&lt;&gt;"",ISERROR(SEARCH("по паспорту",G363)),ISERROR(SEARCH("по паспорту",H363)),I363&lt;&gt;"",J363&lt;&gt;"",K363&lt;&gt;"",L363&lt;&gt;"",M363&lt;&gt;""),"ГОТОВО","НЕ ГОТОВО"))</f>
        <v/>
      </c>
      <c r="Q363" s="205">
        <f>IF(P363&lt;&gt;"ГОТОВО","", "Предварительное заключение: "&amp;A363&amp;", скв. "&amp;B363&amp;". МРП: "&amp;E363&amp;" сут. ГНО: "&amp;F363&amp;", типоразмер "&amp;G363&amp;", марка "&amp;H363&amp;". Событие: "&amp;I363&amp;". Признак: "&amp;J363&amp;". Узел: "&amp;K363&amp;". Предварительная причина: "&amp;L363&amp;". Основное осложнение: "&amp;M363&amp;IF(N363&lt;&gt;"","; сопутствующее: "&amp;N363,"")&amp;IF(O363&lt;&gt;"","; дополнительно: "&amp;O363,"")&amp;".")</f>
        <v/>
      </c>
      <c r="R363" s="172">
        <f>IF('Оперативный ввод'!P363="","",'Оперативный ввод'!P363)</f>
        <v/>
      </c>
      <c r="S363" s="172">
        <f>IF('Оперативный ввод'!Q363="","",'Оперативный ввод'!Q363)</f>
        <v/>
      </c>
      <c r="T363" s="172">
        <f>IF('Оперативный ввод'!R363="","",'Оперативный ввод'!R363)</f>
        <v/>
      </c>
      <c r="U363" s="172">
        <f>IF('Оперативный ввод'!S363="","",'Оперативный ввод'!S363)</f>
        <v/>
      </c>
      <c r="V363" s="172">
        <f>IF('Оперативный ввод'!T363="","",'Оперативный ввод'!T363)</f>
        <v/>
      </c>
      <c r="W363" s="172" t="n"/>
      <c r="X363" s="172" t="n"/>
      <c r="Y363" s="172" t="n"/>
      <c r="Z363" s="172" t="n"/>
      <c r="AA363" s="172">
        <f>IF('Оперативный ввод'!U363="","",'Оперативный ввод'!U363)</f>
        <v/>
      </c>
      <c r="AB363" s="172">
        <f>IF('Оперативный ввод'!V363="","",'Оперативный ввод'!V363)</f>
        <v/>
      </c>
      <c r="AC363" s="172">
        <f>IF('Оперативный ввод'!W363="","",'Оперативный ввод'!W363)</f>
        <v/>
      </c>
      <c r="BB363" s="172" t="n"/>
      <c r="BC363" s="172" t="n"/>
      <c r="BD363" s="205">
        <f>IF(AND(A363="",B363=""),"",IF(AND(P363="ГОТОВО",R363&lt;&gt;"",T363&lt;&gt;"",U363&lt;&gt;"",AA363&lt;&gt;"",AB363&lt;&gt;"",AC363&lt;&gt;"",BB363&lt;&gt;"",BC363&lt;&gt;""),"ГОТОВО","НЕ ГОТОВО"))</f>
        <v/>
      </c>
      <c r="BE363" s="205">
        <f>IF(BD363&lt;&gt;"ГОТОВО","","Полное заключение: "&amp;A363&amp;", скв. "&amp;B363&amp;". МРП: "&amp;E363&amp;" сут. ГНО: "&amp;F363&amp;"; причина: "&amp;U363&amp;"; категория: "&amp;V363&amp;"; решение комиссии: "&amp;BB363&amp;".")</f>
        <v/>
      </c>
      <c r="BF363" s="173">
        <f>IF('Оперативный ввод'!X363="","",'Оперативный ввод'!X363)</f>
        <v/>
      </c>
    </row>
    <row r="364">
      <c r="A364" s="171">
        <f>IF('Оперативный ввод'!A364="","",'Оперативный ввод'!A364)</f>
        <v/>
      </c>
      <c r="B364" s="172">
        <f>IF('Оперативный ввод'!B364="","",'Оперативный ввод'!B364)</f>
        <v/>
      </c>
      <c r="C364" s="270">
        <f>IF('Оперативный ввод'!C364="","",'Оперативный ввод'!C364)</f>
        <v/>
      </c>
      <c r="D364" s="270">
        <f>IF('Оперативный ввод'!D364="","",'Оперативный ввод'!D364)</f>
        <v/>
      </c>
      <c r="E364" s="271">
        <f>IF(OR(C364="",D364=""),"",D364-C364)</f>
        <v/>
      </c>
      <c r="F364" s="172">
        <f>IF('Оперативный ввод'!F364="","",'Оперативный ввод'!F364)</f>
        <v/>
      </c>
      <c r="G364" s="172">
        <f>IF('Оперативный ввод'!G364="","",'Оперативный ввод'!G364)</f>
        <v/>
      </c>
      <c r="H364" s="172">
        <f>IF('Оперативный ввод'!H364="","",'Оперативный ввод'!H364)</f>
        <v/>
      </c>
      <c r="I364" s="172">
        <f>IF('Оперативный ввод'!I364="","",'Оперативный ввод'!I364)</f>
        <v/>
      </c>
      <c r="J364" s="172">
        <f>IF('Оперативный ввод'!J364="","",'Оперативный ввод'!J364)</f>
        <v/>
      </c>
      <c r="K364" s="172">
        <f>IF('Оперативный ввод'!K364="","",'Оперативный ввод'!K364)</f>
        <v/>
      </c>
      <c r="L364" s="172">
        <f>IF('Оперативный ввод'!L364="","",'Оперативный ввод'!L364)</f>
        <v/>
      </c>
      <c r="M364" s="172">
        <f>IF('Оперативный ввод'!M364="","",'Оперативный ввод'!M364)</f>
        <v/>
      </c>
      <c r="N364" s="172">
        <f>IF('Оперативный ввод'!N364="","",'Оперативный ввод'!N364)</f>
        <v/>
      </c>
      <c r="O364" s="172">
        <f>IF('Оперативный ввод'!O364="","",'Оперативный ввод'!O364)</f>
        <v/>
      </c>
      <c r="P364" s="205">
        <f>IF(AND(A364="",B364=""),"",IF(AND(A364&lt;&gt;"",B364&lt;&gt;"",C364&lt;&gt;"",D364&lt;&gt;"",F364&lt;&gt;"",G364&lt;&gt;"",H364&lt;&gt;"",ISERROR(SEARCH("по паспорту",G364)),ISERROR(SEARCH("по паспорту",H364)),I364&lt;&gt;"",J364&lt;&gt;"",K364&lt;&gt;"",L364&lt;&gt;"",M364&lt;&gt;""),"ГОТОВО","НЕ ГОТОВО"))</f>
        <v/>
      </c>
      <c r="Q364" s="205">
        <f>IF(P364&lt;&gt;"ГОТОВО","", "Предварительное заключение: "&amp;A364&amp;", скв. "&amp;B364&amp;". МРП: "&amp;E364&amp;" сут. ГНО: "&amp;F364&amp;", типоразмер "&amp;G364&amp;", марка "&amp;H364&amp;". Событие: "&amp;I364&amp;". Признак: "&amp;J364&amp;". Узел: "&amp;K364&amp;". Предварительная причина: "&amp;L364&amp;". Основное осложнение: "&amp;M364&amp;IF(N364&lt;&gt;"","; сопутствующее: "&amp;N364,"")&amp;IF(O364&lt;&gt;"","; дополнительно: "&amp;O364,"")&amp;".")</f>
        <v/>
      </c>
      <c r="R364" s="172">
        <f>IF('Оперативный ввод'!P364="","",'Оперативный ввод'!P364)</f>
        <v/>
      </c>
      <c r="S364" s="172">
        <f>IF('Оперативный ввод'!Q364="","",'Оперативный ввод'!Q364)</f>
        <v/>
      </c>
      <c r="T364" s="172">
        <f>IF('Оперативный ввод'!R364="","",'Оперативный ввод'!R364)</f>
        <v/>
      </c>
      <c r="U364" s="172">
        <f>IF('Оперативный ввод'!S364="","",'Оперативный ввод'!S364)</f>
        <v/>
      </c>
      <c r="V364" s="172">
        <f>IF('Оперативный ввод'!T364="","",'Оперативный ввод'!T364)</f>
        <v/>
      </c>
      <c r="W364" s="172" t="n"/>
      <c r="X364" s="172" t="n"/>
      <c r="Y364" s="172" t="n"/>
      <c r="Z364" s="172" t="n"/>
      <c r="AA364" s="172">
        <f>IF('Оперативный ввод'!U364="","",'Оперативный ввод'!U364)</f>
        <v/>
      </c>
      <c r="AB364" s="172">
        <f>IF('Оперативный ввод'!V364="","",'Оперативный ввод'!V364)</f>
        <v/>
      </c>
      <c r="AC364" s="172">
        <f>IF('Оперативный ввод'!W364="","",'Оперативный ввод'!W364)</f>
        <v/>
      </c>
      <c r="BB364" s="172" t="n"/>
      <c r="BC364" s="172" t="n"/>
      <c r="BD364" s="205">
        <f>IF(AND(A364="",B364=""),"",IF(AND(P364="ГОТОВО",R364&lt;&gt;"",T364&lt;&gt;"",U364&lt;&gt;"",AA364&lt;&gt;"",AB364&lt;&gt;"",AC364&lt;&gt;"",BB364&lt;&gt;"",BC364&lt;&gt;""),"ГОТОВО","НЕ ГОТОВО"))</f>
        <v/>
      </c>
      <c r="BE364" s="205">
        <f>IF(BD364&lt;&gt;"ГОТОВО","","Полное заключение: "&amp;A364&amp;", скв. "&amp;B364&amp;". МРП: "&amp;E364&amp;" сут. ГНО: "&amp;F364&amp;"; причина: "&amp;U364&amp;"; категория: "&amp;V364&amp;"; решение комиссии: "&amp;BB364&amp;".")</f>
        <v/>
      </c>
      <c r="BF364" s="173">
        <f>IF('Оперативный ввод'!X364="","",'Оперативный ввод'!X364)</f>
        <v/>
      </c>
    </row>
    <row r="365">
      <c r="A365" s="171">
        <f>IF('Оперативный ввод'!A365="","",'Оперативный ввод'!A365)</f>
        <v/>
      </c>
      <c r="B365" s="172">
        <f>IF('Оперативный ввод'!B365="","",'Оперативный ввод'!B365)</f>
        <v/>
      </c>
      <c r="C365" s="270">
        <f>IF('Оперативный ввод'!C365="","",'Оперативный ввод'!C365)</f>
        <v/>
      </c>
      <c r="D365" s="270">
        <f>IF('Оперативный ввод'!D365="","",'Оперативный ввод'!D365)</f>
        <v/>
      </c>
      <c r="E365" s="271">
        <f>IF(OR(C365="",D365=""),"",D365-C365)</f>
        <v/>
      </c>
      <c r="F365" s="172">
        <f>IF('Оперативный ввод'!F365="","",'Оперативный ввод'!F365)</f>
        <v/>
      </c>
      <c r="G365" s="172">
        <f>IF('Оперативный ввод'!G365="","",'Оперативный ввод'!G365)</f>
        <v/>
      </c>
      <c r="H365" s="172">
        <f>IF('Оперативный ввод'!H365="","",'Оперативный ввод'!H365)</f>
        <v/>
      </c>
      <c r="I365" s="172">
        <f>IF('Оперативный ввод'!I365="","",'Оперативный ввод'!I365)</f>
        <v/>
      </c>
      <c r="J365" s="172">
        <f>IF('Оперативный ввод'!J365="","",'Оперативный ввод'!J365)</f>
        <v/>
      </c>
      <c r="K365" s="172">
        <f>IF('Оперативный ввод'!K365="","",'Оперативный ввод'!K365)</f>
        <v/>
      </c>
      <c r="L365" s="172">
        <f>IF('Оперативный ввод'!L365="","",'Оперативный ввод'!L365)</f>
        <v/>
      </c>
      <c r="M365" s="172">
        <f>IF('Оперативный ввод'!M365="","",'Оперативный ввод'!M365)</f>
        <v/>
      </c>
      <c r="N365" s="172">
        <f>IF('Оперативный ввод'!N365="","",'Оперативный ввод'!N365)</f>
        <v/>
      </c>
      <c r="O365" s="172">
        <f>IF('Оперативный ввод'!O365="","",'Оперативный ввод'!O365)</f>
        <v/>
      </c>
      <c r="P365" s="205">
        <f>IF(AND(A365="",B365=""),"",IF(AND(A365&lt;&gt;"",B365&lt;&gt;"",C365&lt;&gt;"",D365&lt;&gt;"",F365&lt;&gt;"",G365&lt;&gt;"",H365&lt;&gt;"",ISERROR(SEARCH("по паспорту",G365)),ISERROR(SEARCH("по паспорту",H365)),I365&lt;&gt;"",J365&lt;&gt;"",K365&lt;&gt;"",L365&lt;&gt;"",M365&lt;&gt;""),"ГОТОВО","НЕ ГОТОВО"))</f>
        <v/>
      </c>
      <c r="Q365" s="205">
        <f>IF(P365&lt;&gt;"ГОТОВО","", "Предварительное заключение: "&amp;A365&amp;", скв. "&amp;B365&amp;". МРП: "&amp;E365&amp;" сут. ГНО: "&amp;F365&amp;", типоразмер "&amp;G365&amp;", марка "&amp;H365&amp;". Событие: "&amp;I365&amp;". Признак: "&amp;J365&amp;". Узел: "&amp;K365&amp;". Предварительная причина: "&amp;L365&amp;". Основное осложнение: "&amp;M365&amp;IF(N365&lt;&gt;"","; сопутствующее: "&amp;N365,"")&amp;IF(O365&lt;&gt;"","; дополнительно: "&amp;O365,"")&amp;".")</f>
        <v/>
      </c>
      <c r="R365" s="172">
        <f>IF('Оперативный ввод'!P365="","",'Оперативный ввод'!P365)</f>
        <v/>
      </c>
      <c r="S365" s="172">
        <f>IF('Оперативный ввод'!Q365="","",'Оперативный ввод'!Q365)</f>
        <v/>
      </c>
      <c r="T365" s="172">
        <f>IF('Оперативный ввод'!R365="","",'Оперативный ввод'!R365)</f>
        <v/>
      </c>
      <c r="U365" s="172">
        <f>IF('Оперативный ввод'!S365="","",'Оперативный ввод'!S365)</f>
        <v/>
      </c>
      <c r="V365" s="172">
        <f>IF('Оперативный ввод'!T365="","",'Оперативный ввод'!T365)</f>
        <v/>
      </c>
      <c r="W365" s="172" t="n"/>
      <c r="X365" s="172" t="n"/>
      <c r="Y365" s="172" t="n"/>
      <c r="Z365" s="172" t="n"/>
      <c r="AA365" s="172">
        <f>IF('Оперативный ввод'!U365="","",'Оперативный ввод'!U365)</f>
        <v/>
      </c>
      <c r="AB365" s="172">
        <f>IF('Оперативный ввод'!V365="","",'Оперативный ввод'!V365)</f>
        <v/>
      </c>
      <c r="AC365" s="172">
        <f>IF('Оперативный ввод'!W365="","",'Оперативный ввод'!W365)</f>
        <v/>
      </c>
      <c r="BB365" s="172" t="n"/>
      <c r="BC365" s="172" t="n"/>
      <c r="BD365" s="205">
        <f>IF(AND(A365="",B365=""),"",IF(AND(P365="ГОТОВО",R365&lt;&gt;"",T365&lt;&gt;"",U365&lt;&gt;"",AA365&lt;&gt;"",AB365&lt;&gt;"",AC365&lt;&gt;"",BB365&lt;&gt;"",BC365&lt;&gt;""),"ГОТОВО","НЕ ГОТОВО"))</f>
        <v/>
      </c>
      <c r="BE365" s="205">
        <f>IF(BD365&lt;&gt;"ГОТОВО","","Полное заключение: "&amp;A365&amp;", скв. "&amp;B365&amp;". МРП: "&amp;E365&amp;" сут. ГНО: "&amp;F365&amp;"; причина: "&amp;U365&amp;"; категория: "&amp;V365&amp;"; решение комиссии: "&amp;BB365&amp;".")</f>
        <v/>
      </c>
      <c r="BF365" s="173">
        <f>IF('Оперативный ввод'!X365="","",'Оперативный ввод'!X365)</f>
        <v/>
      </c>
    </row>
    <row r="366">
      <c r="A366" s="171">
        <f>IF('Оперативный ввод'!A366="","",'Оперативный ввод'!A366)</f>
        <v/>
      </c>
      <c r="B366" s="172">
        <f>IF('Оперативный ввод'!B366="","",'Оперативный ввод'!B366)</f>
        <v/>
      </c>
      <c r="C366" s="270">
        <f>IF('Оперативный ввод'!C366="","",'Оперативный ввод'!C366)</f>
        <v/>
      </c>
      <c r="D366" s="270">
        <f>IF('Оперативный ввод'!D366="","",'Оперативный ввод'!D366)</f>
        <v/>
      </c>
      <c r="E366" s="271">
        <f>IF(OR(C366="",D366=""),"",D366-C366)</f>
        <v/>
      </c>
      <c r="F366" s="172">
        <f>IF('Оперативный ввод'!F366="","",'Оперативный ввод'!F366)</f>
        <v/>
      </c>
      <c r="G366" s="172">
        <f>IF('Оперативный ввод'!G366="","",'Оперативный ввод'!G366)</f>
        <v/>
      </c>
      <c r="H366" s="172">
        <f>IF('Оперативный ввод'!H366="","",'Оперативный ввод'!H366)</f>
        <v/>
      </c>
      <c r="I366" s="172">
        <f>IF('Оперативный ввод'!I366="","",'Оперативный ввод'!I366)</f>
        <v/>
      </c>
      <c r="J366" s="172">
        <f>IF('Оперативный ввод'!J366="","",'Оперативный ввод'!J366)</f>
        <v/>
      </c>
      <c r="K366" s="172">
        <f>IF('Оперативный ввод'!K366="","",'Оперативный ввод'!K366)</f>
        <v/>
      </c>
      <c r="L366" s="172">
        <f>IF('Оперативный ввод'!L366="","",'Оперативный ввод'!L366)</f>
        <v/>
      </c>
      <c r="M366" s="172">
        <f>IF('Оперативный ввод'!M366="","",'Оперативный ввод'!M366)</f>
        <v/>
      </c>
      <c r="N366" s="172">
        <f>IF('Оперативный ввод'!N366="","",'Оперативный ввод'!N366)</f>
        <v/>
      </c>
      <c r="O366" s="172">
        <f>IF('Оперативный ввод'!O366="","",'Оперативный ввод'!O366)</f>
        <v/>
      </c>
      <c r="P366" s="205">
        <f>IF(AND(A366="",B366=""),"",IF(AND(A366&lt;&gt;"",B366&lt;&gt;"",C366&lt;&gt;"",D366&lt;&gt;"",F366&lt;&gt;"",G366&lt;&gt;"",H366&lt;&gt;"",ISERROR(SEARCH("по паспорту",G366)),ISERROR(SEARCH("по паспорту",H366)),I366&lt;&gt;"",J366&lt;&gt;"",K366&lt;&gt;"",L366&lt;&gt;"",M366&lt;&gt;""),"ГОТОВО","НЕ ГОТОВО"))</f>
        <v/>
      </c>
      <c r="Q366" s="205">
        <f>IF(P366&lt;&gt;"ГОТОВО","", "Предварительное заключение: "&amp;A366&amp;", скв. "&amp;B366&amp;". МРП: "&amp;E366&amp;" сут. ГНО: "&amp;F366&amp;", типоразмер "&amp;G366&amp;", марка "&amp;H366&amp;". Событие: "&amp;I366&amp;". Признак: "&amp;J366&amp;". Узел: "&amp;K366&amp;". Предварительная причина: "&amp;L366&amp;". Основное осложнение: "&amp;M366&amp;IF(N366&lt;&gt;"","; сопутствующее: "&amp;N366,"")&amp;IF(O366&lt;&gt;"","; дополнительно: "&amp;O366,"")&amp;".")</f>
        <v/>
      </c>
      <c r="R366" s="172">
        <f>IF('Оперативный ввод'!P366="","",'Оперативный ввод'!P366)</f>
        <v/>
      </c>
      <c r="S366" s="172">
        <f>IF('Оперативный ввод'!Q366="","",'Оперативный ввод'!Q366)</f>
        <v/>
      </c>
      <c r="T366" s="172">
        <f>IF('Оперативный ввод'!R366="","",'Оперативный ввод'!R366)</f>
        <v/>
      </c>
      <c r="U366" s="172">
        <f>IF('Оперативный ввод'!S366="","",'Оперативный ввод'!S366)</f>
        <v/>
      </c>
      <c r="V366" s="172">
        <f>IF('Оперативный ввод'!T366="","",'Оперативный ввод'!T366)</f>
        <v/>
      </c>
      <c r="W366" s="172" t="n"/>
      <c r="X366" s="172" t="n"/>
      <c r="Y366" s="172" t="n"/>
      <c r="Z366" s="172" t="n"/>
      <c r="AA366" s="172">
        <f>IF('Оперативный ввод'!U366="","",'Оперативный ввод'!U366)</f>
        <v/>
      </c>
      <c r="AB366" s="172">
        <f>IF('Оперативный ввод'!V366="","",'Оперативный ввод'!V366)</f>
        <v/>
      </c>
      <c r="AC366" s="172">
        <f>IF('Оперативный ввод'!W366="","",'Оперативный ввод'!W366)</f>
        <v/>
      </c>
      <c r="BB366" s="172" t="n"/>
      <c r="BC366" s="172" t="n"/>
      <c r="BD366" s="205">
        <f>IF(AND(A366="",B366=""),"",IF(AND(P366="ГОТОВО",R366&lt;&gt;"",T366&lt;&gt;"",U366&lt;&gt;"",AA366&lt;&gt;"",AB366&lt;&gt;"",AC366&lt;&gt;"",BB366&lt;&gt;"",BC366&lt;&gt;""),"ГОТОВО","НЕ ГОТОВО"))</f>
        <v/>
      </c>
      <c r="BE366" s="205">
        <f>IF(BD366&lt;&gt;"ГОТОВО","","Полное заключение: "&amp;A366&amp;", скв. "&amp;B366&amp;". МРП: "&amp;E366&amp;" сут. ГНО: "&amp;F366&amp;"; причина: "&amp;U366&amp;"; категория: "&amp;V366&amp;"; решение комиссии: "&amp;BB366&amp;".")</f>
        <v/>
      </c>
      <c r="BF366" s="173">
        <f>IF('Оперативный ввод'!X366="","",'Оперативный ввод'!X366)</f>
        <v/>
      </c>
    </row>
    <row r="367">
      <c r="A367" s="171">
        <f>IF('Оперативный ввод'!A367="","",'Оперативный ввод'!A367)</f>
        <v/>
      </c>
      <c r="B367" s="172">
        <f>IF('Оперативный ввод'!B367="","",'Оперативный ввод'!B367)</f>
        <v/>
      </c>
      <c r="C367" s="270">
        <f>IF('Оперативный ввод'!C367="","",'Оперативный ввод'!C367)</f>
        <v/>
      </c>
      <c r="D367" s="270">
        <f>IF('Оперативный ввод'!D367="","",'Оперативный ввод'!D367)</f>
        <v/>
      </c>
      <c r="E367" s="271">
        <f>IF(OR(C367="",D367=""),"",D367-C367)</f>
        <v/>
      </c>
      <c r="F367" s="172">
        <f>IF('Оперативный ввод'!F367="","",'Оперативный ввод'!F367)</f>
        <v/>
      </c>
      <c r="G367" s="172">
        <f>IF('Оперативный ввод'!G367="","",'Оперативный ввод'!G367)</f>
        <v/>
      </c>
      <c r="H367" s="172">
        <f>IF('Оперативный ввод'!H367="","",'Оперативный ввод'!H367)</f>
        <v/>
      </c>
      <c r="I367" s="172">
        <f>IF('Оперативный ввод'!I367="","",'Оперативный ввод'!I367)</f>
        <v/>
      </c>
      <c r="J367" s="172">
        <f>IF('Оперативный ввод'!J367="","",'Оперативный ввод'!J367)</f>
        <v/>
      </c>
      <c r="K367" s="172">
        <f>IF('Оперативный ввод'!K367="","",'Оперативный ввод'!K367)</f>
        <v/>
      </c>
      <c r="L367" s="172">
        <f>IF('Оперативный ввод'!L367="","",'Оперативный ввод'!L367)</f>
        <v/>
      </c>
      <c r="M367" s="172">
        <f>IF('Оперативный ввод'!M367="","",'Оперативный ввод'!M367)</f>
        <v/>
      </c>
      <c r="N367" s="172">
        <f>IF('Оперативный ввод'!N367="","",'Оперативный ввод'!N367)</f>
        <v/>
      </c>
      <c r="O367" s="172">
        <f>IF('Оперативный ввод'!O367="","",'Оперативный ввод'!O367)</f>
        <v/>
      </c>
      <c r="P367" s="205">
        <f>IF(AND(A367="",B367=""),"",IF(AND(A367&lt;&gt;"",B367&lt;&gt;"",C367&lt;&gt;"",D367&lt;&gt;"",F367&lt;&gt;"",G367&lt;&gt;"",H367&lt;&gt;"",ISERROR(SEARCH("по паспорту",G367)),ISERROR(SEARCH("по паспорту",H367)),I367&lt;&gt;"",J367&lt;&gt;"",K367&lt;&gt;"",L367&lt;&gt;"",M367&lt;&gt;""),"ГОТОВО","НЕ ГОТОВО"))</f>
        <v/>
      </c>
      <c r="Q367" s="205">
        <f>IF(P367&lt;&gt;"ГОТОВО","", "Предварительное заключение: "&amp;A367&amp;", скв. "&amp;B367&amp;". МРП: "&amp;E367&amp;" сут. ГНО: "&amp;F367&amp;", типоразмер "&amp;G367&amp;", марка "&amp;H367&amp;". Событие: "&amp;I367&amp;". Признак: "&amp;J367&amp;". Узел: "&amp;K367&amp;". Предварительная причина: "&amp;L367&amp;". Основное осложнение: "&amp;M367&amp;IF(N367&lt;&gt;"","; сопутствующее: "&amp;N367,"")&amp;IF(O367&lt;&gt;"","; дополнительно: "&amp;O367,"")&amp;".")</f>
        <v/>
      </c>
      <c r="R367" s="172">
        <f>IF('Оперативный ввод'!P367="","",'Оперативный ввод'!P367)</f>
        <v/>
      </c>
      <c r="S367" s="172">
        <f>IF('Оперативный ввод'!Q367="","",'Оперативный ввод'!Q367)</f>
        <v/>
      </c>
      <c r="T367" s="172">
        <f>IF('Оперативный ввод'!R367="","",'Оперативный ввод'!R367)</f>
        <v/>
      </c>
      <c r="U367" s="172">
        <f>IF('Оперативный ввод'!S367="","",'Оперативный ввод'!S367)</f>
        <v/>
      </c>
      <c r="V367" s="172">
        <f>IF('Оперативный ввод'!T367="","",'Оперативный ввод'!T367)</f>
        <v/>
      </c>
      <c r="W367" s="172" t="n"/>
      <c r="X367" s="172" t="n"/>
      <c r="Y367" s="172" t="n"/>
      <c r="Z367" s="172" t="n"/>
      <c r="AA367" s="172">
        <f>IF('Оперативный ввод'!U367="","",'Оперативный ввод'!U367)</f>
        <v/>
      </c>
      <c r="AB367" s="172">
        <f>IF('Оперативный ввод'!V367="","",'Оперативный ввод'!V367)</f>
        <v/>
      </c>
      <c r="AC367" s="172">
        <f>IF('Оперативный ввод'!W367="","",'Оперативный ввод'!W367)</f>
        <v/>
      </c>
      <c r="BB367" s="172" t="n"/>
      <c r="BC367" s="172" t="n"/>
      <c r="BD367" s="205">
        <f>IF(AND(A367="",B367=""),"",IF(AND(P367="ГОТОВО",R367&lt;&gt;"",T367&lt;&gt;"",U367&lt;&gt;"",AA367&lt;&gt;"",AB367&lt;&gt;"",AC367&lt;&gt;"",BB367&lt;&gt;"",BC367&lt;&gt;""),"ГОТОВО","НЕ ГОТОВО"))</f>
        <v/>
      </c>
      <c r="BE367" s="205">
        <f>IF(BD367&lt;&gt;"ГОТОВО","","Полное заключение: "&amp;A367&amp;", скв. "&amp;B367&amp;". МРП: "&amp;E367&amp;" сут. ГНО: "&amp;F367&amp;"; причина: "&amp;U367&amp;"; категория: "&amp;V367&amp;"; решение комиссии: "&amp;BB367&amp;".")</f>
        <v/>
      </c>
      <c r="BF367" s="173">
        <f>IF('Оперативный ввод'!X367="","",'Оперативный ввод'!X367)</f>
        <v/>
      </c>
    </row>
    <row r="368">
      <c r="A368" s="171">
        <f>IF('Оперативный ввод'!A368="","",'Оперативный ввод'!A368)</f>
        <v/>
      </c>
      <c r="B368" s="172">
        <f>IF('Оперативный ввод'!B368="","",'Оперативный ввод'!B368)</f>
        <v/>
      </c>
      <c r="C368" s="270">
        <f>IF('Оперативный ввод'!C368="","",'Оперативный ввод'!C368)</f>
        <v/>
      </c>
      <c r="D368" s="270">
        <f>IF('Оперативный ввод'!D368="","",'Оперативный ввод'!D368)</f>
        <v/>
      </c>
      <c r="E368" s="271">
        <f>IF(OR(C368="",D368=""),"",D368-C368)</f>
        <v/>
      </c>
      <c r="F368" s="172">
        <f>IF('Оперативный ввод'!F368="","",'Оперативный ввод'!F368)</f>
        <v/>
      </c>
      <c r="G368" s="172">
        <f>IF('Оперативный ввод'!G368="","",'Оперативный ввод'!G368)</f>
        <v/>
      </c>
      <c r="H368" s="172">
        <f>IF('Оперативный ввод'!H368="","",'Оперативный ввод'!H368)</f>
        <v/>
      </c>
      <c r="I368" s="172">
        <f>IF('Оперативный ввод'!I368="","",'Оперативный ввод'!I368)</f>
        <v/>
      </c>
      <c r="J368" s="172">
        <f>IF('Оперативный ввод'!J368="","",'Оперативный ввод'!J368)</f>
        <v/>
      </c>
      <c r="K368" s="172">
        <f>IF('Оперативный ввод'!K368="","",'Оперативный ввод'!K368)</f>
        <v/>
      </c>
      <c r="L368" s="172">
        <f>IF('Оперативный ввод'!L368="","",'Оперативный ввод'!L368)</f>
        <v/>
      </c>
      <c r="M368" s="172">
        <f>IF('Оперативный ввод'!M368="","",'Оперативный ввод'!M368)</f>
        <v/>
      </c>
      <c r="N368" s="172">
        <f>IF('Оперативный ввод'!N368="","",'Оперативный ввод'!N368)</f>
        <v/>
      </c>
      <c r="O368" s="172">
        <f>IF('Оперативный ввод'!O368="","",'Оперативный ввод'!O368)</f>
        <v/>
      </c>
      <c r="P368" s="205">
        <f>IF(AND(A368="",B368=""),"",IF(AND(A368&lt;&gt;"",B368&lt;&gt;"",C368&lt;&gt;"",D368&lt;&gt;"",F368&lt;&gt;"",G368&lt;&gt;"",H368&lt;&gt;"",ISERROR(SEARCH("по паспорту",G368)),ISERROR(SEARCH("по паспорту",H368)),I368&lt;&gt;"",J368&lt;&gt;"",K368&lt;&gt;"",L368&lt;&gt;"",M368&lt;&gt;""),"ГОТОВО","НЕ ГОТОВО"))</f>
        <v/>
      </c>
      <c r="Q368" s="205">
        <f>IF(P368&lt;&gt;"ГОТОВО","", "Предварительное заключение: "&amp;A368&amp;", скв. "&amp;B368&amp;". МРП: "&amp;E368&amp;" сут. ГНО: "&amp;F368&amp;", типоразмер "&amp;G368&amp;", марка "&amp;H368&amp;". Событие: "&amp;I368&amp;". Признак: "&amp;J368&amp;". Узел: "&amp;K368&amp;". Предварительная причина: "&amp;L368&amp;". Основное осложнение: "&amp;M368&amp;IF(N368&lt;&gt;"","; сопутствующее: "&amp;N368,"")&amp;IF(O368&lt;&gt;"","; дополнительно: "&amp;O368,"")&amp;".")</f>
        <v/>
      </c>
      <c r="R368" s="172">
        <f>IF('Оперативный ввод'!P368="","",'Оперативный ввод'!P368)</f>
        <v/>
      </c>
      <c r="S368" s="172">
        <f>IF('Оперативный ввод'!Q368="","",'Оперативный ввод'!Q368)</f>
        <v/>
      </c>
      <c r="T368" s="172">
        <f>IF('Оперативный ввод'!R368="","",'Оперативный ввод'!R368)</f>
        <v/>
      </c>
      <c r="U368" s="172">
        <f>IF('Оперативный ввод'!S368="","",'Оперативный ввод'!S368)</f>
        <v/>
      </c>
      <c r="V368" s="172">
        <f>IF('Оперативный ввод'!T368="","",'Оперативный ввод'!T368)</f>
        <v/>
      </c>
      <c r="W368" s="172" t="n"/>
      <c r="X368" s="172" t="n"/>
      <c r="Y368" s="172" t="n"/>
      <c r="Z368" s="172" t="n"/>
      <c r="AA368" s="172">
        <f>IF('Оперативный ввод'!U368="","",'Оперативный ввод'!U368)</f>
        <v/>
      </c>
      <c r="AB368" s="172">
        <f>IF('Оперативный ввод'!V368="","",'Оперативный ввод'!V368)</f>
        <v/>
      </c>
      <c r="AC368" s="172">
        <f>IF('Оперативный ввод'!W368="","",'Оперативный ввод'!W368)</f>
        <v/>
      </c>
      <c r="BB368" s="172" t="n"/>
      <c r="BC368" s="172" t="n"/>
      <c r="BD368" s="205">
        <f>IF(AND(A368="",B368=""),"",IF(AND(P368="ГОТОВО",R368&lt;&gt;"",T368&lt;&gt;"",U368&lt;&gt;"",AA368&lt;&gt;"",AB368&lt;&gt;"",AC368&lt;&gt;"",BB368&lt;&gt;"",BC368&lt;&gt;""),"ГОТОВО","НЕ ГОТОВО"))</f>
        <v/>
      </c>
      <c r="BE368" s="205">
        <f>IF(BD368&lt;&gt;"ГОТОВО","","Полное заключение: "&amp;A368&amp;", скв. "&amp;B368&amp;". МРП: "&amp;E368&amp;" сут. ГНО: "&amp;F368&amp;"; причина: "&amp;U368&amp;"; категория: "&amp;V368&amp;"; решение комиссии: "&amp;BB368&amp;".")</f>
        <v/>
      </c>
      <c r="BF368" s="173">
        <f>IF('Оперативный ввод'!X368="","",'Оперативный ввод'!X368)</f>
        <v/>
      </c>
    </row>
    <row r="369">
      <c r="A369" s="171">
        <f>IF('Оперативный ввод'!A369="","",'Оперативный ввод'!A369)</f>
        <v/>
      </c>
      <c r="B369" s="172">
        <f>IF('Оперативный ввод'!B369="","",'Оперативный ввод'!B369)</f>
        <v/>
      </c>
      <c r="C369" s="270">
        <f>IF('Оперативный ввод'!C369="","",'Оперативный ввод'!C369)</f>
        <v/>
      </c>
      <c r="D369" s="270">
        <f>IF('Оперативный ввод'!D369="","",'Оперативный ввод'!D369)</f>
        <v/>
      </c>
      <c r="E369" s="271">
        <f>IF(OR(C369="",D369=""),"",D369-C369)</f>
        <v/>
      </c>
      <c r="F369" s="172">
        <f>IF('Оперативный ввод'!F369="","",'Оперативный ввод'!F369)</f>
        <v/>
      </c>
      <c r="G369" s="172">
        <f>IF('Оперативный ввод'!G369="","",'Оперативный ввод'!G369)</f>
        <v/>
      </c>
      <c r="H369" s="172">
        <f>IF('Оперативный ввод'!H369="","",'Оперативный ввод'!H369)</f>
        <v/>
      </c>
      <c r="I369" s="172">
        <f>IF('Оперативный ввод'!I369="","",'Оперативный ввод'!I369)</f>
        <v/>
      </c>
      <c r="J369" s="172">
        <f>IF('Оперативный ввод'!J369="","",'Оперативный ввод'!J369)</f>
        <v/>
      </c>
      <c r="K369" s="172">
        <f>IF('Оперативный ввод'!K369="","",'Оперативный ввод'!K369)</f>
        <v/>
      </c>
      <c r="L369" s="172">
        <f>IF('Оперативный ввод'!L369="","",'Оперативный ввод'!L369)</f>
        <v/>
      </c>
      <c r="M369" s="172">
        <f>IF('Оперативный ввод'!M369="","",'Оперативный ввод'!M369)</f>
        <v/>
      </c>
      <c r="N369" s="172">
        <f>IF('Оперативный ввод'!N369="","",'Оперативный ввод'!N369)</f>
        <v/>
      </c>
      <c r="O369" s="172">
        <f>IF('Оперативный ввод'!O369="","",'Оперативный ввод'!O369)</f>
        <v/>
      </c>
      <c r="P369" s="205">
        <f>IF(AND(A369="",B369=""),"",IF(AND(A369&lt;&gt;"",B369&lt;&gt;"",C369&lt;&gt;"",D369&lt;&gt;"",F369&lt;&gt;"",G369&lt;&gt;"",H369&lt;&gt;"",ISERROR(SEARCH("по паспорту",G369)),ISERROR(SEARCH("по паспорту",H369)),I369&lt;&gt;"",J369&lt;&gt;"",K369&lt;&gt;"",L369&lt;&gt;"",M369&lt;&gt;""),"ГОТОВО","НЕ ГОТОВО"))</f>
        <v/>
      </c>
      <c r="Q369" s="205">
        <f>IF(P369&lt;&gt;"ГОТОВО","", "Предварительное заключение: "&amp;A369&amp;", скв. "&amp;B369&amp;". МРП: "&amp;E369&amp;" сут. ГНО: "&amp;F369&amp;", типоразмер "&amp;G369&amp;", марка "&amp;H369&amp;". Событие: "&amp;I369&amp;". Признак: "&amp;J369&amp;". Узел: "&amp;K369&amp;". Предварительная причина: "&amp;L369&amp;". Основное осложнение: "&amp;M369&amp;IF(N369&lt;&gt;"","; сопутствующее: "&amp;N369,"")&amp;IF(O369&lt;&gt;"","; дополнительно: "&amp;O369,"")&amp;".")</f>
        <v/>
      </c>
      <c r="R369" s="172">
        <f>IF('Оперативный ввод'!P369="","",'Оперативный ввод'!P369)</f>
        <v/>
      </c>
      <c r="S369" s="172">
        <f>IF('Оперативный ввод'!Q369="","",'Оперативный ввод'!Q369)</f>
        <v/>
      </c>
      <c r="T369" s="172">
        <f>IF('Оперативный ввод'!R369="","",'Оперативный ввод'!R369)</f>
        <v/>
      </c>
      <c r="U369" s="172">
        <f>IF('Оперативный ввод'!S369="","",'Оперативный ввод'!S369)</f>
        <v/>
      </c>
      <c r="V369" s="172">
        <f>IF('Оперативный ввод'!T369="","",'Оперативный ввод'!T369)</f>
        <v/>
      </c>
      <c r="W369" s="172" t="n"/>
      <c r="X369" s="172" t="n"/>
      <c r="Y369" s="172" t="n"/>
      <c r="Z369" s="172" t="n"/>
      <c r="AA369" s="172">
        <f>IF('Оперативный ввод'!U369="","",'Оперативный ввод'!U369)</f>
        <v/>
      </c>
      <c r="AB369" s="172">
        <f>IF('Оперативный ввод'!V369="","",'Оперативный ввод'!V369)</f>
        <v/>
      </c>
      <c r="AC369" s="172">
        <f>IF('Оперативный ввод'!W369="","",'Оперативный ввод'!W369)</f>
        <v/>
      </c>
      <c r="BB369" s="172" t="n"/>
      <c r="BC369" s="172" t="n"/>
      <c r="BD369" s="205">
        <f>IF(AND(A369="",B369=""),"",IF(AND(P369="ГОТОВО",R369&lt;&gt;"",T369&lt;&gt;"",U369&lt;&gt;"",AA369&lt;&gt;"",AB369&lt;&gt;"",AC369&lt;&gt;"",BB369&lt;&gt;"",BC369&lt;&gt;""),"ГОТОВО","НЕ ГОТОВО"))</f>
        <v/>
      </c>
      <c r="BE369" s="205">
        <f>IF(BD369&lt;&gt;"ГОТОВО","","Полное заключение: "&amp;A369&amp;", скв. "&amp;B369&amp;". МРП: "&amp;E369&amp;" сут. ГНО: "&amp;F369&amp;"; причина: "&amp;U369&amp;"; категория: "&amp;V369&amp;"; решение комиссии: "&amp;BB369&amp;".")</f>
        <v/>
      </c>
      <c r="BF369" s="173">
        <f>IF('Оперативный ввод'!X369="","",'Оперативный ввод'!X369)</f>
        <v/>
      </c>
    </row>
    <row r="370">
      <c r="A370" s="171">
        <f>IF('Оперативный ввод'!A370="","",'Оперативный ввод'!A370)</f>
        <v/>
      </c>
      <c r="B370" s="172">
        <f>IF('Оперативный ввод'!B370="","",'Оперативный ввод'!B370)</f>
        <v/>
      </c>
      <c r="C370" s="270">
        <f>IF('Оперативный ввод'!C370="","",'Оперативный ввод'!C370)</f>
        <v/>
      </c>
      <c r="D370" s="270">
        <f>IF('Оперативный ввод'!D370="","",'Оперативный ввод'!D370)</f>
        <v/>
      </c>
      <c r="E370" s="271">
        <f>IF(OR(C370="",D370=""),"",D370-C370)</f>
        <v/>
      </c>
      <c r="F370" s="172">
        <f>IF('Оперативный ввод'!F370="","",'Оперативный ввод'!F370)</f>
        <v/>
      </c>
      <c r="G370" s="172">
        <f>IF('Оперативный ввод'!G370="","",'Оперативный ввод'!G370)</f>
        <v/>
      </c>
      <c r="H370" s="172">
        <f>IF('Оперативный ввод'!H370="","",'Оперативный ввод'!H370)</f>
        <v/>
      </c>
      <c r="I370" s="172">
        <f>IF('Оперативный ввод'!I370="","",'Оперативный ввод'!I370)</f>
        <v/>
      </c>
      <c r="J370" s="172">
        <f>IF('Оперативный ввод'!J370="","",'Оперативный ввод'!J370)</f>
        <v/>
      </c>
      <c r="K370" s="172">
        <f>IF('Оперативный ввод'!K370="","",'Оперативный ввод'!K370)</f>
        <v/>
      </c>
      <c r="L370" s="172">
        <f>IF('Оперативный ввод'!L370="","",'Оперативный ввод'!L370)</f>
        <v/>
      </c>
      <c r="M370" s="172">
        <f>IF('Оперативный ввод'!M370="","",'Оперативный ввод'!M370)</f>
        <v/>
      </c>
      <c r="N370" s="172">
        <f>IF('Оперативный ввод'!N370="","",'Оперативный ввод'!N370)</f>
        <v/>
      </c>
      <c r="O370" s="172">
        <f>IF('Оперативный ввод'!O370="","",'Оперативный ввод'!O370)</f>
        <v/>
      </c>
      <c r="P370" s="205">
        <f>IF(AND(A370="",B370=""),"",IF(AND(A370&lt;&gt;"",B370&lt;&gt;"",C370&lt;&gt;"",D370&lt;&gt;"",F370&lt;&gt;"",G370&lt;&gt;"",H370&lt;&gt;"",ISERROR(SEARCH("по паспорту",G370)),ISERROR(SEARCH("по паспорту",H370)),I370&lt;&gt;"",J370&lt;&gt;"",K370&lt;&gt;"",L370&lt;&gt;"",M370&lt;&gt;""),"ГОТОВО","НЕ ГОТОВО"))</f>
        <v/>
      </c>
      <c r="Q370" s="205">
        <f>IF(P370&lt;&gt;"ГОТОВО","", "Предварительное заключение: "&amp;A370&amp;", скв. "&amp;B370&amp;". МРП: "&amp;E370&amp;" сут. ГНО: "&amp;F370&amp;", типоразмер "&amp;G370&amp;", марка "&amp;H370&amp;". Событие: "&amp;I370&amp;". Признак: "&amp;J370&amp;". Узел: "&amp;K370&amp;". Предварительная причина: "&amp;L370&amp;". Основное осложнение: "&amp;M370&amp;IF(N370&lt;&gt;"","; сопутствующее: "&amp;N370,"")&amp;IF(O370&lt;&gt;"","; дополнительно: "&amp;O370,"")&amp;".")</f>
        <v/>
      </c>
      <c r="R370" s="172">
        <f>IF('Оперативный ввод'!P370="","",'Оперативный ввод'!P370)</f>
        <v/>
      </c>
      <c r="S370" s="172">
        <f>IF('Оперативный ввод'!Q370="","",'Оперативный ввод'!Q370)</f>
        <v/>
      </c>
      <c r="T370" s="172">
        <f>IF('Оперативный ввод'!R370="","",'Оперативный ввод'!R370)</f>
        <v/>
      </c>
      <c r="U370" s="172">
        <f>IF('Оперативный ввод'!S370="","",'Оперативный ввод'!S370)</f>
        <v/>
      </c>
      <c r="V370" s="172">
        <f>IF('Оперативный ввод'!T370="","",'Оперативный ввод'!T370)</f>
        <v/>
      </c>
      <c r="W370" s="172" t="n"/>
      <c r="X370" s="172" t="n"/>
      <c r="Y370" s="172" t="n"/>
      <c r="Z370" s="172" t="n"/>
      <c r="AA370" s="172">
        <f>IF('Оперативный ввод'!U370="","",'Оперативный ввод'!U370)</f>
        <v/>
      </c>
      <c r="AB370" s="172">
        <f>IF('Оперативный ввод'!V370="","",'Оперативный ввод'!V370)</f>
        <v/>
      </c>
      <c r="AC370" s="172">
        <f>IF('Оперативный ввод'!W370="","",'Оперативный ввод'!W370)</f>
        <v/>
      </c>
      <c r="BB370" s="172" t="n"/>
      <c r="BC370" s="172" t="n"/>
      <c r="BD370" s="205">
        <f>IF(AND(A370="",B370=""),"",IF(AND(P370="ГОТОВО",R370&lt;&gt;"",T370&lt;&gt;"",U370&lt;&gt;"",AA370&lt;&gt;"",AB370&lt;&gt;"",AC370&lt;&gt;"",BB370&lt;&gt;"",BC370&lt;&gt;""),"ГОТОВО","НЕ ГОТОВО"))</f>
        <v/>
      </c>
      <c r="BE370" s="205">
        <f>IF(BD370&lt;&gt;"ГОТОВО","","Полное заключение: "&amp;A370&amp;", скв. "&amp;B370&amp;". МРП: "&amp;E370&amp;" сут. ГНО: "&amp;F370&amp;"; причина: "&amp;U370&amp;"; категория: "&amp;V370&amp;"; решение комиссии: "&amp;BB370&amp;".")</f>
        <v/>
      </c>
      <c r="BF370" s="173">
        <f>IF('Оперативный ввод'!X370="","",'Оперативный ввод'!X370)</f>
        <v/>
      </c>
    </row>
    <row r="371">
      <c r="A371" s="171">
        <f>IF('Оперативный ввод'!A371="","",'Оперативный ввод'!A371)</f>
        <v/>
      </c>
      <c r="B371" s="172">
        <f>IF('Оперативный ввод'!B371="","",'Оперативный ввод'!B371)</f>
        <v/>
      </c>
      <c r="C371" s="270">
        <f>IF('Оперативный ввод'!C371="","",'Оперативный ввод'!C371)</f>
        <v/>
      </c>
      <c r="D371" s="270">
        <f>IF('Оперативный ввод'!D371="","",'Оперативный ввод'!D371)</f>
        <v/>
      </c>
      <c r="E371" s="271">
        <f>IF(OR(C371="",D371=""),"",D371-C371)</f>
        <v/>
      </c>
      <c r="F371" s="172">
        <f>IF('Оперативный ввод'!F371="","",'Оперативный ввод'!F371)</f>
        <v/>
      </c>
      <c r="G371" s="172">
        <f>IF('Оперативный ввод'!G371="","",'Оперативный ввод'!G371)</f>
        <v/>
      </c>
      <c r="H371" s="172">
        <f>IF('Оперативный ввод'!H371="","",'Оперативный ввод'!H371)</f>
        <v/>
      </c>
      <c r="I371" s="172">
        <f>IF('Оперативный ввод'!I371="","",'Оперативный ввод'!I371)</f>
        <v/>
      </c>
      <c r="J371" s="172">
        <f>IF('Оперативный ввод'!J371="","",'Оперативный ввод'!J371)</f>
        <v/>
      </c>
      <c r="K371" s="172">
        <f>IF('Оперативный ввод'!K371="","",'Оперативный ввод'!K371)</f>
        <v/>
      </c>
      <c r="L371" s="172">
        <f>IF('Оперативный ввод'!L371="","",'Оперативный ввод'!L371)</f>
        <v/>
      </c>
      <c r="M371" s="172">
        <f>IF('Оперативный ввод'!M371="","",'Оперативный ввод'!M371)</f>
        <v/>
      </c>
      <c r="N371" s="172">
        <f>IF('Оперативный ввод'!N371="","",'Оперативный ввод'!N371)</f>
        <v/>
      </c>
      <c r="O371" s="172">
        <f>IF('Оперативный ввод'!O371="","",'Оперативный ввод'!O371)</f>
        <v/>
      </c>
      <c r="P371" s="205">
        <f>IF(AND(A371="",B371=""),"",IF(AND(A371&lt;&gt;"",B371&lt;&gt;"",C371&lt;&gt;"",D371&lt;&gt;"",F371&lt;&gt;"",G371&lt;&gt;"",H371&lt;&gt;"",ISERROR(SEARCH("по паспорту",G371)),ISERROR(SEARCH("по паспорту",H371)),I371&lt;&gt;"",J371&lt;&gt;"",K371&lt;&gt;"",L371&lt;&gt;"",M371&lt;&gt;""),"ГОТОВО","НЕ ГОТОВО"))</f>
        <v/>
      </c>
      <c r="Q371" s="205">
        <f>IF(P371&lt;&gt;"ГОТОВО","", "Предварительное заключение: "&amp;A371&amp;", скв. "&amp;B371&amp;". МРП: "&amp;E371&amp;" сут. ГНО: "&amp;F371&amp;", типоразмер "&amp;G371&amp;", марка "&amp;H371&amp;". Событие: "&amp;I371&amp;". Признак: "&amp;J371&amp;". Узел: "&amp;K371&amp;". Предварительная причина: "&amp;L371&amp;". Основное осложнение: "&amp;M371&amp;IF(N371&lt;&gt;"","; сопутствующее: "&amp;N371,"")&amp;IF(O371&lt;&gt;"","; дополнительно: "&amp;O371,"")&amp;".")</f>
        <v/>
      </c>
      <c r="R371" s="172">
        <f>IF('Оперативный ввод'!P371="","",'Оперативный ввод'!P371)</f>
        <v/>
      </c>
      <c r="S371" s="172">
        <f>IF('Оперативный ввод'!Q371="","",'Оперативный ввод'!Q371)</f>
        <v/>
      </c>
      <c r="T371" s="172">
        <f>IF('Оперативный ввод'!R371="","",'Оперативный ввод'!R371)</f>
        <v/>
      </c>
      <c r="U371" s="172">
        <f>IF('Оперативный ввод'!S371="","",'Оперативный ввод'!S371)</f>
        <v/>
      </c>
      <c r="V371" s="172">
        <f>IF('Оперативный ввод'!T371="","",'Оперативный ввод'!T371)</f>
        <v/>
      </c>
      <c r="W371" s="172" t="n"/>
      <c r="X371" s="172" t="n"/>
      <c r="Y371" s="172" t="n"/>
      <c r="Z371" s="172" t="n"/>
      <c r="AA371" s="172">
        <f>IF('Оперативный ввод'!U371="","",'Оперативный ввод'!U371)</f>
        <v/>
      </c>
      <c r="AB371" s="172">
        <f>IF('Оперативный ввод'!V371="","",'Оперативный ввод'!V371)</f>
        <v/>
      </c>
      <c r="AC371" s="172">
        <f>IF('Оперативный ввод'!W371="","",'Оперативный ввод'!W371)</f>
        <v/>
      </c>
      <c r="BB371" s="172" t="n"/>
      <c r="BC371" s="172" t="n"/>
      <c r="BD371" s="205">
        <f>IF(AND(A371="",B371=""),"",IF(AND(P371="ГОТОВО",R371&lt;&gt;"",T371&lt;&gt;"",U371&lt;&gt;"",AA371&lt;&gt;"",AB371&lt;&gt;"",AC371&lt;&gt;"",BB371&lt;&gt;"",BC371&lt;&gt;""),"ГОТОВО","НЕ ГОТОВО"))</f>
        <v/>
      </c>
      <c r="BE371" s="205">
        <f>IF(BD371&lt;&gt;"ГОТОВО","","Полное заключение: "&amp;A371&amp;", скв. "&amp;B371&amp;". МРП: "&amp;E371&amp;" сут. ГНО: "&amp;F371&amp;"; причина: "&amp;U371&amp;"; категория: "&amp;V371&amp;"; решение комиссии: "&amp;BB371&amp;".")</f>
        <v/>
      </c>
      <c r="BF371" s="173">
        <f>IF('Оперативный ввод'!X371="","",'Оперативный ввод'!X371)</f>
        <v/>
      </c>
    </row>
    <row r="372">
      <c r="A372" s="171">
        <f>IF('Оперативный ввод'!A372="","",'Оперативный ввод'!A372)</f>
        <v/>
      </c>
      <c r="B372" s="172">
        <f>IF('Оперативный ввод'!B372="","",'Оперативный ввод'!B372)</f>
        <v/>
      </c>
      <c r="C372" s="270">
        <f>IF('Оперативный ввод'!C372="","",'Оперативный ввод'!C372)</f>
        <v/>
      </c>
      <c r="D372" s="270">
        <f>IF('Оперативный ввод'!D372="","",'Оперативный ввод'!D372)</f>
        <v/>
      </c>
      <c r="E372" s="271">
        <f>IF(OR(C372="",D372=""),"",D372-C372)</f>
        <v/>
      </c>
      <c r="F372" s="172">
        <f>IF('Оперативный ввод'!F372="","",'Оперативный ввод'!F372)</f>
        <v/>
      </c>
      <c r="G372" s="172">
        <f>IF('Оперативный ввод'!G372="","",'Оперативный ввод'!G372)</f>
        <v/>
      </c>
      <c r="H372" s="172">
        <f>IF('Оперативный ввод'!H372="","",'Оперативный ввод'!H372)</f>
        <v/>
      </c>
      <c r="I372" s="172">
        <f>IF('Оперативный ввод'!I372="","",'Оперативный ввод'!I372)</f>
        <v/>
      </c>
      <c r="J372" s="172">
        <f>IF('Оперативный ввод'!J372="","",'Оперативный ввод'!J372)</f>
        <v/>
      </c>
      <c r="K372" s="172">
        <f>IF('Оперативный ввод'!K372="","",'Оперативный ввод'!K372)</f>
        <v/>
      </c>
      <c r="L372" s="172">
        <f>IF('Оперативный ввод'!L372="","",'Оперативный ввод'!L372)</f>
        <v/>
      </c>
      <c r="M372" s="172">
        <f>IF('Оперативный ввод'!M372="","",'Оперативный ввод'!M372)</f>
        <v/>
      </c>
      <c r="N372" s="172">
        <f>IF('Оперативный ввод'!N372="","",'Оперативный ввод'!N372)</f>
        <v/>
      </c>
      <c r="O372" s="172">
        <f>IF('Оперативный ввод'!O372="","",'Оперативный ввод'!O372)</f>
        <v/>
      </c>
      <c r="P372" s="205">
        <f>IF(AND(A372="",B372=""),"",IF(AND(A372&lt;&gt;"",B372&lt;&gt;"",C372&lt;&gt;"",D372&lt;&gt;"",F372&lt;&gt;"",G372&lt;&gt;"",H372&lt;&gt;"",ISERROR(SEARCH("по паспорту",G372)),ISERROR(SEARCH("по паспорту",H372)),I372&lt;&gt;"",J372&lt;&gt;"",K372&lt;&gt;"",L372&lt;&gt;"",M372&lt;&gt;""),"ГОТОВО","НЕ ГОТОВО"))</f>
        <v/>
      </c>
      <c r="Q372" s="205">
        <f>IF(P372&lt;&gt;"ГОТОВО","", "Предварительное заключение: "&amp;A372&amp;", скв. "&amp;B372&amp;". МРП: "&amp;E372&amp;" сут. ГНО: "&amp;F372&amp;", типоразмер "&amp;G372&amp;", марка "&amp;H372&amp;". Событие: "&amp;I372&amp;". Признак: "&amp;J372&amp;". Узел: "&amp;K372&amp;". Предварительная причина: "&amp;L372&amp;". Основное осложнение: "&amp;M372&amp;IF(N372&lt;&gt;"","; сопутствующее: "&amp;N372,"")&amp;IF(O372&lt;&gt;"","; дополнительно: "&amp;O372,"")&amp;".")</f>
        <v/>
      </c>
      <c r="R372" s="172">
        <f>IF('Оперативный ввод'!P372="","",'Оперативный ввод'!P372)</f>
        <v/>
      </c>
      <c r="S372" s="172">
        <f>IF('Оперативный ввод'!Q372="","",'Оперативный ввод'!Q372)</f>
        <v/>
      </c>
      <c r="T372" s="172">
        <f>IF('Оперативный ввод'!R372="","",'Оперативный ввод'!R372)</f>
        <v/>
      </c>
      <c r="U372" s="172">
        <f>IF('Оперативный ввод'!S372="","",'Оперативный ввод'!S372)</f>
        <v/>
      </c>
      <c r="V372" s="172">
        <f>IF('Оперативный ввод'!T372="","",'Оперативный ввод'!T372)</f>
        <v/>
      </c>
      <c r="W372" s="172" t="n"/>
      <c r="X372" s="172" t="n"/>
      <c r="Y372" s="172" t="n"/>
      <c r="Z372" s="172" t="n"/>
      <c r="AA372" s="172">
        <f>IF('Оперативный ввод'!U372="","",'Оперативный ввод'!U372)</f>
        <v/>
      </c>
      <c r="AB372" s="172">
        <f>IF('Оперативный ввод'!V372="","",'Оперативный ввод'!V372)</f>
        <v/>
      </c>
      <c r="AC372" s="172">
        <f>IF('Оперативный ввод'!W372="","",'Оперативный ввод'!W372)</f>
        <v/>
      </c>
      <c r="BB372" s="172" t="n"/>
      <c r="BC372" s="172" t="n"/>
      <c r="BD372" s="205">
        <f>IF(AND(A372="",B372=""),"",IF(AND(P372="ГОТОВО",R372&lt;&gt;"",T372&lt;&gt;"",U372&lt;&gt;"",AA372&lt;&gt;"",AB372&lt;&gt;"",AC372&lt;&gt;"",BB372&lt;&gt;"",BC372&lt;&gt;""),"ГОТОВО","НЕ ГОТОВО"))</f>
        <v/>
      </c>
      <c r="BE372" s="205">
        <f>IF(BD372&lt;&gt;"ГОТОВО","","Полное заключение: "&amp;A372&amp;", скв. "&amp;B372&amp;". МРП: "&amp;E372&amp;" сут. ГНО: "&amp;F372&amp;"; причина: "&amp;U372&amp;"; категория: "&amp;V372&amp;"; решение комиссии: "&amp;BB372&amp;".")</f>
        <v/>
      </c>
      <c r="BF372" s="173">
        <f>IF('Оперативный ввод'!X372="","",'Оперативный ввод'!X372)</f>
        <v/>
      </c>
    </row>
    <row r="373">
      <c r="A373" s="171">
        <f>IF('Оперативный ввод'!A373="","",'Оперативный ввод'!A373)</f>
        <v/>
      </c>
      <c r="B373" s="172">
        <f>IF('Оперативный ввод'!B373="","",'Оперативный ввод'!B373)</f>
        <v/>
      </c>
      <c r="C373" s="270">
        <f>IF('Оперативный ввод'!C373="","",'Оперативный ввод'!C373)</f>
        <v/>
      </c>
      <c r="D373" s="270">
        <f>IF('Оперативный ввод'!D373="","",'Оперативный ввод'!D373)</f>
        <v/>
      </c>
      <c r="E373" s="271">
        <f>IF(OR(C373="",D373=""),"",D373-C373)</f>
        <v/>
      </c>
      <c r="F373" s="172">
        <f>IF('Оперативный ввод'!F373="","",'Оперативный ввод'!F373)</f>
        <v/>
      </c>
      <c r="G373" s="172">
        <f>IF('Оперативный ввод'!G373="","",'Оперативный ввод'!G373)</f>
        <v/>
      </c>
      <c r="H373" s="172">
        <f>IF('Оперативный ввод'!H373="","",'Оперативный ввод'!H373)</f>
        <v/>
      </c>
      <c r="I373" s="172">
        <f>IF('Оперативный ввод'!I373="","",'Оперативный ввод'!I373)</f>
        <v/>
      </c>
      <c r="J373" s="172">
        <f>IF('Оперативный ввод'!J373="","",'Оперативный ввод'!J373)</f>
        <v/>
      </c>
      <c r="K373" s="172">
        <f>IF('Оперативный ввод'!K373="","",'Оперативный ввод'!K373)</f>
        <v/>
      </c>
      <c r="L373" s="172">
        <f>IF('Оперативный ввод'!L373="","",'Оперативный ввод'!L373)</f>
        <v/>
      </c>
      <c r="M373" s="172">
        <f>IF('Оперативный ввод'!M373="","",'Оперативный ввод'!M373)</f>
        <v/>
      </c>
      <c r="N373" s="172">
        <f>IF('Оперативный ввод'!N373="","",'Оперативный ввод'!N373)</f>
        <v/>
      </c>
      <c r="O373" s="172">
        <f>IF('Оперативный ввод'!O373="","",'Оперативный ввод'!O373)</f>
        <v/>
      </c>
      <c r="P373" s="205">
        <f>IF(AND(A373="",B373=""),"",IF(AND(A373&lt;&gt;"",B373&lt;&gt;"",C373&lt;&gt;"",D373&lt;&gt;"",F373&lt;&gt;"",G373&lt;&gt;"",H373&lt;&gt;"",ISERROR(SEARCH("по паспорту",G373)),ISERROR(SEARCH("по паспорту",H373)),I373&lt;&gt;"",J373&lt;&gt;"",K373&lt;&gt;"",L373&lt;&gt;"",M373&lt;&gt;""),"ГОТОВО","НЕ ГОТОВО"))</f>
        <v/>
      </c>
      <c r="Q373" s="205">
        <f>IF(P373&lt;&gt;"ГОТОВО","", "Предварительное заключение: "&amp;A373&amp;", скв. "&amp;B373&amp;". МРП: "&amp;E373&amp;" сут. ГНО: "&amp;F373&amp;", типоразмер "&amp;G373&amp;", марка "&amp;H373&amp;". Событие: "&amp;I373&amp;". Признак: "&amp;J373&amp;". Узел: "&amp;K373&amp;". Предварительная причина: "&amp;L373&amp;". Основное осложнение: "&amp;M373&amp;IF(N373&lt;&gt;"","; сопутствующее: "&amp;N373,"")&amp;IF(O373&lt;&gt;"","; дополнительно: "&amp;O373,"")&amp;".")</f>
        <v/>
      </c>
      <c r="R373" s="172">
        <f>IF('Оперативный ввод'!P373="","",'Оперативный ввод'!P373)</f>
        <v/>
      </c>
      <c r="S373" s="172">
        <f>IF('Оперативный ввод'!Q373="","",'Оперативный ввод'!Q373)</f>
        <v/>
      </c>
      <c r="T373" s="172">
        <f>IF('Оперативный ввод'!R373="","",'Оперативный ввод'!R373)</f>
        <v/>
      </c>
      <c r="U373" s="172">
        <f>IF('Оперативный ввод'!S373="","",'Оперативный ввод'!S373)</f>
        <v/>
      </c>
      <c r="V373" s="172">
        <f>IF('Оперативный ввод'!T373="","",'Оперативный ввод'!T373)</f>
        <v/>
      </c>
      <c r="W373" s="172" t="n"/>
      <c r="X373" s="172" t="n"/>
      <c r="Y373" s="172" t="n"/>
      <c r="Z373" s="172" t="n"/>
      <c r="AA373" s="172">
        <f>IF('Оперативный ввод'!U373="","",'Оперативный ввод'!U373)</f>
        <v/>
      </c>
      <c r="AB373" s="172">
        <f>IF('Оперативный ввод'!V373="","",'Оперативный ввод'!V373)</f>
        <v/>
      </c>
      <c r="AC373" s="172">
        <f>IF('Оперативный ввод'!W373="","",'Оперативный ввод'!W373)</f>
        <v/>
      </c>
      <c r="BB373" s="172" t="n"/>
      <c r="BC373" s="172" t="n"/>
      <c r="BD373" s="205">
        <f>IF(AND(A373="",B373=""),"",IF(AND(P373="ГОТОВО",R373&lt;&gt;"",T373&lt;&gt;"",U373&lt;&gt;"",AA373&lt;&gt;"",AB373&lt;&gt;"",AC373&lt;&gt;"",BB373&lt;&gt;"",BC373&lt;&gt;""),"ГОТОВО","НЕ ГОТОВО"))</f>
        <v/>
      </c>
      <c r="BE373" s="205">
        <f>IF(BD373&lt;&gt;"ГОТОВО","","Полное заключение: "&amp;A373&amp;", скв. "&amp;B373&amp;". МРП: "&amp;E373&amp;" сут. ГНО: "&amp;F373&amp;"; причина: "&amp;U373&amp;"; категория: "&amp;V373&amp;"; решение комиссии: "&amp;BB373&amp;".")</f>
        <v/>
      </c>
      <c r="BF373" s="173">
        <f>IF('Оперативный ввод'!X373="","",'Оперативный ввод'!X373)</f>
        <v/>
      </c>
    </row>
    <row r="374">
      <c r="A374" s="171">
        <f>IF('Оперативный ввод'!A374="","",'Оперативный ввод'!A374)</f>
        <v/>
      </c>
      <c r="B374" s="172">
        <f>IF('Оперативный ввод'!B374="","",'Оперативный ввод'!B374)</f>
        <v/>
      </c>
      <c r="C374" s="270">
        <f>IF('Оперативный ввод'!C374="","",'Оперативный ввод'!C374)</f>
        <v/>
      </c>
      <c r="D374" s="270">
        <f>IF('Оперативный ввод'!D374="","",'Оперативный ввод'!D374)</f>
        <v/>
      </c>
      <c r="E374" s="271">
        <f>IF(OR(C374="",D374=""),"",D374-C374)</f>
        <v/>
      </c>
      <c r="F374" s="172">
        <f>IF('Оперативный ввод'!F374="","",'Оперативный ввод'!F374)</f>
        <v/>
      </c>
      <c r="G374" s="172">
        <f>IF('Оперативный ввод'!G374="","",'Оперативный ввод'!G374)</f>
        <v/>
      </c>
      <c r="H374" s="172">
        <f>IF('Оперативный ввод'!H374="","",'Оперативный ввод'!H374)</f>
        <v/>
      </c>
      <c r="I374" s="172">
        <f>IF('Оперативный ввод'!I374="","",'Оперативный ввод'!I374)</f>
        <v/>
      </c>
      <c r="J374" s="172">
        <f>IF('Оперативный ввод'!J374="","",'Оперативный ввод'!J374)</f>
        <v/>
      </c>
      <c r="K374" s="172">
        <f>IF('Оперативный ввод'!K374="","",'Оперативный ввод'!K374)</f>
        <v/>
      </c>
      <c r="L374" s="172">
        <f>IF('Оперативный ввод'!L374="","",'Оперативный ввод'!L374)</f>
        <v/>
      </c>
      <c r="M374" s="172">
        <f>IF('Оперативный ввод'!M374="","",'Оперативный ввод'!M374)</f>
        <v/>
      </c>
      <c r="N374" s="172">
        <f>IF('Оперативный ввод'!N374="","",'Оперативный ввод'!N374)</f>
        <v/>
      </c>
      <c r="O374" s="172">
        <f>IF('Оперативный ввод'!O374="","",'Оперативный ввод'!O374)</f>
        <v/>
      </c>
      <c r="P374" s="205">
        <f>IF(AND(A374="",B374=""),"",IF(AND(A374&lt;&gt;"",B374&lt;&gt;"",C374&lt;&gt;"",D374&lt;&gt;"",F374&lt;&gt;"",G374&lt;&gt;"",H374&lt;&gt;"",ISERROR(SEARCH("по паспорту",G374)),ISERROR(SEARCH("по паспорту",H374)),I374&lt;&gt;"",J374&lt;&gt;"",K374&lt;&gt;"",L374&lt;&gt;"",M374&lt;&gt;""),"ГОТОВО","НЕ ГОТОВО"))</f>
        <v/>
      </c>
      <c r="Q374" s="205">
        <f>IF(P374&lt;&gt;"ГОТОВО","", "Предварительное заключение: "&amp;A374&amp;", скв. "&amp;B374&amp;". МРП: "&amp;E374&amp;" сут. ГНО: "&amp;F374&amp;", типоразмер "&amp;G374&amp;", марка "&amp;H374&amp;". Событие: "&amp;I374&amp;". Признак: "&amp;J374&amp;". Узел: "&amp;K374&amp;". Предварительная причина: "&amp;L374&amp;". Основное осложнение: "&amp;M374&amp;IF(N374&lt;&gt;"","; сопутствующее: "&amp;N374,"")&amp;IF(O374&lt;&gt;"","; дополнительно: "&amp;O374,"")&amp;".")</f>
        <v/>
      </c>
      <c r="R374" s="172">
        <f>IF('Оперативный ввод'!P374="","",'Оперативный ввод'!P374)</f>
        <v/>
      </c>
      <c r="S374" s="172">
        <f>IF('Оперативный ввод'!Q374="","",'Оперативный ввод'!Q374)</f>
        <v/>
      </c>
      <c r="T374" s="172">
        <f>IF('Оперативный ввод'!R374="","",'Оперативный ввод'!R374)</f>
        <v/>
      </c>
      <c r="U374" s="172">
        <f>IF('Оперативный ввод'!S374="","",'Оперативный ввод'!S374)</f>
        <v/>
      </c>
      <c r="V374" s="172">
        <f>IF('Оперативный ввод'!T374="","",'Оперативный ввод'!T374)</f>
        <v/>
      </c>
      <c r="W374" s="172" t="n"/>
      <c r="X374" s="172" t="n"/>
      <c r="Y374" s="172" t="n"/>
      <c r="Z374" s="172" t="n"/>
      <c r="AA374" s="172">
        <f>IF('Оперативный ввод'!U374="","",'Оперативный ввод'!U374)</f>
        <v/>
      </c>
      <c r="AB374" s="172">
        <f>IF('Оперативный ввод'!V374="","",'Оперативный ввод'!V374)</f>
        <v/>
      </c>
      <c r="AC374" s="172">
        <f>IF('Оперативный ввод'!W374="","",'Оперативный ввод'!W374)</f>
        <v/>
      </c>
      <c r="BB374" s="172" t="n"/>
      <c r="BC374" s="172" t="n"/>
      <c r="BD374" s="205">
        <f>IF(AND(A374="",B374=""),"",IF(AND(P374="ГОТОВО",R374&lt;&gt;"",T374&lt;&gt;"",U374&lt;&gt;"",AA374&lt;&gt;"",AB374&lt;&gt;"",AC374&lt;&gt;"",BB374&lt;&gt;"",BC374&lt;&gt;""),"ГОТОВО","НЕ ГОТОВО"))</f>
        <v/>
      </c>
      <c r="BE374" s="205">
        <f>IF(BD374&lt;&gt;"ГОТОВО","","Полное заключение: "&amp;A374&amp;", скв. "&amp;B374&amp;". МРП: "&amp;E374&amp;" сут. ГНО: "&amp;F374&amp;"; причина: "&amp;U374&amp;"; категория: "&amp;V374&amp;"; решение комиссии: "&amp;BB374&amp;".")</f>
        <v/>
      </c>
      <c r="BF374" s="173">
        <f>IF('Оперативный ввод'!X374="","",'Оперативный ввод'!X374)</f>
        <v/>
      </c>
    </row>
    <row r="375">
      <c r="A375" s="171">
        <f>IF('Оперативный ввод'!A375="","",'Оперативный ввод'!A375)</f>
        <v/>
      </c>
      <c r="B375" s="172">
        <f>IF('Оперативный ввод'!B375="","",'Оперативный ввод'!B375)</f>
        <v/>
      </c>
      <c r="C375" s="270">
        <f>IF('Оперативный ввод'!C375="","",'Оперативный ввод'!C375)</f>
        <v/>
      </c>
      <c r="D375" s="270">
        <f>IF('Оперативный ввод'!D375="","",'Оперативный ввод'!D375)</f>
        <v/>
      </c>
      <c r="E375" s="271">
        <f>IF(OR(C375="",D375=""),"",D375-C375)</f>
        <v/>
      </c>
      <c r="F375" s="172">
        <f>IF('Оперативный ввод'!F375="","",'Оперативный ввод'!F375)</f>
        <v/>
      </c>
      <c r="G375" s="172">
        <f>IF('Оперативный ввод'!G375="","",'Оперативный ввод'!G375)</f>
        <v/>
      </c>
      <c r="H375" s="172">
        <f>IF('Оперативный ввод'!H375="","",'Оперативный ввод'!H375)</f>
        <v/>
      </c>
      <c r="I375" s="172">
        <f>IF('Оперативный ввод'!I375="","",'Оперативный ввод'!I375)</f>
        <v/>
      </c>
      <c r="J375" s="172">
        <f>IF('Оперативный ввод'!J375="","",'Оперативный ввод'!J375)</f>
        <v/>
      </c>
      <c r="K375" s="172">
        <f>IF('Оперативный ввод'!K375="","",'Оперативный ввод'!K375)</f>
        <v/>
      </c>
      <c r="L375" s="172">
        <f>IF('Оперативный ввод'!L375="","",'Оперативный ввод'!L375)</f>
        <v/>
      </c>
      <c r="M375" s="172">
        <f>IF('Оперативный ввод'!M375="","",'Оперативный ввод'!M375)</f>
        <v/>
      </c>
      <c r="N375" s="172">
        <f>IF('Оперативный ввод'!N375="","",'Оперативный ввод'!N375)</f>
        <v/>
      </c>
      <c r="O375" s="172">
        <f>IF('Оперативный ввод'!O375="","",'Оперативный ввод'!O375)</f>
        <v/>
      </c>
      <c r="P375" s="205">
        <f>IF(AND(A375="",B375=""),"",IF(AND(A375&lt;&gt;"",B375&lt;&gt;"",C375&lt;&gt;"",D375&lt;&gt;"",F375&lt;&gt;"",G375&lt;&gt;"",H375&lt;&gt;"",ISERROR(SEARCH("по паспорту",G375)),ISERROR(SEARCH("по паспорту",H375)),I375&lt;&gt;"",J375&lt;&gt;"",K375&lt;&gt;"",L375&lt;&gt;"",M375&lt;&gt;""),"ГОТОВО","НЕ ГОТОВО"))</f>
        <v/>
      </c>
      <c r="Q375" s="205">
        <f>IF(P375&lt;&gt;"ГОТОВО","", "Предварительное заключение: "&amp;A375&amp;", скв. "&amp;B375&amp;". МРП: "&amp;E375&amp;" сут. ГНО: "&amp;F375&amp;", типоразмер "&amp;G375&amp;", марка "&amp;H375&amp;". Событие: "&amp;I375&amp;". Признак: "&amp;J375&amp;". Узел: "&amp;K375&amp;". Предварительная причина: "&amp;L375&amp;". Основное осложнение: "&amp;M375&amp;IF(N375&lt;&gt;"","; сопутствующее: "&amp;N375,"")&amp;IF(O375&lt;&gt;"","; дополнительно: "&amp;O375,"")&amp;".")</f>
        <v/>
      </c>
      <c r="R375" s="172">
        <f>IF('Оперативный ввод'!P375="","",'Оперативный ввод'!P375)</f>
        <v/>
      </c>
      <c r="S375" s="172">
        <f>IF('Оперативный ввод'!Q375="","",'Оперативный ввод'!Q375)</f>
        <v/>
      </c>
      <c r="T375" s="172">
        <f>IF('Оперативный ввод'!R375="","",'Оперативный ввод'!R375)</f>
        <v/>
      </c>
      <c r="U375" s="172">
        <f>IF('Оперативный ввод'!S375="","",'Оперативный ввод'!S375)</f>
        <v/>
      </c>
      <c r="V375" s="172">
        <f>IF('Оперативный ввод'!T375="","",'Оперативный ввод'!T375)</f>
        <v/>
      </c>
      <c r="W375" s="172" t="n"/>
      <c r="X375" s="172" t="n"/>
      <c r="Y375" s="172" t="n"/>
      <c r="Z375" s="172" t="n"/>
      <c r="AA375" s="172">
        <f>IF('Оперативный ввод'!U375="","",'Оперативный ввод'!U375)</f>
        <v/>
      </c>
      <c r="AB375" s="172">
        <f>IF('Оперативный ввод'!V375="","",'Оперативный ввод'!V375)</f>
        <v/>
      </c>
      <c r="AC375" s="172">
        <f>IF('Оперативный ввод'!W375="","",'Оперативный ввод'!W375)</f>
        <v/>
      </c>
      <c r="BB375" s="172" t="n"/>
      <c r="BC375" s="172" t="n"/>
      <c r="BD375" s="205">
        <f>IF(AND(A375="",B375=""),"",IF(AND(P375="ГОТОВО",R375&lt;&gt;"",T375&lt;&gt;"",U375&lt;&gt;"",AA375&lt;&gt;"",AB375&lt;&gt;"",AC375&lt;&gt;"",BB375&lt;&gt;"",BC375&lt;&gt;""),"ГОТОВО","НЕ ГОТОВО"))</f>
        <v/>
      </c>
      <c r="BE375" s="205">
        <f>IF(BD375&lt;&gt;"ГОТОВО","","Полное заключение: "&amp;A375&amp;", скв. "&amp;B375&amp;". МРП: "&amp;E375&amp;" сут. ГНО: "&amp;F375&amp;"; причина: "&amp;U375&amp;"; категория: "&amp;V375&amp;"; решение комиссии: "&amp;BB375&amp;".")</f>
        <v/>
      </c>
      <c r="BF375" s="173">
        <f>IF('Оперативный ввод'!X375="","",'Оперативный ввод'!X375)</f>
        <v/>
      </c>
    </row>
    <row r="376">
      <c r="A376" s="171">
        <f>IF('Оперативный ввод'!A376="","",'Оперативный ввод'!A376)</f>
        <v/>
      </c>
      <c r="B376" s="172">
        <f>IF('Оперативный ввод'!B376="","",'Оперативный ввод'!B376)</f>
        <v/>
      </c>
      <c r="C376" s="270">
        <f>IF('Оперативный ввод'!C376="","",'Оперативный ввод'!C376)</f>
        <v/>
      </c>
      <c r="D376" s="270">
        <f>IF('Оперативный ввод'!D376="","",'Оперативный ввод'!D376)</f>
        <v/>
      </c>
      <c r="E376" s="271">
        <f>IF(OR(C376="",D376=""),"",D376-C376)</f>
        <v/>
      </c>
      <c r="F376" s="172">
        <f>IF('Оперативный ввод'!F376="","",'Оперативный ввод'!F376)</f>
        <v/>
      </c>
      <c r="G376" s="172">
        <f>IF('Оперативный ввод'!G376="","",'Оперативный ввод'!G376)</f>
        <v/>
      </c>
      <c r="H376" s="172">
        <f>IF('Оперативный ввод'!H376="","",'Оперативный ввод'!H376)</f>
        <v/>
      </c>
      <c r="I376" s="172">
        <f>IF('Оперативный ввод'!I376="","",'Оперативный ввод'!I376)</f>
        <v/>
      </c>
      <c r="J376" s="172">
        <f>IF('Оперативный ввод'!J376="","",'Оперативный ввод'!J376)</f>
        <v/>
      </c>
      <c r="K376" s="172">
        <f>IF('Оперативный ввод'!K376="","",'Оперативный ввод'!K376)</f>
        <v/>
      </c>
      <c r="L376" s="172">
        <f>IF('Оперативный ввод'!L376="","",'Оперативный ввод'!L376)</f>
        <v/>
      </c>
      <c r="M376" s="172">
        <f>IF('Оперативный ввод'!M376="","",'Оперативный ввод'!M376)</f>
        <v/>
      </c>
      <c r="N376" s="172">
        <f>IF('Оперативный ввод'!N376="","",'Оперативный ввод'!N376)</f>
        <v/>
      </c>
      <c r="O376" s="172">
        <f>IF('Оперативный ввод'!O376="","",'Оперативный ввод'!O376)</f>
        <v/>
      </c>
      <c r="P376" s="205">
        <f>IF(AND(A376="",B376=""),"",IF(AND(A376&lt;&gt;"",B376&lt;&gt;"",C376&lt;&gt;"",D376&lt;&gt;"",F376&lt;&gt;"",G376&lt;&gt;"",H376&lt;&gt;"",ISERROR(SEARCH("по паспорту",G376)),ISERROR(SEARCH("по паспорту",H376)),I376&lt;&gt;"",J376&lt;&gt;"",K376&lt;&gt;"",L376&lt;&gt;"",M376&lt;&gt;""),"ГОТОВО","НЕ ГОТОВО"))</f>
        <v/>
      </c>
      <c r="Q376" s="205">
        <f>IF(P376&lt;&gt;"ГОТОВО","", "Предварительное заключение: "&amp;A376&amp;", скв. "&amp;B376&amp;". МРП: "&amp;E376&amp;" сут. ГНО: "&amp;F376&amp;", типоразмер "&amp;G376&amp;", марка "&amp;H376&amp;". Событие: "&amp;I376&amp;". Признак: "&amp;J376&amp;". Узел: "&amp;K376&amp;". Предварительная причина: "&amp;L376&amp;". Основное осложнение: "&amp;M376&amp;IF(N376&lt;&gt;"","; сопутствующее: "&amp;N376,"")&amp;IF(O376&lt;&gt;"","; дополнительно: "&amp;O376,"")&amp;".")</f>
        <v/>
      </c>
      <c r="R376" s="172">
        <f>IF('Оперативный ввод'!P376="","",'Оперативный ввод'!P376)</f>
        <v/>
      </c>
      <c r="S376" s="172">
        <f>IF('Оперативный ввод'!Q376="","",'Оперативный ввод'!Q376)</f>
        <v/>
      </c>
      <c r="T376" s="172">
        <f>IF('Оперативный ввод'!R376="","",'Оперативный ввод'!R376)</f>
        <v/>
      </c>
      <c r="U376" s="172">
        <f>IF('Оперативный ввод'!S376="","",'Оперативный ввод'!S376)</f>
        <v/>
      </c>
      <c r="V376" s="172">
        <f>IF('Оперативный ввод'!T376="","",'Оперативный ввод'!T376)</f>
        <v/>
      </c>
      <c r="W376" s="172" t="n"/>
      <c r="X376" s="172" t="n"/>
      <c r="Y376" s="172" t="n"/>
      <c r="Z376" s="172" t="n"/>
      <c r="AA376" s="172">
        <f>IF('Оперативный ввод'!U376="","",'Оперативный ввод'!U376)</f>
        <v/>
      </c>
      <c r="AB376" s="172">
        <f>IF('Оперативный ввод'!V376="","",'Оперативный ввод'!V376)</f>
        <v/>
      </c>
      <c r="AC376" s="172">
        <f>IF('Оперативный ввод'!W376="","",'Оперативный ввод'!W376)</f>
        <v/>
      </c>
      <c r="BB376" s="172" t="n"/>
      <c r="BC376" s="172" t="n"/>
      <c r="BD376" s="205">
        <f>IF(AND(A376="",B376=""),"",IF(AND(P376="ГОТОВО",R376&lt;&gt;"",T376&lt;&gt;"",U376&lt;&gt;"",AA376&lt;&gt;"",AB376&lt;&gt;"",AC376&lt;&gt;"",BB376&lt;&gt;"",BC376&lt;&gt;""),"ГОТОВО","НЕ ГОТОВО"))</f>
        <v/>
      </c>
      <c r="BE376" s="205">
        <f>IF(BD376&lt;&gt;"ГОТОВО","","Полное заключение: "&amp;A376&amp;", скв. "&amp;B376&amp;". МРП: "&amp;E376&amp;" сут. ГНО: "&amp;F376&amp;"; причина: "&amp;U376&amp;"; категория: "&amp;V376&amp;"; решение комиссии: "&amp;BB376&amp;".")</f>
        <v/>
      </c>
      <c r="BF376" s="173">
        <f>IF('Оперативный ввод'!X376="","",'Оперативный ввод'!X376)</f>
        <v/>
      </c>
    </row>
    <row r="377">
      <c r="A377" s="171">
        <f>IF('Оперативный ввод'!A377="","",'Оперативный ввод'!A377)</f>
        <v/>
      </c>
      <c r="B377" s="172">
        <f>IF('Оперативный ввод'!B377="","",'Оперативный ввод'!B377)</f>
        <v/>
      </c>
      <c r="C377" s="270">
        <f>IF('Оперативный ввод'!C377="","",'Оперативный ввод'!C377)</f>
        <v/>
      </c>
      <c r="D377" s="270">
        <f>IF('Оперативный ввод'!D377="","",'Оперативный ввод'!D377)</f>
        <v/>
      </c>
      <c r="E377" s="271">
        <f>IF(OR(C377="",D377=""),"",D377-C377)</f>
        <v/>
      </c>
      <c r="F377" s="172">
        <f>IF('Оперативный ввод'!F377="","",'Оперативный ввод'!F377)</f>
        <v/>
      </c>
      <c r="G377" s="172">
        <f>IF('Оперативный ввод'!G377="","",'Оперативный ввод'!G377)</f>
        <v/>
      </c>
      <c r="H377" s="172">
        <f>IF('Оперативный ввод'!H377="","",'Оперативный ввод'!H377)</f>
        <v/>
      </c>
      <c r="I377" s="172">
        <f>IF('Оперативный ввод'!I377="","",'Оперативный ввод'!I377)</f>
        <v/>
      </c>
      <c r="J377" s="172">
        <f>IF('Оперативный ввод'!J377="","",'Оперативный ввод'!J377)</f>
        <v/>
      </c>
      <c r="K377" s="172">
        <f>IF('Оперативный ввод'!K377="","",'Оперативный ввод'!K377)</f>
        <v/>
      </c>
      <c r="L377" s="172">
        <f>IF('Оперативный ввод'!L377="","",'Оперативный ввод'!L377)</f>
        <v/>
      </c>
      <c r="M377" s="172">
        <f>IF('Оперативный ввод'!M377="","",'Оперативный ввод'!M377)</f>
        <v/>
      </c>
      <c r="N377" s="172">
        <f>IF('Оперативный ввод'!N377="","",'Оперативный ввод'!N377)</f>
        <v/>
      </c>
      <c r="O377" s="172">
        <f>IF('Оперативный ввод'!O377="","",'Оперативный ввод'!O377)</f>
        <v/>
      </c>
      <c r="P377" s="205">
        <f>IF(AND(A377="",B377=""),"",IF(AND(A377&lt;&gt;"",B377&lt;&gt;"",C377&lt;&gt;"",D377&lt;&gt;"",F377&lt;&gt;"",G377&lt;&gt;"",H377&lt;&gt;"",ISERROR(SEARCH("по паспорту",G377)),ISERROR(SEARCH("по паспорту",H377)),I377&lt;&gt;"",J377&lt;&gt;"",K377&lt;&gt;"",L377&lt;&gt;"",M377&lt;&gt;""),"ГОТОВО","НЕ ГОТОВО"))</f>
        <v/>
      </c>
      <c r="Q377" s="205">
        <f>IF(P377&lt;&gt;"ГОТОВО","", "Предварительное заключение: "&amp;A377&amp;", скв. "&amp;B377&amp;". МРП: "&amp;E377&amp;" сут. ГНО: "&amp;F377&amp;", типоразмер "&amp;G377&amp;", марка "&amp;H377&amp;". Событие: "&amp;I377&amp;". Признак: "&amp;J377&amp;". Узел: "&amp;K377&amp;". Предварительная причина: "&amp;L377&amp;". Основное осложнение: "&amp;M377&amp;IF(N377&lt;&gt;"","; сопутствующее: "&amp;N377,"")&amp;IF(O377&lt;&gt;"","; дополнительно: "&amp;O377,"")&amp;".")</f>
        <v/>
      </c>
      <c r="R377" s="172">
        <f>IF('Оперативный ввод'!P377="","",'Оперативный ввод'!P377)</f>
        <v/>
      </c>
      <c r="S377" s="172">
        <f>IF('Оперативный ввод'!Q377="","",'Оперативный ввод'!Q377)</f>
        <v/>
      </c>
      <c r="T377" s="172">
        <f>IF('Оперативный ввод'!R377="","",'Оперативный ввод'!R377)</f>
        <v/>
      </c>
      <c r="U377" s="172">
        <f>IF('Оперативный ввод'!S377="","",'Оперативный ввод'!S377)</f>
        <v/>
      </c>
      <c r="V377" s="172">
        <f>IF('Оперативный ввод'!T377="","",'Оперативный ввод'!T377)</f>
        <v/>
      </c>
      <c r="W377" s="172" t="n"/>
      <c r="X377" s="172" t="n"/>
      <c r="Y377" s="172" t="n"/>
      <c r="Z377" s="172" t="n"/>
      <c r="AA377" s="172">
        <f>IF('Оперативный ввод'!U377="","",'Оперативный ввод'!U377)</f>
        <v/>
      </c>
      <c r="AB377" s="172">
        <f>IF('Оперативный ввод'!V377="","",'Оперативный ввод'!V377)</f>
        <v/>
      </c>
      <c r="AC377" s="172">
        <f>IF('Оперативный ввод'!W377="","",'Оперативный ввод'!W377)</f>
        <v/>
      </c>
      <c r="BB377" s="172" t="n"/>
      <c r="BC377" s="172" t="n"/>
      <c r="BD377" s="205">
        <f>IF(AND(A377="",B377=""),"",IF(AND(P377="ГОТОВО",R377&lt;&gt;"",T377&lt;&gt;"",U377&lt;&gt;"",AA377&lt;&gt;"",AB377&lt;&gt;"",AC377&lt;&gt;"",BB377&lt;&gt;"",BC377&lt;&gt;""),"ГОТОВО","НЕ ГОТОВО"))</f>
        <v/>
      </c>
      <c r="BE377" s="205">
        <f>IF(BD377&lt;&gt;"ГОТОВО","","Полное заключение: "&amp;A377&amp;", скв. "&amp;B377&amp;". МРП: "&amp;E377&amp;" сут. ГНО: "&amp;F377&amp;"; причина: "&amp;U377&amp;"; категория: "&amp;V377&amp;"; решение комиссии: "&amp;BB377&amp;".")</f>
        <v/>
      </c>
      <c r="BF377" s="173">
        <f>IF('Оперативный ввод'!X377="","",'Оперативный ввод'!X377)</f>
        <v/>
      </c>
    </row>
    <row r="378">
      <c r="A378" s="171">
        <f>IF('Оперативный ввод'!A378="","",'Оперативный ввод'!A378)</f>
        <v/>
      </c>
      <c r="B378" s="172">
        <f>IF('Оперативный ввод'!B378="","",'Оперативный ввод'!B378)</f>
        <v/>
      </c>
      <c r="C378" s="270">
        <f>IF('Оперативный ввод'!C378="","",'Оперативный ввод'!C378)</f>
        <v/>
      </c>
      <c r="D378" s="270">
        <f>IF('Оперативный ввод'!D378="","",'Оперативный ввод'!D378)</f>
        <v/>
      </c>
      <c r="E378" s="271">
        <f>IF(OR(C378="",D378=""),"",D378-C378)</f>
        <v/>
      </c>
      <c r="F378" s="172">
        <f>IF('Оперативный ввод'!F378="","",'Оперативный ввод'!F378)</f>
        <v/>
      </c>
      <c r="G378" s="172">
        <f>IF('Оперативный ввод'!G378="","",'Оперативный ввод'!G378)</f>
        <v/>
      </c>
      <c r="H378" s="172">
        <f>IF('Оперативный ввод'!H378="","",'Оперативный ввод'!H378)</f>
        <v/>
      </c>
      <c r="I378" s="172">
        <f>IF('Оперативный ввод'!I378="","",'Оперативный ввод'!I378)</f>
        <v/>
      </c>
      <c r="J378" s="172">
        <f>IF('Оперативный ввод'!J378="","",'Оперативный ввод'!J378)</f>
        <v/>
      </c>
      <c r="K378" s="172">
        <f>IF('Оперативный ввод'!K378="","",'Оперативный ввод'!K378)</f>
        <v/>
      </c>
      <c r="L378" s="172">
        <f>IF('Оперативный ввод'!L378="","",'Оперативный ввод'!L378)</f>
        <v/>
      </c>
      <c r="M378" s="172">
        <f>IF('Оперативный ввод'!M378="","",'Оперативный ввод'!M378)</f>
        <v/>
      </c>
      <c r="N378" s="172">
        <f>IF('Оперативный ввод'!N378="","",'Оперативный ввод'!N378)</f>
        <v/>
      </c>
      <c r="O378" s="172">
        <f>IF('Оперативный ввод'!O378="","",'Оперативный ввод'!O378)</f>
        <v/>
      </c>
      <c r="P378" s="205">
        <f>IF(AND(A378="",B378=""),"",IF(AND(A378&lt;&gt;"",B378&lt;&gt;"",C378&lt;&gt;"",D378&lt;&gt;"",F378&lt;&gt;"",G378&lt;&gt;"",H378&lt;&gt;"",ISERROR(SEARCH("по паспорту",G378)),ISERROR(SEARCH("по паспорту",H378)),I378&lt;&gt;"",J378&lt;&gt;"",K378&lt;&gt;"",L378&lt;&gt;"",M378&lt;&gt;""),"ГОТОВО","НЕ ГОТОВО"))</f>
        <v/>
      </c>
      <c r="Q378" s="205">
        <f>IF(P378&lt;&gt;"ГОТОВО","", "Предварительное заключение: "&amp;A378&amp;", скв. "&amp;B378&amp;". МРП: "&amp;E378&amp;" сут. ГНО: "&amp;F378&amp;", типоразмер "&amp;G378&amp;", марка "&amp;H378&amp;". Событие: "&amp;I378&amp;". Признак: "&amp;J378&amp;". Узел: "&amp;K378&amp;". Предварительная причина: "&amp;L378&amp;". Основное осложнение: "&amp;M378&amp;IF(N378&lt;&gt;"","; сопутствующее: "&amp;N378,"")&amp;IF(O378&lt;&gt;"","; дополнительно: "&amp;O378,"")&amp;".")</f>
        <v/>
      </c>
      <c r="R378" s="172">
        <f>IF('Оперативный ввод'!P378="","",'Оперативный ввод'!P378)</f>
        <v/>
      </c>
      <c r="S378" s="172">
        <f>IF('Оперативный ввод'!Q378="","",'Оперативный ввод'!Q378)</f>
        <v/>
      </c>
      <c r="T378" s="172">
        <f>IF('Оперативный ввод'!R378="","",'Оперативный ввод'!R378)</f>
        <v/>
      </c>
      <c r="U378" s="172">
        <f>IF('Оперативный ввод'!S378="","",'Оперативный ввод'!S378)</f>
        <v/>
      </c>
      <c r="V378" s="172">
        <f>IF('Оперативный ввод'!T378="","",'Оперативный ввод'!T378)</f>
        <v/>
      </c>
      <c r="W378" s="172" t="n"/>
      <c r="X378" s="172" t="n"/>
      <c r="Y378" s="172" t="n"/>
      <c r="Z378" s="172" t="n"/>
      <c r="AA378" s="172">
        <f>IF('Оперативный ввод'!U378="","",'Оперативный ввод'!U378)</f>
        <v/>
      </c>
      <c r="AB378" s="172">
        <f>IF('Оперативный ввод'!V378="","",'Оперативный ввод'!V378)</f>
        <v/>
      </c>
      <c r="AC378" s="172">
        <f>IF('Оперативный ввод'!W378="","",'Оперативный ввод'!W378)</f>
        <v/>
      </c>
      <c r="BB378" s="172" t="n"/>
      <c r="BC378" s="172" t="n"/>
      <c r="BD378" s="205">
        <f>IF(AND(A378="",B378=""),"",IF(AND(P378="ГОТОВО",R378&lt;&gt;"",T378&lt;&gt;"",U378&lt;&gt;"",AA378&lt;&gt;"",AB378&lt;&gt;"",AC378&lt;&gt;"",BB378&lt;&gt;"",BC378&lt;&gt;""),"ГОТОВО","НЕ ГОТОВО"))</f>
        <v/>
      </c>
      <c r="BE378" s="205">
        <f>IF(BD378&lt;&gt;"ГОТОВО","","Полное заключение: "&amp;A378&amp;", скв. "&amp;B378&amp;". МРП: "&amp;E378&amp;" сут. ГНО: "&amp;F378&amp;"; причина: "&amp;U378&amp;"; категория: "&amp;V378&amp;"; решение комиссии: "&amp;BB378&amp;".")</f>
        <v/>
      </c>
      <c r="BF378" s="173">
        <f>IF('Оперативный ввод'!X378="","",'Оперативный ввод'!X378)</f>
        <v/>
      </c>
    </row>
    <row r="379">
      <c r="A379" s="171">
        <f>IF('Оперативный ввод'!A379="","",'Оперативный ввод'!A379)</f>
        <v/>
      </c>
      <c r="B379" s="172">
        <f>IF('Оперативный ввод'!B379="","",'Оперативный ввод'!B379)</f>
        <v/>
      </c>
      <c r="C379" s="270">
        <f>IF('Оперативный ввод'!C379="","",'Оперативный ввод'!C379)</f>
        <v/>
      </c>
      <c r="D379" s="270">
        <f>IF('Оперативный ввод'!D379="","",'Оперативный ввод'!D379)</f>
        <v/>
      </c>
      <c r="E379" s="271">
        <f>IF(OR(C379="",D379=""),"",D379-C379)</f>
        <v/>
      </c>
      <c r="F379" s="172">
        <f>IF('Оперативный ввод'!F379="","",'Оперативный ввод'!F379)</f>
        <v/>
      </c>
      <c r="G379" s="172">
        <f>IF('Оперативный ввод'!G379="","",'Оперативный ввод'!G379)</f>
        <v/>
      </c>
      <c r="H379" s="172">
        <f>IF('Оперативный ввод'!H379="","",'Оперативный ввод'!H379)</f>
        <v/>
      </c>
      <c r="I379" s="172">
        <f>IF('Оперативный ввод'!I379="","",'Оперативный ввод'!I379)</f>
        <v/>
      </c>
      <c r="J379" s="172">
        <f>IF('Оперативный ввод'!J379="","",'Оперативный ввод'!J379)</f>
        <v/>
      </c>
      <c r="K379" s="172">
        <f>IF('Оперативный ввод'!K379="","",'Оперативный ввод'!K379)</f>
        <v/>
      </c>
      <c r="L379" s="172">
        <f>IF('Оперативный ввод'!L379="","",'Оперативный ввод'!L379)</f>
        <v/>
      </c>
      <c r="M379" s="172">
        <f>IF('Оперативный ввод'!M379="","",'Оперативный ввод'!M379)</f>
        <v/>
      </c>
      <c r="N379" s="172">
        <f>IF('Оперативный ввод'!N379="","",'Оперативный ввод'!N379)</f>
        <v/>
      </c>
      <c r="O379" s="172">
        <f>IF('Оперативный ввод'!O379="","",'Оперативный ввод'!O379)</f>
        <v/>
      </c>
      <c r="P379" s="205">
        <f>IF(AND(A379="",B379=""),"",IF(AND(A379&lt;&gt;"",B379&lt;&gt;"",C379&lt;&gt;"",D379&lt;&gt;"",F379&lt;&gt;"",G379&lt;&gt;"",H379&lt;&gt;"",ISERROR(SEARCH("по паспорту",G379)),ISERROR(SEARCH("по паспорту",H379)),I379&lt;&gt;"",J379&lt;&gt;"",K379&lt;&gt;"",L379&lt;&gt;"",M379&lt;&gt;""),"ГОТОВО","НЕ ГОТОВО"))</f>
        <v/>
      </c>
      <c r="Q379" s="205">
        <f>IF(P379&lt;&gt;"ГОТОВО","", "Предварительное заключение: "&amp;A379&amp;", скв. "&amp;B379&amp;". МРП: "&amp;E379&amp;" сут. ГНО: "&amp;F379&amp;", типоразмер "&amp;G379&amp;", марка "&amp;H379&amp;". Событие: "&amp;I379&amp;". Признак: "&amp;J379&amp;". Узел: "&amp;K379&amp;". Предварительная причина: "&amp;L379&amp;". Основное осложнение: "&amp;M379&amp;IF(N379&lt;&gt;"","; сопутствующее: "&amp;N379,"")&amp;IF(O379&lt;&gt;"","; дополнительно: "&amp;O379,"")&amp;".")</f>
        <v/>
      </c>
      <c r="R379" s="172">
        <f>IF('Оперативный ввод'!P379="","",'Оперативный ввод'!P379)</f>
        <v/>
      </c>
      <c r="S379" s="172">
        <f>IF('Оперативный ввод'!Q379="","",'Оперативный ввод'!Q379)</f>
        <v/>
      </c>
      <c r="T379" s="172">
        <f>IF('Оперативный ввод'!R379="","",'Оперативный ввод'!R379)</f>
        <v/>
      </c>
      <c r="U379" s="172">
        <f>IF('Оперативный ввод'!S379="","",'Оперативный ввод'!S379)</f>
        <v/>
      </c>
      <c r="V379" s="172">
        <f>IF('Оперативный ввод'!T379="","",'Оперативный ввод'!T379)</f>
        <v/>
      </c>
      <c r="W379" s="172" t="n"/>
      <c r="X379" s="172" t="n"/>
      <c r="Y379" s="172" t="n"/>
      <c r="Z379" s="172" t="n"/>
      <c r="AA379" s="172">
        <f>IF('Оперативный ввод'!U379="","",'Оперативный ввод'!U379)</f>
        <v/>
      </c>
      <c r="AB379" s="172">
        <f>IF('Оперативный ввод'!V379="","",'Оперативный ввод'!V379)</f>
        <v/>
      </c>
      <c r="AC379" s="172">
        <f>IF('Оперативный ввод'!W379="","",'Оперативный ввод'!W379)</f>
        <v/>
      </c>
      <c r="BB379" s="172" t="n"/>
      <c r="BC379" s="172" t="n"/>
      <c r="BD379" s="205">
        <f>IF(AND(A379="",B379=""),"",IF(AND(P379="ГОТОВО",R379&lt;&gt;"",T379&lt;&gt;"",U379&lt;&gt;"",AA379&lt;&gt;"",AB379&lt;&gt;"",AC379&lt;&gt;"",BB379&lt;&gt;"",BC379&lt;&gt;""),"ГОТОВО","НЕ ГОТОВО"))</f>
        <v/>
      </c>
      <c r="BE379" s="205">
        <f>IF(BD379&lt;&gt;"ГОТОВО","","Полное заключение: "&amp;A379&amp;", скв. "&amp;B379&amp;". МРП: "&amp;E379&amp;" сут. ГНО: "&amp;F379&amp;"; причина: "&amp;U379&amp;"; категория: "&amp;V379&amp;"; решение комиссии: "&amp;BB379&amp;".")</f>
        <v/>
      </c>
      <c r="BF379" s="173">
        <f>IF('Оперативный ввод'!X379="","",'Оперативный ввод'!X379)</f>
        <v/>
      </c>
    </row>
    <row r="380">
      <c r="A380" s="171">
        <f>IF('Оперативный ввод'!A380="","",'Оперативный ввод'!A380)</f>
        <v/>
      </c>
      <c r="B380" s="172">
        <f>IF('Оперативный ввод'!B380="","",'Оперативный ввод'!B380)</f>
        <v/>
      </c>
      <c r="C380" s="270">
        <f>IF('Оперативный ввод'!C380="","",'Оперативный ввод'!C380)</f>
        <v/>
      </c>
      <c r="D380" s="270">
        <f>IF('Оперативный ввод'!D380="","",'Оперативный ввод'!D380)</f>
        <v/>
      </c>
      <c r="E380" s="271">
        <f>IF(OR(C380="",D380=""),"",D380-C380)</f>
        <v/>
      </c>
      <c r="F380" s="172">
        <f>IF('Оперативный ввод'!F380="","",'Оперативный ввод'!F380)</f>
        <v/>
      </c>
      <c r="G380" s="172">
        <f>IF('Оперативный ввод'!G380="","",'Оперативный ввод'!G380)</f>
        <v/>
      </c>
      <c r="H380" s="172">
        <f>IF('Оперативный ввод'!H380="","",'Оперативный ввод'!H380)</f>
        <v/>
      </c>
      <c r="I380" s="172">
        <f>IF('Оперативный ввод'!I380="","",'Оперативный ввод'!I380)</f>
        <v/>
      </c>
      <c r="J380" s="172">
        <f>IF('Оперативный ввод'!J380="","",'Оперативный ввод'!J380)</f>
        <v/>
      </c>
      <c r="K380" s="172">
        <f>IF('Оперативный ввод'!K380="","",'Оперативный ввод'!K380)</f>
        <v/>
      </c>
      <c r="L380" s="172">
        <f>IF('Оперативный ввод'!L380="","",'Оперативный ввод'!L380)</f>
        <v/>
      </c>
      <c r="M380" s="172">
        <f>IF('Оперативный ввод'!M380="","",'Оперативный ввод'!M380)</f>
        <v/>
      </c>
      <c r="N380" s="172">
        <f>IF('Оперативный ввод'!N380="","",'Оперативный ввод'!N380)</f>
        <v/>
      </c>
      <c r="O380" s="172">
        <f>IF('Оперативный ввод'!O380="","",'Оперативный ввод'!O380)</f>
        <v/>
      </c>
      <c r="P380" s="205">
        <f>IF(AND(A380="",B380=""),"",IF(AND(A380&lt;&gt;"",B380&lt;&gt;"",C380&lt;&gt;"",D380&lt;&gt;"",F380&lt;&gt;"",G380&lt;&gt;"",H380&lt;&gt;"",ISERROR(SEARCH("по паспорту",G380)),ISERROR(SEARCH("по паспорту",H380)),I380&lt;&gt;"",J380&lt;&gt;"",K380&lt;&gt;"",L380&lt;&gt;"",M380&lt;&gt;""),"ГОТОВО","НЕ ГОТОВО"))</f>
        <v/>
      </c>
      <c r="Q380" s="205">
        <f>IF(P380&lt;&gt;"ГОТОВО","", "Предварительное заключение: "&amp;A380&amp;", скв. "&amp;B380&amp;". МРП: "&amp;E380&amp;" сут. ГНО: "&amp;F380&amp;", типоразмер "&amp;G380&amp;", марка "&amp;H380&amp;". Событие: "&amp;I380&amp;". Признак: "&amp;J380&amp;". Узел: "&amp;K380&amp;". Предварительная причина: "&amp;L380&amp;". Основное осложнение: "&amp;M380&amp;IF(N380&lt;&gt;"","; сопутствующее: "&amp;N380,"")&amp;IF(O380&lt;&gt;"","; дополнительно: "&amp;O380,"")&amp;".")</f>
        <v/>
      </c>
      <c r="R380" s="172">
        <f>IF('Оперативный ввод'!P380="","",'Оперативный ввод'!P380)</f>
        <v/>
      </c>
      <c r="S380" s="172">
        <f>IF('Оперативный ввод'!Q380="","",'Оперативный ввод'!Q380)</f>
        <v/>
      </c>
      <c r="T380" s="172">
        <f>IF('Оперативный ввод'!R380="","",'Оперативный ввод'!R380)</f>
        <v/>
      </c>
      <c r="U380" s="172">
        <f>IF('Оперативный ввод'!S380="","",'Оперативный ввод'!S380)</f>
        <v/>
      </c>
      <c r="V380" s="172">
        <f>IF('Оперативный ввод'!T380="","",'Оперативный ввод'!T380)</f>
        <v/>
      </c>
      <c r="W380" s="172" t="n"/>
      <c r="X380" s="172" t="n"/>
      <c r="Y380" s="172" t="n"/>
      <c r="Z380" s="172" t="n"/>
      <c r="AA380" s="172">
        <f>IF('Оперативный ввод'!U380="","",'Оперативный ввод'!U380)</f>
        <v/>
      </c>
      <c r="AB380" s="172">
        <f>IF('Оперативный ввод'!V380="","",'Оперативный ввод'!V380)</f>
        <v/>
      </c>
      <c r="AC380" s="172">
        <f>IF('Оперативный ввод'!W380="","",'Оперативный ввод'!W380)</f>
        <v/>
      </c>
      <c r="BB380" s="172" t="n"/>
      <c r="BC380" s="172" t="n"/>
      <c r="BD380" s="205">
        <f>IF(AND(A380="",B380=""),"",IF(AND(P380="ГОТОВО",R380&lt;&gt;"",T380&lt;&gt;"",U380&lt;&gt;"",AA380&lt;&gt;"",AB380&lt;&gt;"",AC380&lt;&gt;"",BB380&lt;&gt;"",BC380&lt;&gt;""),"ГОТОВО","НЕ ГОТОВО"))</f>
        <v/>
      </c>
      <c r="BE380" s="205">
        <f>IF(BD380&lt;&gt;"ГОТОВО","","Полное заключение: "&amp;A380&amp;", скв. "&amp;B380&amp;". МРП: "&amp;E380&amp;" сут. ГНО: "&amp;F380&amp;"; причина: "&amp;U380&amp;"; категория: "&amp;V380&amp;"; решение комиссии: "&amp;BB380&amp;".")</f>
        <v/>
      </c>
      <c r="BF380" s="173">
        <f>IF('Оперативный ввод'!X380="","",'Оперативный ввод'!X380)</f>
        <v/>
      </c>
    </row>
    <row r="381">
      <c r="A381" s="171">
        <f>IF('Оперативный ввод'!A381="","",'Оперативный ввод'!A381)</f>
        <v/>
      </c>
      <c r="B381" s="172">
        <f>IF('Оперативный ввод'!B381="","",'Оперативный ввод'!B381)</f>
        <v/>
      </c>
      <c r="C381" s="270">
        <f>IF('Оперативный ввод'!C381="","",'Оперативный ввод'!C381)</f>
        <v/>
      </c>
      <c r="D381" s="270">
        <f>IF('Оперативный ввод'!D381="","",'Оперативный ввод'!D381)</f>
        <v/>
      </c>
      <c r="E381" s="271">
        <f>IF(OR(C381="",D381=""),"",D381-C381)</f>
        <v/>
      </c>
      <c r="F381" s="172">
        <f>IF('Оперативный ввод'!F381="","",'Оперативный ввод'!F381)</f>
        <v/>
      </c>
      <c r="G381" s="172">
        <f>IF('Оперативный ввод'!G381="","",'Оперативный ввод'!G381)</f>
        <v/>
      </c>
      <c r="H381" s="172">
        <f>IF('Оперативный ввод'!H381="","",'Оперативный ввод'!H381)</f>
        <v/>
      </c>
      <c r="I381" s="172">
        <f>IF('Оперативный ввод'!I381="","",'Оперативный ввод'!I381)</f>
        <v/>
      </c>
      <c r="J381" s="172">
        <f>IF('Оперативный ввод'!J381="","",'Оперативный ввод'!J381)</f>
        <v/>
      </c>
      <c r="K381" s="172">
        <f>IF('Оперативный ввод'!K381="","",'Оперативный ввод'!K381)</f>
        <v/>
      </c>
      <c r="L381" s="172">
        <f>IF('Оперативный ввод'!L381="","",'Оперативный ввод'!L381)</f>
        <v/>
      </c>
      <c r="M381" s="172">
        <f>IF('Оперативный ввод'!M381="","",'Оперативный ввод'!M381)</f>
        <v/>
      </c>
      <c r="N381" s="172">
        <f>IF('Оперативный ввод'!N381="","",'Оперативный ввод'!N381)</f>
        <v/>
      </c>
      <c r="O381" s="172">
        <f>IF('Оперативный ввод'!O381="","",'Оперативный ввод'!O381)</f>
        <v/>
      </c>
      <c r="P381" s="205">
        <f>IF(AND(A381="",B381=""),"",IF(AND(A381&lt;&gt;"",B381&lt;&gt;"",C381&lt;&gt;"",D381&lt;&gt;"",F381&lt;&gt;"",G381&lt;&gt;"",H381&lt;&gt;"",ISERROR(SEARCH("по паспорту",G381)),ISERROR(SEARCH("по паспорту",H381)),I381&lt;&gt;"",J381&lt;&gt;"",K381&lt;&gt;"",L381&lt;&gt;"",M381&lt;&gt;""),"ГОТОВО","НЕ ГОТОВО"))</f>
        <v/>
      </c>
      <c r="Q381" s="205">
        <f>IF(P381&lt;&gt;"ГОТОВО","", "Предварительное заключение: "&amp;A381&amp;", скв. "&amp;B381&amp;". МРП: "&amp;E381&amp;" сут. ГНО: "&amp;F381&amp;", типоразмер "&amp;G381&amp;", марка "&amp;H381&amp;". Событие: "&amp;I381&amp;". Признак: "&amp;J381&amp;". Узел: "&amp;K381&amp;". Предварительная причина: "&amp;L381&amp;". Основное осложнение: "&amp;M381&amp;IF(N381&lt;&gt;"","; сопутствующее: "&amp;N381,"")&amp;IF(O381&lt;&gt;"","; дополнительно: "&amp;O381,"")&amp;".")</f>
        <v/>
      </c>
      <c r="R381" s="172">
        <f>IF('Оперативный ввод'!P381="","",'Оперативный ввод'!P381)</f>
        <v/>
      </c>
      <c r="S381" s="172">
        <f>IF('Оперативный ввод'!Q381="","",'Оперативный ввод'!Q381)</f>
        <v/>
      </c>
      <c r="T381" s="172">
        <f>IF('Оперативный ввод'!R381="","",'Оперативный ввод'!R381)</f>
        <v/>
      </c>
      <c r="U381" s="172">
        <f>IF('Оперативный ввод'!S381="","",'Оперативный ввод'!S381)</f>
        <v/>
      </c>
      <c r="V381" s="172">
        <f>IF('Оперативный ввод'!T381="","",'Оперативный ввод'!T381)</f>
        <v/>
      </c>
      <c r="W381" s="172" t="n"/>
      <c r="X381" s="172" t="n"/>
      <c r="Y381" s="172" t="n"/>
      <c r="Z381" s="172" t="n"/>
      <c r="AA381" s="172">
        <f>IF('Оперативный ввод'!U381="","",'Оперативный ввод'!U381)</f>
        <v/>
      </c>
      <c r="AB381" s="172">
        <f>IF('Оперативный ввод'!V381="","",'Оперативный ввод'!V381)</f>
        <v/>
      </c>
      <c r="AC381" s="172">
        <f>IF('Оперативный ввод'!W381="","",'Оперативный ввод'!W381)</f>
        <v/>
      </c>
      <c r="BB381" s="172" t="n"/>
      <c r="BC381" s="172" t="n"/>
      <c r="BD381" s="205">
        <f>IF(AND(A381="",B381=""),"",IF(AND(P381="ГОТОВО",R381&lt;&gt;"",T381&lt;&gt;"",U381&lt;&gt;"",AA381&lt;&gt;"",AB381&lt;&gt;"",AC381&lt;&gt;"",BB381&lt;&gt;"",BC381&lt;&gt;""),"ГОТОВО","НЕ ГОТОВО"))</f>
        <v/>
      </c>
      <c r="BE381" s="205">
        <f>IF(BD381&lt;&gt;"ГОТОВО","","Полное заключение: "&amp;A381&amp;", скв. "&amp;B381&amp;". МРП: "&amp;E381&amp;" сут. ГНО: "&amp;F381&amp;"; причина: "&amp;U381&amp;"; категория: "&amp;V381&amp;"; решение комиссии: "&amp;BB381&amp;".")</f>
        <v/>
      </c>
      <c r="BF381" s="173">
        <f>IF('Оперативный ввод'!X381="","",'Оперативный ввод'!X381)</f>
        <v/>
      </c>
    </row>
    <row r="382">
      <c r="A382" s="171">
        <f>IF('Оперативный ввод'!A382="","",'Оперативный ввод'!A382)</f>
        <v/>
      </c>
      <c r="B382" s="172">
        <f>IF('Оперативный ввод'!B382="","",'Оперативный ввод'!B382)</f>
        <v/>
      </c>
      <c r="C382" s="270">
        <f>IF('Оперативный ввод'!C382="","",'Оперативный ввод'!C382)</f>
        <v/>
      </c>
      <c r="D382" s="270">
        <f>IF('Оперативный ввод'!D382="","",'Оперативный ввод'!D382)</f>
        <v/>
      </c>
      <c r="E382" s="271">
        <f>IF(OR(C382="",D382=""),"",D382-C382)</f>
        <v/>
      </c>
      <c r="F382" s="172">
        <f>IF('Оперативный ввод'!F382="","",'Оперативный ввод'!F382)</f>
        <v/>
      </c>
      <c r="G382" s="172">
        <f>IF('Оперативный ввод'!G382="","",'Оперативный ввод'!G382)</f>
        <v/>
      </c>
      <c r="H382" s="172">
        <f>IF('Оперативный ввод'!H382="","",'Оперативный ввод'!H382)</f>
        <v/>
      </c>
      <c r="I382" s="172">
        <f>IF('Оперативный ввод'!I382="","",'Оперативный ввод'!I382)</f>
        <v/>
      </c>
      <c r="J382" s="172">
        <f>IF('Оперативный ввод'!J382="","",'Оперативный ввод'!J382)</f>
        <v/>
      </c>
      <c r="K382" s="172">
        <f>IF('Оперативный ввод'!K382="","",'Оперативный ввод'!K382)</f>
        <v/>
      </c>
      <c r="L382" s="172">
        <f>IF('Оперативный ввод'!L382="","",'Оперативный ввод'!L382)</f>
        <v/>
      </c>
      <c r="M382" s="172">
        <f>IF('Оперативный ввод'!M382="","",'Оперативный ввод'!M382)</f>
        <v/>
      </c>
      <c r="N382" s="172">
        <f>IF('Оперативный ввод'!N382="","",'Оперативный ввод'!N382)</f>
        <v/>
      </c>
      <c r="O382" s="172">
        <f>IF('Оперативный ввод'!O382="","",'Оперативный ввод'!O382)</f>
        <v/>
      </c>
      <c r="P382" s="205">
        <f>IF(AND(A382="",B382=""),"",IF(AND(A382&lt;&gt;"",B382&lt;&gt;"",C382&lt;&gt;"",D382&lt;&gt;"",F382&lt;&gt;"",G382&lt;&gt;"",H382&lt;&gt;"",ISERROR(SEARCH("по паспорту",G382)),ISERROR(SEARCH("по паспорту",H382)),I382&lt;&gt;"",J382&lt;&gt;"",K382&lt;&gt;"",L382&lt;&gt;"",M382&lt;&gt;""),"ГОТОВО","НЕ ГОТОВО"))</f>
        <v/>
      </c>
      <c r="Q382" s="205">
        <f>IF(P382&lt;&gt;"ГОТОВО","", "Предварительное заключение: "&amp;A382&amp;", скв. "&amp;B382&amp;". МРП: "&amp;E382&amp;" сут. ГНО: "&amp;F382&amp;", типоразмер "&amp;G382&amp;", марка "&amp;H382&amp;". Событие: "&amp;I382&amp;". Признак: "&amp;J382&amp;". Узел: "&amp;K382&amp;". Предварительная причина: "&amp;L382&amp;". Основное осложнение: "&amp;M382&amp;IF(N382&lt;&gt;"","; сопутствующее: "&amp;N382,"")&amp;IF(O382&lt;&gt;"","; дополнительно: "&amp;O382,"")&amp;".")</f>
        <v/>
      </c>
      <c r="R382" s="172">
        <f>IF('Оперативный ввод'!P382="","",'Оперативный ввод'!P382)</f>
        <v/>
      </c>
      <c r="S382" s="172">
        <f>IF('Оперативный ввод'!Q382="","",'Оперативный ввод'!Q382)</f>
        <v/>
      </c>
      <c r="T382" s="172">
        <f>IF('Оперативный ввод'!R382="","",'Оперативный ввод'!R382)</f>
        <v/>
      </c>
      <c r="U382" s="172">
        <f>IF('Оперативный ввод'!S382="","",'Оперативный ввод'!S382)</f>
        <v/>
      </c>
      <c r="V382" s="172">
        <f>IF('Оперативный ввод'!T382="","",'Оперативный ввод'!T382)</f>
        <v/>
      </c>
      <c r="W382" s="172" t="n"/>
      <c r="X382" s="172" t="n"/>
      <c r="Y382" s="172" t="n"/>
      <c r="Z382" s="172" t="n"/>
      <c r="AA382" s="172">
        <f>IF('Оперативный ввод'!U382="","",'Оперативный ввод'!U382)</f>
        <v/>
      </c>
      <c r="AB382" s="172">
        <f>IF('Оперативный ввод'!V382="","",'Оперативный ввод'!V382)</f>
        <v/>
      </c>
      <c r="AC382" s="172">
        <f>IF('Оперативный ввод'!W382="","",'Оперативный ввод'!W382)</f>
        <v/>
      </c>
      <c r="BB382" s="172" t="n"/>
      <c r="BC382" s="172" t="n"/>
      <c r="BD382" s="205">
        <f>IF(AND(A382="",B382=""),"",IF(AND(P382="ГОТОВО",R382&lt;&gt;"",T382&lt;&gt;"",U382&lt;&gt;"",AA382&lt;&gt;"",AB382&lt;&gt;"",AC382&lt;&gt;"",BB382&lt;&gt;"",BC382&lt;&gt;""),"ГОТОВО","НЕ ГОТОВО"))</f>
        <v/>
      </c>
      <c r="BE382" s="205">
        <f>IF(BD382&lt;&gt;"ГОТОВО","","Полное заключение: "&amp;A382&amp;", скв. "&amp;B382&amp;". МРП: "&amp;E382&amp;" сут. ГНО: "&amp;F382&amp;"; причина: "&amp;U382&amp;"; категория: "&amp;V382&amp;"; решение комиссии: "&amp;BB382&amp;".")</f>
        <v/>
      </c>
      <c r="BF382" s="173">
        <f>IF('Оперативный ввод'!X382="","",'Оперативный ввод'!X382)</f>
        <v/>
      </c>
    </row>
    <row r="383">
      <c r="A383" s="171">
        <f>IF('Оперативный ввод'!A383="","",'Оперативный ввод'!A383)</f>
        <v/>
      </c>
      <c r="B383" s="172">
        <f>IF('Оперативный ввод'!B383="","",'Оперативный ввод'!B383)</f>
        <v/>
      </c>
      <c r="C383" s="270">
        <f>IF('Оперативный ввод'!C383="","",'Оперативный ввод'!C383)</f>
        <v/>
      </c>
      <c r="D383" s="270">
        <f>IF('Оперативный ввод'!D383="","",'Оперативный ввод'!D383)</f>
        <v/>
      </c>
      <c r="E383" s="271">
        <f>IF(OR(C383="",D383=""),"",D383-C383)</f>
        <v/>
      </c>
      <c r="F383" s="172">
        <f>IF('Оперативный ввод'!F383="","",'Оперативный ввод'!F383)</f>
        <v/>
      </c>
      <c r="G383" s="172">
        <f>IF('Оперативный ввод'!G383="","",'Оперативный ввод'!G383)</f>
        <v/>
      </c>
      <c r="H383" s="172">
        <f>IF('Оперативный ввод'!H383="","",'Оперативный ввод'!H383)</f>
        <v/>
      </c>
      <c r="I383" s="172">
        <f>IF('Оперативный ввод'!I383="","",'Оперативный ввод'!I383)</f>
        <v/>
      </c>
      <c r="J383" s="172">
        <f>IF('Оперативный ввод'!J383="","",'Оперативный ввод'!J383)</f>
        <v/>
      </c>
      <c r="K383" s="172">
        <f>IF('Оперативный ввод'!K383="","",'Оперативный ввод'!K383)</f>
        <v/>
      </c>
      <c r="L383" s="172">
        <f>IF('Оперативный ввод'!L383="","",'Оперативный ввод'!L383)</f>
        <v/>
      </c>
      <c r="M383" s="172">
        <f>IF('Оперативный ввод'!M383="","",'Оперативный ввод'!M383)</f>
        <v/>
      </c>
      <c r="N383" s="172">
        <f>IF('Оперативный ввод'!N383="","",'Оперативный ввод'!N383)</f>
        <v/>
      </c>
      <c r="O383" s="172">
        <f>IF('Оперативный ввод'!O383="","",'Оперативный ввод'!O383)</f>
        <v/>
      </c>
      <c r="P383" s="205">
        <f>IF(AND(A383="",B383=""),"",IF(AND(A383&lt;&gt;"",B383&lt;&gt;"",C383&lt;&gt;"",D383&lt;&gt;"",F383&lt;&gt;"",G383&lt;&gt;"",H383&lt;&gt;"",ISERROR(SEARCH("по паспорту",G383)),ISERROR(SEARCH("по паспорту",H383)),I383&lt;&gt;"",J383&lt;&gt;"",K383&lt;&gt;"",L383&lt;&gt;"",M383&lt;&gt;""),"ГОТОВО","НЕ ГОТОВО"))</f>
        <v/>
      </c>
      <c r="Q383" s="205">
        <f>IF(P383&lt;&gt;"ГОТОВО","", "Предварительное заключение: "&amp;A383&amp;", скв. "&amp;B383&amp;". МРП: "&amp;E383&amp;" сут. ГНО: "&amp;F383&amp;", типоразмер "&amp;G383&amp;", марка "&amp;H383&amp;". Событие: "&amp;I383&amp;". Признак: "&amp;J383&amp;". Узел: "&amp;K383&amp;". Предварительная причина: "&amp;L383&amp;". Основное осложнение: "&amp;M383&amp;IF(N383&lt;&gt;"","; сопутствующее: "&amp;N383,"")&amp;IF(O383&lt;&gt;"","; дополнительно: "&amp;O383,"")&amp;".")</f>
        <v/>
      </c>
      <c r="R383" s="172">
        <f>IF('Оперативный ввод'!P383="","",'Оперативный ввод'!P383)</f>
        <v/>
      </c>
      <c r="S383" s="172">
        <f>IF('Оперативный ввод'!Q383="","",'Оперативный ввод'!Q383)</f>
        <v/>
      </c>
      <c r="T383" s="172">
        <f>IF('Оперативный ввод'!R383="","",'Оперативный ввод'!R383)</f>
        <v/>
      </c>
      <c r="U383" s="172">
        <f>IF('Оперативный ввод'!S383="","",'Оперативный ввод'!S383)</f>
        <v/>
      </c>
      <c r="V383" s="172">
        <f>IF('Оперативный ввод'!T383="","",'Оперативный ввод'!T383)</f>
        <v/>
      </c>
      <c r="W383" s="172" t="n"/>
      <c r="X383" s="172" t="n"/>
      <c r="Y383" s="172" t="n"/>
      <c r="Z383" s="172" t="n"/>
      <c r="AA383" s="172">
        <f>IF('Оперативный ввод'!U383="","",'Оперативный ввод'!U383)</f>
        <v/>
      </c>
      <c r="AB383" s="172">
        <f>IF('Оперативный ввод'!V383="","",'Оперативный ввод'!V383)</f>
        <v/>
      </c>
      <c r="AC383" s="172">
        <f>IF('Оперативный ввод'!W383="","",'Оперативный ввод'!W383)</f>
        <v/>
      </c>
      <c r="BB383" s="172" t="n"/>
      <c r="BC383" s="172" t="n"/>
      <c r="BD383" s="205">
        <f>IF(AND(A383="",B383=""),"",IF(AND(P383="ГОТОВО",R383&lt;&gt;"",T383&lt;&gt;"",U383&lt;&gt;"",AA383&lt;&gt;"",AB383&lt;&gt;"",AC383&lt;&gt;"",BB383&lt;&gt;"",BC383&lt;&gt;""),"ГОТОВО","НЕ ГОТОВО"))</f>
        <v/>
      </c>
      <c r="BE383" s="205">
        <f>IF(BD383&lt;&gt;"ГОТОВО","","Полное заключение: "&amp;A383&amp;", скв. "&amp;B383&amp;". МРП: "&amp;E383&amp;" сут. ГНО: "&amp;F383&amp;"; причина: "&amp;U383&amp;"; категория: "&amp;V383&amp;"; решение комиссии: "&amp;BB383&amp;".")</f>
        <v/>
      </c>
      <c r="BF383" s="173">
        <f>IF('Оперативный ввод'!X383="","",'Оперативный ввод'!X383)</f>
        <v/>
      </c>
    </row>
    <row r="384">
      <c r="A384" s="171">
        <f>IF('Оперативный ввод'!A384="","",'Оперативный ввод'!A384)</f>
        <v/>
      </c>
      <c r="B384" s="172">
        <f>IF('Оперативный ввод'!B384="","",'Оперативный ввод'!B384)</f>
        <v/>
      </c>
      <c r="C384" s="270">
        <f>IF('Оперативный ввод'!C384="","",'Оперативный ввод'!C384)</f>
        <v/>
      </c>
      <c r="D384" s="270">
        <f>IF('Оперативный ввод'!D384="","",'Оперативный ввод'!D384)</f>
        <v/>
      </c>
      <c r="E384" s="271">
        <f>IF(OR(C384="",D384=""),"",D384-C384)</f>
        <v/>
      </c>
      <c r="F384" s="172">
        <f>IF('Оперативный ввод'!F384="","",'Оперативный ввод'!F384)</f>
        <v/>
      </c>
      <c r="G384" s="172">
        <f>IF('Оперативный ввод'!G384="","",'Оперативный ввод'!G384)</f>
        <v/>
      </c>
      <c r="H384" s="172">
        <f>IF('Оперативный ввод'!H384="","",'Оперативный ввод'!H384)</f>
        <v/>
      </c>
      <c r="I384" s="172">
        <f>IF('Оперативный ввод'!I384="","",'Оперативный ввод'!I384)</f>
        <v/>
      </c>
      <c r="J384" s="172">
        <f>IF('Оперативный ввод'!J384="","",'Оперативный ввод'!J384)</f>
        <v/>
      </c>
      <c r="K384" s="172">
        <f>IF('Оперативный ввод'!K384="","",'Оперативный ввод'!K384)</f>
        <v/>
      </c>
      <c r="L384" s="172">
        <f>IF('Оперативный ввод'!L384="","",'Оперативный ввод'!L384)</f>
        <v/>
      </c>
      <c r="M384" s="172">
        <f>IF('Оперативный ввод'!M384="","",'Оперативный ввод'!M384)</f>
        <v/>
      </c>
      <c r="N384" s="172">
        <f>IF('Оперативный ввод'!N384="","",'Оперативный ввод'!N384)</f>
        <v/>
      </c>
      <c r="O384" s="172">
        <f>IF('Оперативный ввод'!O384="","",'Оперативный ввод'!O384)</f>
        <v/>
      </c>
      <c r="P384" s="205">
        <f>IF(AND(A384="",B384=""),"",IF(AND(A384&lt;&gt;"",B384&lt;&gt;"",C384&lt;&gt;"",D384&lt;&gt;"",F384&lt;&gt;"",G384&lt;&gt;"",H384&lt;&gt;"",ISERROR(SEARCH("по паспорту",G384)),ISERROR(SEARCH("по паспорту",H384)),I384&lt;&gt;"",J384&lt;&gt;"",K384&lt;&gt;"",L384&lt;&gt;"",M384&lt;&gt;""),"ГОТОВО","НЕ ГОТОВО"))</f>
        <v/>
      </c>
      <c r="Q384" s="205">
        <f>IF(P384&lt;&gt;"ГОТОВО","", "Предварительное заключение: "&amp;A384&amp;", скв. "&amp;B384&amp;". МРП: "&amp;E384&amp;" сут. ГНО: "&amp;F384&amp;", типоразмер "&amp;G384&amp;", марка "&amp;H384&amp;". Событие: "&amp;I384&amp;". Признак: "&amp;J384&amp;". Узел: "&amp;K384&amp;". Предварительная причина: "&amp;L384&amp;". Основное осложнение: "&amp;M384&amp;IF(N384&lt;&gt;"","; сопутствующее: "&amp;N384,"")&amp;IF(O384&lt;&gt;"","; дополнительно: "&amp;O384,"")&amp;".")</f>
        <v/>
      </c>
      <c r="R384" s="172">
        <f>IF('Оперативный ввод'!P384="","",'Оперативный ввод'!P384)</f>
        <v/>
      </c>
      <c r="S384" s="172">
        <f>IF('Оперативный ввод'!Q384="","",'Оперативный ввод'!Q384)</f>
        <v/>
      </c>
      <c r="T384" s="172">
        <f>IF('Оперативный ввод'!R384="","",'Оперативный ввод'!R384)</f>
        <v/>
      </c>
      <c r="U384" s="172">
        <f>IF('Оперативный ввод'!S384="","",'Оперативный ввод'!S384)</f>
        <v/>
      </c>
      <c r="V384" s="172">
        <f>IF('Оперативный ввод'!T384="","",'Оперативный ввод'!T384)</f>
        <v/>
      </c>
      <c r="W384" s="172" t="n"/>
      <c r="X384" s="172" t="n"/>
      <c r="Y384" s="172" t="n"/>
      <c r="Z384" s="172" t="n"/>
      <c r="AA384" s="172">
        <f>IF('Оперативный ввод'!U384="","",'Оперативный ввод'!U384)</f>
        <v/>
      </c>
      <c r="AB384" s="172">
        <f>IF('Оперативный ввод'!V384="","",'Оперативный ввод'!V384)</f>
        <v/>
      </c>
      <c r="AC384" s="172">
        <f>IF('Оперативный ввод'!W384="","",'Оперативный ввод'!W384)</f>
        <v/>
      </c>
      <c r="BB384" s="172" t="n"/>
      <c r="BC384" s="172" t="n"/>
      <c r="BD384" s="205">
        <f>IF(AND(A384="",B384=""),"",IF(AND(P384="ГОТОВО",R384&lt;&gt;"",T384&lt;&gt;"",U384&lt;&gt;"",AA384&lt;&gt;"",AB384&lt;&gt;"",AC384&lt;&gt;"",BB384&lt;&gt;"",BC384&lt;&gt;""),"ГОТОВО","НЕ ГОТОВО"))</f>
        <v/>
      </c>
      <c r="BE384" s="205">
        <f>IF(BD384&lt;&gt;"ГОТОВО","","Полное заключение: "&amp;A384&amp;", скв. "&amp;B384&amp;". МРП: "&amp;E384&amp;" сут. ГНО: "&amp;F384&amp;"; причина: "&amp;U384&amp;"; категория: "&amp;V384&amp;"; решение комиссии: "&amp;BB384&amp;".")</f>
        <v/>
      </c>
      <c r="BF384" s="173">
        <f>IF('Оперативный ввод'!X384="","",'Оперативный ввод'!X384)</f>
        <v/>
      </c>
    </row>
    <row r="385">
      <c r="A385" s="171">
        <f>IF('Оперативный ввод'!A385="","",'Оперативный ввод'!A385)</f>
        <v/>
      </c>
      <c r="B385" s="172">
        <f>IF('Оперативный ввод'!B385="","",'Оперативный ввод'!B385)</f>
        <v/>
      </c>
      <c r="C385" s="270">
        <f>IF('Оперативный ввод'!C385="","",'Оперативный ввод'!C385)</f>
        <v/>
      </c>
      <c r="D385" s="270">
        <f>IF('Оперативный ввод'!D385="","",'Оперативный ввод'!D385)</f>
        <v/>
      </c>
      <c r="E385" s="271">
        <f>IF(OR(C385="",D385=""),"",D385-C385)</f>
        <v/>
      </c>
      <c r="F385" s="172">
        <f>IF('Оперативный ввод'!F385="","",'Оперативный ввод'!F385)</f>
        <v/>
      </c>
      <c r="G385" s="172">
        <f>IF('Оперативный ввод'!G385="","",'Оперативный ввод'!G385)</f>
        <v/>
      </c>
      <c r="H385" s="172">
        <f>IF('Оперативный ввод'!H385="","",'Оперативный ввод'!H385)</f>
        <v/>
      </c>
      <c r="I385" s="172">
        <f>IF('Оперативный ввод'!I385="","",'Оперативный ввод'!I385)</f>
        <v/>
      </c>
      <c r="J385" s="172">
        <f>IF('Оперативный ввод'!J385="","",'Оперативный ввод'!J385)</f>
        <v/>
      </c>
      <c r="K385" s="172">
        <f>IF('Оперативный ввод'!K385="","",'Оперативный ввод'!K385)</f>
        <v/>
      </c>
      <c r="L385" s="172">
        <f>IF('Оперативный ввод'!L385="","",'Оперативный ввод'!L385)</f>
        <v/>
      </c>
      <c r="M385" s="172">
        <f>IF('Оперативный ввод'!M385="","",'Оперативный ввод'!M385)</f>
        <v/>
      </c>
      <c r="N385" s="172">
        <f>IF('Оперативный ввод'!N385="","",'Оперативный ввод'!N385)</f>
        <v/>
      </c>
      <c r="O385" s="172">
        <f>IF('Оперативный ввод'!O385="","",'Оперативный ввод'!O385)</f>
        <v/>
      </c>
      <c r="P385" s="205">
        <f>IF(AND(A385="",B385=""),"",IF(AND(A385&lt;&gt;"",B385&lt;&gt;"",C385&lt;&gt;"",D385&lt;&gt;"",F385&lt;&gt;"",G385&lt;&gt;"",H385&lt;&gt;"",ISERROR(SEARCH("по паспорту",G385)),ISERROR(SEARCH("по паспорту",H385)),I385&lt;&gt;"",J385&lt;&gt;"",K385&lt;&gt;"",L385&lt;&gt;"",M385&lt;&gt;""),"ГОТОВО","НЕ ГОТОВО"))</f>
        <v/>
      </c>
      <c r="Q385" s="205">
        <f>IF(P385&lt;&gt;"ГОТОВО","", "Предварительное заключение: "&amp;A385&amp;", скв. "&amp;B385&amp;". МРП: "&amp;E385&amp;" сут. ГНО: "&amp;F385&amp;", типоразмер "&amp;G385&amp;", марка "&amp;H385&amp;". Событие: "&amp;I385&amp;". Признак: "&amp;J385&amp;". Узел: "&amp;K385&amp;". Предварительная причина: "&amp;L385&amp;". Основное осложнение: "&amp;M385&amp;IF(N385&lt;&gt;"","; сопутствующее: "&amp;N385,"")&amp;IF(O385&lt;&gt;"","; дополнительно: "&amp;O385,"")&amp;".")</f>
        <v/>
      </c>
      <c r="R385" s="172">
        <f>IF('Оперативный ввод'!P385="","",'Оперативный ввод'!P385)</f>
        <v/>
      </c>
      <c r="S385" s="172">
        <f>IF('Оперативный ввод'!Q385="","",'Оперативный ввод'!Q385)</f>
        <v/>
      </c>
      <c r="T385" s="172">
        <f>IF('Оперативный ввод'!R385="","",'Оперативный ввод'!R385)</f>
        <v/>
      </c>
      <c r="U385" s="172">
        <f>IF('Оперативный ввод'!S385="","",'Оперативный ввод'!S385)</f>
        <v/>
      </c>
      <c r="V385" s="172">
        <f>IF('Оперативный ввод'!T385="","",'Оперативный ввод'!T385)</f>
        <v/>
      </c>
      <c r="W385" s="172" t="n"/>
      <c r="X385" s="172" t="n"/>
      <c r="Y385" s="172" t="n"/>
      <c r="Z385" s="172" t="n"/>
      <c r="AA385" s="172">
        <f>IF('Оперативный ввод'!U385="","",'Оперативный ввод'!U385)</f>
        <v/>
      </c>
      <c r="AB385" s="172">
        <f>IF('Оперативный ввод'!V385="","",'Оперативный ввод'!V385)</f>
        <v/>
      </c>
      <c r="AC385" s="172">
        <f>IF('Оперативный ввод'!W385="","",'Оперативный ввод'!W385)</f>
        <v/>
      </c>
      <c r="BB385" s="172" t="n"/>
      <c r="BC385" s="172" t="n"/>
      <c r="BD385" s="205">
        <f>IF(AND(A385="",B385=""),"",IF(AND(P385="ГОТОВО",R385&lt;&gt;"",T385&lt;&gt;"",U385&lt;&gt;"",AA385&lt;&gt;"",AB385&lt;&gt;"",AC385&lt;&gt;"",BB385&lt;&gt;"",BC385&lt;&gt;""),"ГОТОВО","НЕ ГОТОВО"))</f>
        <v/>
      </c>
      <c r="BE385" s="205">
        <f>IF(BD385&lt;&gt;"ГОТОВО","","Полное заключение: "&amp;A385&amp;", скв. "&amp;B385&amp;". МРП: "&amp;E385&amp;" сут. ГНО: "&amp;F385&amp;"; причина: "&amp;U385&amp;"; категория: "&amp;V385&amp;"; решение комиссии: "&amp;BB385&amp;".")</f>
        <v/>
      </c>
      <c r="BF385" s="173">
        <f>IF('Оперативный ввод'!X385="","",'Оперативный ввод'!X385)</f>
        <v/>
      </c>
    </row>
    <row r="386">
      <c r="A386" s="171">
        <f>IF('Оперативный ввод'!A386="","",'Оперативный ввод'!A386)</f>
        <v/>
      </c>
      <c r="B386" s="172">
        <f>IF('Оперативный ввод'!B386="","",'Оперативный ввод'!B386)</f>
        <v/>
      </c>
      <c r="C386" s="270">
        <f>IF('Оперативный ввод'!C386="","",'Оперативный ввод'!C386)</f>
        <v/>
      </c>
      <c r="D386" s="270">
        <f>IF('Оперативный ввод'!D386="","",'Оперативный ввод'!D386)</f>
        <v/>
      </c>
      <c r="E386" s="271">
        <f>IF(OR(C386="",D386=""),"",D386-C386)</f>
        <v/>
      </c>
      <c r="F386" s="172">
        <f>IF('Оперативный ввод'!F386="","",'Оперативный ввод'!F386)</f>
        <v/>
      </c>
      <c r="G386" s="172">
        <f>IF('Оперативный ввод'!G386="","",'Оперативный ввод'!G386)</f>
        <v/>
      </c>
      <c r="H386" s="172">
        <f>IF('Оперативный ввод'!H386="","",'Оперативный ввод'!H386)</f>
        <v/>
      </c>
      <c r="I386" s="172">
        <f>IF('Оперативный ввод'!I386="","",'Оперативный ввод'!I386)</f>
        <v/>
      </c>
      <c r="J386" s="172">
        <f>IF('Оперативный ввод'!J386="","",'Оперативный ввод'!J386)</f>
        <v/>
      </c>
      <c r="K386" s="172">
        <f>IF('Оперативный ввод'!K386="","",'Оперативный ввод'!K386)</f>
        <v/>
      </c>
      <c r="L386" s="172">
        <f>IF('Оперативный ввод'!L386="","",'Оперативный ввод'!L386)</f>
        <v/>
      </c>
      <c r="M386" s="172">
        <f>IF('Оперативный ввод'!M386="","",'Оперативный ввод'!M386)</f>
        <v/>
      </c>
      <c r="N386" s="172">
        <f>IF('Оперативный ввод'!N386="","",'Оперативный ввод'!N386)</f>
        <v/>
      </c>
      <c r="O386" s="172">
        <f>IF('Оперативный ввод'!O386="","",'Оперативный ввод'!O386)</f>
        <v/>
      </c>
      <c r="P386" s="205">
        <f>IF(AND(A386="",B386=""),"",IF(AND(A386&lt;&gt;"",B386&lt;&gt;"",C386&lt;&gt;"",D386&lt;&gt;"",F386&lt;&gt;"",G386&lt;&gt;"",H386&lt;&gt;"",ISERROR(SEARCH("по паспорту",G386)),ISERROR(SEARCH("по паспорту",H386)),I386&lt;&gt;"",J386&lt;&gt;"",K386&lt;&gt;"",L386&lt;&gt;"",M386&lt;&gt;""),"ГОТОВО","НЕ ГОТОВО"))</f>
        <v/>
      </c>
      <c r="Q386" s="205">
        <f>IF(P386&lt;&gt;"ГОТОВО","", "Предварительное заключение: "&amp;A386&amp;", скв. "&amp;B386&amp;". МРП: "&amp;E386&amp;" сут. ГНО: "&amp;F386&amp;", типоразмер "&amp;G386&amp;", марка "&amp;H386&amp;". Событие: "&amp;I386&amp;". Признак: "&amp;J386&amp;". Узел: "&amp;K386&amp;". Предварительная причина: "&amp;L386&amp;". Основное осложнение: "&amp;M386&amp;IF(N386&lt;&gt;"","; сопутствующее: "&amp;N386,"")&amp;IF(O386&lt;&gt;"","; дополнительно: "&amp;O386,"")&amp;".")</f>
        <v/>
      </c>
      <c r="R386" s="172">
        <f>IF('Оперативный ввод'!P386="","",'Оперативный ввод'!P386)</f>
        <v/>
      </c>
      <c r="S386" s="172">
        <f>IF('Оперативный ввод'!Q386="","",'Оперативный ввод'!Q386)</f>
        <v/>
      </c>
      <c r="T386" s="172">
        <f>IF('Оперативный ввод'!R386="","",'Оперативный ввод'!R386)</f>
        <v/>
      </c>
      <c r="U386" s="172">
        <f>IF('Оперативный ввод'!S386="","",'Оперативный ввод'!S386)</f>
        <v/>
      </c>
      <c r="V386" s="172">
        <f>IF('Оперативный ввод'!T386="","",'Оперативный ввод'!T386)</f>
        <v/>
      </c>
      <c r="W386" s="172" t="n"/>
      <c r="X386" s="172" t="n"/>
      <c r="Y386" s="172" t="n"/>
      <c r="Z386" s="172" t="n"/>
      <c r="AA386" s="172">
        <f>IF('Оперативный ввод'!U386="","",'Оперативный ввод'!U386)</f>
        <v/>
      </c>
      <c r="AB386" s="172">
        <f>IF('Оперативный ввод'!V386="","",'Оперативный ввод'!V386)</f>
        <v/>
      </c>
      <c r="AC386" s="172">
        <f>IF('Оперативный ввод'!W386="","",'Оперативный ввод'!W386)</f>
        <v/>
      </c>
      <c r="BB386" s="172" t="n"/>
      <c r="BC386" s="172" t="n"/>
      <c r="BD386" s="205">
        <f>IF(AND(A386="",B386=""),"",IF(AND(P386="ГОТОВО",R386&lt;&gt;"",T386&lt;&gt;"",U386&lt;&gt;"",AA386&lt;&gt;"",AB386&lt;&gt;"",AC386&lt;&gt;"",BB386&lt;&gt;"",BC386&lt;&gt;""),"ГОТОВО","НЕ ГОТОВО"))</f>
        <v/>
      </c>
      <c r="BE386" s="205">
        <f>IF(BD386&lt;&gt;"ГОТОВО","","Полное заключение: "&amp;A386&amp;", скв. "&amp;B386&amp;". МРП: "&amp;E386&amp;" сут. ГНО: "&amp;F386&amp;"; причина: "&amp;U386&amp;"; категория: "&amp;V386&amp;"; решение комиссии: "&amp;BB386&amp;".")</f>
        <v/>
      </c>
      <c r="BF386" s="173">
        <f>IF('Оперативный ввод'!X386="","",'Оперативный ввод'!X386)</f>
        <v/>
      </c>
    </row>
    <row r="387">
      <c r="A387" s="171">
        <f>IF('Оперативный ввод'!A387="","",'Оперативный ввод'!A387)</f>
        <v/>
      </c>
      <c r="B387" s="172">
        <f>IF('Оперативный ввод'!B387="","",'Оперативный ввод'!B387)</f>
        <v/>
      </c>
      <c r="C387" s="270">
        <f>IF('Оперативный ввод'!C387="","",'Оперативный ввод'!C387)</f>
        <v/>
      </c>
      <c r="D387" s="270">
        <f>IF('Оперативный ввод'!D387="","",'Оперативный ввод'!D387)</f>
        <v/>
      </c>
      <c r="E387" s="271">
        <f>IF(OR(C387="",D387=""),"",D387-C387)</f>
        <v/>
      </c>
      <c r="F387" s="172">
        <f>IF('Оперативный ввод'!F387="","",'Оперативный ввод'!F387)</f>
        <v/>
      </c>
      <c r="G387" s="172">
        <f>IF('Оперативный ввод'!G387="","",'Оперативный ввод'!G387)</f>
        <v/>
      </c>
      <c r="H387" s="172">
        <f>IF('Оперативный ввод'!H387="","",'Оперативный ввод'!H387)</f>
        <v/>
      </c>
      <c r="I387" s="172">
        <f>IF('Оперативный ввод'!I387="","",'Оперативный ввод'!I387)</f>
        <v/>
      </c>
      <c r="J387" s="172">
        <f>IF('Оперативный ввод'!J387="","",'Оперативный ввод'!J387)</f>
        <v/>
      </c>
      <c r="K387" s="172">
        <f>IF('Оперативный ввод'!K387="","",'Оперативный ввод'!K387)</f>
        <v/>
      </c>
      <c r="L387" s="172">
        <f>IF('Оперативный ввод'!L387="","",'Оперативный ввод'!L387)</f>
        <v/>
      </c>
      <c r="M387" s="172">
        <f>IF('Оперативный ввод'!M387="","",'Оперативный ввод'!M387)</f>
        <v/>
      </c>
      <c r="N387" s="172">
        <f>IF('Оперативный ввод'!N387="","",'Оперативный ввод'!N387)</f>
        <v/>
      </c>
      <c r="O387" s="172">
        <f>IF('Оперативный ввод'!O387="","",'Оперативный ввод'!O387)</f>
        <v/>
      </c>
      <c r="P387" s="205">
        <f>IF(AND(A387="",B387=""),"",IF(AND(A387&lt;&gt;"",B387&lt;&gt;"",C387&lt;&gt;"",D387&lt;&gt;"",F387&lt;&gt;"",G387&lt;&gt;"",H387&lt;&gt;"",ISERROR(SEARCH("по паспорту",G387)),ISERROR(SEARCH("по паспорту",H387)),I387&lt;&gt;"",J387&lt;&gt;"",K387&lt;&gt;"",L387&lt;&gt;"",M387&lt;&gt;""),"ГОТОВО","НЕ ГОТОВО"))</f>
        <v/>
      </c>
      <c r="Q387" s="205">
        <f>IF(P387&lt;&gt;"ГОТОВО","", "Предварительное заключение: "&amp;A387&amp;", скв. "&amp;B387&amp;". МРП: "&amp;E387&amp;" сут. ГНО: "&amp;F387&amp;", типоразмер "&amp;G387&amp;", марка "&amp;H387&amp;". Событие: "&amp;I387&amp;". Признак: "&amp;J387&amp;". Узел: "&amp;K387&amp;". Предварительная причина: "&amp;L387&amp;". Основное осложнение: "&amp;M387&amp;IF(N387&lt;&gt;"","; сопутствующее: "&amp;N387,"")&amp;IF(O387&lt;&gt;"","; дополнительно: "&amp;O387,"")&amp;".")</f>
        <v/>
      </c>
      <c r="R387" s="172">
        <f>IF('Оперативный ввод'!P387="","",'Оперативный ввод'!P387)</f>
        <v/>
      </c>
      <c r="S387" s="172">
        <f>IF('Оперативный ввод'!Q387="","",'Оперативный ввод'!Q387)</f>
        <v/>
      </c>
      <c r="T387" s="172">
        <f>IF('Оперативный ввод'!R387="","",'Оперативный ввод'!R387)</f>
        <v/>
      </c>
      <c r="U387" s="172">
        <f>IF('Оперативный ввод'!S387="","",'Оперативный ввод'!S387)</f>
        <v/>
      </c>
      <c r="V387" s="172">
        <f>IF('Оперативный ввод'!T387="","",'Оперативный ввод'!T387)</f>
        <v/>
      </c>
      <c r="W387" s="172" t="n"/>
      <c r="X387" s="172" t="n"/>
      <c r="Y387" s="172" t="n"/>
      <c r="Z387" s="172" t="n"/>
      <c r="AA387" s="172">
        <f>IF('Оперативный ввод'!U387="","",'Оперативный ввод'!U387)</f>
        <v/>
      </c>
      <c r="AB387" s="172">
        <f>IF('Оперативный ввод'!V387="","",'Оперативный ввод'!V387)</f>
        <v/>
      </c>
      <c r="AC387" s="172">
        <f>IF('Оперативный ввод'!W387="","",'Оперативный ввод'!W387)</f>
        <v/>
      </c>
      <c r="BB387" s="172" t="n"/>
      <c r="BC387" s="172" t="n"/>
      <c r="BD387" s="205">
        <f>IF(AND(A387="",B387=""),"",IF(AND(P387="ГОТОВО",R387&lt;&gt;"",T387&lt;&gt;"",U387&lt;&gt;"",AA387&lt;&gt;"",AB387&lt;&gt;"",AC387&lt;&gt;"",BB387&lt;&gt;"",BC387&lt;&gt;""),"ГОТОВО","НЕ ГОТОВО"))</f>
        <v/>
      </c>
      <c r="BE387" s="205">
        <f>IF(BD387&lt;&gt;"ГОТОВО","","Полное заключение: "&amp;A387&amp;", скв. "&amp;B387&amp;". МРП: "&amp;E387&amp;" сут. ГНО: "&amp;F387&amp;"; причина: "&amp;U387&amp;"; категория: "&amp;V387&amp;"; решение комиссии: "&amp;BB387&amp;".")</f>
        <v/>
      </c>
      <c r="BF387" s="173">
        <f>IF('Оперативный ввод'!X387="","",'Оперативный ввод'!X387)</f>
        <v/>
      </c>
    </row>
    <row r="388">
      <c r="A388" s="171">
        <f>IF('Оперативный ввод'!A388="","",'Оперативный ввод'!A388)</f>
        <v/>
      </c>
      <c r="B388" s="172">
        <f>IF('Оперативный ввод'!B388="","",'Оперативный ввод'!B388)</f>
        <v/>
      </c>
      <c r="C388" s="270">
        <f>IF('Оперативный ввод'!C388="","",'Оперативный ввод'!C388)</f>
        <v/>
      </c>
      <c r="D388" s="270">
        <f>IF('Оперативный ввод'!D388="","",'Оперативный ввод'!D388)</f>
        <v/>
      </c>
      <c r="E388" s="271">
        <f>IF(OR(C388="",D388=""),"",D388-C388)</f>
        <v/>
      </c>
      <c r="F388" s="172">
        <f>IF('Оперативный ввод'!F388="","",'Оперативный ввод'!F388)</f>
        <v/>
      </c>
      <c r="G388" s="172">
        <f>IF('Оперативный ввод'!G388="","",'Оперативный ввод'!G388)</f>
        <v/>
      </c>
      <c r="H388" s="172">
        <f>IF('Оперативный ввод'!H388="","",'Оперативный ввод'!H388)</f>
        <v/>
      </c>
      <c r="I388" s="172">
        <f>IF('Оперативный ввод'!I388="","",'Оперативный ввод'!I388)</f>
        <v/>
      </c>
      <c r="J388" s="172">
        <f>IF('Оперативный ввод'!J388="","",'Оперативный ввод'!J388)</f>
        <v/>
      </c>
      <c r="K388" s="172">
        <f>IF('Оперативный ввод'!K388="","",'Оперативный ввод'!K388)</f>
        <v/>
      </c>
      <c r="L388" s="172">
        <f>IF('Оперативный ввод'!L388="","",'Оперативный ввод'!L388)</f>
        <v/>
      </c>
      <c r="M388" s="172">
        <f>IF('Оперативный ввод'!M388="","",'Оперативный ввод'!M388)</f>
        <v/>
      </c>
      <c r="N388" s="172">
        <f>IF('Оперативный ввод'!N388="","",'Оперативный ввод'!N388)</f>
        <v/>
      </c>
      <c r="O388" s="172">
        <f>IF('Оперативный ввод'!O388="","",'Оперативный ввод'!O388)</f>
        <v/>
      </c>
      <c r="P388" s="205">
        <f>IF(AND(A388="",B388=""),"",IF(AND(A388&lt;&gt;"",B388&lt;&gt;"",C388&lt;&gt;"",D388&lt;&gt;"",F388&lt;&gt;"",G388&lt;&gt;"",H388&lt;&gt;"",ISERROR(SEARCH("по паспорту",G388)),ISERROR(SEARCH("по паспорту",H388)),I388&lt;&gt;"",J388&lt;&gt;"",K388&lt;&gt;"",L388&lt;&gt;"",M388&lt;&gt;""),"ГОТОВО","НЕ ГОТОВО"))</f>
        <v/>
      </c>
      <c r="Q388" s="205">
        <f>IF(P388&lt;&gt;"ГОТОВО","", "Предварительное заключение: "&amp;A388&amp;", скв. "&amp;B388&amp;". МРП: "&amp;E388&amp;" сут. ГНО: "&amp;F388&amp;", типоразмер "&amp;G388&amp;", марка "&amp;H388&amp;". Событие: "&amp;I388&amp;". Признак: "&amp;J388&amp;". Узел: "&amp;K388&amp;". Предварительная причина: "&amp;L388&amp;". Основное осложнение: "&amp;M388&amp;IF(N388&lt;&gt;"","; сопутствующее: "&amp;N388,"")&amp;IF(O388&lt;&gt;"","; дополнительно: "&amp;O388,"")&amp;".")</f>
        <v/>
      </c>
      <c r="R388" s="172">
        <f>IF('Оперативный ввод'!P388="","",'Оперативный ввод'!P388)</f>
        <v/>
      </c>
      <c r="S388" s="172">
        <f>IF('Оперативный ввод'!Q388="","",'Оперативный ввод'!Q388)</f>
        <v/>
      </c>
      <c r="T388" s="172">
        <f>IF('Оперативный ввод'!R388="","",'Оперативный ввод'!R388)</f>
        <v/>
      </c>
      <c r="U388" s="172">
        <f>IF('Оперативный ввод'!S388="","",'Оперативный ввод'!S388)</f>
        <v/>
      </c>
      <c r="V388" s="172">
        <f>IF('Оперативный ввод'!T388="","",'Оперативный ввод'!T388)</f>
        <v/>
      </c>
      <c r="W388" s="172" t="n"/>
      <c r="X388" s="172" t="n"/>
      <c r="Y388" s="172" t="n"/>
      <c r="Z388" s="172" t="n"/>
      <c r="AA388" s="172">
        <f>IF('Оперативный ввод'!U388="","",'Оперативный ввод'!U388)</f>
        <v/>
      </c>
      <c r="AB388" s="172">
        <f>IF('Оперативный ввод'!V388="","",'Оперативный ввод'!V388)</f>
        <v/>
      </c>
      <c r="AC388" s="172">
        <f>IF('Оперативный ввод'!W388="","",'Оперативный ввод'!W388)</f>
        <v/>
      </c>
      <c r="BB388" s="172" t="n"/>
      <c r="BC388" s="172" t="n"/>
      <c r="BD388" s="205">
        <f>IF(AND(A388="",B388=""),"",IF(AND(P388="ГОТОВО",R388&lt;&gt;"",T388&lt;&gt;"",U388&lt;&gt;"",AA388&lt;&gt;"",AB388&lt;&gt;"",AC388&lt;&gt;"",BB388&lt;&gt;"",BC388&lt;&gt;""),"ГОТОВО","НЕ ГОТОВО"))</f>
        <v/>
      </c>
      <c r="BE388" s="205">
        <f>IF(BD388&lt;&gt;"ГОТОВО","","Полное заключение: "&amp;A388&amp;", скв. "&amp;B388&amp;". МРП: "&amp;E388&amp;" сут. ГНО: "&amp;F388&amp;"; причина: "&amp;U388&amp;"; категория: "&amp;V388&amp;"; решение комиссии: "&amp;BB388&amp;".")</f>
        <v/>
      </c>
      <c r="BF388" s="173">
        <f>IF('Оперативный ввод'!X388="","",'Оперативный ввод'!X388)</f>
        <v/>
      </c>
    </row>
    <row r="389">
      <c r="A389" s="171">
        <f>IF('Оперативный ввод'!A389="","",'Оперативный ввод'!A389)</f>
        <v/>
      </c>
      <c r="B389" s="172">
        <f>IF('Оперативный ввод'!B389="","",'Оперативный ввод'!B389)</f>
        <v/>
      </c>
      <c r="C389" s="270">
        <f>IF('Оперативный ввод'!C389="","",'Оперативный ввод'!C389)</f>
        <v/>
      </c>
      <c r="D389" s="270">
        <f>IF('Оперативный ввод'!D389="","",'Оперативный ввод'!D389)</f>
        <v/>
      </c>
      <c r="E389" s="271">
        <f>IF(OR(C389="",D389=""),"",D389-C389)</f>
        <v/>
      </c>
      <c r="F389" s="172">
        <f>IF('Оперативный ввод'!F389="","",'Оперативный ввод'!F389)</f>
        <v/>
      </c>
      <c r="G389" s="172">
        <f>IF('Оперативный ввод'!G389="","",'Оперативный ввод'!G389)</f>
        <v/>
      </c>
      <c r="H389" s="172">
        <f>IF('Оперативный ввод'!H389="","",'Оперативный ввод'!H389)</f>
        <v/>
      </c>
      <c r="I389" s="172">
        <f>IF('Оперативный ввод'!I389="","",'Оперативный ввод'!I389)</f>
        <v/>
      </c>
      <c r="J389" s="172">
        <f>IF('Оперативный ввод'!J389="","",'Оперативный ввод'!J389)</f>
        <v/>
      </c>
      <c r="K389" s="172">
        <f>IF('Оперативный ввод'!K389="","",'Оперативный ввод'!K389)</f>
        <v/>
      </c>
      <c r="L389" s="172">
        <f>IF('Оперативный ввод'!L389="","",'Оперативный ввод'!L389)</f>
        <v/>
      </c>
      <c r="M389" s="172">
        <f>IF('Оперативный ввод'!M389="","",'Оперативный ввод'!M389)</f>
        <v/>
      </c>
      <c r="N389" s="172">
        <f>IF('Оперативный ввод'!N389="","",'Оперативный ввод'!N389)</f>
        <v/>
      </c>
      <c r="O389" s="172">
        <f>IF('Оперативный ввод'!O389="","",'Оперативный ввод'!O389)</f>
        <v/>
      </c>
      <c r="P389" s="205">
        <f>IF(AND(A389="",B389=""),"",IF(AND(A389&lt;&gt;"",B389&lt;&gt;"",C389&lt;&gt;"",D389&lt;&gt;"",F389&lt;&gt;"",G389&lt;&gt;"",H389&lt;&gt;"",ISERROR(SEARCH("по паспорту",G389)),ISERROR(SEARCH("по паспорту",H389)),I389&lt;&gt;"",J389&lt;&gt;"",K389&lt;&gt;"",L389&lt;&gt;"",M389&lt;&gt;""),"ГОТОВО","НЕ ГОТОВО"))</f>
        <v/>
      </c>
      <c r="Q389" s="205">
        <f>IF(P389&lt;&gt;"ГОТОВО","", "Предварительное заключение: "&amp;A389&amp;", скв. "&amp;B389&amp;". МРП: "&amp;E389&amp;" сут. ГНО: "&amp;F389&amp;", типоразмер "&amp;G389&amp;", марка "&amp;H389&amp;". Событие: "&amp;I389&amp;". Признак: "&amp;J389&amp;". Узел: "&amp;K389&amp;". Предварительная причина: "&amp;L389&amp;". Основное осложнение: "&amp;M389&amp;IF(N389&lt;&gt;"","; сопутствующее: "&amp;N389,"")&amp;IF(O389&lt;&gt;"","; дополнительно: "&amp;O389,"")&amp;".")</f>
        <v/>
      </c>
      <c r="R389" s="172">
        <f>IF('Оперативный ввод'!P389="","",'Оперативный ввод'!P389)</f>
        <v/>
      </c>
      <c r="S389" s="172">
        <f>IF('Оперативный ввод'!Q389="","",'Оперативный ввод'!Q389)</f>
        <v/>
      </c>
      <c r="T389" s="172">
        <f>IF('Оперативный ввод'!R389="","",'Оперативный ввод'!R389)</f>
        <v/>
      </c>
      <c r="U389" s="172">
        <f>IF('Оперативный ввод'!S389="","",'Оперативный ввод'!S389)</f>
        <v/>
      </c>
      <c r="V389" s="172">
        <f>IF('Оперативный ввод'!T389="","",'Оперативный ввод'!T389)</f>
        <v/>
      </c>
      <c r="W389" s="172" t="n"/>
      <c r="X389" s="172" t="n"/>
      <c r="Y389" s="172" t="n"/>
      <c r="Z389" s="172" t="n"/>
      <c r="AA389" s="172">
        <f>IF('Оперативный ввод'!U389="","",'Оперативный ввод'!U389)</f>
        <v/>
      </c>
      <c r="AB389" s="172">
        <f>IF('Оперативный ввод'!V389="","",'Оперативный ввод'!V389)</f>
        <v/>
      </c>
      <c r="AC389" s="172">
        <f>IF('Оперативный ввод'!W389="","",'Оперативный ввод'!W389)</f>
        <v/>
      </c>
      <c r="BB389" s="172" t="n"/>
      <c r="BC389" s="172" t="n"/>
      <c r="BD389" s="205">
        <f>IF(AND(A389="",B389=""),"",IF(AND(P389="ГОТОВО",R389&lt;&gt;"",T389&lt;&gt;"",U389&lt;&gt;"",AA389&lt;&gt;"",AB389&lt;&gt;"",AC389&lt;&gt;"",BB389&lt;&gt;"",BC389&lt;&gt;""),"ГОТОВО","НЕ ГОТОВО"))</f>
        <v/>
      </c>
      <c r="BE389" s="205">
        <f>IF(BD389&lt;&gt;"ГОТОВО","","Полное заключение: "&amp;A389&amp;", скв. "&amp;B389&amp;". МРП: "&amp;E389&amp;" сут. ГНО: "&amp;F389&amp;"; причина: "&amp;U389&amp;"; категория: "&amp;V389&amp;"; решение комиссии: "&amp;BB389&amp;".")</f>
        <v/>
      </c>
      <c r="BF389" s="173">
        <f>IF('Оперативный ввод'!X389="","",'Оперативный ввод'!X389)</f>
        <v/>
      </c>
    </row>
    <row r="390">
      <c r="A390" s="171">
        <f>IF('Оперативный ввод'!A390="","",'Оперативный ввод'!A390)</f>
        <v/>
      </c>
      <c r="B390" s="172">
        <f>IF('Оперативный ввод'!B390="","",'Оперативный ввод'!B390)</f>
        <v/>
      </c>
      <c r="C390" s="270">
        <f>IF('Оперативный ввод'!C390="","",'Оперативный ввод'!C390)</f>
        <v/>
      </c>
      <c r="D390" s="270">
        <f>IF('Оперативный ввод'!D390="","",'Оперативный ввод'!D390)</f>
        <v/>
      </c>
      <c r="E390" s="271">
        <f>IF(OR(C390="",D390=""),"",D390-C390)</f>
        <v/>
      </c>
      <c r="F390" s="172">
        <f>IF('Оперативный ввод'!F390="","",'Оперативный ввод'!F390)</f>
        <v/>
      </c>
      <c r="G390" s="172">
        <f>IF('Оперативный ввод'!G390="","",'Оперативный ввод'!G390)</f>
        <v/>
      </c>
      <c r="H390" s="172">
        <f>IF('Оперативный ввод'!H390="","",'Оперативный ввод'!H390)</f>
        <v/>
      </c>
      <c r="I390" s="172">
        <f>IF('Оперативный ввод'!I390="","",'Оперативный ввод'!I390)</f>
        <v/>
      </c>
      <c r="J390" s="172">
        <f>IF('Оперативный ввод'!J390="","",'Оперативный ввод'!J390)</f>
        <v/>
      </c>
      <c r="K390" s="172">
        <f>IF('Оперативный ввод'!K390="","",'Оперативный ввод'!K390)</f>
        <v/>
      </c>
      <c r="L390" s="172">
        <f>IF('Оперативный ввод'!L390="","",'Оперативный ввод'!L390)</f>
        <v/>
      </c>
      <c r="M390" s="172">
        <f>IF('Оперативный ввод'!M390="","",'Оперативный ввод'!M390)</f>
        <v/>
      </c>
      <c r="N390" s="172">
        <f>IF('Оперативный ввод'!N390="","",'Оперативный ввод'!N390)</f>
        <v/>
      </c>
      <c r="O390" s="172">
        <f>IF('Оперативный ввод'!O390="","",'Оперативный ввод'!O390)</f>
        <v/>
      </c>
      <c r="P390" s="205">
        <f>IF(AND(A390="",B390=""),"",IF(AND(A390&lt;&gt;"",B390&lt;&gt;"",C390&lt;&gt;"",D390&lt;&gt;"",F390&lt;&gt;"",G390&lt;&gt;"",H390&lt;&gt;"",ISERROR(SEARCH("по паспорту",G390)),ISERROR(SEARCH("по паспорту",H390)),I390&lt;&gt;"",J390&lt;&gt;"",K390&lt;&gt;"",L390&lt;&gt;"",M390&lt;&gt;""),"ГОТОВО","НЕ ГОТОВО"))</f>
        <v/>
      </c>
      <c r="Q390" s="205">
        <f>IF(P390&lt;&gt;"ГОТОВО","", "Предварительное заключение: "&amp;A390&amp;", скв. "&amp;B390&amp;". МРП: "&amp;E390&amp;" сут. ГНО: "&amp;F390&amp;", типоразмер "&amp;G390&amp;", марка "&amp;H390&amp;". Событие: "&amp;I390&amp;". Признак: "&amp;J390&amp;". Узел: "&amp;K390&amp;". Предварительная причина: "&amp;L390&amp;". Основное осложнение: "&amp;M390&amp;IF(N390&lt;&gt;"","; сопутствующее: "&amp;N390,"")&amp;IF(O390&lt;&gt;"","; дополнительно: "&amp;O390,"")&amp;".")</f>
        <v/>
      </c>
      <c r="R390" s="172">
        <f>IF('Оперативный ввод'!P390="","",'Оперативный ввод'!P390)</f>
        <v/>
      </c>
      <c r="S390" s="172">
        <f>IF('Оперативный ввод'!Q390="","",'Оперативный ввод'!Q390)</f>
        <v/>
      </c>
      <c r="T390" s="172">
        <f>IF('Оперативный ввод'!R390="","",'Оперативный ввод'!R390)</f>
        <v/>
      </c>
      <c r="U390" s="172">
        <f>IF('Оперативный ввод'!S390="","",'Оперативный ввод'!S390)</f>
        <v/>
      </c>
      <c r="V390" s="172">
        <f>IF('Оперативный ввод'!T390="","",'Оперативный ввод'!T390)</f>
        <v/>
      </c>
      <c r="W390" s="172" t="n"/>
      <c r="X390" s="172" t="n"/>
      <c r="Y390" s="172" t="n"/>
      <c r="Z390" s="172" t="n"/>
      <c r="AA390" s="172">
        <f>IF('Оперативный ввод'!U390="","",'Оперативный ввод'!U390)</f>
        <v/>
      </c>
      <c r="AB390" s="172">
        <f>IF('Оперативный ввод'!V390="","",'Оперативный ввод'!V390)</f>
        <v/>
      </c>
      <c r="AC390" s="172">
        <f>IF('Оперативный ввод'!W390="","",'Оперативный ввод'!W390)</f>
        <v/>
      </c>
      <c r="BB390" s="172" t="n"/>
      <c r="BC390" s="172" t="n"/>
      <c r="BD390" s="205">
        <f>IF(AND(A390="",B390=""),"",IF(AND(P390="ГОТОВО",R390&lt;&gt;"",T390&lt;&gt;"",U390&lt;&gt;"",AA390&lt;&gt;"",AB390&lt;&gt;"",AC390&lt;&gt;"",BB390&lt;&gt;"",BC390&lt;&gt;""),"ГОТОВО","НЕ ГОТОВО"))</f>
        <v/>
      </c>
      <c r="BE390" s="205">
        <f>IF(BD390&lt;&gt;"ГОТОВО","","Полное заключение: "&amp;A390&amp;", скв. "&amp;B390&amp;". МРП: "&amp;E390&amp;" сут. ГНО: "&amp;F390&amp;"; причина: "&amp;U390&amp;"; категория: "&amp;V390&amp;"; решение комиссии: "&amp;BB390&amp;".")</f>
        <v/>
      </c>
      <c r="BF390" s="173">
        <f>IF('Оперативный ввод'!X390="","",'Оперативный ввод'!X390)</f>
        <v/>
      </c>
    </row>
    <row r="391">
      <c r="A391" s="171">
        <f>IF('Оперативный ввод'!A391="","",'Оперативный ввод'!A391)</f>
        <v/>
      </c>
      <c r="B391" s="172">
        <f>IF('Оперативный ввод'!B391="","",'Оперативный ввод'!B391)</f>
        <v/>
      </c>
      <c r="C391" s="270">
        <f>IF('Оперативный ввод'!C391="","",'Оперативный ввод'!C391)</f>
        <v/>
      </c>
      <c r="D391" s="270">
        <f>IF('Оперативный ввод'!D391="","",'Оперативный ввод'!D391)</f>
        <v/>
      </c>
      <c r="E391" s="271">
        <f>IF(OR(C391="",D391=""),"",D391-C391)</f>
        <v/>
      </c>
      <c r="F391" s="172">
        <f>IF('Оперативный ввод'!F391="","",'Оперативный ввод'!F391)</f>
        <v/>
      </c>
      <c r="G391" s="172">
        <f>IF('Оперативный ввод'!G391="","",'Оперативный ввод'!G391)</f>
        <v/>
      </c>
      <c r="H391" s="172">
        <f>IF('Оперативный ввод'!H391="","",'Оперативный ввод'!H391)</f>
        <v/>
      </c>
      <c r="I391" s="172">
        <f>IF('Оперативный ввод'!I391="","",'Оперативный ввод'!I391)</f>
        <v/>
      </c>
      <c r="J391" s="172">
        <f>IF('Оперативный ввод'!J391="","",'Оперативный ввод'!J391)</f>
        <v/>
      </c>
      <c r="K391" s="172">
        <f>IF('Оперативный ввод'!K391="","",'Оперативный ввод'!K391)</f>
        <v/>
      </c>
      <c r="L391" s="172">
        <f>IF('Оперативный ввод'!L391="","",'Оперативный ввод'!L391)</f>
        <v/>
      </c>
      <c r="M391" s="172">
        <f>IF('Оперативный ввод'!M391="","",'Оперативный ввод'!M391)</f>
        <v/>
      </c>
      <c r="N391" s="172">
        <f>IF('Оперативный ввод'!N391="","",'Оперативный ввод'!N391)</f>
        <v/>
      </c>
      <c r="O391" s="172">
        <f>IF('Оперативный ввод'!O391="","",'Оперативный ввод'!O391)</f>
        <v/>
      </c>
      <c r="P391" s="205">
        <f>IF(AND(A391="",B391=""),"",IF(AND(A391&lt;&gt;"",B391&lt;&gt;"",C391&lt;&gt;"",D391&lt;&gt;"",F391&lt;&gt;"",G391&lt;&gt;"",H391&lt;&gt;"",ISERROR(SEARCH("по паспорту",G391)),ISERROR(SEARCH("по паспорту",H391)),I391&lt;&gt;"",J391&lt;&gt;"",K391&lt;&gt;"",L391&lt;&gt;"",M391&lt;&gt;""),"ГОТОВО","НЕ ГОТОВО"))</f>
        <v/>
      </c>
      <c r="Q391" s="205">
        <f>IF(P391&lt;&gt;"ГОТОВО","", "Предварительное заключение: "&amp;A391&amp;", скв. "&amp;B391&amp;". МРП: "&amp;E391&amp;" сут. ГНО: "&amp;F391&amp;", типоразмер "&amp;G391&amp;", марка "&amp;H391&amp;". Событие: "&amp;I391&amp;". Признак: "&amp;J391&amp;". Узел: "&amp;K391&amp;". Предварительная причина: "&amp;L391&amp;". Основное осложнение: "&amp;M391&amp;IF(N391&lt;&gt;"","; сопутствующее: "&amp;N391,"")&amp;IF(O391&lt;&gt;"","; дополнительно: "&amp;O391,"")&amp;".")</f>
        <v/>
      </c>
      <c r="R391" s="172">
        <f>IF('Оперативный ввод'!P391="","",'Оперативный ввод'!P391)</f>
        <v/>
      </c>
      <c r="S391" s="172">
        <f>IF('Оперативный ввод'!Q391="","",'Оперативный ввод'!Q391)</f>
        <v/>
      </c>
      <c r="T391" s="172">
        <f>IF('Оперативный ввод'!R391="","",'Оперативный ввод'!R391)</f>
        <v/>
      </c>
      <c r="U391" s="172">
        <f>IF('Оперативный ввод'!S391="","",'Оперативный ввод'!S391)</f>
        <v/>
      </c>
      <c r="V391" s="172">
        <f>IF('Оперативный ввод'!T391="","",'Оперативный ввод'!T391)</f>
        <v/>
      </c>
      <c r="W391" s="172" t="n"/>
      <c r="X391" s="172" t="n"/>
      <c r="Y391" s="172" t="n"/>
      <c r="Z391" s="172" t="n"/>
      <c r="AA391" s="172">
        <f>IF('Оперативный ввод'!U391="","",'Оперативный ввод'!U391)</f>
        <v/>
      </c>
      <c r="AB391" s="172">
        <f>IF('Оперативный ввод'!V391="","",'Оперативный ввод'!V391)</f>
        <v/>
      </c>
      <c r="AC391" s="172">
        <f>IF('Оперативный ввод'!W391="","",'Оперативный ввод'!W391)</f>
        <v/>
      </c>
      <c r="BB391" s="172" t="n"/>
      <c r="BC391" s="172" t="n"/>
      <c r="BD391" s="205">
        <f>IF(AND(A391="",B391=""),"",IF(AND(P391="ГОТОВО",R391&lt;&gt;"",T391&lt;&gt;"",U391&lt;&gt;"",AA391&lt;&gt;"",AB391&lt;&gt;"",AC391&lt;&gt;"",BB391&lt;&gt;"",BC391&lt;&gt;""),"ГОТОВО","НЕ ГОТОВО"))</f>
        <v/>
      </c>
      <c r="BE391" s="205">
        <f>IF(BD391&lt;&gt;"ГОТОВО","","Полное заключение: "&amp;A391&amp;", скв. "&amp;B391&amp;". МРП: "&amp;E391&amp;" сут. ГНО: "&amp;F391&amp;"; причина: "&amp;U391&amp;"; категория: "&amp;V391&amp;"; решение комиссии: "&amp;BB391&amp;".")</f>
        <v/>
      </c>
      <c r="BF391" s="173">
        <f>IF('Оперативный ввод'!X391="","",'Оперативный ввод'!X391)</f>
        <v/>
      </c>
    </row>
    <row r="392">
      <c r="A392" s="171">
        <f>IF('Оперативный ввод'!A392="","",'Оперативный ввод'!A392)</f>
        <v/>
      </c>
      <c r="B392" s="172">
        <f>IF('Оперативный ввод'!B392="","",'Оперативный ввод'!B392)</f>
        <v/>
      </c>
      <c r="C392" s="270">
        <f>IF('Оперативный ввод'!C392="","",'Оперативный ввод'!C392)</f>
        <v/>
      </c>
      <c r="D392" s="270">
        <f>IF('Оперативный ввод'!D392="","",'Оперативный ввод'!D392)</f>
        <v/>
      </c>
      <c r="E392" s="271">
        <f>IF(OR(C392="",D392=""),"",D392-C392)</f>
        <v/>
      </c>
      <c r="F392" s="172">
        <f>IF('Оперативный ввод'!F392="","",'Оперативный ввод'!F392)</f>
        <v/>
      </c>
      <c r="G392" s="172">
        <f>IF('Оперативный ввод'!G392="","",'Оперативный ввод'!G392)</f>
        <v/>
      </c>
      <c r="H392" s="172">
        <f>IF('Оперативный ввод'!H392="","",'Оперативный ввод'!H392)</f>
        <v/>
      </c>
      <c r="I392" s="172">
        <f>IF('Оперативный ввод'!I392="","",'Оперативный ввод'!I392)</f>
        <v/>
      </c>
      <c r="J392" s="172">
        <f>IF('Оперативный ввод'!J392="","",'Оперативный ввод'!J392)</f>
        <v/>
      </c>
      <c r="K392" s="172">
        <f>IF('Оперативный ввод'!K392="","",'Оперативный ввод'!K392)</f>
        <v/>
      </c>
      <c r="L392" s="172">
        <f>IF('Оперативный ввод'!L392="","",'Оперативный ввод'!L392)</f>
        <v/>
      </c>
      <c r="M392" s="172">
        <f>IF('Оперативный ввод'!M392="","",'Оперативный ввод'!M392)</f>
        <v/>
      </c>
      <c r="N392" s="172">
        <f>IF('Оперативный ввод'!N392="","",'Оперативный ввод'!N392)</f>
        <v/>
      </c>
      <c r="O392" s="172">
        <f>IF('Оперативный ввод'!O392="","",'Оперативный ввод'!O392)</f>
        <v/>
      </c>
      <c r="P392" s="205">
        <f>IF(AND(A392="",B392=""),"",IF(AND(A392&lt;&gt;"",B392&lt;&gt;"",C392&lt;&gt;"",D392&lt;&gt;"",F392&lt;&gt;"",G392&lt;&gt;"",H392&lt;&gt;"",ISERROR(SEARCH("по паспорту",G392)),ISERROR(SEARCH("по паспорту",H392)),I392&lt;&gt;"",J392&lt;&gt;"",K392&lt;&gt;"",L392&lt;&gt;"",M392&lt;&gt;""),"ГОТОВО","НЕ ГОТОВО"))</f>
        <v/>
      </c>
      <c r="Q392" s="205">
        <f>IF(P392&lt;&gt;"ГОТОВО","", "Предварительное заключение: "&amp;A392&amp;", скв. "&amp;B392&amp;". МРП: "&amp;E392&amp;" сут. ГНО: "&amp;F392&amp;", типоразмер "&amp;G392&amp;", марка "&amp;H392&amp;". Событие: "&amp;I392&amp;". Признак: "&amp;J392&amp;". Узел: "&amp;K392&amp;". Предварительная причина: "&amp;L392&amp;". Основное осложнение: "&amp;M392&amp;IF(N392&lt;&gt;"","; сопутствующее: "&amp;N392,"")&amp;IF(O392&lt;&gt;"","; дополнительно: "&amp;O392,"")&amp;".")</f>
        <v/>
      </c>
      <c r="R392" s="172">
        <f>IF('Оперативный ввод'!P392="","",'Оперативный ввод'!P392)</f>
        <v/>
      </c>
      <c r="S392" s="172">
        <f>IF('Оперативный ввод'!Q392="","",'Оперативный ввод'!Q392)</f>
        <v/>
      </c>
      <c r="T392" s="172">
        <f>IF('Оперативный ввод'!R392="","",'Оперативный ввод'!R392)</f>
        <v/>
      </c>
      <c r="U392" s="172">
        <f>IF('Оперативный ввод'!S392="","",'Оперативный ввод'!S392)</f>
        <v/>
      </c>
      <c r="V392" s="172">
        <f>IF('Оперативный ввод'!T392="","",'Оперативный ввод'!T392)</f>
        <v/>
      </c>
      <c r="W392" s="172" t="n"/>
      <c r="X392" s="172" t="n"/>
      <c r="Y392" s="172" t="n"/>
      <c r="Z392" s="172" t="n"/>
      <c r="AA392" s="172">
        <f>IF('Оперативный ввод'!U392="","",'Оперативный ввод'!U392)</f>
        <v/>
      </c>
      <c r="AB392" s="172">
        <f>IF('Оперативный ввод'!V392="","",'Оперативный ввод'!V392)</f>
        <v/>
      </c>
      <c r="AC392" s="172">
        <f>IF('Оперативный ввод'!W392="","",'Оперативный ввод'!W392)</f>
        <v/>
      </c>
      <c r="BB392" s="172" t="n"/>
      <c r="BC392" s="172" t="n"/>
      <c r="BD392" s="205">
        <f>IF(AND(A392="",B392=""),"",IF(AND(P392="ГОТОВО",R392&lt;&gt;"",T392&lt;&gt;"",U392&lt;&gt;"",AA392&lt;&gt;"",AB392&lt;&gt;"",AC392&lt;&gt;"",BB392&lt;&gt;"",BC392&lt;&gt;""),"ГОТОВО","НЕ ГОТОВО"))</f>
        <v/>
      </c>
      <c r="BE392" s="205">
        <f>IF(BD392&lt;&gt;"ГОТОВО","","Полное заключение: "&amp;A392&amp;", скв. "&amp;B392&amp;". МРП: "&amp;E392&amp;" сут. ГНО: "&amp;F392&amp;"; причина: "&amp;U392&amp;"; категория: "&amp;V392&amp;"; решение комиссии: "&amp;BB392&amp;".")</f>
        <v/>
      </c>
      <c r="BF392" s="173">
        <f>IF('Оперативный ввод'!X392="","",'Оперативный ввод'!X392)</f>
        <v/>
      </c>
    </row>
    <row r="393">
      <c r="A393" s="171">
        <f>IF('Оперативный ввод'!A393="","",'Оперативный ввод'!A393)</f>
        <v/>
      </c>
      <c r="B393" s="172">
        <f>IF('Оперативный ввод'!B393="","",'Оперативный ввод'!B393)</f>
        <v/>
      </c>
      <c r="C393" s="270">
        <f>IF('Оперативный ввод'!C393="","",'Оперативный ввод'!C393)</f>
        <v/>
      </c>
      <c r="D393" s="270">
        <f>IF('Оперативный ввод'!D393="","",'Оперативный ввод'!D393)</f>
        <v/>
      </c>
      <c r="E393" s="271">
        <f>IF(OR(C393="",D393=""),"",D393-C393)</f>
        <v/>
      </c>
      <c r="F393" s="172">
        <f>IF('Оперативный ввод'!F393="","",'Оперативный ввод'!F393)</f>
        <v/>
      </c>
      <c r="G393" s="172">
        <f>IF('Оперативный ввод'!G393="","",'Оперативный ввод'!G393)</f>
        <v/>
      </c>
      <c r="H393" s="172">
        <f>IF('Оперативный ввод'!H393="","",'Оперативный ввод'!H393)</f>
        <v/>
      </c>
      <c r="I393" s="172">
        <f>IF('Оперативный ввод'!I393="","",'Оперативный ввод'!I393)</f>
        <v/>
      </c>
      <c r="J393" s="172">
        <f>IF('Оперативный ввод'!J393="","",'Оперативный ввод'!J393)</f>
        <v/>
      </c>
      <c r="K393" s="172">
        <f>IF('Оперативный ввод'!K393="","",'Оперативный ввод'!K393)</f>
        <v/>
      </c>
      <c r="L393" s="172">
        <f>IF('Оперативный ввод'!L393="","",'Оперативный ввод'!L393)</f>
        <v/>
      </c>
      <c r="M393" s="172">
        <f>IF('Оперативный ввод'!M393="","",'Оперативный ввод'!M393)</f>
        <v/>
      </c>
      <c r="N393" s="172">
        <f>IF('Оперативный ввод'!N393="","",'Оперативный ввод'!N393)</f>
        <v/>
      </c>
      <c r="O393" s="172">
        <f>IF('Оперативный ввод'!O393="","",'Оперативный ввод'!O393)</f>
        <v/>
      </c>
      <c r="P393" s="205">
        <f>IF(AND(A393="",B393=""),"",IF(AND(A393&lt;&gt;"",B393&lt;&gt;"",C393&lt;&gt;"",D393&lt;&gt;"",F393&lt;&gt;"",G393&lt;&gt;"",H393&lt;&gt;"",ISERROR(SEARCH("по паспорту",G393)),ISERROR(SEARCH("по паспорту",H393)),I393&lt;&gt;"",J393&lt;&gt;"",K393&lt;&gt;"",L393&lt;&gt;"",M393&lt;&gt;""),"ГОТОВО","НЕ ГОТОВО"))</f>
        <v/>
      </c>
      <c r="Q393" s="205">
        <f>IF(P393&lt;&gt;"ГОТОВО","", "Предварительное заключение: "&amp;A393&amp;", скв. "&amp;B393&amp;". МРП: "&amp;E393&amp;" сут. ГНО: "&amp;F393&amp;", типоразмер "&amp;G393&amp;", марка "&amp;H393&amp;". Событие: "&amp;I393&amp;". Признак: "&amp;J393&amp;". Узел: "&amp;K393&amp;". Предварительная причина: "&amp;L393&amp;". Основное осложнение: "&amp;M393&amp;IF(N393&lt;&gt;"","; сопутствующее: "&amp;N393,"")&amp;IF(O393&lt;&gt;"","; дополнительно: "&amp;O393,"")&amp;".")</f>
        <v/>
      </c>
      <c r="R393" s="172">
        <f>IF('Оперативный ввод'!P393="","",'Оперативный ввод'!P393)</f>
        <v/>
      </c>
      <c r="S393" s="172">
        <f>IF('Оперативный ввод'!Q393="","",'Оперативный ввод'!Q393)</f>
        <v/>
      </c>
      <c r="T393" s="172">
        <f>IF('Оперативный ввод'!R393="","",'Оперативный ввод'!R393)</f>
        <v/>
      </c>
      <c r="U393" s="172">
        <f>IF('Оперативный ввод'!S393="","",'Оперативный ввод'!S393)</f>
        <v/>
      </c>
      <c r="V393" s="172">
        <f>IF('Оперативный ввод'!T393="","",'Оперативный ввод'!T393)</f>
        <v/>
      </c>
      <c r="W393" s="172" t="n"/>
      <c r="X393" s="172" t="n"/>
      <c r="Y393" s="172" t="n"/>
      <c r="Z393" s="172" t="n"/>
      <c r="AA393" s="172">
        <f>IF('Оперативный ввод'!U393="","",'Оперативный ввод'!U393)</f>
        <v/>
      </c>
      <c r="AB393" s="172">
        <f>IF('Оперативный ввод'!V393="","",'Оперативный ввод'!V393)</f>
        <v/>
      </c>
      <c r="AC393" s="172">
        <f>IF('Оперативный ввод'!W393="","",'Оперативный ввод'!W393)</f>
        <v/>
      </c>
      <c r="BB393" s="172" t="n"/>
      <c r="BC393" s="172" t="n"/>
      <c r="BD393" s="205">
        <f>IF(AND(A393="",B393=""),"",IF(AND(P393="ГОТОВО",R393&lt;&gt;"",T393&lt;&gt;"",U393&lt;&gt;"",AA393&lt;&gt;"",AB393&lt;&gt;"",AC393&lt;&gt;"",BB393&lt;&gt;"",BC393&lt;&gt;""),"ГОТОВО","НЕ ГОТОВО"))</f>
        <v/>
      </c>
      <c r="BE393" s="205">
        <f>IF(BD393&lt;&gt;"ГОТОВО","","Полное заключение: "&amp;A393&amp;", скв. "&amp;B393&amp;". МРП: "&amp;E393&amp;" сут. ГНО: "&amp;F393&amp;"; причина: "&amp;U393&amp;"; категория: "&amp;V393&amp;"; решение комиссии: "&amp;BB393&amp;".")</f>
        <v/>
      </c>
      <c r="BF393" s="173">
        <f>IF('Оперативный ввод'!X393="","",'Оперативный ввод'!X393)</f>
        <v/>
      </c>
    </row>
    <row r="394">
      <c r="A394" s="171">
        <f>IF('Оперативный ввод'!A394="","",'Оперативный ввод'!A394)</f>
        <v/>
      </c>
      <c r="B394" s="172">
        <f>IF('Оперативный ввод'!B394="","",'Оперативный ввод'!B394)</f>
        <v/>
      </c>
      <c r="C394" s="270">
        <f>IF('Оперативный ввод'!C394="","",'Оперативный ввод'!C394)</f>
        <v/>
      </c>
      <c r="D394" s="270">
        <f>IF('Оперативный ввод'!D394="","",'Оперативный ввод'!D394)</f>
        <v/>
      </c>
      <c r="E394" s="271">
        <f>IF(OR(C394="",D394=""),"",D394-C394)</f>
        <v/>
      </c>
      <c r="F394" s="172">
        <f>IF('Оперативный ввод'!F394="","",'Оперативный ввод'!F394)</f>
        <v/>
      </c>
      <c r="G394" s="172">
        <f>IF('Оперативный ввод'!G394="","",'Оперативный ввод'!G394)</f>
        <v/>
      </c>
      <c r="H394" s="172">
        <f>IF('Оперативный ввод'!H394="","",'Оперативный ввод'!H394)</f>
        <v/>
      </c>
      <c r="I394" s="172">
        <f>IF('Оперативный ввод'!I394="","",'Оперативный ввод'!I394)</f>
        <v/>
      </c>
      <c r="J394" s="172">
        <f>IF('Оперативный ввод'!J394="","",'Оперативный ввод'!J394)</f>
        <v/>
      </c>
      <c r="K394" s="172">
        <f>IF('Оперативный ввод'!K394="","",'Оперативный ввод'!K394)</f>
        <v/>
      </c>
      <c r="L394" s="172">
        <f>IF('Оперативный ввод'!L394="","",'Оперативный ввод'!L394)</f>
        <v/>
      </c>
      <c r="M394" s="172">
        <f>IF('Оперативный ввод'!M394="","",'Оперативный ввод'!M394)</f>
        <v/>
      </c>
      <c r="N394" s="172">
        <f>IF('Оперативный ввод'!N394="","",'Оперативный ввод'!N394)</f>
        <v/>
      </c>
      <c r="O394" s="172">
        <f>IF('Оперативный ввод'!O394="","",'Оперативный ввод'!O394)</f>
        <v/>
      </c>
      <c r="P394" s="205">
        <f>IF(AND(A394="",B394=""),"",IF(AND(A394&lt;&gt;"",B394&lt;&gt;"",C394&lt;&gt;"",D394&lt;&gt;"",F394&lt;&gt;"",G394&lt;&gt;"",H394&lt;&gt;"",ISERROR(SEARCH("по паспорту",G394)),ISERROR(SEARCH("по паспорту",H394)),I394&lt;&gt;"",J394&lt;&gt;"",K394&lt;&gt;"",L394&lt;&gt;"",M394&lt;&gt;""),"ГОТОВО","НЕ ГОТОВО"))</f>
        <v/>
      </c>
      <c r="Q394" s="205">
        <f>IF(P394&lt;&gt;"ГОТОВО","", "Предварительное заключение: "&amp;A394&amp;", скв. "&amp;B394&amp;". МРП: "&amp;E394&amp;" сут. ГНО: "&amp;F394&amp;", типоразмер "&amp;G394&amp;", марка "&amp;H394&amp;". Событие: "&amp;I394&amp;". Признак: "&amp;J394&amp;". Узел: "&amp;K394&amp;". Предварительная причина: "&amp;L394&amp;". Основное осложнение: "&amp;M394&amp;IF(N394&lt;&gt;"","; сопутствующее: "&amp;N394,"")&amp;IF(O394&lt;&gt;"","; дополнительно: "&amp;O394,"")&amp;".")</f>
        <v/>
      </c>
      <c r="R394" s="172">
        <f>IF('Оперативный ввод'!P394="","",'Оперативный ввод'!P394)</f>
        <v/>
      </c>
      <c r="S394" s="172">
        <f>IF('Оперативный ввод'!Q394="","",'Оперативный ввод'!Q394)</f>
        <v/>
      </c>
      <c r="T394" s="172">
        <f>IF('Оперативный ввод'!R394="","",'Оперативный ввод'!R394)</f>
        <v/>
      </c>
      <c r="U394" s="172">
        <f>IF('Оперативный ввод'!S394="","",'Оперативный ввод'!S394)</f>
        <v/>
      </c>
      <c r="V394" s="172">
        <f>IF('Оперативный ввод'!T394="","",'Оперативный ввод'!T394)</f>
        <v/>
      </c>
      <c r="W394" s="172" t="n"/>
      <c r="X394" s="172" t="n"/>
      <c r="Y394" s="172" t="n"/>
      <c r="Z394" s="172" t="n"/>
      <c r="AA394" s="172">
        <f>IF('Оперативный ввод'!U394="","",'Оперативный ввод'!U394)</f>
        <v/>
      </c>
      <c r="AB394" s="172">
        <f>IF('Оперативный ввод'!V394="","",'Оперативный ввод'!V394)</f>
        <v/>
      </c>
      <c r="AC394" s="172">
        <f>IF('Оперативный ввод'!W394="","",'Оперативный ввод'!W394)</f>
        <v/>
      </c>
      <c r="BB394" s="172" t="n"/>
      <c r="BC394" s="172" t="n"/>
      <c r="BD394" s="205">
        <f>IF(AND(A394="",B394=""),"",IF(AND(P394="ГОТОВО",R394&lt;&gt;"",T394&lt;&gt;"",U394&lt;&gt;"",AA394&lt;&gt;"",AB394&lt;&gt;"",AC394&lt;&gt;"",BB394&lt;&gt;"",BC394&lt;&gt;""),"ГОТОВО","НЕ ГОТОВО"))</f>
        <v/>
      </c>
      <c r="BE394" s="205">
        <f>IF(BD394&lt;&gt;"ГОТОВО","","Полное заключение: "&amp;A394&amp;", скв. "&amp;B394&amp;". МРП: "&amp;E394&amp;" сут. ГНО: "&amp;F394&amp;"; причина: "&amp;U394&amp;"; категория: "&amp;V394&amp;"; решение комиссии: "&amp;BB394&amp;".")</f>
        <v/>
      </c>
      <c r="BF394" s="173">
        <f>IF('Оперативный ввод'!X394="","",'Оперативный ввод'!X394)</f>
        <v/>
      </c>
    </row>
    <row r="395">
      <c r="A395" s="171">
        <f>IF('Оперативный ввод'!A395="","",'Оперативный ввод'!A395)</f>
        <v/>
      </c>
      <c r="B395" s="172">
        <f>IF('Оперативный ввод'!B395="","",'Оперативный ввод'!B395)</f>
        <v/>
      </c>
      <c r="C395" s="270">
        <f>IF('Оперативный ввод'!C395="","",'Оперативный ввод'!C395)</f>
        <v/>
      </c>
      <c r="D395" s="270">
        <f>IF('Оперативный ввод'!D395="","",'Оперативный ввод'!D395)</f>
        <v/>
      </c>
      <c r="E395" s="271">
        <f>IF(OR(C395="",D395=""),"",D395-C395)</f>
        <v/>
      </c>
      <c r="F395" s="172">
        <f>IF('Оперативный ввод'!F395="","",'Оперативный ввод'!F395)</f>
        <v/>
      </c>
      <c r="G395" s="172">
        <f>IF('Оперативный ввод'!G395="","",'Оперативный ввод'!G395)</f>
        <v/>
      </c>
      <c r="H395" s="172">
        <f>IF('Оперативный ввод'!H395="","",'Оперативный ввод'!H395)</f>
        <v/>
      </c>
      <c r="I395" s="172">
        <f>IF('Оперативный ввод'!I395="","",'Оперативный ввод'!I395)</f>
        <v/>
      </c>
      <c r="J395" s="172">
        <f>IF('Оперативный ввод'!J395="","",'Оперативный ввод'!J395)</f>
        <v/>
      </c>
      <c r="K395" s="172">
        <f>IF('Оперативный ввод'!K395="","",'Оперативный ввод'!K395)</f>
        <v/>
      </c>
      <c r="L395" s="172">
        <f>IF('Оперативный ввод'!L395="","",'Оперативный ввод'!L395)</f>
        <v/>
      </c>
      <c r="M395" s="172">
        <f>IF('Оперативный ввод'!M395="","",'Оперативный ввод'!M395)</f>
        <v/>
      </c>
      <c r="N395" s="172">
        <f>IF('Оперативный ввод'!N395="","",'Оперативный ввод'!N395)</f>
        <v/>
      </c>
      <c r="O395" s="172">
        <f>IF('Оперативный ввод'!O395="","",'Оперативный ввод'!O395)</f>
        <v/>
      </c>
      <c r="P395" s="205">
        <f>IF(AND(A395="",B395=""),"",IF(AND(A395&lt;&gt;"",B395&lt;&gt;"",C395&lt;&gt;"",D395&lt;&gt;"",F395&lt;&gt;"",G395&lt;&gt;"",H395&lt;&gt;"",ISERROR(SEARCH("по паспорту",G395)),ISERROR(SEARCH("по паспорту",H395)),I395&lt;&gt;"",J395&lt;&gt;"",K395&lt;&gt;"",L395&lt;&gt;"",M395&lt;&gt;""),"ГОТОВО","НЕ ГОТОВО"))</f>
        <v/>
      </c>
      <c r="Q395" s="205">
        <f>IF(P395&lt;&gt;"ГОТОВО","", "Предварительное заключение: "&amp;A395&amp;", скв. "&amp;B395&amp;". МРП: "&amp;E395&amp;" сут. ГНО: "&amp;F395&amp;", типоразмер "&amp;G395&amp;", марка "&amp;H395&amp;". Событие: "&amp;I395&amp;". Признак: "&amp;J395&amp;". Узел: "&amp;K395&amp;". Предварительная причина: "&amp;L395&amp;". Основное осложнение: "&amp;M395&amp;IF(N395&lt;&gt;"","; сопутствующее: "&amp;N395,"")&amp;IF(O395&lt;&gt;"","; дополнительно: "&amp;O395,"")&amp;".")</f>
        <v/>
      </c>
      <c r="R395" s="172">
        <f>IF('Оперативный ввод'!P395="","",'Оперативный ввод'!P395)</f>
        <v/>
      </c>
      <c r="S395" s="172">
        <f>IF('Оперативный ввод'!Q395="","",'Оперативный ввод'!Q395)</f>
        <v/>
      </c>
      <c r="T395" s="172">
        <f>IF('Оперативный ввод'!R395="","",'Оперативный ввод'!R395)</f>
        <v/>
      </c>
      <c r="U395" s="172">
        <f>IF('Оперативный ввод'!S395="","",'Оперативный ввод'!S395)</f>
        <v/>
      </c>
      <c r="V395" s="172">
        <f>IF('Оперативный ввод'!T395="","",'Оперативный ввод'!T395)</f>
        <v/>
      </c>
      <c r="W395" s="172" t="n"/>
      <c r="X395" s="172" t="n"/>
      <c r="Y395" s="172" t="n"/>
      <c r="Z395" s="172" t="n"/>
      <c r="AA395" s="172">
        <f>IF('Оперативный ввод'!U395="","",'Оперативный ввод'!U395)</f>
        <v/>
      </c>
      <c r="AB395" s="172">
        <f>IF('Оперативный ввод'!V395="","",'Оперативный ввод'!V395)</f>
        <v/>
      </c>
      <c r="AC395" s="172">
        <f>IF('Оперативный ввод'!W395="","",'Оперативный ввод'!W395)</f>
        <v/>
      </c>
      <c r="BB395" s="172" t="n"/>
      <c r="BC395" s="172" t="n"/>
      <c r="BD395" s="205">
        <f>IF(AND(A395="",B395=""),"",IF(AND(P395="ГОТОВО",R395&lt;&gt;"",T395&lt;&gt;"",U395&lt;&gt;"",AA395&lt;&gt;"",AB395&lt;&gt;"",AC395&lt;&gt;"",BB395&lt;&gt;"",BC395&lt;&gt;""),"ГОТОВО","НЕ ГОТОВО"))</f>
        <v/>
      </c>
      <c r="BE395" s="205">
        <f>IF(BD395&lt;&gt;"ГОТОВО","","Полное заключение: "&amp;A395&amp;", скв. "&amp;B395&amp;". МРП: "&amp;E395&amp;" сут. ГНО: "&amp;F395&amp;"; причина: "&amp;U395&amp;"; категория: "&amp;V395&amp;"; решение комиссии: "&amp;BB395&amp;".")</f>
        <v/>
      </c>
      <c r="BF395" s="173">
        <f>IF('Оперативный ввод'!X395="","",'Оперативный ввод'!X395)</f>
        <v/>
      </c>
    </row>
    <row r="396">
      <c r="A396" s="171">
        <f>IF('Оперативный ввод'!A396="","",'Оперативный ввод'!A396)</f>
        <v/>
      </c>
      <c r="B396" s="172">
        <f>IF('Оперативный ввод'!B396="","",'Оперативный ввод'!B396)</f>
        <v/>
      </c>
      <c r="C396" s="270">
        <f>IF('Оперативный ввод'!C396="","",'Оперативный ввод'!C396)</f>
        <v/>
      </c>
      <c r="D396" s="270">
        <f>IF('Оперативный ввод'!D396="","",'Оперативный ввод'!D396)</f>
        <v/>
      </c>
      <c r="E396" s="271">
        <f>IF(OR(C396="",D396=""),"",D396-C396)</f>
        <v/>
      </c>
      <c r="F396" s="172">
        <f>IF('Оперативный ввод'!F396="","",'Оперативный ввод'!F396)</f>
        <v/>
      </c>
      <c r="G396" s="172">
        <f>IF('Оперативный ввод'!G396="","",'Оперативный ввод'!G396)</f>
        <v/>
      </c>
      <c r="H396" s="172">
        <f>IF('Оперативный ввод'!H396="","",'Оперативный ввод'!H396)</f>
        <v/>
      </c>
      <c r="I396" s="172">
        <f>IF('Оперативный ввод'!I396="","",'Оперативный ввод'!I396)</f>
        <v/>
      </c>
      <c r="J396" s="172">
        <f>IF('Оперативный ввод'!J396="","",'Оперативный ввод'!J396)</f>
        <v/>
      </c>
      <c r="K396" s="172">
        <f>IF('Оперативный ввод'!K396="","",'Оперативный ввод'!K396)</f>
        <v/>
      </c>
      <c r="L396" s="172">
        <f>IF('Оперативный ввод'!L396="","",'Оперативный ввод'!L396)</f>
        <v/>
      </c>
      <c r="M396" s="172">
        <f>IF('Оперативный ввод'!M396="","",'Оперативный ввод'!M396)</f>
        <v/>
      </c>
      <c r="N396" s="172">
        <f>IF('Оперативный ввод'!N396="","",'Оперативный ввод'!N396)</f>
        <v/>
      </c>
      <c r="O396" s="172">
        <f>IF('Оперативный ввод'!O396="","",'Оперативный ввод'!O396)</f>
        <v/>
      </c>
      <c r="P396" s="205">
        <f>IF(AND(A396="",B396=""),"",IF(AND(A396&lt;&gt;"",B396&lt;&gt;"",C396&lt;&gt;"",D396&lt;&gt;"",F396&lt;&gt;"",G396&lt;&gt;"",H396&lt;&gt;"",ISERROR(SEARCH("по паспорту",G396)),ISERROR(SEARCH("по паспорту",H396)),I396&lt;&gt;"",J396&lt;&gt;"",K396&lt;&gt;"",L396&lt;&gt;"",M396&lt;&gt;""),"ГОТОВО","НЕ ГОТОВО"))</f>
        <v/>
      </c>
      <c r="Q396" s="205">
        <f>IF(P396&lt;&gt;"ГОТОВО","", "Предварительное заключение: "&amp;A396&amp;", скв. "&amp;B396&amp;". МРП: "&amp;E396&amp;" сут. ГНО: "&amp;F396&amp;", типоразмер "&amp;G396&amp;", марка "&amp;H396&amp;". Событие: "&amp;I396&amp;". Признак: "&amp;J396&amp;". Узел: "&amp;K396&amp;". Предварительная причина: "&amp;L396&amp;". Основное осложнение: "&amp;M396&amp;IF(N396&lt;&gt;"","; сопутствующее: "&amp;N396,"")&amp;IF(O396&lt;&gt;"","; дополнительно: "&amp;O396,"")&amp;".")</f>
        <v/>
      </c>
      <c r="R396" s="172">
        <f>IF('Оперативный ввод'!P396="","",'Оперативный ввод'!P396)</f>
        <v/>
      </c>
      <c r="S396" s="172">
        <f>IF('Оперативный ввод'!Q396="","",'Оперативный ввод'!Q396)</f>
        <v/>
      </c>
      <c r="T396" s="172">
        <f>IF('Оперативный ввод'!R396="","",'Оперативный ввод'!R396)</f>
        <v/>
      </c>
      <c r="U396" s="172">
        <f>IF('Оперативный ввод'!S396="","",'Оперативный ввод'!S396)</f>
        <v/>
      </c>
      <c r="V396" s="172">
        <f>IF('Оперативный ввод'!T396="","",'Оперативный ввод'!T396)</f>
        <v/>
      </c>
      <c r="W396" s="172" t="n"/>
      <c r="X396" s="172" t="n"/>
      <c r="Y396" s="172" t="n"/>
      <c r="Z396" s="172" t="n"/>
      <c r="AA396" s="172">
        <f>IF('Оперативный ввод'!U396="","",'Оперативный ввод'!U396)</f>
        <v/>
      </c>
      <c r="AB396" s="172">
        <f>IF('Оперативный ввод'!V396="","",'Оперативный ввод'!V396)</f>
        <v/>
      </c>
      <c r="AC396" s="172">
        <f>IF('Оперативный ввод'!W396="","",'Оперативный ввод'!W396)</f>
        <v/>
      </c>
      <c r="BB396" s="172" t="n"/>
      <c r="BC396" s="172" t="n"/>
      <c r="BD396" s="205">
        <f>IF(AND(A396="",B396=""),"",IF(AND(P396="ГОТОВО",R396&lt;&gt;"",T396&lt;&gt;"",U396&lt;&gt;"",AA396&lt;&gt;"",AB396&lt;&gt;"",AC396&lt;&gt;"",BB396&lt;&gt;"",BC396&lt;&gt;""),"ГОТОВО","НЕ ГОТОВО"))</f>
        <v/>
      </c>
      <c r="BE396" s="205">
        <f>IF(BD396&lt;&gt;"ГОТОВО","","Полное заключение: "&amp;A396&amp;", скв. "&amp;B396&amp;". МРП: "&amp;E396&amp;" сут. ГНО: "&amp;F396&amp;"; причина: "&amp;U396&amp;"; категория: "&amp;V396&amp;"; решение комиссии: "&amp;BB396&amp;".")</f>
        <v/>
      </c>
      <c r="BF396" s="173">
        <f>IF('Оперативный ввод'!X396="","",'Оперативный ввод'!X396)</f>
        <v/>
      </c>
    </row>
    <row r="397">
      <c r="A397" s="171">
        <f>IF('Оперативный ввод'!A397="","",'Оперативный ввод'!A397)</f>
        <v/>
      </c>
      <c r="B397" s="172">
        <f>IF('Оперативный ввод'!B397="","",'Оперативный ввод'!B397)</f>
        <v/>
      </c>
      <c r="C397" s="270">
        <f>IF('Оперативный ввод'!C397="","",'Оперативный ввод'!C397)</f>
        <v/>
      </c>
      <c r="D397" s="270">
        <f>IF('Оперативный ввод'!D397="","",'Оперативный ввод'!D397)</f>
        <v/>
      </c>
      <c r="E397" s="271">
        <f>IF(OR(C397="",D397=""),"",D397-C397)</f>
        <v/>
      </c>
      <c r="F397" s="172">
        <f>IF('Оперативный ввод'!F397="","",'Оперативный ввод'!F397)</f>
        <v/>
      </c>
      <c r="G397" s="172">
        <f>IF('Оперативный ввод'!G397="","",'Оперативный ввод'!G397)</f>
        <v/>
      </c>
      <c r="H397" s="172">
        <f>IF('Оперативный ввод'!H397="","",'Оперативный ввод'!H397)</f>
        <v/>
      </c>
      <c r="I397" s="172">
        <f>IF('Оперативный ввод'!I397="","",'Оперативный ввод'!I397)</f>
        <v/>
      </c>
      <c r="J397" s="172">
        <f>IF('Оперативный ввод'!J397="","",'Оперативный ввод'!J397)</f>
        <v/>
      </c>
      <c r="K397" s="172">
        <f>IF('Оперативный ввод'!K397="","",'Оперативный ввод'!K397)</f>
        <v/>
      </c>
      <c r="L397" s="172">
        <f>IF('Оперативный ввод'!L397="","",'Оперативный ввод'!L397)</f>
        <v/>
      </c>
      <c r="M397" s="172">
        <f>IF('Оперативный ввод'!M397="","",'Оперативный ввод'!M397)</f>
        <v/>
      </c>
      <c r="N397" s="172">
        <f>IF('Оперативный ввод'!N397="","",'Оперативный ввод'!N397)</f>
        <v/>
      </c>
      <c r="O397" s="172">
        <f>IF('Оперативный ввод'!O397="","",'Оперативный ввод'!O397)</f>
        <v/>
      </c>
      <c r="P397" s="205">
        <f>IF(AND(A397="",B397=""),"",IF(AND(A397&lt;&gt;"",B397&lt;&gt;"",C397&lt;&gt;"",D397&lt;&gt;"",F397&lt;&gt;"",G397&lt;&gt;"",H397&lt;&gt;"",ISERROR(SEARCH("по паспорту",G397)),ISERROR(SEARCH("по паспорту",H397)),I397&lt;&gt;"",J397&lt;&gt;"",K397&lt;&gt;"",L397&lt;&gt;"",M397&lt;&gt;""),"ГОТОВО","НЕ ГОТОВО"))</f>
        <v/>
      </c>
      <c r="Q397" s="205">
        <f>IF(P397&lt;&gt;"ГОТОВО","", "Предварительное заключение: "&amp;A397&amp;", скв. "&amp;B397&amp;". МРП: "&amp;E397&amp;" сут. ГНО: "&amp;F397&amp;", типоразмер "&amp;G397&amp;", марка "&amp;H397&amp;". Событие: "&amp;I397&amp;". Признак: "&amp;J397&amp;". Узел: "&amp;K397&amp;". Предварительная причина: "&amp;L397&amp;". Основное осложнение: "&amp;M397&amp;IF(N397&lt;&gt;"","; сопутствующее: "&amp;N397,"")&amp;IF(O397&lt;&gt;"","; дополнительно: "&amp;O397,"")&amp;".")</f>
        <v/>
      </c>
      <c r="R397" s="172">
        <f>IF('Оперативный ввод'!P397="","",'Оперативный ввод'!P397)</f>
        <v/>
      </c>
      <c r="S397" s="172">
        <f>IF('Оперативный ввод'!Q397="","",'Оперативный ввод'!Q397)</f>
        <v/>
      </c>
      <c r="T397" s="172">
        <f>IF('Оперативный ввод'!R397="","",'Оперативный ввод'!R397)</f>
        <v/>
      </c>
      <c r="U397" s="172">
        <f>IF('Оперативный ввод'!S397="","",'Оперативный ввод'!S397)</f>
        <v/>
      </c>
      <c r="V397" s="172">
        <f>IF('Оперативный ввод'!T397="","",'Оперативный ввод'!T397)</f>
        <v/>
      </c>
      <c r="W397" s="172" t="n"/>
      <c r="X397" s="172" t="n"/>
      <c r="Y397" s="172" t="n"/>
      <c r="Z397" s="172" t="n"/>
      <c r="AA397" s="172">
        <f>IF('Оперативный ввод'!U397="","",'Оперативный ввод'!U397)</f>
        <v/>
      </c>
      <c r="AB397" s="172">
        <f>IF('Оперативный ввод'!V397="","",'Оперативный ввод'!V397)</f>
        <v/>
      </c>
      <c r="AC397" s="172">
        <f>IF('Оперативный ввод'!W397="","",'Оперативный ввод'!W397)</f>
        <v/>
      </c>
      <c r="BB397" s="172" t="n"/>
      <c r="BC397" s="172" t="n"/>
      <c r="BD397" s="205">
        <f>IF(AND(A397="",B397=""),"",IF(AND(P397="ГОТОВО",R397&lt;&gt;"",T397&lt;&gt;"",U397&lt;&gt;"",AA397&lt;&gt;"",AB397&lt;&gt;"",AC397&lt;&gt;"",BB397&lt;&gt;"",BC397&lt;&gt;""),"ГОТОВО","НЕ ГОТОВО"))</f>
        <v/>
      </c>
      <c r="BE397" s="205">
        <f>IF(BD397&lt;&gt;"ГОТОВО","","Полное заключение: "&amp;A397&amp;", скв. "&amp;B397&amp;". МРП: "&amp;E397&amp;" сут. ГНО: "&amp;F397&amp;"; причина: "&amp;U397&amp;"; категория: "&amp;V397&amp;"; решение комиссии: "&amp;BB397&amp;".")</f>
        <v/>
      </c>
      <c r="BF397" s="173">
        <f>IF('Оперативный ввод'!X397="","",'Оперативный ввод'!X397)</f>
        <v/>
      </c>
    </row>
    <row r="398">
      <c r="A398" s="171">
        <f>IF('Оперативный ввод'!A398="","",'Оперативный ввод'!A398)</f>
        <v/>
      </c>
      <c r="B398" s="172">
        <f>IF('Оперативный ввод'!B398="","",'Оперативный ввод'!B398)</f>
        <v/>
      </c>
      <c r="C398" s="270">
        <f>IF('Оперативный ввод'!C398="","",'Оперативный ввод'!C398)</f>
        <v/>
      </c>
      <c r="D398" s="270">
        <f>IF('Оперативный ввод'!D398="","",'Оперативный ввод'!D398)</f>
        <v/>
      </c>
      <c r="E398" s="271">
        <f>IF(OR(C398="",D398=""),"",D398-C398)</f>
        <v/>
      </c>
      <c r="F398" s="172">
        <f>IF('Оперативный ввод'!F398="","",'Оперативный ввод'!F398)</f>
        <v/>
      </c>
      <c r="G398" s="172">
        <f>IF('Оперативный ввод'!G398="","",'Оперативный ввод'!G398)</f>
        <v/>
      </c>
      <c r="H398" s="172">
        <f>IF('Оперативный ввод'!H398="","",'Оперативный ввод'!H398)</f>
        <v/>
      </c>
      <c r="I398" s="172">
        <f>IF('Оперативный ввод'!I398="","",'Оперативный ввод'!I398)</f>
        <v/>
      </c>
      <c r="J398" s="172">
        <f>IF('Оперативный ввод'!J398="","",'Оперативный ввод'!J398)</f>
        <v/>
      </c>
      <c r="K398" s="172">
        <f>IF('Оперативный ввод'!K398="","",'Оперативный ввод'!K398)</f>
        <v/>
      </c>
      <c r="L398" s="172">
        <f>IF('Оперативный ввод'!L398="","",'Оперативный ввод'!L398)</f>
        <v/>
      </c>
      <c r="M398" s="172">
        <f>IF('Оперативный ввод'!M398="","",'Оперативный ввод'!M398)</f>
        <v/>
      </c>
      <c r="N398" s="172">
        <f>IF('Оперативный ввод'!N398="","",'Оперативный ввод'!N398)</f>
        <v/>
      </c>
      <c r="O398" s="172">
        <f>IF('Оперативный ввод'!O398="","",'Оперативный ввод'!O398)</f>
        <v/>
      </c>
      <c r="P398" s="205">
        <f>IF(AND(A398="",B398=""),"",IF(AND(A398&lt;&gt;"",B398&lt;&gt;"",C398&lt;&gt;"",D398&lt;&gt;"",F398&lt;&gt;"",G398&lt;&gt;"",H398&lt;&gt;"",ISERROR(SEARCH("по паспорту",G398)),ISERROR(SEARCH("по паспорту",H398)),I398&lt;&gt;"",J398&lt;&gt;"",K398&lt;&gt;"",L398&lt;&gt;"",M398&lt;&gt;""),"ГОТОВО","НЕ ГОТОВО"))</f>
        <v/>
      </c>
      <c r="Q398" s="205">
        <f>IF(P398&lt;&gt;"ГОТОВО","", "Предварительное заключение: "&amp;A398&amp;", скв. "&amp;B398&amp;". МРП: "&amp;E398&amp;" сут. ГНО: "&amp;F398&amp;", типоразмер "&amp;G398&amp;", марка "&amp;H398&amp;". Событие: "&amp;I398&amp;". Признак: "&amp;J398&amp;". Узел: "&amp;K398&amp;". Предварительная причина: "&amp;L398&amp;". Основное осложнение: "&amp;M398&amp;IF(N398&lt;&gt;"","; сопутствующее: "&amp;N398,"")&amp;IF(O398&lt;&gt;"","; дополнительно: "&amp;O398,"")&amp;".")</f>
        <v/>
      </c>
      <c r="R398" s="172">
        <f>IF('Оперативный ввод'!P398="","",'Оперативный ввод'!P398)</f>
        <v/>
      </c>
      <c r="S398" s="172">
        <f>IF('Оперативный ввод'!Q398="","",'Оперативный ввод'!Q398)</f>
        <v/>
      </c>
      <c r="T398" s="172">
        <f>IF('Оперативный ввод'!R398="","",'Оперативный ввод'!R398)</f>
        <v/>
      </c>
      <c r="U398" s="172">
        <f>IF('Оперативный ввод'!S398="","",'Оперативный ввод'!S398)</f>
        <v/>
      </c>
      <c r="V398" s="172">
        <f>IF('Оперативный ввод'!T398="","",'Оперативный ввод'!T398)</f>
        <v/>
      </c>
      <c r="W398" s="172" t="n"/>
      <c r="X398" s="172" t="n"/>
      <c r="Y398" s="172" t="n"/>
      <c r="Z398" s="172" t="n"/>
      <c r="AA398" s="172">
        <f>IF('Оперативный ввод'!U398="","",'Оперативный ввод'!U398)</f>
        <v/>
      </c>
      <c r="AB398" s="172">
        <f>IF('Оперативный ввод'!V398="","",'Оперативный ввод'!V398)</f>
        <v/>
      </c>
      <c r="AC398" s="172">
        <f>IF('Оперативный ввод'!W398="","",'Оперативный ввод'!W398)</f>
        <v/>
      </c>
      <c r="BB398" s="172" t="n"/>
      <c r="BC398" s="172" t="n"/>
      <c r="BD398" s="205">
        <f>IF(AND(A398="",B398=""),"",IF(AND(P398="ГОТОВО",R398&lt;&gt;"",T398&lt;&gt;"",U398&lt;&gt;"",AA398&lt;&gt;"",AB398&lt;&gt;"",AC398&lt;&gt;"",BB398&lt;&gt;"",BC398&lt;&gt;""),"ГОТОВО","НЕ ГОТОВО"))</f>
        <v/>
      </c>
      <c r="BE398" s="205">
        <f>IF(BD398&lt;&gt;"ГОТОВО","","Полное заключение: "&amp;A398&amp;", скв. "&amp;B398&amp;". МРП: "&amp;E398&amp;" сут. ГНО: "&amp;F398&amp;"; причина: "&amp;U398&amp;"; категория: "&amp;V398&amp;"; решение комиссии: "&amp;BB398&amp;".")</f>
        <v/>
      </c>
      <c r="BF398" s="173">
        <f>IF('Оперативный ввод'!X398="","",'Оперативный ввод'!X398)</f>
        <v/>
      </c>
    </row>
    <row r="399">
      <c r="A399" s="171">
        <f>IF('Оперативный ввод'!A399="","",'Оперативный ввод'!A399)</f>
        <v/>
      </c>
      <c r="B399" s="172">
        <f>IF('Оперативный ввод'!B399="","",'Оперативный ввод'!B399)</f>
        <v/>
      </c>
      <c r="C399" s="270">
        <f>IF('Оперативный ввод'!C399="","",'Оперативный ввод'!C399)</f>
        <v/>
      </c>
      <c r="D399" s="270">
        <f>IF('Оперативный ввод'!D399="","",'Оперативный ввод'!D399)</f>
        <v/>
      </c>
      <c r="E399" s="271">
        <f>IF(OR(C399="",D399=""),"",D399-C399)</f>
        <v/>
      </c>
      <c r="F399" s="172">
        <f>IF('Оперативный ввод'!F399="","",'Оперативный ввод'!F399)</f>
        <v/>
      </c>
      <c r="G399" s="172">
        <f>IF('Оперативный ввод'!G399="","",'Оперативный ввод'!G399)</f>
        <v/>
      </c>
      <c r="H399" s="172">
        <f>IF('Оперативный ввод'!H399="","",'Оперативный ввод'!H399)</f>
        <v/>
      </c>
      <c r="I399" s="172">
        <f>IF('Оперативный ввод'!I399="","",'Оперативный ввод'!I399)</f>
        <v/>
      </c>
      <c r="J399" s="172">
        <f>IF('Оперативный ввод'!J399="","",'Оперативный ввод'!J399)</f>
        <v/>
      </c>
      <c r="K399" s="172">
        <f>IF('Оперативный ввод'!K399="","",'Оперативный ввод'!K399)</f>
        <v/>
      </c>
      <c r="L399" s="172">
        <f>IF('Оперативный ввод'!L399="","",'Оперативный ввод'!L399)</f>
        <v/>
      </c>
      <c r="M399" s="172">
        <f>IF('Оперативный ввод'!M399="","",'Оперативный ввод'!M399)</f>
        <v/>
      </c>
      <c r="N399" s="172">
        <f>IF('Оперативный ввод'!N399="","",'Оперативный ввод'!N399)</f>
        <v/>
      </c>
      <c r="O399" s="172">
        <f>IF('Оперативный ввод'!O399="","",'Оперативный ввод'!O399)</f>
        <v/>
      </c>
      <c r="P399" s="205">
        <f>IF(AND(A399="",B399=""),"",IF(AND(A399&lt;&gt;"",B399&lt;&gt;"",C399&lt;&gt;"",D399&lt;&gt;"",F399&lt;&gt;"",G399&lt;&gt;"",H399&lt;&gt;"",ISERROR(SEARCH("по паспорту",G399)),ISERROR(SEARCH("по паспорту",H399)),I399&lt;&gt;"",J399&lt;&gt;"",K399&lt;&gt;"",L399&lt;&gt;"",M399&lt;&gt;""),"ГОТОВО","НЕ ГОТОВО"))</f>
        <v/>
      </c>
      <c r="Q399" s="205">
        <f>IF(P399&lt;&gt;"ГОТОВО","", "Предварительное заключение: "&amp;A399&amp;", скв. "&amp;B399&amp;". МРП: "&amp;E399&amp;" сут. ГНО: "&amp;F399&amp;", типоразмер "&amp;G399&amp;", марка "&amp;H399&amp;". Событие: "&amp;I399&amp;". Признак: "&amp;J399&amp;". Узел: "&amp;K399&amp;". Предварительная причина: "&amp;L399&amp;". Основное осложнение: "&amp;M399&amp;IF(N399&lt;&gt;"","; сопутствующее: "&amp;N399,"")&amp;IF(O399&lt;&gt;"","; дополнительно: "&amp;O399,"")&amp;".")</f>
        <v/>
      </c>
      <c r="R399" s="172">
        <f>IF('Оперативный ввод'!P399="","",'Оперативный ввод'!P399)</f>
        <v/>
      </c>
      <c r="S399" s="172">
        <f>IF('Оперативный ввод'!Q399="","",'Оперативный ввод'!Q399)</f>
        <v/>
      </c>
      <c r="T399" s="172">
        <f>IF('Оперативный ввод'!R399="","",'Оперативный ввод'!R399)</f>
        <v/>
      </c>
      <c r="U399" s="172">
        <f>IF('Оперативный ввод'!S399="","",'Оперативный ввод'!S399)</f>
        <v/>
      </c>
      <c r="V399" s="172">
        <f>IF('Оперативный ввод'!T399="","",'Оперативный ввод'!T399)</f>
        <v/>
      </c>
      <c r="W399" s="172" t="n"/>
      <c r="X399" s="172" t="n"/>
      <c r="Y399" s="172" t="n"/>
      <c r="Z399" s="172" t="n"/>
      <c r="AA399" s="172">
        <f>IF('Оперативный ввод'!U399="","",'Оперативный ввод'!U399)</f>
        <v/>
      </c>
      <c r="AB399" s="172">
        <f>IF('Оперативный ввод'!V399="","",'Оперативный ввод'!V399)</f>
        <v/>
      </c>
      <c r="AC399" s="172">
        <f>IF('Оперативный ввод'!W399="","",'Оперативный ввод'!W399)</f>
        <v/>
      </c>
      <c r="BB399" s="172" t="n"/>
      <c r="BC399" s="172" t="n"/>
      <c r="BD399" s="205">
        <f>IF(AND(A399="",B399=""),"",IF(AND(P399="ГОТОВО",R399&lt;&gt;"",T399&lt;&gt;"",U399&lt;&gt;"",AA399&lt;&gt;"",AB399&lt;&gt;"",AC399&lt;&gt;"",BB399&lt;&gt;"",BC399&lt;&gt;""),"ГОТОВО","НЕ ГОТОВО"))</f>
        <v/>
      </c>
      <c r="BE399" s="205">
        <f>IF(BD399&lt;&gt;"ГОТОВО","","Полное заключение: "&amp;A399&amp;", скв. "&amp;B399&amp;". МРП: "&amp;E399&amp;" сут. ГНО: "&amp;F399&amp;"; причина: "&amp;U399&amp;"; категория: "&amp;V399&amp;"; решение комиссии: "&amp;BB399&amp;".")</f>
        <v/>
      </c>
      <c r="BF399" s="173">
        <f>IF('Оперативный ввод'!X399="","",'Оперативный ввод'!X399)</f>
        <v/>
      </c>
    </row>
    <row r="400">
      <c r="A400" s="171">
        <f>IF('Оперативный ввод'!A400="","",'Оперативный ввод'!A400)</f>
        <v/>
      </c>
      <c r="B400" s="172">
        <f>IF('Оперативный ввод'!B400="","",'Оперативный ввод'!B400)</f>
        <v/>
      </c>
      <c r="C400" s="270">
        <f>IF('Оперативный ввод'!C400="","",'Оперативный ввод'!C400)</f>
        <v/>
      </c>
      <c r="D400" s="270">
        <f>IF('Оперативный ввод'!D400="","",'Оперативный ввод'!D400)</f>
        <v/>
      </c>
      <c r="E400" s="271">
        <f>IF(OR(C400="",D400=""),"",D400-C400)</f>
        <v/>
      </c>
      <c r="F400" s="172">
        <f>IF('Оперативный ввод'!F400="","",'Оперативный ввод'!F400)</f>
        <v/>
      </c>
      <c r="G400" s="172">
        <f>IF('Оперативный ввод'!G400="","",'Оперативный ввод'!G400)</f>
        <v/>
      </c>
      <c r="H400" s="172">
        <f>IF('Оперативный ввод'!H400="","",'Оперативный ввод'!H400)</f>
        <v/>
      </c>
      <c r="I400" s="172">
        <f>IF('Оперативный ввод'!I400="","",'Оперативный ввод'!I400)</f>
        <v/>
      </c>
      <c r="J400" s="172">
        <f>IF('Оперативный ввод'!J400="","",'Оперативный ввод'!J400)</f>
        <v/>
      </c>
      <c r="K400" s="172">
        <f>IF('Оперативный ввод'!K400="","",'Оперативный ввод'!K400)</f>
        <v/>
      </c>
      <c r="L400" s="172">
        <f>IF('Оперативный ввод'!L400="","",'Оперативный ввод'!L400)</f>
        <v/>
      </c>
      <c r="M400" s="172">
        <f>IF('Оперативный ввод'!M400="","",'Оперативный ввод'!M400)</f>
        <v/>
      </c>
      <c r="N400" s="172">
        <f>IF('Оперативный ввод'!N400="","",'Оперативный ввод'!N400)</f>
        <v/>
      </c>
      <c r="O400" s="172">
        <f>IF('Оперативный ввод'!O400="","",'Оперативный ввод'!O400)</f>
        <v/>
      </c>
      <c r="P400" s="205">
        <f>IF(AND(A400="",B400=""),"",IF(AND(A400&lt;&gt;"",B400&lt;&gt;"",C400&lt;&gt;"",D400&lt;&gt;"",F400&lt;&gt;"",G400&lt;&gt;"",H400&lt;&gt;"",ISERROR(SEARCH("по паспорту",G400)),ISERROR(SEARCH("по паспорту",H400)),I400&lt;&gt;"",J400&lt;&gt;"",K400&lt;&gt;"",L400&lt;&gt;"",M400&lt;&gt;""),"ГОТОВО","НЕ ГОТОВО"))</f>
        <v/>
      </c>
      <c r="Q400" s="205">
        <f>IF(P400&lt;&gt;"ГОТОВО","", "Предварительное заключение: "&amp;A400&amp;", скв. "&amp;B400&amp;". МРП: "&amp;E400&amp;" сут. ГНО: "&amp;F400&amp;", типоразмер "&amp;G400&amp;", марка "&amp;H400&amp;". Событие: "&amp;I400&amp;". Признак: "&amp;J400&amp;". Узел: "&amp;K400&amp;". Предварительная причина: "&amp;L400&amp;". Основное осложнение: "&amp;M400&amp;IF(N400&lt;&gt;"","; сопутствующее: "&amp;N400,"")&amp;IF(O400&lt;&gt;"","; дополнительно: "&amp;O400,"")&amp;".")</f>
        <v/>
      </c>
      <c r="R400" s="172">
        <f>IF('Оперативный ввод'!P400="","",'Оперативный ввод'!P400)</f>
        <v/>
      </c>
      <c r="S400" s="172">
        <f>IF('Оперативный ввод'!Q400="","",'Оперативный ввод'!Q400)</f>
        <v/>
      </c>
      <c r="T400" s="172">
        <f>IF('Оперативный ввод'!R400="","",'Оперативный ввод'!R400)</f>
        <v/>
      </c>
      <c r="U400" s="172">
        <f>IF('Оперативный ввод'!S400="","",'Оперативный ввод'!S400)</f>
        <v/>
      </c>
      <c r="V400" s="172">
        <f>IF('Оперативный ввод'!T400="","",'Оперативный ввод'!T400)</f>
        <v/>
      </c>
      <c r="W400" s="172" t="n"/>
      <c r="X400" s="172" t="n"/>
      <c r="Y400" s="172" t="n"/>
      <c r="Z400" s="172" t="n"/>
      <c r="AA400" s="172">
        <f>IF('Оперативный ввод'!U400="","",'Оперативный ввод'!U400)</f>
        <v/>
      </c>
      <c r="AB400" s="172">
        <f>IF('Оперативный ввод'!V400="","",'Оперативный ввод'!V400)</f>
        <v/>
      </c>
      <c r="AC400" s="172">
        <f>IF('Оперативный ввод'!W400="","",'Оперативный ввод'!W400)</f>
        <v/>
      </c>
      <c r="BB400" s="172" t="n"/>
      <c r="BC400" s="172" t="n"/>
      <c r="BD400" s="205">
        <f>IF(AND(A400="",B400=""),"",IF(AND(P400="ГОТОВО",R400&lt;&gt;"",T400&lt;&gt;"",U400&lt;&gt;"",AA400&lt;&gt;"",AB400&lt;&gt;"",AC400&lt;&gt;"",BB400&lt;&gt;"",BC400&lt;&gt;""),"ГОТОВО","НЕ ГОТОВО"))</f>
        <v/>
      </c>
      <c r="BE400" s="205">
        <f>IF(BD400&lt;&gt;"ГОТОВО","","Полное заключение: "&amp;A400&amp;", скв. "&amp;B400&amp;". МРП: "&amp;E400&amp;" сут. ГНО: "&amp;F400&amp;"; причина: "&amp;U400&amp;"; категория: "&amp;V400&amp;"; решение комиссии: "&amp;BB400&amp;".")</f>
        <v/>
      </c>
      <c r="BF400" s="173">
        <f>IF('Оперативный ввод'!X400="","",'Оперативный ввод'!X400)</f>
        <v/>
      </c>
    </row>
    <row r="401">
      <c r="A401" s="171">
        <f>IF('Оперативный ввод'!A401="","",'Оперативный ввод'!A401)</f>
        <v/>
      </c>
      <c r="B401" s="172">
        <f>IF('Оперативный ввод'!B401="","",'Оперативный ввод'!B401)</f>
        <v/>
      </c>
      <c r="C401" s="270">
        <f>IF('Оперативный ввод'!C401="","",'Оперативный ввод'!C401)</f>
        <v/>
      </c>
      <c r="D401" s="270">
        <f>IF('Оперативный ввод'!D401="","",'Оперативный ввод'!D401)</f>
        <v/>
      </c>
      <c r="E401" s="271">
        <f>IF(OR(C401="",D401=""),"",D401-C401)</f>
        <v/>
      </c>
      <c r="F401" s="172">
        <f>IF('Оперативный ввод'!F401="","",'Оперативный ввод'!F401)</f>
        <v/>
      </c>
      <c r="G401" s="172">
        <f>IF('Оперативный ввод'!G401="","",'Оперативный ввод'!G401)</f>
        <v/>
      </c>
      <c r="H401" s="172">
        <f>IF('Оперативный ввод'!H401="","",'Оперативный ввод'!H401)</f>
        <v/>
      </c>
      <c r="I401" s="172">
        <f>IF('Оперативный ввод'!I401="","",'Оперативный ввод'!I401)</f>
        <v/>
      </c>
      <c r="J401" s="172">
        <f>IF('Оперативный ввод'!J401="","",'Оперативный ввод'!J401)</f>
        <v/>
      </c>
      <c r="K401" s="172">
        <f>IF('Оперативный ввод'!K401="","",'Оперативный ввод'!K401)</f>
        <v/>
      </c>
      <c r="L401" s="172">
        <f>IF('Оперативный ввод'!L401="","",'Оперативный ввод'!L401)</f>
        <v/>
      </c>
      <c r="M401" s="172">
        <f>IF('Оперативный ввод'!M401="","",'Оперативный ввод'!M401)</f>
        <v/>
      </c>
      <c r="N401" s="172">
        <f>IF('Оперативный ввод'!N401="","",'Оперативный ввод'!N401)</f>
        <v/>
      </c>
      <c r="O401" s="172">
        <f>IF('Оперативный ввод'!O401="","",'Оперативный ввод'!O401)</f>
        <v/>
      </c>
      <c r="P401" s="205">
        <f>IF(AND(A401="",B401=""),"",IF(AND(A401&lt;&gt;"",B401&lt;&gt;"",C401&lt;&gt;"",D401&lt;&gt;"",F401&lt;&gt;"",G401&lt;&gt;"",H401&lt;&gt;"",ISERROR(SEARCH("по паспорту",G401)),ISERROR(SEARCH("по паспорту",H401)),I401&lt;&gt;"",J401&lt;&gt;"",K401&lt;&gt;"",L401&lt;&gt;"",M401&lt;&gt;""),"ГОТОВО","НЕ ГОТОВО"))</f>
        <v/>
      </c>
      <c r="Q401" s="205">
        <f>IF(P401&lt;&gt;"ГОТОВО","", "Предварительное заключение: "&amp;A401&amp;", скв. "&amp;B401&amp;". МРП: "&amp;E401&amp;" сут. ГНО: "&amp;F401&amp;", типоразмер "&amp;G401&amp;", марка "&amp;H401&amp;". Событие: "&amp;I401&amp;". Признак: "&amp;J401&amp;". Узел: "&amp;K401&amp;". Предварительная причина: "&amp;L401&amp;". Основное осложнение: "&amp;M401&amp;IF(N401&lt;&gt;"","; сопутствующее: "&amp;N401,"")&amp;IF(O401&lt;&gt;"","; дополнительно: "&amp;O401,"")&amp;".")</f>
        <v/>
      </c>
      <c r="R401" s="172">
        <f>IF('Оперативный ввод'!P401="","",'Оперативный ввод'!P401)</f>
        <v/>
      </c>
      <c r="S401" s="172">
        <f>IF('Оперативный ввод'!Q401="","",'Оперативный ввод'!Q401)</f>
        <v/>
      </c>
      <c r="T401" s="172">
        <f>IF('Оперативный ввод'!R401="","",'Оперативный ввод'!R401)</f>
        <v/>
      </c>
      <c r="U401" s="172">
        <f>IF('Оперативный ввод'!S401="","",'Оперативный ввод'!S401)</f>
        <v/>
      </c>
      <c r="V401" s="172">
        <f>IF('Оперативный ввод'!T401="","",'Оперативный ввод'!T401)</f>
        <v/>
      </c>
      <c r="W401" s="172" t="n"/>
      <c r="X401" s="172" t="n"/>
      <c r="Y401" s="172" t="n"/>
      <c r="Z401" s="172" t="n"/>
      <c r="AA401" s="172">
        <f>IF('Оперативный ввод'!U401="","",'Оперативный ввод'!U401)</f>
        <v/>
      </c>
      <c r="AB401" s="172">
        <f>IF('Оперативный ввод'!V401="","",'Оперативный ввод'!V401)</f>
        <v/>
      </c>
      <c r="AC401" s="172">
        <f>IF('Оперативный ввод'!W401="","",'Оперативный ввод'!W401)</f>
        <v/>
      </c>
      <c r="BB401" s="172" t="n"/>
      <c r="BC401" s="172" t="n"/>
      <c r="BD401" s="205">
        <f>IF(AND(A401="",B401=""),"",IF(AND(P401="ГОТОВО",R401&lt;&gt;"",T401&lt;&gt;"",U401&lt;&gt;"",AA401&lt;&gt;"",AB401&lt;&gt;"",AC401&lt;&gt;"",BB401&lt;&gt;"",BC401&lt;&gt;""),"ГОТОВО","НЕ ГОТОВО"))</f>
        <v/>
      </c>
      <c r="BE401" s="205">
        <f>IF(BD401&lt;&gt;"ГОТОВО","","Полное заключение: "&amp;A401&amp;", скв. "&amp;B401&amp;". МРП: "&amp;E401&amp;" сут. ГНО: "&amp;F401&amp;"; причина: "&amp;U401&amp;"; категория: "&amp;V401&amp;"; решение комиссии: "&amp;BB401&amp;".")</f>
        <v/>
      </c>
      <c r="BF401" s="173">
        <f>IF('Оперативный ввод'!X401="","",'Оперативный ввод'!X401)</f>
        <v/>
      </c>
    </row>
    <row r="402">
      <c r="A402" s="171">
        <f>IF('Оперативный ввод'!A402="","",'Оперативный ввод'!A402)</f>
        <v/>
      </c>
      <c r="B402" s="172">
        <f>IF('Оперативный ввод'!B402="","",'Оперативный ввод'!B402)</f>
        <v/>
      </c>
      <c r="C402" s="270">
        <f>IF('Оперативный ввод'!C402="","",'Оперативный ввод'!C402)</f>
        <v/>
      </c>
      <c r="D402" s="270">
        <f>IF('Оперативный ввод'!D402="","",'Оперативный ввод'!D402)</f>
        <v/>
      </c>
      <c r="E402" s="271">
        <f>IF(OR(C402="",D402=""),"",D402-C402)</f>
        <v/>
      </c>
      <c r="F402" s="172">
        <f>IF('Оперативный ввод'!F402="","",'Оперативный ввод'!F402)</f>
        <v/>
      </c>
      <c r="G402" s="172">
        <f>IF('Оперативный ввод'!G402="","",'Оперативный ввод'!G402)</f>
        <v/>
      </c>
      <c r="H402" s="172">
        <f>IF('Оперативный ввод'!H402="","",'Оперативный ввод'!H402)</f>
        <v/>
      </c>
      <c r="I402" s="172">
        <f>IF('Оперативный ввод'!I402="","",'Оперативный ввод'!I402)</f>
        <v/>
      </c>
      <c r="J402" s="172">
        <f>IF('Оперативный ввод'!J402="","",'Оперативный ввод'!J402)</f>
        <v/>
      </c>
      <c r="K402" s="172">
        <f>IF('Оперативный ввод'!K402="","",'Оперативный ввод'!K402)</f>
        <v/>
      </c>
      <c r="L402" s="172">
        <f>IF('Оперативный ввод'!L402="","",'Оперативный ввод'!L402)</f>
        <v/>
      </c>
      <c r="M402" s="172">
        <f>IF('Оперативный ввод'!M402="","",'Оперативный ввод'!M402)</f>
        <v/>
      </c>
      <c r="N402" s="172">
        <f>IF('Оперативный ввод'!N402="","",'Оперативный ввод'!N402)</f>
        <v/>
      </c>
      <c r="O402" s="172">
        <f>IF('Оперативный ввод'!O402="","",'Оперативный ввод'!O402)</f>
        <v/>
      </c>
      <c r="P402" s="205">
        <f>IF(AND(A402="",B402=""),"",IF(AND(A402&lt;&gt;"",B402&lt;&gt;"",C402&lt;&gt;"",D402&lt;&gt;"",F402&lt;&gt;"",G402&lt;&gt;"",H402&lt;&gt;"",ISERROR(SEARCH("по паспорту",G402)),ISERROR(SEARCH("по паспорту",H402)),I402&lt;&gt;"",J402&lt;&gt;"",K402&lt;&gt;"",L402&lt;&gt;"",M402&lt;&gt;""),"ГОТОВО","НЕ ГОТОВО"))</f>
        <v/>
      </c>
      <c r="Q402" s="205">
        <f>IF(P402&lt;&gt;"ГОТОВО","", "Предварительное заключение: "&amp;A402&amp;", скв. "&amp;B402&amp;". МРП: "&amp;E402&amp;" сут. ГНО: "&amp;F402&amp;", типоразмер "&amp;G402&amp;", марка "&amp;H402&amp;". Событие: "&amp;I402&amp;". Признак: "&amp;J402&amp;". Узел: "&amp;K402&amp;". Предварительная причина: "&amp;L402&amp;". Основное осложнение: "&amp;M402&amp;IF(N402&lt;&gt;"","; сопутствующее: "&amp;N402,"")&amp;IF(O402&lt;&gt;"","; дополнительно: "&amp;O402,"")&amp;".")</f>
        <v/>
      </c>
      <c r="R402" s="172">
        <f>IF('Оперативный ввод'!P402="","",'Оперативный ввод'!P402)</f>
        <v/>
      </c>
      <c r="S402" s="172">
        <f>IF('Оперативный ввод'!Q402="","",'Оперативный ввод'!Q402)</f>
        <v/>
      </c>
      <c r="T402" s="172">
        <f>IF('Оперативный ввод'!R402="","",'Оперативный ввод'!R402)</f>
        <v/>
      </c>
      <c r="U402" s="172">
        <f>IF('Оперативный ввод'!S402="","",'Оперативный ввод'!S402)</f>
        <v/>
      </c>
      <c r="V402" s="172">
        <f>IF('Оперативный ввод'!T402="","",'Оперативный ввод'!T402)</f>
        <v/>
      </c>
      <c r="W402" s="172" t="n"/>
      <c r="X402" s="172" t="n"/>
      <c r="Y402" s="172" t="n"/>
      <c r="Z402" s="172" t="n"/>
      <c r="AA402" s="172">
        <f>IF('Оперативный ввод'!U402="","",'Оперативный ввод'!U402)</f>
        <v/>
      </c>
      <c r="AB402" s="172">
        <f>IF('Оперативный ввод'!V402="","",'Оперативный ввод'!V402)</f>
        <v/>
      </c>
      <c r="AC402" s="172">
        <f>IF('Оперативный ввод'!W402="","",'Оперативный ввод'!W402)</f>
        <v/>
      </c>
      <c r="BB402" s="172" t="n"/>
      <c r="BC402" s="172" t="n"/>
      <c r="BD402" s="205">
        <f>IF(AND(A402="",B402=""),"",IF(AND(P402="ГОТОВО",R402&lt;&gt;"",T402&lt;&gt;"",U402&lt;&gt;"",AA402&lt;&gt;"",AB402&lt;&gt;"",AC402&lt;&gt;"",BB402&lt;&gt;"",BC402&lt;&gt;""),"ГОТОВО","НЕ ГОТОВО"))</f>
        <v/>
      </c>
      <c r="BE402" s="205">
        <f>IF(BD402&lt;&gt;"ГОТОВО","","Полное заключение: "&amp;A402&amp;", скв. "&amp;B402&amp;". МРП: "&amp;E402&amp;" сут. ГНО: "&amp;F402&amp;"; причина: "&amp;U402&amp;"; категория: "&amp;V402&amp;"; решение комиссии: "&amp;BB402&amp;".")</f>
        <v/>
      </c>
      <c r="BF402" s="173">
        <f>IF('Оперативный ввод'!X402="","",'Оперативный ввод'!X402)</f>
        <v/>
      </c>
    </row>
    <row r="403">
      <c r="A403" s="171">
        <f>IF('Оперативный ввод'!A403="","",'Оперативный ввод'!A403)</f>
        <v/>
      </c>
      <c r="B403" s="172">
        <f>IF('Оперативный ввод'!B403="","",'Оперативный ввод'!B403)</f>
        <v/>
      </c>
      <c r="C403" s="270">
        <f>IF('Оперативный ввод'!C403="","",'Оперативный ввод'!C403)</f>
        <v/>
      </c>
      <c r="D403" s="270">
        <f>IF('Оперативный ввод'!D403="","",'Оперативный ввод'!D403)</f>
        <v/>
      </c>
      <c r="E403" s="271">
        <f>IF(OR(C403="",D403=""),"",D403-C403)</f>
        <v/>
      </c>
      <c r="F403" s="172">
        <f>IF('Оперативный ввод'!F403="","",'Оперативный ввод'!F403)</f>
        <v/>
      </c>
      <c r="G403" s="172">
        <f>IF('Оперативный ввод'!G403="","",'Оперативный ввод'!G403)</f>
        <v/>
      </c>
      <c r="H403" s="172">
        <f>IF('Оперативный ввод'!H403="","",'Оперативный ввод'!H403)</f>
        <v/>
      </c>
      <c r="I403" s="172">
        <f>IF('Оперативный ввод'!I403="","",'Оперативный ввод'!I403)</f>
        <v/>
      </c>
      <c r="J403" s="172">
        <f>IF('Оперативный ввод'!J403="","",'Оперативный ввод'!J403)</f>
        <v/>
      </c>
      <c r="K403" s="172">
        <f>IF('Оперативный ввод'!K403="","",'Оперативный ввод'!K403)</f>
        <v/>
      </c>
      <c r="L403" s="172">
        <f>IF('Оперативный ввод'!L403="","",'Оперативный ввод'!L403)</f>
        <v/>
      </c>
      <c r="M403" s="172">
        <f>IF('Оперативный ввод'!M403="","",'Оперативный ввод'!M403)</f>
        <v/>
      </c>
      <c r="N403" s="172">
        <f>IF('Оперативный ввод'!N403="","",'Оперативный ввод'!N403)</f>
        <v/>
      </c>
      <c r="O403" s="172">
        <f>IF('Оперативный ввод'!O403="","",'Оперативный ввод'!O403)</f>
        <v/>
      </c>
      <c r="P403" s="205">
        <f>IF(AND(A403="",B403=""),"",IF(AND(A403&lt;&gt;"",B403&lt;&gt;"",C403&lt;&gt;"",D403&lt;&gt;"",F403&lt;&gt;"",G403&lt;&gt;"",H403&lt;&gt;"",ISERROR(SEARCH("по паспорту",G403)),ISERROR(SEARCH("по паспорту",H403)),I403&lt;&gt;"",J403&lt;&gt;"",K403&lt;&gt;"",L403&lt;&gt;"",M403&lt;&gt;""),"ГОТОВО","НЕ ГОТОВО"))</f>
        <v/>
      </c>
      <c r="Q403" s="205">
        <f>IF(P403&lt;&gt;"ГОТОВО","", "Предварительное заключение: "&amp;A403&amp;", скв. "&amp;B403&amp;". МРП: "&amp;E403&amp;" сут. ГНО: "&amp;F403&amp;", типоразмер "&amp;G403&amp;", марка "&amp;H403&amp;". Событие: "&amp;I403&amp;". Признак: "&amp;J403&amp;". Узел: "&amp;K403&amp;". Предварительная причина: "&amp;L403&amp;". Основное осложнение: "&amp;M403&amp;IF(N403&lt;&gt;"","; сопутствующее: "&amp;N403,"")&amp;IF(O403&lt;&gt;"","; дополнительно: "&amp;O403,"")&amp;".")</f>
        <v/>
      </c>
      <c r="R403" s="172">
        <f>IF('Оперативный ввод'!P403="","",'Оперативный ввод'!P403)</f>
        <v/>
      </c>
      <c r="S403" s="172">
        <f>IF('Оперативный ввод'!Q403="","",'Оперативный ввод'!Q403)</f>
        <v/>
      </c>
      <c r="T403" s="172">
        <f>IF('Оперативный ввод'!R403="","",'Оперативный ввод'!R403)</f>
        <v/>
      </c>
      <c r="U403" s="172">
        <f>IF('Оперативный ввод'!S403="","",'Оперативный ввод'!S403)</f>
        <v/>
      </c>
      <c r="V403" s="172">
        <f>IF('Оперативный ввод'!T403="","",'Оперативный ввод'!T403)</f>
        <v/>
      </c>
      <c r="W403" s="172" t="n"/>
      <c r="X403" s="172" t="n"/>
      <c r="Y403" s="172" t="n"/>
      <c r="Z403" s="172" t="n"/>
      <c r="AA403" s="172">
        <f>IF('Оперативный ввод'!U403="","",'Оперативный ввод'!U403)</f>
        <v/>
      </c>
      <c r="AB403" s="172">
        <f>IF('Оперативный ввод'!V403="","",'Оперативный ввод'!V403)</f>
        <v/>
      </c>
      <c r="AC403" s="172">
        <f>IF('Оперативный ввод'!W403="","",'Оперативный ввод'!W403)</f>
        <v/>
      </c>
      <c r="BB403" s="172" t="n"/>
      <c r="BC403" s="172" t="n"/>
      <c r="BD403" s="205">
        <f>IF(AND(A403="",B403=""),"",IF(AND(P403="ГОТОВО",R403&lt;&gt;"",T403&lt;&gt;"",U403&lt;&gt;"",AA403&lt;&gt;"",AB403&lt;&gt;"",AC403&lt;&gt;"",BB403&lt;&gt;"",BC403&lt;&gt;""),"ГОТОВО","НЕ ГОТОВО"))</f>
        <v/>
      </c>
      <c r="BE403" s="205">
        <f>IF(BD403&lt;&gt;"ГОТОВО","","Полное заключение: "&amp;A403&amp;", скв. "&amp;B403&amp;". МРП: "&amp;E403&amp;" сут. ГНО: "&amp;F403&amp;"; причина: "&amp;U403&amp;"; категория: "&amp;V403&amp;"; решение комиссии: "&amp;BB403&amp;".")</f>
        <v/>
      </c>
      <c r="BF403" s="173">
        <f>IF('Оперативный ввод'!X403="","",'Оперативный ввод'!X403)</f>
        <v/>
      </c>
    </row>
    <row r="404">
      <c r="A404" s="171">
        <f>IF('Оперативный ввод'!A404="","",'Оперативный ввод'!A404)</f>
        <v/>
      </c>
      <c r="B404" s="172">
        <f>IF('Оперативный ввод'!B404="","",'Оперативный ввод'!B404)</f>
        <v/>
      </c>
      <c r="C404" s="270">
        <f>IF('Оперативный ввод'!C404="","",'Оперативный ввод'!C404)</f>
        <v/>
      </c>
      <c r="D404" s="270">
        <f>IF('Оперативный ввод'!D404="","",'Оперативный ввод'!D404)</f>
        <v/>
      </c>
      <c r="E404" s="271">
        <f>IF(OR(C404="",D404=""),"",D404-C404)</f>
        <v/>
      </c>
      <c r="F404" s="172">
        <f>IF('Оперативный ввод'!F404="","",'Оперативный ввод'!F404)</f>
        <v/>
      </c>
      <c r="G404" s="172">
        <f>IF('Оперативный ввод'!G404="","",'Оперативный ввод'!G404)</f>
        <v/>
      </c>
      <c r="H404" s="172">
        <f>IF('Оперативный ввод'!H404="","",'Оперативный ввод'!H404)</f>
        <v/>
      </c>
      <c r="I404" s="172">
        <f>IF('Оперативный ввод'!I404="","",'Оперативный ввод'!I404)</f>
        <v/>
      </c>
      <c r="J404" s="172">
        <f>IF('Оперативный ввод'!J404="","",'Оперативный ввод'!J404)</f>
        <v/>
      </c>
      <c r="K404" s="172">
        <f>IF('Оперативный ввод'!K404="","",'Оперативный ввод'!K404)</f>
        <v/>
      </c>
      <c r="L404" s="172">
        <f>IF('Оперативный ввод'!L404="","",'Оперативный ввод'!L404)</f>
        <v/>
      </c>
      <c r="M404" s="172">
        <f>IF('Оперативный ввод'!M404="","",'Оперативный ввод'!M404)</f>
        <v/>
      </c>
      <c r="N404" s="172">
        <f>IF('Оперативный ввод'!N404="","",'Оперативный ввод'!N404)</f>
        <v/>
      </c>
      <c r="O404" s="172">
        <f>IF('Оперативный ввод'!O404="","",'Оперативный ввод'!O404)</f>
        <v/>
      </c>
      <c r="P404" s="205">
        <f>IF(AND(A404="",B404=""),"",IF(AND(A404&lt;&gt;"",B404&lt;&gt;"",C404&lt;&gt;"",D404&lt;&gt;"",F404&lt;&gt;"",G404&lt;&gt;"",H404&lt;&gt;"",ISERROR(SEARCH("по паспорту",G404)),ISERROR(SEARCH("по паспорту",H404)),I404&lt;&gt;"",J404&lt;&gt;"",K404&lt;&gt;"",L404&lt;&gt;"",M404&lt;&gt;""),"ГОТОВО","НЕ ГОТОВО"))</f>
        <v/>
      </c>
      <c r="Q404" s="205">
        <f>IF(P404&lt;&gt;"ГОТОВО","", "Предварительное заключение: "&amp;A404&amp;", скв. "&amp;B404&amp;". МРП: "&amp;E404&amp;" сут. ГНО: "&amp;F404&amp;", типоразмер "&amp;G404&amp;", марка "&amp;H404&amp;". Событие: "&amp;I404&amp;". Признак: "&amp;J404&amp;". Узел: "&amp;K404&amp;". Предварительная причина: "&amp;L404&amp;". Основное осложнение: "&amp;M404&amp;IF(N404&lt;&gt;"","; сопутствующее: "&amp;N404,"")&amp;IF(O404&lt;&gt;"","; дополнительно: "&amp;O404,"")&amp;".")</f>
        <v/>
      </c>
      <c r="R404" s="172">
        <f>IF('Оперативный ввод'!P404="","",'Оперативный ввод'!P404)</f>
        <v/>
      </c>
      <c r="S404" s="172">
        <f>IF('Оперативный ввод'!Q404="","",'Оперативный ввод'!Q404)</f>
        <v/>
      </c>
      <c r="T404" s="172">
        <f>IF('Оперативный ввод'!R404="","",'Оперативный ввод'!R404)</f>
        <v/>
      </c>
      <c r="U404" s="172">
        <f>IF('Оперативный ввод'!S404="","",'Оперативный ввод'!S404)</f>
        <v/>
      </c>
      <c r="V404" s="172">
        <f>IF('Оперативный ввод'!T404="","",'Оперативный ввод'!T404)</f>
        <v/>
      </c>
      <c r="W404" s="172" t="n"/>
      <c r="X404" s="172" t="n"/>
      <c r="Y404" s="172" t="n"/>
      <c r="Z404" s="172" t="n"/>
      <c r="AA404" s="172">
        <f>IF('Оперативный ввод'!U404="","",'Оперативный ввод'!U404)</f>
        <v/>
      </c>
      <c r="AB404" s="172">
        <f>IF('Оперативный ввод'!V404="","",'Оперативный ввод'!V404)</f>
        <v/>
      </c>
      <c r="AC404" s="172">
        <f>IF('Оперативный ввод'!W404="","",'Оперативный ввод'!W404)</f>
        <v/>
      </c>
      <c r="BB404" s="172" t="n"/>
      <c r="BC404" s="172" t="n"/>
      <c r="BD404" s="205">
        <f>IF(AND(A404="",B404=""),"",IF(AND(P404="ГОТОВО",R404&lt;&gt;"",T404&lt;&gt;"",U404&lt;&gt;"",AA404&lt;&gt;"",AB404&lt;&gt;"",AC404&lt;&gt;"",BB404&lt;&gt;"",BC404&lt;&gt;""),"ГОТОВО","НЕ ГОТОВО"))</f>
        <v/>
      </c>
      <c r="BE404" s="205">
        <f>IF(BD404&lt;&gt;"ГОТОВО","","Полное заключение: "&amp;A404&amp;", скв. "&amp;B404&amp;". МРП: "&amp;E404&amp;" сут. ГНО: "&amp;F404&amp;"; причина: "&amp;U404&amp;"; категория: "&amp;V404&amp;"; решение комиссии: "&amp;BB404&amp;".")</f>
        <v/>
      </c>
      <c r="BF404" s="173">
        <f>IF('Оперативный ввод'!X404="","",'Оперативный ввод'!X404)</f>
        <v/>
      </c>
    </row>
    <row r="405">
      <c r="A405" s="171">
        <f>IF('Оперативный ввод'!A405="","",'Оперативный ввод'!A405)</f>
        <v/>
      </c>
      <c r="B405" s="172">
        <f>IF('Оперативный ввод'!B405="","",'Оперативный ввод'!B405)</f>
        <v/>
      </c>
      <c r="C405" s="270">
        <f>IF('Оперативный ввод'!C405="","",'Оперативный ввод'!C405)</f>
        <v/>
      </c>
      <c r="D405" s="270">
        <f>IF('Оперативный ввод'!D405="","",'Оперативный ввод'!D405)</f>
        <v/>
      </c>
      <c r="E405" s="271">
        <f>IF(OR(C405="",D405=""),"",D405-C405)</f>
        <v/>
      </c>
      <c r="F405" s="172">
        <f>IF('Оперативный ввод'!F405="","",'Оперативный ввод'!F405)</f>
        <v/>
      </c>
      <c r="G405" s="172">
        <f>IF('Оперативный ввод'!G405="","",'Оперативный ввод'!G405)</f>
        <v/>
      </c>
      <c r="H405" s="172">
        <f>IF('Оперативный ввод'!H405="","",'Оперативный ввод'!H405)</f>
        <v/>
      </c>
      <c r="I405" s="172">
        <f>IF('Оперативный ввод'!I405="","",'Оперативный ввод'!I405)</f>
        <v/>
      </c>
      <c r="J405" s="172">
        <f>IF('Оперативный ввод'!J405="","",'Оперативный ввод'!J405)</f>
        <v/>
      </c>
      <c r="K405" s="172">
        <f>IF('Оперативный ввод'!K405="","",'Оперативный ввод'!K405)</f>
        <v/>
      </c>
      <c r="L405" s="172">
        <f>IF('Оперативный ввод'!L405="","",'Оперативный ввод'!L405)</f>
        <v/>
      </c>
      <c r="M405" s="172">
        <f>IF('Оперативный ввод'!M405="","",'Оперативный ввод'!M405)</f>
        <v/>
      </c>
      <c r="N405" s="172">
        <f>IF('Оперативный ввод'!N405="","",'Оперативный ввод'!N405)</f>
        <v/>
      </c>
      <c r="O405" s="172">
        <f>IF('Оперативный ввод'!O405="","",'Оперативный ввод'!O405)</f>
        <v/>
      </c>
      <c r="P405" s="205">
        <f>IF(AND(A405="",B405=""),"",IF(AND(A405&lt;&gt;"",B405&lt;&gt;"",C405&lt;&gt;"",D405&lt;&gt;"",F405&lt;&gt;"",G405&lt;&gt;"",H405&lt;&gt;"",ISERROR(SEARCH("по паспорту",G405)),ISERROR(SEARCH("по паспорту",H405)),I405&lt;&gt;"",J405&lt;&gt;"",K405&lt;&gt;"",L405&lt;&gt;"",M405&lt;&gt;""),"ГОТОВО","НЕ ГОТОВО"))</f>
        <v/>
      </c>
      <c r="Q405" s="205">
        <f>IF(P405&lt;&gt;"ГОТОВО","", "Предварительное заключение: "&amp;A405&amp;", скв. "&amp;B405&amp;". МРП: "&amp;E405&amp;" сут. ГНО: "&amp;F405&amp;", типоразмер "&amp;G405&amp;", марка "&amp;H405&amp;". Событие: "&amp;I405&amp;". Признак: "&amp;J405&amp;". Узел: "&amp;K405&amp;". Предварительная причина: "&amp;L405&amp;". Основное осложнение: "&amp;M405&amp;IF(N405&lt;&gt;"","; сопутствующее: "&amp;N405,"")&amp;IF(O405&lt;&gt;"","; дополнительно: "&amp;O405,"")&amp;".")</f>
        <v/>
      </c>
      <c r="R405" s="172">
        <f>IF('Оперативный ввод'!P405="","",'Оперативный ввод'!P405)</f>
        <v/>
      </c>
      <c r="S405" s="172">
        <f>IF('Оперативный ввод'!Q405="","",'Оперативный ввод'!Q405)</f>
        <v/>
      </c>
      <c r="T405" s="172">
        <f>IF('Оперативный ввод'!R405="","",'Оперативный ввод'!R405)</f>
        <v/>
      </c>
      <c r="U405" s="172">
        <f>IF('Оперативный ввод'!S405="","",'Оперативный ввод'!S405)</f>
        <v/>
      </c>
      <c r="V405" s="172">
        <f>IF('Оперативный ввод'!T405="","",'Оперативный ввод'!T405)</f>
        <v/>
      </c>
      <c r="W405" s="172" t="n"/>
      <c r="X405" s="172" t="n"/>
      <c r="Y405" s="172" t="n"/>
      <c r="Z405" s="172" t="n"/>
      <c r="AA405" s="172">
        <f>IF('Оперативный ввод'!U405="","",'Оперативный ввод'!U405)</f>
        <v/>
      </c>
      <c r="AB405" s="172">
        <f>IF('Оперативный ввод'!V405="","",'Оперативный ввод'!V405)</f>
        <v/>
      </c>
      <c r="AC405" s="172">
        <f>IF('Оперативный ввод'!W405="","",'Оперативный ввод'!W405)</f>
        <v/>
      </c>
      <c r="BB405" s="172" t="n"/>
      <c r="BC405" s="172" t="n"/>
      <c r="BD405" s="205">
        <f>IF(AND(A405="",B405=""),"",IF(AND(P405="ГОТОВО",R405&lt;&gt;"",T405&lt;&gt;"",U405&lt;&gt;"",AA405&lt;&gt;"",AB405&lt;&gt;"",AC405&lt;&gt;"",BB405&lt;&gt;"",BC405&lt;&gt;""),"ГОТОВО","НЕ ГОТОВО"))</f>
        <v/>
      </c>
      <c r="BE405" s="205">
        <f>IF(BD405&lt;&gt;"ГОТОВО","","Полное заключение: "&amp;A405&amp;", скв. "&amp;B405&amp;". МРП: "&amp;E405&amp;" сут. ГНО: "&amp;F405&amp;"; причина: "&amp;U405&amp;"; категория: "&amp;V405&amp;"; решение комиссии: "&amp;BB405&amp;".")</f>
        <v/>
      </c>
      <c r="BF405" s="173">
        <f>IF('Оперативный ввод'!X405="","",'Оперативный ввод'!X405)</f>
        <v/>
      </c>
    </row>
    <row r="406">
      <c r="A406" s="171">
        <f>IF('Оперативный ввод'!A406="","",'Оперативный ввод'!A406)</f>
        <v/>
      </c>
      <c r="B406" s="172">
        <f>IF('Оперативный ввод'!B406="","",'Оперативный ввод'!B406)</f>
        <v/>
      </c>
      <c r="C406" s="270">
        <f>IF('Оперативный ввод'!C406="","",'Оперативный ввод'!C406)</f>
        <v/>
      </c>
      <c r="D406" s="270">
        <f>IF('Оперативный ввод'!D406="","",'Оперативный ввод'!D406)</f>
        <v/>
      </c>
      <c r="E406" s="271">
        <f>IF(OR(C406="",D406=""),"",D406-C406)</f>
        <v/>
      </c>
      <c r="F406" s="172">
        <f>IF('Оперативный ввод'!F406="","",'Оперативный ввод'!F406)</f>
        <v/>
      </c>
      <c r="G406" s="172">
        <f>IF('Оперативный ввод'!G406="","",'Оперативный ввод'!G406)</f>
        <v/>
      </c>
      <c r="H406" s="172">
        <f>IF('Оперативный ввод'!H406="","",'Оперативный ввод'!H406)</f>
        <v/>
      </c>
      <c r="I406" s="172">
        <f>IF('Оперативный ввод'!I406="","",'Оперативный ввод'!I406)</f>
        <v/>
      </c>
      <c r="J406" s="172">
        <f>IF('Оперативный ввод'!J406="","",'Оперативный ввод'!J406)</f>
        <v/>
      </c>
      <c r="K406" s="172">
        <f>IF('Оперативный ввод'!K406="","",'Оперативный ввод'!K406)</f>
        <v/>
      </c>
      <c r="L406" s="172">
        <f>IF('Оперативный ввод'!L406="","",'Оперативный ввод'!L406)</f>
        <v/>
      </c>
      <c r="M406" s="172">
        <f>IF('Оперативный ввод'!M406="","",'Оперативный ввод'!M406)</f>
        <v/>
      </c>
      <c r="N406" s="172">
        <f>IF('Оперативный ввод'!N406="","",'Оперативный ввод'!N406)</f>
        <v/>
      </c>
      <c r="O406" s="172">
        <f>IF('Оперативный ввод'!O406="","",'Оперативный ввод'!O406)</f>
        <v/>
      </c>
      <c r="P406" s="205">
        <f>IF(AND(A406="",B406=""),"",IF(AND(A406&lt;&gt;"",B406&lt;&gt;"",C406&lt;&gt;"",D406&lt;&gt;"",F406&lt;&gt;"",G406&lt;&gt;"",H406&lt;&gt;"",ISERROR(SEARCH("по паспорту",G406)),ISERROR(SEARCH("по паспорту",H406)),I406&lt;&gt;"",J406&lt;&gt;"",K406&lt;&gt;"",L406&lt;&gt;"",M406&lt;&gt;""),"ГОТОВО","НЕ ГОТОВО"))</f>
        <v/>
      </c>
      <c r="Q406" s="205">
        <f>IF(P406&lt;&gt;"ГОТОВО","", "Предварительное заключение: "&amp;A406&amp;", скв. "&amp;B406&amp;". МРП: "&amp;E406&amp;" сут. ГНО: "&amp;F406&amp;", типоразмер "&amp;G406&amp;", марка "&amp;H406&amp;". Событие: "&amp;I406&amp;". Признак: "&amp;J406&amp;". Узел: "&amp;K406&amp;". Предварительная причина: "&amp;L406&amp;". Основное осложнение: "&amp;M406&amp;IF(N406&lt;&gt;"","; сопутствующее: "&amp;N406,"")&amp;IF(O406&lt;&gt;"","; дополнительно: "&amp;O406,"")&amp;".")</f>
        <v/>
      </c>
      <c r="R406" s="172">
        <f>IF('Оперативный ввод'!P406="","",'Оперативный ввод'!P406)</f>
        <v/>
      </c>
      <c r="S406" s="172">
        <f>IF('Оперативный ввод'!Q406="","",'Оперативный ввод'!Q406)</f>
        <v/>
      </c>
      <c r="T406" s="172">
        <f>IF('Оперативный ввод'!R406="","",'Оперативный ввод'!R406)</f>
        <v/>
      </c>
      <c r="U406" s="172">
        <f>IF('Оперативный ввод'!S406="","",'Оперативный ввод'!S406)</f>
        <v/>
      </c>
      <c r="V406" s="172">
        <f>IF('Оперативный ввод'!T406="","",'Оперативный ввод'!T406)</f>
        <v/>
      </c>
      <c r="W406" s="172" t="n"/>
      <c r="X406" s="172" t="n"/>
      <c r="Y406" s="172" t="n"/>
      <c r="Z406" s="172" t="n"/>
      <c r="AA406" s="172">
        <f>IF('Оперативный ввод'!U406="","",'Оперативный ввод'!U406)</f>
        <v/>
      </c>
      <c r="AB406" s="172">
        <f>IF('Оперативный ввод'!V406="","",'Оперативный ввод'!V406)</f>
        <v/>
      </c>
      <c r="AC406" s="172">
        <f>IF('Оперативный ввод'!W406="","",'Оперативный ввод'!W406)</f>
        <v/>
      </c>
      <c r="BB406" s="172" t="n"/>
      <c r="BC406" s="172" t="n"/>
      <c r="BD406" s="205">
        <f>IF(AND(A406="",B406=""),"",IF(AND(P406="ГОТОВО",R406&lt;&gt;"",T406&lt;&gt;"",U406&lt;&gt;"",AA406&lt;&gt;"",AB406&lt;&gt;"",AC406&lt;&gt;"",BB406&lt;&gt;"",BC406&lt;&gt;""),"ГОТОВО","НЕ ГОТОВО"))</f>
        <v/>
      </c>
      <c r="BE406" s="205">
        <f>IF(BD406&lt;&gt;"ГОТОВО","","Полное заключение: "&amp;A406&amp;", скв. "&amp;B406&amp;". МРП: "&amp;E406&amp;" сут. ГНО: "&amp;F406&amp;"; причина: "&amp;U406&amp;"; категория: "&amp;V406&amp;"; решение комиссии: "&amp;BB406&amp;".")</f>
        <v/>
      </c>
      <c r="BF406" s="173">
        <f>IF('Оперативный ввод'!X406="","",'Оперативный ввод'!X406)</f>
        <v/>
      </c>
    </row>
    <row r="407">
      <c r="A407" s="171">
        <f>IF('Оперативный ввод'!A407="","",'Оперативный ввод'!A407)</f>
        <v/>
      </c>
      <c r="B407" s="172">
        <f>IF('Оперативный ввод'!B407="","",'Оперативный ввод'!B407)</f>
        <v/>
      </c>
      <c r="C407" s="270">
        <f>IF('Оперативный ввод'!C407="","",'Оперативный ввод'!C407)</f>
        <v/>
      </c>
      <c r="D407" s="270">
        <f>IF('Оперативный ввод'!D407="","",'Оперативный ввод'!D407)</f>
        <v/>
      </c>
      <c r="E407" s="271">
        <f>IF(OR(C407="",D407=""),"",D407-C407)</f>
        <v/>
      </c>
      <c r="F407" s="172">
        <f>IF('Оперативный ввод'!F407="","",'Оперативный ввод'!F407)</f>
        <v/>
      </c>
      <c r="G407" s="172">
        <f>IF('Оперативный ввод'!G407="","",'Оперативный ввод'!G407)</f>
        <v/>
      </c>
      <c r="H407" s="172">
        <f>IF('Оперативный ввод'!H407="","",'Оперативный ввод'!H407)</f>
        <v/>
      </c>
      <c r="I407" s="172">
        <f>IF('Оперативный ввод'!I407="","",'Оперативный ввод'!I407)</f>
        <v/>
      </c>
      <c r="J407" s="172">
        <f>IF('Оперативный ввод'!J407="","",'Оперативный ввод'!J407)</f>
        <v/>
      </c>
      <c r="K407" s="172">
        <f>IF('Оперативный ввод'!K407="","",'Оперативный ввод'!K407)</f>
        <v/>
      </c>
      <c r="L407" s="172">
        <f>IF('Оперативный ввод'!L407="","",'Оперативный ввод'!L407)</f>
        <v/>
      </c>
      <c r="M407" s="172">
        <f>IF('Оперативный ввод'!M407="","",'Оперативный ввод'!M407)</f>
        <v/>
      </c>
      <c r="N407" s="172">
        <f>IF('Оперативный ввод'!N407="","",'Оперативный ввод'!N407)</f>
        <v/>
      </c>
      <c r="O407" s="172">
        <f>IF('Оперативный ввод'!O407="","",'Оперативный ввод'!O407)</f>
        <v/>
      </c>
      <c r="P407" s="205">
        <f>IF(AND(A407="",B407=""),"",IF(AND(A407&lt;&gt;"",B407&lt;&gt;"",C407&lt;&gt;"",D407&lt;&gt;"",F407&lt;&gt;"",G407&lt;&gt;"",H407&lt;&gt;"",ISERROR(SEARCH("по паспорту",G407)),ISERROR(SEARCH("по паспорту",H407)),I407&lt;&gt;"",J407&lt;&gt;"",K407&lt;&gt;"",L407&lt;&gt;"",M407&lt;&gt;""),"ГОТОВО","НЕ ГОТОВО"))</f>
        <v/>
      </c>
      <c r="Q407" s="205">
        <f>IF(P407&lt;&gt;"ГОТОВО","", "Предварительное заключение: "&amp;A407&amp;", скв. "&amp;B407&amp;". МРП: "&amp;E407&amp;" сут. ГНО: "&amp;F407&amp;", типоразмер "&amp;G407&amp;", марка "&amp;H407&amp;". Событие: "&amp;I407&amp;". Признак: "&amp;J407&amp;". Узел: "&amp;K407&amp;". Предварительная причина: "&amp;L407&amp;". Основное осложнение: "&amp;M407&amp;IF(N407&lt;&gt;"","; сопутствующее: "&amp;N407,"")&amp;IF(O407&lt;&gt;"","; дополнительно: "&amp;O407,"")&amp;".")</f>
        <v/>
      </c>
      <c r="R407" s="172">
        <f>IF('Оперативный ввод'!P407="","",'Оперативный ввод'!P407)</f>
        <v/>
      </c>
      <c r="S407" s="172">
        <f>IF('Оперативный ввод'!Q407="","",'Оперативный ввод'!Q407)</f>
        <v/>
      </c>
      <c r="T407" s="172">
        <f>IF('Оперативный ввод'!R407="","",'Оперативный ввод'!R407)</f>
        <v/>
      </c>
      <c r="U407" s="172">
        <f>IF('Оперативный ввод'!S407="","",'Оперативный ввод'!S407)</f>
        <v/>
      </c>
      <c r="V407" s="172">
        <f>IF('Оперативный ввод'!T407="","",'Оперативный ввод'!T407)</f>
        <v/>
      </c>
      <c r="W407" s="172" t="n"/>
      <c r="X407" s="172" t="n"/>
      <c r="Y407" s="172" t="n"/>
      <c r="Z407" s="172" t="n"/>
      <c r="AA407" s="172">
        <f>IF('Оперативный ввод'!U407="","",'Оперативный ввод'!U407)</f>
        <v/>
      </c>
      <c r="AB407" s="172">
        <f>IF('Оперативный ввод'!V407="","",'Оперативный ввод'!V407)</f>
        <v/>
      </c>
      <c r="AC407" s="172">
        <f>IF('Оперативный ввод'!W407="","",'Оперативный ввод'!W407)</f>
        <v/>
      </c>
      <c r="BB407" s="172" t="n"/>
      <c r="BC407" s="172" t="n"/>
      <c r="BD407" s="205">
        <f>IF(AND(A407="",B407=""),"",IF(AND(P407="ГОТОВО",R407&lt;&gt;"",T407&lt;&gt;"",U407&lt;&gt;"",AA407&lt;&gt;"",AB407&lt;&gt;"",AC407&lt;&gt;"",BB407&lt;&gt;"",BC407&lt;&gt;""),"ГОТОВО","НЕ ГОТОВО"))</f>
        <v/>
      </c>
      <c r="BE407" s="205">
        <f>IF(BD407&lt;&gt;"ГОТОВО","","Полное заключение: "&amp;A407&amp;", скв. "&amp;B407&amp;". МРП: "&amp;E407&amp;" сут. ГНО: "&amp;F407&amp;"; причина: "&amp;U407&amp;"; категория: "&amp;V407&amp;"; решение комиссии: "&amp;BB407&amp;".")</f>
        <v/>
      </c>
      <c r="BF407" s="173">
        <f>IF('Оперативный ввод'!X407="","",'Оперативный ввод'!X407)</f>
        <v/>
      </c>
    </row>
    <row r="408">
      <c r="A408" s="171">
        <f>IF('Оперативный ввод'!A408="","",'Оперативный ввод'!A408)</f>
        <v/>
      </c>
      <c r="B408" s="172">
        <f>IF('Оперативный ввод'!B408="","",'Оперативный ввод'!B408)</f>
        <v/>
      </c>
      <c r="C408" s="270">
        <f>IF('Оперативный ввод'!C408="","",'Оперативный ввод'!C408)</f>
        <v/>
      </c>
      <c r="D408" s="270">
        <f>IF('Оперативный ввод'!D408="","",'Оперативный ввод'!D408)</f>
        <v/>
      </c>
      <c r="E408" s="271">
        <f>IF(OR(C408="",D408=""),"",D408-C408)</f>
        <v/>
      </c>
      <c r="F408" s="172">
        <f>IF('Оперативный ввод'!F408="","",'Оперативный ввод'!F408)</f>
        <v/>
      </c>
      <c r="G408" s="172">
        <f>IF('Оперативный ввод'!G408="","",'Оперативный ввод'!G408)</f>
        <v/>
      </c>
      <c r="H408" s="172">
        <f>IF('Оперативный ввод'!H408="","",'Оперативный ввод'!H408)</f>
        <v/>
      </c>
      <c r="I408" s="172">
        <f>IF('Оперативный ввод'!I408="","",'Оперативный ввод'!I408)</f>
        <v/>
      </c>
      <c r="J408" s="172">
        <f>IF('Оперативный ввод'!J408="","",'Оперативный ввод'!J408)</f>
        <v/>
      </c>
      <c r="K408" s="172">
        <f>IF('Оперативный ввод'!K408="","",'Оперативный ввод'!K408)</f>
        <v/>
      </c>
      <c r="L408" s="172">
        <f>IF('Оперативный ввод'!L408="","",'Оперативный ввод'!L408)</f>
        <v/>
      </c>
      <c r="M408" s="172">
        <f>IF('Оперативный ввод'!M408="","",'Оперативный ввод'!M408)</f>
        <v/>
      </c>
      <c r="N408" s="172">
        <f>IF('Оперативный ввод'!N408="","",'Оперативный ввод'!N408)</f>
        <v/>
      </c>
      <c r="O408" s="172">
        <f>IF('Оперативный ввод'!O408="","",'Оперативный ввод'!O408)</f>
        <v/>
      </c>
      <c r="P408" s="205">
        <f>IF(AND(A408="",B408=""),"",IF(AND(A408&lt;&gt;"",B408&lt;&gt;"",C408&lt;&gt;"",D408&lt;&gt;"",F408&lt;&gt;"",G408&lt;&gt;"",H408&lt;&gt;"",ISERROR(SEARCH("по паспорту",G408)),ISERROR(SEARCH("по паспорту",H408)),I408&lt;&gt;"",J408&lt;&gt;"",K408&lt;&gt;"",L408&lt;&gt;"",M408&lt;&gt;""),"ГОТОВО","НЕ ГОТОВО"))</f>
        <v/>
      </c>
      <c r="Q408" s="205">
        <f>IF(P408&lt;&gt;"ГОТОВО","", "Предварительное заключение: "&amp;A408&amp;", скв. "&amp;B408&amp;". МРП: "&amp;E408&amp;" сут. ГНО: "&amp;F408&amp;", типоразмер "&amp;G408&amp;", марка "&amp;H408&amp;". Событие: "&amp;I408&amp;". Признак: "&amp;J408&amp;". Узел: "&amp;K408&amp;". Предварительная причина: "&amp;L408&amp;". Основное осложнение: "&amp;M408&amp;IF(N408&lt;&gt;"","; сопутствующее: "&amp;N408,"")&amp;IF(O408&lt;&gt;"","; дополнительно: "&amp;O408,"")&amp;".")</f>
        <v/>
      </c>
      <c r="R408" s="172">
        <f>IF('Оперативный ввод'!P408="","",'Оперативный ввод'!P408)</f>
        <v/>
      </c>
      <c r="S408" s="172">
        <f>IF('Оперативный ввод'!Q408="","",'Оперативный ввод'!Q408)</f>
        <v/>
      </c>
      <c r="T408" s="172">
        <f>IF('Оперативный ввод'!R408="","",'Оперативный ввод'!R408)</f>
        <v/>
      </c>
      <c r="U408" s="172">
        <f>IF('Оперативный ввод'!S408="","",'Оперативный ввод'!S408)</f>
        <v/>
      </c>
      <c r="V408" s="172">
        <f>IF('Оперативный ввод'!T408="","",'Оперативный ввод'!T408)</f>
        <v/>
      </c>
      <c r="W408" s="172" t="n"/>
      <c r="X408" s="172" t="n"/>
      <c r="Y408" s="172" t="n"/>
      <c r="Z408" s="172" t="n"/>
      <c r="AA408" s="172">
        <f>IF('Оперативный ввод'!U408="","",'Оперативный ввод'!U408)</f>
        <v/>
      </c>
      <c r="AB408" s="172">
        <f>IF('Оперативный ввод'!V408="","",'Оперативный ввод'!V408)</f>
        <v/>
      </c>
      <c r="AC408" s="172">
        <f>IF('Оперативный ввод'!W408="","",'Оперативный ввод'!W408)</f>
        <v/>
      </c>
      <c r="BB408" s="172" t="n"/>
      <c r="BC408" s="172" t="n"/>
      <c r="BD408" s="205">
        <f>IF(AND(A408="",B408=""),"",IF(AND(P408="ГОТОВО",R408&lt;&gt;"",T408&lt;&gt;"",U408&lt;&gt;"",AA408&lt;&gt;"",AB408&lt;&gt;"",AC408&lt;&gt;"",BB408&lt;&gt;"",BC408&lt;&gt;""),"ГОТОВО","НЕ ГОТОВО"))</f>
        <v/>
      </c>
      <c r="BE408" s="205">
        <f>IF(BD408&lt;&gt;"ГОТОВО","","Полное заключение: "&amp;A408&amp;", скв. "&amp;B408&amp;". МРП: "&amp;E408&amp;" сут. ГНО: "&amp;F408&amp;"; причина: "&amp;U408&amp;"; категория: "&amp;V408&amp;"; решение комиссии: "&amp;BB408&amp;".")</f>
        <v/>
      </c>
      <c r="BF408" s="173">
        <f>IF('Оперативный ввод'!X408="","",'Оперативный ввод'!X408)</f>
        <v/>
      </c>
    </row>
    <row r="409">
      <c r="A409" s="171">
        <f>IF('Оперативный ввод'!A409="","",'Оперативный ввод'!A409)</f>
        <v/>
      </c>
      <c r="B409" s="172">
        <f>IF('Оперативный ввод'!B409="","",'Оперативный ввод'!B409)</f>
        <v/>
      </c>
      <c r="C409" s="270">
        <f>IF('Оперативный ввод'!C409="","",'Оперативный ввод'!C409)</f>
        <v/>
      </c>
      <c r="D409" s="270">
        <f>IF('Оперативный ввод'!D409="","",'Оперативный ввод'!D409)</f>
        <v/>
      </c>
      <c r="E409" s="271">
        <f>IF(OR(C409="",D409=""),"",D409-C409)</f>
        <v/>
      </c>
      <c r="F409" s="172">
        <f>IF('Оперативный ввод'!F409="","",'Оперативный ввод'!F409)</f>
        <v/>
      </c>
      <c r="G409" s="172">
        <f>IF('Оперативный ввод'!G409="","",'Оперативный ввод'!G409)</f>
        <v/>
      </c>
      <c r="H409" s="172">
        <f>IF('Оперативный ввод'!H409="","",'Оперативный ввод'!H409)</f>
        <v/>
      </c>
      <c r="I409" s="172">
        <f>IF('Оперативный ввод'!I409="","",'Оперативный ввод'!I409)</f>
        <v/>
      </c>
      <c r="J409" s="172">
        <f>IF('Оперативный ввод'!J409="","",'Оперативный ввод'!J409)</f>
        <v/>
      </c>
      <c r="K409" s="172">
        <f>IF('Оперативный ввод'!K409="","",'Оперативный ввод'!K409)</f>
        <v/>
      </c>
      <c r="L409" s="172">
        <f>IF('Оперативный ввод'!L409="","",'Оперативный ввод'!L409)</f>
        <v/>
      </c>
      <c r="M409" s="172">
        <f>IF('Оперативный ввод'!M409="","",'Оперативный ввод'!M409)</f>
        <v/>
      </c>
      <c r="N409" s="172">
        <f>IF('Оперативный ввод'!N409="","",'Оперативный ввод'!N409)</f>
        <v/>
      </c>
      <c r="O409" s="172">
        <f>IF('Оперативный ввод'!O409="","",'Оперативный ввод'!O409)</f>
        <v/>
      </c>
      <c r="P409" s="205">
        <f>IF(AND(A409="",B409=""),"",IF(AND(A409&lt;&gt;"",B409&lt;&gt;"",C409&lt;&gt;"",D409&lt;&gt;"",F409&lt;&gt;"",G409&lt;&gt;"",H409&lt;&gt;"",ISERROR(SEARCH("по паспорту",G409)),ISERROR(SEARCH("по паспорту",H409)),I409&lt;&gt;"",J409&lt;&gt;"",K409&lt;&gt;"",L409&lt;&gt;"",M409&lt;&gt;""),"ГОТОВО","НЕ ГОТОВО"))</f>
        <v/>
      </c>
      <c r="Q409" s="205">
        <f>IF(P409&lt;&gt;"ГОТОВО","", "Предварительное заключение: "&amp;A409&amp;", скв. "&amp;B409&amp;". МРП: "&amp;E409&amp;" сут. ГНО: "&amp;F409&amp;", типоразмер "&amp;G409&amp;", марка "&amp;H409&amp;". Событие: "&amp;I409&amp;". Признак: "&amp;J409&amp;". Узел: "&amp;K409&amp;". Предварительная причина: "&amp;L409&amp;". Основное осложнение: "&amp;M409&amp;IF(N409&lt;&gt;"","; сопутствующее: "&amp;N409,"")&amp;IF(O409&lt;&gt;"","; дополнительно: "&amp;O409,"")&amp;".")</f>
        <v/>
      </c>
      <c r="R409" s="172">
        <f>IF('Оперативный ввод'!P409="","",'Оперативный ввод'!P409)</f>
        <v/>
      </c>
      <c r="S409" s="172">
        <f>IF('Оперативный ввод'!Q409="","",'Оперативный ввод'!Q409)</f>
        <v/>
      </c>
      <c r="T409" s="172">
        <f>IF('Оперативный ввод'!R409="","",'Оперативный ввод'!R409)</f>
        <v/>
      </c>
      <c r="U409" s="172">
        <f>IF('Оперативный ввод'!S409="","",'Оперативный ввод'!S409)</f>
        <v/>
      </c>
      <c r="V409" s="172">
        <f>IF('Оперативный ввод'!T409="","",'Оперативный ввод'!T409)</f>
        <v/>
      </c>
      <c r="W409" s="172" t="n"/>
      <c r="X409" s="172" t="n"/>
      <c r="Y409" s="172" t="n"/>
      <c r="Z409" s="172" t="n"/>
      <c r="AA409" s="172">
        <f>IF('Оперативный ввод'!U409="","",'Оперативный ввод'!U409)</f>
        <v/>
      </c>
      <c r="AB409" s="172">
        <f>IF('Оперативный ввод'!V409="","",'Оперативный ввод'!V409)</f>
        <v/>
      </c>
      <c r="AC409" s="172">
        <f>IF('Оперативный ввод'!W409="","",'Оперативный ввод'!W409)</f>
        <v/>
      </c>
      <c r="BB409" s="172" t="n"/>
      <c r="BC409" s="172" t="n"/>
      <c r="BD409" s="205">
        <f>IF(AND(A409="",B409=""),"",IF(AND(P409="ГОТОВО",R409&lt;&gt;"",T409&lt;&gt;"",U409&lt;&gt;"",AA409&lt;&gt;"",AB409&lt;&gt;"",AC409&lt;&gt;"",BB409&lt;&gt;"",BC409&lt;&gt;""),"ГОТОВО","НЕ ГОТОВО"))</f>
        <v/>
      </c>
      <c r="BE409" s="205">
        <f>IF(BD409&lt;&gt;"ГОТОВО","","Полное заключение: "&amp;A409&amp;", скв. "&amp;B409&amp;". МРП: "&amp;E409&amp;" сут. ГНО: "&amp;F409&amp;"; причина: "&amp;U409&amp;"; категория: "&amp;V409&amp;"; решение комиссии: "&amp;BB409&amp;".")</f>
        <v/>
      </c>
      <c r="BF409" s="173">
        <f>IF('Оперативный ввод'!X409="","",'Оперативный ввод'!X409)</f>
        <v/>
      </c>
    </row>
    <row r="410">
      <c r="A410" s="171">
        <f>IF('Оперативный ввод'!A410="","",'Оперативный ввод'!A410)</f>
        <v/>
      </c>
      <c r="B410" s="172">
        <f>IF('Оперативный ввод'!B410="","",'Оперативный ввод'!B410)</f>
        <v/>
      </c>
      <c r="C410" s="270">
        <f>IF('Оперативный ввод'!C410="","",'Оперативный ввод'!C410)</f>
        <v/>
      </c>
      <c r="D410" s="270">
        <f>IF('Оперативный ввод'!D410="","",'Оперативный ввод'!D410)</f>
        <v/>
      </c>
      <c r="E410" s="271">
        <f>IF(OR(C410="",D410=""),"",D410-C410)</f>
        <v/>
      </c>
      <c r="F410" s="172">
        <f>IF('Оперативный ввод'!F410="","",'Оперативный ввод'!F410)</f>
        <v/>
      </c>
      <c r="G410" s="172">
        <f>IF('Оперативный ввод'!G410="","",'Оперативный ввод'!G410)</f>
        <v/>
      </c>
      <c r="H410" s="172">
        <f>IF('Оперативный ввод'!H410="","",'Оперативный ввод'!H410)</f>
        <v/>
      </c>
      <c r="I410" s="172">
        <f>IF('Оперативный ввод'!I410="","",'Оперативный ввод'!I410)</f>
        <v/>
      </c>
      <c r="J410" s="172">
        <f>IF('Оперативный ввод'!J410="","",'Оперативный ввод'!J410)</f>
        <v/>
      </c>
      <c r="K410" s="172">
        <f>IF('Оперативный ввод'!K410="","",'Оперативный ввод'!K410)</f>
        <v/>
      </c>
      <c r="L410" s="172">
        <f>IF('Оперативный ввод'!L410="","",'Оперативный ввод'!L410)</f>
        <v/>
      </c>
      <c r="M410" s="172">
        <f>IF('Оперативный ввод'!M410="","",'Оперативный ввод'!M410)</f>
        <v/>
      </c>
      <c r="N410" s="172">
        <f>IF('Оперативный ввод'!N410="","",'Оперативный ввод'!N410)</f>
        <v/>
      </c>
      <c r="O410" s="172">
        <f>IF('Оперативный ввод'!O410="","",'Оперативный ввод'!O410)</f>
        <v/>
      </c>
      <c r="P410" s="205">
        <f>IF(AND(A410="",B410=""),"",IF(AND(A410&lt;&gt;"",B410&lt;&gt;"",C410&lt;&gt;"",D410&lt;&gt;"",F410&lt;&gt;"",G410&lt;&gt;"",H410&lt;&gt;"",ISERROR(SEARCH("по паспорту",G410)),ISERROR(SEARCH("по паспорту",H410)),I410&lt;&gt;"",J410&lt;&gt;"",K410&lt;&gt;"",L410&lt;&gt;"",M410&lt;&gt;""),"ГОТОВО","НЕ ГОТОВО"))</f>
        <v/>
      </c>
      <c r="Q410" s="205">
        <f>IF(P410&lt;&gt;"ГОТОВО","", "Предварительное заключение: "&amp;A410&amp;", скв. "&amp;B410&amp;". МРП: "&amp;E410&amp;" сут. ГНО: "&amp;F410&amp;", типоразмер "&amp;G410&amp;", марка "&amp;H410&amp;". Событие: "&amp;I410&amp;". Признак: "&amp;J410&amp;". Узел: "&amp;K410&amp;". Предварительная причина: "&amp;L410&amp;". Основное осложнение: "&amp;M410&amp;IF(N410&lt;&gt;"","; сопутствующее: "&amp;N410,"")&amp;IF(O410&lt;&gt;"","; дополнительно: "&amp;O410,"")&amp;".")</f>
        <v/>
      </c>
      <c r="R410" s="172">
        <f>IF('Оперативный ввод'!P410="","",'Оперативный ввод'!P410)</f>
        <v/>
      </c>
      <c r="S410" s="172">
        <f>IF('Оперативный ввод'!Q410="","",'Оперативный ввод'!Q410)</f>
        <v/>
      </c>
      <c r="T410" s="172">
        <f>IF('Оперативный ввод'!R410="","",'Оперативный ввод'!R410)</f>
        <v/>
      </c>
      <c r="U410" s="172">
        <f>IF('Оперативный ввод'!S410="","",'Оперативный ввод'!S410)</f>
        <v/>
      </c>
      <c r="V410" s="172">
        <f>IF('Оперативный ввод'!T410="","",'Оперативный ввод'!T410)</f>
        <v/>
      </c>
      <c r="W410" s="172" t="n"/>
      <c r="X410" s="172" t="n"/>
      <c r="Y410" s="172" t="n"/>
      <c r="Z410" s="172" t="n"/>
      <c r="AA410" s="172">
        <f>IF('Оперативный ввод'!U410="","",'Оперативный ввод'!U410)</f>
        <v/>
      </c>
      <c r="AB410" s="172">
        <f>IF('Оперативный ввод'!V410="","",'Оперативный ввод'!V410)</f>
        <v/>
      </c>
      <c r="AC410" s="172">
        <f>IF('Оперативный ввод'!W410="","",'Оперативный ввод'!W410)</f>
        <v/>
      </c>
      <c r="BB410" s="172" t="n"/>
      <c r="BC410" s="172" t="n"/>
      <c r="BD410" s="205">
        <f>IF(AND(A410="",B410=""),"",IF(AND(P410="ГОТОВО",R410&lt;&gt;"",T410&lt;&gt;"",U410&lt;&gt;"",AA410&lt;&gt;"",AB410&lt;&gt;"",AC410&lt;&gt;"",BB410&lt;&gt;"",BC410&lt;&gt;""),"ГОТОВО","НЕ ГОТОВО"))</f>
        <v/>
      </c>
      <c r="BE410" s="205">
        <f>IF(BD410&lt;&gt;"ГОТОВО","","Полное заключение: "&amp;A410&amp;", скв. "&amp;B410&amp;". МРП: "&amp;E410&amp;" сут. ГНО: "&amp;F410&amp;"; причина: "&amp;U410&amp;"; категория: "&amp;V410&amp;"; решение комиссии: "&amp;BB410&amp;".")</f>
        <v/>
      </c>
      <c r="BF410" s="173">
        <f>IF('Оперативный ввод'!X410="","",'Оперативный ввод'!X410)</f>
        <v/>
      </c>
    </row>
    <row r="411">
      <c r="A411" s="171">
        <f>IF('Оперативный ввод'!A411="","",'Оперативный ввод'!A411)</f>
        <v/>
      </c>
      <c r="B411" s="172">
        <f>IF('Оперативный ввод'!B411="","",'Оперативный ввод'!B411)</f>
        <v/>
      </c>
      <c r="C411" s="270">
        <f>IF('Оперативный ввод'!C411="","",'Оперативный ввод'!C411)</f>
        <v/>
      </c>
      <c r="D411" s="270">
        <f>IF('Оперативный ввод'!D411="","",'Оперативный ввод'!D411)</f>
        <v/>
      </c>
      <c r="E411" s="271">
        <f>IF(OR(C411="",D411=""),"",D411-C411)</f>
        <v/>
      </c>
      <c r="F411" s="172">
        <f>IF('Оперативный ввод'!F411="","",'Оперативный ввод'!F411)</f>
        <v/>
      </c>
      <c r="G411" s="172">
        <f>IF('Оперативный ввод'!G411="","",'Оперативный ввод'!G411)</f>
        <v/>
      </c>
      <c r="H411" s="172">
        <f>IF('Оперативный ввод'!H411="","",'Оперативный ввод'!H411)</f>
        <v/>
      </c>
      <c r="I411" s="172">
        <f>IF('Оперативный ввод'!I411="","",'Оперативный ввод'!I411)</f>
        <v/>
      </c>
      <c r="J411" s="172">
        <f>IF('Оперативный ввод'!J411="","",'Оперативный ввод'!J411)</f>
        <v/>
      </c>
      <c r="K411" s="172">
        <f>IF('Оперативный ввод'!K411="","",'Оперативный ввод'!K411)</f>
        <v/>
      </c>
      <c r="L411" s="172">
        <f>IF('Оперативный ввод'!L411="","",'Оперативный ввод'!L411)</f>
        <v/>
      </c>
      <c r="M411" s="172">
        <f>IF('Оперативный ввод'!M411="","",'Оперативный ввод'!M411)</f>
        <v/>
      </c>
      <c r="N411" s="172">
        <f>IF('Оперативный ввод'!N411="","",'Оперативный ввод'!N411)</f>
        <v/>
      </c>
      <c r="O411" s="172">
        <f>IF('Оперативный ввод'!O411="","",'Оперативный ввод'!O411)</f>
        <v/>
      </c>
      <c r="P411" s="205">
        <f>IF(AND(A411="",B411=""),"",IF(AND(A411&lt;&gt;"",B411&lt;&gt;"",C411&lt;&gt;"",D411&lt;&gt;"",F411&lt;&gt;"",G411&lt;&gt;"",H411&lt;&gt;"",ISERROR(SEARCH("по паспорту",G411)),ISERROR(SEARCH("по паспорту",H411)),I411&lt;&gt;"",J411&lt;&gt;"",K411&lt;&gt;"",L411&lt;&gt;"",M411&lt;&gt;""),"ГОТОВО","НЕ ГОТОВО"))</f>
        <v/>
      </c>
      <c r="Q411" s="205">
        <f>IF(P411&lt;&gt;"ГОТОВО","", "Предварительное заключение: "&amp;A411&amp;", скв. "&amp;B411&amp;". МРП: "&amp;E411&amp;" сут. ГНО: "&amp;F411&amp;", типоразмер "&amp;G411&amp;", марка "&amp;H411&amp;". Событие: "&amp;I411&amp;". Признак: "&amp;J411&amp;". Узел: "&amp;K411&amp;". Предварительная причина: "&amp;L411&amp;". Основное осложнение: "&amp;M411&amp;IF(N411&lt;&gt;"","; сопутствующее: "&amp;N411,"")&amp;IF(O411&lt;&gt;"","; дополнительно: "&amp;O411,"")&amp;".")</f>
        <v/>
      </c>
      <c r="R411" s="172">
        <f>IF('Оперативный ввод'!P411="","",'Оперативный ввод'!P411)</f>
        <v/>
      </c>
      <c r="S411" s="172">
        <f>IF('Оперативный ввод'!Q411="","",'Оперативный ввод'!Q411)</f>
        <v/>
      </c>
      <c r="T411" s="172">
        <f>IF('Оперативный ввод'!R411="","",'Оперативный ввод'!R411)</f>
        <v/>
      </c>
      <c r="U411" s="172">
        <f>IF('Оперативный ввод'!S411="","",'Оперативный ввод'!S411)</f>
        <v/>
      </c>
      <c r="V411" s="172">
        <f>IF('Оперативный ввод'!T411="","",'Оперативный ввод'!T411)</f>
        <v/>
      </c>
      <c r="W411" s="172" t="n"/>
      <c r="X411" s="172" t="n"/>
      <c r="Y411" s="172" t="n"/>
      <c r="Z411" s="172" t="n"/>
      <c r="AA411" s="172">
        <f>IF('Оперативный ввод'!U411="","",'Оперативный ввод'!U411)</f>
        <v/>
      </c>
      <c r="AB411" s="172">
        <f>IF('Оперативный ввод'!V411="","",'Оперативный ввод'!V411)</f>
        <v/>
      </c>
      <c r="AC411" s="172">
        <f>IF('Оперативный ввод'!W411="","",'Оперативный ввод'!W411)</f>
        <v/>
      </c>
      <c r="BB411" s="172" t="n"/>
      <c r="BC411" s="172" t="n"/>
      <c r="BD411" s="205">
        <f>IF(AND(A411="",B411=""),"",IF(AND(P411="ГОТОВО",R411&lt;&gt;"",T411&lt;&gt;"",U411&lt;&gt;"",AA411&lt;&gt;"",AB411&lt;&gt;"",AC411&lt;&gt;"",BB411&lt;&gt;"",BC411&lt;&gt;""),"ГОТОВО","НЕ ГОТОВО"))</f>
        <v/>
      </c>
      <c r="BE411" s="205">
        <f>IF(BD411&lt;&gt;"ГОТОВО","","Полное заключение: "&amp;A411&amp;", скв. "&amp;B411&amp;". МРП: "&amp;E411&amp;" сут. ГНО: "&amp;F411&amp;"; причина: "&amp;U411&amp;"; категория: "&amp;V411&amp;"; решение комиссии: "&amp;BB411&amp;".")</f>
        <v/>
      </c>
      <c r="BF411" s="173">
        <f>IF('Оперативный ввод'!X411="","",'Оперативный ввод'!X411)</f>
        <v/>
      </c>
    </row>
    <row r="412">
      <c r="A412" s="171">
        <f>IF('Оперативный ввод'!A412="","",'Оперативный ввод'!A412)</f>
        <v/>
      </c>
      <c r="B412" s="172">
        <f>IF('Оперативный ввод'!B412="","",'Оперативный ввод'!B412)</f>
        <v/>
      </c>
      <c r="C412" s="270">
        <f>IF('Оперативный ввод'!C412="","",'Оперативный ввод'!C412)</f>
        <v/>
      </c>
      <c r="D412" s="270">
        <f>IF('Оперативный ввод'!D412="","",'Оперативный ввод'!D412)</f>
        <v/>
      </c>
      <c r="E412" s="271">
        <f>IF(OR(C412="",D412=""),"",D412-C412)</f>
        <v/>
      </c>
      <c r="F412" s="172">
        <f>IF('Оперативный ввод'!F412="","",'Оперативный ввод'!F412)</f>
        <v/>
      </c>
      <c r="G412" s="172">
        <f>IF('Оперативный ввод'!G412="","",'Оперативный ввод'!G412)</f>
        <v/>
      </c>
      <c r="H412" s="172">
        <f>IF('Оперативный ввод'!H412="","",'Оперативный ввод'!H412)</f>
        <v/>
      </c>
      <c r="I412" s="172">
        <f>IF('Оперативный ввод'!I412="","",'Оперативный ввод'!I412)</f>
        <v/>
      </c>
      <c r="J412" s="172">
        <f>IF('Оперативный ввод'!J412="","",'Оперативный ввод'!J412)</f>
        <v/>
      </c>
      <c r="K412" s="172">
        <f>IF('Оперативный ввод'!K412="","",'Оперативный ввод'!K412)</f>
        <v/>
      </c>
      <c r="L412" s="172">
        <f>IF('Оперативный ввод'!L412="","",'Оперативный ввод'!L412)</f>
        <v/>
      </c>
      <c r="M412" s="172">
        <f>IF('Оперативный ввод'!M412="","",'Оперативный ввод'!M412)</f>
        <v/>
      </c>
      <c r="N412" s="172">
        <f>IF('Оперативный ввод'!N412="","",'Оперативный ввод'!N412)</f>
        <v/>
      </c>
      <c r="O412" s="172">
        <f>IF('Оперативный ввод'!O412="","",'Оперативный ввод'!O412)</f>
        <v/>
      </c>
      <c r="P412" s="205">
        <f>IF(AND(A412="",B412=""),"",IF(AND(A412&lt;&gt;"",B412&lt;&gt;"",C412&lt;&gt;"",D412&lt;&gt;"",F412&lt;&gt;"",G412&lt;&gt;"",H412&lt;&gt;"",ISERROR(SEARCH("по паспорту",G412)),ISERROR(SEARCH("по паспорту",H412)),I412&lt;&gt;"",J412&lt;&gt;"",K412&lt;&gt;"",L412&lt;&gt;"",M412&lt;&gt;""),"ГОТОВО","НЕ ГОТОВО"))</f>
        <v/>
      </c>
      <c r="Q412" s="205">
        <f>IF(P412&lt;&gt;"ГОТОВО","", "Предварительное заключение: "&amp;A412&amp;", скв. "&amp;B412&amp;". МРП: "&amp;E412&amp;" сут. ГНО: "&amp;F412&amp;", типоразмер "&amp;G412&amp;", марка "&amp;H412&amp;". Событие: "&amp;I412&amp;". Признак: "&amp;J412&amp;". Узел: "&amp;K412&amp;". Предварительная причина: "&amp;L412&amp;". Основное осложнение: "&amp;M412&amp;IF(N412&lt;&gt;"","; сопутствующее: "&amp;N412,"")&amp;IF(O412&lt;&gt;"","; дополнительно: "&amp;O412,"")&amp;".")</f>
        <v/>
      </c>
      <c r="R412" s="172">
        <f>IF('Оперативный ввод'!P412="","",'Оперативный ввод'!P412)</f>
        <v/>
      </c>
      <c r="S412" s="172">
        <f>IF('Оперативный ввод'!Q412="","",'Оперативный ввод'!Q412)</f>
        <v/>
      </c>
      <c r="T412" s="172">
        <f>IF('Оперативный ввод'!R412="","",'Оперативный ввод'!R412)</f>
        <v/>
      </c>
      <c r="U412" s="172">
        <f>IF('Оперативный ввод'!S412="","",'Оперативный ввод'!S412)</f>
        <v/>
      </c>
      <c r="V412" s="172">
        <f>IF('Оперативный ввод'!T412="","",'Оперативный ввод'!T412)</f>
        <v/>
      </c>
      <c r="W412" s="172" t="n"/>
      <c r="X412" s="172" t="n"/>
      <c r="Y412" s="172" t="n"/>
      <c r="Z412" s="172" t="n"/>
      <c r="AA412" s="172">
        <f>IF('Оперативный ввод'!U412="","",'Оперативный ввод'!U412)</f>
        <v/>
      </c>
      <c r="AB412" s="172">
        <f>IF('Оперативный ввод'!V412="","",'Оперативный ввод'!V412)</f>
        <v/>
      </c>
      <c r="AC412" s="172">
        <f>IF('Оперативный ввод'!W412="","",'Оперативный ввод'!W412)</f>
        <v/>
      </c>
      <c r="BB412" s="172" t="n"/>
      <c r="BC412" s="172" t="n"/>
      <c r="BD412" s="205">
        <f>IF(AND(A412="",B412=""),"",IF(AND(P412="ГОТОВО",R412&lt;&gt;"",T412&lt;&gt;"",U412&lt;&gt;"",AA412&lt;&gt;"",AB412&lt;&gt;"",AC412&lt;&gt;"",BB412&lt;&gt;"",BC412&lt;&gt;""),"ГОТОВО","НЕ ГОТОВО"))</f>
        <v/>
      </c>
      <c r="BE412" s="205">
        <f>IF(BD412&lt;&gt;"ГОТОВО","","Полное заключение: "&amp;A412&amp;", скв. "&amp;B412&amp;". МРП: "&amp;E412&amp;" сут. ГНО: "&amp;F412&amp;"; причина: "&amp;U412&amp;"; категория: "&amp;V412&amp;"; решение комиссии: "&amp;BB412&amp;".")</f>
        <v/>
      </c>
      <c r="BF412" s="173">
        <f>IF('Оперативный ввод'!X412="","",'Оперативный ввод'!X412)</f>
        <v/>
      </c>
    </row>
    <row r="413">
      <c r="A413" s="171">
        <f>IF('Оперативный ввод'!A413="","",'Оперативный ввод'!A413)</f>
        <v/>
      </c>
      <c r="B413" s="172">
        <f>IF('Оперативный ввод'!B413="","",'Оперативный ввод'!B413)</f>
        <v/>
      </c>
      <c r="C413" s="270">
        <f>IF('Оперативный ввод'!C413="","",'Оперативный ввод'!C413)</f>
        <v/>
      </c>
      <c r="D413" s="270">
        <f>IF('Оперативный ввод'!D413="","",'Оперативный ввод'!D413)</f>
        <v/>
      </c>
      <c r="E413" s="271">
        <f>IF(OR(C413="",D413=""),"",D413-C413)</f>
        <v/>
      </c>
      <c r="F413" s="172">
        <f>IF('Оперативный ввод'!F413="","",'Оперативный ввод'!F413)</f>
        <v/>
      </c>
      <c r="G413" s="172">
        <f>IF('Оперативный ввод'!G413="","",'Оперативный ввод'!G413)</f>
        <v/>
      </c>
      <c r="H413" s="172">
        <f>IF('Оперативный ввод'!H413="","",'Оперативный ввод'!H413)</f>
        <v/>
      </c>
      <c r="I413" s="172">
        <f>IF('Оперативный ввод'!I413="","",'Оперативный ввод'!I413)</f>
        <v/>
      </c>
      <c r="J413" s="172">
        <f>IF('Оперативный ввод'!J413="","",'Оперативный ввод'!J413)</f>
        <v/>
      </c>
      <c r="K413" s="172">
        <f>IF('Оперативный ввод'!K413="","",'Оперативный ввод'!K413)</f>
        <v/>
      </c>
      <c r="L413" s="172">
        <f>IF('Оперативный ввод'!L413="","",'Оперативный ввод'!L413)</f>
        <v/>
      </c>
      <c r="M413" s="172">
        <f>IF('Оперативный ввод'!M413="","",'Оперативный ввод'!M413)</f>
        <v/>
      </c>
      <c r="N413" s="172">
        <f>IF('Оперативный ввод'!N413="","",'Оперативный ввод'!N413)</f>
        <v/>
      </c>
      <c r="O413" s="172">
        <f>IF('Оперативный ввод'!O413="","",'Оперативный ввод'!O413)</f>
        <v/>
      </c>
      <c r="P413" s="205">
        <f>IF(AND(A413="",B413=""),"",IF(AND(A413&lt;&gt;"",B413&lt;&gt;"",C413&lt;&gt;"",D413&lt;&gt;"",F413&lt;&gt;"",G413&lt;&gt;"",H413&lt;&gt;"",ISERROR(SEARCH("по паспорту",G413)),ISERROR(SEARCH("по паспорту",H413)),I413&lt;&gt;"",J413&lt;&gt;"",K413&lt;&gt;"",L413&lt;&gt;"",M413&lt;&gt;""),"ГОТОВО","НЕ ГОТОВО"))</f>
        <v/>
      </c>
      <c r="Q413" s="205">
        <f>IF(P413&lt;&gt;"ГОТОВО","", "Предварительное заключение: "&amp;A413&amp;", скв. "&amp;B413&amp;". МРП: "&amp;E413&amp;" сут. ГНО: "&amp;F413&amp;", типоразмер "&amp;G413&amp;", марка "&amp;H413&amp;". Событие: "&amp;I413&amp;". Признак: "&amp;J413&amp;". Узел: "&amp;K413&amp;". Предварительная причина: "&amp;L413&amp;". Основное осложнение: "&amp;M413&amp;IF(N413&lt;&gt;"","; сопутствующее: "&amp;N413,"")&amp;IF(O413&lt;&gt;"","; дополнительно: "&amp;O413,"")&amp;".")</f>
        <v/>
      </c>
      <c r="R413" s="172">
        <f>IF('Оперативный ввод'!P413="","",'Оперативный ввод'!P413)</f>
        <v/>
      </c>
      <c r="S413" s="172">
        <f>IF('Оперативный ввод'!Q413="","",'Оперативный ввод'!Q413)</f>
        <v/>
      </c>
      <c r="T413" s="172">
        <f>IF('Оперативный ввод'!R413="","",'Оперативный ввод'!R413)</f>
        <v/>
      </c>
      <c r="U413" s="172">
        <f>IF('Оперативный ввод'!S413="","",'Оперативный ввод'!S413)</f>
        <v/>
      </c>
      <c r="V413" s="172">
        <f>IF('Оперативный ввод'!T413="","",'Оперативный ввод'!T413)</f>
        <v/>
      </c>
      <c r="W413" s="172" t="n"/>
      <c r="X413" s="172" t="n"/>
      <c r="Y413" s="172" t="n"/>
      <c r="Z413" s="172" t="n"/>
      <c r="AA413" s="172">
        <f>IF('Оперативный ввод'!U413="","",'Оперативный ввод'!U413)</f>
        <v/>
      </c>
      <c r="AB413" s="172">
        <f>IF('Оперативный ввод'!V413="","",'Оперативный ввод'!V413)</f>
        <v/>
      </c>
      <c r="AC413" s="172">
        <f>IF('Оперативный ввод'!W413="","",'Оперативный ввод'!W413)</f>
        <v/>
      </c>
      <c r="BB413" s="172" t="n"/>
      <c r="BC413" s="172" t="n"/>
      <c r="BD413" s="205">
        <f>IF(AND(A413="",B413=""),"",IF(AND(P413="ГОТОВО",R413&lt;&gt;"",T413&lt;&gt;"",U413&lt;&gt;"",AA413&lt;&gt;"",AB413&lt;&gt;"",AC413&lt;&gt;"",BB413&lt;&gt;"",BC413&lt;&gt;""),"ГОТОВО","НЕ ГОТОВО"))</f>
        <v/>
      </c>
      <c r="BE413" s="205">
        <f>IF(BD413&lt;&gt;"ГОТОВО","","Полное заключение: "&amp;A413&amp;", скв. "&amp;B413&amp;". МРП: "&amp;E413&amp;" сут. ГНО: "&amp;F413&amp;"; причина: "&amp;U413&amp;"; категория: "&amp;V413&amp;"; решение комиссии: "&amp;BB413&amp;".")</f>
        <v/>
      </c>
      <c r="BF413" s="173">
        <f>IF('Оперативный ввод'!X413="","",'Оперативный ввод'!X413)</f>
        <v/>
      </c>
    </row>
    <row r="414">
      <c r="A414" s="171">
        <f>IF('Оперативный ввод'!A414="","",'Оперативный ввод'!A414)</f>
        <v/>
      </c>
      <c r="B414" s="172">
        <f>IF('Оперативный ввод'!B414="","",'Оперативный ввод'!B414)</f>
        <v/>
      </c>
      <c r="C414" s="270">
        <f>IF('Оперативный ввод'!C414="","",'Оперативный ввод'!C414)</f>
        <v/>
      </c>
      <c r="D414" s="270">
        <f>IF('Оперативный ввод'!D414="","",'Оперативный ввод'!D414)</f>
        <v/>
      </c>
      <c r="E414" s="271">
        <f>IF(OR(C414="",D414=""),"",D414-C414)</f>
        <v/>
      </c>
      <c r="F414" s="172">
        <f>IF('Оперативный ввод'!F414="","",'Оперативный ввод'!F414)</f>
        <v/>
      </c>
      <c r="G414" s="172">
        <f>IF('Оперативный ввод'!G414="","",'Оперативный ввод'!G414)</f>
        <v/>
      </c>
      <c r="H414" s="172">
        <f>IF('Оперативный ввод'!H414="","",'Оперативный ввод'!H414)</f>
        <v/>
      </c>
      <c r="I414" s="172">
        <f>IF('Оперативный ввод'!I414="","",'Оперативный ввод'!I414)</f>
        <v/>
      </c>
      <c r="J414" s="172">
        <f>IF('Оперативный ввод'!J414="","",'Оперативный ввод'!J414)</f>
        <v/>
      </c>
      <c r="K414" s="172">
        <f>IF('Оперативный ввод'!K414="","",'Оперативный ввод'!K414)</f>
        <v/>
      </c>
      <c r="L414" s="172">
        <f>IF('Оперативный ввод'!L414="","",'Оперативный ввод'!L414)</f>
        <v/>
      </c>
      <c r="M414" s="172">
        <f>IF('Оперативный ввод'!M414="","",'Оперативный ввод'!M414)</f>
        <v/>
      </c>
      <c r="N414" s="172">
        <f>IF('Оперативный ввод'!N414="","",'Оперативный ввод'!N414)</f>
        <v/>
      </c>
      <c r="O414" s="172">
        <f>IF('Оперативный ввод'!O414="","",'Оперативный ввод'!O414)</f>
        <v/>
      </c>
      <c r="P414" s="205">
        <f>IF(AND(A414="",B414=""),"",IF(AND(A414&lt;&gt;"",B414&lt;&gt;"",C414&lt;&gt;"",D414&lt;&gt;"",F414&lt;&gt;"",G414&lt;&gt;"",H414&lt;&gt;"",ISERROR(SEARCH("по паспорту",G414)),ISERROR(SEARCH("по паспорту",H414)),I414&lt;&gt;"",J414&lt;&gt;"",K414&lt;&gt;"",L414&lt;&gt;"",M414&lt;&gt;""),"ГОТОВО","НЕ ГОТОВО"))</f>
        <v/>
      </c>
      <c r="Q414" s="205">
        <f>IF(P414&lt;&gt;"ГОТОВО","", "Предварительное заключение: "&amp;A414&amp;", скв. "&amp;B414&amp;". МРП: "&amp;E414&amp;" сут. ГНО: "&amp;F414&amp;", типоразмер "&amp;G414&amp;", марка "&amp;H414&amp;". Событие: "&amp;I414&amp;". Признак: "&amp;J414&amp;". Узел: "&amp;K414&amp;". Предварительная причина: "&amp;L414&amp;". Основное осложнение: "&amp;M414&amp;IF(N414&lt;&gt;"","; сопутствующее: "&amp;N414,"")&amp;IF(O414&lt;&gt;"","; дополнительно: "&amp;O414,"")&amp;".")</f>
        <v/>
      </c>
      <c r="R414" s="172">
        <f>IF('Оперативный ввод'!P414="","",'Оперативный ввод'!P414)</f>
        <v/>
      </c>
      <c r="S414" s="172">
        <f>IF('Оперативный ввод'!Q414="","",'Оперативный ввод'!Q414)</f>
        <v/>
      </c>
      <c r="T414" s="172">
        <f>IF('Оперативный ввод'!R414="","",'Оперативный ввод'!R414)</f>
        <v/>
      </c>
      <c r="U414" s="172">
        <f>IF('Оперативный ввод'!S414="","",'Оперативный ввод'!S414)</f>
        <v/>
      </c>
      <c r="V414" s="172">
        <f>IF('Оперативный ввод'!T414="","",'Оперативный ввод'!T414)</f>
        <v/>
      </c>
      <c r="W414" s="172" t="n"/>
      <c r="X414" s="172" t="n"/>
      <c r="Y414" s="172" t="n"/>
      <c r="Z414" s="172" t="n"/>
      <c r="AA414" s="172">
        <f>IF('Оперативный ввод'!U414="","",'Оперативный ввод'!U414)</f>
        <v/>
      </c>
      <c r="AB414" s="172">
        <f>IF('Оперативный ввод'!V414="","",'Оперативный ввод'!V414)</f>
        <v/>
      </c>
      <c r="AC414" s="172">
        <f>IF('Оперативный ввод'!W414="","",'Оперативный ввод'!W414)</f>
        <v/>
      </c>
      <c r="BB414" s="172" t="n"/>
      <c r="BC414" s="172" t="n"/>
      <c r="BD414" s="205">
        <f>IF(AND(A414="",B414=""),"",IF(AND(P414="ГОТОВО",R414&lt;&gt;"",T414&lt;&gt;"",U414&lt;&gt;"",AA414&lt;&gt;"",AB414&lt;&gt;"",AC414&lt;&gt;"",BB414&lt;&gt;"",BC414&lt;&gt;""),"ГОТОВО","НЕ ГОТОВО"))</f>
        <v/>
      </c>
      <c r="BE414" s="205">
        <f>IF(BD414&lt;&gt;"ГОТОВО","","Полное заключение: "&amp;A414&amp;", скв. "&amp;B414&amp;". МРП: "&amp;E414&amp;" сут. ГНО: "&amp;F414&amp;"; причина: "&amp;U414&amp;"; категория: "&amp;V414&amp;"; решение комиссии: "&amp;BB414&amp;".")</f>
        <v/>
      </c>
      <c r="BF414" s="173">
        <f>IF('Оперативный ввод'!X414="","",'Оперативный ввод'!X414)</f>
        <v/>
      </c>
    </row>
    <row r="415">
      <c r="A415" s="171">
        <f>IF('Оперативный ввод'!A415="","",'Оперативный ввод'!A415)</f>
        <v/>
      </c>
      <c r="B415" s="172">
        <f>IF('Оперативный ввод'!B415="","",'Оперативный ввод'!B415)</f>
        <v/>
      </c>
      <c r="C415" s="270">
        <f>IF('Оперативный ввод'!C415="","",'Оперативный ввод'!C415)</f>
        <v/>
      </c>
      <c r="D415" s="270">
        <f>IF('Оперативный ввод'!D415="","",'Оперативный ввод'!D415)</f>
        <v/>
      </c>
      <c r="E415" s="271">
        <f>IF(OR(C415="",D415=""),"",D415-C415)</f>
        <v/>
      </c>
      <c r="F415" s="172">
        <f>IF('Оперативный ввод'!F415="","",'Оперативный ввод'!F415)</f>
        <v/>
      </c>
      <c r="G415" s="172">
        <f>IF('Оперативный ввод'!G415="","",'Оперативный ввод'!G415)</f>
        <v/>
      </c>
      <c r="H415" s="172">
        <f>IF('Оперативный ввод'!H415="","",'Оперативный ввод'!H415)</f>
        <v/>
      </c>
      <c r="I415" s="172">
        <f>IF('Оперативный ввод'!I415="","",'Оперативный ввод'!I415)</f>
        <v/>
      </c>
      <c r="J415" s="172">
        <f>IF('Оперативный ввод'!J415="","",'Оперативный ввод'!J415)</f>
        <v/>
      </c>
      <c r="K415" s="172">
        <f>IF('Оперативный ввод'!K415="","",'Оперативный ввод'!K415)</f>
        <v/>
      </c>
      <c r="L415" s="172">
        <f>IF('Оперативный ввод'!L415="","",'Оперативный ввод'!L415)</f>
        <v/>
      </c>
      <c r="M415" s="172">
        <f>IF('Оперативный ввод'!M415="","",'Оперативный ввод'!M415)</f>
        <v/>
      </c>
      <c r="N415" s="172">
        <f>IF('Оперативный ввод'!N415="","",'Оперативный ввод'!N415)</f>
        <v/>
      </c>
      <c r="O415" s="172">
        <f>IF('Оперативный ввод'!O415="","",'Оперативный ввод'!O415)</f>
        <v/>
      </c>
      <c r="P415" s="205">
        <f>IF(AND(A415="",B415=""),"",IF(AND(A415&lt;&gt;"",B415&lt;&gt;"",C415&lt;&gt;"",D415&lt;&gt;"",F415&lt;&gt;"",G415&lt;&gt;"",H415&lt;&gt;"",ISERROR(SEARCH("по паспорту",G415)),ISERROR(SEARCH("по паспорту",H415)),I415&lt;&gt;"",J415&lt;&gt;"",K415&lt;&gt;"",L415&lt;&gt;"",M415&lt;&gt;""),"ГОТОВО","НЕ ГОТОВО"))</f>
        <v/>
      </c>
      <c r="Q415" s="205">
        <f>IF(P415&lt;&gt;"ГОТОВО","", "Предварительное заключение: "&amp;A415&amp;", скв. "&amp;B415&amp;". МРП: "&amp;E415&amp;" сут. ГНО: "&amp;F415&amp;", типоразмер "&amp;G415&amp;", марка "&amp;H415&amp;". Событие: "&amp;I415&amp;". Признак: "&amp;J415&amp;". Узел: "&amp;K415&amp;". Предварительная причина: "&amp;L415&amp;". Основное осложнение: "&amp;M415&amp;IF(N415&lt;&gt;"","; сопутствующее: "&amp;N415,"")&amp;IF(O415&lt;&gt;"","; дополнительно: "&amp;O415,"")&amp;".")</f>
        <v/>
      </c>
      <c r="R415" s="172">
        <f>IF('Оперативный ввод'!P415="","",'Оперативный ввод'!P415)</f>
        <v/>
      </c>
      <c r="S415" s="172">
        <f>IF('Оперативный ввод'!Q415="","",'Оперативный ввод'!Q415)</f>
        <v/>
      </c>
      <c r="T415" s="172">
        <f>IF('Оперативный ввод'!R415="","",'Оперативный ввод'!R415)</f>
        <v/>
      </c>
      <c r="U415" s="172">
        <f>IF('Оперативный ввод'!S415="","",'Оперативный ввод'!S415)</f>
        <v/>
      </c>
      <c r="V415" s="172">
        <f>IF('Оперативный ввод'!T415="","",'Оперативный ввод'!T415)</f>
        <v/>
      </c>
      <c r="W415" s="172" t="n"/>
      <c r="X415" s="172" t="n"/>
      <c r="Y415" s="172" t="n"/>
      <c r="Z415" s="172" t="n"/>
      <c r="AA415" s="172">
        <f>IF('Оперативный ввод'!U415="","",'Оперативный ввод'!U415)</f>
        <v/>
      </c>
      <c r="AB415" s="172">
        <f>IF('Оперативный ввод'!V415="","",'Оперативный ввод'!V415)</f>
        <v/>
      </c>
      <c r="AC415" s="172">
        <f>IF('Оперативный ввод'!W415="","",'Оперативный ввод'!W415)</f>
        <v/>
      </c>
      <c r="BB415" s="172" t="n"/>
      <c r="BC415" s="172" t="n"/>
      <c r="BD415" s="205">
        <f>IF(AND(A415="",B415=""),"",IF(AND(P415="ГОТОВО",R415&lt;&gt;"",T415&lt;&gt;"",U415&lt;&gt;"",AA415&lt;&gt;"",AB415&lt;&gt;"",AC415&lt;&gt;"",BB415&lt;&gt;"",BC415&lt;&gt;""),"ГОТОВО","НЕ ГОТОВО"))</f>
        <v/>
      </c>
      <c r="BE415" s="205">
        <f>IF(BD415&lt;&gt;"ГОТОВО","","Полное заключение: "&amp;A415&amp;", скв. "&amp;B415&amp;". МРП: "&amp;E415&amp;" сут. ГНО: "&amp;F415&amp;"; причина: "&amp;U415&amp;"; категория: "&amp;V415&amp;"; решение комиссии: "&amp;BB415&amp;".")</f>
        <v/>
      </c>
      <c r="BF415" s="173">
        <f>IF('Оперативный ввод'!X415="","",'Оперативный ввод'!X415)</f>
        <v/>
      </c>
    </row>
    <row r="416">
      <c r="A416" s="171">
        <f>IF('Оперативный ввод'!A416="","",'Оперативный ввод'!A416)</f>
        <v/>
      </c>
      <c r="B416" s="172">
        <f>IF('Оперативный ввод'!B416="","",'Оперативный ввод'!B416)</f>
        <v/>
      </c>
      <c r="C416" s="270">
        <f>IF('Оперативный ввод'!C416="","",'Оперативный ввод'!C416)</f>
        <v/>
      </c>
      <c r="D416" s="270">
        <f>IF('Оперативный ввод'!D416="","",'Оперативный ввод'!D416)</f>
        <v/>
      </c>
      <c r="E416" s="271">
        <f>IF(OR(C416="",D416=""),"",D416-C416)</f>
        <v/>
      </c>
      <c r="F416" s="172">
        <f>IF('Оперативный ввод'!F416="","",'Оперативный ввод'!F416)</f>
        <v/>
      </c>
      <c r="G416" s="172">
        <f>IF('Оперативный ввод'!G416="","",'Оперативный ввод'!G416)</f>
        <v/>
      </c>
      <c r="H416" s="172">
        <f>IF('Оперативный ввод'!H416="","",'Оперативный ввод'!H416)</f>
        <v/>
      </c>
      <c r="I416" s="172">
        <f>IF('Оперативный ввод'!I416="","",'Оперативный ввод'!I416)</f>
        <v/>
      </c>
      <c r="J416" s="172">
        <f>IF('Оперативный ввод'!J416="","",'Оперативный ввод'!J416)</f>
        <v/>
      </c>
      <c r="K416" s="172">
        <f>IF('Оперативный ввод'!K416="","",'Оперативный ввод'!K416)</f>
        <v/>
      </c>
      <c r="L416" s="172">
        <f>IF('Оперативный ввод'!L416="","",'Оперативный ввод'!L416)</f>
        <v/>
      </c>
      <c r="M416" s="172">
        <f>IF('Оперативный ввод'!M416="","",'Оперативный ввод'!M416)</f>
        <v/>
      </c>
      <c r="N416" s="172">
        <f>IF('Оперативный ввод'!N416="","",'Оперативный ввод'!N416)</f>
        <v/>
      </c>
      <c r="O416" s="172">
        <f>IF('Оперативный ввод'!O416="","",'Оперативный ввод'!O416)</f>
        <v/>
      </c>
      <c r="P416" s="205">
        <f>IF(AND(A416="",B416=""),"",IF(AND(A416&lt;&gt;"",B416&lt;&gt;"",C416&lt;&gt;"",D416&lt;&gt;"",F416&lt;&gt;"",G416&lt;&gt;"",H416&lt;&gt;"",ISERROR(SEARCH("по паспорту",G416)),ISERROR(SEARCH("по паспорту",H416)),I416&lt;&gt;"",J416&lt;&gt;"",K416&lt;&gt;"",L416&lt;&gt;"",M416&lt;&gt;""),"ГОТОВО","НЕ ГОТОВО"))</f>
        <v/>
      </c>
      <c r="Q416" s="205">
        <f>IF(P416&lt;&gt;"ГОТОВО","", "Предварительное заключение: "&amp;A416&amp;", скв. "&amp;B416&amp;". МРП: "&amp;E416&amp;" сут. ГНО: "&amp;F416&amp;", типоразмер "&amp;G416&amp;", марка "&amp;H416&amp;". Событие: "&amp;I416&amp;". Признак: "&amp;J416&amp;". Узел: "&amp;K416&amp;". Предварительная причина: "&amp;L416&amp;". Основное осложнение: "&amp;M416&amp;IF(N416&lt;&gt;"","; сопутствующее: "&amp;N416,"")&amp;IF(O416&lt;&gt;"","; дополнительно: "&amp;O416,"")&amp;".")</f>
        <v/>
      </c>
      <c r="R416" s="172">
        <f>IF('Оперативный ввод'!P416="","",'Оперативный ввод'!P416)</f>
        <v/>
      </c>
      <c r="S416" s="172">
        <f>IF('Оперативный ввод'!Q416="","",'Оперативный ввод'!Q416)</f>
        <v/>
      </c>
      <c r="T416" s="172">
        <f>IF('Оперативный ввод'!R416="","",'Оперативный ввод'!R416)</f>
        <v/>
      </c>
      <c r="U416" s="172">
        <f>IF('Оперативный ввод'!S416="","",'Оперативный ввод'!S416)</f>
        <v/>
      </c>
      <c r="V416" s="172">
        <f>IF('Оперативный ввод'!T416="","",'Оперативный ввод'!T416)</f>
        <v/>
      </c>
      <c r="W416" s="172" t="n"/>
      <c r="X416" s="172" t="n"/>
      <c r="Y416" s="172" t="n"/>
      <c r="Z416" s="172" t="n"/>
      <c r="AA416" s="172">
        <f>IF('Оперативный ввод'!U416="","",'Оперативный ввод'!U416)</f>
        <v/>
      </c>
      <c r="AB416" s="172">
        <f>IF('Оперативный ввод'!V416="","",'Оперативный ввод'!V416)</f>
        <v/>
      </c>
      <c r="AC416" s="172">
        <f>IF('Оперативный ввод'!W416="","",'Оперативный ввод'!W416)</f>
        <v/>
      </c>
      <c r="BB416" s="172" t="n"/>
      <c r="BC416" s="172" t="n"/>
      <c r="BD416" s="205">
        <f>IF(AND(A416="",B416=""),"",IF(AND(P416="ГОТОВО",R416&lt;&gt;"",T416&lt;&gt;"",U416&lt;&gt;"",AA416&lt;&gt;"",AB416&lt;&gt;"",AC416&lt;&gt;"",BB416&lt;&gt;"",BC416&lt;&gt;""),"ГОТОВО","НЕ ГОТОВО"))</f>
        <v/>
      </c>
      <c r="BE416" s="205">
        <f>IF(BD416&lt;&gt;"ГОТОВО","","Полное заключение: "&amp;A416&amp;", скв. "&amp;B416&amp;". МРП: "&amp;E416&amp;" сут. ГНО: "&amp;F416&amp;"; причина: "&amp;U416&amp;"; категория: "&amp;V416&amp;"; решение комиссии: "&amp;BB416&amp;".")</f>
        <v/>
      </c>
      <c r="BF416" s="173">
        <f>IF('Оперативный ввод'!X416="","",'Оперативный ввод'!X416)</f>
        <v/>
      </c>
    </row>
    <row r="417">
      <c r="A417" s="171">
        <f>IF('Оперативный ввод'!A417="","",'Оперативный ввод'!A417)</f>
        <v/>
      </c>
      <c r="B417" s="172">
        <f>IF('Оперативный ввод'!B417="","",'Оперативный ввод'!B417)</f>
        <v/>
      </c>
      <c r="C417" s="270">
        <f>IF('Оперативный ввод'!C417="","",'Оперативный ввод'!C417)</f>
        <v/>
      </c>
      <c r="D417" s="270">
        <f>IF('Оперативный ввод'!D417="","",'Оперативный ввод'!D417)</f>
        <v/>
      </c>
      <c r="E417" s="271">
        <f>IF(OR(C417="",D417=""),"",D417-C417)</f>
        <v/>
      </c>
      <c r="F417" s="172">
        <f>IF('Оперативный ввод'!F417="","",'Оперативный ввод'!F417)</f>
        <v/>
      </c>
      <c r="G417" s="172">
        <f>IF('Оперативный ввод'!G417="","",'Оперативный ввод'!G417)</f>
        <v/>
      </c>
      <c r="H417" s="172">
        <f>IF('Оперативный ввод'!H417="","",'Оперативный ввод'!H417)</f>
        <v/>
      </c>
      <c r="I417" s="172">
        <f>IF('Оперативный ввод'!I417="","",'Оперативный ввод'!I417)</f>
        <v/>
      </c>
      <c r="J417" s="172">
        <f>IF('Оперативный ввод'!J417="","",'Оперативный ввод'!J417)</f>
        <v/>
      </c>
      <c r="K417" s="172">
        <f>IF('Оперативный ввод'!K417="","",'Оперативный ввод'!K417)</f>
        <v/>
      </c>
      <c r="L417" s="172">
        <f>IF('Оперативный ввод'!L417="","",'Оперативный ввод'!L417)</f>
        <v/>
      </c>
      <c r="M417" s="172">
        <f>IF('Оперативный ввод'!M417="","",'Оперативный ввод'!M417)</f>
        <v/>
      </c>
      <c r="N417" s="172">
        <f>IF('Оперативный ввод'!N417="","",'Оперативный ввод'!N417)</f>
        <v/>
      </c>
      <c r="O417" s="172">
        <f>IF('Оперативный ввод'!O417="","",'Оперативный ввод'!O417)</f>
        <v/>
      </c>
      <c r="P417" s="205">
        <f>IF(AND(A417="",B417=""),"",IF(AND(A417&lt;&gt;"",B417&lt;&gt;"",C417&lt;&gt;"",D417&lt;&gt;"",F417&lt;&gt;"",G417&lt;&gt;"",H417&lt;&gt;"",ISERROR(SEARCH("по паспорту",G417)),ISERROR(SEARCH("по паспорту",H417)),I417&lt;&gt;"",J417&lt;&gt;"",K417&lt;&gt;"",L417&lt;&gt;"",M417&lt;&gt;""),"ГОТОВО","НЕ ГОТОВО"))</f>
        <v/>
      </c>
      <c r="Q417" s="205">
        <f>IF(P417&lt;&gt;"ГОТОВО","", "Предварительное заключение: "&amp;A417&amp;", скв. "&amp;B417&amp;". МРП: "&amp;E417&amp;" сут. ГНО: "&amp;F417&amp;", типоразмер "&amp;G417&amp;", марка "&amp;H417&amp;". Событие: "&amp;I417&amp;". Признак: "&amp;J417&amp;". Узел: "&amp;K417&amp;". Предварительная причина: "&amp;L417&amp;". Основное осложнение: "&amp;M417&amp;IF(N417&lt;&gt;"","; сопутствующее: "&amp;N417,"")&amp;IF(O417&lt;&gt;"","; дополнительно: "&amp;O417,"")&amp;".")</f>
        <v/>
      </c>
      <c r="R417" s="172">
        <f>IF('Оперативный ввод'!P417="","",'Оперативный ввод'!P417)</f>
        <v/>
      </c>
      <c r="S417" s="172">
        <f>IF('Оперативный ввод'!Q417="","",'Оперативный ввод'!Q417)</f>
        <v/>
      </c>
      <c r="T417" s="172">
        <f>IF('Оперативный ввод'!R417="","",'Оперативный ввод'!R417)</f>
        <v/>
      </c>
      <c r="U417" s="172">
        <f>IF('Оперативный ввод'!S417="","",'Оперативный ввод'!S417)</f>
        <v/>
      </c>
      <c r="V417" s="172">
        <f>IF('Оперативный ввод'!T417="","",'Оперативный ввод'!T417)</f>
        <v/>
      </c>
      <c r="W417" s="172" t="n"/>
      <c r="X417" s="172" t="n"/>
      <c r="Y417" s="172" t="n"/>
      <c r="Z417" s="172" t="n"/>
      <c r="AA417" s="172">
        <f>IF('Оперативный ввод'!U417="","",'Оперативный ввод'!U417)</f>
        <v/>
      </c>
      <c r="AB417" s="172">
        <f>IF('Оперативный ввод'!V417="","",'Оперативный ввод'!V417)</f>
        <v/>
      </c>
      <c r="AC417" s="172">
        <f>IF('Оперативный ввод'!W417="","",'Оперативный ввод'!W417)</f>
        <v/>
      </c>
      <c r="BB417" s="172" t="n"/>
      <c r="BC417" s="172" t="n"/>
      <c r="BD417" s="205">
        <f>IF(AND(A417="",B417=""),"",IF(AND(P417="ГОТОВО",R417&lt;&gt;"",T417&lt;&gt;"",U417&lt;&gt;"",AA417&lt;&gt;"",AB417&lt;&gt;"",AC417&lt;&gt;"",BB417&lt;&gt;"",BC417&lt;&gt;""),"ГОТОВО","НЕ ГОТОВО"))</f>
        <v/>
      </c>
      <c r="BE417" s="205">
        <f>IF(BD417&lt;&gt;"ГОТОВО","","Полное заключение: "&amp;A417&amp;", скв. "&amp;B417&amp;". МРП: "&amp;E417&amp;" сут. ГНО: "&amp;F417&amp;"; причина: "&amp;U417&amp;"; категория: "&amp;V417&amp;"; решение комиссии: "&amp;BB417&amp;".")</f>
        <v/>
      </c>
      <c r="BF417" s="173">
        <f>IF('Оперативный ввод'!X417="","",'Оперативный ввод'!X417)</f>
        <v/>
      </c>
    </row>
    <row r="418">
      <c r="A418" s="171">
        <f>IF('Оперативный ввод'!A418="","",'Оперативный ввод'!A418)</f>
        <v/>
      </c>
      <c r="B418" s="172">
        <f>IF('Оперативный ввод'!B418="","",'Оперативный ввод'!B418)</f>
        <v/>
      </c>
      <c r="C418" s="270">
        <f>IF('Оперативный ввод'!C418="","",'Оперативный ввод'!C418)</f>
        <v/>
      </c>
      <c r="D418" s="270">
        <f>IF('Оперативный ввод'!D418="","",'Оперативный ввод'!D418)</f>
        <v/>
      </c>
      <c r="E418" s="271">
        <f>IF(OR(C418="",D418=""),"",D418-C418)</f>
        <v/>
      </c>
      <c r="F418" s="172">
        <f>IF('Оперативный ввод'!F418="","",'Оперативный ввод'!F418)</f>
        <v/>
      </c>
      <c r="G418" s="172">
        <f>IF('Оперативный ввод'!G418="","",'Оперативный ввод'!G418)</f>
        <v/>
      </c>
      <c r="H418" s="172">
        <f>IF('Оперативный ввод'!H418="","",'Оперативный ввод'!H418)</f>
        <v/>
      </c>
      <c r="I418" s="172">
        <f>IF('Оперативный ввод'!I418="","",'Оперативный ввод'!I418)</f>
        <v/>
      </c>
      <c r="J418" s="172">
        <f>IF('Оперативный ввод'!J418="","",'Оперативный ввод'!J418)</f>
        <v/>
      </c>
      <c r="K418" s="172">
        <f>IF('Оперативный ввод'!K418="","",'Оперативный ввод'!K418)</f>
        <v/>
      </c>
      <c r="L418" s="172">
        <f>IF('Оперативный ввод'!L418="","",'Оперативный ввод'!L418)</f>
        <v/>
      </c>
      <c r="M418" s="172">
        <f>IF('Оперативный ввод'!M418="","",'Оперативный ввод'!M418)</f>
        <v/>
      </c>
      <c r="N418" s="172">
        <f>IF('Оперативный ввод'!N418="","",'Оперативный ввод'!N418)</f>
        <v/>
      </c>
      <c r="O418" s="172">
        <f>IF('Оперативный ввод'!O418="","",'Оперативный ввод'!O418)</f>
        <v/>
      </c>
      <c r="P418" s="205">
        <f>IF(AND(A418="",B418=""),"",IF(AND(A418&lt;&gt;"",B418&lt;&gt;"",C418&lt;&gt;"",D418&lt;&gt;"",F418&lt;&gt;"",G418&lt;&gt;"",H418&lt;&gt;"",ISERROR(SEARCH("по паспорту",G418)),ISERROR(SEARCH("по паспорту",H418)),I418&lt;&gt;"",J418&lt;&gt;"",K418&lt;&gt;"",L418&lt;&gt;"",M418&lt;&gt;""),"ГОТОВО","НЕ ГОТОВО"))</f>
        <v/>
      </c>
      <c r="Q418" s="205">
        <f>IF(P418&lt;&gt;"ГОТОВО","", "Предварительное заключение: "&amp;A418&amp;", скв. "&amp;B418&amp;". МРП: "&amp;E418&amp;" сут. ГНО: "&amp;F418&amp;", типоразмер "&amp;G418&amp;", марка "&amp;H418&amp;". Событие: "&amp;I418&amp;". Признак: "&amp;J418&amp;". Узел: "&amp;K418&amp;". Предварительная причина: "&amp;L418&amp;". Основное осложнение: "&amp;M418&amp;IF(N418&lt;&gt;"","; сопутствующее: "&amp;N418,"")&amp;IF(O418&lt;&gt;"","; дополнительно: "&amp;O418,"")&amp;".")</f>
        <v/>
      </c>
      <c r="R418" s="172">
        <f>IF('Оперативный ввод'!P418="","",'Оперативный ввод'!P418)</f>
        <v/>
      </c>
      <c r="S418" s="172">
        <f>IF('Оперативный ввод'!Q418="","",'Оперативный ввод'!Q418)</f>
        <v/>
      </c>
      <c r="T418" s="172">
        <f>IF('Оперативный ввод'!R418="","",'Оперативный ввод'!R418)</f>
        <v/>
      </c>
      <c r="U418" s="172">
        <f>IF('Оперативный ввод'!S418="","",'Оперативный ввод'!S418)</f>
        <v/>
      </c>
      <c r="V418" s="172">
        <f>IF('Оперативный ввод'!T418="","",'Оперативный ввод'!T418)</f>
        <v/>
      </c>
      <c r="W418" s="172" t="n"/>
      <c r="X418" s="172" t="n"/>
      <c r="Y418" s="172" t="n"/>
      <c r="Z418" s="172" t="n"/>
      <c r="AA418" s="172">
        <f>IF('Оперативный ввод'!U418="","",'Оперативный ввод'!U418)</f>
        <v/>
      </c>
      <c r="AB418" s="172">
        <f>IF('Оперативный ввод'!V418="","",'Оперативный ввод'!V418)</f>
        <v/>
      </c>
      <c r="AC418" s="172">
        <f>IF('Оперативный ввод'!W418="","",'Оперативный ввод'!W418)</f>
        <v/>
      </c>
      <c r="BB418" s="172" t="n"/>
      <c r="BC418" s="172" t="n"/>
      <c r="BD418" s="205">
        <f>IF(AND(A418="",B418=""),"",IF(AND(P418="ГОТОВО",R418&lt;&gt;"",T418&lt;&gt;"",U418&lt;&gt;"",AA418&lt;&gt;"",AB418&lt;&gt;"",AC418&lt;&gt;"",BB418&lt;&gt;"",BC418&lt;&gt;""),"ГОТОВО","НЕ ГОТОВО"))</f>
        <v/>
      </c>
      <c r="BE418" s="205">
        <f>IF(BD418&lt;&gt;"ГОТОВО","","Полное заключение: "&amp;A418&amp;", скв. "&amp;B418&amp;". МРП: "&amp;E418&amp;" сут. ГНО: "&amp;F418&amp;"; причина: "&amp;U418&amp;"; категория: "&amp;V418&amp;"; решение комиссии: "&amp;BB418&amp;".")</f>
        <v/>
      </c>
      <c r="BF418" s="173">
        <f>IF('Оперативный ввод'!X418="","",'Оперативный ввод'!X418)</f>
        <v/>
      </c>
    </row>
    <row r="419">
      <c r="A419" s="171">
        <f>IF('Оперативный ввод'!A419="","",'Оперативный ввод'!A419)</f>
        <v/>
      </c>
      <c r="B419" s="172">
        <f>IF('Оперативный ввод'!B419="","",'Оперативный ввод'!B419)</f>
        <v/>
      </c>
      <c r="C419" s="270">
        <f>IF('Оперативный ввод'!C419="","",'Оперативный ввод'!C419)</f>
        <v/>
      </c>
      <c r="D419" s="270">
        <f>IF('Оперативный ввод'!D419="","",'Оперативный ввод'!D419)</f>
        <v/>
      </c>
      <c r="E419" s="271">
        <f>IF(OR(C419="",D419=""),"",D419-C419)</f>
        <v/>
      </c>
      <c r="F419" s="172">
        <f>IF('Оперативный ввод'!F419="","",'Оперативный ввод'!F419)</f>
        <v/>
      </c>
      <c r="G419" s="172">
        <f>IF('Оперативный ввод'!G419="","",'Оперативный ввод'!G419)</f>
        <v/>
      </c>
      <c r="H419" s="172">
        <f>IF('Оперативный ввод'!H419="","",'Оперативный ввод'!H419)</f>
        <v/>
      </c>
      <c r="I419" s="172">
        <f>IF('Оперативный ввод'!I419="","",'Оперативный ввод'!I419)</f>
        <v/>
      </c>
      <c r="J419" s="172">
        <f>IF('Оперативный ввод'!J419="","",'Оперативный ввод'!J419)</f>
        <v/>
      </c>
      <c r="K419" s="172">
        <f>IF('Оперативный ввод'!K419="","",'Оперативный ввод'!K419)</f>
        <v/>
      </c>
      <c r="L419" s="172">
        <f>IF('Оперативный ввод'!L419="","",'Оперативный ввод'!L419)</f>
        <v/>
      </c>
      <c r="M419" s="172">
        <f>IF('Оперативный ввод'!M419="","",'Оперативный ввод'!M419)</f>
        <v/>
      </c>
      <c r="N419" s="172">
        <f>IF('Оперативный ввод'!N419="","",'Оперативный ввод'!N419)</f>
        <v/>
      </c>
      <c r="O419" s="172">
        <f>IF('Оперативный ввод'!O419="","",'Оперативный ввод'!O419)</f>
        <v/>
      </c>
      <c r="P419" s="205">
        <f>IF(AND(A419="",B419=""),"",IF(AND(A419&lt;&gt;"",B419&lt;&gt;"",C419&lt;&gt;"",D419&lt;&gt;"",F419&lt;&gt;"",G419&lt;&gt;"",H419&lt;&gt;"",ISERROR(SEARCH("по паспорту",G419)),ISERROR(SEARCH("по паспорту",H419)),I419&lt;&gt;"",J419&lt;&gt;"",K419&lt;&gt;"",L419&lt;&gt;"",M419&lt;&gt;""),"ГОТОВО","НЕ ГОТОВО"))</f>
        <v/>
      </c>
      <c r="Q419" s="205">
        <f>IF(P419&lt;&gt;"ГОТОВО","", "Предварительное заключение: "&amp;A419&amp;", скв. "&amp;B419&amp;". МРП: "&amp;E419&amp;" сут. ГНО: "&amp;F419&amp;", типоразмер "&amp;G419&amp;", марка "&amp;H419&amp;". Событие: "&amp;I419&amp;". Признак: "&amp;J419&amp;". Узел: "&amp;K419&amp;". Предварительная причина: "&amp;L419&amp;". Основное осложнение: "&amp;M419&amp;IF(N419&lt;&gt;"","; сопутствующее: "&amp;N419,"")&amp;IF(O419&lt;&gt;"","; дополнительно: "&amp;O419,"")&amp;".")</f>
        <v/>
      </c>
      <c r="R419" s="172">
        <f>IF('Оперативный ввод'!P419="","",'Оперативный ввод'!P419)</f>
        <v/>
      </c>
      <c r="S419" s="172">
        <f>IF('Оперативный ввод'!Q419="","",'Оперативный ввод'!Q419)</f>
        <v/>
      </c>
      <c r="T419" s="172">
        <f>IF('Оперативный ввод'!R419="","",'Оперативный ввод'!R419)</f>
        <v/>
      </c>
      <c r="U419" s="172">
        <f>IF('Оперативный ввод'!S419="","",'Оперативный ввод'!S419)</f>
        <v/>
      </c>
      <c r="V419" s="172">
        <f>IF('Оперативный ввод'!T419="","",'Оперативный ввод'!T419)</f>
        <v/>
      </c>
      <c r="W419" s="172" t="n"/>
      <c r="X419" s="172" t="n"/>
      <c r="Y419" s="172" t="n"/>
      <c r="Z419" s="172" t="n"/>
      <c r="AA419" s="172">
        <f>IF('Оперативный ввод'!U419="","",'Оперативный ввод'!U419)</f>
        <v/>
      </c>
      <c r="AB419" s="172">
        <f>IF('Оперативный ввод'!V419="","",'Оперативный ввод'!V419)</f>
        <v/>
      </c>
      <c r="AC419" s="172">
        <f>IF('Оперативный ввод'!W419="","",'Оперативный ввод'!W419)</f>
        <v/>
      </c>
      <c r="BB419" s="172" t="n"/>
      <c r="BC419" s="172" t="n"/>
      <c r="BD419" s="205">
        <f>IF(AND(A419="",B419=""),"",IF(AND(P419="ГОТОВО",R419&lt;&gt;"",T419&lt;&gt;"",U419&lt;&gt;"",AA419&lt;&gt;"",AB419&lt;&gt;"",AC419&lt;&gt;"",BB419&lt;&gt;"",BC419&lt;&gt;""),"ГОТОВО","НЕ ГОТОВО"))</f>
        <v/>
      </c>
      <c r="BE419" s="205">
        <f>IF(BD419&lt;&gt;"ГОТОВО","","Полное заключение: "&amp;A419&amp;", скв. "&amp;B419&amp;". МРП: "&amp;E419&amp;" сут. ГНО: "&amp;F419&amp;"; причина: "&amp;U419&amp;"; категория: "&amp;V419&amp;"; решение комиссии: "&amp;BB419&amp;".")</f>
        <v/>
      </c>
      <c r="BF419" s="173">
        <f>IF('Оперативный ввод'!X419="","",'Оперативный ввод'!X419)</f>
        <v/>
      </c>
    </row>
    <row r="420">
      <c r="A420" s="171">
        <f>IF('Оперативный ввод'!A420="","",'Оперативный ввод'!A420)</f>
        <v/>
      </c>
      <c r="B420" s="172">
        <f>IF('Оперативный ввод'!B420="","",'Оперативный ввод'!B420)</f>
        <v/>
      </c>
      <c r="C420" s="270">
        <f>IF('Оперативный ввод'!C420="","",'Оперативный ввод'!C420)</f>
        <v/>
      </c>
      <c r="D420" s="270">
        <f>IF('Оперативный ввод'!D420="","",'Оперативный ввод'!D420)</f>
        <v/>
      </c>
      <c r="E420" s="271">
        <f>IF(OR(C420="",D420=""),"",D420-C420)</f>
        <v/>
      </c>
      <c r="F420" s="172">
        <f>IF('Оперативный ввод'!F420="","",'Оперативный ввод'!F420)</f>
        <v/>
      </c>
      <c r="G420" s="172">
        <f>IF('Оперативный ввод'!G420="","",'Оперативный ввод'!G420)</f>
        <v/>
      </c>
      <c r="H420" s="172">
        <f>IF('Оперативный ввод'!H420="","",'Оперативный ввод'!H420)</f>
        <v/>
      </c>
      <c r="I420" s="172">
        <f>IF('Оперативный ввод'!I420="","",'Оперативный ввод'!I420)</f>
        <v/>
      </c>
      <c r="J420" s="172">
        <f>IF('Оперативный ввод'!J420="","",'Оперативный ввод'!J420)</f>
        <v/>
      </c>
      <c r="K420" s="172">
        <f>IF('Оперативный ввод'!K420="","",'Оперативный ввод'!K420)</f>
        <v/>
      </c>
      <c r="L420" s="172">
        <f>IF('Оперативный ввод'!L420="","",'Оперативный ввод'!L420)</f>
        <v/>
      </c>
      <c r="M420" s="172">
        <f>IF('Оперативный ввод'!M420="","",'Оперативный ввод'!M420)</f>
        <v/>
      </c>
      <c r="N420" s="172">
        <f>IF('Оперативный ввод'!N420="","",'Оперативный ввод'!N420)</f>
        <v/>
      </c>
      <c r="O420" s="172">
        <f>IF('Оперативный ввод'!O420="","",'Оперативный ввод'!O420)</f>
        <v/>
      </c>
      <c r="P420" s="205">
        <f>IF(AND(A420="",B420=""),"",IF(AND(A420&lt;&gt;"",B420&lt;&gt;"",C420&lt;&gt;"",D420&lt;&gt;"",F420&lt;&gt;"",G420&lt;&gt;"",H420&lt;&gt;"",ISERROR(SEARCH("по паспорту",G420)),ISERROR(SEARCH("по паспорту",H420)),I420&lt;&gt;"",J420&lt;&gt;"",K420&lt;&gt;"",L420&lt;&gt;"",M420&lt;&gt;""),"ГОТОВО","НЕ ГОТОВО"))</f>
        <v/>
      </c>
      <c r="Q420" s="205">
        <f>IF(P420&lt;&gt;"ГОТОВО","", "Предварительное заключение: "&amp;A420&amp;", скв. "&amp;B420&amp;". МРП: "&amp;E420&amp;" сут. ГНО: "&amp;F420&amp;", типоразмер "&amp;G420&amp;", марка "&amp;H420&amp;". Событие: "&amp;I420&amp;". Признак: "&amp;J420&amp;". Узел: "&amp;K420&amp;". Предварительная причина: "&amp;L420&amp;". Основное осложнение: "&amp;M420&amp;IF(N420&lt;&gt;"","; сопутствующее: "&amp;N420,"")&amp;IF(O420&lt;&gt;"","; дополнительно: "&amp;O420,"")&amp;".")</f>
        <v/>
      </c>
      <c r="R420" s="172">
        <f>IF('Оперативный ввод'!P420="","",'Оперативный ввод'!P420)</f>
        <v/>
      </c>
      <c r="S420" s="172">
        <f>IF('Оперативный ввод'!Q420="","",'Оперативный ввод'!Q420)</f>
        <v/>
      </c>
      <c r="T420" s="172">
        <f>IF('Оперативный ввод'!R420="","",'Оперативный ввод'!R420)</f>
        <v/>
      </c>
      <c r="U420" s="172">
        <f>IF('Оперативный ввод'!S420="","",'Оперативный ввод'!S420)</f>
        <v/>
      </c>
      <c r="V420" s="172">
        <f>IF('Оперативный ввод'!T420="","",'Оперативный ввод'!T420)</f>
        <v/>
      </c>
      <c r="W420" s="172" t="n"/>
      <c r="X420" s="172" t="n"/>
      <c r="Y420" s="172" t="n"/>
      <c r="Z420" s="172" t="n"/>
      <c r="AA420" s="172">
        <f>IF('Оперативный ввод'!U420="","",'Оперативный ввод'!U420)</f>
        <v/>
      </c>
      <c r="AB420" s="172">
        <f>IF('Оперативный ввод'!V420="","",'Оперативный ввод'!V420)</f>
        <v/>
      </c>
      <c r="AC420" s="172">
        <f>IF('Оперативный ввод'!W420="","",'Оперативный ввод'!W420)</f>
        <v/>
      </c>
      <c r="BB420" s="172" t="n"/>
      <c r="BC420" s="172" t="n"/>
      <c r="BD420" s="205">
        <f>IF(AND(A420="",B420=""),"",IF(AND(P420="ГОТОВО",R420&lt;&gt;"",T420&lt;&gt;"",U420&lt;&gt;"",AA420&lt;&gt;"",AB420&lt;&gt;"",AC420&lt;&gt;"",BB420&lt;&gt;"",BC420&lt;&gt;""),"ГОТОВО","НЕ ГОТОВО"))</f>
        <v/>
      </c>
      <c r="BE420" s="205">
        <f>IF(BD420&lt;&gt;"ГОТОВО","","Полное заключение: "&amp;A420&amp;", скв. "&amp;B420&amp;". МРП: "&amp;E420&amp;" сут. ГНО: "&amp;F420&amp;"; причина: "&amp;U420&amp;"; категория: "&amp;V420&amp;"; решение комиссии: "&amp;BB420&amp;".")</f>
        <v/>
      </c>
      <c r="BF420" s="173">
        <f>IF('Оперативный ввод'!X420="","",'Оперативный ввод'!X420)</f>
        <v/>
      </c>
    </row>
    <row r="421">
      <c r="A421" s="171">
        <f>IF('Оперативный ввод'!A421="","",'Оперативный ввод'!A421)</f>
        <v/>
      </c>
      <c r="B421" s="172">
        <f>IF('Оперативный ввод'!B421="","",'Оперативный ввод'!B421)</f>
        <v/>
      </c>
      <c r="C421" s="270">
        <f>IF('Оперативный ввод'!C421="","",'Оперативный ввод'!C421)</f>
        <v/>
      </c>
      <c r="D421" s="270">
        <f>IF('Оперативный ввод'!D421="","",'Оперативный ввод'!D421)</f>
        <v/>
      </c>
      <c r="E421" s="271">
        <f>IF(OR(C421="",D421=""),"",D421-C421)</f>
        <v/>
      </c>
      <c r="F421" s="172">
        <f>IF('Оперативный ввод'!F421="","",'Оперативный ввод'!F421)</f>
        <v/>
      </c>
      <c r="G421" s="172">
        <f>IF('Оперативный ввод'!G421="","",'Оперативный ввод'!G421)</f>
        <v/>
      </c>
      <c r="H421" s="172">
        <f>IF('Оперативный ввод'!H421="","",'Оперативный ввод'!H421)</f>
        <v/>
      </c>
      <c r="I421" s="172">
        <f>IF('Оперативный ввод'!I421="","",'Оперативный ввод'!I421)</f>
        <v/>
      </c>
      <c r="J421" s="172">
        <f>IF('Оперативный ввод'!J421="","",'Оперативный ввод'!J421)</f>
        <v/>
      </c>
      <c r="K421" s="172">
        <f>IF('Оперативный ввод'!K421="","",'Оперативный ввод'!K421)</f>
        <v/>
      </c>
      <c r="L421" s="172">
        <f>IF('Оперативный ввод'!L421="","",'Оперативный ввод'!L421)</f>
        <v/>
      </c>
      <c r="M421" s="172">
        <f>IF('Оперативный ввод'!M421="","",'Оперативный ввод'!M421)</f>
        <v/>
      </c>
      <c r="N421" s="172">
        <f>IF('Оперативный ввод'!N421="","",'Оперативный ввод'!N421)</f>
        <v/>
      </c>
      <c r="O421" s="172">
        <f>IF('Оперативный ввод'!O421="","",'Оперативный ввод'!O421)</f>
        <v/>
      </c>
      <c r="P421" s="205">
        <f>IF(AND(A421="",B421=""),"",IF(AND(A421&lt;&gt;"",B421&lt;&gt;"",C421&lt;&gt;"",D421&lt;&gt;"",F421&lt;&gt;"",G421&lt;&gt;"",H421&lt;&gt;"",ISERROR(SEARCH("по паспорту",G421)),ISERROR(SEARCH("по паспорту",H421)),I421&lt;&gt;"",J421&lt;&gt;"",K421&lt;&gt;"",L421&lt;&gt;"",M421&lt;&gt;""),"ГОТОВО","НЕ ГОТОВО"))</f>
        <v/>
      </c>
      <c r="Q421" s="205">
        <f>IF(P421&lt;&gt;"ГОТОВО","", "Предварительное заключение: "&amp;A421&amp;", скв. "&amp;B421&amp;". МРП: "&amp;E421&amp;" сут. ГНО: "&amp;F421&amp;", типоразмер "&amp;G421&amp;", марка "&amp;H421&amp;". Событие: "&amp;I421&amp;". Признак: "&amp;J421&amp;". Узел: "&amp;K421&amp;". Предварительная причина: "&amp;L421&amp;". Основное осложнение: "&amp;M421&amp;IF(N421&lt;&gt;"","; сопутствующее: "&amp;N421,"")&amp;IF(O421&lt;&gt;"","; дополнительно: "&amp;O421,"")&amp;".")</f>
        <v/>
      </c>
      <c r="R421" s="172">
        <f>IF('Оперативный ввод'!P421="","",'Оперативный ввод'!P421)</f>
        <v/>
      </c>
      <c r="S421" s="172">
        <f>IF('Оперативный ввод'!Q421="","",'Оперативный ввод'!Q421)</f>
        <v/>
      </c>
      <c r="T421" s="172">
        <f>IF('Оперативный ввод'!R421="","",'Оперативный ввод'!R421)</f>
        <v/>
      </c>
      <c r="U421" s="172">
        <f>IF('Оперативный ввод'!S421="","",'Оперативный ввод'!S421)</f>
        <v/>
      </c>
      <c r="V421" s="172">
        <f>IF('Оперативный ввод'!T421="","",'Оперативный ввод'!T421)</f>
        <v/>
      </c>
      <c r="W421" s="172" t="n"/>
      <c r="X421" s="172" t="n"/>
      <c r="Y421" s="172" t="n"/>
      <c r="Z421" s="172" t="n"/>
      <c r="AA421" s="172">
        <f>IF('Оперативный ввод'!U421="","",'Оперативный ввод'!U421)</f>
        <v/>
      </c>
      <c r="AB421" s="172">
        <f>IF('Оперативный ввод'!V421="","",'Оперативный ввод'!V421)</f>
        <v/>
      </c>
      <c r="AC421" s="172">
        <f>IF('Оперативный ввод'!W421="","",'Оперативный ввод'!W421)</f>
        <v/>
      </c>
      <c r="BB421" s="172" t="n"/>
      <c r="BC421" s="172" t="n"/>
      <c r="BD421" s="205">
        <f>IF(AND(A421="",B421=""),"",IF(AND(P421="ГОТОВО",R421&lt;&gt;"",T421&lt;&gt;"",U421&lt;&gt;"",AA421&lt;&gt;"",AB421&lt;&gt;"",AC421&lt;&gt;"",BB421&lt;&gt;"",BC421&lt;&gt;""),"ГОТОВО","НЕ ГОТОВО"))</f>
        <v/>
      </c>
      <c r="BE421" s="205">
        <f>IF(BD421&lt;&gt;"ГОТОВО","","Полное заключение: "&amp;A421&amp;", скв. "&amp;B421&amp;". МРП: "&amp;E421&amp;" сут. ГНО: "&amp;F421&amp;"; причина: "&amp;U421&amp;"; категория: "&amp;V421&amp;"; решение комиссии: "&amp;BB421&amp;".")</f>
        <v/>
      </c>
      <c r="BF421" s="173">
        <f>IF('Оперативный ввод'!X421="","",'Оперативный ввод'!X421)</f>
        <v/>
      </c>
    </row>
    <row r="422">
      <c r="A422" s="171">
        <f>IF('Оперативный ввод'!A422="","",'Оперативный ввод'!A422)</f>
        <v/>
      </c>
      <c r="B422" s="172">
        <f>IF('Оперативный ввод'!B422="","",'Оперативный ввод'!B422)</f>
        <v/>
      </c>
      <c r="C422" s="270">
        <f>IF('Оперативный ввод'!C422="","",'Оперативный ввод'!C422)</f>
        <v/>
      </c>
      <c r="D422" s="270">
        <f>IF('Оперативный ввод'!D422="","",'Оперативный ввод'!D422)</f>
        <v/>
      </c>
      <c r="E422" s="271">
        <f>IF(OR(C422="",D422=""),"",D422-C422)</f>
        <v/>
      </c>
      <c r="F422" s="172">
        <f>IF('Оперативный ввод'!F422="","",'Оперативный ввод'!F422)</f>
        <v/>
      </c>
      <c r="G422" s="172">
        <f>IF('Оперативный ввод'!G422="","",'Оперативный ввод'!G422)</f>
        <v/>
      </c>
      <c r="H422" s="172">
        <f>IF('Оперативный ввод'!H422="","",'Оперативный ввод'!H422)</f>
        <v/>
      </c>
      <c r="I422" s="172">
        <f>IF('Оперативный ввод'!I422="","",'Оперативный ввод'!I422)</f>
        <v/>
      </c>
      <c r="J422" s="172">
        <f>IF('Оперативный ввод'!J422="","",'Оперативный ввод'!J422)</f>
        <v/>
      </c>
      <c r="K422" s="172">
        <f>IF('Оперативный ввод'!K422="","",'Оперативный ввод'!K422)</f>
        <v/>
      </c>
      <c r="L422" s="172">
        <f>IF('Оперативный ввод'!L422="","",'Оперативный ввод'!L422)</f>
        <v/>
      </c>
      <c r="M422" s="172">
        <f>IF('Оперативный ввод'!M422="","",'Оперативный ввод'!M422)</f>
        <v/>
      </c>
      <c r="N422" s="172">
        <f>IF('Оперативный ввод'!N422="","",'Оперативный ввод'!N422)</f>
        <v/>
      </c>
      <c r="O422" s="172">
        <f>IF('Оперативный ввод'!O422="","",'Оперативный ввод'!O422)</f>
        <v/>
      </c>
      <c r="P422" s="205">
        <f>IF(AND(A422="",B422=""),"",IF(AND(A422&lt;&gt;"",B422&lt;&gt;"",C422&lt;&gt;"",D422&lt;&gt;"",F422&lt;&gt;"",G422&lt;&gt;"",H422&lt;&gt;"",ISERROR(SEARCH("по паспорту",G422)),ISERROR(SEARCH("по паспорту",H422)),I422&lt;&gt;"",J422&lt;&gt;"",K422&lt;&gt;"",L422&lt;&gt;"",M422&lt;&gt;""),"ГОТОВО","НЕ ГОТОВО"))</f>
        <v/>
      </c>
      <c r="Q422" s="205">
        <f>IF(P422&lt;&gt;"ГОТОВО","", "Предварительное заключение: "&amp;A422&amp;", скв. "&amp;B422&amp;". МРП: "&amp;E422&amp;" сут. ГНО: "&amp;F422&amp;", типоразмер "&amp;G422&amp;", марка "&amp;H422&amp;". Событие: "&amp;I422&amp;". Признак: "&amp;J422&amp;". Узел: "&amp;K422&amp;". Предварительная причина: "&amp;L422&amp;". Основное осложнение: "&amp;M422&amp;IF(N422&lt;&gt;"","; сопутствующее: "&amp;N422,"")&amp;IF(O422&lt;&gt;"","; дополнительно: "&amp;O422,"")&amp;".")</f>
        <v/>
      </c>
      <c r="R422" s="172">
        <f>IF('Оперативный ввод'!P422="","",'Оперативный ввод'!P422)</f>
        <v/>
      </c>
      <c r="S422" s="172">
        <f>IF('Оперативный ввод'!Q422="","",'Оперативный ввод'!Q422)</f>
        <v/>
      </c>
      <c r="T422" s="172">
        <f>IF('Оперативный ввод'!R422="","",'Оперативный ввод'!R422)</f>
        <v/>
      </c>
      <c r="U422" s="172">
        <f>IF('Оперативный ввод'!S422="","",'Оперативный ввод'!S422)</f>
        <v/>
      </c>
      <c r="V422" s="172">
        <f>IF('Оперативный ввод'!T422="","",'Оперативный ввод'!T422)</f>
        <v/>
      </c>
      <c r="W422" s="172" t="n"/>
      <c r="X422" s="172" t="n"/>
      <c r="Y422" s="172" t="n"/>
      <c r="Z422" s="172" t="n"/>
      <c r="AA422" s="172">
        <f>IF('Оперативный ввод'!U422="","",'Оперативный ввод'!U422)</f>
        <v/>
      </c>
      <c r="AB422" s="172">
        <f>IF('Оперативный ввод'!V422="","",'Оперативный ввод'!V422)</f>
        <v/>
      </c>
      <c r="AC422" s="172">
        <f>IF('Оперативный ввод'!W422="","",'Оперативный ввод'!W422)</f>
        <v/>
      </c>
      <c r="BB422" s="172" t="n"/>
      <c r="BC422" s="172" t="n"/>
      <c r="BD422" s="205">
        <f>IF(AND(A422="",B422=""),"",IF(AND(P422="ГОТОВО",R422&lt;&gt;"",T422&lt;&gt;"",U422&lt;&gt;"",AA422&lt;&gt;"",AB422&lt;&gt;"",AC422&lt;&gt;"",BB422&lt;&gt;"",BC422&lt;&gt;""),"ГОТОВО","НЕ ГОТОВО"))</f>
        <v/>
      </c>
      <c r="BE422" s="205">
        <f>IF(BD422&lt;&gt;"ГОТОВО","","Полное заключение: "&amp;A422&amp;", скв. "&amp;B422&amp;". МРП: "&amp;E422&amp;" сут. ГНО: "&amp;F422&amp;"; причина: "&amp;U422&amp;"; категория: "&amp;V422&amp;"; решение комиссии: "&amp;BB422&amp;".")</f>
        <v/>
      </c>
      <c r="BF422" s="173">
        <f>IF('Оперативный ввод'!X422="","",'Оперативный ввод'!X422)</f>
        <v/>
      </c>
    </row>
    <row r="423">
      <c r="A423" s="171">
        <f>IF('Оперативный ввод'!A423="","",'Оперативный ввод'!A423)</f>
        <v/>
      </c>
      <c r="B423" s="172">
        <f>IF('Оперативный ввод'!B423="","",'Оперативный ввод'!B423)</f>
        <v/>
      </c>
      <c r="C423" s="270">
        <f>IF('Оперативный ввод'!C423="","",'Оперативный ввод'!C423)</f>
        <v/>
      </c>
      <c r="D423" s="270">
        <f>IF('Оперативный ввод'!D423="","",'Оперативный ввод'!D423)</f>
        <v/>
      </c>
      <c r="E423" s="271">
        <f>IF(OR(C423="",D423=""),"",D423-C423)</f>
        <v/>
      </c>
      <c r="F423" s="172">
        <f>IF('Оперативный ввод'!F423="","",'Оперативный ввод'!F423)</f>
        <v/>
      </c>
      <c r="G423" s="172">
        <f>IF('Оперативный ввод'!G423="","",'Оперативный ввод'!G423)</f>
        <v/>
      </c>
      <c r="H423" s="172">
        <f>IF('Оперативный ввод'!H423="","",'Оперативный ввод'!H423)</f>
        <v/>
      </c>
      <c r="I423" s="172">
        <f>IF('Оперативный ввод'!I423="","",'Оперативный ввод'!I423)</f>
        <v/>
      </c>
      <c r="J423" s="172">
        <f>IF('Оперативный ввод'!J423="","",'Оперативный ввод'!J423)</f>
        <v/>
      </c>
      <c r="K423" s="172">
        <f>IF('Оперативный ввод'!K423="","",'Оперативный ввод'!K423)</f>
        <v/>
      </c>
      <c r="L423" s="172">
        <f>IF('Оперативный ввод'!L423="","",'Оперативный ввод'!L423)</f>
        <v/>
      </c>
      <c r="M423" s="172">
        <f>IF('Оперативный ввод'!M423="","",'Оперативный ввод'!M423)</f>
        <v/>
      </c>
      <c r="N423" s="172">
        <f>IF('Оперативный ввод'!N423="","",'Оперативный ввод'!N423)</f>
        <v/>
      </c>
      <c r="O423" s="172">
        <f>IF('Оперативный ввод'!O423="","",'Оперативный ввод'!O423)</f>
        <v/>
      </c>
      <c r="P423" s="205">
        <f>IF(AND(A423="",B423=""),"",IF(AND(A423&lt;&gt;"",B423&lt;&gt;"",C423&lt;&gt;"",D423&lt;&gt;"",F423&lt;&gt;"",G423&lt;&gt;"",H423&lt;&gt;"",ISERROR(SEARCH("по паспорту",G423)),ISERROR(SEARCH("по паспорту",H423)),I423&lt;&gt;"",J423&lt;&gt;"",K423&lt;&gt;"",L423&lt;&gt;"",M423&lt;&gt;""),"ГОТОВО","НЕ ГОТОВО"))</f>
        <v/>
      </c>
      <c r="Q423" s="205">
        <f>IF(P423&lt;&gt;"ГОТОВО","", "Предварительное заключение: "&amp;A423&amp;", скв. "&amp;B423&amp;". МРП: "&amp;E423&amp;" сут. ГНО: "&amp;F423&amp;", типоразмер "&amp;G423&amp;", марка "&amp;H423&amp;". Событие: "&amp;I423&amp;". Признак: "&amp;J423&amp;". Узел: "&amp;K423&amp;". Предварительная причина: "&amp;L423&amp;". Основное осложнение: "&amp;M423&amp;IF(N423&lt;&gt;"","; сопутствующее: "&amp;N423,"")&amp;IF(O423&lt;&gt;"","; дополнительно: "&amp;O423,"")&amp;".")</f>
        <v/>
      </c>
      <c r="R423" s="172">
        <f>IF('Оперативный ввод'!P423="","",'Оперативный ввод'!P423)</f>
        <v/>
      </c>
      <c r="S423" s="172">
        <f>IF('Оперативный ввод'!Q423="","",'Оперативный ввод'!Q423)</f>
        <v/>
      </c>
      <c r="T423" s="172">
        <f>IF('Оперативный ввод'!R423="","",'Оперативный ввод'!R423)</f>
        <v/>
      </c>
      <c r="U423" s="172">
        <f>IF('Оперативный ввод'!S423="","",'Оперативный ввод'!S423)</f>
        <v/>
      </c>
      <c r="V423" s="172">
        <f>IF('Оперативный ввод'!T423="","",'Оперативный ввод'!T423)</f>
        <v/>
      </c>
      <c r="W423" s="172" t="n"/>
      <c r="X423" s="172" t="n"/>
      <c r="Y423" s="172" t="n"/>
      <c r="Z423" s="172" t="n"/>
      <c r="AA423" s="172">
        <f>IF('Оперативный ввод'!U423="","",'Оперативный ввод'!U423)</f>
        <v/>
      </c>
      <c r="AB423" s="172">
        <f>IF('Оперативный ввод'!V423="","",'Оперативный ввод'!V423)</f>
        <v/>
      </c>
      <c r="AC423" s="172">
        <f>IF('Оперативный ввод'!W423="","",'Оперативный ввод'!W423)</f>
        <v/>
      </c>
      <c r="BB423" s="172" t="n"/>
      <c r="BC423" s="172" t="n"/>
      <c r="BD423" s="205">
        <f>IF(AND(A423="",B423=""),"",IF(AND(P423="ГОТОВО",R423&lt;&gt;"",T423&lt;&gt;"",U423&lt;&gt;"",AA423&lt;&gt;"",AB423&lt;&gt;"",AC423&lt;&gt;"",BB423&lt;&gt;"",BC423&lt;&gt;""),"ГОТОВО","НЕ ГОТОВО"))</f>
        <v/>
      </c>
      <c r="BE423" s="205">
        <f>IF(BD423&lt;&gt;"ГОТОВО","","Полное заключение: "&amp;A423&amp;", скв. "&amp;B423&amp;". МРП: "&amp;E423&amp;" сут. ГНО: "&amp;F423&amp;"; причина: "&amp;U423&amp;"; категория: "&amp;V423&amp;"; решение комиссии: "&amp;BB423&amp;".")</f>
        <v/>
      </c>
      <c r="BF423" s="173">
        <f>IF('Оперативный ввод'!X423="","",'Оперативный ввод'!X423)</f>
        <v/>
      </c>
    </row>
    <row r="424">
      <c r="A424" s="171">
        <f>IF('Оперативный ввод'!A424="","",'Оперативный ввод'!A424)</f>
        <v/>
      </c>
      <c r="B424" s="172">
        <f>IF('Оперативный ввод'!B424="","",'Оперативный ввод'!B424)</f>
        <v/>
      </c>
      <c r="C424" s="270">
        <f>IF('Оперативный ввод'!C424="","",'Оперативный ввод'!C424)</f>
        <v/>
      </c>
      <c r="D424" s="270">
        <f>IF('Оперативный ввод'!D424="","",'Оперативный ввод'!D424)</f>
        <v/>
      </c>
      <c r="E424" s="271">
        <f>IF(OR(C424="",D424=""),"",D424-C424)</f>
        <v/>
      </c>
      <c r="F424" s="172">
        <f>IF('Оперативный ввод'!F424="","",'Оперативный ввод'!F424)</f>
        <v/>
      </c>
      <c r="G424" s="172">
        <f>IF('Оперативный ввод'!G424="","",'Оперативный ввод'!G424)</f>
        <v/>
      </c>
      <c r="H424" s="172">
        <f>IF('Оперативный ввод'!H424="","",'Оперативный ввод'!H424)</f>
        <v/>
      </c>
      <c r="I424" s="172">
        <f>IF('Оперативный ввод'!I424="","",'Оперативный ввод'!I424)</f>
        <v/>
      </c>
      <c r="J424" s="172">
        <f>IF('Оперативный ввод'!J424="","",'Оперативный ввод'!J424)</f>
        <v/>
      </c>
      <c r="K424" s="172">
        <f>IF('Оперативный ввод'!K424="","",'Оперативный ввод'!K424)</f>
        <v/>
      </c>
      <c r="L424" s="172">
        <f>IF('Оперативный ввод'!L424="","",'Оперативный ввод'!L424)</f>
        <v/>
      </c>
      <c r="M424" s="172">
        <f>IF('Оперативный ввод'!M424="","",'Оперативный ввод'!M424)</f>
        <v/>
      </c>
      <c r="N424" s="172">
        <f>IF('Оперативный ввод'!N424="","",'Оперативный ввод'!N424)</f>
        <v/>
      </c>
      <c r="O424" s="172">
        <f>IF('Оперативный ввод'!O424="","",'Оперативный ввод'!O424)</f>
        <v/>
      </c>
      <c r="P424" s="205">
        <f>IF(AND(A424="",B424=""),"",IF(AND(A424&lt;&gt;"",B424&lt;&gt;"",C424&lt;&gt;"",D424&lt;&gt;"",F424&lt;&gt;"",G424&lt;&gt;"",H424&lt;&gt;"",ISERROR(SEARCH("по паспорту",G424)),ISERROR(SEARCH("по паспорту",H424)),I424&lt;&gt;"",J424&lt;&gt;"",K424&lt;&gt;"",L424&lt;&gt;"",M424&lt;&gt;""),"ГОТОВО","НЕ ГОТОВО"))</f>
        <v/>
      </c>
      <c r="Q424" s="205">
        <f>IF(P424&lt;&gt;"ГОТОВО","", "Предварительное заключение: "&amp;A424&amp;", скв. "&amp;B424&amp;". МРП: "&amp;E424&amp;" сут. ГНО: "&amp;F424&amp;", типоразмер "&amp;G424&amp;", марка "&amp;H424&amp;". Событие: "&amp;I424&amp;". Признак: "&amp;J424&amp;". Узел: "&amp;K424&amp;". Предварительная причина: "&amp;L424&amp;". Основное осложнение: "&amp;M424&amp;IF(N424&lt;&gt;"","; сопутствующее: "&amp;N424,"")&amp;IF(O424&lt;&gt;"","; дополнительно: "&amp;O424,"")&amp;".")</f>
        <v/>
      </c>
      <c r="R424" s="172">
        <f>IF('Оперативный ввод'!P424="","",'Оперативный ввод'!P424)</f>
        <v/>
      </c>
      <c r="S424" s="172">
        <f>IF('Оперативный ввод'!Q424="","",'Оперативный ввод'!Q424)</f>
        <v/>
      </c>
      <c r="T424" s="172">
        <f>IF('Оперативный ввод'!R424="","",'Оперативный ввод'!R424)</f>
        <v/>
      </c>
      <c r="U424" s="172">
        <f>IF('Оперативный ввод'!S424="","",'Оперативный ввод'!S424)</f>
        <v/>
      </c>
      <c r="V424" s="172">
        <f>IF('Оперативный ввод'!T424="","",'Оперативный ввод'!T424)</f>
        <v/>
      </c>
      <c r="W424" s="172" t="n"/>
      <c r="X424" s="172" t="n"/>
      <c r="Y424" s="172" t="n"/>
      <c r="Z424" s="172" t="n"/>
      <c r="AA424" s="172">
        <f>IF('Оперативный ввод'!U424="","",'Оперативный ввод'!U424)</f>
        <v/>
      </c>
      <c r="AB424" s="172">
        <f>IF('Оперативный ввод'!V424="","",'Оперативный ввод'!V424)</f>
        <v/>
      </c>
      <c r="AC424" s="172">
        <f>IF('Оперативный ввод'!W424="","",'Оперативный ввод'!W424)</f>
        <v/>
      </c>
      <c r="BB424" s="172" t="n"/>
      <c r="BC424" s="172" t="n"/>
      <c r="BD424" s="205">
        <f>IF(AND(A424="",B424=""),"",IF(AND(P424="ГОТОВО",R424&lt;&gt;"",T424&lt;&gt;"",U424&lt;&gt;"",AA424&lt;&gt;"",AB424&lt;&gt;"",AC424&lt;&gt;"",BB424&lt;&gt;"",BC424&lt;&gt;""),"ГОТОВО","НЕ ГОТОВО"))</f>
        <v/>
      </c>
      <c r="BE424" s="205">
        <f>IF(BD424&lt;&gt;"ГОТОВО","","Полное заключение: "&amp;A424&amp;", скв. "&amp;B424&amp;". МРП: "&amp;E424&amp;" сут. ГНО: "&amp;F424&amp;"; причина: "&amp;U424&amp;"; категория: "&amp;V424&amp;"; решение комиссии: "&amp;BB424&amp;".")</f>
        <v/>
      </c>
      <c r="BF424" s="173">
        <f>IF('Оперативный ввод'!X424="","",'Оперативный ввод'!X424)</f>
        <v/>
      </c>
    </row>
    <row r="425">
      <c r="A425" s="171">
        <f>IF('Оперативный ввод'!A425="","",'Оперативный ввод'!A425)</f>
        <v/>
      </c>
      <c r="B425" s="172">
        <f>IF('Оперативный ввод'!B425="","",'Оперативный ввод'!B425)</f>
        <v/>
      </c>
      <c r="C425" s="270">
        <f>IF('Оперативный ввод'!C425="","",'Оперативный ввод'!C425)</f>
        <v/>
      </c>
      <c r="D425" s="270">
        <f>IF('Оперативный ввод'!D425="","",'Оперативный ввод'!D425)</f>
        <v/>
      </c>
      <c r="E425" s="271">
        <f>IF(OR(C425="",D425=""),"",D425-C425)</f>
        <v/>
      </c>
      <c r="F425" s="172">
        <f>IF('Оперативный ввод'!F425="","",'Оперативный ввод'!F425)</f>
        <v/>
      </c>
      <c r="G425" s="172">
        <f>IF('Оперативный ввод'!G425="","",'Оперативный ввод'!G425)</f>
        <v/>
      </c>
      <c r="H425" s="172">
        <f>IF('Оперативный ввод'!H425="","",'Оперативный ввод'!H425)</f>
        <v/>
      </c>
      <c r="I425" s="172">
        <f>IF('Оперативный ввод'!I425="","",'Оперативный ввод'!I425)</f>
        <v/>
      </c>
      <c r="J425" s="172">
        <f>IF('Оперативный ввод'!J425="","",'Оперативный ввод'!J425)</f>
        <v/>
      </c>
      <c r="K425" s="172">
        <f>IF('Оперативный ввод'!K425="","",'Оперативный ввод'!K425)</f>
        <v/>
      </c>
      <c r="L425" s="172">
        <f>IF('Оперативный ввод'!L425="","",'Оперативный ввод'!L425)</f>
        <v/>
      </c>
      <c r="M425" s="172">
        <f>IF('Оперативный ввод'!M425="","",'Оперативный ввод'!M425)</f>
        <v/>
      </c>
      <c r="N425" s="172">
        <f>IF('Оперативный ввод'!N425="","",'Оперативный ввод'!N425)</f>
        <v/>
      </c>
      <c r="O425" s="172">
        <f>IF('Оперативный ввод'!O425="","",'Оперативный ввод'!O425)</f>
        <v/>
      </c>
      <c r="P425" s="205">
        <f>IF(AND(A425="",B425=""),"",IF(AND(A425&lt;&gt;"",B425&lt;&gt;"",C425&lt;&gt;"",D425&lt;&gt;"",F425&lt;&gt;"",G425&lt;&gt;"",H425&lt;&gt;"",ISERROR(SEARCH("по паспорту",G425)),ISERROR(SEARCH("по паспорту",H425)),I425&lt;&gt;"",J425&lt;&gt;"",K425&lt;&gt;"",L425&lt;&gt;"",M425&lt;&gt;""),"ГОТОВО","НЕ ГОТОВО"))</f>
        <v/>
      </c>
      <c r="Q425" s="205">
        <f>IF(P425&lt;&gt;"ГОТОВО","", "Предварительное заключение: "&amp;A425&amp;", скв. "&amp;B425&amp;". МРП: "&amp;E425&amp;" сут. ГНО: "&amp;F425&amp;", типоразмер "&amp;G425&amp;", марка "&amp;H425&amp;". Событие: "&amp;I425&amp;". Признак: "&amp;J425&amp;". Узел: "&amp;K425&amp;". Предварительная причина: "&amp;L425&amp;". Основное осложнение: "&amp;M425&amp;IF(N425&lt;&gt;"","; сопутствующее: "&amp;N425,"")&amp;IF(O425&lt;&gt;"","; дополнительно: "&amp;O425,"")&amp;".")</f>
        <v/>
      </c>
      <c r="R425" s="172">
        <f>IF('Оперативный ввод'!P425="","",'Оперативный ввод'!P425)</f>
        <v/>
      </c>
      <c r="S425" s="172">
        <f>IF('Оперативный ввод'!Q425="","",'Оперативный ввод'!Q425)</f>
        <v/>
      </c>
      <c r="T425" s="172">
        <f>IF('Оперативный ввод'!R425="","",'Оперативный ввод'!R425)</f>
        <v/>
      </c>
      <c r="U425" s="172">
        <f>IF('Оперативный ввод'!S425="","",'Оперативный ввод'!S425)</f>
        <v/>
      </c>
      <c r="V425" s="172">
        <f>IF('Оперативный ввод'!T425="","",'Оперативный ввод'!T425)</f>
        <v/>
      </c>
      <c r="W425" s="172" t="n"/>
      <c r="X425" s="172" t="n"/>
      <c r="Y425" s="172" t="n"/>
      <c r="Z425" s="172" t="n"/>
      <c r="AA425" s="172">
        <f>IF('Оперативный ввод'!U425="","",'Оперативный ввод'!U425)</f>
        <v/>
      </c>
      <c r="AB425" s="172">
        <f>IF('Оперативный ввод'!V425="","",'Оперативный ввод'!V425)</f>
        <v/>
      </c>
      <c r="AC425" s="172">
        <f>IF('Оперативный ввод'!W425="","",'Оперативный ввод'!W425)</f>
        <v/>
      </c>
      <c r="BB425" s="172" t="n"/>
      <c r="BC425" s="172" t="n"/>
      <c r="BD425" s="205">
        <f>IF(AND(A425="",B425=""),"",IF(AND(P425="ГОТОВО",R425&lt;&gt;"",T425&lt;&gt;"",U425&lt;&gt;"",AA425&lt;&gt;"",AB425&lt;&gt;"",AC425&lt;&gt;"",BB425&lt;&gt;"",BC425&lt;&gt;""),"ГОТОВО","НЕ ГОТОВО"))</f>
        <v/>
      </c>
      <c r="BE425" s="205">
        <f>IF(BD425&lt;&gt;"ГОТОВО","","Полное заключение: "&amp;A425&amp;", скв. "&amp;B425&amp;". МРП: "&amp;E425&amp;" сут. ГНО: "&amp;F425&amp;"; причина: "&amp;U425&amp;"; категория: "&amp;V425&amp;"; решение комиссии: "&amp;BB425&amp;".")</f>
        <v/>
      </c>
      <c r="BF425" s="173">
        <f>IF('Оперативный ввод'!X425="","",'Оперативный ввод'!X425)</f>
        <v/>
      </c>
    </row>
    <row r="426">
      <c r="A426" s="171">
        <f>IF('Оперативный ввод'!A426="","",'Оперативный ввод'!A426)</f>
        <v/>
      </c>
      <c r="B426" s="172">
        <f>IF('Оперативный ввод'!B426="","",'Оперативный ввод'!B426)</f>
        <v/>
      </c>
      <c r="C426" s="270">
        <f>IF('Оперативный ввод'!C426="","",'Оперативный ввод'!C426)</f>
        <v/>
      </c>
      <c r="D426" s="270">
        <f>IF('Оперативный ввод'!D426="","",'Оперативный ввод'!D426)</f>
        <v/>
      </c>
      <c r="E426" s="271">
        <f>IF(OR(C426="",D426=""),"",D426-C426)</f>
        <v/>
      </c>
      <c r="F426" s="172">
        <f>IF('Оперативный ввод'!F426="","",'Оперативный ввод'!F426)</f>
        <v/>
      </c>
      <c r="G426" s="172">
        <f>IF('Оперативный ввод'!G426="","",'Оперативный ввод'!G426)</f>
        <v/>
      </c>
      <c r="H426" s="172">
        <f>IF('Оперативный ввод'!H426="","",'Оперативный ввод'!H426)</f>
        <v/>
      </c>
      <c r="I426" s="172">
        <f>IF('Оперативный ввод'!I426="","",'Оперативный ввод'!I426)</f>
        <v/>
      </c>
      <c r="J426" s="172">
        <f>IF('Оперативный ввод'!J426="","",'Оперативный ввод'!J426)</f>
        <v/>
      </c>
      <c r="K426" s="172">
        <f>IF('Оперативный ввод'!K426="","",'Оперативный ввод'!K426)</f>
        <v/>
      </c>
      <c r="L426" s="172">
        <f>IF('Оперативный ввод'!L426="","",'Оперативный ввод'!L426)</f>
        <v/>
      </c>
      <c r="M426" s="172">
        <f>IF('Оперативный ввод'!M426="","",'Оперативный ввод'!M426)</f>
        <v/>
      </c>
      <c r="N426" s="172">
        <f>IF('Оперативный ввод'!N426="","",'Оперативный ввод'!N426)</f>
        <v/>
      </c>
      <c r="O426" s="172">
        <f>IF('Оперативный ввод'!O426="","",'Оперативный ввод'!O426)</f>
        <v/>
      </c>
      <c r="P426" s="205">
        <f>IF(AND(A426="",B426=""),"",IF(AND(A426&lt;&gt;"",B426&lt;&gt;"",C426&lt;&gt;"",D426&lt;&gt;"",F426&lt;&gt;"",G426&lt;&gt;"",H426&lt;&gt;"",ISERROR(SEARCH("по паспорту",G426)),ISERROR(SEARCH("по паспорту",H426)),I426&lt;&gt;"",J426&lt;&gt;"",K426&lt;&gt;"",L426&lt;&gt;"",M426&lt;&gt;""),"ГОТОВО","НЕ ГОТОВО"))</f>
        <v/>
      </c>
      <c r="Q426" s="205">
        <f>IF(P426&lt;&gt;"ГОТОВО","", "Предварительное заключение: "&amp;A426&amp;", скв. "&amp;B426&amp;". МРП: "&amp;E426&amp;" сут. ГНО: "&amp;F426&amp;", типоразмер "&amp;G426&amp;", марка "&amp;H426&amp;". Событие: "&amp;I426&amp;". Признак: "&amp;J426&amp;". Узел: "&amp;K426&amp;". Предварительная причина: "&amp;L426&amp;". Основное осложнение: "&amp;M426&amp;IF(N426&lt;&gt;"","; сопутствующее: "&amp;N426,"")&amp;IF(O426&lt;&gt;"","; дополнительно: "&amp;O426,"")&amp;".")</f>
        <v/>
      </c>
      <c r="R426" s="172">
        <f>IF('Оперативный ввод'!P426="","",'Оперативный ввод'!P426)</f>
        <v/>
      </c>
      <c r="S426" s="172">
        <f>IF('Оперативный ввод'!Q426="","",'Оперативный ввод'!Q426)</f>
        <v/>
      </c>
      <c r="T426" s="172">
        <f>IF('Оперативный ввод'!R426="","",'Оперативный ввод'!R426)</f>
        <v/>
      </c>
      <c r="U426" s="172">
        <f>IF('Оперативный ввод'!S426="","",'Оперативный ввод'!S426)</f>
        <v/>
      </c>
      <c r="V426" s="172">
        <f>IF('Оперативный ввод'!T426="","",'Оперативный ввод'!T426)</f>
        <v/>
      </c>
      <c r="W426" s="172" t="n"/>
      <c r="X426" s="172" t="n"/>
      <c r="Y426" s="172" t="n"/>
      <c r="Z426" s="172" t="n"/>
      <c r="AA426" s="172">
        <f>IF('Оперативный ввод'!U426="","",'Оперативный ввод'!U426)</f>
        <v/>
      </c>
      <c r="AB426" s="172">
        <f>IF('Оперативный ввод'!V426="","",'Оперативный ввод'!V426)</f>
        <v/>
      </c>
      <c r="AC426" s="172">
        <f>IF('Оперативный ввод'!W426="","",'Оперативный ввод'!W426)</f>
        <v/>
      </c>
      <c r="BB426" s="172" t="n"/>
      <c r="BC426" s="172" t="n"/>
      <c r="BD426" s="205">
        <f>IF(AND(A426="",B426=""),"",IF(AND(P426="ГОТОВО",R426&lt;&gt;"",T426&lt;&gt;"",U426&lt;&gt;"",AA426&lt;&gt;"",AB426&lt;&gt;"",AC426&lt;&gt;"",BB426&lt;&gt;"",BC426&lt;&gt;""),"ГОТОВО","НЕ ГОТОВО"))</f>
        <v/>
      </c>
      <c r="BE426" s="205">
        <f>IF(BD426&lt;&gt;"ГОТОВО","","Полное заключение: "&amp;A426&amp;", скв. "&amp;B426&amp;". МРП: "&amp;E426&amp;" сут. ГНО: "&amp;F426&amp;"; причина: "&amp;U426&amp;"; категория: "&amp;V426&amp;"; решение комиссии: "&amp;BB426&amp;".")</f>
        <v/>
      </c>
      <c r="BF426" s="173">
        <f>IF('Оперативный ввод'!X426="","",'Оперативный ввод'!X426)</f>
        <v/>
      </c>
    </row>
    <row r="427">
      <c r="A427" s="171">
        <f>IF('Оперативный ввод'!A427="","",'Оперативный ввод'!A427)</f>
        <v/>
      </c>
      <c r="B427" s="172">
        <f>IF('Оперативный ввод'!B427="","",'Оперативный ввод'!B427)</f>
        <v/>
      </c>
      <c r="C427" s="270">
        <f>IF('Оперативный ввод'!C427="","",'Оперативный ввод'!C427)</f>
        <v/>
      </c>
      <c r="D427" s="270">
        <f>IF('Оперативный ввод'!D427="","",'Оперативный ввод'!D427)</f>
        <v/>
      </c>
      <c r="E427" s="271">
        <f>IF(OR(C427="",D427=""),"",D427-C427)</f>
        <v/>
      </c>
      <c r="F427" s="172">
        <f>IF('Оперативный ввод'!F427="","",'Оперативный ввод'!F427)</f>
        <v/>
      </c>
      <c r="G427" s="172">
        <f>IF('Оперативный ввод'!G427="","",'Оперативный ввод'!G427)</f>
        <v/>
      </c>
      <c r="H427" s="172">
        <f>IF('Оперативный ввод'!H427="","",'Оперативный ввод'!H427)</f>
        <v/>
      </c>
      <c r="I427" s="172">
        <f>IF('Оперативный ввод'!I427="","",'Оперативный ввод'!I427)</f>
        <v/>
      </c>
      <c r="J427" s="172">
        <f>IF('Оперативный ввод'!J427="","",'Оперативный ввод'!J427)</f>
        <v/>
      </c>
      <c r="K427" s="172">
        <f>IF('Оперативный ввод'!K427="","",'Оперативный ввод'!K427)</f>
        <v/>
      </c>
      <c r="L427" s="172">
        <f>IF('Оперативный ввод'!L427="","",'Оперативный ввод'!L427)</f>
        <v/>
      </c>
      <c r="M427" s="172">
        <f>IF('Оперативный ввод'!M427="","",'Оперативный ввод'!M427)</f>
        <v/>
      </c>
      <c r="N427" s="172">
        <f>IF('Оперативный ввод'!N427="","",'Оперативный ввод'!N427)</f>
        <v/>
      </c>
      <c r="O427" s="172">
        <f>IF('Оперативный ввод'!O427="","",'Оперативный ввод'!O427)</f>
        <v/>
      </c>
      <c r="P427" s="205">
        <f>IF(AND(A427="",B427=""),"",IF(AND(A427&lt;&gt;"",B427&lt;&gt;"",C427&lt;&gt;"",D427&lt;&gt;"",F427&lt;&gt;"",G427&lt;&gt;"",H427&lt;&gt;"",ISERROR(SEARCH("по паспорту",G427)),ISERROR(SEARCH("по паспорту",H427)),I427&lt;&gt;"",J427&lt;&gt;"",K427&lt;&gt;"",L427&lt;&gt;"",M427&lt;&gt;""),"ГОТОВО","НЕ ГОТОВО"))</f>
        <v/>
      </c>
      <c r="Q427" s="205">
        <f>IF(P427&lt;&gt;"ГОТОВО","", "Предварительное заключение: "&amp;A427&amp;", скв. "&amp;B427&amp;". МРП: "&amp;E427&amp;" сут. ГНО: "&amp;F427&amp;", типоразмер "&amp;G427&amp;", марка "&amp;H427&amp;". Событие: "&amp;I427&amp;". Признак: "&amp;J427&amp;". Узел: "&amp;K427&amp;". Предварительная причина: "&amp;L427&amp;". Основное осложнение: "&amp;M427&amp;IF(N427&lt;&gt;"","; сопутствующее: "&amp;N427,"")&amp;IF(O427&lt;&gt;"","; дополнительно: "&amp;O427,"")&amp;".")</f>
        <v/>
      </c>
      <c r="R427" s="172">
        <f>IF('Оперативный ввод'!P427="","",'Оперативный ввод'!P427)</f>
        <v/>
      </c>
      <c r="S427" s="172">
        <f>IF('Оперативный ввод'!Q427="","",'Оперативный ввод'!Q427)</f>
        <v/>
      </c>
      <c r="T427" s="172">
        <f>IF('Оперативный ввод'!R427="","",'Оперативный ввод'!R427)</f>
        <v/>
      </c>
      <c r="U427" s="172">
        <f>IF('Оперативный ввод'!S427="","",'Оперативный ввод'!S427)</f>
        <v/>
      </c>
      <c r="V427" s="172">
        <f>IF('Оперативный ввод'!T427="","",'Оперативный ввод'!T427)</f>
        <v/>
      </c>
      <c r="W427" s="172" t="n"/>
      <c r="X427" s="172" t="n"/>
      <c r="Y427" s="172" t="n"/>
      <c r="Z427" s="172" t="n"/>
      <c r="AA427" s="172">
        <f>IF('Оперативный ввод'!U427="","",'Оперативный ввод'!U427)</f>
        <v/>
      </c>
      <c r="AB427" s="172">
        <f>IF('Оперативный ввод'!V427="","",'Оперативный ввод'!V427)</f>
        <v/>
      </c>
      <c r="AC427" s="172">
        <f>IF('Оперативный ввод'!W427="","",'Оперативный ввод'!W427)</f>
        <v/>
      </c>
      <c r="BB427" s="172" t="n"/>
      <c r="BC427" s="172" t="n"/>
      <c r="BD427" s="205">
        <f>IF(AND(A427="",B427=""),"",IF(AND(P427="ГОТОВО",R427&lt;&gt;"",T427&lt;&gt;"",U427&lt;&gt;"",AA427&lt;&gt;"",AB427&lt;&gt;"",AC427&lt;&gt;"",BB427&lt;&gt;"",BC427&lt;&gt;""),"ГОТОВО","НЕ ГОТОВО"))</f>
        <v/>
      </c>
      <c r="BE427" s="205">
        <f>IF(BD427&lt;&gt;"ГОТОВО","","Полное заключение: "&amp;A427&amp;", скв. "&amp;B427&amp;". МРП: "&amp;E427&amp;" сут. ГНО: "&amp;F427&amp;"; причина: "&amp;U427&amp;"; категория: "&amp;V427&amp;"; решение комиссии: "&amp;BB427&amp;".")</f>
        <v/>
      </c>
      <c r="BF427" s="173">
        <f>IF('Оперативный ввод'!X427="","",'Оперативный ввод'!X427)</f>
        <v/>
      </c>
    </row>
    <row r="428">
      <c r="A428" s="171">
        <f>IF('Оперативный ввод'!A428="","",'Оперативный ввод'!A428)</f>
        <v/>
      </c>
      <c r="B428" s="172">
        <f>IF('Оперативный ввод'!B428="","",'Оперативный ввод'!B428)</f>
        <v/>
      </c>
      <c r="C428" s="270">
        <f>IF('Оперативный ввод'!C428="","",'Оперативный ввод'!C428)</f>
        <v/>
      </c>
      <c r="D428" s="270">
        <f>IF('Оперативный ввод'!D428="","",'Оперативный ввод'!D428)</f>
        <v/>
      </c>
      <c r="E428" s="271">
        <f>IF(OR(C428="",D428=""),"",D428-C428)</f>
        <v/>
      </c>
      <c r="F428" s="172">
        <f>IF('Оперативный ввод'!F428="","",'Оперативный ввод'!F428)</f>
        <v/>
      </c>
      <c r="G428" s="172">
        <f>IF('Оперативный ввод'!G428="","",'Оперативный ввод'!G428)</f>
        <v/>
      </c>
      <c r="H428" s="172">
        <f>IF('Оперативный ввод'!H428="","",'Оперативный ввод'!H428)</f>
        <v/>
      </c>
      <c r="I428" s="172">
        <f>IF('Оперативный ввод'!I428="","",'Оперативный ввод'!I428)</f>
        <v/>
      </c>
      <c r="J428" s="172">
        <f>IF('Оперативный ввод'!J428="","",'Оперативный ввод'!J428)</f>
        <v/>
      </c>
      <c r="K428" s="172">
        <f>IF('Оперативный ввод'!K428="","",'Оперативный ввод'!K428)</f>
        <v/>
      </c>
      <c r="L428" s="172">
        <f>IF('Оперативный ввод'!L428="","",'Оперативный ввод'!L428)</f>
        <v/>
      </c>
      <c r="M428" s="172">
        <f>IF('Оперативный ввод'!M428="","",'Оперативный ввод'!M428)</f>
        <v/>
      </c>
      <c r="N428" s="172">
        <f>IF('Оперативный ввод'!N428="","",'Оперативный ввод'!N428)</f>
        <v/>
      </c>
      <c r="O428" s="172">
        <f>IF('Оперативный ввод'!O428="","",'Оперативный ввод'!O428)</f>
        <v/>
      </c>
      <c r="P428" s="205">
        <f>IF(AND(A428="",B428=""),"",IF(AND(A428&lt;&gt;"",B428&lt;&gt;"",C428&lt;&gt;"",D428&lt;&gt;"",F428&lt;&gt;"",G428&lt;&gt;"",H428&lt;&gt;"",ISERROR(SEARCH("по паспорту",G428)),ISERROR(SEARCH("по паспорту",H428)),I428&lt;&gt;"",J428&lt;&gt;"",K428&lt;&gt;"",L428&lt;&gt;"",M428&lt;&gt;""),"ГОТОВО","НЕ ГОТОВО"))</f>
        <v/>
      </c>
      <c r="Q428" s="205">
        <f>IF(P428&lt;&gt;"ГОТОВО","", "Предварительное заключение: "&amp;A428&amp;", скв. "&amp;B428&amp;". МРП: "&amp;E428&amp;" сут. ГНО: "&amp;F428&amp;", типоразмер "&amp;G428&amp;", марка "&amp;H428&amp;". Событие: "&amp;I428&amp;". Признак: "&amp;J428&amp;". Узел: "&amp;K428&amp;". Предварительная причина: "&amp;L428&amp;". Основное осложнение: "&amp;M428&amp;IF(N428&lt;&gt;"","; сопутствующее: "&amp;N428,"")&amp;IF(O428&lt;&gt;"","; дополнительно: "&amp;O428,"")&amp;".")</f>
        <v/>
      </c>
      <c r="R428" s="172">
        <f>IF('Оперативный ввод'!P428="","",'Оперативный ввод'!P428)</f>
        <v/>
      </c>
      <c r="S428" s="172">
        <f>IF('Оперативный ввод'!Q428="","",'Оперативный ввод'!Q428)</f>
        <v/>
      </c>
      <c r="T428" s="172">
        <f>IF('Оперативный ввод'!R428="","",'Оперативный ввод'!R428)</f>
        <v/>
      </c>
      <c r="U428" s="172">
        <f>IF('Оперативный ввод'!S428="","",'Оперативный ввод'!S428)</f>
        <v/>
      </c>
      <c r="V428" s="172">
        <f>IF('Оперативный ввод'!T428="","",'Оперативный ввод'!T428)</f>
        <v/>
      </c>
      <c r="W428" s="172" t="n"/>
      <c r="X428" s="172" t="n"/>
      <c r="Y428" s="172" t="n"/>
      <c r="Z428" s="172" t="n"/>
      <c r="AA428" s="172">
        <f>IF('Оперативный ввод'!U428="","",'Оперативный ввод'!U428)</f>
        <v/>
      </c>
      <c r="AB428" s="172">
        <f>IF('Оперативный ввод'!V428="","",'Оперативный ввод'!V428)</f>
        <v/>
      </c>
      <c r="AC428" s="172">
        <f>IF('Оперативный ввод'!W428="","",'Оперативный ввод'!W428)</f>
        <v/>
      </c>
      <c r="BB428" s="172" t="n"/>
      <c r="BC428" s="172" t="n"/>
      <c r="BD428" s="205">
        <f>IF(AND(A428="",B428=""),"",IF(AND(P428="ГОТОВО",R428&lt;&gt;"",T428&lt;&gt;"",U428&lt;&gt;"",AA428&lt;&gt;"",AB428&lt;&gt;"",AC428&lt;&gt;"",BB428&lt;&gt;"",BC428&lt;&gt;""),"ГОТОВО","НЕ ГОТОВО"))</f>
        <v/>
      </c>
      <c r="BE428" s="205">
        <f>IF(BD428&lt;&gt;"ГОТОВО","","Полное заключение: "&amp;A428&amp;", скв. "&amp;B428&amp;". МРП: "&amp;E428&amp;" сут. ГНО: "&amp;F428&amp;"; причина: "&amp;U428&amp;"; категория: "&amp;V428&amp;"; решение комиссии: "&amp;BB428&amp;".")</f>
        <v/>
      </c>
      <c r="BF428" s="173">
        <f>IF('Оперативный ввод'!X428="","",'Оперативный ввод'!X428)</f>
        <v/>
      </c>
    </row>
    <row r="429">
      <c r="A429" s="171">
        <f>IF('Оперативный ввод'!A429="","",'Оперативный ввод'!A429)</f>
        <v/>
      </c>
      <c r="B429" s="172">
        <f>IF('Оперативный ввод'!B429="","",'Оперативный ввод'!B429)</f>
        <v/>
      </c>
      <c r="C429" s="270">
        <f>IF('Оперативный ввод'!C429="","",'Оперативный ввод'!C429)</f>
        <v/>
      </c>
      <c r="D429" s="270">
        <f>IF('Оперативный ввод'!D429="","",'Оперативный ввод'!D429)</f>
        <v/>
      </c>
      <c r="E429" s="271">
        <f>IF(OR(C429="",D429=""),"",D429-C429)</f>
        <v/>
      </c>
      <c r="F429" s="172">
        <f>IF('Оперативный ввод'!F429="","",'Оперативный ввод'!F429)</f>
        <v/>
      </c>
      <c r="G429" s="172">
        <f>IF('Оперативный ввод'!G429="","",'Оперативный ввод'!G429)</f>
        <v/>
      </c>
      <c r="H429" s="172">
        <f>IF('Оперативный ввод'!H429="","",'Оперативный ввод'!H429)</f>
        <v/>
      </c>
      <c r="I429" s="172">
        <f>IF('Оперативный ввод'!I429="","",'Оперативный ввод'!I429)</f>
        <v/>
      </c>
      <c r="J429" s="172">
        <f>IF('Оперативный ввод'!J429="","",'Оперативный ввод'!J429)</f>
        <v/>
      </c>
      <c r="K429" s="172">
        <f>IF('Оперативный ввод'!K429="","",'Оперативный ввод'!K429)</f>
        <v/>
      </c>
      <c r="L429" s="172">
        <f>IF('Оперативный ввод'!L429="","",'Оперативный ввод'!L429)</f>
        <v/>
      </c>
      <c r="M429" s="172">
        <f>IF('Оперативный ввод'!M429="","",'Оперативный ввод'!M429)</f>
        <v/>
      </c>
      <c r="N429" s="172">
        <f>IF('Оперативный ввод'!N429="","",'Оперативный ввод'!N429)</f>
        <v/>
      </c>
      <c r="O429" s="172">
        <f>IF('Оперативный ввод'!O429="","",'Оперативный ввод'!O429)</f>
        <v/>
      </c>
      <c r="P429" s="205">
        <f>IF(AND(A429="",B429=""),"",IF(AND(A429&lt;&gt;"",B429&lt;&gt;"",C429&lt;&gt;"",D429&lt;&gt;"",F429&lt;&gt;"",G429&lt;&gt;"",H429&lt;&gt;"",ISERROR(SEARCH("по паспорту",G429)),ISERROR(SEARCH("по паспорту",H429)),I429&lt;&gt;"",J429&lt;&gt;"",K429&lt;&gt;"",L429&lt;&gt;"",M429&lt;&gt;""),"ГОТОВО","НЕ ГОТОВО"))</f>
        <v/>
      </c>
      <c r="Q429" s="205">
        <f>IF(P429&lt;&gt;"ГОТОВО","", "Предварительное заключение: "&amp;A429&amp;", скв. "&amp;B429&amp;". МРП: "&amp;E429&amp;" сут. ГНО: "&amp;F429&amp;", типоразмер "&amp;G429&amp;", марка "&amp;H429&amp;". Событие: "&amp;I429&amp;". Признак: "&amp;J429&amp;". Узел: "&amp;K429&amp;". Предварительная причина: "&amp;L429&amp;". Основное осложнение: "&amp;M429&amp;IF(N429&lt;&gt;"","; сопутствующее: "&amp;N429,"")&amp;IF(O429&lt;&gt;"","; дополнительно: "&amp;O429,"")&amp;".")</f>
        <v/>
      </c>
      <c r="R429" s="172">
        <f>IF('Оперативный ввод'!P429="","",'Оперативный ввод'!P429)</f>
        <v/>
      </c>
      <c r="S429" s="172">
        <f>IF('Оперативный ввод'!Q429="","",'Оперативный ввод'!Q429)</f>
        <v/>
      </c>
      <c r="T429" s="172">
        <f>IF('Оперативный ввод'!R429="","",'Оперативный ввод'!R429)</f>
        <v/>
      </c>
      <c r="U429" s="172">
        <f>IF('Оперативный ввод'!S429="","",'Оперативный ввод'!S429)</f>
        <v/>
      </c>
      <c r="V429" s="172">
        <f>IF('Оперативный ввод'!T429="","",'Оперативный ввод'!T429)</f>
        <v/>
      </c>
      <c r="W429" s="172" t="n"/>
      <c r="X429" s="172" t="n"/>
      <c r="Y429" s="172" t="n"/>
      <c r="Z429" s="172" t="n"/>
      <c r="AA429" s="172">
        <f>IF('Оперативный ввод'!U429="","",'Оперативный ввод'!U429)</f>
        <v/>
      </c>
      <c r="AB429" s="172">
        <f>IF('Оперативный ввод'!V429="","",'Оперативный ввод'!V429)</f>
        <v/>
      </c>
      <c r="AC429" s="172">
        <f>IF('Оперативный ввод'!W429="","",'Оперативный ввод'!W429)</f>
        <v/>
      </c>
      <c r="BB429" s="172" t="n"/>
      <c r="BC429" s="172" t="n"/>
      <c r="BD429" s="205">
        <f>IF(AND(A429="",B429=""),"",IF(AND(P429="ГОТОВО",R429&lt;&gt;"",T429&lt;&gt;"",U429&lt;&gt;"",AA429&lt;&gt;"",AB429&lt;&gt;"",AC429&lt;&gt;"",BB429&lt;&gt;"",BC429&lt;&gt;""),"ГОТОВО","НЕ ГОТОВО"))</f>
        <v/>
      </c>
      <c r="BE429" s="205">
        <f>IF(BD429&lt;&gt;"ГОТОВО","","Полное заключение: "&amp;A429&amp;", скв. "&amp;B429&amp;". МРП: "&amp;E429&amp;" сут. ГНО: "&amp;F429&amp;"; причина: "&amp;U429&amp;"; категория: "&amp;V429&amp;"; решение комиссии: "&amp;BB429&amp;".")</f>
        <v/>
      </c>
      <c r="BF429" s="173">
        <f>IF('Оперативный ввод'!X429="","",'Оперативный ввод'!X429)</f>
        <v/>
      </c>
    </row>
    <row r="430">
      <c r="A430" s="171">
        <f>IF('Оперативный ввод'!A430="","",'Оперативный ввод'!A430)</f>
        <v/>
      </c>
      <c r="B430" s="172">
        <f>IF('Оперативный ввод'!B430="","",'Оперативный ввод'!B430)</f>
        <v/>
      </c>
      <c r="C430" s="270">
        <f>IF('Оперативный ввод'!C430="","",'Оперативный ввод'!C430)</f>
        <v/>
      </c>
      <c r="D430" s="270">
        <f>IF('Оперативный ввод'!D430="","",'Оперативный ввод'!D430)</f>
        <v/>
      </c>
      <c r="E430" s="271">
        <f>IF(OR(C430="",D430=""),"",D430-C430)</f>
        <v/>
      </c>
      <c r="F430" s="172">
        <f>IF('Оперативный ввод'!F430="","",'Оперативный ввод'!F430)</f>
        <v/>
      </c>
      <c r="G430" s="172">
        <f>IF('Оперативный ввод'!G430="","",'Оперативный ввод'!G430)</f>
        <v/>
      </c>
      <c r="H430" s="172">
        <f>IF('Оперативный ввод'!H430="","",'Оперативный ввод'!H430)</f>
        <v/>
      </c>
      <c r="I430" s="172">
        <f>IF('Оперативный ввод'!I430="","",'Оперативный ввод'!I430)</f>
        <v/>
      </c>
      <c r="J430" s="172">
        <f>IF('Оперативный ввод'!J430="","",'Оперативный ввод'!J430)</f>
        <v/>
      </c>
      <c r="K430" s="172">
        <f>IF('Оперативный ввод'!K430="","",'Оперативный ввод'!K430)</f>
        <v/>
      </c>
      <c r="L430" s="172">
        <f>IF('Оперативный ввод'!L430="","",'Оперативный ввод'!L430)</f>
        <v/>
      </c>
      <c r="M430" s="172">
        <f>IF('Оперативный ввод'!M430="","",'Оперативный ввод'!M430)</f>
        <v/>
      </c>
      <c r="N430" s="172">
        <f>IF('Оперативный ввод'!N430="","",'Оперативный ввод'!N430)</f>
        <v/>
      </c>
      <c r="O430" s="172">
        <f>IF('Оперативный ввод'!O430="","",'Оперативный ввод'!O430)</f>
        <v/>
      </c>
      <c r="P430" s="205">
        <f>IF(AND(A430="",B430=""),"",IF(AND(A430&lt;&gt;"",B430&lt;&gt;"",C430&lt;&gt;"",D430&lt;&gt;"",F430&lt;&gt;"",G430&lt;&gt;"",H430&lt;&gt;"",ISERROR(SEARCH("по паспорту",G430)),ISERROR(SEARCH("по паспорту",H430)),I430&lt;&gt;"",J430&lt;&gt;"",K430&lt;&gt;"",L430&lt;&gt;"",M430&lt;&gt;""),"ГОТОВО","НЕ ГОТОВО"))</f>
        <v/>
      </c>
      <c r="Q430" s="205">
        <f>IF(P430&lt;&gt;"ГОТОВО","", "Предварительное заключение: "&amp;A430&amp;", скв. "&amp;B430&amp;". МРП: "&amp;E430&amp;" сут. ГНО: "&amp;F430&amp;", типоразмер "&amp;G430&amp;", марка "&amp;H430&amp;". Событие: "&amp;I430&amp;". Признак: "&amp;J430&amp;". Узел: "&amp;K430&amp;". Предварительная причина: "&amp;L430&amp;". Основное осложнение: "&amp;M430&amp;IF(N430&lt;&gt;"","; сопутствующее: "&amp;N430,"")&amp;IF(O430&lt;&gt;"","; дополнительно: "&amp;O430,"")&amp;".")</f>
        <v/>
      </c>
      <c r="R430" s="172">
        <f>IF('Оперативный ввод'!P430="","",'Оперативный ввод'!P430)</f>
        <v/>
      </c>
      <c r="S430" s="172">
        <f>IF('Оперативный ввод'!Q430="","",'Оперативный ввод'!Q430)</f>
        <v/>
      </c>
      <c r="T430" s="172">
        <f>IF('Оперативный ввод'!R430="","",'Оперативный ввод'!R430)</f>
        <v/>
      </c>
      <c r="U430" s="172">
        <f>IF('Оперативный ввод'!S430="","",'Оперативный ввод'!S430)</f>
        <v/>
      </c>
      <c r="V430" s="172">
        <f>IF('Оперативный ввод'!T430="","",'Оперативный ввод'!T430)</f>
        <v/>
      </c>
      <c r="W430" s="172" t="n"/>
      <c r="X430" s="172" t="n"/>
      <c r="Y430" s="172" t="n"/>
      <c r="Z430" s="172" t="n"/>
      <c r="AA430" s="172">
        <f>IF('Оперативный ввод'!U430="","",'Оперативный ввод'!U430)</f>
        <v/>
      </c>
      <c r="AB430" s="172">
        <f>IF('Оперативный ввод'!V430="","",'Оперативный ввод'!V430)</f>
        <v/>
      </c>
      <c r="AC430" s="172">
        <f>IF('Оперативный ввод'!W430="","",'Оперативный ввод'!W430)</f>
        <v/>
      </c>
      <c r="BB430" s="172" t="n"/>
      <c r="BC430" s="172" t="n"/>
      <c r="BD430" s="205">
        <f>IF(AND(A430="",B430=""),"",IF(AND(P430="ГОТОВО",R430&lt;&gt;"",T430&lt;&gt;"",U430&lt;&gt;"",AA430&lt;&gt;"",AB430&lt;&gt;"",AC430&lt;&gt;"",BB430&lt;&gt;"",BC430&lt;&gt;""),"ГОТОВО","НЕ ГОТОВО"))</f>
        <v/>
      </c>
      <c r="BE430" s="205">
        <f>IF(BD430&lt;&gt;"ГОТОВО","","Полное заключение: "&amp;A430&amp;", скв. "&amp;B430&amp;". МРП: "&amp;E430&amp;" сут. ГНО: "&amp;F430&amp;"; причина: "&amp;U430&amp;"; категория: "&amp;V430&amp;"; решение комиссии: "&amp;BB430&amp;".")</f>
        <v/>
      </c>
      <c r="BF430" s="173">
        <f>IF('Оперативный ввод'!X430="","",'Оперативный ввод'!X430)</f>
        <v/>
      </c>
    </row>
    <row r="431">
      <c r="A431" s="171">
        <f>IF('Оперативный ввод'!A431="","",'Оперативный ввод'!A431)</f>
        <v/>
      </c>
      <c r="B431" s="172">
        <f>IF('Оперативный ввод'!B431="","",'Оперативный ввод'!B431)</f>
        <v/>
      </c>
      <c r="C431" s="270">
        <f>IF('Оперативный ввод'!C431="","",'Оперативный ввод'!C431)</f>
        <v/>
      </c>
      <c r="D431" s="270">
        <f>IF('Оперативный ввод'!D431="","",'Оперативный ввод'!D431)</f>
        <v/>
      </c>
      <c r="E431" s="271">
        <f>IF(OR(C431="",D431=""),"",D431-C431)</f>
        <v/>
      </c>
      <c r="F431" s="172">
        <f>IF('Оперативный ввод'!F431="","",'Оперативный ввод'!F431)</f>
        <v/>
      </c>
      <c r="G431" s="172">
        <f>IF('Оперативный ввод'!G431="","",'Оперативный ввод'!G431)</f>
        <v/>
      </c>
      <c r="H431" s="172">
        <f>IF('Оперативный ввод'!H431="","",'Оперативный ввод'!H431)</f>
        <v/>
      </c>
      <c r="I431" s="172">
        <f>IF('Оперативный ввод'!I431="","",'Оперативный ввод'!I431)</f>
        <v/>
      </c>
      <c r="J431" s="172">
        <f>IF('Оперативный ввод'!J431="","",'Оперативный ввод'!J431)</f>
        <v/>
      </c>
      <c r="K431" s="172">
        <f>IF('Оперативный ввод'!K431="","",'Оперативный ввод'!K431)</f>
        <v/>
      </c>
      <c r="L431" s="172">
        <f>IF('Оперативный ввод'!L431="","",'Оперативный ввод'!L431)</f>
        <v/>
      </c>
      <c r="M431" s="172">
        <f>IF('Оперативный ввод'!M431="","",'Оперативный ввод'!M431)</f>
        <v/>
      </c>
      <c r="N431" s="172">
        <f>IF('Оперативный ввод'!N431="","",'Оперативный ввод'!N431)</f>
        <v/>
      </c>
      <c r="O431" s="172">
        <f>IF('Оперативный ввод'!O431="","",'Оперативный ввод'!O431)</f>
        <v/>
      </c>
      <c r="P431" s="205">
        <f>IF(AND(A431="",B431=""),"",IF(AND(A431&lt;&gt;"",B431&lt;&gt;"",C431&lt;&gt;"",D431&lt;&gt;"",F431&lt;&gt;"",G431&lt;&gt;"",H431&lt;&gt;"",ISERROR(SEARCH("по паспорту",G431)),ISERROR(SEARCH("по паспорту",H431)),I431&lt;&gt;"",J431&lt;&gt;"",K431&lt;&gt;"",L431&lt;&gt;"",M431&lt;&gt;""),"ГОТОВО","НЕ ГОТОВО"))</f>
        <v/>
      </c>
      <c r="Q431" s="205">
        <f>IF(P431&lt;&gt;"ГОТОВО","", "Предварительное заключение: "&amp;A431&amp;", скв. "&amp;B431&amp;". МРП: "&amp;E431&amp;" сут. ГНО: "&amp;F431&amp;", типоразмер "&amp;G431&amp;", марка "&amp;H431&amp;". Событие: "&amp;I431&amp;". Признак: "&amp;J431&amp;". Узел: "&amp;K431&amp;". Предварительная причина: "&amp;L431&amp;". Основное осложнение: "&amp;M431&amp;IF(N431&lt;&gt;"","; сопутствующее: "&amp;N431,"")&amp;IF(O431&lt;&gt;"","; дополнительно: "&amp;O431,"")&amp;".")</f>
        <v/>
      </c>
      <c r="R431" s="172">
        <f>IF('Оперативный ввод'!P431="","",'Оперативный ввод'!P431)</f>
        <v/>
      </c>
      <c r="S431" s="172">
        <f>IF('Оперативный ввод'!Q431="","",'Оперативный ввод'!Q431)</f>
        <v/>
      </c>
      <c r="T431" s="172">
        <f>IF('Оперативный ввод'!R431="","",'Оперативный ввод'!R431)</f>
        <v/>
      </c>
      <c r="U431" s="172">
        <f>IF('Оперативный ввод'!S431="","",'Оперативный ввод'!S431)</f>
        <v/>
      </c>
      <c r="V431" s="172">
        <f>IF('Оперативный ввод'!T431="","",'Оперативный ввод'!T431)</f>
        <v/>
      </c>
      <c r="W431" s="172" t="n"/>
      <c r="X431" s="172" t="n"/>
      <c r="Y431" s="172" t="n"/>
      <c r="Z431" s="172" t="n"/>
      <c r="AA431" s="172">
        <f>IF('Оперативный ввод'!U431="","",'Оперативный ввод'!U431)</f>
        <v/>
      </c>
      <c r="AB431" s="172">
        <f>IF('Оперативный ввод'!V431="","",'Оперативный ввод'!V431)</f>
        <v/>
      </c>
      <c r="AC431" s="172">
        <f>IF('Оперативный ввод'!W431="","",'Оперативный ввод'!W431)</f>
        <v/>
      </c>
      <c r="BB431" s="172" t="n"/>
      <c r="BC431" s="172" t="n"/>
      <c r="BD431" s="205">
        <f>IF(AND(A431="",B431=""),"",IF(AND(P431="ГОТОВО",R431&lt;&gt;"",T431&lt;&gt;"",U431&lt;&gt;"",AA431&lt;&gt;"",AB431&lt;&gt;"",AC431&lt;&gt;"",BB431&lt;&gt;"",BC431&lt;&gt;""),"ГОТОВО","НЕ ГОТОВО"))</f>
        <v/>
      </c>
      <c r="BE431" s="205">
        <f>IF(BD431&lt;&gt;"ГОТОВО","","Полное заключение: "&amp;A431&amp;", скв. "&amp;B431&amp;". МРП: "&amp;E431&amp;" сут. ГНО: "&amp;F431&amp;"; причина: "&amp;U431&amp;"; категория: "&amp;V431&amp;"; решение комиссии: "&amp;BB431&amp;".")</f>
        <v/>
      </c>
      <c r="BF431" s="173">
        <f>IF('Оперативный ввод'!X431="","",'Оперативный ввод'!X431)</f>
        <v/>
      </c>
    </row>
    <row r="432">
      <c r="A432" s="171">
        <f>IF('Оперативный ввод'!A432="","",'Оперативный ввод'!A432)</f>
        <v/>
      </c>
      <c r="B432" s="172">
        <f>IF('Оперативный ввод'!B432="","",'Оперативный ввод'!B432)</f>
        <v/>
      </c>
      <c r="C432" s="270">
        <f>IF('Оперативный ввод'!C432="","",'Оперативный ввод'!C432)</f>
        <v/>
      </c>
      <c r="D432" s="270">
        <f>IF('Оперативный ввод'!D432="","",'Оперативный ввод'!D432)</f>
        <v/>
      </c>
      <c r="E432" s="271">
        <f>IF(OR(C432="",D432=""),"",D432-C432)</f>
        <v/>
      </c>
      <c r="F432" s="172">
        <f>IF('Оперативный ввод'!F432="","",'Оперативный ввод'!F432)</f>
        <v/>
      </c>
      <c r="G432" s="172">
        <f>IF('Оперативный ввод'!G432="","",'Оперативный ввод'!G432)</f>
        <v/>
      </c>
      <c r="H432" s="172">
        <f>IF('Оперативный ввод'!H432="","",'Оперативный ввод'!H432)</f>
        <v/>
      </c>
      <c r="I432" s="172">
        <f>IF('Оперативный ввод'!I432="","",'Оперативный ввод'!I432)</f>
        <v/>
      </c>
      <c r="J432" s="172">
        <f>IF('Оперативный ввод'!J432="","",'Оперативный ввод'!J432)</f>
        <v/>
      </c>
      <c r="K432" s="172">
        <f>IF('Оперативный ввод'!K432="","",'Оперативный ввод'!K432)</f>
        <v/>
      </c>
      <c r="L432" s="172">
        <f>IF('Оперативный ввод'!L432="","",'Оперативный ввод'!L432)</f>
        <v/>
      </c>
      <c r="M432" s="172">
        <f>IF('Оперативный ввод'!M432="","",'Оперативный ввод'!M432)</f>
        <v/>
      </c>
      <c r="N432" s="172">
        <f>IF('Оперативный ввод'!N432="","",'Оперативный ввод'!N432)</f>
        <v/>
      </c>
      <c r="O432" s="172">
        <f>IF('Оперативный ввод'!O432="","",'Оперативный ввод'!O432)</f>
        <v/>
      </c>
      <c r="P432" s="205">
        <f>IF(AND(A432="",B432=""),"",IF(AND(A432&lt;&gt;"",B432&lt;&gt;"",C432&lt;&gt;"",D432&lt;&gt;"",F432&lt;&gt;"",G432&lt;&gt;"",H432&lt;&gt;"",ISERROR(SEARCH("по паспорту",G432)),ISERROR(SEARCH("по паспорту",H432)),I432&lt;&gt;"",J432&lt;&gt;"",K432&lt;&gt;"",L432&lt;&gt;"",M432&lt;&gt;""),"ГОТОВО","НЕ ГОТОВО"))</f>
        <v/>
      </c>
      <c r="Q432" s="205">
        <f>IF(P432&lt;&gt;"ГОТОВО","", "Предварительное заключение: "&amp;A432&amp;", скв. "&amp;B432&amp;". МРП: "&amp;E432&amp;" сут. ГНО: "&amp;F432&amp;", типоразмер "&amp;G432&amp;", марка "&amp;H432&amp;". Событие: "&amp;I432&amp;". Признак: "&amp;J432&amp;". Узел: "&amp;K432&amp;". Предварительная причина: "&amp;L432&amp;". Основное осложнение: "&amp;M432&amp;IF(N432&lt;&gt;"","; сопутствующее: "&amp;N432,"")&amp;IF(O432&lt;&gt;"","; дополнительно: "&amp;O432,"")&amp;".")</f>
        <v/>
      </c>
      <c r="R432" s="172">
        <f>IF('Оперативный ввод'!P432="","",'Оперативный ввод'!P432)</f>
        <v/>
      </c>
      <c r="S432" s="172">
        <f>IF('Оперативный ввод'!Q432="","",'Оперативный ввод'!Q432)</f>
        <v/>
      </c>
      <c r="T432" s="172">
        <f>IF('Оперативный ввод'!R432="","",'Оперативный ввод'!R432)</f>
        <v/>
      </c>
      <c r="U432" s="172">
        <f>IF('Оперативный ввод'!S432="","",'Оперативный ввод'!S432)</f>
        <v/>
      </c>
      <c r="V432" s="172">
        <f>IF('Оперативный ввод'!T432="","",'Оперативный ввод'!T432)</f>
        <v/>
      </c>
      <c r="W432" s="172" t="n"/>
      <c r="X432" s="172" t="n"/>
      <c r="Y432" s="172" t="n"/>
      <c r="Z432" s="172" t="n"/>
      <c r="AA432" s="172">
        <f>IF('Оперативный ввод'!U432="","",'Оперативный ввод'!U432)</f>
        <v/>
      </c>
      <c r="AB432" s="172">
        <f>IF('Оперативный ввод'!V432="","",'Оперативный ввод'!V432)</f>
        <v/>
      </c>
      <c r="AC432" s="172">
        <f>IF('Оперативный ввод'!W432="","",'Оперативный ввод'!W432)</f>
        <v/>
      </c>
      <c r="BB432" s="172" t="n"/>
      <c r="BC432" s="172" t="n"/>
      <c r="BD432" s="205">
        <f>IF(AND(A432="",B432=""),"",IF(AND(P432="ГОТОВО",R432&lt;&gt;"",T432&lt;&gt;"",U432&lt;&gt;"",AA432&lt;&gt;"",AB432&lt;&gt;"",AC432&lt;&gt;"",BB432&lt;&gt;"",BC432&lt;&gt;""),"ГОТОВО","НЕ ГОТОВО"))</f>
        <v/>
      </c>
      <c r="BE432" s="205">
        <f>IF(BD432&lt;&gt;"ГОТОВО","","Полное заключение: "&amp;A432&amp;", скв. "&amp;B432&amp;". МРП: "&amp;E432&amp;" сут. ГНО: "&amp;F432&amp;"; причина: "&amp;U432&amp;"; категория: "&amp;V432&amp;"; решение комиссии: "&amp;BB432&amp;".")</f>
        <v/>
      </c>
      <c r="BF432" s="173">
        <f>IF('Оперативный ввод'!X432="","",'Оперативный ввод'!X432)</f>
        <v/>
      </c>
    </row>
    <row r="433">
      <c r="A433" s="171">
        <f>IF('Оперативный ввод'!A433="","",'Оперативный ввод'!A433)</f>
        <v/>
      </c>
      <c r="B433" s="172">
        <f>IF('Оперативный ввод'!B433="","",'Оперативный ввод'!B433)</f>
        <v/>
      </c>
      <c r="C433" s="270">
        <f>IF('Оперативный ввод'!C433="","",'Оперативный ввод'!C433)</f>
        <v/>
      </c>
      <c r="D433" s="270">
        <f>IF('Оперативный ввод'!D433="","",'Оперативный ввод'!D433)</f>
        <v/>
      </c>
      <c r="E433" s="271">
        <f>IF(OR(C433="",D433=""),"",D433-C433)</f>
        <v/>
      </c>
      <c r="F433" s="172">
        <f>IF('Оперативный ввод'!F433="","",'Оперативный ввод'!F433)</f>
        <v/>
      </c>
      <c r="G433" s="172">
        <f>IF('Оперативный ввод'!G433="","",'Оперативный ввод'!G433)</f>
        <v/>
      </c>
      <c r="H433" s="172">
        <f>IF('Оперативный ввод'!H433="","",'Оперативный ввод'!H433)</f>
        <v/>
      </c>
      <c r="I433" s="172">
        <f>IF('Оперативный ввод'!I433="","",'Оперативный ввод'!I433)</f>
        <v/>
      </c>
      <c r="J433" s="172">
        <f>IF('Оперативный ввод'!J433="","",'Оперативный ввод'!J433)</f>
        <v/>
      </c>
      <c r="K433" s="172">
        <f>IF('Оперативный ввод'!K433="","",'Оперативный ввод'!K433)</f>
        <v/>
      </c>
      <c r="L433" s="172">
        <f>IF('Оперативный ввод'!L433="","",'Оперативный ввод'!L433)</f>
        <v/>
      </c>
      <c r="M433" s="172">
        <f>IF('Оперативный ввод'!M433="","",'Оперативный ввод'!M433)</f>
        <v/>
      </c>
      <c r="N433" s="172">
        <f>IF('Оперативный ввод'!N433="","",'Оперативный ввод'!N433)</f>
        <v/>
      </c>
      <c r="O433" s="172">
        <f>IF('Оперативный ввод'!O433="","",'Оперативный ввод'!O433)</f>
        <v/>
      </c>
      <c r="P433" s="205">
        <f>IF(AND(A433="",B433=""),"",IF(AND(A433&lt;&gt;"",B433&lt;&gt;"",C433&lt;&gt;"",D433&lt;&gt;"",F433&lt;&gt;"",G433&lt;&gt;"",H433&lt;&gt;"",ISERROR(SEARCH("по паспорту",G433)),ISERROR(SEARCH("по паспорту",H433)),I433&lt;&gt;"",J433&lt;&gt;"",K433&lt;&gt;"",L433&lt;&gt;"",M433&lt;&gt;""),"ГОТОВО","НЕ ГОТОВО"))</f>
        <v/>
      </c>
      <c r="Q433" s="205">
        <f>IF(P433&lt;&gt;"ГОТОВО","", "Предварительное заключение: "&amp;A433&amp;", скв. "&amp;B433&amp;". МРП: "&amp;E433&amp;" сут. ГНО: "&amp;F433&amp;", типоразмер "&amp;G433&amp;", марка "&amp;H433&amp;". Событие: "&amp;I433&amp;". Признак: "&amp;J433&amp;". Узел: "&amp;K433&amp;". Предварительная причина: "&amp;L433&amp;". Основное осложнение: "&amp;M433&amp;IF(N433&lt;&gt;"","; сопутствующее: "&amp;N433,"")&amp;IF(O433&lt;&gt;"","; дополнительно: "&amp;O433,"")&amp;".")</f>
        <v/>
      </c>
      <c r="R433" s="172">
        <f>IF('Оперативный ввод'!P433="","",'Оперативный ввод'!P433)</f>
        <v/>
      </c>
      <c r="S433" s="172">
        <f>IF('Оперативный ввод'!Q433="","",'Оперативный ввод'!Q433)</f>
        <v/>
      </c>
      <c r="T433" s="172">
        <f>IF('Оперативный ввод'!R433="","",'Оперативный ввод'!R433)</f>
        <v/>
      </c>
      <c r="U433" s="172">
        <f>IF('Оперативный ввод'!S433="","",'Оперативный ввод'!S433)</f>
        <v/>
      </c>
      <c r="V433" s="172">
        <f>IF('Оперативный ввод'!T433="","",'Оперативный ввод'!T433)</f>
        <v/>
      </c>
      <c r="W433" s="172" t="n"/>
      <c r="X433" s="172" t="n"/>
      <c r="Y433" s="172" t="n"/>
      <c r="Z433" s="172" t="n"/>
      <c r="AA433" s="172">
        <f>IF('Оперативный ввод'!U433="","",'Оперативный ввод'!U433)</f>
        <v/>
      </c>
      <c r="AB433" s="172">
        <f>IF('Оперативный ввод'!V433="","",'Оперативный ввод'!V433)</f>
        <v/>
      </c>
      <c r="AC433" s="172">
        <f>IF('Оперативный ввод'!W433="","",'Оперативный ввод'!W433)</f>
        <v/>
      </c>
      <c r="BB433" s="172" t="n"/>
      <c r="BC433" s="172" t="n"/>
      <c r="BD433" s="205">
        <f>IF(AND(A433="",B433=""),"",IF(AND(P433="ГОТОВО",R433&lt;&gt;"",T433&lt;&gt;"",U433&lt;&gt;"",AA433&lt;&gt;"",AB433&lt;&gt;"",AC433&lt;&gt;"",BB433&lt;&gt;"",BC433&lt;&gt;""),"ГОТОВО","НЕ ГОТОВО"))</f>
        <v/>
      </c>
      <c r="BE433" s="205">
        <f>IF(BD433&lt;&gt;"ГОТОВО","","Полное заключение: "&amp;A433&amp;", скв. "&amp;B433&amp;". МРП: "&amp;E433&amp;" сут. ГНО: "&amp;F433&amp;"; причина: "&amp;U433&amp;"; категория: "&amp;V433&amp;"; решение комиссии: "&amp;BB433&amp;".")</f>
        <v/>
      </c>
      <c r="BF433" s="173">
        <f>IF('Оперативный ввод'!X433="","",'Оперативный ввод'!X433)</f>
        <v/>
      </c>
    </row>
    <row r="434">
      <c r="A434" s="171">
        <f>IF('Оперативный ввод'!A434="","",'Оперативный ввод'!A434)</f>
        <v/>
      </c>
      <c r="B434" s="172">
        <f>IF('Оперативный ввод'!B434="","",'Оперативный ввод'!B434)</f>
        <v/>
      </c>
      <c r="C434" s="270">
        <f>IF('Оперативный ввод'!C434="","",'Оперативный ввод'!C434)</f>
        <v/>
      </c>
      <c r="D434" s="270">
        <f>IF('Оперативный ввод'!D434="","",'Оперативный ввод'!D434)</f>
        <v/>
      </c>
      <c r="E434" s="271">
        <f>IF(OR(C434="",D434=""),"",D434-C434)</f>
        <v/>
      </c>
      <c r="F434" s="172">
        <f>IF('Оперативный ввод'!F434="","",'Оперативный ввод'!F434)</f>
        <v/>
      </c>
      <c r="G434" s="172">
        <f>IF('Оперативный ввод'!G434="","",'Оперативный ввод'!G434)</f>
        <v/>
      </c>
      <c r="H434" s="172">
        <f>IF('Оперативный ввод'!H434="","",'Оперативный ввод'!H434)</f>
        <v/>
      </c>
      <c r="I434" s="172">
        <f>IF('Оперативный ввод'!I434="","",'Оперативный ввод'!I434)</f>
        <v/>
      </c>
      <c r="J434" s="172">
        <f>IF('Оперативный ввод'!J434="","",'Оперативный ввод'!J434)</f>
        <v/>
      </c>
      <c r="K434" s="172">
        <f>IF('Оперативный ввод'!K434="","",'Оперативный ввод'!K434)</f>
        <v/>
      </c>
      <c r="L434" s="172">
        <f>IF('Оперативный ввод'!L434="","",'Оперативный ввод'!L434)</f>
        <v/>
      </c>
      <c r="M434" s="172">
        <f>IF('Оперативный ввод'!M434="","",'Оперативный ввод'!M434)</f>
        <v/>
      </c>
      <c r="N434" s="172">
        <f>IF('Оперативный ввод'!N434="","",'Оперативный ввод'!N434)</f>
        <v/>
      </c>
      <c r="O434" s="172">
        <f>IF('Оперативный ввод'!O434="","",'Оперативный ввод'!O434)</f>
        <v/>
      </c>
      <c r="P434" s="205">
        <f>IF(AND(A434="",B434=""),"",IF(AND(A434&lt;&gt;"",B434&lt;&gt;"",C434&lt;&gt;"",D434&lt;&gt;"",F434&lt;&gt;"",G434&lt;&gt;"",H434&lt;&gt;"",ISERROR(SEARCH("по паспорту",G434)),ISERROR(SEARCH("по паспорту",H434)),I434&lt;&gt;"",J434&lt;&gt;"",K434&lt;&gt;"",L434&lt;&gt;"",M434&lt;&gt;""),"ГОТОВО","НЕ ГОТОВО"))</f>
        <v/>
      </c>
      <c r="Q434" s="205">
        <f>IF(P434&lt;&gt;"ГОТОВО","", "Предварительное заключение: "&amp;A434&amp;", скв. "&amp;B434&amp;". МРП: "&amp;E434&amp;" сут. ГНО: "&amp;F434&amp;", типоразмер "&amp;G434&amp;", марка "&amp;H434&amp;". Событие: "&amp;I434&amp;". Признак: "&amp;J434&amp;". Узел: "&amp;K434&amp;". Предварительная причина: "&amp;L434&amp;". Основное осложнение: "&amp;M434&amp;IF(N434&lt;&gt;"","; сопутствующее: "&amp;N434,"")&amp;IF(O434&lt;&gt;"","; дополнительно: "&amp;O434,"")&amp;".")</f>
        <v/>
      </c>
      <c r="R434" s="172">
        <f>IF('Оперативный ввод'!P434="","",'Оперативный ввод'!P434)</f>
        <v/>
      </c>
      <c r="S434" s="172">
        <f>IF('Оперативный ввод'!Q434="","",'Оперативный ввод'!Q434)</f>
        <v/>
      </c>
      <c r="T434" s="172">
        <f>IF('Оперативный ввод'!R434="","",'Оперативный ввод'!R434)</f>
        <v/>
      </c>
      <c r="U434" s="172">
        <f>IF('Оперативный ввод'!S434="","",'Оперативный ввод'!S434)</f>
        <v/>
      </c>
      <c r="V434" s="172">
        <f>IF('Оперативный ввод'!T434="","",'Оперативный ввод'!T434)</f>
        <v/>
      </c>
      <c r="W434" s="172" t="n"/>
      <c r="X434" s="172" t="n"/>
      <c r="Y434" s="172" t="n"/>
      <c r="Z434" s="172" t="n"/>
      <c r="AA434" s="172">
        <f>IF('Оперативный ввод'!U434="","",'Оперативный ввод'!U434)</f>
        <v/>
      </c>
      <c r="AB434" s="172">
        <f>IF('Оперативный ввод'!V434="","",'Оперативный ввод'!V434)</f>
        <v/>
      </c>
      <c r="AC434" s="172">
        <f>IF('Оперативный ввод'!W434="","",'Оперативный ввод'!W434)</f>
        <v/>
      </c>
      <c r="BB434" s="172" t="n"/>
      <c r="BC434" s="172" t="n"/>
      <c r="BD434" s="205">
        <f>IF(AND(A434="",B434=""),"",IF(AND(P434="ГОТОВО",R434&lt;&gt;"",T434&lt;&gt;"",U434&lt;&gt;"",AA434&lt;&gt;"",AB434&lt;&gt;"",AC434&lt;&gt;"",BB434&lt;&gt;"",BC434&lt;&gt;""),"ГОТОВО","НЕ ГОТОВО"))</f>
        <v/>
      </c>
      <c r="BE434" s="205">
        <f>IF(BD434&lt;&gt;"ГОТОВО","","Полное заключение: "&amp;A434&amp;", скв. "&amp;B434&amp;". МРП: "&amp;E434&amp;" сут. ГНО: "&amp;F434&amp;"; причина: "&amp;U434&amp;"; категория: "&amp;V434&amp;"; решение комиссии: "&amp;BB434&amp;".")</f>
        <v/>
      </c>
      <c r="BF434" s="173">
        <f>IF('Оперативный ввод'!X434="","",'Оперативный ввод'!X434)</f>
        <v/>
      </c>
    </row>
    <row r="435">
      <c r="A435" s="171">
        <f>IF('Оперативный ввод'!A435="","",'Оперативный ввод'!A435)</f>
        <v/>
      </c>
      <c r="B435" s="172">
        <f>IF('Оперативный ввод'!B435="","",'Оперативный ввод'!B435)</f>
        <v/>
      </c>
      <c r="C435" s="270">
        <f>IF('Оперативный ввод'!C435="","",'Оперативный ввод'!C435)</f>
        <v/>
      </c>
      <c r="D435" s="270">
        <f>IF('Оперативный ввод'!D435="","",'Оперативный ввод'!D435)</f>
        <v/>
      </c>
      <c r="E435" s="271">
        <f>IF(OR(C435="",D435=""),"",D435-C435)</f>
        <v/>
      </c>
      <c r="F435" s="172">
        <f>IF('Оперативный ввод'!F435="","",'Оперативный ввод'!F435)</f>
        <v/>
      </c>
      <c r="G435" s="172">
        <f>IF('Оперативный ввод'!G435="","",'Оперативный ввод'!G435)</f>
        <v/>
      </c>
      <c r="H435" s="172">
        <f>IF('Оперативный ввод'!H435="","",'Оперативный ввод'!H435)</f>
        <v/>
      </c>
      <c r="I435" s="172">
        <f>IF('Оперативный ввод'!I435="","",'Оперативный ввод'!I435)</f>
        <v/>
      </c>
      <c r="J435" s="172">
        <f>IF('Оперативный ввод'!J435="","",'Оперативный ввод'!J435)</f>
        <v/>
      </c>
      <c r="K435" s="172">
        <f>IF('Оперативный ввод'!K435="","",'Оперативный ввод'!K435)</f>
        <v/>
      </c>
      <c r="L435" s="172">
        <f>IF('Оперативный ввод'!L435="","",'Оперативный ввод'!L435)</f>
        <v/>
      </c>
      <c r="M435" s="172">
        <f>IF('Оперативный ввод'!M435="","",'Оперативный ввод'!M435)</f>
        <v/>
      </c>
      <c r="N435" s="172">
        <f>IF('Оперативный ввод'!N435="","",'Оперативный ввод'!N435)</f>
        <v/>
      </c>
      <c r="O435" s="172">
        <f>IF('Оперативный ввод'!O435="","",'Оперативный ввод'!O435)</f>
        <v/>
      </c>
      <c r="P435" s="205">
        <f>IF(AND(A435="",B435=""),"",IF(AND(A435&lt;&gt;"",B435&lt;&gt;"",C435&lt;&gt;"",D435&lt;&gt;"",F435&lt;&gt;"",G435&lt;&gt;"",H435&lt;&gt;"",ISERROR(SEARCH("по паспорту",G435)),ISERROR(SEARCH("по паспорту",H435)),I435&lt;&gt;"",J435&lt;&gt;"",K435&lt;&gt;"",L435&lt;&gt;"",M435&lt;&gt;""),"ГОТОВО","НЕ ГОТОВО"))</f>
        <v/>
      </c>
      <c r="Q435" s="205">
        <f>IF(P435&lt;&gt;"ГОТОВО","", "Предварительное заключение: "&amp;A435&amp;", скв. "&amp;B435&amp;". МРП: "&amp;E435&amp;" сут. ГНО: "&amp;F435&amp;", типоразмер "&amp;G435&amp;", марка "&amp;H435&amp;". Событие: "&amp;I435&amp;". Признак: "&amp;J435&amp;". Узел: "&amp;K435&amp;". Предварительная причина: "&amp;L435&amp;". Основное осложнение: "&amp;M435&amp;IF(N435&lt;&gt;"","; сопутствующее: "&amp;N435,"")&amp;IF(O435&lt;&gt;"","; дополнительно: "&amp;O435,"")&amp;".")</f>
        <v/>
      </c>
      <c r="R435" s="172">
        <f>IF('Оперативный ввод'!P435="","",'Оперативный ввод'!P435)</f>
        <v/>
      </c>
      <c r="S435" s="172">
        <f>IF('Оперативный ввод'!Q435="","",'Оперативный ввод'!Q435)</f>
        <v/>
      </c>
      <c r="T435" s="172">
        <f>IF('Оперативный ввод'!R435="","",'Оперативный ввод'!R435)</f>
        <v/>
      </c>
      <c r="U435" s="172">
        <f>IF('Оперативный ввод'!S435="","",'Оперативный ввод'!S435)</f>
        <v/>
      </c>
      <c r="V435" s="172">
        <f>IF('Оперативный ввод'!T435="","",'Оперативный ввод'!T435)</f>
        <v/>
      </c>
      <c r="W435" s="172" t="n"/>
      <c r="X435" s="172" t="n"/>
      <c r="Y435" s="172" t="n"/>
      <c r="Z435" s="172" t="n"/>
      <c r="AA435" s="172">
        <f>IF('Оперативный ввод'!U435="","",'Оперативный ввод'!U435)</f>
        <v/>
      </c>
      <c r="AB435" s="172">
        <f>IF('Оперативный ввод'!V435="","",'Оперативный ввод'!V435)</f>
        <v/>
      </c>
      <c r="AC435" s="172">
        <f>IF('Оперативный ввод'!W435="","",'Оперативный ввод'!W435)</f>
        <v/>
      </c>
      <c r="BB435" s="172" t="n"/>
      <c r="BC435" s="172" t="n"/>
      <c r="BD435" s="205">
        <f>IF(AND(A435="",B435=""),"",IF(AND(P435="ГОТОВО",R435&lt;&gt;"",T435&lt;&gt;"",U435&lt;&gt;"",AA435&lt;&gt;"",AB435&lt;&gt;"",AC435&lt;&gt;"",BB435&lt;&gt;"",BC435&lt;&gt;""),"ГОТОВО","НЕ ГОТОВО"))</f>
        <v/>
      </c>
      <c r="BE435" s="205">
        <f>IF(BD435&lt;&gt;"ГОТОВО","","Полное заключение: "&amp;A435&amp;", скв. "&amp;B435&amp;". МРП: "&amp;E435&amp;" сут. ГНО: "&amp;F435&amp;"; причина: "&amp;U435&amp;"; категория: "&amp;V435&amp;"; решение комиссии: "&amp;BB435&amp;".")</f>
        <v/>
      </c>
      <c r="BF435" s="173">
        <f>IF('Оперативный ввод'!X435="","",'Оперативный ввод'!X435)</f>
        <v/>
      </c>
    </row>
    <row r="436">
      <c r="A436" s="171">
        <f>IF('Оперативный ввод'!A436="","",'Оперативный ввод'!A436)</f>
        <v/>
      </c>
      <c r="B436" s="172">
        <f>IF('Оперативный ввод'!B436="","",'Оперативный ввод'!B436)</f>
        <v/>
      </c>
      <c r="C436" s="270">
        <f>IF('Оперативный ввод'!C436="","",'Оперативный ввод'!C436)</f>
        <v/>
      </c>
      <c r="D436" s="270">
        <f>IF('Оперативный ввод'!D436="","",'Оперативный ввод'!D436)</f>
        <v/>
      </c>
      <c r="E436" s="271">
        <f>IF(OR(C436="",D436=""),"",D436-C436)</f>
        <v/>
      </c>
      <c r="F436" s="172">
        <f>IF('Оперативный ввод'!F436="","",'Оперативный ввод'!F436)</f>
        <v/>
      </c>
      <c r="G436" s="172">
        <f>IF('Оперативный ввод'!G436="","",'Оперативный ввод'!G436)</f>
        <v/>
      </c>
      <c r="H436" s="172">
        <f>IF('Оперативный ввод'!H436="","",'Оперативный ввод'!H436)</f>
        <v/>
      </c>
      <c r="I436" s="172">
        <f>IF('Оперативный ввод'!I436="","",'Оперативный ввод'!I436)</f>
        <v/>
      </c>
      <c r="J436" s="172">
        <f>IF('Оперативный ввод'!J436="","",'Оперативный ввод'!J436)</f>
        <v/>
      </c>
      <c r="K436" s="172">
        <f>IF('Оперативный ввод'!K436="","",'Оперативный ввод'!K436)</f>
        <v/>
      </c>
      <c r="L436" s="172">
        <f>IF('Оперативный ввод'!L436="","",'Оперативный ввод'!L436)</f>
        <v/>
      </c>
      <c r="M436" s="172">
        <f>IF('Оперативный ввод'!M436="","",'Оперативный ввод'!M436)</f>
        <v/>
      </c>
      <c r="N436" s="172">
        <f>IF('Оперативный ввод'!N436="","",'Оперативный ввод'!N436)</f>
        <v/>
      </c>
      <c r="O436" s="172">
        <f>IF('Оперативный ввод'!O436="","",'Оперативный ввод'!O436)</f>
        <v/>
      </c>
      <c r="P436" s="205">
        <f>IF(AND(A436="",B436=""),"",IF(AND(A436&lt;&gt;"",B436&lt;&gt;"",C436&lt;&gt;"",D436&lt;&gt;"",F436&lt;&gt;"",G436&lt;&gt;"",H436&lt;&gt;"",ISERROR(SEARCH("по паспорту",G436)),ISERROR(SEARCH("по паспорту",H436)),I436&lt;&gt;"",J436&lt;&gt;"",K436&lt;&gt;"",L436&lt;&gt;"",M436&lt;&gt;""),"ГОТОВО","НЕ ГОТОВО"))</f>
        <v/>
      </c>
      <c r="Q436" s="205">
        <f>IF(P436&lt;&gt;"ГОТОВО","", "Предварительное заключение: "&amp;A436&amp;", скв. "&amp;B436&amp;". МРП: "&amp;E436&amp;" сут. ГНО: "&amp;F436&amp;", типоразмер "&amp;G436&amp;", марка "&amp;H436&amp;". Событие: "&amp;I436&amp;". Признак: "&amp;J436&amp;". Узел: "&amp;K436&amp;". Предварительная причина: "&amp;L436&amp;". Основное осложнение: "&amp;M436&amp;IF(N436&lt;&gt;"","; сопутствующее: "&amp;N436,"")&amp;IF(O436&lt;&gt;"","; дополнительно: "&amp;O436,"")&amp;".")</f>
        <v/>
      </c>
      <c r="R436" s="172">
        <f>IF('Оперативный ввод'!P436="","",'Оперативный ввод'!P436)</f>
        <v/>
      </c>
      <c r="S436" s="172">
        <f>IF('Оперативный ввод'!Q436="","",'Оперативный ввод'!Q436)</f>
        <v/>
      </c>
      <c r="T436" s="172">
        <f>IF('Оперативный ввод'!R436="","",'Оперативный ввод'!R436)</f>
        <v/>
      </c>
      <c r="U436" s="172">
        <f>IF('Оперативный ввод'!S436="","",'Оперативный ввод'!S436)</f>
        <v/>
      </c>
      <c r="V436" s="172">
        <f>IF('Оперативный ввод'!T436="","",'Оперативный ввод'!T436)</f>
        <v/>
      </c>
      <c r="W436" s="172" t="n"/>
      <c r="X436" s="172" t="n"/>
      <c r="Y436" s="172" t="n"/>
      <c r="Z436" s="172" t="n"/>
      <c r="AA436" s="172">
        <f>IF('Оперативный ввод'!U436="","",'Оперативный ввод'!U436)</f>
        <v/>
      </c>
      <c r="AB436" s="172">
        <f>IF('Оперативный ввод'!V436="","",'Оперативный ввод'!V436)</f>
        <v/>
      </c>
      <c r="AC436" s="172">
        <f>IF('Оперативный ввод'!W436="","",'Оперативный ввод'!W436)</f>
        <v/>
      </c>
      <c r="BB436" s="172" t="n"/>
      <c r="BC436" s="172" t="n"/>
      <c r="BD436" s="205">
        <f>IF(AND(A436="",B436=""),"",IF(AND(P436="ГОТОВО",R436&lt;&gt;"",T436&lt;&gt;"",U436&lt;&gt;"",AA436&lt;&gt;"",AB436&lt;&gt;"",AC436&lt;&gt;"",BB436&lt;&gt;"",BC436&lt;&gt;""),"ГОТОВО","НЕ ГОТОВО"))</f>
        <v/>
      </c>
      <c r="BE436" s="205">
        <f>IF(BD436&lt;&gt;"ГОТОВО","","Полное заключение: "&amp;A436&amp;", скв. "&amp;B436&amp;". МРП: "&amp;E436&amp;" сут. ГНО: "&amp;F436&amp;"; причина: "&amp;U436&amp;"; категория: "&amp;V436&amp;"; решение комиссии: "&amp;BB436&amp;".")</f>
        <v/>
      </c>
      <c r="BF436" s="173">
        <f>IF('Оперативный ввод'!X436="","",'Оперативный ввод'!X436)</f>
        <v/>
      </c>
    </row>
    <row r="437">
      <c r="A437" s="171">
        <f>IF('Оперативный ввод'!A437="","",'Оперативный ввод'!A437)</f>
        <v/>
      </c>
      <c r="B437" s="172">
        <f>IF('Оперативный ввод'!B437="","",'Оперативный ввод'!B437)</f>
        <v/>
      </c>
      <c r="C437" s="270">
        <f>IF('Оперативный ввод'!C437="","",'Оперативный ввод'!C437)</f>
        <v/>
      </c>
      <c r="D437" s="270">
        <f>IF('Оперативный ввод'!D437="","",'Оперативный ввод'!D437)</f>
        <v/>
      </c>
      <c r="E437" s="271">
        <f>IF(OR(C437="",D437=""),"",D437-C437)</f>
        <v/>
      </c>
      <c r="F437" s="172">
        <f>IF('Оперативный ввод'!F437="","",'Оперативный ввод'!F437)</f>
        <v/>
      </c>
      <c r="G437" s="172">
        <f>IF('Оперативный ввод'!G437="","",'Оперативный ввод'!G437)</f>
        <v/>
      </c>
      <c r="H437" s="172">
        <f>IF('Оперативный ввод'!H437="","",'Оперативный ввод'!H437)</f>
        <v/>
      </c>
      <c r="I437" s="172">
        <f>IF('Оперативный ввод'!I437="","",'Оперативный ввод'!I437)</f>
        <v/>
      </c>
      <c r="J437" s="172">
        <f>IF('Оперативный ввод'!J437="","",'Оперативный ввод'!J437)</f>
        <v/>
      </c>
      <c r="K437" s="172">
        <f>IF('Оперативный ввод'!K437="","",'Оперативный ввод'!K437)</f>
        <v/>
      </c>
      <c r="L437" s="172">
        <f>IF('Оперативный ввод'!L437="","",'Оперативный ввод'!L437)</f>
        <v/>
      </c>
      <c r="M437" s="172">
        <f>IF('Оперативный ввод'!M437="","",'Оперативный ввод'!M437)</f>
        <v/>
      </c>
      <c r="N437" s="172">
        <f>IF('Оперативный ввод'!N437="","",'Оперативный ввод'!N437)</f>
        <v/>
      </c>
      <c r="O437" s="172">
        <f>IF('Оперативный ввод'!O437="","",'Оперативный ввод'!O437)</f>
        <v/>
      </c>
      <c r="P437" s="205">
        <f>IF(AND(A437="",B437=""),"",IF(AND(A437&lt;&gt;"",B437&lt;&gt;"",C437&lt;&gt;"",D437&lt;&gt;"",F437&lt;&gt;"",G437&lt;&gt;"",H437&lt;&gt;"",ISERROR(SEARCH("по паспорту",G437)),ISERROR(SEARCH("по паспорту",H437)),I437&lt;&gt;"",J437&lt;&gt;"",K437&lt;&gt;"",L437&lt;&gt;"",M437&lt;&gt;""),"ГОТОВО","НЕ ГОТОВО"))</f>
        <v/>
      </c>
      <c r="Q437" s="205">
        <f>IF(P437&lt;&gt;"ГОТОВО","", "Предварительное заключение: "&amp;A437&amp;", скв. "&amp;B437&amp;". МРП: "&amp;E437&amp;" сут. ГНО: "&amp;F437&amp;", типоразмер "&amp;G437&amp;", марка "&amp;H437&amp;". Событие: "&amp;I437&amp;". Признак: "&amp;J437&amp;". Узел: "&amp;K437&amp;". Предварительная причина: "&amp;L437&amp;". Основное осложнение: "&amp;M437&amp;IF(N437&lt;&gt;"","; сопутствующее: "&amp;N437,"")&amp;IF(O437&lt;&gt;"","; дополнительно: "&amp;O437,"")&amp;".")</f>
        <v/>
      </c>
      <c r="R437" s="172">
        <f>IF('Оперативный ввод'!P437="","",'Оперативный ввод'!P437)</f>
        <v/>
      </c>
      <c r="S437" s="172">
        <f>IF('Оперативный ввод'!Q437="","",'Оперативный ввод'!Q437)</f>
        <v/>
      </c>
      <c r="T437" s="172">
        <f>IF('Оперативный ввод'!R437="","",'Оперативный ввод'!R437)</f>
        <v/>
      </c>
      <c r="U437" s="172">
        <f>IF('Оперативный ввод'!S437="","",'Оперативный ввод'!S437)</f>
        <v/>
      </c>
      <c r="V437" s="172">
        <f>IF('Оперативный ввод'!T437="","",'Оперативный ввод'!T437)</f>
        <v/>
      </c>
      <c r="W437" s="172" t="n"/>
      <c r="X437" s="172" t="n"/>
      <c r="Y437" s="172" t="n"/>
      <c r="Z437" s="172" t="n"/>
      <c r="AA437" s="172">
        <f>IF('Оперативный ввод'!U437="","",'Оперативный ввод'!U437)</f>
        <v/>
      </c>
      <c r="AB437" s="172">
        <f>IF('Оперативный ввод'!V437="","",'Оперативный ввод'!V437)</f>
        <v/>
      </c>
      <c r="AC437" s="172">
        <f>IF('Оперативный ввод'!W437="","",'Оперативный ввод'!W437)</f>
        <v/>
      </c>
      <c r="BB437" s="172" t="n"/>
      <c r="BC437" s="172" t="n"/>
      <c r="BD437" s="205">
        <f>IF(AND(A437="",B437=""),"",IF(AND(P437="ГОТОВО",R437&lt;&gt;"",T437&lt;&gt;"",U437&lt;&gt;"",AA437&lt;&gt;"",AB437&lt;&gt;"",AC437&lt;&gt;"",BB437&lt;&gt;"",BC437&lt;&gt;""),"ГОТОВО","НЕ ГОТОВО"))</f>
        <v/>
      </c>
      <c r="BE437" s="205">
        <f>IF(BD437&lt;&gt;"ГОТОВО","","Полное заключение: "&amp;A437&amp;", скв. "&amp;B437&amp;". МРП: "&amp;E437&amp;" сут. ГНО: "&amp;F437&amp;"; причина: "&amp;U437&amp;"; категория: "&amp;V437&amp;"; решение комиссии: "&amp;BB437&amp;".")</f>
        <v/>
      </c>
      <c r="BF437" s="173">
        <f>IF('Оперативный ввод'!X437="","",'Оперативный ввод'!X437)</f>
        <v/>
      </c>
    </row>
    <row r="438">
      <c r="A438" s="171">
        <f>IF('Оперативный ввод'!A438="","",'Оперативный ввод'!A438)</f>
        <v/>
      </c>
      <c r="B438" s="172">
        <f>IF('Оперативный ввод'!B438="","",'Оперативный ввод'!B438)</f>
        <v/>
      </c>
      <c r="C438" s="270">
        <f>IF('Оперативный ввод'!C438="","",'Оперативный ввод'!C438)</f>
        <v/>
      </c>
      <c r="D438" s="270">
        <f>IF('Оперативный ввод'!D438="","",'Оперативный ввод'!D438)</f>
        <v/>
      </c>
      <c r="E438" s="271">
        <f>IF(OR(C438="",D438=""),"",D438-C438)</f>
        <v/>
      </c>
      <c r="F438" s="172">
        <f>IF('Оперативный ввод'!F438="","",'Оперативный ввод'!F438)</f>
        <v/>
      </c>
      <c r="G438" s="172">
        <f>IF('Оперативный ввод'!G438="","",'Оперативный ввод'!G438)</f>
        <v/>
      </c>
      <c r="H438" s="172">
        <f>IF('Оперативный ввод'!H438="","",'Оперативный ввод'!H438)</f>
        <v/>
      </c>
      <c r="I438" s="172">
        <f>IF('Оперативный ввод'!I438="","",'Оперативный ввод'!I438)</f>
        <v/>
      </c>
      <c r="J438" s="172">
        <f>IF('Оперативный ввод'!J438="","",'Оперативный ввод'!J438)</f>
        <v/>
      </c>
      <c r="K438" s="172">
        <f>IF('Оперативный ввод'!K438="","",'Оперативный ввод'!K438)</f>
        <v/>
      </c>
      <c r="L438" s="172">
        <f>IF('Оперативный ввод'!L438="","",'Оперативный ввод'!L438)</f>
        <v/>
      </c>
      <c r="M438" s="172">
        <f>IF('Оперативный ввод'!M438="","",'Оперативный ввод'!M438)</f>
        <v/>
      </c>
      <c r="N438" s="172">
        <f>IF('Оперативный ввод'!N438="","",'Оперативный ввод'!N438)</f>
        <v/>
      </c>
      <c r="O438" s="172">
        <f>IF('Оперативный ввод'!O438="","",'Оперативный ввод'!O438)</f>
        <v/>
      </c>
      <c r="P438" s="205">
        <f>IF(AND(A438="",B438=""),"",IF(AND(A438&lt;&gt;"",B438&lt;&gt;"",C438&lt;&gt;"",D438&lt;&gt;"",F438&lt;&gt;"",G438&lt;&gt;"",H438&lt;&gt;"",ISERROR(SEARCH("по паспорту",G438)),ISERROR(SEARCH("по паспорту",H438)),I438&lt;&gt;"",J438&lt;&gt;"",K438&lt;&gt;"",L438&lt;&gt;"",M438&lt;&gt;""),"ГОТОВО","НЕ ГОТОВО"))</f>
        <v/>
      </c>
      <c r="Q438" s="205">
        <f>IF(P438&lt;&gt;"ГОТОВО","", "Предварительное заключение: "&amp;A438&amp;", скв. "&amp;B438&amp;". МРП: "&amp;E438&amp;" сут. ГНО: "&amp;F438&amp;", типоразмер "&amp;G438&amp;", марка "&amp;H438&amp;". Событие: "&amp;I438&amp;". Признак: "&amp;J438&amp;". Узел: "&amp;K438&amp;". Предварительная причина: "&amp;L438&amp;". Основное осложнение: "&amp;M438&amp;IF(N438&lt;&gt;"","; сопутствующее: "&amp;N438,"")&amp;IF(O438&lt;&gt;"","; дополнительно: "&amp;O438,"")&amp;".")</f>
        <v/>
      </c>
      <c r="R438" s="172">
        <f>IF('Оперативный ввод'!P438="","",'Оперативный ввод'!P438)</f>
        <v/>
      </c>
      <c r="S438" s="172">
        <f>IF('Оперативный ввод'!Q438="","",'Оперативный ввод'!Q438)</f>
        <v/>
      </c>
      <c r="T438" s="172">
        <f>IF('Оперативный ввод'!R438="","",'Оперативный ввод'!R438)</f>
        <v/>
      </c>
      <c r="U438" s="172">
        <f>IF('Оперативный ввод'!S438="","",'Оперативный ввод'!S438)</f>
        <v/>
      </c>
      <c r="V438" s="172">
        <f>IF('Оперативный ввод'!T438="","",'Оперативный ввод'!T438)</f>
        <v/>
      </c>
      <c r="W438" s="172" t="n"/>
      <c r="X438" s="172" t="n"/>
      <c r="Y438" s="172" t="n"/>
      <c r="Z438" s="172" t="n"/>
      <c r="AA438" s="172">
        <f>IF('Оперативный ввод'!U438="","",'Оперативный ввод'!U438)</f>
        <v/>
      </c>
      <c r="AB438" s="172">
        <f>IF('Оперативный ввод'!V438="","",'Оперативный ввод'!V438)</f>
        <v/>
      </c>
      <c r="AC438" s="172">
        <f>IF('Оперативный ввод'!W438="","",'Оперативный ввод'!W438)</f>
        <v/>
      </c>
      <c r="BB438" s="172" t="n"/>
      <c r="BC438" s="172" t="n"/>
      <c r="BD438" s="205">
        <f>IF(AND(A438="",B438=""),"",IF(AND(P438="ГОТОВО",R438&lt;&gt;"",T438&lt;&gt;"",U438&lt;&gt;"",AA438&lt;&gt;"",AB438&lt;&gt;"",AC438&lt;&gt;"",BB438&lt;&gt;"",BC438&lt;&gt;""),"ГОТОВО","НЕ ГОТОВО"))</f>
        <v/>
      </c>
      <c r="BE438" s="205">
        <f>IF(BD438&lt;&gt;"ГОТОВО","","Полное заключение: "&amp;A438&amp;", скв. "&amp;B438&amp;". МРП: "&amp;E438&amp;" сут. ГНО: "&amp;F438&amp;"; причина: "&amp;U438&amp;"; категория: "&amp;V438&amp;"; решение комиссии: "&amp;BB438&amp;".")</f>
        <v/>
      </c>
      <c r="BF438" s="173">
        <f>IF('Оперативный ввод'!X438="","",'Оперативный ввод'!X438)</f>
        <v/>
      </c>
    </row>
    <row r="439">
      <c r="A439" s="171">
        <f>IF('Оперативный ввод'!A439="","",'Оперативный ввод'!A439)</f>
        <v/>
      </c>
      <c r="B439" s="172">
        <f>IF('Оперативный ввод'!B439="","",'Оперативный ввод'!B439)</f>
        <v/>
      </c>
      <c r="C439" s="270">
        <f>IF('Оперативный ввод'!C439="","",'Оперативный ввод'!C439)</f>
        <v/>
      </c>
      <c r="D439" s="270">
        <f>IF('Оперативный ввод'!D439="","",'Оперативный ввод'!D439)</f>
        <v/>
      </c>
      <c r="E439" s="271">
        <f>IF(OR(C439="",D439=""),"",D439-C439)</f>
        <v/>
      </c>
      <c r="F439" s="172">
        <f>IF('Оперативный ввод'!F439="","",'Оперативный ввод'!F439)</f>
        <v/>
      </c>
      <c r="G439" s="172">
        <f>IF('Оперативный ввод'!G439="","",'Оперативный ввод'!G439)</f>
        <v/>
      </c>
      <c r="H439" s="172">
        <f>IF('Оперативный ввод'!H439="","",'Оперативный ввод'!H439)</f>
        <v/>
      </c>
      <c r="I439" s="172">
        <f>IF('Оперативный ввод'!I439="","",'Оперативный ввод'!I439)</f>
        <v/>
      </c>
      <c r="J439" s="172">
        <f>IF('Оперативный ввод'!J439="","",'Оперативный ввод'!J439)</f>
        <v/>
      </c>
      <c r="K439" s="172">
        <f>IF('Оперативный ввод'!K439="","",'Оперативный ввод'!K439)</f>
        <v/>
      </c>
      <c r="L439" s="172">
        <f>IF('Оперативный ввод'!L439="","",'Оперативный ввод'!L439)</f>
        <v/>
      </c>
      <c r="M439" s="172">
        <f>IF('Оперативный ввод'!M439="","",'Оперативный ввод'!M439)</f>
        <v/>
      </c>
      <c r="N439" s="172">
        <f>IF('Оперативный ввод'!N439="","",'Оперативный ввод'!N439)</f>
        <v/>
      </c>
      <c r="O439" s="172">
        <f>IF('Оперативный ввод'!O439="","",'Оперативный ввод'!O439)</f>
        <v/>
      </c>
      <c r="P439" s="205">
        <f>IF(AND(A439="",B439=""),"",IF(AND(A439&lt;&gt;"",B439&lt;&gt;"",C439&lt;&gt;"",D439&lt;&gt;"",F439&lt;&gt;"",G439&lt;&gt;"",H439&lt;&gt;"",ISERROR(SEARCH("по паспорту",G439)),ISERROR(SEARCH("по паспорту",H439)),I439&lt;&gt;"",J439&lt;&gt;"",K439&lt;&gt;"",L439&lt;&gt;"",M439&lt;&gt;""),"ГОТОВО","НЕ ГОТОВО"))</f>
        <v/>
      </c>
      <c r="Q439" s="205">
        <f>IF(P439&lt;&gt;"ГОТОВО","", "Предварительное заключение: "&amp;A439&amp;", скв. "&amp;B439&amp;". МРП: "&amp;E439&amp;" сут. ГНО: "&amp;F439&amp;", типоразмер "&amp;G439&amp;", марка "&amp;H439&amp;". Событие: "&amp;I439&amp;". Признак: "&amp;J439&amp;". Узел: "&amp;K439&amp;". Предварительная причина: "&amp;L439&amp;". Основное осложнение: "&amp;M439&amp;IF(N439&lt;&gt;"","; сопутствующее: "&amp;N439,"")&amp;IF(O439&lt;&gt;"","; дополнительно: "&amp;O439,"")&amp;".")</f>
        <v/>
      </c>
      <c r="R439" s="172">
        <f>IF('Оперативный ввод'!P439="","",'Оперативный ввод'!P439)</f>
        <v/>
      </c>
      <c r="S439" s="172">
        <f>IF('Оперативный ввод'!Q439="","",'Оперативный ввод'!Q439)</f>
        <v/>
      </c>
      <c r="T439" s="172">
        <f>IF('Оперативный ввод'!R439="","",'Оперативный ввод'!R439)</f>
        <v/>
      </c>
      <c r="U439" s="172">
        <f>IF('Оперативный ввод'!S439="","",'Оперативный ввод'!S439)</f>
        <v/>
      </c>
      <c r="V439" s="172">
        <f>IF('Оперативный ввод'!T439="","",'Оперативный ввод'!T439)</f>
        <v/>
      </c>
      <c r="W439" s="172" t="n"/>
      <c r="X439" s="172" t="n"/>
      <c r="Y439" s="172" t="n"/>
      <c r="Z439" s="172" t="n"/>
      <c r="AA439" s="172">
        <f>IF('Оперативный ввод'!U439="","",'Оперативный ввод'!U439)</f>
        <v/>
      </c>
      <c r="AB439" s="172">
        <f>IF('Оперативный ввод'!V439="","",'Оперативный ввод'!V439)</f>
        <v/>
      </c>
      <c r="AC439" s="172">
        <f>IF('Оперативный ввод'!W439="","",'Оперативный ввод'!W439)</f>
        <v/>
      </c>
      <c r="BB439" s="172" t="n"/>
      <c r="BC439" s="172" t="n"/>
      <c r="BD439" s="205">
        <f>IF(AND(A439="",B439=""),"",IF(AND(P439="ГОТОВО",R439&lt;&gt;"",T439&lt;&gt;"",U439&lt;&gt;"",AA439&lt;&gt;"",AB439&lt;&gt;"",AC439&lt;&gt;"",BB439&lt;&gt;"",BC439&lt;&gt;""),"ГОТОВО","НЕ ГОТОВО"))</f>
        <v/>
      </c>
      <c r="BE439" s="205">
        <f>IF(BD439&lt;&gt;"ГОТОВО","","Полное заключение: "&amp;A439&amp;", скв. "&amp;B439&amp;". МРП: "&amp;E439&amp;" сут. ГНО: "&amp;F439&amp;"; причина: "&amp;U439&amp;"; категория: "&amp;V439&amp;"; решение комиссии: "&amp;BB439&amp;".")</f>
        <v/>
      </c>
      <c r="BF439" s="173">
        <f>IF('Оперативный ввод'!X439="","",'Оперативный ввод'!X439)</f>
        <v/>
      </c>
    </row>
    <row r="440">
      <c r="A440" s="171">
        <f>IF('Оперативный ввод'!A440="","",'Оперативный ввод'!A440)</f>
        <v/>
      </c>
      <c r="B440" s="172">
        <f>IF('Оперативный ввод'!B440="","",'Оперативный ввод'!B440)</f>
        <v/>
      </c>
      <c r="C440" s="270">
        <f>IF('Оперативный ввод'!C440="","",'Оперативный ввод'!C440)</f>
        <v/>
      </c>
      <c r="D440" s="270">
        <f>IF('Оперативный ввод'!D440="","",'Оперативный ввод'!D440)</f>
        <v/>
      </c>
      <c r="E440" s="271">
        <f>IF(OR(C440="",D440=""),"",D440-C440)</f>
        <v/>
      </c>
      <c r="F440" s="172">
        <f>IF('Оперативный ввод'!F440="","",'Оперативный ввод'!F440)</f>
        <v/>
      </c>
      <c r="G440" s="172">
        <f>IF('Оперативный ввод'!G440="","",'Оперативный ввод'!G440)</f>
        <v/>
      </c>
      <c r="H440" s="172">
        <f>IF('Оперативный ввод'!H440="","",'Оперативный ввод'!H440)</f>
        <v/>
      </c>
      <c r="I440" s="172">
        <f>IF('Оперативный ввод'!I440="","",'Оперативный ввод'!I440)</f>
        <v/>
      </c>
      <c r="J440" s="172">
        <f>IF('Оперативный ввод'!J440="","",'Оперативный ввод'!J440)</f>
        <v/>
      </c>
      <c r="K440" s="172">
        <f>IF('Оперативный ввод'!K440="","",'Оперативный ввод'!K440)</f>
        <v/>
      </c>
      <c r="L440" s="172">
        <f>IF('Оперативный ввод'!L440="","",'Оперативный ввод'!L440)</f>
        <v/>
      </c>
      <c r="M440" s="172">
        <f>IF('Оперативный ввод'!M440="","",'Оперативный ввод'!M440)</f>
        <v/>
      </c>
      <c r="N440" s="172">
        <f>IF('Оперативный ввод'!N440="","",'Оперативный ввод'!N440)</f>
        <v/>
      </c>
      <c r="O440" s="172">
        <f>IF('Оперативный ввод'!O440="","",'Оперативный ввод'!O440)</f>
        <v/>
      </c>
      <c r="P440" s="205">
        <f>IF(AND(A440="",B440=""),"",IF(AND(A440&lt;&gt;"",B440&lt;&gt;"",C440&lt;&gt;"",D440&lt;&gt;"",F440&lt;&gt;"",G440&lt;&gt;"",H440&lt;&gt;"",ISERROR(SEARCH("по паспорту",G440)),ISERROR(SEARCH("по паспорту",H440)),I440&lt;&gt;"",J440&lt;&gt;"",K440&lt;&gt;"",L440&lt;&gt;"",M440&lt;&gt;""),"ГОТОВО","НЕ ГОТОВО"))</f>
        <v/>
      </c>
      <c r="Q440" s="205">
        <f>IF(P440&lt;&gt;"ГОТОВО","", "Предварительное заключение: "&amp;A440&amp;", скв. "&amp;B440&amp;". МРП: "&amp;E440&amp;" сут. ГНО: "&amp;F440&amp;", типоразмер "&amp;G440&amp;", марка "&amp;H440&amp;". Событие: "&amp;I440&amp;". Признак: "&amp;J440&amp;". Узел: "&amp;K440&amp;". Предварительная причина: "&amp;L440&amp;". Основное осложнение: "&amp;M440&amp;IF(N440&lt;&gt;"","; сопутствующее: "&amp;N440,"")&amp;IF(O440&lt;&gt;"","; дополнительно: "&amp;O440,"")&amp;".")</f>
        <v/>
      </c>
      <c r="R440" s="172">
        <f>IF('Оперативный ввод'!P440="","",'Оперативный ввод'!P440)</f>
        <v/>
      </c>
      <c r="S440" s="172">
        <f>IF('Оперативный ввод'!Q440="","",'Оперативный ввод'!Q440)</f>
        <v/>
      </c>
      <c r="T440" s="172">
        <f>IF('Оперативный ввод'!R440="","",'Оперативный ввод'!R440)</f>
        <v/>
      </c>
      <c r="U440" s="172">
        <f>IF('Оперативный ввод'!S440="","",'Оперативный ввод'!S440)</f>
        <v/>
      </c>
      <c r="V440" s="172">
        <f>IF('Оперативный ввод'!T440="","",'Оперативный ввод'!T440)</f>
        <v/>
      </c>
      <c r="W440" s="172" t="n"/>
      <c r="X440" s="172" t="n"/>
      <c r="Y440" s="172" t="n"/>
      <c r="Z440" s="172" t="n"/>
      <c r="AA440" s="172">
        <f>IF('Оперативный ввод'!U440="","",'Оперативный ввод'!U440)</f>
        <v/>
      </c>
      <c r="AB440" s="172">
        <f>IF('Оперативный ввод'!V440="","",'Оперативный ввод'!V440)</f>
        <v/>
      </c>
      <c r="AC440" s="172">
        <f>IF('Оперативный ввод'!W440="","",'Оперативный ввод'!W440)</f>
        <v/>
      </c>
      <c r="BB440" s="172" t="n"/>
      <c r="BC440" s="172" t="n"/>
      <c r="BD440" s="205">
        <f>IF(AND(A440="",B440=""),"",IF(AND(P440="ГОТОВО",R440&lt;&gt;"",T440&lt;&gt;"",U440&lt;&gt;"",AA440&lt;&gt;"",AB440&lt;&gt;"",AC440&lt;&gt;"",BB440&lt;&gt;"",BC440&lt;&gt;""),"ГОТОВО","НЕ ГОТОВО"))</f>
        <v/>
      </c>
      <c r="BE440" s="205">
        <f>IF(BD440&lt;&gt;"ГОТОВО","","Полное заключение: "&amp;A440&amp;", скв. "&amp;B440&amp;". МРП: "&amp;E440&amp;" сут. ГНО: "&amp;F440&amp;"; причина: "&amp;U440&amp;"; категория: "&amp;V440&amp;"; решение комиссии: "&amp;BB440&amp;".")</f>
        <v/>
      </c>
      <c r="BF440" s="173">
        <f>IF('Оперативный ввод'!X440="","",'Оперативный ввод'!X440)</f>
        <v/>
      </c>
    </row>
    <row r="441">
      <c r="A441" s="171">
        <f>IF('Оперативный ввод'!A441="","",'Оперативный ввод'!A441)</f>
        <v/>
      </c>
      <c r="B441" s="172">
        <f>IF('Оперативный ввод'!B441="","",'Оперативный ввод'!B441)</f>
        <v/>
      </c>
      <c r="C441" s="270">
        <f>IF('Оперативный ввод'!C441="","",'Оперативный ввод'!C441)</f>
        <v/>
      </c>
      <c r="D441" s="270">
        <f>IF('Оперативный ввод'!D441="","",'Оперативный ввод'!D441)</f>
        <v/>
      </c>
      <c r="E441" s="271">
        <f>IF(OR(C441="",D441=""),"",D441-C441)</f>
        <v/>
      </c>
      <c r="F441" s="172">
        <f>IF('Оперативный ввод'!F441="","",'Оперативный ввод'!F441)</f>
        <v/>
      </c>
      <c r="G441" s="172">
        <f>IF('Оперативный ввод'!G441="","",'Оперативный ввод'!G441)</f>
        <v/>
      </c>
      <c r="H441" s="172">
        <f>IF('Оперативный ввод'!H441="","",'Оперативный ввод'!H441)</f>
        <v/>
      </c>
      <c r="I441" s="172">
        <f>IF('Оперативный ввод'!I441="","",'Оперативный ввод'!I441)</f>
        <v/>
      </c>
      <c r="J441" s="172">
        <f>IF('Оперативный ввод'!J441="","",'Оперативный ввод'!J441)</f>
        <v/>
      </c>
      <c r="K441" s="172">
        <f>IF('Оперативный ввод'!K441="","",'Оперативный ввод'!K441)</f>
        <v/>
      </c>
      <c r="L441" s="172">
        <f>IF('Оперативный ввод'!L441="","",'Оперативный ввод'!L441)</f>
        <v/>
      </c>
      <c r="M441" s="172">
        <f>IF('Оперативный ввод'!M441="","",'Оперативный ввод'!M441)</f>
        <v/>
      </c>
      <c r="N441" s="172">
        <f>IF('Оперативный ввод'!N441="","",'Оперативный ввод'!N441)</f>
        <v/>
      </c>
      <c r="O441" s="172">
        <f>IF('Оперативный ввод'!O441="","",'Оперативный ввод'!O441)</f>
        <v/>
      </c>
      <c r="P441" s="205">
        <f>IF(AND(A441="",B441=""),"",IF(AND(A441&lt;&gt;"",B441&lt;&gt;"",C441&lt;&gt;"",D441&lt;&gt;"",F441&lt;&gt;"",G441&lt;&gt;"",H441&lt;&gt;"",ISERROR(SEARCH("по паспорту",G441)),ISERROR(SEARCH("по паспорту",H441)),I441&lt;&gt;"",J441&lt;&gt;"",K441&lt;&gt;"",L441&lt;&gt;"",M441&lt;&gt;""),"ГОТОВО","НЕ ГОТОВО"))</f>
        <v/>
      </c>
      <c r="Q441" s="205">
        <f>IF(P441&lt;&gt;"ГОТОВО","", "Предварительное заключение: "&amp;A441&amp;", скв. "&amp;B441&amp;". МРП: "&amp;E441&amp;" сут. ГНО: "&amp;F441&amp;", типоразмер "&amp;G441&amp;", марка "&amp;H441&amp;". Событие: "&amp;I441&amp;". Признак: "&amp;J441&amp;". Узел: "&amp;K441&amp;". Предварительная причина: "&amp;L441&amp;". Основное осложнение: "&amp;M441&amp;IF(N441&lt;&gt;"","; сопутствующее: "&amp;N441,"")&amp;IF(O441&lt;&gt;"","; дополнительно: "&amp;O441,"")&amp;".")</f>
        <v/>
      </c>
      <c r="R441" s="172">
        <f>IF('Оперативный ввод'!P441="","",'Оперативный ввод'!P441)</f>
        <v/>
      </c>
      <c r="S441" s="172">
        <f>IF('Оперативный ввод'!Q441="","",'Оперативный ввод'!Q441)</f>
        <v/>
      </c>
      <c r="T441" s="172">
        <f>IF('Оперативный ввод'!R441="","",'Оперативный ввод'!R441)</f>
        <v/>
      </c>
      <c r="U441" s="172">
        <f>IF('Оперативный ввод'!S441="","",'Оперативный ввод'!S441)</f>
        <v/>
      </c>
      <c r="V441" s="172">
        <f>IF('Оперативный ввод'!T441="","",'Оперативный ввод'!T441)</f>
        <v/>
      </c>
      <c r="W441" s="172" t="n"/>
      <c r="X441" s="172" t="n"/>
      <c r="Y441" s="172" t="n"/>
      <c r="Z441" s="172" t="n"/>
      <c r="AA441" s="172">
        <f>IF('Оперативный ввод'!U441="","",'Оперативный ввод'!U441)</f>
        <v/>
      </c>
      <c r="AB441" s="172">
        <f>IF('Оперативный ввод'!V441="","",'Оперативный ввод'!V441)</f>
        <v/>
      </c>
      <c r="AC441" s="172">
        <f>IF('Оперативный ввод'!W441="","",'Оперативный ввод'!W441)</f>
        <v/>
      </c>
      <c r="BB441" s="172" t="n"/>
      <c r="BC441" s="172" t="n"/>
      <c r="BD441" s="205">
        <f>IF(AND(A441="",B441=""),"",IF(AND(P441="ГОТОВО",R441&lt;&gt;"",T441&lt;&gt;"",U441&lt;&gt;"",AA441&lt;&gt;"",AB441&lt;&gt;"",AC441&lt;&gt;"",BB441&lt;&gt;"",BC441&lt;&gt;""),"ГОТОВО","НЕ ГОТОВО"))</f>
        <v/>
      </c>
      <c r="BE441" s="205">
        <f>IF(BD441&lt;&gt;"ГОТОВО","","Полное заключение: "&amp;A441&amp;", скв. "&amp;B441&amp;". МРП: "&amp;E441&amp;" сут. ГНО: "&amp;F441&amp;"; причина: "&amp;U441&amp;"; категория: "&amp;V441&amp;"; решение комиссии: "&amp;BB441&amp;".")</f>
        <v/>
      </c>
      <c r="BF441" s="173">
        <f>IF('Оперативный ввод'!X441="","",'Оперативный ввод'!X441)</f>
        <v/>
      </c>
    </row>
    <row r="442">
      <c r="A442" s="171">
        <f>IF('Оперативный ввод'!A442="","",'Оперативный ввод'!A442)</f>
        <v/>
      </c>
      <c r="B442" s="172">
        <f>IF('Оперативный ввод'!B442="","",'Оперативный ввод'!B442)</f>
        <v/>
      </c>
      <c r="C442" s="270">
        <f>IF('Оперативный ввод'!C442="","",'Оперативный ввод'!C442)</f>
        <v/>
      </c>
      <c r="D442" s="270">
        <f>IF('Оперативный ввод'!D442="","",'Оперативный ввод'!D442)</f>
        <v/>
      </c>
      <c r="E442" s="271">
        <f>IF(OR(C442="",D442=""),"",D442-C442)</f>
        <v/>
      </c>
      <c r="F442" s="172">
        <f>IF('Оперативный ввод'!F442="","",'Оперативный ввод'!F442)</f>
        <v/>
      </c>
      <c r="G442" s="172">
        <f>IF('Оперативный ввод'!G442="","",'Оперативный ввод'!G442)</f>
        <v/>
      </c>
      <c r="H442" s="172">
        <f>IF('Оперативный ввод'!H442="","",'Оперативный ввод'!H442)</f>
        <v/>
      </c>
      <c r="I442" s="172">
        <f>IF('Оперативный ввод'!I442="","",'Оперативный ввод'!I442)</f>
        <v/>
      </c>
      <c r="J442" s="172">
        <f>IF('Оперативный ввод'!J442="","",'Оперативный ввод'!J442)</f>
        <v/>
      </c>
      <c r="K442" s="172">
        <f>IF('Оперативный ввод'!K442="","",'Оперативный ввод'!K442)</f>
        <v/>
      </c>
      <c r="L442" s="172">
        <f>IF('Оперативный ввод'!L442="","",'Оперативный ввод'!L442)</f>
        <v/>
      </c>
      <c r="M442" s="172">
        <f>IF('Оперативный ввод'!M442="","",'Оперативный ввод'!M442)</f>
        <v/>
      </c>
      <c r="N442" s="172">
        <f>IF('Оперативный ввод'!N442="","",'Оперативный ввод'!N442)</f>
        <v/>
      </c>
      <c r="O442" s="172">
        <f>IF('Оперативный ввод'!O442="","",'Оперативный ввод'!O442)</f>
        <v/>
      </c>
      <c r="P442" s="205">
        <f>IF(AND(A442="",B442=""),"",IF(AND(A442&lt;&gt;"",B442&lt;&gt;"",C442&lt;&gt;"",D442&lt;&gt;"",F442&lt;&gt;"",G442&lt;&gt;"",H442&lt;&gt;"",ISERROR(SEARCH("по паспорту",G442)),ISERROR(SEARCH("по паспорту",H442)),I442&lt;&gt;"",J442&lt;&gt;"",K442&lt;&gt;"",L442&lt;&gt;"",M442&lt;&gt;""),"ГОТОВО","НЕ ГОТОВО"))</f>
        <v/>
      </c>
      <c r="Q442" s="205">
        <f>IF(P442&lt;&gt;"ГОТОВО","", "Предварительное заключение: "&amp;A442&amp;", скв. "&amp;B442&amp;". МРП: "&amp;E442&amp;" сут. ГНО: "&amp;F442&amp;", типоразмер "&amp;G442&amp;", марка "&amp;H442&amp;". Событие: "&amp;I442&amp;". Признак: "&amp;J442&amp;". Узел: "&amp;K442&amp;". Предварительная причина: "&amp;L442&amp;". Основное осложнение: "&amp;M442&amp;IF(N442&lt;&gt;"","; сопутствующее: "&amp;N442,"")&amp;IF(O442&lt;&gt;"","; дополнительно: "&amp;O442,"")&amp;".")</f>
        <v/>
      </c>
      <c r="R442" s="172">
        <f>IF('Оперативный ввод'!P442="","",'Оперативный ввод'!P442)</f>
        <v/>
      </c>
      <c r="S442" s="172">
        <f>IF('Оперативный ввод'!Q442="","",'Оперативный ввод'!Q442)</f>
        <v/>
      </c>
      <c r="T442" s="172">
        <f>IF('Оперативный ввод'!R442="","",'Оперативный ввод'!R442)</f>
        <v/>
      </c>
      <c r="U442" s="172">
        <f>IF('Оперативный ввод'!S442="","",'Оперативный ввод'!S442)</f>
        <v/>
      </c>
      <c r="V442" s="172">
        <f>IF('Оперативный ввод'!T442="","",'Оперативный ввод'!T442)</f>
        <v/>
      </c>
      <c r="W442" s="172" t="n"/>
      <c r="X442" s="172" t="n"/>
      <c r="Y442" s="172" t="n"/>
      <c r="Z442" s="172" t="n"/>
      <c r="AA442" s="172">
        <f>IF('Оперативный ввод'!U442="","",'Оперативный ввод'!U442)</f>
        <v/>
      </c>
      <c r="AB442" s="172">
        <f>IF('Оперативный ввод'!V442="","",'Оперативный ввод'!V442)</f>
        <v/>
      </c>
      <c r="AC442" s="172">
        <f>IF('Оперативный ввод'!W442="","",'Оперативный ввод'!W442)</f>
        <v/>
      </c>
      <c r="BB442" s="172" t="n"/>
      <c r="BC442" s="172" t="n"/>
      <c r="BD442" s="205">
        <f>IF(AND(A442="",B442=""),"",IF(AND(P442="ГОТОВО",R442&lt;&gt;"",T442&lt;&gt;"",U442&lt;&gt;"",AA442&lt;&gt;"",AB442&lt;&gt;"",AC442&lt;&gt;"",BB442&lt;&gt;"",BC442&lt;&gt;""),"ГОТОВО","НЕ ГОТОВО"))</f>
        <v/>
      </c>
      <c r="BE442" s="205">
        <f>IF(BD442&lt;&gt;"ГОТОВО","","Полное заключение: "&amp;A442&amp;", скв. "&amp;B442&amp;". МРП: "&amp;E442&amp;" сут. ГНО: "&amp;F442&amp;"; причина: "&amp;U442&amp;"; категория: "&amp;V442&amp;"; решение комиссии: "&amp;BB442&amp;".")</f>
        <v/>
      </c>
      <c r="BF442" s="173">
        <f>IF('Оперативный ввод'!X442="","",'Оперативный ввод'!X442)</f>
        <v/>
      </c>
    </row>
    <row r="443">
      <c r="A443" s="171">
        <f>IF('Оперативный ввод'!A443="","",'Оперативный ввод'!A443)</f>
        <v/>
      </c>
      <c r="B443" s="172">
        <f>IF('Оперативный ввод'!B443="","",'Оперативный ввод'!B443)</f>
        <v/>
      </c>
      <c r="C443" s="270">
        <f>IF('Оперативный ввод'!C443="","",'Оперативный ввод'!C443)</f>
        <v/>
      </c>
      <c r="D443" s="270">
        <f>IF('Оперативный ввод'!D443="","",'Оперативный ввод'!D443)</f>
        <v/>
      </c>
      <c r="E443" s="271">
        <f>IF(OR(C443="",D443=""),"",D443-C443)</f>
        <v/>
      </c>
      <c r="F443" s="172">
        <f>IF('Оперативный ввод'!F443="","",'Оперативный ввод'!F443)</f>
        <v/>
      </c>
      <c r="G443" s="172">
        <f>IF('Оперативный ввод'!G443="","",'Оперативный ввод'!G443)</f>
        <v/>
      </c>
      <c r="H443" s="172">
        <f>IF('Оперативный ввод'!H443="","",'Оперативный ввод'!H443)</f>
        <v/>
      </c>
      <c r="I443" s="172">
        <f>IF('Оперативный ввод'!I443="","",'Оперативный ввод'!I443)</f>
        <v/>
      </c>
      <c r="J443" s="172">
        <f>IF('Оперативный ввод'!J443="","",'Оперативный ввод'!J443)</f>
        <v/>
      </c>
      <c r="K443" s="172">
        <f>IF('Оперативный ввод'!K443="","",'Оперативный ввод'!K443)</f>
        <v/>
      </c>
      <c r="L443" s="172">
        <f>IF('Оперативный ввод'!L443="","",'Оперативный ввод'!L443)</f>
        <v/>
      </c>
      <c r="M443" s="172">
        <f>IF('Оперативный ввод'!M443="","",'Оперативный ввод'!M443)</f>
        <v/>
      </c>
      <c r="N443" s="172">
        <f>IF('Оперативный ввод'!N443="","",'Оперативный ввод'!N443)</f>
        <v/>
      </c>
      <c r="O443" s="172">
        <f>IF('Оперативный ввод'!O443="","",'Оперативный ввод'!O443)</f>
        <v/>
      </c>
      <c r="P443" s="205">
        <f>IF(AND(A443="",B443=""),"",IF(AND(A443&lt;&gt;"",B443&lt;&gt;"",C443&lt;&gt;"",D443&lt;&gt;"",F443&lt;&gt;"",G443&lt;&gt;"",H443&lt;&gt;"",ISERROR(SEARCH("по паспорту",G443)),ISERROR(SEARCH("по паспорту",H443)),I443&lt;&gt;"",J443&lt;&gt;"",K443&lt;&gt;"",L443&lt;&gt;"",M443&lt;&gt;""),"ГОТОВО","НЕ ГОТОВО"))</f>
        <v/>
      </c>
      <c r="Q443" s="205">
        <f>IF(P443&lt;&gt;"ГОТОВО","", "Предварительное заключение: "&amp;A443&amp;", скв. "&amp;B443&amp;". МРП: "&amp;E443&amp;" сут. ГНО: "&amp;F443&amp;", типоразмер "&amp;G443&amp;", марка "&amp;H443&amp;". Событие: "&amp;I443&amp;". Признак: "&amp;J443&amp;". Узел: "&amp;K443&amp;". Предварительная причина: "&amp;L443&amp;". Основное осложнение: "&amp;M443&amp;IF(N443&lt;&gt;"","; сопутствующее: "&amp;N443,"")&amp;IF(O443&lt;&gt;"","; дополнительно: "&amp;O443,"")&amp;".")</f>
        <v/>
      </c>
      <c r="R443" s="172">
        <f>IF('Оперативный ввод'!P443="","",'Оперативный ввод'!P443)</f>
        <v/>
      </c>
      <c r="S443" s="172">
        <f>IF('Оперативный ввод'!Q443="","",'Оперативный ввод'!Q443)</f>
        <v/>
      </c>
      <c r="T443" s="172">
        <f>IF('Оперативный ввод'!R443="","",'Оперативный ввод'!R443)</f>
        <v/>
      </c>
      <c r="U443" s="172">
        <f>IF('Оперативный ввод'!S443="","",'Оперативный ввод'!S443)</f>
        <v/>
      </c>
      <c r="V443" s="172">
        <f>IF('Оперативный ввод'!T443="","",'Оперативный ввод'!T443)</f>
        <v/>
      </c>
      <c r="W443" s="172" t="n"/>
      <c r="X443" s="172" t="n"/>
      <c r="Y443" s="172" t="n"/>
      <c r="Z443" s="172" t="n"/>
      <c r="AA443" s="172">
        <f>IF('Оперативный ввод'!U443="","",'Оперативный ввод'!U443)</f>
        <v/>
      </c>
      <c r="AB443" s="172">
        <f>IF('Оперативный ввод'!V443="","",'Оперативный ввод'!V443)</f>
        <v/>
      </c>
      <c r="AC443" s="172">
        <f>IF('Оперативный ввод'!W443="","",'Оперативный ввод'!W443)</f>
        <v/>
      </c>
      <c r="BB443" s="172" t="n"/>
      <c r="BC443" s="172" t="n"/>
      <c r="BD443" s="205">
        <f>IF(AND(A443="",B443=""),"",IF(AND(P443="ГОТОВО",R443&lt;&gt;"",T443&lt;&gt;"",U443&lt;&gt;"",AA443&lt;&gt;"",AB443&lt;&gt;"",AC443&lt;&gt;"",BB443&lt;&gt;"",BC443&lt;&gt;""),"ГОТОВО","НЕ ГОТОВО"))</f>
        <v/>
      </c>
      <c r="BE443" s="205">
        <f>IF(BD443&lt;&gt;"ГОТОВО","","Полное заключение: "&amp;A443&amp;", скв. "&amp;B443&amp;". МРП: "&amp;E443&amp;" сут. ГНО: "&amp;F443&amp;"; причина: "&amp;U443&amp;"; категория: "&amp;V443&amp;"; решение комиссии: "&amp;BB443&amp;".")</f>
        <v/>
      </c>
      <c r="BF443" s="173">
        <f>IF('Оперативный ввод'!X443="","",'Оперативный ввод'!X443)</f>
        <v/>
      </c>
    </row>
    <row r="444">
      <c r="A444" s="171">
        <f>IF('Оперативный ввод'!A444="","",'Оперативный ввод'!A444)</f>
        <v/>
      </c>
      <c r="B444" s="172">
        <f>IF('Оперативный ввод'!B444="","",'Оперативный ввод'!B444)</f>
        <v/>
      </c>
      <c r="C444" s="270">
        <f>IF('Оперативный ввод'!C444="","",'Оперативный ввод'!C444)</f>
        <v/>
      </c>
      <c r="D444" s="270">
        <f>IF('Оперативный ввод'!D444="","",'Оперативный ввод'!D444)</f>
        <v/>
      </c>
      <c r="E444" s="271">
        <f>IF(OR(C444="",D444=""),"",D444-C444)</f>
        <v/>
      </c>
      <c r="F444" s="172">
        <f>IF('Оперативный ввод'!F444="","",'Оперативный ввод'!F444)</f>
        <v/>
      </c>
      <c r="G444" s="172">
        <f>IF('Оперативный ввод'!G444="","",'Оперативный ввод'!G444)</f>
        <v/>
      </c>
      <c r="H444" s="172">
        <f>IF('Оперативный ввод'!H444="","",'Оперативный ввод'!H444)</f>
        <v/>
      </c>
      <c r="I444" s="172">
        <f>IF('Оперативный ввод'!I444="","",'Оперативный ввод'!I444)</f>
        <v/>
      </c>
      <c r="J444" s="172">
        <f>IF('Оперативный ввод'!J444="","",'Оперативный ввод'!J444)</f>
        <v/>
      </c>
      <c r="K444" s="172">
        <f>IF('Оперативный ввод'!K444="","",'Оперативный ввод'!K444)</f>
        <v/>
      </c>
      <c r="L444" s="172">
        <f>IF('Оперативный ввод'!L444="","",'Оперативный ввод'!L444)</f>
        <v/>
      </c>
      <c r="M444" s="172">
        <f>IF('Оперативный ввод'!M444="","",'Оперативный ввод'!M444)</f>
        <v/>
      </c>
      <c r="N444" s="172">
        <f>IF('Оперативный ввод'!N444="","",'Оперативный ввод'!N444)</f>
        <v/>
      </c>
      <c r="O444" s="172">
        <f>IF('Оперативный ввод'!O444="","",'Оперативный ввод'!O444)</f>
        <v/>
      </c>
      <c r="P444" s="205">
        <f>IF(AND(A444="",B444=""),"",IF(AND(A444&lt;&gt;"",B444&lt;&gt;"",C444&lt;&gt;"",D444&lt;&gt;"",F444&lt;&gt;"",G444&lt;&gt;"",H444&lt;&gt;"",ISERROR(SEARCH("по паспорту",G444)),ISERROR(SEARCH("по паспорту",H444)),I444&lt;&gt;"",J444&lt;&gt;"",K444&lt;&gt;"",L444&lt;&gt;"",M444&lt;&gt;""),"ГОТОВО","НЕ ГОТОВО"))</f>
        <v/>
      </c>
      <c r="Q444" s="205">
        <f>IF(P444&lt;&gt;"ГОТОВО","", "Предварительное заключение: "&amp;A444&amp;", скв. "&amp;B444&amp;". МРП: "&amp;E444&amp;" сут. ГНО: "&amp;F444&amp;", типоразмер "&amp;G444&amp;", марка "&amp;H444&amp;". Событие: "&amp;I444&amp;". Признак: "&amp;J444&amp;". Узел: "&amp;K444&amp;". Предварительная причина: "&amp;L444&amp;". Основное осложнение: "&amp;M444&amp;IF(N444&lt;&gt;"","; сопутствующее: "&amp;N444,"")&amp;IF(O444&lt;&gt;"","; дополнительно: "&amp;O444,"")&amp;".")</f>
        <v/>
      </c>
      <c r="R444" s="172">
        <f>IF('Оперативный ввод'!P444="","",'Оперативный ввод'!P444)</f>
        <v/>
      </c>
      <c r="S444" s="172">
        <f>IF('Оперативный ввод'!Q444="","",'Оперативный ввод'!Q444)</f>
        <v/>
      </c>
      <c r="T444" s="172">
        <f>IF('Оперативный ввод'!R444="","",'Оперативный ввод'!R444)</f>
        <v/>
      </c>
      <c r="U444" s="172">
        <f>IF('Оперативный ввод'!S444="","",'Оперативный ввод'!S444)</f>
        <v/>
      </c>
      <c r="V444" s="172">
        <f>IF('Оперативный ввод'!T444="","",'Оперативный ввод'!T444)</f>
        <v/>
      </c>
      <c r="W444" s="172" t="n"/>
      <c r="X444" s="172" t="n"/>
      <c r="Y444" s="172" t="n"/>
      <c r="Z444" s="172" t="n"/>
      <c r="AA444" s="172">
        <f>IF('Оперативный ввод'!U444="","",'Оперативный ввод'!U444)</f>
        <v/>
      </c>
      <c r="AB444" s="172">
        <f>IF('Оперативный ввод'!V444="","",'Оперативный ввод'!V444)</f>
        <v/>
      </c>
      <c r="AC444" s="172">
        <f>IF('Оперативный ввод'!W444="","",'Оперативный ввод'!W444)</f>
        <v/>
      </c>
      <c r="BB444" s="172" t="n"/>
      <c r="BC444" s="172" t="n"/>
      <c r="BD444" s="205">
        <f>IF(AND(A444="",B444=""),"",IF(AND(P444="ГОТОВО",R444&lt;&gt;"",T444&lt;&gt;"",U444&lt;&gt;"",AA444&lt;&gt;"",AB444&lt;&gt;"",AC444&lt;&gt;"",BB444&lt;&gt;"",BC444&lt;&gt;""),"ГОТОВО","НЕ ГОТОВО"))</f>
        <v/>
      </c>
      <c r="BE444" s="205">
        <f>IF(BD444&lt;&gt;"ГОТОВО","","Полное заключение: "&amp;A444&amp;", скв. "&amp;B444&amp;". МРП: "&amp;E444&amp;" сут. ГНО: "&amp;F444&amp;"; причина: "&amp;U444&amp;"; категория: "&amp;V444&amp;"; решение комиссии: "&amp;BB444&amp;".")</f>
        <v/>
      </c>
      <c r="BF444" s="173">
        <f>IF('Оперативный ввод'!X444="","",'Оперативный ввод'!X444)</f>
        <v/>
      </c>
    </row>
    <row r="445">
      <c r="A445" s="171">
        <f>IF('Оперативный ввод'!A445="","",'Оперативный ввод'!A445)</f>
        <v/>
      </c>
      <c r="B445" s="172">
        <f>IF('Оперативный ввод'!B445="","",'Оперативный ввод'!B445)</f>
        <v/>
      </c>
      <c r="C445" s="270">
        <f>IF('Оперативный ввод'!C445="","",'Оперативный ввод'!C445)</f>
        <v/>
      </c>
      <c r="D445" s="270">
        <f>IF('Оперативный ввод'!D445="","",'Оперативный ввод'!D445)</f>
        <v/>
      </c>
      <c r="E445" s="271">
        <f>IF(OR(C445="",D445=""),"",D445-C445)</f>
        <v/>
      </c>
      <c r="F445" s="172">
        <f>IF('Оперативный ввод'!F445="","",'Оперативный ввод'!F445)</f>
        <v/>
      </c>
      <c r="G445" s="172">
        <f>IF('Оперативный ввод'!G445="","",'Оперативный ввод'!G445)</f>
        <v/>
      </c>
      <c r="H445" s="172">
        <f>IF('Оперативный ввод'!H445="","",'Оперативный ввод'!H445)</f>
        <v/>
      </c>
      <c r="I445" s="172">
        <f>IF('Оперативный ввод'!I445="","",'Оперативный ввод'!I445)</f>
        <v/>
      </c>
      <c r="J445" s="172">
        <f>IF('Оперативный ввод'!J445="","",'Оперативный ввод'!J445)</f>
        <v/>
      </c>
      <c r="K445" s="172">
        <f>IF('Оперативный ввод'!K445="","",'Оперативный ввод'!K445)</f>
        <v/>
      </c>
      <c r="L445" s="172">
        <f>IF('Оперативный ввод'!L445="","",'Оперативный ввод'!L445)</f>
        <v/>
      </c>
      <c r="M445" s="172">
        <f>IF('Оперативный ввод'!M445="","",'Оперативный ввод'!M445)</f>
        <v/>
      </c>
      <c r="N445" s="172">
        <f>IF('Оперативный ввод'!N445="","",'Оперативный ввод'!N445)</f>
        <v/>
      </c>
      <c r="O445" s="172">
        <f>IF('Оперативный ввод'!O445="","",'Оперативный ввод'!O445)</f>
        <v/>
      </c>
      <c r="P445" s="205">
        <f>IF(AND(A445="",B445=""),"",IF(AND(A445&lt;&gt;"",B445&lt;&gt;"",C445&lt;&gt;"",D445&lt;&gt;"",F445&lt;&gt;"",G445&lt;&gt;"",H445&lt;&gt;"",ISERROR(SEARCH("по паспорту",G445)),ISERROR(SEARCH("по паспорту",H445)),I445&lt;&gt;"",J445&lt;&gt;"",K445&lt;&gt;"",L445&lt;&gt;"",M445&lt;&gt;""),"ГОТОВО","НЕ ГОТОВО"))</f>
        <v/>
      </c>
      <c r="Q445" s="205">
        <f>IF(P445&lt;&gt;"ГОТОВО","", "Предварительное заключение: "&amp;A445&amp;", скв. "&amp;B445&amp;". МРП: "&amp;E445&amp;" сут. ГНО: "&amp;F445&amp;", типоразмер "&amp;G445&amp;", марка "&amp;H445&amp;". Событие: "&amp;I445&amp;". Признак: "&amp;J445&amp;". Узел: "&amp;K445&amp;". Предварительная причина: "&amp;L445&amp;". Основное осложнение: "&amp;M445&amp;IF(N445&lt;&gt;"","; сопутствующее: "&amp;N445,"")&amp;IF(O445&lt;&gt;"","; дополнительно: "&amp;O445,"")&amp;".")</f>
        <v/>
      </c>
      <c r="R445" s="172">
        <f>IF('Оперативный ввод'!P445="","",'Оперативный ввод'!P445)</f>
        <v/>
      </c>
      <c r="S445" s="172">
        <f>IF('Оперативный ввод'!Q445="","",'Оперативный ввод'!Q445)</f>
        <v/>
      </c>
      <c r="T445" s="172">
        <f>IF('Оперативный ввод'!R445="","",'Оперативный ввод'!R445)</f>
        <v/>
      </c>
      <c r="U445" s="172">
        <f>IF('Оперативный ввод'!S445="","",'Оперативный ввод'!S445)</f>
        <v/>
      </c>
      <c r="V445" s="172">
        <f>IF('Оперативный ввод'!T445="","",'Оперативный ввод'!T445)</f>
        <v/>
      </c>
      <c r="W445" s="172" t="n"/>
      <c r="X445" s="172" t="n"/>
      <c r="Y445" s="172" t="n"/>
      <c r="Z445" s="172" t="n"/>
      <c r="AA445" s="172">
        <f>IF('Оперативный ввод'!U445="","",'Оперативный ввод'!U445)</f>
        <v/>
      </c>
      <c r="AB445" s="172">
        <f>IF('Оперативный ввод'!V445="","",'Оперативный ввод'!V445)</f>
        <v/>
      </c>
      <c r="AC445" s="172">
        <f>IF('Оперативный ввод'!W445="","",'Оперативный ввод'!W445)</f>
        <v/>
      </c>
      <c r="BB445" s="172" t="n"/>
      <c r="BC445" s="172" t="n"/>
      <c r="BD445" s="205">
        <f>IF(AND(A445="",B445=""),"",IF(AND(P445="ГОТОВО",R445&lt;&gt;"",T445&lt;&gt;"",U445&lt;&gt;"",AA445&lt;&gt;"",AB445&lt;&gt;"",AC445&lt;&gt;"",BB445&lt;&gt;"",BC445&lt;&gt;""),"ГОТОВО","НЕ ГОТОВО"))</f>
        <v/>
      </c>
      <c r="BE445" s="205">
        <f>IF(BD445&lt;&gt;"ГОТОВО","","Полное заключение: "&amp;A445&amp;", скв. "&amp;B445&amp;". МРП: "&amp;E445&amp;" сут. ГНО: "&amp;F445&amp;"; причина: "&amp;U445&amp;"; категория: "&amp;V445&amp;"; решение комиссии: "&amp;BB445&amp;".")</f>
        <v/>
      </c>
      <c r="BF445" s="173">
        <f>IF('Оперативный ввод'!X445="","",'Оперативный ввод'!X445)</f>
        <v/>
      </c>
    </row>
    <row r="446">
      <c r="A446" s="171">
        <f>IF('Оперативный ввод'!A446="","",'Оперативный ввод'!A446)</f>
        <v/>
      </c>
      <c r="B446" s="172">
        <f>IF('Оперативный ввод'!B446="","",'Оперативный ввод'!B446)</f>
        <v/>
      </c>
      <c r="C446" s="270">
        <f>IF('Оперативный ввод'!C446="","",'Оперативный ввод'!C446)</f>
        <v/>
      </c>
      <c r="D446" s="270">
        <f>IF('Оперативный ввод'!D446="","",'Оперативный ввод'!D446)</f>
        <v/>
      </c>
      <c r="E446" s="271">
        <f>IF(OR(C446="",D446=""),"",D446-C446)</f>
        <v/>
      </c>
      <c r="F446" s="172">
        <f>IF('Оперативный ввод'!F446="","",'Оперативный ввод'!F446)</f>
        <v/>
      </c>
      <c r="G446" s="172">
        <f>IF('Оперативный ввод'!G446="","",'Оперативный ввод'!G446)</f>
        <v/>
      </c>
      <c r="H446" s="172">
        <f>IF('Оперативный ввод'!H446="","",'Оперативный ввод'!H446)</f>
        <v/>
      </c>
      <c r="I446" s="172">
        <f>IF('Оперативный ввод'!I446="","",'Оперативный ввод'!I446)</f>
        <v/>
      </c>
      <c r="J446" s="172">
        <f>IF('Оперативный ввод'!J446="","",'Оперативный ввод'!J446)</f>
        <v/>
      </c>
      <c r="K446" s="172">
        <f>IF('Оперативный ввод'!K446="","",'Оперативный ввод'!K446)</f>
        <v/>
      </c>
      <c r="L446" s="172">
        <f>IF('Оперативный ввод'!L446="","",'Оперативный ввод'!L446)</f>
        <v/>
      </c>
      <c r="M446" s="172">
        <f>IF('Оперативный ввод'!M446="","",'Оперативный ввод'!M446)</f>
        <v/>
      </c>
      <c r="N446" s="172">
        <f>IF('Оперативный ввод'!N446="","",'Оперативный ввод'!N446)</f>
        <v/>
      </c>
      <c r="O446" s="172">
        <f>IF('Оперативный ввод'!O446="","",'Оперативный ввод'!O446)</f>
        <v/>
      </c>
      <c r="P446" s="205">
        <f>IF(AND(A446="",B446=""),"",IF(AND(A446&lt;&gt;"",B446&lt;&gt;"",C446&lt;&gt;"",D446&lt;&gt;"",F446&lt;&gt;"",G446&lt;&gt;"",H446&lt;&gt;"",ISERROR(SEARCH("по паспорту",G446)),ISERROR(SEARCH("по паспорту",H446)),I446&lt;&gt;"",J446&lt;&gt;"",K446&lt;&gt;"",L446&lt;&gt;"",M446&lt;&gt;""),"ГОТОВО","НЕ ГОТОВО"))</f>
        <v/>
      </c>
      <c r="Q446" s="205">
        <f>IF(P446&lt;&gt;"ГОТОВО","", "Предварительное заключение: "&amp;A446&amp;", скв. "&amp;B446&amp;". МРП: "&amp;E446&amp;" сут. ГНО: "&amp;F446&amp;", типоразмер "&amp;G446&amp;", марка "&amp;H446&amp;". Событие: "&amp;I446&amp;". Признак: "&amp;J446&amp;". Узел: "&amp;K446&amp;". Предварительная причина: "&amp;L446&amp;". Основное осложнение: "&amp;M446&amp;IF(N446&lt;&gt;"","; сопутствующее: "&amp;N446,"")&amp;IF(O446&lt;&gt;"","; дополнительно: "&amp;O446,"")&amp;".")</f>
        <v/>
      </c>
      <c r="R446" s="172">
        <f>IF('Оперативный ввод'!P446="","",'Оперативный ввод'!P446)</f>
        <v/>
      </c>
      <c r="S446" s="172">
        <f>IF('Оперативный ввод'!Q446="","",'Оперативный ввод'!Q446)</f>
        <v/>
      </c>
      <c r="T446" s="172">
        <f>IF('Оперативный ввод'!R446="","",'Оперативный ввод'!R446)</f>
        <v/>
      </c>
      <c r="U446" s="172">
        <f>IF('Оперативный ввод'!S446="","",'Оперативный ввод'!S446)</f>
        <v/>
      </c>
      <c r="V446" s="172">
        <f>IF('Оперативный ввод'!T446="","",'Оперативный ввод'!T446)</f>
        <v/>
      </c>
      <c r="W446" s="172" t="n"/>
      <c r="X446" s="172" t="n"/>
      <c r="Y446" s="172" t="n"/>
      <c r="Z446" s="172" t="n"/>
      <c r="AA446" s="172">
        <f>IF('Оперативный ввод'!U446="","",'Оперативный ввод'!U446)</f>
        <v/>
      </c>
      <c r="AB446" s="172">
        <f>IF('Оперативный ввод'!V446="","",'Оперативный ввод'!V446)</f>
        <v/>
      </c>
      <c r="AC446" s="172">
        <f>IF('Оперативный ввод'!W446="","",'Оперативный ввод'!W446)</f>
        <v/>
      </c>
      <c r="BB446" s="172" t="n"/>
      <c r="BC446" s="172" t="n"/>
      <c r="BD446" s="205">
        <f>IF(AND(A446="",B446=""),"",IF(AND(P446="ГОТОВО",R446&lt;&gt;"",T446&lt;&gt;"",U446&lt;&gt;"",AA446&lt;&gt;"",AB446&lt;&gt;"",AC446&lt;&gt;"",BB446&lt;&gt;"",BC446&lt;&gt;""),"ГОТОВО","НЕ ГОТОВО"))</f>
        <v/>
      </c>
      <c r="BE446" s="205">
        <f>IF(BD446&lt;&gt;"ГОТОВО","","Полное заключение: "&amp;A446&amp;", скв. "&amp;B446&amp;". МРП: "&amp;E446&amp;" сут. ГНО: "&amp;F446&amp;"; причина: "&amp;U446&amp;"; категория: "&amp;V446&amp;"; решение комиссии: "&amp;BB446&amp;".")</f>
        <v/>
      </c>
      <c r="BF446" s="173">
        <f>IF('Оперативный ввод'!X446="","",'Оперативный ввод'!X446)</f>
        <v/>
      </c>
    </row>
    <row r="447">
      <c r="A447" s="171">
        <f>IF('Оперативный ввод'!A447="","",'Оперативный ввод'!A447)</f>
        <v/>
      </c>
      <c r="B447" s="172">
        <f>IF('Оперативный ввод'!B447="","",'Оперативный ввод'!B447)</f>
        <v/>
      </c>
      <c r="C447" s="270">
        <f>IF('Оперативный ввод'!C447="","",'Оперативный ввод'!C447)</f>
        <v/>
      </c>
      <c r="D447" s="270">
        <f>IF('Оперативный ввод'!D447="","",'Оперативный ввод'!D447)</f>
        <v/>
      </c>
      <c r="E447" s="271">
        <f>IF(OR(C447="",D447=""),"",D447-C447)</f>
        <v/>
      </c>
      <c r="F447" s="172">
        <f>IF('Оперативный ввод'!F447="","",'Оперативный ввод'!F447)</f>
        <v/>
      </c>
      <c r="G447" s="172">
        <f>IF('Оперативный ввод'!G447="","",'Оперативный ввод'!G447)</f>
        <v/>
      </c>
      <c r="H447" s="172">
        <f>IF('Оперативный ввод'!H447="","",'Оперативный ввод'!H447)</f>
        <v/>
      </c>
      <c r="I447" s="172">
        <f>IF('Оперативный ввод'!I447="","",'Оперативный ввод'!I447)</f>
        <v/>
      </c>
      <c r="J447" s="172">
        <f>IF('Оперативный ввод'!J447="","",'Оперативный ввод'!J447)</f>
        <v/>
      </c>
      <c r="K447" s="172">
        <f>IF('Оперативный ввод'!K447="","",'Оперативный ввод'!K447)</f>
        <v/>
      </c>
      <c r="L447" s="172">
        <f>IF('Оперативный ввод'!L447="","",'Оперативный ввод'!L447)</f>
        <v/>
      </c>
      <c r="M447" s="172">
        <f>IF('Оперативный ввод'!M447="","",'Оперативный ввод'!M447)</f>
        <v/>
      </c>
      <c r="N447" s="172">
        <f>IF('Оперативный ввод'!N447="","",'Оперативный ввод'!N447)</f>
        <v/>
      </c>
      <c r="O447" s="172">
        <f>IF('Оперативный ввод'!O447="","",'Оперативный ввод'!O447)</f>
        <v/>
      </c>
      <c r="P447" s="205">
        <f>IF(AND(A447="",B447=""),"",IF(AND(A447&lt;&gt;"",B447&lt;&gt;"",C447&lt;&gt;"",D447&lt;&gt;"",F447&lt;&gt;"",G447&lt;&gt;"",H447&lt;&gt;"",ISERROR(SEARCH("по паспорту",G447)),ISERROR(SEARCH("по паспорту",H447)),I447&lt;&gt;"",J447&lt;&gt;"",K447&lt;&gt;"",L447&lt;&gt;"",M447&lt;&gt;""),"ГОТОВО","НЕ ГОТОВО"))</f>
        <v/>
      </c>
      <c r="Q447" s="205">
        <f>IF(P447&lt;&gt;"ГОТОВО","", "Предварительное заключение: "&amp;A447&amp;", скв. "&amp;B447&amp;". МРП: "&amp;E447&amp;" сут. ГНО: "&amp;F447&amp;", типоразмер "&amp;G447&amp;", марка "&amp;H447&amp;". Событие: "&amp;I447&amp;". Признак: "&amp;J447&amp;". Узел: "&amp;K447&amp;". Предварительная причина: "&amp;L447&amp;". Основное осложнение: "&amp;M447&amp;IF(N447&lt;&gt;"","; сопутствующее: "&amp;N447,"")&amp;IF(O447&lt;&gt;"","; дополнительно: "&amp;O447,"")&amp;".")</f>
        <v/>
      </c>
      <c r="R447" s="172">
        <f>IF('Оперативный ввод'!P447="","",'Оперативный ввод'!P447)</f>
        <v/>
      </c>
      <c r="S447" s="172">
        <f>IF('Оперативный ввод'!Q447="","",'Оперативный ввод'!Q447)</f>
        <v/>
      </c>
      <c r="T447" s="172">
        <f>IF('Оперативный ввод'!R447="","",'Оперативный ввод'!R447)</f>
        <v/>
      </c>
      <c r="U447" s="172">
        <f>IF('Оперативный ввод'!S447="","",'Оперативный ввод'!S447)</f>
        <v/>
      </c>
      <c r="V447" s="172">
        <f>IF('Оперативный ввод'!T447="","",'Оперативный ввод'!T447)</f>
        <v/>
      </c>
      <c r="W447" s="172" t="n"/>
      <c r="X447" s="172" t="n"/>
      <c r="Y447" s="172" t="n"/>
      <c r="Z447" s="172" t="n"/>
      <c r="AA447" s="172">
        <f>IF('Оперативный ввод'!U447="","",'Оперативный ввод'!U447)</f>
        <v/>
      </c>
      <c r="AB447" s="172">
        <f>IF('Оперативный ввод'!V447="","",'Оперативный ввод'!V447)</f>
        <v/>
      </c>
      <c r="AC447" s="172">
        <f>IF('Оперативный ввод'!W447="","",'Оперативный ввод'!W447)</f>
        <v/>
      </c>
      <c r="BB447" s="172" t="n"/>
      <c r="BC447" s="172" t="n"/>
      <c r="BD447" s="205">
        <f>IF(AND(A447="",B447=""),"",IF(AND(P447="ГОТОВО",R447&lt;&gt;"",T447&lt;&gt;"",U447&lt;&gt;"",AA447&lt;&gt;"",AB447&lt;&gt;"",AC447&lt;&gt;"",BB447&lt;&gt;"",BC447&lt;&gt;""),"ГОТОВО","НЕ ГОТОВО"))</f>
        <v/>
      </c>
      <c r="BE447" s="205">
        <f>IF(BD447&lt;&gt;"ГОТОВО","","Полное заключение: "&amp;A447&amp;", скв. "&amp;B447&amp;". МРП: "&amp;E447&amp;" сут. ГНО: "&amp;F447&amp;"; причина: "&amp;U447&amp;"; категория: "&amp;V447&amp;"; решение комиссии: "&amp;BB447&amp;".")</f>
        <v/>
      </c>
      <c r="BF447" s="173">
        <f>IF('Оперативный ввод'!X447="","",'Оперативный ввод'!X447)</f>
        <v/>
      </c>
    </row>
    <row r="448">
      <c r="A448" s="171">
        <f>IF('Оперативный ввод'!A448="","",'Оперативный ввод'!A448)</f>
        <v/>
      </c>
      <c r="B448" s="172">
        <f>IF('Оперативный ввод'!B448="","",'Оперативный ввод'!B448)</f>
        <v/>
      </c>
      <c r="C448" s="270">
        <f>IF('Оперативный ввод'!C448="","",'Оперативный ввод'!C448)</f>
        <v/>
      </c>
      <c r="D448" s="270">
        <f>IF('Оперативный ввод'!D448="","",'Оперативный ввод'!D448)</f>
        <v/>
      </c>
      <c r="E448" s="271">
        <f>IF(OR(C448="",D448=""),"",D448-C448)</f>
        <v/>
      </c>
      <c r="F448" s="172">
        <f>IF('Оперативный ввод'!F448="","",'Оперативный ввод'!F448)</f>
        <v/>
      </c>
      <c r="G448" s="172">
        <f>IF('Оперативный ввод'!G448="","",'Оперативный ввод'!G448)</f>
        <v/>
      </c>
      <c r="H448" s="172">
        <f>IF('Оперативный ввод'!H448="","",'Оперативный ввод'!H448)</f>
        <v/>
      </c>
      <c r="I448" s="172">
        <f>IF('Оперативный ввод'!I448="","",'Оперативный ввод'!I448)</f>
        <v/>
      </c>
      <c r="J448" s="172">
        <f>IF('Оперативный ввод'!J448="","",'Оперативный ввод'!J448)</f>
        <v/>
      </c>
      <c r="K448" s="172">
        <f>IF('Оперативный ввод'!K448="","",'Оперативный ввод'!K448)</f>
        <v/>
      </c>
      <c r="L448" s="172">
        <f>IF('Оперативный ввод'!L448="","",'Оперативный ввод'!L448)</f>
        <v/>
      </c>
      <c r="M448" s="172">
        <f>IF('Оперативный ввод'!M448="","",'Оперативный ввод'!M448)</f>
        <v/>
      </c>
      <c r="N448" s="172">
        <f>IF('Оперативный ввод'!N448="","",'Оперативный ввод'!N448)</f>
        <v/>
      </c>
      <c r="O448" s="172">
        <f>IF('Оперативный ввод'!O448="","",'Оперативный ввод'!O448)</f>
        <v/>
      </c>
      <c r="P448" s="205">
        <f>IF(AND(A448="",B448=""),"",IF(AND(A448&lt;&gt;"",B448&lt;&gt;"",C448&lt;&gt;"",D448&lt;&gt;"",F448&lt;&gt;"",G448&lt;&gt;"",H448&lt;&gt;"",ISERROR(SEARCH("по паспорту",G448)),ISERROR(SEARCH("по паспорту",H448)),I448&lt;&gt;"",J448&lt;&gt;"",K448&lt;&gt;"",L448&lt;&gt;"",M448&lt;&gt;""),"ГОТОВО","НЕ ГОТОВО"))</f>
        <v/>
      </c>
      <c r="Q448" s="205">
        <f>IF(P448&lt;&gt;"ГОТОВО","", "Предварительное заключение: "&amp;A448&amp;", скв. "&amp;B448&amp;". МРП: "&amp;E448&amp;" сут. ГНО: "&amp;F448&amp;", типоразмер "&amp;G448&amp;", марка "&amp;H448&amp;". Событие: "&amp;I448&amp;". Признак: "&amp;J448&amp;". Узел: "&amp;K448&amp;". Предварительная причина: "&amp;L448&amp;". Основное осложнение: "&amp;M448&amp;IF(N448&lt;&gt;"","; сопутствующее: "&amp;N448,"")&amp;IF(O448&lt;&gt;"","; дополнительно: "&amp;O448,"")&amp;".")</f>
        <v/>
      </c>
      <c r="R448" s="172">
        <f>IF('Оперативный ввод'!P448="","",'Оперативный ввод'!P448)</f>
        <v/>
      </c>
      <c r="S448" s="172">
        <f>IF('Оперативный ввод'!Q448="","",'Оперативный ввод'!Q448)</f>
        <v/>
      </c>
      <c r="T448" s="172">
        <f>IF('Оперативный ввод'!R448="","",'Оперативный ввод'!R448)</f>
        <v/>
      </c>
      <c r="U448" s="172">
        <f>IF('Оперативный ввод'!S448="","",'Оперативный ввод'!S448)</f>
        <v/>
      </c>
      <c r="V448" s="172">
        <f>IF('Оперативный ввод'!T448="","",'Оперативный ввод'!T448)</f>
        <v/>
      </c>
      <c r="W448" s="172" t="n"/>
      <c r="X448" s="172" t="n"/>
      <c r="Y448" s="172" t="n"/>
      <c r="Z448" s="172" t="n"/>
      <c r="AA448" s="172">
        <f>IF('Оперативный ввод'!U448="","",'Оперативный ввод'!U448)</f>
        <v/>
      </c>
      <c r="AB448" s="172">
        <f>IF('Оперативный ввод'!V448="","",'Оперативный ввод'!V448)</f>
        <v/>
      </c>
      <c r="AC448" s="172">
        <f>IF('Оперативный ввод'!W448="","",'Оперативный ввод'!W448)</f>
        <v/>
      </c>
      <c r="BB448" s="172" t="n"/>
      <c r="BC448" s="172" t="n"/>
      <c r="BD448" s="205">
        <f>IF(AND(A448="",B448=""),"",IF(AND(P448="ГОТОВО",R448&lt;&gt;"",T448&lt;&gt;"",U448&lt;&gt;"",AA448&lt;&gt;"",AB448&lt;&gt;"",AC448&lt;&gt;"",BB448&lt;&gt;"",BC448&lt;&gt;""),"ГОТОВО","НЕ ГОТОВО"))</f>
        <v/>
      </c>
      <c r="BE448" s="205">
        <f>IF(BD448&lt;&gt;"ГОТОВО","","Полное заключение: "&amp;A448&amp;", скв. "&amp;B448&amp;". МРП: "&amp;E448&amp;" сут. ГНО: "&amp;F448&amp;"; причина: "&amp;U448&amp;"; категория: "&amp;V448&amp;"; решение комиссии: "&amp;BB448&amp;".")</f>
        <v/>
      </c>
      <c r="BF448" s="173">
        <f>IF('Оперативный ввод'!X448="","",'Оперативный ввод'!X448)</f>
        <v/>
      </c>
    </row>
    <row r="449">
      <c r="A449" s="171">
        <f>IF('Оперативный ввод'!A449="","",'Оперативный ввод'!A449)</f>
        <v/>
      </c>
      <c r="B449" s="172">
        <f>IF('Оперативный ввод'!B449="","",'Оперативный ввод'!B449)</f>
        <v/>
      </c>
      <c r="C449" s="270">
        <f>IF('Оперативный ввод'!C449="","",'Оперативный ввод'!C449)</f>
        <v/>
      </c>
      <c r="D449" s="270">
        <f>IF('Оперативный ввод'!D449="","",'Оперативный ввод'!D449)</f>
        <v/>
      </c>
      <c r="E449" s="271">
        <f>IF(OR(C449="",D449=""),"",D449-C449)</f>
        <v/>
      </c>
      <c r="F449" s="172">
        <f>IF('Оперативный ввод'!F449="","",'Оперативный ввод'!F449)</f>
        <v/>
      </c>
      <c r="G449" s="172">
        <f>IF('Оперативный ввод'!G449="","",'Оперативный ввод'!G449)</f>
        <v/>
      </c>
      <c r="H449" s="172">
        <f>IF('Оперативный ввод'!H449="","",'Оперативный ввод'!H449)</f>
        <v/>
      </c>
      <c r="I449" s="172">
        <f>IF('Оперативный ввод'!I449="","",'Оперативный ввод'!I449)</f>
        <v/>
      </c>
      <c r="J449" s="172">
        <f>IF('Оперативный ввод'!J449="","",'Оперативный ввод'!J449)</f>
        <v/>
      </c>
      <c r="K449" s="172">
        <f>IF('Оперативный ввод'!K449="","",'Оперативный ввод'!K449)</f>
        <v/>
      </c>
      <c r="L449" s="172">
        <f>IF('Оперативный ввод'!L449="","",'Оперативный ввод'!L449)</f>
        <v/>
      </c>
      <c r="M449" s="172">
        <f>IF('Оперативный ввод'!M449="","",'Оперативный ввод'!M449)</f>
        <v/>
      </c>
      <c r="N449" s="172">
        <f>IF('Оперативный ввод'!N449="","",'Оперативный ввод'!N449)</f>
        <v/>
      </c>
      <c r="O449" s="172">
        <f>IF('Оперативный ввод'!O449="","",'Оперативный ввод'!O449)</f>
        <v/>
      </c>
      <c r="P449" s="205">
        <f>IF(AND(A449="",B449=""),"",IF(AND(A449&lt;&gt;"",B449&lt;&gt;"",C449&lt;&gt;"",D449&lt;&gt;"",F449&lt;&gt;"",G449&lt;&gt;"",H449&lt;&gt;"",ISERROR(SEARCH("по паспорту",G449)),ISERROR(SEARCH("по паспорту",H449)),I449&lt;&gt;"",J449&lt;&gt;"",K449&lt;&gt;"",L449&lt;&gt;"",M449&lt;&gt;""),"ГОТОВО","НЕ ГОТОВО"))</f>
        <v/>
      </c>
      <c r="Q449" s="205">
        <f>IF(P449&lt;&gt;"ГОТОВО","", "Предварительное заключение: "&amp;A449&amp;", скв. "&amp;B449&amp;". МРП: "&amp;E449&amp;" сут. ГНО: "&amp;F449&amp;", типоразмер "&amp;G449&amp;", марка "&amp;H449&amp;". Событие: "&amp;I449&amp;". Признак: "&amp;J449&amp;". Узел: "&amp;K449&amp;". Предварительная причина: "&amp;L449&amp;". Основное осложнение: "&amp;M449&amp;IF(N449&lt;&gt;"","; сопутствующее: "&amp;N449,"")&amp;IF(O449&lt;&gt;"","; дополнительно: "&amp;O449,"")&amp;".")</f>
        <v/>
      </c>
      <c r="R449" s="172">
        <f>IF('Оперативный ввод'!P449="","",'Оперативный ввод'!P449)</f>
        <v/>
      </c>
      <c r="S449" s="172">
        <f>IF('Оперативный ввод'!Q449="","",'Оперативный ввод'!Q449)</f>
        <v/>
      </c>
      <c r="T449" s="172">
        <f>IF('Оперативный ввод'!R449="","",'Оперативный ввод'!R449)</f>
        <v/>
      </c>
      <c r="U449" s="172">
        <f>IF('Оперативный ввод'!S449="","",'Оперативный ввод'!S449)</f>
        <v/>
      </c>
      <c r="V449" s="172">
        <f>IF('Оперативный ввод'!T449="","",'Оперативный ввод'!T449)</f>
        <v/>
      </c>
      <c r="W449" s="172" t="n"/>
      <c r="X449" s="172" t="n"/>
      <c r="Y449" s="172" t="n"/>
      <c r="Z449" s="172" t="n"/>
      <c r="AA449" s="172">
        <f>IF('Оперативный ввод'!U449="","",'Оперативный ввод'!U449)</f>
        <v/>
      </c>
      <c r="AB449" s="172">
        <f>IF('Оперативный ввод'!V449="","",'Оперативный ввод'!V449)</f>
        <v/>
      </c>
      <c r="AC449" s="172">
        <f>IF('Оперативный ввод'!W449="","",'Оперативный ввод'!W449)</f>
        <v/>
      </c>
      <c r="BB449" s="172" t="n"/>
      <c r="BC449" s="172" t="n"/>
      <c r="BD449" s="205">
        <f>IF(AND(A449="",B449=""),"",IF(AND(P449="ГОТОВО",R449&lt;&gt;"",T449&lt;&gt;"",U449&lt;&gt;"",AA449&lt;&gt;"",AB449&lt;&gt;"",AC449&lt;&gt;"",BB449&lt;&gt;"",BC449&lt;&gt;""),"ГОТОВО","НЕ ГОТОВО"))</f>
        <v/>
      </c>
      <c r="BE449" s="205">
        <f>IF(BD449&lt;&gt;"ГОТОВО","","Полное заключение: "&amp;A449&amp;", скв. "&amp;B449&amp;". МРП: "&amp;E449&amp;" сут. ГНО: "&amp;F449&amp;"; причина: "&amp;U449&amp;"; категория: "&amp;V449&amp;"; решение комиссии: "&amp;BB449&amp;".")</f>
        <v/>
      </c>
      <c r="BF449" s="173">
        <f>IF('Оперативный ввод'!X449="","",'Оперативный ввод'!X449)</f>
        <v/>
      </c>
    </row>
    <row r="450">
      <c r="A450" s="171">
        <f>IF('Оперативный ввод'!A450="","",'Оперативный ввод'!A450)</f>
        <v/>
      </c>
      <c r="B450" s="172">
        <f>IF('Оперативный ввод'!B450="","",'Оперативный ввод'!B450)</f>
        <v/>
      </c>
      <c r="C450" s="270">
        <f>IF('Оперативный ввод'!C450="","",'Оперативный ввод'!C450)</f>
        <v/>
      </c>
      <c r="D450" s="270">
        <f>IF('Оперативный ввод'!D450="","",'Оперативный ввод'!D450)</f>
        <v/>
      </c>
      <c r="E450" s="271">
        <f>IF(OR(C450="",D450=""),"",D450-C450)</f>
        <v/>
      </c>
      <c r="F450" s="172">
        <f>IF('Оперативный ввод'!F450="","",'Оперативный ввод'!F450)</f>
        <v/>
      </c>
      <c r="G450" s="172">
        <f>IF('Оперативный ввод'!G450="","",'Оперативный ввод'!G450)</f>
        <v/>
      </c>
      <c r="H450" s="172">
        <f>IF('Оперативный ввод'!H450="","",'Оперативный ввод'!H450)</f>
        <v/>
      </c>
      <c r="I450" s="172">
        <f>IF('Оперативный ввод'!I450="","",'Оперативный ввод'!I450)</f>
        <v/>
      </c>
      <c r="J450" s="172">
        <f>IF('Оперативный ввод'!J450="","",'Оперативный ввод'!J450)</f>
        <v/>
      </c>
      <c r="K450" s="172">
        <f>IF('Оперативный ввод'!K450="","",'Оперативный ввод'!K450)</f>
        <v/>
      </c>
      <c r="L450" s="172">
        <f>IF('Оперативный ввод'!L450="","",'Оперативный ввод'!L450)</f>
        <v/>
      </c>
      <c r="M450" s="172">
        <f>IF('Оперативный ввод'!M450="","",'Оперативный ввод'!M450)</f>
        <v/>
      </c>
      <c r="N450" s="172">
        <f>IF('Оперативный ввод'!N450="","",'Оперативный ввод'!N450)</f>
        <v/>
      </c>
      <c r="O450" s="172">
        <f>IF('Оперативный ввод'!O450="","",'Оперативный ввод'!O450)</f>
        <v/>
      </c>
      <c r="P450" s="205">
        <f>IF(AND(A450="",B450=""),"",IF(AND(A450&lt;&gt;"",B450&lt;&gt;"",C450&lt;&gt;"",D450&lt;&gt;"",F450&lt;&gt;"",G450&lt;&gt;"",H450&lt;&gt;"",ISERROR(SEARCH("по паспорту",G450)),ISERROR(SEARCH("по паспорту",H450)),I450&lt;&gt;"",J450&lt;&gt;"",K450&lt;&gt;"",L450&lt;&gt;"",M450&lt;&gt;""),"ГОТОВО","НЕ ГОТОВО"))</f>
        <v/>
      </c>
      <c r="Q450" s="205">
        <f>IF(P450&lt;&gt;"ГОТОВО","", "Предварительное заключение: "&amp;A450&amp;", скв. "&amp;B450&amp;". МРП: "&amp;E450&amp;" сут. ГНО: "&amp;F450&amp;", типоразмер "&amp;G450&amp;", марка "&amp;H450&amp;". Событие: "&amp;I450&amp;". Признак: "&amp;J450&amp;". Узел: "&amp;K450&amp;". Предварительная причина: "&amp;L450&amp;". Основное осложнение: "&amp;M450&amp;IF(N450&lt;&gt;"","; сопутствующее: "&amp;N450,"")&amp;IF(O450&lt;&gt;"","; дополнительно: "&amp;O450,"")&amp;".")</f>
        <v/>
      </c>
      <c r="R450" s="172">
        <f>IF('Оперативный ввод'!P450="","",'Оперативный ввод'!P450)</f>
        <v/>
      </c>
      <c r="S450" s="172">
        <f>IF('Оперативный ввод'!Q450="","",'Оперативный ввод'!Q450)</f>
        <v/>
      </c>
      <c r="T450" s="172">
        <f>IF('Оперативный ввод'!R450="","",'Оперативный ввод'!R450)</f>
        <v/>
      </c>
      <c r="U450" s="172">
        <f>IF('Оперативный ввод'!S450="","",'Оперативный ввод'!S450)</f>
        <v/>
      </c>
      <c r="V450" s="172">
        <f>IF('Оперативный ввод'!T450="","",'Оперативный ввод'!T450)</f>
        <v/>
      </c>
      <c r="W450" s="172" t="n"/>
      <c r="X450" s="172" t="n"/>
      <c r="Y450" s="172" t="n"/>
      <c r="Z450" s="172" t="n"/>
      <c r="AA450" s="172">
        <f>IF('Оперативный ввод'!U450="","",'Оперативный ввод'!U450)</f>
        <v/>
      </c>
      <c r="AB450" s="172">
        <f>IF('Оперативный ввод'!V450="","",'Оперативный ввод'!V450)</f>
        <v/>
      </c>
      <c r="AC450" s="172">
        <f>IF('Оперативный ввод'!W450="","",'Оперативный ввод'!W450)</f>
        <v/>
      </c>
      <c r="BB450" s="172" t="n"/>
      <c r="BC450" s="172" t="n"/>
      <c r="BD450" s="205">
        <f>IF(AND(A450="",B450=""),"",IF(AND(P450="ГОТОВО",R450&lt;&gt;"",T450&lt;&gt;"",U450&lt;&gt;"",AA450&lt;&gt;"",AB450&lt;&gt;"",AC450&lt;&gt;"",BB450&lt;&gt;"",BC450&lt;&gt;""),"ГОТОВО","НЕ ГОТОВО"))</f>
        <v/>
      </c>
      <c r="BE450" s="205">
        <f>IF(BD450&lt;&gt;"ГОТОВО","","Полное заключение: "&amp;A450&amp;", скв. "&amp;B450&amp;". МРП: "&amp;E450&amp;" сут. ГНО: "&amp;F450&amp;"; причина: "&amp;U450&amp;"; категория: "&amp;V450&amp;"; решение комиссии: "&amp;BB450&amp;".")</f>
        <v/>
      </c>
      <c r="BF450" s="173">
        <f>IF('Оперативный ввод'!X450="","",'Оперативный ввод'!X450)</f>
        <v/>
      </c>
    </row>
    <row r="451">
      <c r="A451" s="171">
        <f>IF('Оперативный ввод'!A451="","",'Оперативный ввод'!A451)</f>
        <v/>
      </c>
      <c r="B451" s="172">
        <f>IF('Оперативный ввод'!B451="","",'Оперативный ввод'!B451)</f>
        <v/>
      </c>
      <c r="C451" s="270">
        <f>IF('Оперативный ввод'!C451="","",'Оперативный ввод'!C451)</f>
        <v/>
      </c>
      <c r="D451" s="270">
        <f>IF('Оперативный ввод'!D451="","",'Оперативный ввод'!D451)</f>
        <v/>
      </c>
      <c r="E451" s="271">
        <f>IF(OR(C451="",D451=""),"",D451-C451)</f>
        <v/>
      </c>
      <c r="F451" s="172">
        <f>IF('Оперативный ввод'!F451="","",'Оперативный ввод'!F451)</f>
        <v/>
      </c>
      <c r="G451" s="172">
        <f>IF('Оперативный ввод'!G451="","",'Оперативный ввод'!G451)</f>
        <v/>
      </c>
      <c r="H451" s="172">
        <f>IF('Оперативный ввод'!H451="","",'Оперативный ввод'!H451)</f>
        <v/>
      </c>
      <c r="I451" s="172">
        <f>IF('Оперативный ввод'!I451="","",'Оперативный ввод'!I451)</f>
        <v/>
      </c>
      <c r="J451" s="172">
        <f>IF('Оперативный ввод'!J451="","",'Оперативный ввод'!J451)</f>
        <v/>
      </c>
      <c r="K451" s="172">
        <f>IF('Оперативный ввод'!K451="","",'Оперативный ввод'!K451)</f>
        <v/>
      </c>
      <c r="L451" s="172">
        <f>IF('Оперативный ввод'!L451="","",'Оперативный ввод'!L451)</f>
        <v/>
      </c>
      <c r="M451" s="172">
        <f>IF('Оперативный ввод'!M451="","",'Оперативный ввод'!M451)</f>
        <v/>
      </c>
      <c r="N451" s="172">
        <f>IF('Оперативный ввод'!N451="","",'Оперативный ввод'!N451)</f>
        <v/>
      </c>
      <c r="O451" s="172">
        <f>IF('Оперативный ввод'!O451="","",'Оперативный ввод'!O451)</f>
        <v/>
      </c>
      <c r="P451" s="205">
        <f>IF(AND(A451="",B451=""),"",IF(AND(A451&lt;&gt;"",B451&lt;&gt;"",C451&lt;&gt;"",D451&lt;&gt;"",F451&lt;&gt;"",G451&lt;&gt;"",H451&lt;&gt;"",ISERROR(SEARCH("по паспорту",G451)),ISERROR(SEARCH("по паспорту",H451)),I451&lt;&gt;"",J451&lt;&gt;"",K451&lt;&gt;"",L451&lt;&gt;"",M451&lt;&gt;""),"ГОТОВО","НЕ ГОТОВО"))</f>
        <v/>
      </c>
      <c r="Q451" s="205">
        <f>IF(P451&lt;&gt;"ГОТОВО","", "Предварительное заключение: "&amp;A451&amp;", скв. "&amp;B451&amp;". МРП: "&amp;E451&amp;" сут. ГНО: "&amp;F451&amp;", типоразмер "&amp;G451&amp;", марка "&amp;H451&amp;". Событие: "&amp;I451&amp;". Признак: "&amp;J451&amp;". Узел: "&amp;K451&amp;". Предварительная причина: "&amp;L451&amp;". Основное осложнение: "&amp;M451&amp;IF(N451&lt;&gt;"","; сопутствующее: "&amp;N451,"")&amp;IF(O451&lt;&gt;"","; дополнительно: "&amp;O451,"")&amp;".")</f>
        <v/>
      </c>
      <c r="R451" s="172">
        <f>IF('Оперативный ввод'!P451="","",'Оперативный ввод'!P451)</f>
        <v/>
      </c>
      <c r="S451" s="172">
        <f>IF('Оперативный ввод'!Q451="","",'Оперативный ввод'!Q451)</f>
        <v/>
      </c>
      <c r="T451" s="172">
        <f>IF('Оперативный ввод'!R451="","",'Оперативный ввод'!R451)</f>
        <v/>
      </c>
      <c r="U451" s="172">
        <f>IF('Оперативный ввод'!S451="","",'Оперативный ввод'!S451)</f>
        <v/>
      </c>
      <c r="V451" s="172">
        <f>IF('Оперативный ввод'!T451="","",'Оперативный ввод'!T451)</f>
        <v/>
      </c>
      <c r="W451" s="172" t="n"/>
      <c r="X451" s="172" t="n"/>
      <c r="Y451" s="172" t="n"/>
      <c r="Z451" s="172" t="n"/>
      <c r="AA451" s="172">
        <f>IF('Оперативный ввод'!U451="","",'Оперативный ввод'!U451)</f>
        <v/>
      </c>
      <c r="AB451" s="172">
        <f>IF('Оперативный ввод'!V451="","",'Оперативный ввод'!V451)</f>
        <v/>
      </c>
      <c r="AC451" s="172">
        <f>IF('Оперативный ввод'!W451="","",'Оперативный ввод'!W451)</f>
        <v/>
      </c>
      <c r="BB451" s="172" t="n"/>
      <c r="BC451" s="172" t="n"/>
      <c r="BD451" s="205">
        <f>IF(AND(A451="",B451=""),"",IF(AND(P451="ГОТОВО",R451&lt;&gt;"",T451&lt;&gt;"",U451&lt;&gt;"",AA451&lt;&gt;"",AB451&lt;&gt;"",AC451&lt;&gt;"",BB451&lt;&gt;"",BC451&lt;&gt;""),"ГОТОВО","НЕ ГОТОВО"))</f>
        <v/>
      </c>
      <c r="BE451" s="205">
        <f>IF(BD451&lt;&gt;"ГОТОВО","","Полное заключение: "&amp;A451&amp;", скв. "&amp;B451&amp;". МРП: "&amp;E451&amp;" сут. ГНО: "&amp;F451&amp;"; причина: "&amp;U451&amp;"; категория: "&amp;V451&amp;"; решение комиссии: "&amp;BB451&amp;".")</f>
        <v/>
      </c>
      <c r="BF451" s="173">
        <f>IF('Оперативный ввод'!X451="","",'Оперативный ввод'!X451)</f>
        <v/>
      </c>
    </row>
    <row r="452">
      <c r="A452" s="171">
        <f>IF('Оперативный ввод'!A452="","",'Оперативный ввод'!A452)</f>
        <v/>
      </c>
      <c r="B452" s="172">
        <f>IF('Оперативный ввод'!B452="","",'Оперативный ввод'!B452)</f>
        <v/>
      </c>
      <c r="C452" s="270">
        <f>IF('Оперативный ввод'!C452="","",'Оперативный ввод'!C452)</f>
        <v/>
      </c>
      <c r="D452" s="270">
        <f>IF('Оперативный ввод'!D452="","",'Оперативный ввод'!D452)</f>
        <v/>
      </c>
      <c r="E452" s="271">
        <f>IF(OR(C452="",D452=""),"",D452-C452)</f>
        <v/>
      </c>
      <c r="F452" s="172">
        <f>IF('Оперативный ввод'!F452="","",'Оперативный ввод'!F452)</f>
        <v/>
      </c>
      <c r="G452" s="172">
        <f>IF('Оперативный ввод'!G452="","",'Оперативный ввод'!G452)</f>
        <v/>
      </c>
      <c r="H452" s="172">
        <f>IF('Оперативный ввод'!H452="","",'Оперативный ввод'!H452)</f>
        <v/>
      </c>
      <c r="I452" s="172">
        <f>IF('Оперативный ввод'!I452="","",'Оперативный ввод'!I452)</f>
        <v/>
      </c>
      <c r="J452" s="172">
        <f>IF('Оперативный ввод'!J452="","",'Оперативный ввод'!J452)</f>
        <v/>
      </c>
      <c r="K452" s="172">
        <f>IF('Оперативный ввод'!K452="","",'Оперативный ввод'!K452)</f>
        <v/>
      </c>
      <c r="L452" s="172">
        <f>IF('Оперативный ввод'!L452="","",'Оперативный ввод'!L452)</f>
        <v/>
      </c>
      <c r="M452" s="172">
        <f>IF('Оперативный ввод'!M452="","",'Оперативный ввод'!M452)</f>
        <v/>
      </c>
      <c r="N452" s="172">
        <f>IF('Оперативный ввод'!N452="","",'Оперативный ввод'!N452)</f>
        <v/>
      </c>
      <c r="O452" s="172">
        <f>IF('Оперативный ввод'!O452="","",'Оперативный ввод'!O452)</f>
        <v/>
      </c>
      <c r="P452" s="205">
        <f>IF(AND(A452="",B452=""),"",IF(AND(A452&lt;&gt;"",B452&lt;&gt;"",C452&lt;&gt;"",D452&lt;&gt;"",F452&lt;&gt;"",G452&lt;&gt;"",H452&lt;&gt;"",ISERROR(SEARCH("по паспорту",G452)),ISERROR(SEARCH("по паспорту",H452)),I452&lt;&gt;"",J452&lt;&gt;"",K452&lt;&gt;"",L452&lt;&gt;"",M452&lt;&gt;""),"ГОТОВО","НЕ ГОТОВО"))</f>
        <v/>
      </c>
      <c r="Q452" s="205">
        <f>IF(P452&lt;&gt;"ГОТОВО","", "Предварительное заключение: "&amp;A452&amp;", скв. "&amp;B452&amp;". МРП: "&amp;E452&amp;" сут. ГНО: "&amp;F452&amp;", типоразмер "&amp;G452&amp;", марка "&amp;H452&amp;". Событие: "&amp;I452&amp;". Признак: "&amp;J452&amp;". Узел: "&amp;K452&amp;". Предварительная причина: "&amp;L452&amp;". Основное осложнение: "&amp;M452&amp;IF(N452&lt;&gt;"","; сопутствующее: "&amp;N452,"")&amp;IF(O452&lt;&gt;"","; дополнительно: "&amp;O452,"")&amp;".")</f>
        <v/>
      </c>
      <c r="R452" s="172">
        <f>IF('Оперативный ввод'!P452="","",'Оперативный ввод'!P452)</f>
        <v/>
      </c>
      <c r="S452" s="172">
        <f>IF('Оперативный ввод'!Q452="","",'Оперативный ввод'!Q452)</f>
        <v/>
      </c>
      <c r="T452" s="172">
        <f>IF('Оперативный ввод'!R452="","",'Оперативный ввод'!R452)</f>
        <v/>
      </c>
      <c r="U452" s="172">
        <f>IF('Оперативный ввод'!S452="","",'Оперативный ввод'!S452)</f>
        <v/>
      </c>
      <c r="V452" s="172">
        <f>IF('Оперативный ввод'!T452="","",'Оперативный ввод'!T452)</f>
        <v/>
      </c>
      <c r="W452" s="172" t="n"/>
      <c r="X452" s="172" t="n"/>
      <c r="Y452" s="172" t="n"/>
      <c r="Z452" s="172" t="n"/>
      <c r="AA452" s="172">
        <f>IF('Оперативный ввод'!U452="","",'Оперативный ввод'!U452)</f>
        <v/>
      </c>
      <c r="AB452" s="172">
        <f>IF('Оперативный ввод'!V452="","",'Оперативный ввод'!V452)</f>
        <v/>
      </c>
      <c r="AC452" s="172">
        <f>IF('Оперативный ввод'!W452="","",'Оперативный ввод'!W452)</f>
        <v/>
      </c>
      <c r="BB452" s="172" t="n"/>
      <c r="BC452" s="172" t="n"/>
      <c r="BD452" s="205">
        <f>IF(AND(A452="",B452=""),"",IF(AND(P452="ГОТОВО",R452&lt;&gt;"",T452&lt;&gt;"",U452&lt;&gt;"",AA452&lt;&gt;"",AB452&lt;&gt;"",AC452&lt;&gt;"",BB452&lt;&gt;"",BC452&lt;&gt;""),"ГОТОВО","НЕ ГОТОВО"))</f>
        <v/>
      </c>
      <c r="BE452" s="205">
        <f>IF(BD452&lt;&gt;"ГОТОВО","","Полное заключение: "&amp;A452&amp;", скв. "&amp;B452&amp;". МРП: "&amp;E452&amp;" сут. ГНО: "&amp;F452&amp;"; причина: "&amp;U452&amp;"; категория: "&amp;V452&amp;"; решение комиссии: "&amp;BB452&amp;".")</f>
        <v/>
      </c>
      <c r="BF452" s="173">
        <f>IF('Оперативный ввод'!X452="","",'Оперативный ввод'!X452)</f>
        <v/>
      </c>
    </row>
    <row r="453">
      <c r="A453" s="171">
        <f>IF('Оперативный ввод'!A453="","",'Оперативный ввод'!A453)</f>
        <v/>
      </c>
      <c r="B453" s="172">
        <f>IF('Оперативный ввод'!B453="","",'Оперативный ввод'!B453)</f>
        <v/>
      </c>
      <c r="C453" s="270">
        <f>IF('Оперативный ввод'!C453="","",'Оперативный ввод'!C453)</f>
        <v/>
      </c>
      <c r="D453" s="270">
        <f>IF('Оперативный ввод'!D453="","",'Оперативный ввод'!D453)</f>
        <v/>
      </c>
      <c r="E453" s="271">
        <f>IF(OR(C453="",D453=""),"",D453-C453)</f>
        <v/>
      </c>
      <c r="F453" s="172">
        <f>IF('Оперативный ввод'!F453="","",'Оперативный ввод'!F453)</f>
        <v/>
      </c>
      <c r="G453" s="172">
        <f>IF('Оперативный ввод'!G453="","",'Оперативный ввод'!G453)</f>
        <v/>
      </c>
      <c r="H453" s="172">
        <f>IF('Оперативный ввод'!H453="","",'Оперативный ввод'!H453)</f>
        <v/>
      </c>
      <c r="I453" s="172">
        <f>IF('Оперативный ввод'!I453="","",'Оперативный ввод'!I453)</f>
        <v/>
      </c>
      <c r="J453" s="172">
        <f>IF('Оперативный ввод'!J453="","",'Оперативный ввод'!J453)</f>
        <v/>
      </c>
      <c r="K453" s="172">
        <f>IF('Оперативный ввод'!K453="","",'Оперативный ввод'!K453)</f>
        <v/>
      </c>
      <c r="L453" s="172">
        <f>IF('Оперативный ввод'!L453="","",'Оперативный ввод'!L453)</f>
        <v/>
      </c>
      <c r="M453" s="172">
        <f>IF('Оперативный ввод'!M453="","",'Оперативный ввод'!M453)</f>
        <v/>
      </c>
      <c r="N453" s="172">
        <f>IF('Оперативный ввод'!N453="","",'Оперативный ввод'!N453)</f>
        <v/>
      </c>
      <c r="O453" s="172">
        <f>IF('Оперативный ввод'!O453="","",'Оперативный ввод'!O453)</f>
        <v/>
      </c>
      <c r="P453" s="205">
        <f>IF(AND(A453="",B453=""),"",IF(AND(A453&lt;&gt;"",B453&lt;&gt;"",C453&lt;&gt;"",D453&lt;&gt;"",F453&lt;&gt;"",G453&lt;&gt;"",H453&lt;&gt;"",ISERROR(SEARCH("по паспорту",G453)),ISERROR(SEARCH("по паспорту",H453)),I453&lt;&gt;"",J453&lt;&gt;"",K453&lt;&gt;"",L453&lt;&gt;"",M453&lt;&gt;""),"ГОТОВО","НЕ ГОТОВО"))</f>
        <v/>
      </c>
      <c r="Q453" s="205">
        <f>IF(P453&lt;&gt;"ГОТОВО","", "Предварительное заключение: "&amp;A453&amp;", скв. "&amp;B453&amp;". МРП: "&amp;E453&amp;" сут. ГНО: "&amp;F453&amp;", типоразмер "&amp;G453&amp;", марка "&amp;H453&amp;". Событие: "&amp;I453&amp;". Признак: "&amp;J453&amp;". Узел: "&amp;K453&amp;". Предварительная причина: "&amp;L453&amp;". Основное осложнение: "&amp;M453&amp;IF(N453&lt;&gt;"","; сопутствующее: "&amp;N453,"")&amp;IF(O453&lt;&gt;"","; дополнительно: "&amp;O453,"")&amp;".")</f>
        <v/>
      </c>
      <c r="R453" s="172">
        <f>IF('Оперативный ввод'!P453="","",'Оперативный ввод'!P453)</f>
        <v/>
      </c>
      <c r="S453" s="172">
        <f>IF('Оперативный ввод'!Q453="","",'Оперативный ввод'!Q453)</f>
        <v/>
      </c>
      <c r="T453" s="172">
        <f>IF('Оперативный ввод'!R453="","",'Оперативный ввод'!R453)</f>
        <v/>
      </c>
      <c r="U453" s="172">
        <f>IF('Оперативный ввод'!S453="","",'Оперативный ввод'!S453)</f>
        <v/>
      </c>
      <c r="V453" s="172">
        <f>IF('Оперативный ввод'!T453="","",'Оперативный ввод'!T453)</f>
        <v/>
      </c>
      <c r="W453" s="172" t="n"/>
      <c r="X453" s="172" t="n"/>
      <c r="Y453" s="172" t="n"/>
      <c r="Z453" s="172" t="n"/>
      <c r="AA453" s="172">
        <f>IF('Оперативный ввод'!U453="","",'Оперативный ввод'!U453)</f>
        <v/>
      </c>
      <c r="AB453" s="172">
        <f>IF('Оперативный ввод'!V453="","",'Оперативный ввод'!V453)</f>
        <v/>
      </c>
      <c r="AC453" s="172">
        <f>IF('Оперативный ввод'!W453="","",'Оперативный ввод'!W453)</f>
        <v/>
      </c>
      <c r="BB453" s="172" t="n"/>
      <c r="BC453" s="172" t="n"/>
      <c r="BD453" s="205">
        <f>IF(AND(A453="",B453=""),"",IF(AND(P453="ГОТОВО",R453&lt;&gt;"",T453&lt;&gt;"",U453&lt;&gt;"",AA453&lt;&gt;"",AB453&lt;&gt;"",AC453&lt;&gt;"",BB453&lt;&gt;"",BC453&lt;&gt;""),"ГОТОВО","НЕ ГОТОВО"))</f>
        <v/>
      </c>
      <c r="BE453" s="205">
        <f>IF(BD453&lt;&gt;"ГОТОВО","","Полное заключение: "&amp;A453&amp;", скв. "&amp;B453&amp;". МРП: "&amp;E453&amp;" сут. ГНО: "&amp;F453&amp;"; причина: "&amp;U453&amp;"; категория: "&amp;V453&amp;"; решение комиссии: "&amp;BB453&amp;".")</f>
        <v/>
      </c>
      <c r="BF453" s="173">
        <f>IF('Оперативный ввод'!X453="","",'Оперативный ввод'!X453)</f>
        <v/>
      </c>
    </row>
    <row r="454">
      <c r="A454" s="171">
        <f>IF('Оперативный ввод'!A454="","",'Оперативный ввод'!A454)</f>
        <v/>
      </c>
      <c r="B454" s="172">
        <f>IF('Оперативный ввод'!B454="","",'Оперативный ввод'!B454)</f>
        <v/>
      </c>
      <c r="C454" s="270">
        <f>IF('Оперативный ввод'!C454="","",'Оперативный ввод'!C454)</f>
        <v/>
      </c>
      <c r="D454" s="270">
        <f>IF('Оперативный ввод'!D454="","",'Оперативный ввод'!D454)</f>
        <v/>
      </c>
      <c r="E454" s="271">
        <f>IF(OR(C454="",D454=""),"",D454-C454)</f>
        <v/>
      </c>
      <c r="F454" s="172">
        <f>IF('Оперативный ввод'!F454="","",'Оперативный ввод'!F454)</f>
        <v/>
      </c>
      <c r="G454" s="172">
        <f>IF('Оперативный ввод'!G454="","",'Оперативный ввод'!G454)</f>
        <v/>
      </c>
      <c r="H454" s="172">
        <f>IF('Оперативный ввод'!H454="","",'Оперативный ввод'!H454)</f>
        <v/>
      </c>
      <c r="I454" s="172">
        <f>IF('Оперативный ввод'!I454="","",'Оперативный ввод'!I454)</f>
        <v/>
      </c>
      <c r="J454" s="172">
        <f>IF('Оперативный ввод'!J454="","",'Оперативный ввод'!J454)</f>
        <v/>
      </c>
      <c r="K454" s="172">
        <f>IF('Оперативный ввод'!K454="","",'Оперативный ввод'!K454)</f>
        <v/>
      </c>
      <c r="L454" s="172">
        <f>IF('Оперативный ввод'!L454="","",'Оперативный ввод'!L454)</f>
        <v/>
      </c>
      <c r="M454" s="172">
        <f>IF('Оперативный ввод'!M454="","",'Оперативный ввод'!M454)</f>
        <v/>
      </c>
      <c r="N454" s="172">
        <f>IF('Оперативный ввод'!N454="","",'Оперативный ввод'!N454)</f>
        <v/>
      </c>
      <c r="O454" s="172">
        <f>IF('Оперативный ввод'!O454="","",'Оперативный ввод'!O454)</f>
        <v/>
      </c>
      <c r="P454" s="205">
        <f>IF(AND(A454="",B454=""),"",IF(AND(A454&lt;&gt;"",B454&lt;&gt;"",C454&lt;&gt;"",D454&lt;&gt;"",F454&lt;&gt;"",G454&lt;&gt;"",H454&lt;&gt;"",ISERROR(SEARCH("по паспорту",G454)),ISERROR(SEARCH("по паспорту",H454)),I454&lt;&gt;"",J454&lt;&gt;"",K454&lt;&gt;"",L454&lt;&gt;"",M454&lt;&gt;""),"ГОТОВО","НЕ ГОТОВО"))</f>
        <v/>
      </c>
      <c r="Q454" s="205">
        <f>IF(P454&lt;&gt;"ГОТОВО","", "Предварительное заключение: "&amp;A454&amp;", скв. "&amp;B454&amp;". МРП: "&amp;E454&amp;" сут. ГНО: "&amp;F454&amp;", типоразмер "&amp;G454&amp;", марка "&amp;H454&amp;". Событие: "&amp;I454&amp;". Признак: "&amp;J454&amp;". Узел: "&amp;K454&amp;". Предварительная причина: "&amp;L454&amp;". Основное осложнение: "&amp;M454&amp;IF(N454&lt;&gt;"","; сопутствующее: "&amp;N454,"")&amp;IF(O454&lt;&gt;"","; дополнительно: "&amp;O454,"")&amp;".")</f>
        <v/>
      </c>
      <c r="R454" s="172">
        <f>IF('Оперативный ввод'!P454="","",'Оперативный ввод'!P454)</f>
        <v/>
      </c>
      <c r="S454" s="172">
        <f>IF('Оперативный ввод'!Q454="","",'Оперативный ввод'!Q454)</f>
        <v/>
      </c>
      <c r="T454" s="172">
        <f>IF('Оперативный ввод'!R454="","",'Оперативный ввод'!R454)</f>
        <v/>
      </c>
      <c r="U454" s="172">
        <f>IF('Оперативный ввод'!S454="","",'Оперативный ввод'!S454)</f>
        <v/>
      </c>
      <c r="V454" s="172">
        <f>IF('Оперативный ввод'!T454="","",'Оперативный ввод'!T454)</f>
        <v/>
      </c>
      <c r="W454" s="172" t="n"/>
      <c r="X454" s="172" t="n"/>
      <c r="Y454" s="172" t="n"/>
      <c r="Z454" s="172" t="n"/>
      <c r="AA454" s="172">
        <f>IF('Оперативный ввод'!U454="","",'Оперативный ввод'!U454)</f>
        <v/>
      </c>
      <c r="AB454" s="172">
        <f>IF('Оперативный ввод'!V454="","",'Оперативный ввод'!V454)</f>
        <v/>
      </c>
      <c r="AC454" s="172">
        <f>IF('Оперативный ввод'!W454="","",'Оперативный ввод'!W454)</f>
        <v/>
      </c>
      <c r="BB454" s="172" t="n"/>
      <c r="BC454" s="172" t="n"/>
      <c r="BD454" s="205">
        <f>IF(AND(A454="",B454=""),"",IF(AND(P454="ГОТОВО",R454&lt;&gt;"",T454&lt;&gt;"",U454&lt;&gt;"",AA454&lt;&gt;"",AB454&lt;&gt;"",AC454&lt;&gt;"",BB454&lt;&gt;"",BC454&lt;&gt;""),"ГОТОВО","НЕ ГОТОВО"))</f>
        <v/>
      </c>
      <c r="BE454" s="205">
        <f>IF(BD454&lt;&gt;"ГОТОВО","","Полное заключение: "&amp;A454&amp;", скв. "&amp;B454&amp;". МРП: "&amp;E454&amp;" сут. ГНО: "&amp;F454&amp;"; причина: "&amp;U454&amp;"; категория: "&amp;V454&amp;"; решение комиссии: "&amp;BB454&amp;".")</f>
        <v/>
      </c>
      <c r="BF454" s="173">
        <f>IF('Оперативный ввод'!X454="","",'Оперативный ввод'!X454)</f>
        <v/>
      </c>
    </row>
    <row r="455">
      <c r="A455" s="171">
        <f>IF('Оперативный ввод'!A455="","",'Оперативный ввод'!A455)</f>
        <v/>
      </c>
      <c r="B455" s="172">
        <f>IF('Оперативный ввод'!B455="","",'Оперативный ввод'!B455)</f>
        <v/>
      </c>
      <c r="C455" s="270">
        <f>IF('Оперативный ввод'!C455="","",'Оперативный ввод'!C455)</f>
        <v/>
      </c>
      <c r="D455" s="270">
        <f>IF('Оперативный ввод'!D455="","",'Оперативный ввод'!D455)</f>
        <v/>
      </c>
      <c r="E455" s="271">
        <f>IF(OR(C455="",D455=""),"",D455-C455)</f>
        <v/>
      </c>
      <c r="F455" s="172">
        <f>IF('Оперативный ввод'!F455="","",'Оперативный ввод'!F455)</f>
        <v/>
      </c>
      <c r="G455" s="172">
        <f>IF('Оперативный ввод'!G455="","",'Оперативный ввод'!G455)</f>
        <v/>
      </c>
      <c r="H455" s="172">
        <f>IF('Оперативный ввод'!H455="","",'Оперативный ввод'!H455)</f>
        <v/>
      </c>
      <c r="I455" s="172">
        <f>IF('Оперативный ввод'!I455="","",'Оперативный ввод'!I455)</f>
        <v/>
      </c>
      <c r="J455" s="172">
        <f>IF('Оперативный ввод'!J455="","",'Оперативный ввод'!J455)</f>
        <v/>
      </c>
      <c r="K455" s="172">
        <f>IF('Оперативный ввод'!K455="","",'Оперативный ввод'!K455)</f>
        <v/>
      </c>
      <c r="L455" s="172">
        <f>IF('Оперативный ввод'!L455="","",'Оперативный ввод'!L455)</f>
        <v/>
      </c>
      <c r="M455" s="172">
        <f>IF('Оперативный ввод'!M455="","",'Оперативный ввод'!M455)</f>
        <v/>
      </c>
      <c r="N455" s="172">
        <f>IF('Оперативный ввод'!N455="","",'Оперативный ввод'!N455)</f>
        <v/>
      </c>
      <c r="O455" s="172">
        <f>IF('Оперативный ввод'!O455="","",'Оперативный ввод'!O455)</f>
        <v/>
      </c>
      <c r="P455" s="205">
        <f>IF(AND(A455="",B455=""),"",IF(AND(A455&lt;&gt;"",B455&lt;&gt;"",C455&lt;&gt;"",D455&lt;&gt;"",F455&lt;&gt;"",G455&lt;&gt;"",H455&lt;&gt;"",ISERROR(SEARCH("по паспорту",G455)),ISERROR(SEARCH("по паспорту",H455)),I455&lt;&gt;"",J455&lt;&gt;"",K455&lt;&gt;"",L455&lt;&gt;"",M455&lt;&gt;""),"ГОТОВО","НЕ ГОТОВО"))</f>
        <v/>
      </c>
      <c r="Q455" s="205">
        <f>IF(P455&lt;&gt;"ГОТОВО","", "Предварительное заключение: "&amp;A455&amp;", скв. "&amp;B455&amp;". МРП: "&amp;E455&amp;" сут. ГНО: "&amp;F455&amp;", типоразмер "&amp;G455&amp;", марка "&amp;H455&amp;". Событие: "&amp;I455&amp;". Признак: "&amp;J455&amp;". Узел: "&amp;K455&amp;". Предварительная причина: "&amp;L455&amp;". Основное осложнение: "&amp;M455&amp;IF(N455&lt;&gt;"","; сопутствующее: "&amp;N455,"")&amp;IF(O455&lt;&gt;"","; дополнительно: "&amp;O455,"")&amp;".")</f>
        <v/>
      </c>
      <c r="R455" s="172">
        <f>IF('Оперативный ввод'!P455="","",'Оперативный ввод'!P455)</f>
        <v/>
      </c>
      <c r="S455" s="172">
        <f>IF('Оперативный ввод'!Q455="","",'Оперативный ввод'!Q455)</f>
        <v/>
      </c>
      <c r="T455" s="172">
        <f>IF('Оперативный ввод'!R455="","",'Оперативный ввод'!R455)</f>
        <v/>
      </c>
      <c r="U455" s="172">
        <f>IF('Оперативный ввод'!S455="","",'Оперативный ввод'!S455)</f>
        <v/>
      </c>
      <c r="V455" s="172">
        <f>IF('Оперативный ввод'!T455="","",'Оперативный ввод'!T455)</f>
        <v/>
      </c>
      <c r="W455" s="172" t="n"/>
      <c r="X455" s="172" t="n"/>
      <c r="Y455" s="172" t="n"/>
      <c r="Z455" s="172" t="n"/>
      <c r="AA455" s="172">
        <f>IF('Оперативный ввод'!U455="","",'Оперативный ввод'!U455)</f>
        <v/>
      </c>
      <c r="AB455" s="172">
        <f>IF('Оперативный ввод'!V455="","",'Оперативный ввод'!V455)</f>
        <v/>
      </c>
      <c r="AC455" s="172">
        <f>IF('Оперативный ввод'!W455="","",'Оперативный ввод'!W455)</f>
        <v/>
      </c>
      <c r="BB455" s="172" t="n"/>
      <c r="BC455" s="172" t="n"/>
      <c r="BD455" s="205">
        <f>IF(AND(A455="",B455=""),"",IF(AND(P455="ГОТОВО",R455&lt;&gt;"",T455&lt;&gt;"",U455&lt;&gt;"",AA455&lt;&gt;"",AB455&lt;&gt;"",AC455&lt;&gt;"",BB455&lt;&gt;"",BC455&lt;&gt;""),"ГОТОВО","НЕ ГОТОВО"))</f>
        <v/>
      </c>
      <c r="BE455" s="205">
        <f>IF(BD455&lt;&gt;"ГОТОВО","","Полное заключение: "&amp;A455&amp;", скв. "&amp;B455&amp;". МРП: "&amp;E455&amp;" сут. ГНО: "&amp;F455&amp;"; причина: "&amp;U455&amp;"; категория: "&amp;V455&amp;"; решение комиссии: "&amp;BB455&amp;".")</f>
        <v/>
      </c>
      <c r="BF455" s="173">
        <f>IF('Оперативный ввод'!X455="","",'Оперативный ввод'!X455)</f>
        <v/>
      </c>
    </row>
    <row r="456">
      <c r="A456" s="171">
        <f>IF('Оперативный ввод'!A456="","",'Оперативный ввод'!A456)</f>
        <v/>
      </c>
      <c r="B456" s="172">
        <f>IF('Оперативный ввод'!B456="","",'Оперативный ввод'!B456)</f>
        <v/>
      </c>
      <c r="C456" s="270">
        <f>IF('Оперативный ввод'!C456="","",'Оперативный ввод'!C456)</f>
        <v/>
      </c>
      <c r="D456" s="270">
        <f>IF('Оперативный ввод'!D456="","",'Оперативный ввод'!D456)</f>
        <v/>
      </c>
      <c r="E456" s="271">
        <f>IF(OR(C456="",D456=""),"",D456-C456)</f>
        <v/>
      </c>
      <c r="F456" s="172">
        <f>IF('Оперативный ввод'!F456="","",'Оперативный ввод'!F456)</f>
        <v/>
      </c>
      <c r="G456" s="172">
        <f>IF('Оперативный ввод'!G456="","",'Оперативный ввод'!G456)</f>
        <v/>
      </c>
      <c r="H456" s="172">
        <f>IF('Оперативный ввод'!H456="","",'Оперативный ввод'!H456)</f>
        <v/>
      </c>
      <c r="I456" s="172">
        <f>IF('Оперативный ввод'!I456="","",'Оперативный ввод'!I456)</f>
        <v/>
      </c>
      <c r="J456" s="172">
        <f>IF('Оперативный ввод'!J456="","",'Оперативный ввод'!J456)</f>
        <v/>
      </c>
      <c r="K456" s="172">
        <f>IF('Оперативный ввод'!K456="","",'Оперативный ввод'!K456)</f>
        <v/>
      </c>
      <c r="L456" s="172">
        <f>IF('Оперативный ввод'!L456="","",'Оперативный ввод'!L456)</f>
        <v/>
      </c>
      <c r="M456" s="172">
        <f>IF('Оперативный ввод'!M456="","",'Оперативный ввод'!M456)</f>
        <v/>
      </c>
      <c r="N456" s="172">
        <f>IF('Оперативный ввод'!N456="","",'Оперативный ввод'!N456)</f>
        <v/>
      </c>
      <c r="O456" s="172">
        <f>IF('Оперативный ввод'!O456="","",'Оперативный ввод'!O456)</f>
        <v/>
      </c>
      <c r="P456" s="205">
        <f>IF(AND(A456="",B456=""),"",IF(AND(A456&lt;&gt;"",B456&lt;&gt;"",C456&lt;&gt;"",D456&lt;&gt;"",F456&lt;&gt;"",G456&lt;&gt;"",H456&lt;&gt;"",ISERROR(SEARCH("по паспорту",G456)),ISERROR(SEARCH("по паспорту",H456)),I456&lt;&gt;"",J456&lt;&gt;"",K456&lt;&gt;"",L456&lt;&gt;"",M456&lt;&gt;""),"ГОТОВО","НЕ ГОТОВО"))</f>
        <v/>
      </c>
      <c r="Q456" s="205">
        <f>IF(P456&lt;&gt;"ГОТОВО","", "Предварительное заключение: "&amp;A456&amp;", скв. "&amp;B456&amp;". МРП: "&amp;E456&amp;" сут. ГНО: "&amp;F456&amp;", типоразмер "&amp;G456&amp;", марка "&amp;H456&amp;". Событие: "&amp;I456&amp;". Признак: "&amp;J456&amp;". Узел: "&amp;K456&amp;". Предварительная причина: "&amp;L456&amp;". Основное осложнение: "&amp;M456&amp;IF(N456&lt;&gt;"","; сопутствующее: "&amp;N456,"")&amp;IF(O456&lt;&gt;"","; дополнительно: "&amp;O456,"")&amp;".")</f>
        <v/>
      </c>
      <c r="R456" s="172">
        <f>IF('Оперативный ввод'!P456="","",'Оперативный ввод'!P456)</f>
        <v/>
      </c>
      <c r="S456" s="172">
        <f>IF('Оперативный ввод'!Q456="","",'Оперативный ввод'!Q456)</f>
        <v/>
      </c>
      <c r="T456" s="172">
        <f>IF('Оперативный ввод'!R456="","",'Оперативный ввод'!R456)</f>
        <v/>
      </c>
      <c r="U456" s="172">
        <f>IF('Оперативный ввод'!S456="","",'Оперативный ввод'!S456)</f>
        <v/>
      </c>
      <c r="V456" s="172">
        <f>IF('Оперативный ввод'!T456="","",'Оперативный ввод'!T456)</f>
        <v/>
      </c>
      <c r="W456" s="172" t="n"/>
      <c r="X456" s="172" t="n"/>
      <c r="Y456" s="172" t="n"/>
      <c r="Z456" s="172" t="n"/>
      <c r="AA456" s="172">
        <f>IF('Оперативный ввод'!U456="","",'Оперативный ввод'!U456)</f>
        <v/>
      </c>
      <c r="AB456" s="172">
        <f>IF('Оперативный ввод'!V456="","",'Оперативный ввод'!V456)</f>
        <v/>
      </c>
      <c r="AC456" s="172">
        <f>IF('Оперативный ввод'!W456="","",'Оперативный ввод'!W456)</f>
        <v/>
      </c>
      <c r="BB456" s="172" t="n"/>
      <c r="BC456" s="172" t="n"/>
      <c r="BD456" s="205">
        <f>IF(AND(A456="",B456=""),"",IF(AND(P456="ГОТОВО",R456&lt;&gt;"",T456&lt;&gt;"",U456&lt;&gt;"",AA456&lt;&gt;"",AB456&lt;&gt;"",AC456&lt;&gt;"",BB456&lt;&gt;"",BC456&lt;&gt;""),"ГОТОВО","НЕ ГОТОВО"))</f>
        <v/>
      </c>
      <c r="BE456" s="205">
        <f>IF(BD456&lt;&gt;"ГОТОВО","","Полное заключение: "&amp;A456&amp;", скв. "&amp;B456&amp;". МРП: "&amp;E456&amp;" сут. ГНО: "&amp;F456&amp;"; причина: "&amp;U456&amp;"; категория: "&amp;V456&amp;"; решение комиссии: "&amp;BB456&amp;".")</f>
        <v/>
      </c>
      <c r="BF456" s="173">
        <f>IF('Оперативный ввод'!X456="","",'Оперативный ввод'!X456)</f>
        <v/>
      </c>
    </row>
    <row r="457">
      <c r="A457" s="171">
        <f>IF('Оперативный ввод'!A457="","",'Оперативный ввод'!A457)</f>
        <v/>
      </c>
      <c r="B457" s="172">
        <f>IF('Оперативный ввод'!B457="","",'Оперативный ввод'!B457)</f>
        <v/>
      </c>
      <c r="C457" s="270">
        <f>IF('Оперативный ввод'!C457="","",'Оперативный ввод'!C457)</f>
        <v/>
      </c>
      <c r="D457" s="270">
        <f>IF('Оперативный ввод'!D457="","",'Оперативный ввод'!D457)</f>
        <v/>
      </c>
      <c r="E457" s="271">
        <f>IF(OR(C457="",D457=""),"",D457-C457)</f>
        <v/>
      </c>
      <c r="F457" s="172">
        <f>IF('Оперативный ввод'!F457="","",'Оперативный ввод'!F457)</f>
        <v/>
      </c>
      <c r="G457" s="172">
        <f>IF('Оперативный ввод'!G457="","",'Оперативный ввод'!G457)</f>
        <v/>
      </c>
      <c r="H457" s="172">
        <f>IF('Оперативный ввод'!H457="","",'Оперативный ввод'!H457)</f>
        <v/>
      </c>
      <c r="I457" s="172">
        <f>IF('Оперативный ввод'!I457="","",'Оперативный ввод'!I457)</f>
        <v/>
      </c>
      <c r="J457" s="172">
        <f>IF('Оперативный ввод'!J457="","",'Оперативный ввод'!J457)</f>
        <v/>
      </c>
      <c r="K457" s="172">
        <f>IF('Оперативный ввод'!K457="","",'Оперативный ввод'!K457)</f>
        <v/>
      </c>
      <c r="L457" s="172">
        <f>IF('Оперативный ввод'!L457="","",'Оперативный ввод'!L457)</f>
        <v/>
      </c>
      <c r="M457" s="172">
        <f>IF('Оперативный ввод'!M457="","",'Оперативный ввод'!M457)</f>
        <v/>
      </c>
      <c r="N457" s="172">
        <f>IF('Оперативный ввод'!N457="","",'Оперативный ввод'!N457)</f>
        <v/>
      </c>
      <c r="O457" s="172">
        <f>IF('Оперативный ввод'!O457="","",'Оперативный ввод'!O457)</f>
        <v/>
      </c>
      <c r="P457" s="205">
        <f>IF(AND(A457="",B457=""),"",IF(AND(A457&lt;&gt;"",B457&lt;&gt;"",C457&lt;&gt;"",D457&lt;&gt;"",F457&lt;&gt;"",G457&lt;&gt;"",H457&lt;&gt;"",ISERROR(SEARCH("по паспорту",G457)),ISERROR(SEARCH("по паспорту",H457)),I457&lt;&gt;"",J457&lt;&gt;"",K457&lt;&gt;"",L457&lt;&gt;"",M457&lt;&gt;""),"ГОТОВО","НЕ ГОТОВО"))</f>
        <v/>
      </c>
      <c r="Q457" s="205">
        <f>IF(P457&lt;&gt;"ГОТОВО","", "Предварительное заключение: "&amp;A457&amp;", скв. "&amp;B457&amp;". МРП: "&amp;E457&amp;" сут. ГНО: "&amp;F457&amp;", типоразмер "&amp;G457&amp;", марка "&amp;H457&amp;". Событие: "&amp;I457&amp;". Признак: "&amp;J457&amp;". Узел: "&amp;K457&amp;". Предварительная причина: "&amp;L457&amp;". Основное осложнение: "&amp;M457&amp;IF(N457&lt;&gt;"","; сопутствующее: "&amp;N457,"")&amp;IF(O457&lt;&gt;"","; дополнительно: "&amp;O457,"")&amp;".")</f>
        <v/>
      </c>
      <c r="R457" s="172">
        <f>IF('Оперативный ввод'!P457="","",'Оперативный ввод'!P457)</f>
        <v/>
      </c>
      <c r="S457" s="172">
        <f>IF('Оперативный ввод'!Q457="","",'Оперативный ввод'!Q457)</f>
        <v/>
      </c>
      <c r="T457" s="172">
        <f>IF('Оперативный ввод'!R457="","",'Оперативный ввод'!R457)</f>
        <v/>
      </c>
      <c r="U457" s="172">
        <f>IF('Оперативный ввод'!S457="","",'Оперативный ввод'!S457)</f>
        <v/>
      </c>
      <c r="V457" s="172">
        <f>IF('Оперативный ввод'!T457="","",'Оперативный ввод'!T457)</f>
        <v/>
      </c>
      <c r="W457" s="172" t="n"/>
      <c r="X457" s="172" t="n"/>
      <c r="Y457" s="172" t="n"/>
      <c r="Z457" s="172" t="n"/>
      <c r="AA457" s="172">
        <f>IF('Оперативный ввод'!U457="","",'Оперативный ввод'!U457)</f>
        <v/>
      </c>
      <c r="AB457" s="172">
        <f>IF('Оперативный ввод'!V457="","",'Оперативный ввод'!V457)</f>
        <v/>
      </c>
      <c r="AC457" s="172">
        <f>IF('Оперативный ввод'!W457="","",'Оперативный ввод'!W457)</f>
        <v/>
      </c>
      <c r="BB457" s="172" t="n"/>
      <c r="BC457" s="172" t="n"/>
      <c r="BD457" s="205">
        <f>IF(AND(A457="",B457=""),"",IF(AND(P457="ГОТОВО",R457&lt;&gt;"",T457&lt;&gt;"",U457&lt;&gt;"",AA457&lt;&gt;"",AB457&lt;&gt;"",AC457&lt;&gt;"",BB457&lt;&gt;"",BC457&lt;&gt;""),"ГОТОВО","НЕ ГОТОВО"))</f>
        <v/>
      </c>
      <c r="BE457" s="205">
        <f>IF(BD457&lt;&gt;"ГОТОВО","","Полное заключение: "&amp;A457&amp;", скв. "&amp;B457&amp;". МРП: "&amp;E457&amp;" сут. ГНО: "&amp;F457&amp;"; причина: "&amp;U457&amp;"; категория: "&amp;V457&amp;"; решение комиссии: "&amp;BB457&amp;".")</f>
        <v/>
      </c>
      <c r="BF457" s="173">
        <f>IF('Оперативный ввод'!X457="","",'Оперативный ввод'!X457)</f>
        <v/>
      </c>
    </row>
    <row r="458">
      <c r="A458" s="171">
        <f>IF('Оперативный ввод'!A458="","",'Оперативный ввод'!A458)</f>
        <v/>
      </c>
      <c r="B458" s="172">
        <f>IF('Оперативный ввод'!B458="","",'Оперативный ввод'!B458)</f>
        <v/>
      </c>
      <c r="C458" s="270">
        <f>IF('Оперативный ввод'!C458="","",'Оперативный ввод'!C458)</f>
        <v/>
      </c>
      <c r="D458" s="270">
        <f>IF('Оперативный ввод'!D458="","",'Оперативный ввод'!D458)</f>
        <v/>
      </c>
      <c r="E458" s="271">
        <f>IF(OR(C458="",D458=""),"",D458-C458)</f>
        <v/>
      </c>
      <c r="F458" s="172">
        <f>IF('Оперативный ввод'!F458="","",'Оперативный ввод'!F458)</f>
        <v/>
      </c>
      <c r="G458" s="172">
        <f>IF('Оперативный ввод'!G458="","",'Оперативный ввод'!G458)</f>
        <v/>
      </c>
      <c r="H458" s="172">
        <f>IF('Оперативный ввод'!H458="","",'Оперативный ввод'!H458)</f>
        <v/>
      </c>
      <c r="I458" s="172">
        <f>IF('Оперативный ввод'!I458="","",'Оперативный ввод'!I458)</f>
        <v/>
      </c>
      <c r="J458" s="172">
        <f>IF('Оперативный ввод'!J458="","",'Оперативный ввод'!J458)</f>
        <v/>
      </c>
      <c r="K458" s="172">
        <f>IF('Оперативный ввод'!K458="","",'Оперативный ввод'!K458)</f>
        <v/>
      </c>
      <c r="L458" s="172">
        <f>IF('Оперативный ввод'!L458="","",'Оперативный ввод'!L458)</f>
        <v/>
      </c>
      <c r="M458" s="172">
        <f>IF('Оперативный ввод'!M458="","",'Оперативный ввод'!M458)</f>
        <v/>
      </c>
      <c r="N458" s="172">
        <f>IF('Оперативный ввод'!N458="","",'Оперативный ввод'!N458)</f>
        <v/>
      </c>
      <c r="O458" s="172">
        <f>IF('Оперативный ввод'!O458="","",'Оперативный ввод'!O458)</f>
        <v/>
      </c>
      <c r="P458" s="205">
        <f>IF(AND(A458="",B458=""),"",IF(AND(A458&lt;&gt;"",B458&lt;&gt;"",C458&lt;&gt;"",D458&lt;&gt;"",F458&lt;&gt;"",G458&lt;&gt;"",H458&lt;&gt;"",ISERROR(SEARCH("по паспорту",G458)),ISERROR(SEARCH("по паспорту",H458)),I458&lt;&gt;"",J458&lt;&gt;"",K458&lt;&gt;"",L458&lt;&gt;"",M458&lt;&gt;""),"ГОТОВО","НЕ ГОТОВО"))</f>
        <v/>
      </c>
      <c r="Q458" s="205">
        <f>IF(P458&lt;&gt;"ГОТОВО","", "Предварительное заключение: "&amp;A458&amp;", скв. "&amp;B458&amp;". МРП: "&amp;E458&amp;" сут. ГНО: "&amp;F458&amp;", типоразмер "&amp;G458&amp;", марка "&amp;H458&amp;". Событие: "&amp;I458&amp;". Признак: "&amp;J458&amp;". Узел: "&amp;K458&amp;". Предварительная причина: "&amp;L458&amp;". Основное осложнение: "&amp;M458&amp;IF(N458&lt;&gt;"","; сопутствующее: "&amp;N458,"")&amp;IF(O458&lt;&gt;"","; дополнительно: "&amp;O458,"")&amp;".")</f>
        <v/>
      </c>
      <c r="R458" s="172">
        <f>IF('Оперативный ввод'!P458="","",'Оперативный ввод'!P458)</f>
        <v/>
      </c>
      <c r="S458" s="172">
        <f>IF('Оперативный ввод'!Q458="","",'Оперативный ввод'!Q458)</f>
        <v/>
      </c>
      <c r="T458" s="172">
        <f>IF('Оперативный ввод'!R458="","",'Оперативный ввод'!R458)</f>
        <v/>
      </c>
      <c r="U458" s="172">
        <f>IF('Оперативный ввод'!S458="","",'Оперативный ввод'!S458)</f>
        <v/>
      </c>
      <c r="V458" s="172">
        <f>IF('Оперативный ввод'!T458="","",'Оперативный ввод'!T458)</f>
        <v/>
      </c>
      <c r="W458" s="172" t="n"/>
      <c r="X458" s="172" t="n"/>
      <c r="Y458" s="172" t="n"/>
      <c r="Z458" s="172" t="n"/>
      <c r="AA458" s="172">
        <f>IF('Оперативный ввод'!U458="","",'Оперативный ввод'!U458)</f>
        <v/>
      </c>
      <c r="AB458" s="172">
        <f>IF('Оперативный ввод'!V458="","",'Оперативный ввод'!V458)</f>
        <v/>
      </c>
      <c r="AC458" s="172">
        <f>IF('Оперативный ввод'!W458="","",'Оперативный ввод'!W458)</f>
        <v/>
      </c>
      <c r="BB458" s="172" t="n"/>
      <c r="BC458" s="172" t="n"/>
      <c r="BD458" s="205">
        <f>IF(AND(A458="",B458=""),"",IF(AND(P458="ГОТОВО",R458&lt;&gt;"",T458&lt;&gt;"",U458&lt;&gt;"",AA458&lt;&gt;"",AB458&lt;&gt;"",AC458&lt;&gt;"",BB458&lt;&gt;"",BC458&lt;&gt;""),"ГОТОВО","НЕ ГОТОВО"))</f>
        <v/>
      </c>
      <c r="BE458" s="205">
        <f>IF(BD458&lt;&gt;"ГОТОВО","","Полное заключение: "&amp;A458&amp;", скв. "&amp;B458&amp;". МРП: "&amp;E458&amp;" сут. ГНО: "&amp;F458&amp;"; причина: "&amp;U458&amp;"; категория: "&amp;V458&amp;"; решение комиссии: "&amp;BB458&amp;".")</f>
        <v/>
      </c>
      <c r="BF458" s="173">
        <f>IF('Оперативный ввод'!X458="","",'Оперативный ввод'!X458)</f>
        <v/>
      </c>
    </row>
    <row r="459">
      <c r="A459" s="171">
        <f>IF('Оперативный ввод'!A459="","",'Оперативный ввод'!A459)</f>
        <v/>
      </c>
      <c r="B459" s="172">
        <f>IF('Оперативный ввод'!B459="","",'Оперативный ввод'!B459)</f>
        <v/>
      </c>
      <c r="C459" s="270">
        <f>IF('Оперативный ввод'!C459="","",'Оперативный ввод'!C459)</f>
        <v/>
      </c>
      <c r="D459" s="270">
        <f>IF('Оперативный ввод'!D459="","",'Оперативный ввод'!D459)</f>
        <v/>
      </c>
      <c r="E459" s="271">
        <f>IF(OR(C459="",D459=""),"",D459-C459)</f>
        <v/>
      </c>
      <c r="F459" s="172">
        <f>IF('Оперативный ввод'!F459="","",'Оперативный ввод'!F459)</f>
        <v/>
      </c>
      <c r="G459" s="172">
        <f>IF('Оперативный ввод'!G459="","",'Оперативный ввод'!G459)</f>
        <v/>
      </c>
      <c r="H459" s="172">
        <f>IF('Оперативный ввод'!H459="","",'Оперативный ввод'!H459)</f>
        <v/>
      </c>
      <c r="I459" s="172">
        <f>IF('Оперативный ввод'!I459="","",'Оперативный ввод'!I459)</f>
        <v/>
      </c>
      <c r="J459" s="172">
        <f>IF('Оперативный ввод'!J459="","",'Оперативный ввод'!J459)</f>
        <v/>
      </c>
      <c r="K459" s="172">
        <f>IF('Оперативный ввод'!K459="","",'Оперативный ввод'!K459)</f>
        <v/>
      </c>
      <c r="L459" s="172">
        <f>IF('Оперативный ввод'!L459="","",'Оперативный ввод'!L459)</f>
        <v/>
      </c>
      <c r="M459" s="172">
        <f>IF('Оперативный ввод'!M459="","",'Оперативный ввод'!M459)</f>
        <v/>
      </c>
      <c r="N459" s="172">
        <f>IF('Оперативный ввод'!N459="","",'Оперативный ввод'!N459)</f>
        <v/>
      </c>
      <c r="O459" s="172">
        <f>IF('Оперативный ввод'!O459="","",'Оперативный ввод'!O459)</f>
        <v/>
      </c>
      <c r="P459" s="205">
        <f>IF(AND(A459="",B459=""),"",IF(AND(A459&lt;&gt;"",B459&lt;&gt;"",C459&lt;&gt;"",D459&lt;&gt;"",F459&lt;&gt;"",G459&lt;&gt;"",H459&lt;&gt;"",ISERROR(SEARCH("по паспорту",G459)),ISERROR(SEARCH("по паспорту",H459)),I459&lt;&gt;"",J459&lt;&gt;"",K459&lt;&gt;"",L459&lt;&gt;"",M459&lt;&gt;""),"ГОТОВО","НЕ ГОТОВО"))</f>
        <v/>
      </c>
      <c r="Q459" s="205">
        <f>IF(P459&lt;&gt;"ГОТОВО","", "Предварительное заключение: "&amp;A459&amp;", скв. "&amp;B459&amp;". МРП: "&amp;E459&amp;" сут. ГНО: "&amp;F459&amp;", типоразмер "&amp;G459&amp;", марка "&amp;H459&amp;". Событие: "&amp;I459&amp;". Признак: "&amp;J459&amp;". Узел: "&amp;K459&amp;". Предварительная причина: "&amp;L459&amp;". Основное осложнение: "&amp;M459&amp;IF(N459&lt;&gt;"","; сопутствующее: "&amp;N459,"")&amp;IF(O459&lt;&gt;"","; дополнительно: "&amp;O459,"")&amp;".")</f>
        <v/>
      </c>
      <c r="R459" s="172">
        <f>IF('Оперативный ввод'!P459="","",'Оперативный ввод'!P459)</f>
        <v/>
      </c>
      <c r="S459" s="172">
        <f>IF('Оперативный ввод'!Q459="","",'Оперативный ввод'!Q459)</f>
        <v/>
      </c>
      <c r="T459" s="172">
        <f>IF('Оперативный ввод'!R459="","",'Оперативный ввод'!R459)</f>
        <v/>
      </c>
      <c r="U459" s="172">
        <f>IF('Оперативный ввод'!S459="","",'Оперативный ввод'!S459)</f>
        <v/>
      </c>
      <c r="V459" s="172">
        <f>IF('Оперативный ввод'!T459="","",'Оперативный ввод'!T459)</f>
        <v/>
      </c>
      <c r="W459" s="172" t="n"/>
      <c r="X459" s="172" t="n"/>
      <c r="Y459" s="172" t="n"/>
      <c r="Z459" s="172" t="n"/>
      <c r="AA459" s="172">
        <f>IF('Оперативный ввод'!U459="","",'Оперативный ввод'!U459)</f>
        <v/>
      </c>
      <c r="AB459" s="172">
        <f>IF('Оперативный ввод'!V459="","",'Оперативный ввод'!V459)</f>
        <v/>
      </c>
      <c r="AC459" s="172">
        <f>IF('Оперативный ввод'!W459="","",'Оперативный ввод'!W459)</f>
        <v/>
      </c>
      <c r="BB459" s="172" t="n"/>
      <c r="BC459" s="172" t="n"/>
      <c r="BD459" s="205">
        <f>IF(AND(A459="",B459=""),"",IF(AND(P459="ГОТОВО",R459&lt;&gt;"",T459&lt;&gt;"",U459&lt;&gt;"",AA459&lt;&gt;"",AB459&lt;&gt;"",AC459&lt;&gt;"",BB459&lt;&gt;"",BC459&lt;&gt;""),"ГОТОВО","НЕ ГОТОВО"))</f>
        <v/>
      </c>
      <c r="BE459" s="205">
        <f>IF(BD459&lt;&gt;"ГОТОВО","","Полное заключение: "&amp;A459&amp;", скв. "&amp;B459&amp;". МРП: "&amp;E459&amp;" сут. ГНО: "&amp;F459&amp;"; причина: "&amp;U459&amp;"; категория: "&amp;V459&amp;"; решение комиссии: "&amp;BB459&amp;".")</f>
        <v/>
      </c>
      <c r="BF459" s="173">
        <f>IF('Оперативный ввод'!X459="","",'Оперативный ввод'!X459)</f>
        <v/>
      </c>
    </row>
    <row r="460">
      <c r="A460" s="171">
        <f>IF('Оперативный ввод'!A460="","",'Оперативный ввод'!A460)</f>
        <v/>
      </c>
      <c r="B460" s="172">
        <f>IF('Оперативный ввод'!B460="","",'Оперативный ввод'!B460)</f>
        <v/>
      </c>
      <c r="C460" s="270">
        <f>IF('Оперативный ввод'!C460="","",'Оперативный ввод'!C460)</f>
        <v/>
      </c>
      <c r="D460" s="270">
        <f>IF('Оперативный ввод'!D460="","",'Оперативный ввод'!D460)</f>
        <v/>
      </c>
      <c r="E460" s="271">
        <f>IF(OR(C460="",D460=""),"",D460-C460)</f>
        <v/>
      </c>
      <c r="F460" s="172">
        <f>IF('Оперативный ввод'!F460="","",'Оперативный ввод'!F460)</f>
        <v/>
      </c>
      <c r="G460" s="172">
        <f>IF('Оперативный ввод'!G460="","",'Оперативный ввод'!G460)</f>
        <v/>
      </c>
      <c r="H460" s="172">
        <f>IF('Оперативный ввод'!H460="","",'Оперативный ввод'!H460)</f>
        <v/>
      </c>
      <c r="I460" s="172">
        <f>IF('Оперативный ввод'!I460="","",'Оперативный ввод'!I460)</f>
        <v/>
      </c>
      <c r="J460" s="172">
        <f>IF('Оперативный ввод'!J460="","",'Оперативный ввод'!J460)</f>
        <v/>
      </c>
      <c r="K460" s="172">
        <f>IF('Оперативный ввод'!K460="","",'Оперативный ввод'!K460)</f>
        <v/>
      </c>
      <c r="L460" s="172">
        <f>IF('Оперативный ввод'!L460="","",'Оперативный ввод'!L460)</f>
        <v/>
      </c>
      <c r="M460" s="172">
        <f>IF('Оперативный ввод'!M460="","",'Оперативный ввод'!M460)</f>
        <v/>
      </c>
      <c r="N460" s="172">
        <f>IF('Оперативный ввод'!N460="","",'Оперативный ввод'!N460)</f>
        <v/>
      </c>
      <c r="O460" s="172">
        <f>IF('Оперативный ввод'!O460="","",'Оперативный ввод'!O460)</f>
        <v/>
      </c>
      <c r="P460" s="205">
        <f>IF(AND(A460="",B460=""),"",IF(AND(A460&lt;&gt;"",B460&lt;&gt;"",C460&lt;&gt;"",D460&lt;&gt;"",F460&lt;&gt;"",G460&lt;&gt;"",H460&lt;&gt;"",ISERROR(SEARCH("по паспорту",G460)),ISERROR(SEARCH("по паспорту",H460)),I460&lt;&gt;"",J460&lt;&gt;"",K460&lt;&gt;"",L460&lt;&gt;"",M460&lt;&gt;""),"ГОТОВО","НЕ ГОТОВО"))</f>
        <v/>
      </c>
      <c r="Q460" s="205">
        <f>IF(P460&lt;&gt;"ГОТОВО","", "Предварительное заключение: "&amp;A460&amp;", скв. "&amp;B460&amp;". МРП: "&amp;E460&amp;" сут. ГНО: "&amp;F460&amp;", типоразмер "&amp;G460&amp;", марка "&amp;H460&amp;". Событие: "&amp;I460&amp;". Признак: "&amp;J460&amp;". Узел: "&amp;K460&amp;". Предварительная причина: "&amp;L460&amp;". Основное осложнение: "&amp;M460&amp;IF(N460&lt;&gt;"","; сопутствующее: "&amp;N460,"")&amp;IF(O460&lt;&gt;"","; дополнительно: "&amp;O460,"")&amp;".")</f>
        <v/>
      </c>
      <c r="R460" s="172">
        <f>IF('Оперативный ввод'!P460="","",'Оперативный ввод'!P460)</f>
        <v/>
      </c>
      <c r="S460" s="172">
        <f>IF('Оперативный ввод'!Q460="","",'Оперативный ввод'!Q460)</f>
        <v/>
      </c>
      <c r="T460" s="172">
        <f>IF('Оперативный ввод'!R460="","",'Оперативный ввод'!R460)</f>
        <v/>
      </c>
      <c r="U460" s="172">
        <f>IF('Оперативный ввод'!S460="","",'Оперативный ввод'!S460)</f>
        <v/>
      </c>
      <c r="V460" s="172">
        <f>IF('Оперативный ввод'!T460="","",'Оперативный ввод'!T460)</f>
        <v/>
      </c>
      <c r="W460" s="172" t="n"/>
      <c r="X460" s="172" t="n"/>
      <c r="Y460" s="172" t="n"/>
      <c r="Z460" s="172" t="n"/>
      <c r="AA460" s="172">
        <f>IF('Оперативный ввод'!U460="","",'Оперативный ввод'!U460)</f>
        <v/>
      </c>
      <c r="AB460" s="172">
        <f>IF('Оперативный ввод'!V460="","",'Оперативный ввод'!V460)</f>
        <v/>
      </c>
      <c r="AC460" s="172">
        <f>IF('Оперативный ввод'!W460="","",'Оперативный ввод'!W460)</f>
        <v/>
      </c>
      <c r="BB460" s="172" t="n"/>
      <c r="BC460" s="172" t="n"/>
      <c r="BD460" s="205">
        <f>IF(AND(A460="",B460=""),"",IF(AND(P460="ГОТОВО",R460&lt;&gt;"",T460&lt;&gt;"",U460&lt;&gt;"",AA460&lt;&gt;"",AB460&lt;&gt;"",AC460&lt;&gt;"",BB460&lt;&gt;"",BC460&lt;&gt;""),"ГОТОВО","НЕ ГОТОВО"))</f>
        <v/>
      </c>
      <c r="BE460" s="205">
        <f>IF(BD460&lt;&gt;"ГОТОВО","","Полное заключение: "&amp;A460&amp;", скв. "&amp;B460&amp;". МРП: "&amp;E460&amp;" сут. ГНО: "&amp;F460&amp;"; причина: "&amp;U460&amp;"; категория: "&amp;V460&amp;"; решение комиссии: "&amp;BB460&amp;".")</f>
        <v/>
      </c>
      <c r="BF460" s="173">
        <f>IF('Оперативный ввод'!X460="","",'Оперативный ввод'!X460)</f>
        <v/>
      </c>
    </row>
    <row r="461">
      <c r="A461" s="171">
        <f>IF('Оперативный ввод'!A461="","",'Оперативный ввод'!A461)</f>
        <v/>
      </c>
      <c r="B461" s="172">
        <f>IF('Оперативный ввод'!B461="","",'Оперативный ввод'!B461)</f>
        <v/>
      </c>
      <c r="C461" s="270">
        <f>IF('Оперативный ввод'!C461="","",'Оперативный ввод'!C461)</f>
        <v/>
      </c>
      <c r="D461" s="270">
        <f>IF('Оперативный ввод'!D461="","",'Оперативный ввод'!D461)</f>
        <v/>
      </c>
      <c r="E461" s="271">
        <f>IF(OR(C461="",D461=""),"",D461-C461)</f>
        <v/>
      </c>
      <c r="F461" s="172">
        <f>IF('Оперативный ввод'!F461="","",'Оперативный ввод'!F461)</f>
        <v/>
      </c>
      <c r="G461" s="172">
        <f>IF('Оперативный ввод'!G461="","",'Оперативный ввод'!G461)</f>
        <v/>
      </c>
      <c r="H461" s="172">
        <f>IF('Оперативный ввод'!H461="","",'Оперативный ввод'!H461)</f>
        <v/>
      </c>
      <c r="I461" s="172">
        <f>IF('Оперативный ввод'!I461="","",'Оперативный ввод'!I461)</f>
        <v/>
      </c>
      <c r="J461" s="172">
        <f>IF('Оперативный ввод'!J461="","",'Оперативный ввод'!J461)</f>
        <v/>
      </c>
      <c r="K461" s="172">
        <f>IF('Оперативный ввод'!K461="","",'Оперативный ввод'!K461)</f>
        <v/>
      </c>
      <c r="L461" s="172">
        <f>IF('Оперативный ввод'!L461="","",'Оперативный ввод'!L461)</f>
        <v/>
      </c>
      <c r="M461" s="172">
        <f>IF('Оперативный ввод'!M461="","",'Оперативный ввод'!M461)</f>
        <v/>
      </c>
      <c r="N461" s="172">
        <f>IF('Оперативный ввод'!N461="","",'Оперативный ввод'!N461)</f>
        <v/>
      </c>
      <c r="O461" s="172">
        <f>IF('Оперативный ввод'!O461="","",'Оперативный ввод'!O461)</f>
        <v/>
      </c>
      <c r="P461" s="205">
        <f>IF(AND(A461="",B461=""),"",IF(AND(A461&lt;&gt;"",B461&lt;&gt;"",C461&lt;&gt;"",D461&lt;&gt;"",F461&lt;&gt;"",G461&lt;&gt;"",H461&lt;&gt;"",ISERROR(SEARCH("по паспорту",G461)),ISERROR(SEARCH("по паспорту",H461)),I461&lt;&gt;"",J461&lt;&gt;"",K461&lt;&gt;"",L461&lt;&gt;"",M461&lt;&gt;""),"ГОТОВО","НЕ ГОТОВО"))</f>
        <v/>
      </c>
      <c r="Q461" s="205">
        <f>IF(P461&lt;&gt;"ГОТОВО","", "Предварительное заключение: "&amp;A461&amp;", скв. "&amp;B461&amp;". МРП: "&amp;E461&amp;" сут. ГНО: "&amp;F461&amp;", типоразмер "&amp;G461&amp;", марка "&amp;H461&amp;". Событие: "&amp;I461&amp;". Признак: "&amp;J461&amp;". Узел: "&amp;K461&amp;". Предварительная причина: "&amp;L461&amp;". Основное осложнение: "&amp;M461&amp;IF(N461&lt;&gt;"","; сопутствующее: "&amp;N461,"")&amp;IF(O461&lt;&gt;"","; дополнительно: "&amp;O461,"")&amp;".")</f>
        <v/>
      </c>
      <c r="R461" s="172">
        <f>IF('Оперативный ввод'!P461="","",'Оперативный ввод'!P461)</f>
        <v/>
      </c>
      <c r="S461" s="172">
        <f>IF('Оперативный ввод'!Q461="","",'Оперативный ввод'!Q461)</f>
        <v/>
      </c>
      <c r="T461" s="172">
        <f>IF('Оперативный ввод'!R461="","",'Оперативный ввод'!R461)</f>
        <v/>
      </c>
      <c r="U461" s="172">
        <f>IF('Оперативный ввод'!S461="","",'Оперативный ввод'!S461)</f>
        <v/>
      </c>
      <c r="V461" s="172">
        <f>IF('Оперативный ввод'!T461="","",'Оперативный ввод'!T461)</f>
        <v/>
      </c>
      <c r="W461" s="172" t="n"/>
      <c r="X461" s="172" t="n"/>
      <c r="Y461" s="172" t="n"/>
      <c r="Z461" s="172" t="n"/>
      <c r="AA461" s="172">
        <f>IF('Оперативный ввод'!U461="","",'Оперативный ввод'!U461)</f>
        <v/>
      </c>
      <c r="AB461" s="172">
        <f>IF('Оперативный ввод'!V461="","",'Оперативный ввод'!V461)</f>
        <v/>
      </c>
      <c r="AC461" s="172">
        <f>IF('Оперативный ввод'!W461="","",'Оперативный ввод'!W461)</f>
        <v/>
      </c>
      <c r="BB461" s="172" t="n"/>
      <c r="BC461" s="172" t="n"/>
      <c r="BD461" s="205">
        <f>IF(AND(A461="",B461=""),"",IF(AND(P461="ГОТОВО",R461&lt;&gt;"",T461&lt;&gt;"",U461&lt;&gt;"",AA461&lt;&gt;"",AB461&lt;&gt;"",AC461&lt;&gt;"",BB461&lt;&gt;"",BC461&lt;&gt;""),"ГОТОВО","НЕ ГОТОВО"))</f>
        <v/>
      </c>
      <c r="BE461" s="205">
        <f>IF(BD461&lt;&gt;"ГОТОВО","","Полное заключение: "&amp;A461&amp;", скв. "&amp;B461&amp;". МРП: "&amp;E461&amp;" сут. ГНО: "&amp;F461&amp;"; причина: "&amp;U461&amp;"; категория: "&amp;V461&amp;"; решение комиссии: "&amp;BB461&amp;".")</f>
        <v/>
      </c>
      <c r="BF461" s="173">
        <f>IF('Оперативный ввод'!X461="","",'Оперативный ввод'!X461)</f>
        <v/>
      </c>
    </row>
    <row r="462">
      <c r="A462" s="171">
        <f>IF('Оперативный ввод'!A462="","",'Оперативный ввод'!A462)</f>
        <v/>
      </c>
      <c r="B462" s="172">
        <f>IF('Оперативный ввод'!B462="","",'Оперативный ввод'!B462)</f>
        <v/>
      </c>
      <c r="C462" s="270">
        <f>IF('Оперативный ввод'!C462="","",'Оперативный ввод'!C462)</f>
        <v/>
      </c>
      <c r="D462" s="270">
        <f>IF('Оперативный ввод'!D462="","",'Оперативный ввод'!D462)</f>
        <v/>
      </c>
      <c r="E462" s="271">
        <f>IF(OR(C462="",D462=""),"",D462-C462)</f>
        <v/>
      </c>
      <c r="F462" s="172">
        <f>IF('Оперативный ввод'!F462="","",'Оперативный ввод'!F462)</f>
        <v/>
      </c>
      <c r="G462" s="172">
        <f>IF('Оперативный ввод'!G462="","",'Оперативный ввод'!G462)</f>
        <v/>
      </c>
      <c r="H462" s="172">
        <f>IF('Оперативный ввод'!H462="","",'Оперативный ввод'!H462)</f>
        <v/>
      </c>
      <c r="I462" s="172">
        <f>IF('Оперативный ввод'!I462="","",'Оперативный ввод'!I462)</f>
        <v/>
      </c>
      <c r="J462" s="172">
        <f>IF('Оперативный ввод'!J462="","",'Оперативный ввод'!J462)</f>
        <v/>
      </c>
      <c r="K462" s="172">
        <f>IF('Оперативный ввод'!K462="","",'Оперативный ввод'!K462)</f>
        <v/>
      </c>
      <c r="L462" s="172">
        <f>IF('Оперативный ввод'!L462="","",'Оперативный ввод'!L462)</f>
        <v/>
      </c>
      <c r="M462" s="172">
        <f>IF('Оперативный ввод'!M462="","",'Оперативный ввод'!M462)</f>
        <v/>
      </c>
      <c r="N462" s="172">
        <f>IF('Оперативный ввод'!N462="","",'Оперативный ввод'!N462)</f>
        <v/>
      </c>
      <c r="O462" s="172">
        <f>IF('Оперативный ввод'!O462="","",'Оперативный ввод'!O462)</f>
        <v/>
      </c>
      <c r="P462" s="205">
        <f>IF(AND(A462="",B462=""),"",IF(AND(A462&lt;&gt;"",B462&lt;&gt;"",C462&lt;&gt;"",D462&lt;&gt;"",F462&lt;&gt;"",G462&lt;&gt;"",H462&lt;&gt;"",ISERROR(SEARCH("по паспорту",G462)),ISERROR(SEARCH("по паспорту",H462)),I462&lt;&gt;"",J462&lt;&gt;"",K462&lt;&gt;"",L462&lt;&gt;"",M462&lt;&gt;""),"ГОТОВО","НЕ ГОТОВО"))</f>
        <v/>
      </c>
      <c r="Q462" s="205">
        <f>IF(P462&lt;&gt;"ГОТОВО","", "Предварительное заключение: "&amp;A462&amp;", скв. "&amp;B462&amp;". МРП: "&amp;E462&amp;" сут. ГНО: "&amp;F462&amp;", типоразмер "&amp;G462&amp;", марка "&amp;H462&amp;". Событие: "&amp;I462&amp;". Признак: "&amp;J462&amp;". Узел: "&amp;K462&amp;". Предварительная причина: "&amp;L462&amp;". Основное осложнение: "&amp;M462&amp;IF(N462&lt;&gt;"","; сопутствующее: "&amp;N462,"")&amp;IF(O462&lt;&gt;"","; дополнительно: "&amp;O462,"")&amp;".")</f>
        <v/>
      </c>
      <c r="R462" s="172">
        <f>IF('Оперативный ввод'!P462="","",'Оперативный ввод'!P462)</f>
        <v/>
      </c>
      <c r="S462" s="172">
        <f>IF('Оперативный ввод'!Q462="","",'Оперативный ввод'!Q462)</f>
        <v/>
      </c>
      <c r="T462" s="172">
        <f>IF('Оперативный ввод'!R462="","",'Оперативный ввод'!R462)</f>
        <v/>
      </c>
      <c r="U462" s="172">
        <f>IF('Оперативный ввод'!S462="","",'Оперативный ввод'!S462)</f>
        <v/>
      </c>
      <c r="V462" s="172">
        <f>IF('Оперативный ввод'!T462="","",'Оперативный ввод'!T462)</f>
        <v/>
      </c>
      <c r="W462" s="172" t="n"/>
      <c r="X462" s="172" t="n"/>
      <c r="Y462" s="172" t="n"/>
      <c r="Z462" s="172" t="n"/>
      <c r="AA462" s="172">
        <f>IF('Оперативный ввод'!U462="","",'Оперативный ввод'!U462)</f>
        <v/>
      </c>
      <c r="AB462" s="172">
        <f>IF('Оперативный ввод'!V462="","",'Оперативный ввод'!V462)</f>
        <v/>
      </c>
      <c r="AC462" s="172">
        <f>IF('Оперативный ввод'!W462="","",'Оперативный ввод'!W462)</f>
        <v/>
      </c>
      <c r="BB462" s="172" t="n"/>
      <c r="BC462" s="172" t="n"/>
      <c r="BD462" s="205">
        <f>IF(AND(A462="",B462=""),"",IF(AND(P462="ГОТОВО",R462&lt;&gt;"",T462&lt;&gt;"",U462&lt;&gt;"",AA462&lt;&gt;"",AB462&lt;&gt;"",AC462&lt;&gt;"",BB462&lt;&gt;"",BC462&lt;&gt;""),"ГОТОВО","НЕ ГОТОВО"))</f>
        <v/>
      </c>
      <c r="BE462" s="205">
        <f>IF(BD462&lt;&gt;"ГОТОВО","","Полное заключение: "&amp;A462&amp;", скв. "&amp;B462&amp;". МРП: "&amp;E462&amp;" сут. ГНО: "&amp;F462&amp;"; причина: "&amp;U462&amp;"; категория: "&amp;V462&amp;"; решение комиссии: "&amp;BB462&amp;".")</f>
        <v/>
      </c>
      <c r="BF462" s="173">
        <f>IF('Оперативный ввод'!X462="","",'Оперативный ввод'!X462)</f>
        <v/>
      </c>
    </row>
    <row r="463">
      <c r="A463" s="171">
        <f>IF('Оперативный ввод'!A463="","",'Оперативный ввод'!A463)</f>
        <v/>
      </c>
      <c r="B463" s="172">
        <f>IF('Оперативный ввод'!B463="","",'Оперативный ввод'!B463)</f>
        <v/>
      </c>
      <c r="C463" s="270">
        <f>IF('Оперативный ввод'!C463="","",'Оперативный ввод'!C463)</f>
        <v/>
      </c>
      <c r="D463" s="270">
        <f>IF('Оперативный ввод'!D463="","",'Оперативный ввод'!D463)</f>
        <v/>
      </c>
      <c r="E463" s="271">
        <f>IF(OR(C463="",D463=""),"",D463-C463)</f>
        <v/>
      </c>
      <c r="F463" s="172">
        <f>IF('Оперативный ввод'!F463="","",'Оперативный ввод'!F463)</f>
        <v/>
      </c>
      <c r="G463" s="172">
        <f>IF('Оперативный ввод'!G463="","",'Оперативный ввод'!G463)</f>
        <v/>
      </c>
      <c r="H463" s="172">
        <f>IF('Оперативный ввод'!H463="","",'Оперативный ввод'!H463)</f>
        <v/>
      </c>
      <c r="I463" s="172">
        <f>IF('Оперативный ввод'!I463="","",'Оперативный ввод'!I463)</f>
        <v/>
      </c>
      <c r="J463" s="172">
        <f>IF('Оперативный ввод'!J463="","",'Оперативный ввод'!J463)</f>
        <v/>
      </c>
      <c r="K463" s="172">
        <f>IF('Оперативный ввод'!K463="","",'Оперативный ввод'!K463)</f>
        <v/>
      </c>
      <c r="L463" s="172">
        <f>IF('Оперативный ввод'!L463="","",'Оперативный ввод'!L463)</f>
        <v/>
      </c>
      <c r="M463" s="172">
        <f>IF('Оперативный ввод'!M463="","",'Оперативный ввод'!M463)</f>
        <v/>
      </c>
      <c r="N463" s="172">
        <f>IF('Оперативный ввод'!N463="","",'Оперативный ввод'!N463)</f>
        <v/>
      </c>
      <c r="O463" s="172">
        <f>IF('Оперативный ввод'!O463="","",'Оперативный ввод'!O463)</f>
        <v/>
      </c>
      <c r="P463" s="205">
        <f>IF(AND(A463="",B463=""),"",IF(AND(A463&lt;&gt;"",B463&lt;&gt;"",C463&lt;&gt;"",D463&lt;&gt;"",F463&lt;&gt;"",G463&lt;&gt;"",H463&lt;&gt;"",ISERROR(SEARCH("по паспорту",G463)),ISERROR(SEARCH("по паспорту",H463)),I463&lt;&gt;"",J463&lt;&gt;"",K463&lt;&gt;"",L463&lt;&gt;"",M463&lt;&gt;""),"ГОТОВО","НЕ ГОТОВО"))</f>
        <v/>
      </c>
      <c r="Q463" s="205">
        <f>IF(P463&lt;&gt;"ГОТОВО","", "Предварительное заключение: "&amp;A463&amp;", скв. "&amp;B463&amp;". МРП: "&amp;E463&amp;" сут. ГНО: "&amp;F463&amp;", типоразмер "&amp;G463&amp;", марка "&amp;H463&amp;". Событие: "&amp;I463&amp;". Признак: "&amp;J463&amp;". Узел: "&amp;K463&amp;". Предварительная причина: "&amp;L463&amp;". Основное осложнение: "&amp;M463&amp;IF(N463&lt;&gt;"","; сопутствующее: "&amp;N463,"")&amp;IF(O463&lt;&gt;"","; дополнительно: "&amp;O463,"")&amp;".")</f>
        <v/>
      </c>
      <c r="R463" s="172">
        <f>IF('Оперативный ввод'!P463="","",'Оперативный ввод'!P463)</f>
        <v/>
      </c>
      <c r="S463" s="172">
        <f>IF('Оперативный ввод'!Q463="","",'Оперативный ввод'!Q463)</f>
        <v/>
      </c>
      <c r="T463" s="172">
        <f>IF('Оперативный ввод'!R463="","",'Оперативный ввод'!R463)</f>
        <v/>
      </c>
      <c r="U463" s="172">
        <f>IF('Оперативный ввод'!S463="","",'Оперативный ввод'!S463)</f>
        <v/>
      </c>
      <c r="V463" s="172">
        <f>IF('Оперативный ввод'!T463="","",'Оперативный ввод'!T463)</f>
        <v/>
      </c>
      <c r="W463" s="172" t="n"/>
      <c r="X463" s="172" t="n"/>
      <c r="Y463" s="172" t="n"/>
      <c r="Z463" s="172" t="n"/>
      <c r="AA463" s="172">
        <f>IF('Оперативный ввод'!U463="","",'Оперативный ввод'!U463)</f>
        <v/>
      </c>
      <c r="AB463" s="172">
        <f>IF('Оперативный ввод'!V463="","",'Оперативный ввод'!V463)</f>
        <v/>
      </c>
      <c r="AC463" s="172">
        <f>IF('Оперативный ввод'!W463="","",'Оперативный ввод'!W463)</f>
        <v/>
      </c>
      <c r="BB463" s="172" t="n"/>
      <c r="BC463" s="172" t="n"/>
      <c r="BD463" s="205">
        <f>IF(AND(A463="",B463=""),"",IF(AND(P463="ГОТОВО",R463&lt;&gt;"",T463&lt;&gt;"",U463&lt;&gt;"",AA463&lt;&gt;"",AB463&lt;&gt;"",AC463&lt;&gt;"",BB463&lt;&gt;"",BC463&lt;&gt;""),"ГОТОВО","НЕ ГОТОВО"))</f>
        <v/>
      </c>
      <c r="BE463" s="205">
        <f>IF(BD463&lt;&gt;"ГОТОВО","","Полное заключение: "&amp;A463&amp;", скв. "&amp;B463&amp;". МРП: "&amp;E463&amp;" сут. ГНО: "&amp;F463&amp;"; причина: "&amp;U463&amp;"; категория: "&amp;V463&amp;"; решение комиссии: "&amp;BB463&amp;".")</f>
        <v/>
      </c>
      <c r="BF463" s="173">
        <f>IF('Оперативный ввод'!X463="","",'Оперативный ввод'!X463)</f>
        <v/>
      </c>
    </row>
    <row r="464">
      <c r="A464" s="171">
        <f>IF('Оперативный ввод'!A464="","",'Оперативный ввод'!A464)</f>
        <v/>
      </c>
      <c r="B464" s="172">
        <f>IF('Оперативный ввод'!B464="","",'Оперативный ввод'!B464)</f>
        <v/>
      </c>
      <c r="C464" s="270">
        <f>IF('Оперативный ввод'!C464="","",'Оперативный ввод'!C464)</f>
        <v/>
      </c>
      <c r="D464" s="270">
        <f>IF('Оперативный ввод'!D464="","",'Оперативный ввод'!D464)</f>
        <v/>
      </c>
      <c r="E464" s="271">
        <f>IF(OR(C464="",D464=""),"",D464-C464)</f>
        <v/>
      </c>
      <c r="F464" s="172">
        <f>IF('Оперативный ввод'!F464="","",'Оперативный ввод'!F464)</f>
        <v/>
      </c>
      <c r="G464" s="172">
        <f>IF('Оперативный ввод'!G464="","",'Оперативный ввод'!G464)</f>
        <v/>
      </c>
      <c r="H464" s="172">
        <f>IF('Оперативный ввод'!H464="","",'Оперативный ввод'!H464)</f>
        <v/>
      </c>
      <c r="I464" s="172">
        <f>IF('Оперативный ввод'!I464="","",'Оперативный ввод'!I464)</f>
        <v/>
      </c>
      <c r="J464" s="172">
        <f>IF('Оперативный ввод'!J464="","",'Оперативный ввод'!J464)</f>
        <v/>
      </c>
      <c r="K464" s="172">
        <f>IF('Оперативный ввод'!K464="","",'Оперативный ввод'!K464)</f>
        <v/>
      </c>
      <c r="L464" s="172">
        <f>IF('Оперативный ввод'!L464="","",'Оперативный ввод'!L464)</f>
        <v/>
      </c>
      <c r="M464" s="172">
        <f>IF('Оперативный ввод'!M464="","",'Оперативный ввод'!M464)</f>
        <v/>
      </c>
      <c r="N464" s="172">
        <f>IF('Оперативный ввод'!N464="","",'Оперативный ввод'!N464)</f>
        <v/>
      </c>
      <c r="O464" s="172">
        <f>IF('Оперативный ввод'!O464="","",'Оперативный ввод'!O464)</f>
        <v/>
      </c>
      <c r="P464" s="205">
        <f>IF(AND(A464="",B464=""),"",IF(AND(A464&lt;&gt;"",B464&lt;&gt;"",C464&lt;&gt;"",D464&lt;&gt;"",F464&lt;&gt;"",G464&lt;&gt;"",H464&lt;&gt;"",ISERROR(SEARCH("по паспорту",G464)),ISERROR(SEARCH("по паспорту",H464)),I464&lt;&gt;"",J464&lt;&gt;"",K464&lt;&gt;"",L464&lt;&gt;"",M464&lt;&gt;""),"ГОТОВО","НЕ ГОТОВО"))</f>
        <v/>
      </c>
      <c r="Q464" s="205">
        <f>IF(P464&lt;&gt;"ГОТОВО","", "Предварительное заключение: "&amp;A464&amp;", скв. "&amp;B464&amp;". МРП: "&amp;E464&amp;" сут. ГНО: "&amp;F464&amp;", типоразмер "&amp;G464&amp;", марка "&amp;H464&amp;". Событие: "&amp;I464&amp;". Признак: "&amp;J464&amp;". Узел: "&amp;K464&amp;". Предварительная причина: "&amp;L464&amp;". Основное осложнение: "&amp;M464&amp;IF(N464&lt;&gt;"","; сопутствующее: "&amp;N464,"")&amp;IF(O464&lt;&gt;"","; дополнительно: "&amp;O464,"")&amp;".")</f>
        <v/>
      </c>
      <c r="R464" s="172">
        <f>IF('Оперативный ввод'!P464="","",'Оперативный ввод'!P464)</f>
        <v/>
      </c>
      <c r="S464" s="172">
        <f>IF('Оперативный ввод'!Q464="","",'Оперативный ввод'!Q464)</f>
        <v/>
      </c>
      <c r="T464" s="172">
        <f>IF('Оперативный ввод'!R464="","",'Оперативный ввод'!R464)</f>
        <v/>
      </c>
      <c r="U464" s="172">
        <f>IF('Оперативный ввод'!S464="","",'Оперативный ввод'!S464)</f>
        <v/>
      </c>
      <c r="V464" s="172">
        <f>IF('Оперативный ввод'!T464="","",'Оперативный ввод'!T464)</f>
        <v/>
      </c>
      <c r="W464" s="172" t="n"/>
      <c r="X464" s="172" t="n"/>
      <c r="Y464" s="172" t="n"/>
      <c r="Z464" s="172" t="n"/>
      <c r="AA464" s="172">
        <f>IF('Оперативный ввод'!U464="","",'Оперативный ввод'!U464)</f>
        <v/>
      </c>
      <c r="AB464" s="172">
        <f>IF('Оперативный ввод'!V464="","",'Оперативный ввод'!V464)</f>
        <v/>
      </c>
      <c r="AC464" s="172">
        <f>IF('Оперативный ввод'!W464="","",'Оперативный ввод'!W464)</f>
        <v/>
      </c>
      <c r="BB464" s="172" t="n"/>
      <c r="BC464" s="172" t="n"/>
      <c r="BD464" s="205">
        <f>IF(AND(A464="",B464=""),"",IF(AND(P464="ГОТОВО",R464&lt;&gt;"",T464&lt;&gt;"",U464&lt;&gt;"",AA464&lt;&gt;"",AB464&lt;&gt;"",AC464&lt;&gt;"",BB464&lt;&gt;"",BC464&lt;&gt;""),"ГОТОВО","НЕ ГОТОВО"))</f>
        <v/>
      </c>
      <c r="BE464" s="205">
        <f>IF(BD464&lt;&gt;"ГОТОВО","","Полное заключение: "&amp;A464&amp;", скв. "&amp;B464&amp;". МРП: "&amp;E464&amp;" сут. ГНО: "&amp;F464&amp;"; причина: "&amp;U464&amp;"; категория: "&amp;V464&amp;"; решение комиссии: "&amp;BB464&amp;".")</f>
        <v/>
      </c>
      <c r="BF464" s="173">
        <f>IF('Оперативный ввод'!X464="","",'Оперативный ввод'!X464)</f>
        <v/>
      </c>
    </row>
    <row r="465">
      <c r="A465" s="171">
        <f>IF('Оперативный ввод'!A465="","",'Оперативный ввод'!A465)</f>
        <v/>
      </c>
      <c r="B465" s="172">
        <f>IF('Оперативный ввод'!B465="","",'Оперативный ввод'!B465)</f>
        <v/>
      </c>
      <c r="C465" s="270">
        <f>IF('Оперативный ввод'!C465="","",'Оперативный ввод'!C465)</f>
        <v/>
      </c>
      <c r="D465" s="270">
        <f>IF('Оперативный ввод'!D465="","",'Оперативный ввод'!D465)</f>
        <v/>
      </c>
      <c r="E465" s="271">
        <f>IF(OR(C465="",D465=""),"",D465-C465)</f>
        <v/>
      </c>
      <c r="F465" s="172">
        <f>IF('Оперативный ввод'!F465="","",'Оперативный ввод'!F465)</f>
        <v/>
      </c>
      <c r="G465" s="172">
        <f>IF('Оперативный ввод'!G465="","",'Оперативный ввод'!G465)</f>
        <v/>
      </c>
      <c r="H465" s="172">
        <f>IF('Оперативный ввод'!H465="","",'Оперативный ввод'!H465)</f>
        <v/>
      </c>
      <c r="I465" s="172">
        <f>IF('Оперативный ввод'!I465="","",'Оперативный ввод'!I465)</f>
        <v/>
      </c>
      <c r="J465" s="172">
        <f>IF('Оперативный ввод'!J465="","",'Оперативный ввод'!J465)</f>
        <v/>
      </c>
      <c r="K465" s="172">
        <f>IF('Оперативный ввод'!K465="","",'Оперативный ввод'!K465)</f>
        <v/>
      </c>
      <c r="L465" s="172">
        <f>IF('Оперативный ввод'!L465="","",'Оперативный ввод'!L465)</f>
        <v/>
      </c>
      <c r="M465" s="172">
        <f>IF('Оперативный ввод'!M465="","",'Оперативный ввод'!M465)</f>
        <v/>
      </c>
      <c r="N465" s="172">
        <f>IF('Оперативный ввод'!N465="","",'Оперативный ввод'!N465)</f>
        <v/>
      </c>
      <c r="O465" s="172">
        <f>IF('Оперативный ввод'!O465="","",'Оперативный ввод'!O465)</f>
        <v/>
      </c>
      <c r="P465" s="205">
        <f>IF(AND(A465="",B465=""),"",IF(AND(A465&lt;&gt;"",B465&lt;&gt;"",C465&lt;&gt;"",D465&lt;&gt;"",F465&lt;&gt;"",G465&lt;&gt;"",H465&lt;&gt;"",ISERROR(SEARCH("по паспорту",G465)),ISERROR(SEARCH("по паспорту",H465)),I465&lt;&gt;"",J465&lt;&gt;"",K465&lt;&gt;"",L465&lt;&gt;"",M465&lt;&gt;""),"ГОТОВО","НЕ ГОТОВО"))</f>
        <v/>
      </c>
      <c r="Q465" s="205">
        <f>IF(P465&lt;&gt;"ГОТОВО","", "Предварительное заключение: "&amp;A465&amp;", скв. "&amp;B465&amp;". МРП: "&amp;E465&amp;" сут. ГНО: "&amp;F465&amp;", типоразмер "&amp;G465&amp;", марка "&amp;H465&amp;". Событие: "&amp;I465&amp;". Признак: "&amp;J465&amp;". Узел: "&amp;K465&amp;". Предварительная причина: "&amp;L465&amp;". Основное осложнение: "&amp;M465&amp;IF(N465&lt;&gt;"","; сопутствующее: "&amp;N465,"")&amp;IF(O465&lt;&gt;"","; дополнительно: "&amp;O465,"")&amp;".")</f>
        <v/>
      </c>
      <c r="R465" s="172">
        <f>IF('Оперативный ввод'!P465="","",'Оперативный ввод'!P465)</f>
        <v/>
      </c>
      <c r="S465" s="172">
        <f>IF('Оперативный ввод'!Q465="","",'Оперативный ввод'!Q465)</f>
        <v/>
      </c>
      <c r="T465" s="172">
        <f>IF('Оперативный ввод'!R465="","",'Оперативный ввод'!R465)</f>
        <v/>
      </c>
      <c r="U465" s="172">
        <f>IF('Оперативный ввод'!S465="","",'Оперативный ввод'!S465)</f>
        <v/>
      </c>
      <c r="V465" s="172">
        <f>IF('Оперативный ввод'!T465="","",'Оперативный ввод'!T465)</f>
        <v/>
      </c>
      <c r="W465" s="172" t="n"/>
      <c r="X465" s="172" t="n"/>
      <c r="Y465" s="172" t="n"/>
      <c r="Z465" s="172" t="n"/>
      <c r="AA465" s="172">
        <f>IF('Оперативный ввод'!U465="","",'Оперативный ввод'!U465)</f>
        <v/>
      </c>
      <c r="AB465" s="172">
        <f>IF('Оперативный ввод'!V465="","",'Оперативный ввод'!V465)</f>
        <v/>
      </c>
      <c r="AC465" s="172">
        <f>IF('Оперативный ввод'!W465="","",'Оперативный ввод'!W465)</f>
        <v/>
      </c>
      <c r="BB465" s="172" t="n"/>
      <c r="BC465" s="172" t="n"/>
      <c r="BD465" s="205">
        <f>IF(AND(A465="",B465=""),"",IF(AND(P465="ГОТОВО",R465&lt;&gt;"",T465&lt;&gt;"",U465&lt;&gt;"",AA465&lt;&gt;"",AB465&lt;&gt;"",AC465&lt;&gt;"",BB465&lt;&gt;"",BC465&lt;&gt;""),"ГОТОВО","НЕ ГОТОВО"))</f>
        <v/>
      </c>
      <c r="BE465" s="205">
        <f>IF(BD465&lt;&gt;"ГОТОВО","","Полное заключение: "&amp;A465&amp;", скв. "&amp;B465&amp;". МРП: "&amp;E465&amp;" сут. ГНО: "&amp;F465&amp;"; причина: "&amp;U465&amp;"; категория: "&amp;V465&amp;"; решение комиссии: "&amp;BB465&amp;".")</f>
        <v/>
      </c>
      <c r="BF465" s="173">
        <f>IF('Оперативный ввод'!X465="","",'Оперативный ввод'!X465)</f>
        <v/>
      </c>
    </row>
    <row r="466">
      <c r="A466" s="171">
        <f>IF('Оперативный ввод'!A466="","",'Оперативный ввод'!A466)</f>
        <v/>
      </c>
      <c r="B466" s="172">
        <f>IF('Оперативный ввод'!B466="","",'Оперативный ввод'!B466)</f>
        <v/>
      </c>
      <c r="C466" s="270">
        <f>IF('Оперативный ввод'!C466="","",'Оперативный ввод'!C466)</f>
        <v/>
      </c>
      <c r="D466" s="270">
        <f>IF('Оперативный ввод'!D466="","",'Оперативный ввод'!D466)</f>
        <v/>
      </c>
      <c r="E466" s="271">
        <f>IF(OR(C466="",D466=""),"",D466-C466)</f>
        <v/>
      </c>
      <c r="F466" s="172">
        <f>IF('Оперативный ввод'!F466="","",'Оперативный ввод'!F466)</f>
        <v/>
      </c>
      <c r="G466" s="172">
        <f>IF('Оперативный ввод'!G466="","",'Оперативный ввод'!G466)</f>
        <v/>
      </c>
      <c r="H466" s="172">
        <f>IF('Оперативный ввод'!H466="","",'Оперативный ввод'!H466)</f>
        <v/>
      </c>
      <c r="I466" s="172">
        <f>IF('Оперативный ввод'!I466="","",'Оперативный ввод'!I466)</f>
        <v/>
      </c>
      <c r="J466" s="172">
        <f>IF('Оперативный ввод'!J466="","",'Оперативный ввод'!J466)</f>
        <v/>
      </c>
      <c r="K466" s="172">
        <f>IF('Оперативный ввод'!K466="","",'Оперативный ввод'!K466)</f>
        <v/>
      </c>
      <c r="L466" s="172">
        <f>IF('Оперативный ввод'!L466="","",'Оперативный ввод'!L466)</f>
        <v/>
      </c>
      <c r="M466" s="172">
        <f>IF('Оперативный ввод'!M466="","",'Оперативный ввод'!M466)</f>
        <v/>
      </c>
      <c r="N466" s="172">
        <f>IF('Оперативный ввод'!N466="","",'Оперативный ввод'!N466)</f>
        <v/>
      </c>
      <c r="O466" s="172">
        <f>IF('Оперативный ввод'!O466="","",'Оперативный ввод'!O466)</f>
        <v/>
      </c>
      <c r="P466" s="205">
        <f>IF(AND(A466="",B466=""),"",IF(AND(A466&lt;&gt;"",B466&lt;&gt;"",C466&lt;&gt;"",D466&lt;&gt;"",F466&lt;&gt;"",G466&lt;&gt;"",H466&lt;&gt;"",ISERROR(SEARCH("по паспорту",G466)),ISERROR(SEARCH("по паспорту",H466)),I466&lt;&gt;"",J466&lt;&gt;"",K466&lt;&gt;"",L466&lt;&gt;"",M466&lt;&gt;""),"ГОТОВО","НЕ ГОТОВО"))</f>
        <v/>
      </c>
      <c r="Q466" s="205">
        <f>IF(P466&lt;&gt;"ГОТОВО","", "Предварительное заключение: "&amp;A466&amp;", скв. "&amp;B466&amp;". МРП: "&amp;E466&amp;" сут. ГНО: "&amp;F466&amp;", типоразмер "&amp;G466&amp;", марка "&amp;H466&amp;". Событие: "&amp;I466&amp;". Признак: "&amp;J466&amp;". Узел: "&amp;K466&amp;". Предварительная причина: "&amp;L466&amp;". Основное осложнение: "&amp;M466&amp;IF(N466&lt;&gt;"","; сопутствующее: "&amp;N466,"")&amp;IF(O466&lt;&gt;"","; дополнительно: "&amp;O466,"")&amp;".")</f>
        <v/>
      </c>
      <c r="R466" s="172">
        <f>IF('Оперативный ввод'!P466="","",'Оперативный ввод'!P466)</f>
        <v/>
      </c>
      <c r="S466" s="172">
        <f>IF('Оперативный ввод'!Q466="","",'Оперативный ввод'!Q466)</f>
        <v/>
      </c>
      <c r="T466" s="172">
        <f>IF('Оперативный ввод'!R466="","",'Оперативный ввод'!R466)</f>
        <v/>
      </c>
      <c r="U466" s="172">
        <f>IF('Оперативный ввод'!S466="","",'Оперативный ввод'!S466)</f>
        <v/>
      </c>
      <c r="V466" s="172">
        <f>IF('Оперативный ввод'!T466="","",'Оперативный ввод'!T466)</f>
        <v/>
      </c>
      <c r="W466" s="172" t="n"/>
      <c r="X466" s="172" t="n"/>
      <c r="Y466" s="172" t="n"/>
      <c r="Z466" s="172" t="n"/>
      <c r="AA466" s="172">
        <f>IF('Оперативный ввод'!U466="","",'Оперативный ввод'!U466)</f>
        <v/>
      </c>
      <c r="AB466" s="172">
        <f>IF('Оперативный ввод'!V466="","",'Оперативный ввод'!V466)</f>
        <v/>
      </c>
      <c r="AC466" s="172">
        <f>IF('Оперативный ввод'!W466="","",'Оперативный ввод'!W466)</f>
        <v/>
      </c>
      <c r="BB466" s="172" t="n"/>
      <c r="BC466" s="172" t="n"/>
      <c r="BD466" s="205">
        <f>IF(AND(A466="",B466=""),"",IF(AND(P466="ГОТОВО",R466&lt;&gt;"",T466&lt;&gt;"",U466&lt;&gt;"",AA466&lt;&gt;"",AB466&lt;&gt;"",AC466&lt;&gt;"",BB466&lt;&gt;"",BC466&lt;&gt;""),"ГОТОВО","НЕ ГОТОВО"))</f>
        <v/>
      </c>
      <c r="BE466" s="205">
        <f>IF(BD466&lt;&gt;"ГОТОВО","","Полное заключение: "&amp;A466&amp;", скв. "&amp;B466&amp;". МРП: "&amp;E466&amp;" сут. ГНО: "&amp;F466&amp;"; причина: "&amp;U466&amp;"; категория: "&amp;V466&amp;"; решение комиссии: "&amp;BB466&amp;".")</f>
        <v/>
      </c>
      <c r="BF466" s="173">
        <f>IF('Оперативный ввод'!X466="","",'Оперативный ввод'!X466)</f>
        <v/>
      </c>
    </row>
    <row r="467">
      <c r="A467" s="171">
        <f>IF('Оперативный ввод'!A467="","",'Оперативный ввод'!A467)</f>
        <v/>
      </c>
      <c r="B467" s="172">
        <f>IF('Оперативный ввод'!B467="","",'Оперативный ввод'!B467)</f>
        <v/>
      </c>
      <c r="C467" s="270">
        <f>IF('Оперативный ввод'!C467="","",'Оперативный ввод'!C467)</f>
        <v/>
      </c>
      <c r="D467" s="270">
        <f>IF('Оперативный ввод'!D467="","",'Оперативный ввод'!D467)</f>
        <v/>
      </c>
      <c r="E467" s="271">
        <f>IF(OR(C467="",D467=""),"",D467-C467)</f>
        <v/>
      </c>
      <c r="F467" s="172">
        <f>IF('Оперативный ввод'!F467="","",'Оперативный ввод'!F467)</f>
        <v/>
      </c>
      <c r="G467" s="172">
        <f>IF('Оперативный ввод'!G467="","",'Оперативный ввод'!G467)</f>
        <v/>
      </c>
      <c r="H467" s="172">
        <f>IF('Оперативный ввод'!H467="","",'Оперативный ввод'!H467)</f>
        <v/>
      </c>
      <c r="I467" s="172">
        <f>IF('Оперативный ввод'!I467="","",'Оперативный ввод'!I467)</f>
        <v/>
      </c>
      <c r="J467" s="172">
        <f>IF('Оперативный ввод'!J467="","",'Оперативный ввод'!J467)</f>
        <v/>
      </c>
      <c r="K467" s="172">
        <f>IF('Оперативный ввод'!K467="","",'Оперативный ввод'!K467)</f>
        <v/>
      </c>
      <c r="L467" s="172">
        <f>IF('Оперативный ввод'!L467="","",'Оперативный ввод'!L467)</f>
        <v/>
      </c>
      <c r="M467" s="172">
        <f>IF('Оперативный ввод'!M467="","",'Оперативный ввод'!M467)</f>
        <v/>
      </c>
      <c r="N467" s="172">
        <f>IF('Оперативный ввод'!N467="","",'Оперативный ввод'!N467)</f>
        <v/>
      </c>
      <c r="O467" s="172">
        <f>IF('Оперативный ввод'!O467="","",'Оперативный ввод'!O467)</f>
        <v/>
      </c>
      <c r="P467" s="205">
        <f>IF(AND(A467="",B467=""),"",IF(AND(A467&lt;&gt;"",B467&lt;&gt;"",C467&lt;&gt;"",D467&lt;&gt;"",F467&lt;&gt;"",G467&lt;&gt;"",H467&lt;&gt;"",ISERROR(SEARCH("по паспорту",G467)),ISERROR(SEARCH("по паспорту",H467)),I467&lt;&gt;"",J467&lt;&gt;"",K467&lt;&gt;"",L467&lt;&gt;"",M467&lt;&gt;""),"ГОТОВО","НЕ ГОТОВО"))</f>
        <v/>
      </c>
      <c r="Q467" s="205">
        <f>IF(P467&lt;&gt;"ГОТОВО","", "Предварительное заключение: "&amp;A467&amp;", скв. "&amp;B467&amp;". МРП: "&amp;E467&amp;" сут. ГНО: "&amp;F467&amp;", типоразмер "&amp;G467&amp;", марка "&amp;H467&amp;". Событие: "&amp;I467&amp;". Признак: "&amp;J467&amp;". Узел: "&amp;K467&amp;". Предварительная причина: "&amp;L467&amp;". Основное осложнение: "&amp;M467&amp;IF(N467&lt;&gt;"","; сопутствующее: "&amp;N467,"")&amp;IF(O467&lt;&gt;"","; дополнительно: "&amp;O467,"")&amp;".")</f>
        <v/>
      </c>
      <c r="R467" s="172">
        <f>IF('Оперативный ввод'!P467="","",'Оперативный ввод'!P467)</f>
        <v/>
      </c>
      <c r="S467" s="172">
        <f>IF('Оперативный ввод'!Q467="","",'Оперативный ввод'!Q467)</f>
        <v/>
      </c>
      <c r="T467" s="172">
        <f>IF('Оперативный ввод'!R467="","",'Оперативный ввод'!R467)</f>
        <v/>
      </c>
      <c r="U467" s="172">
        <f>IF('Оперативный ввод'!S467="","",'Оперативный ввод'!S467)</f>
        <v/>
      </c>
      <c r="V467" s="172">
        <f>IF('Оперативный ввод'!T467="","",'Оперативный ввод'!T467)</f>
        <v/>
      </c>
      <c r="W467" s="172" t="n"/>
      <c r="X467" s="172" t="n"/>
      <c r="Y467" s="172" t="n"/>
      <c r="Z467" s="172" t="n"/>
      <c r="AA467" s="172">
        <f>IF('Оперативный ввод'!U467="","",'Оперативный ввод'!U467)</f>
        <v/>
      </c>
      <c r="AB467" s="172">
        <f>IF('Оперативный ввод'!V467="","",'Оперативный ввод'!V467)</f>
        <v/>
      </c>
      <c r="AC467" s="172">
        <f>IF('Оперативный ввод'!W467="","",'Оперативный ввод'!W467)</f>
        <v/>
      </c>
      <c r="BB467" s="172" t="n"/>
      <c r="BC467" s="172" t="n"/>
      <c r="BD467" s="205">
        <f>IF(AND(A467="",B467=""),"",IF(AND(P467="ГОТОВО",R467&lt;&gt;"",T467&lt;&gt;"",U467&lt;&gt;"",AA467&lt;&gt;"",AB467&lt;&gt;"",AC467&lt;&gt;"",BB467&lt;&gt;"",BC467&lt;&gt;""),"ГОТОВО","НЕ ГОТОВО"))</f>
        <v/>
      </c>
      <c r="BE467" s="205">
        <f>IF(BD467&lt;&gt;"ГОТОВО","","Полное заключение: "&amp;A467&amp;", скв. "&amp;B467&amp;". МРП: "&amp;E467&amp;" сут. ГНО: "&amp;F467&amp;"; причина: "&amp;U467&amp;"; категория: "&amp;V467&amp;"; решение комиссии: "&amp;BB467&amp;".")</f>
        <v/>
      </c>
      <c r="BF467" s="173">
        <f>IF('Оперативный ввод'!X467="","",'Оперативный ввод'!X467)</f>
        <v/>
      </c>
    </row>
    <row r="468">
      <c r="A468" s="171">
        <f>IF('Оперативный ввод'!A468="","",'Оперативный ввод'!A468)</f>
        <v/>
      </c>
      <c r="B468" s="172">
        <f>IF('Оперативный ввод'!B468="","",'Оперативный ввод'!B468)</f>
        <v/>
      </c>
      <c r="C468" s="270">
        <f>IF('Оперативный ввод'!C468="","",'Оперативный ввод'!C468)</f>
        <v/>
      </c>
      <c r="D468" s="270">
        <f>IF('Оперативный ввод'!D468="","",'Оперативный ввод'!D468)</f>
        <v/>
      </c>
      <c r="E468" s="271">
        <f>IF(OR(C468="",D468=""),"",D468-C468)</f>
        <v/>
      </c>
      <c r="F468" s="172">
        <f>IF('Оперативный ввод'!F468="","",'Оперативный ввод'!F468)</f>
        <v/>
      </c>
      <c r="G468" s="172">
        <f>IF('Оперативный ввод'!G468="","",'Оперативный ввод'!G468)</f>
        <v/>
      </c>
      <c r="H468" s="172">
        <f>IF('Оперативный ввод'!H468="","",'Оперативный ввод'!H468)</f>
        <v/>
      </c>
      <c r="I468" s="172">
        <f>IF('Оперативный ввод'!I468="","",'Оперативный ввод'!I468)</f>
        <v/>
      </c>
      <c r="J468" s="172">
        <f>IF('Оперативный ввод'!J468="","",'Оперативный ввод'!J468)</f>
        <v/>
      </c>
      <c r="K468" s="172">
        <f>IF('Оперативный ввод'!K468="","",'Оперативный ввод'!K468)</f>
        <v/>
      </c>
      <c r="L468" s="172">
        <f>IF('Оперативный ввод'!L468="","",'Оперативный ввод'!L468)</f>
        <v/>
      </c>
      <c r="M468" s="172">
        <f>IF('Оперативный ввод'!M468="","",'Оперативный ввод'!M468)</f>
        <v/>
      </c>
      <c r="N468" s="172">
        <f>IF('Оперативный ввод'!N468="","",'Оперативный ввод'!N468)</f>
        <v/>
      </c>
      <c r="O468" s="172">
        <f>IF('Оперативный ввод'!O468="","",'Оперативный ввод'!O468)</f>
        <v/>
      </c>
      <c r="P468" s="205">
        <f>IF(AND(A468="",B468=""),"",IF(AND(A468&lt;&gt;"",B468&lt;&gt;"",C468&lt;&gt;"",D468&lt;&gt;"",F468&lt;&gt;"",G468&lt;&gt;"",H468&lt;&gt;"",ISERROR(SEARCH("по паспорту",G468)),ISERROR(SEARCH("по паспорту",H468)),I468&lt;&gt;"",J468&lt;&gt;"",K468&lt;&gt;"",L468&lt;&gt;"",M468&lt;&gt;""),"ГОТОВО","НЕ ГОТОВО"))</f>
        <v/>
      </c>
      <c r="Q468" s="205">
        <f>IF(P468&lt;&gt;"ГОТОВО","", "Предварительное заключение: "&amp;A468&amp;", скв. "&amp;B468&amp;". МРП: "&amp;E468&amp;" сут. ГНО: "&amp;F468&amp;", типоразмер "&amp;G468&amp;", марка "&amp;H468&amp;". Событие: "&amp;I468&amp;". Признак: "&amp;J468&amp;". Узел: "&amp;K468&amp;". Предварительная причина: "&amp;L468&amp;". Основное осложнение: "&amp;M468&amp;IF(N468&lt;&gt;"","; сопутствующее: "&amp;N468,"")&amp;IF(O468&lt;&gt;"","; дополнительно: "&amp;O468,"")&amp;".")</f>
        <v/>
      </c>
      <c r="R468" s="172">
        <f>IF('Оперативный ввод'!P468="","",'Оперативный ввод'!P468)</f>
        <v/>
      </c>
      <c r="S468" s="172">
        <f>IF('Оперативный ввод'!Q468="","",'Оперативный ввод'!Q468)</f>
        <v/>
      </c>
      <c r="T468" s="172">
        <f>IF('Оперативный ввод'!R468="","",'Оперативный ввод'!R468)</f>
        <v/>
      </c>
      <c r="U468" s="172">
        <f>IF('Оперативный ввод'!S468="","",'Оперативный ввод'!S468)</f>
        <v/>
      </c>
      <c r="V468" s="172">
        <f>IF('Оперативный ввод'!T468="","",'Оперативный ввод'!T468)</f>
        <v/>
      </c>
      <c r="W468" s="172" t="n"/>
      <c r="X468" s="172" t="n"/>
      <c r="Y468" s="172" t="n"/>
      <c r="Z468" s="172" t="n"/>
      <c r="AA468" s="172">
        <f>IF('Оперативный ввод'!U468="","",'Оперативный ввод'!U468)</f>
        <v/>
      </c>
      <c r="AB468" s="172">
        <f>IF('Оперативный ввод'!V468="","",'Оперативный ввод'!V468)</f>
        <v/>
      </c>
      <c r="AC468" s="172">
        <f>IF('Оперативный ввод'!W468="","",'Оперативный ввод'!W468)</f>
        <v/>
      </c>
      <c r="BB468" s="172" t="n"/>
      <c r="BC468" s="172" t="n"/>
      <c r="BD468" s="205">
        <f>IF(AND(A468="",B468=""),"",IF(AND(P468="ГОТОВО",R468&lt;&gt;"",T468&lt;&gt;"",U468&lt;&gt;"",AA468&lt;&gt;"",AB468&lt;&gt;"",AC468&lt;&gt;"",BB468&lt;&gt;"",BC468&lt;&gt;""),"ГОТОВО","НЕ ГОТОВО"))</f>
        <v/>
      </c>
      <c r="BE468" s="205">
        <f>IF(BD468&lt;&gt;"ГОТОВО","","Полное заключение: "&amp;A468&amp;", скв. "&amp;B468&amp;". МРП: "&amp;E468&amp;" сут. ГНО: "&amp;F468&amp;"; причина: "&amp;U468&amp;"; категория: "&amp;V468&amp;"; решение комиссии: "&amp;BB468&amp;".")</f>
        <v/>
      </c>
      <c r="BF468" s="173">
        <f>IF('Оперативный ввод'!X468="","",'Оперативный ввод'!X468)</f>
        <v/>
      </c>
    </row>
    <row r="469">
      <c r="A469" s="171">
        <f>IF('Оперативный ввод'!A469="","",'Оперативный ввод'!A469)</f>
        <v/>
      </c>
      <c r="B469" s="172">
        <f>IF('Оперативный ввод'!B469="","",'Оперативный ввод'!B469)</f>
        <v/>
      </c>
      <c r="C469" s="270">
        <f>IF('Оперативный ввод'!C469="","",'Оперативный ввод'!C469)</f>
        <v/>
      </c>
      <c r="D469" s="270">
        <f>IF('Оперативный ввод'!D469="","",'Оперативный ввод'!D469)</f>
        <v/>
      </c>
      <c r="E469" s="271">
        <f>IF(OR(C469="",D469=""),"",D469-C469)</f>
        <v/>
      </c>
      <c r="F469" s="172">
        <f>IF('Оперативный ввод'!F469="","",'Оперативный ввод'!F469)</f>
        <v/>
      </c>
      <c r="G469" s="172">
        <f>IF('Оперативный ввод'!G469="","",'Оперативный ввод'!G469)</f>
        <v/>
      </c>
      <c r="H469" s="172">
        <f>IF('Оперативный ввод'!H469="","",'Оперативный ввод'!H469)</f>
        <v/>
      </c>
      <c r="I469" s="172">
        <f>IF('Оперативный ввод'!I469="","",'Оперативный ввод'!I469)</f>
        <v/>
      </c>
      <c r="J469" s="172">
        <f>IF('Оперативный ввод'!J469="","",'Оперативный ввод'!J469)</f>
        <v/>
      </c>
      <c r="K469" s="172">
        <f>IF('Оперативный ввод'!K469="","",'Оперативный ввод'!K469)</f>
        <v/>
      </c>
      <c r="L469" s="172">
        <f>IF('Оперативный ввод'!L469="","",'Оперативный ввод'!L469)</f>
        <v/>
      </c>
      <c r="M469" s="172">
        <f>IF('Оперативный ввод'!M469="","",'Оперативный ввод'!M469)</f>
        <v/>
      </c>
      <c r="N469" s="172">
        <f>IF('Оперативный ввод'!N469="","",'Оперативный ввод'!N469)</f>
        <v/>
      </c>
      <c r="O469" s="172">
        <f>IF('Оперативный ввод'!O469="","",'Оперативный ввод'!O469)</f>
        <v/>
      </c>
      <c r="P469" s="205">
        <f>IF(AND(A469="",B469=""),"",IF(AND(A469&lt;&gt;"",B469&lt;&gt;"",C469&lt;&gt;"",D469&lt;&gt;"",F469&lt;&gt;"",G469&lt;&gt;"",H469&lt;&gt;"",ISERROR(SEARCH("по паспорту",G469)),ISERROR(SEARCH("по паспорту",H469)),I469&lt;&gt;"",J469&lt;&gt;"",K469&lt;&gt;"",L469&lt;&gt;"",M469&lt;&gt;""),"ГОТОВО","НЕ ГОТОВО"))</f>
        <v/>
      </c>
      <c r="Q469" s="205">
        <f>IF(P469&lt;&gt;"ГОТОВО","", "Предварительное заключение: "&amp;A469&amp;", скв. "&amp;B469&amp;". МРП: "&amp;E469&amp;" сут. ГНО: "&amp;F469&amp;", типоразмер "&amp;G469&amp;", марка "&amp;H469&amp;". Событие: "&amp;I469&amp;". Признак: "&amp;J469&amp;". Узел: "&amp;K469&amp;". Предварительная причина: "&amp;L469&amp;". Основное осложнение: "&amp;M469&amp;IF(N469&lt;&gt;"","; сопутствующее: "&amp;N469,"")&amp;IF(O469&lt;&gt;"","; дополнительно: "&amp;O469,"")&amp;".")</f>
        <v/>
      </c>
      <c r="R469" s="172">
        <f>IF('Оперативный ввод'!P469="","",'Оперативный ввод'!P469)</f>
        <v/>
      </c>
      <c r="S469" s="172">
        <f>IF('Оперативный ввод'!Q469="","",'Оперативный ввод'!Q469)</f>
        <v/>
      </c>
      <c r="T469" s="172">
        <f>IF('Оперативный ввод'!R469="","",'Оперативный ввод'!R469)</f>
        <v/>
      </c>
      <c r="U469" s="172">
        <f>IF('Оперативный ввод'!S469="","",'Оперативный ввод'!S469)</f>
        <v/>
      </c>
      <c r="V469" s="172">
        <f>IF('Оперативный ввод'!T469="","",'Оперативный ввод'!T469)</f>
        <v/>
      </c>
      <c r="W469" s="172" t="n"/>
      <c r="X469" s="172" t="n"/>
      <c r="Y469" s="172" t="n"/>
      <c r="Z469" s="172" t="n"/>
      <c r="AA469" s="172">
        <f>IF('Оперативный ввод'!U469="","",'Оперативный ввод'!U469)</f>
        <v/>
      </c>
      <c r="AB469" s="172">
        <f>IF('Оперативный ввод'!V469="","",'Оперативный ввод'!V469)</f>
        <v/>
      </c>
      <c r="AC469" s="172">
        <f>IF('Оперативный ввод'!W469="","",'Оперативный ввод'!W469)</f>
        <v/>
      </c>
      <c r="BB469" s="172" t="n"/>
      <c r="BC469" s="172" t="n"/>
      <c r="BD469" s="205">
        <f>IF(AND(A469="",B469=""),"",IF(AND(P469="ГОТОВО",R469&lt;&gt;"",T469&lt;&gt;"",U469&lt;&gt;"",AA469&lt;&gt;"",AB469&lt;&gt;"",AC469&lt;&gt;"",BB469&lt;&gt;"",BC469&lt;&gt;""),"ГОТОВО","НЕ ГОТОВО"))</f>
        <v/>
      </c>
      <c r="BE469" s="205">
        <f>IF(BD469&lt;&gt;"ГОТОВО","","Полное заключение: "&amp;A469&amp;", скв. "&amp;B469&amp;". МРП: "&amp;E469&amp;" сут. ГНО: "&amp;F469&amp;"; причина: "&amp;U469&amp;"; категория: "&amp;V469&amp;"; решение комиссии: "&amp;BB469&amp;".")</f>
        <v/>
      </c>
      <c r="BF469" s="173">
        <f>IF('Оперативный ввод'!X469="","",'Оперативный ввод'!X469)</f>
        <v/>
      </c>
    </row>
    <row r="470">
      <c r="A470" s="171">
        <f>IF('Оперативный ввод'!A470="","",'Оперативный ввод'!A470)</f>
        <v/>
      </c>
      <c r="B470" s="172">
        <f>IF('Оперативный ввод'!B470="","",'Оперативный ввод'!B470)</f>
        <v/>
      </c>
      <c r="C470" s="270">
        <f>IF('Оперативный ввод'!C470="","",'Оперативный ввод'!C470)</f>
        <v/>
      </c>
      <c r="D470" s="270">
        <f>IF('Оперативный ввод'!D470="","",'Оперативный ввод'!D470)</f>
        <v/>
      </c>
      <c r="E470" s="271">
        <f>IF(OR(C470="",D470=""),"",D470-C470)</f>
        <v/>
      </c>
      <c r="F470" s="172">
        <f>IF('Оперативный ввод'!F470="","",'Оперативный ввод'!F470)</f>
        <v/>
      </c>
      <c r="G470" s="172">
        <f>IF('Оперативный ввод'!G470="","",'Оперативный ввод'!G470)</f>
        <v/>
      </c>
      <c r="H470" s="172">
        <f>IF('Оперативный ввод'!H470="","",'Оперативный ввод'!H470)</f>
        <v/>
      </c>
      <c r="I470" s="172">
        <f>IF('Оперативный ввод'!I470="","",'Оперативный ввод'!I470)</f>
        <v/>
      </c>
      <c r="J470" s="172">
        <f>IF('Оперативный ввод'!J470="","",'Оперативный ввод'!J470)</f>
        <v/>
      </c>
      <c r="K470" s="172">
        <f>IF('Оперативный ввод'!K470="","",'Оперативный ввод'!K470)</f>
        <v/>
      </c>
      <c r="L470" s="172">
        <f>IF('Оперативный ввод'!L470="","",'Оперативный ввод'!L470)</f>
        <v/>
      </c>
      <c r="M470" s="172">
        <f>IF('Оперативный ввод'!M470="","",'Оперативный ввод'!M470)</f>
        <v/>
      </c>
      <c r="N470" s="172">
        <f>IF('Оперативный ввод'!N470="","",'Оперативный ввод'!N470)</f>
        <v/>
      </c>
      <c r="O470" s="172">
        <f>IF('Оперативный ввод'!O470="","",'Оперативный ввод'!O470)</f>
        <v/>
      </c>
      <c r="P470" s="205">
        <f>IF(AND(A470="",B470=""),"",IF(AND(A470&lt;&gt;"",B470&lt;&gt;"",C470&lt;&gt;"",D470&lt;&gt;"",F470&lt;&gt;"",G470&lt;&gt;"",H470&lt;&gt;"",ISERROR(SEARCH("по паспорту",G470)),ISERROR(SEARCH("по паспорту",H470)),I470&lt;&gt;"",J470&lt;&gt;"",K470&lt;&gt;"",L470&lt;&gt;"",M470&lt;&gt;""),"ГОТОВО","НЕ ГОТОВО"))</f>
        <v/>
      </c>
      <c r="Q470" s="205">
        <f>IF(P470&lt;&gt;"ГОТОВО","", "Предварительное заключение: "&amp;A470&amp;", скв. "&amp;B470&amp;". МРП: "&amp;E470&amp;" сут. ГНО: "&amp;F470&amp;", типоразмер "&amp;G470&amp;", марка "&amp;H470&amp;". Событие: "&amp;I470&amp;". Признак: "&amp;J470&amp;". Узел: "&amp;K470&amp;". Предварительная причина: "&amp;L470&amp;". Основное осложнение: "&amp;M470&amp;IF(N470&lt;&gt;"","; сопутствующее: "&amp;N470,"")&amp;IF(O470&lt;&gt;"","; дополнительно: "&amp;O470,"")&amp;".")</f>
        <v/>
      </c>
      <c r="R470" s="172">
        <f>IF('Оперативный ввод'!P470="","",'Оперативный ввод'!P470)</f>
        <v/>
      </c>
      <c r="S470" s="172">
        <f>IF('Оперативный ввод'!Q470="","",'Оперативный ввод'!Q470)</f>
        <v/>
      </c>
      <c r="T470" s="172">
        <f>IF('Оперативный ввод'!R470="","",'Оперативный ввод'!R470)</f>
        <v/>
      </c>
      <c r="U470" s="172">
        <f>IF('Оперативный ввод'!S470="","",'Оперативный ввод'!S470)</f>
        <v/>
      </c>
      <c r="V470" s="172">
        <f>IF('Оперативный ввод'!T470="","",'Оперативный ввод'!T470)</f>
        <v/>
      </c>
      <c r="W470" s="172" t="n"/>
      <c r="X470" s="172" t="n"/>
      <c r="Y470" s="172" t="n"/>
      <c r="Z470" s="172" t="n"/>
      <c r="AA470" s="172">
        <f>IF('Оперативный ввод'!U470="","",'Оперативный ввод'!U470)</f>
        <v/>
      </c>
      <c r="AB470" s="172">
        <f>IF('Оперативный ввод'!V470="","",'Оперативный ввод'!V470)</f>
        <v/>
      </c>
      <c r="AC470" s="172">
        <f>IF('Оперативный ввод'!W470="","",'Оперативный ввод'!W470)</f>
        <v/>
      </c>
      <c r="BB470" s="172" t="n"/>
      <c r="BC470" s="172" t="n"/>
      <c r="BD470" s="205">
        <f>IF(AND(A470="",B470=""),"",IF(AND(P470="ГОТОВО",R470&lt;&gt;"",T470&lt;&gt;"",U470&lt;&gt;"",AA470&lt;&gt;"",AB470&lt;&gt;"",AC470&lt;&gt;"",BB470&lt;&gt;"",BC470&lt;&gt;""),"ГОТОВО","НЕ ГОТОВО"))</f>
        <v/>
      </c>
      <c r="BE470" s="205">
        <f>IF(BD470&lt;&gt;"ГОТОВО","","Полное заключение: "&amp;A470&amp;", скв. "&amp;B470&amp;". МРП: "&amp;E470&amp;" сут. ГНО: "&amp;F470&amp;"; причина: "&amp;U470&amp;"; категория: "&amp;V470&amp;"; решение комиссии: "&amp;BB470&amp;".")</f>
        <v/>
      </c>
      <c r="BF470" s="173">
        <f>IF('Оперативный ввод'!X470="","",'Оперативный ввод'!X470)</f>
        <v/>
      </c>
    </row>
    <row r="471">
      <c r="A471" s="171">
        <f>IF('Оперативный ввод'!A471="","",'Оперативный ввод'!A471)</f>
        <v/>
      </c>
      <c r="B471" s="172">
        <f>IF('Оперативный ввод'!B471="","",'Оперативный ввод'!B471)</f>
        <v/>
      </c>
      <c r="C471" s="270">
        <f>IF('Оперативный ввод'!C471="","",'Оперативный ввод'!C471)</f>
        <v/>
      </c>
      <c r="D471" s="270">
        <f>IF('Оперативный ввод'!D471="","",'Оперативный ввод'!D471)</f>
        <v/>
      </c>
      <c r="E471" s="271">
        <f>IF(OR(C471="",D471=""),"",D471-C471)</f>
        <v/>
      </c>
      <c r="F471" s="172">
        <f>IF('Оперативный ввод'!F471="","",'Оперативный ввод'!F471)</f>
        <v/>
      </c>
      <c r="G471" s="172">
        <f>IF('Оперативный ввод'!G471="","",'Оперативный ввод'!G471)</f>
        <v/>
      </c>
      <c r="H471" s="172">
        <f>IF('Оперативный ввод'!H471="","",'Оперативный ввод'!H471)</f>
        <v/>
      </c>
      <c r="I471" s="172">
        <f>IF('Оперативный ввод'!I471="","",'Оперативный ввод'!I471)</f>
        <v/>
      </c>
      <c r="J471" s="172">
        <f>IF('Оперативный ввод'!J471="","",'Оперативный ввод'!J471)</f>
        <v/>
      </c>
      <c r="K471" s="172">
        <f>IF('Оперативный ввод'!K471="","",'Оперативный ввод'!K471)</f>
        <v/>
      </c>
      <c r="L471" s="172">
        <f>IF('Оперативный ввод'!L471="","",'Оперативный ввод'!L471)</f>
        <v/>
      </c>
      <c r="M471" s="172">
        <f>IF('Оперативный ввод'!M471="","",'Оперативный ввод'!M471)</f>
        <v/>
      </c>
      <c r="N471" s="172">
        <f>IF('Оперативный ввод'!N471="","",'Оперативный ввод'!N471)</f>
        <v/>
      </c>
      <c r="O471" s="172">
        <f>IF('Оперативный ввод'!O471="","",'Оперативный ввод'!O471)</f>
        <v/>
      </c>
      <c r="P471" s="205">
        <f>IF(AND(A471="",B471=""),"",IF(AND(A471&lt;&gt;"",B471&lt;&gt;"",C471&lt;&gt;"",D471&lt;&gt;"",F471&lt;&gt;"",G471&lt;&gt;"",H471&lt;&gt;"",ISERROR(SEARCH("по паспорту",G471)),ISERROR(SEARCH("по паспорту",H471)),I471&lt;&gt;"",J471&lt;&gt;"",K471&lt;&gt;"",L471&lt;&gt;"",M471&lt;&gt;""),"ГОТОВО","НЕ ГОТОВО"))</f>
        <v/>
      </c>
      <c r="Q471" s="205">
        <f>IF(P471&lt;&gt;"ГОТОВО","", "Предварительное заключение: "&amp;A471&amp;", скв. "&amp;B471&amp;". МРП: "&amp;E471&amp;" сут. ГНО: "&amp;F471&amp;", типоразмер "&amp;G471&amp;", марка "&amp;H471&amp;". Событие: "&amp;I471&amp;". Признак: "&amp;J471&amp;". Узел: "&amp;K471&amp;". Предварительная причина: "&amp;L471&amp;". Основное осложнение: "&amp;M471&amp;IF(N471&lt;&gt;"","; сопутствующее: "&amp;N471,"")&amp;IF(O471&lt;&gt;"","; дополнительно: "&amp;O471,"")&amp;".")</f>
        <v/>
      </c>
      <c r="R471" s="172">
        <f>IF('Оперативный ввод'!P471="","",'Оперативный ввод'!P471)</f>
        <v/>
      </c>
      <c r="S471" s="172">
        <f>IF('Оперативный ввод'!Q471="","",'Оперативный ввод'!Q471)</f>
        <v/>
      </c>
      <c r="T471" s="172">
        <f>IF('Оперативный ввод'!R471="","",'Оперативный ввод'!R471)</f>
        <v/>
      </c>
      <c r="U471" s="172">
        <f>IF('Оперативный ввод'!S471="","",'Оперативный ввод'!S471)</f>
        <v/>
      </c>
      <c r="V471" s="172">
        <f>IF('Оперативный ввод'!T471="","",'Оперативный ввод'!T471)</f>
        <v/>
      </c>
      <c r="W471" s="172" t="n"/>
      <c r="X471" s="172" t="n"/>
      <c r="Y471" s="172" t="n"/>
      <c r="Z471" s="172" t="n"/>
      <c r="AA471" s="172">
        <f>IF('Оперативный ввод'!U471="","",'Оперативный ввод'!U471)</f>
        <v/>
      </c>
      <c r="AB471" s="172">
        <f>IF('Оперативный ввод'!V471="","",'Оперативный ввод'!V471)</f>
        <v/>
      </c>
      <c r="AC471" s="172">
        <f>IF('Оперативный ввод'!W471="","",'Оперативный ввод'!W471)</f>
        <v/>
      </c>
      <c r="BB471" s="172" t="n"/>
      <c r="BC471" s="172" t="n"/>
      <c r="BD471" s="205">
        <f>IF(AND(A471="",B471=""),"",IF(AND(P471="ГОТОВО",R471&lt;&gt;"",T471&lt;&gt;"",U471&lt;&gt;"",AA471&lt;&gt;"",AB471&lt;&gt;"",AC471&lt;&gt;"",BB471&lt;&gt;"",BC471&lt;&gt;""),"ГОТОВО","НЕ ГОТОВО"))</f>
        <v/>
      </c>
      <c r="BE471" s="205">
        <f>IF(BD471&lt;&gt;"ГОТОВО","","Полное заключение: "&amp;A471&amp;", скв. "&amp;B471&amp;". МРП: "&amp;E471&amp;" сут. ГНО: "&amp;F471&amp;"; причина: "&amp;U471&amp;"; категория: "&amp;V471&amp;"; решение комиссии: "&amp;BB471&amp;".")</f>
        <v/>
      </c>
      <c r="BF471" s="173">
        <f>IF('Оперативный ввод'!X471="","",'Оперативный ввод'!X471)</f>
        <v/>
      </c>
    </row>
    <row r="472">
      <c r="A472" s="171">
        <f>IF('Оперативный ввод'!A472="","",'Оперативный ввод'!A472)</f>
        <v/>
      </c>
      <c r="B472" s="172">
        <f>IF('Оперативный ввод'!B472="","",'Оперативный ввод'!B472)</f>
        <v/>
      </c>
      <c r="C472" s="270">
        <f>IF('Оперативный ввод'!C472="","",'Оперативный ввод'!C472)</f>
        <v/>
      </c>
      <c r="D472" s="270">
        <f>IF('Оперативный ввод'!D472="","",'Оперативный ввод'!D472)</f>
        <v/>
      </c>
      <c r="E472" s="271">
        <f>IF(OR(C472="",D472=""),"",D472-C472)</f>
        <v/>
      </c>
      <c r="F472" s="172">
        <f>IF('Оперативный ввод'!F472="","",'Оперативный ввод'!F472)</f>
        <v/>
      </c>
      <c r="G472" s="172">
        <f>IF('Оперативный ввод'!G472="","",'Оперативный ввод'!G472)</f>
        <v/>
      </c>
      <c r="H472" s="172">
        <f>IF('Оперативный ввод'!H472="","",'Оперативный ввод'!H472)</f>
        <v/>
      </c>
      <c r="I472" s="172">
        <f>IF('Оперативный ввод'!I472="","",'Оперативный ввод'!I472)</f>
        <v/>
      </c>
      <c r="J472" s="172">
        <f>IF('Оперативный ввод'!J472="","",'Оперативный ввод'!J472)</f>
        <v/>
      </c>
      <c r="K472" s="172">
        <f>IF('Оперативный ввод'!K472="","",'Оперативный ввод'!K472)</f>
        <v/>
      </c>
      <c r="L472" s="172">
        <f>IF('Оперативный ввод'!L472="","",'Оперативный ввод'!L472)</f>
        <v/>
      </c>
      <c r="M472" s="172">
        <f>IF('Оперативный ввод'!M472="","",'Оперативный ввод'!M472)</f>
        <v/>
      </c>
      <c r="N472" s="172">
        <f>IF('Оперативный ввод'!N472="","",'Оперативный ввод'!N472)</f>
        <v/>
      </c>
      <c r="O472" s="172">
        <f>IF('Оперативный ввод'!O472="","",'Оперативный ввод'!O472)</f>
        <v/>
      </c>
      <c r="P472" s="205">
        <f>IF(AND(A472="",B472=""),"",IF(AND(A472&lt;&gt;"",B472&lt;&gt;"",C472&lt;&gt;"",D472&lt;&gt;"",F472&lt;&gt;"",G472&lt;&gt;"",H472&lt;&gt;"",ISERROR(SEARCH("по паспорту",G472)),ISERROR(SEARCH("по паспорту",H472)),I472&lt;&gt;"",J472&lt;&gt;"",K472&lt;&gt;"",L472&lt;&gt;"",M472&lt;&gt;""),"ГОТОВО","НЕ ГОТОВО"))</f>
        <v/>
      </c>
      <c r="Q472" s="205">
        <f>IF(P472&lt;&gt;"ГОТОВО","", "Предварительное заключение: "&amp;A472&amp;", скв. "&amp;B472&amp;". МРП: "&amp;E472&amp;" сут. ГНО: "&amp;F472&amp;", типоразмер "&amp;G472&amp;", марка "&amp;H472&amp;". Событие: "&amp;I472&amp;". Признак: "&amp;J472&amp;". Узел: "&amp;K472&amp;". Предварительная причина: "&amp;L472&amp;". Основное осложнение: "&amp;M472&amp;IF(N472&lt;&gt;"","; сопутствующее: "&amp;N472,"")&amp;IF(O472&lt;&gt;"","; дополнительно: "&amp;O472,"")&amp;".")</f>
        <v/>
      </c>
      <c r="R472" s="172">
        <f>IF('Оперативный ввод'!P472="","",'Оперативный ввод'!P472)</f>
        <v/>
      </c>
      <c r="S472" s="172">
        <f>IF('Оперативный ввод'!Q472="","",'Оперативный ввод'!Q472)</f>
        <v/>
      </c>
      <c r="T472" s="172">
        <f>IF('Оперативный ввод'!R472="","",'Оперативный ввод'!R472)</f>
        <v/>
      </c>
      <c r="U472" s="172">
        <f>IF('Оперативный ввод'!S472="","",'Оперативный ввод'!S472)</f>
        <v/>
      </c>
      <c r="V472" s="172">
        <f>IF('Оперативный ввод'!T472="","",'Оперативный ввод'!T472)</f>
        <v/>
      </c>
      <c r="W472" s="172" t="n"/>
      <c r="X472" s="172" t="n"/>
      <c r="Y472" s="172" t="n"/>
      <c r="Z472" s="172" t="n"/>
      <c r="AA472" s="172">
        <f>IF('Оперативный ввод'!U472="","",'Оперативный ввод'!U472)</f>
        <v/>
      </c>
      <c r="AB472" s="172">
        <f>IF('Оперативный ввод'!V472="","",'Оперативный ввод'!V472)</f>
        <v/>
      </c>
      <c r="AC472" s="172">
        <f>IF('Оперативный ввод'!W472="","",'Оперативный ввод'!W472)</f>
        <v/>
      </c>
      <c r="BB472" s="172" t="n"/>
      <c r="BC472" s="172" t="n"/>
      <c r="BD472" s="205">
        <f>IF(AND(A472="",B472=""),"",IF(AND(P472="ГОТОВО",R472&lt;&gt;"",T472&lt;&gt;"",U472&lt;&gt;"",AA472&lt;&gt;"",AB472&lt;&gt;"",AC472&lt;&gt;"",BB472&lt;&gt;"",BC472&lt;&gt;""),"ГОТОВО","НЕ ГОТОВО"))</f>
        <v/>
      </c>
      <c r="BE472" s="205">
        <f>IF(BD472&lt;&gt;"ГОТОВО","","Полное заключение: "&amp;A472&amp;", скв. "&amp;B472&amp;". МРП: "&amp;E472&amp;" сут. ГНО: "&amp;F472&amp;"; причина: "&amp;U472&amp;"; категория: "&amp;V472&amp;"; решение комиссии: "&amp;BB472&amp;".")</f>
        <v/>
      </c>
      <c r="BF472" s="173">
        <f>IF('Оперативный ввод'!X472="","",'Оперативный ввод'!X472)</f>
        <v/>
      </c>
    </row>
    <row r="473">
      <c r="A473" s="171">
        <f>IF('Оперативный ввод'!A473="","",'Оперативный ввод'!A473)</f>
        <v/>
      </c>
      <c r="B473" s="172">
        <f>IF('Оперативный ввод'!B473="","",'Оперативный ввод'!B473)</f>
        <v/>
      </c>
      <c r="C473" s="270">
        <f>IF('Оперативный ввод'!C473="","",'Оперативный ввод'!C473)</f>
        <v/>
      </c>
      <c r="D473" s="270">
        <f>IF('Оперативный ввод'!D473="","",'Оперативный ввод'!D473)</f>
        <v/>
      </c>
      <c r="E473" s="271">
        <f>IF(OR(C473="",D473=""),"",D473-C473)</f>
        <v/>
      </c>
      <c r="F473" s="172">
        <f>IF('Оперативный ввод'!F473="","",'Оперативный ввод'!F473)</f>
        <v/>
      </c>
      <c r="G473" s="172">
        <f>IF('Оперативный ввод'!G473="","",'Оперативный ввод'!G473)</f>
        <v/>
      </c>
      <c r="H473" s="172">
        <f>IF('Оперативный ввод'!H473="","",'Оперативный ввод'!H473)</f>
        <v/>
      </c>
      <c r="I473" s="172">
        <f>IF('Оперативный ввод'!I473="","",'Оперативный ввод'!I473)</f>
        <v/>
      </c>
      <c r="J473" s="172">
        <f>IF('Оперативный ввод'!J473="","",'Оперативный ввод'!J473)</f>
        <v/>
      </c>
      <c r="K473" s="172">
        <f>IF('Оперативный ввод'!K473="","",'Оперативный ввод'!K473)</f>
        <v/>
      </c>
      <c r="L473" s="172">
        <f>IF('Оперативный ввод'!L473="","",'Оперативный ввод'!L473)</f>
        <v/>
      </c>
      <c r="M473" s="172">
        <f>IF('Оперативный ввод'!M473="","",'Оперативный ввод'!M473)</f>
        <v/>
      </c>
      <c r="N473" s="172">
        <f>IF('Оперативный ввод'!N473="","",'Оперативный ввод'!N473)</f>
        <v/>
      </c>
      <c r="O473" s="172">
        <f>IF('Оперативный ввод'!O473="","",'Оперативный ввод'!O473)</f>
        <v/>
      </c>
      <c r="P473" s="205">
        <f>IF(AND(A473="",B473=""),"",IF(AND(A473&lt;&gt;"",B473&lt;&gt;"",C473&lt;&gt;"",D473&lt;&gt;"",F473&lt;&gt;"",G473&lt;&gt;"",H473&lt;&gt;"",ISERROR(SEARCH("по паспорту",G473)),ISERROR(SEARCH("по паспорту",H473)),I473&lt;&gt;"",J473&lt;&gt;"",K473&lt;&gt;"",L473&lt;&gt;"",M473&lt;&gt;""),"ГОТОВО","НЕ ГОТОВО"))</f>
        <v/>
      </c>
      <c r="Q473" s="205">
        <f>IF(P473&lt;&gt;"ГОТОВО","", "Предварительное заключение: "&amp;A473&amp;", скв. "&amp;B473&amp;". МРП: "&amp;E473&amp;" сут. ГНО: "&amp;F473&amp;", типоразмер "&amp;G473&amp;", марка "&amp;H473&amp;". Событие: "&amp;I473&amp;". Признак: "&amp;J473&amp;". Узел: "&amp;K473&amp;". Предварительная причина: "&amp;L473&amp;". Основное осложнение: "&amp;M473&amp;IF(N473&lt;&gt;"","; сопутствующее: "&amp;N473,"")&amp;IF(O473&lt;&gt;"","; дополнительно: "&amp;O473,"")&amp;".")</f>
        <v/>
      </c>
      <c r="R473" s="172">
        <f>IF('Оперативный ввод'!P473="","",'Оперативный ввод'!P473)</f>
        <v/>
      </c>
      <c r="S473" s="172">
        <f>IF('Оперативный ввод'!Q473="","",'Оперативный ввод'!Q473)</f>
        <v/>
      </c>
      <c r="T473" s="172">
        <f>IF('Оперативный ввод'!R473="","",'Оперативный ввод'!R473)</f>
        <v/>
      </c>
      <c r="U473" s="172">
        <f>IF('Оперативный ввод'!S473="","",'Оперативный ввод'!S473)</f>
        <v/>
      </c>
      <c r="V473" s="172">
        <f>IF('Оперативный ввод'!T473="","",'Оперативный ввод'!T473)</f>
        <v/>
      </c>
      <c r="W473" s="172" t="n"/>
      <c r="X473" s="172" t="n"/>
      <c r="Y473" s="172" t="n"/>
      <c r="Z473" s="172" t="n"/>
      <c r="AA473" s="172">
        <f>IF('Оперативный ввод'!U473="","",'Оперативный ввод'!U473)</f>
        <v/>
      </c>
      <c r="AB473" s="172">
        <f>IF('Оперативный ввод'!V473="","",'Оперативный ввод'!V473)</f>
        <v/>
      </c>
      <c r="AC473" s="172">
        <f>IF('Оперативный ввод'!W473="","",'Оперативный ввод'!W473)</f>
        <v/>
      </c>
      <c r="BB473" s="172" t="n"/>
      <c r="BC473" s="172" t="n"/>
      <c r="BD473" s="205">
        <f>IF(AND(A473="",B473=""),"",IF(AND(P473="ГОТОВО",R473&lt;&gt;"",T473&lt;&gt;"",U473&lt;&gt;"",AA473&lt;&gt;"",AB473&lt;&gt;"",AC473&lt;&gt;"",BB473&lt;&gt;"",BC473&lt;&gt;""),"ГОТОВО","НЕ ГОТОВО"))</f>
        <v/>
      </c>
      <c r="BE473" s="205">
        <f>IF(BD473&lt;&gt;"ГОТОВО","","Полное заключение: "&amp;A473&amp;", скв. "&amp;B473&amp;". МРП: "&amp;E473&amp;" сут. ГНО: "&amp;F473&amp;"; причина: "&amp;U473&amp;"; категория: "&amp;V473&amp;"; решение комиссии: "&amp;BB473&amp;".")</f>
        <v/>
      </c>
      <c r="BF473" s="173">
        <f>IF('Оперативный ввод'!X473="","",'Оперативный ввод'!X473)</f>
        <v/>
      </c>
    </row>
    <row r="474">
      <c r="A474" s="171">
        <f>IF('Оперативный ввод'!A474="","",'Оперативный ввод'!A474)</f>
        <v/>
      </c>
      <c r="B474" s="172">
        <f>IF('Оперативный ввод'!B474="","",'Оперативный ввод'!B474)</f>
        <v/>
      </c>
      <c r="C474" s="270">
        <f>IF('Оперативный ввод'!C474="","",'Оперативный ввод'!C474)</f>
        <v/>
      </c>
      <c r="D474" s="270">
        <f>IF('Оперативный ввод'!D474="","",'Оперативный ввод'!D474)</f>
        <v/>
      </c>
      <c r="E474" s="271">
        <f>IF(OR(C474="",D474=""),"",D474-C474)</f>
        <v/>
      </c>
      <c r="F474" s="172">
        <f>IF('Оперативный ввод'!F474="","",'Оперативный ввод'!F474)</f>
        <v/>
      </c>
      <c r="G474" s="172">
        <f>IF('Оперативный ввод'!G474="","",'Оперативный ввод'!G474)</f>
        <v/>
      </c>
      <c r="H474" s="172">
        <f>IF('Оперативный ввод'!H474="","",'Оперативный ввод'!H474)</f>
        <v/>
      </c>
      <c r="I474" s="172">
        <f>IF('Оперативный ввод'!I474="","",'Оперативный ввод'!I474)</f>
        <v/>
      </c>
      <c r="J474" s="172">
        <f>IF('Оперативный ввод'!J474="","",'Оперативный ввод'!J474)</f>
        <v/>
      </c>
      <c r="K474" s="172">
        <f>IF('Оперативный ввод'!K474="","",'Оперативный ввод'!K474)</f>
        <v/>
      </c>
      <c r="L474" s="172">
        <f>IF('Оперативный ввод'!L474="","",'Оперативный ввод'!L474)</f>
        <v/>
      </c>
      <c r="M474" s="172">
        <f>IF('Оперативный ввод'!M474="","",'Оперативный ввод'!M474)</f>
        <v/>
      </c>
      <c r="N474" s="172">
        <f>IF('Оперативный ввод'!N474="","",'Оперативный ввод'!N474)</f>
        <v/>
      </c>
      <c r="O474" s="172">
        <f>IF('Оперативный ввод'!O474="","",'Оперативный ввод'!O474)</f>
        <v/>
      </c>
      <c r="P474" s="205">
        <f>IF(AND(A474="",B474=""),"",IF(AND(A474&lt;&gt;"",B474&lt;&gt;"",C474&lt;&gt;"",D474&lt;&gt;"",F474&lt;&gt;"",G474&lt;&gt;"",H474&lt;&gt;"",ISERROR(SEARCH("по паспорту",G474)),ISERROR(SEARCH("по паспорту",H474)),I474&lt;&gt;"",J474&lt;&gt;"",K474&lt;&gt;"",L474&lt;&gt;"",M474&lt;&gt;""),"ГОТОВО","НЕ ГОТОВО"))</f>
        <v/>
      </c>
      <c r="Q474" s="205">
        <f>IF(P474&lt;&gt;"ГОТОВО","", "Предварительное заключение: "&amp;A474&amp;", скв. "&amp;B474&amp;". МРП: "&amp;E474&amp;" сут. ГНО: "&amp;F474&amp;", типоразмер "&amp;G474&amp;", марка "&amp;H474&amp;". Событие: "&amp;I474&amp;". Признак: "&amp;J474&amp;". Узел: "&amp;K474&amp;". Предварительная причина: "&amp;L474&amp;". Основное осложнение: "&amp;M474&amp;IF(N474&lt;&gt;"","; сопутствующее: "&amp;N474,"")&amp;IF(O474&lt;&gt;"","; дополнительно: "&amp;O474,"")&amp;".")</f>
        <v/>
      </c>
      <c r="R474" s="172">
        <f>IF('Оперативный ввод'!P474="","",'Оперативный ввод'!P474)</f>
        <v/>
      </c>
      <c r="S474" s="172">
        <f>IF('Оперативный ввод'!Q474="","",'Оперативный ввод'!Q474)</f>
        <v/>
      </c>
      <c r="T474" s="172">
        <f>IF('Оперативный ввод'!R474="","",'Оперативный ввод'!R474)</f>
        <v/>
      </c>
      <c r="U474" s="172">
        <f>IF('Оперативный ввод'!S474="","",'Оперативный ввод'!S474)</f>
        <v/>
      </c>
      <c r="V474" s="172">
        <f>IF('Оперативный ввод'!T474="","",'Оперативный ввод'!T474)</f>
        <v/>
      </c>
      <c r="W474" s="172" t="n"/>
      <c r="X474" s="172" t="n"/>
      <c r="Y474" s="172" t="n"/>
      <c r="Z474" s="172" t="n"/>
      <c r="AA474" s="172">
        <f>IF('Оперативный ввод'!U474="","",'Оперативный ввод'!U474)</f>
        <v/>
      </c>
      <c r="AB474" s="172">
        <f>IF('Оперативный ввод'!V474="","",'Оперативный ввод'!V474)</f>
        <v/>
      </c>
      <c r="AC474" s="172">
        <f>IF('Оперативный ввод'!W474="","",'Оперативный ввод'!W474)</f>
        <v/>
      </c>
      <c r="BB474" s="172" t="n"/>
      <c r="BC474" s="172" t="n"/>
      <c r="BD474" s="205">
        <f>IF(AND(A474="",B474=""),"",IF(AND(P474="ГОТОВО",R474&lt;&gt;"",T474&lt;&gt;"",U474&lt;&gt;"",AA474&lt;&gt;"",AB474&lt;&gt;"",AC474&lt;&gt;"",BB474&lt;&gt;"",BC474&lt;&gt;""),"ГОТОВО","НЕ ГОТОВО"))</f>
        <v/>
      </c>
      <c r="BE474" s="205">
        <f>IF(BD474&lt;&gt;"ГОТОВО","","Полное заключение: "&amp;A474&amp;", скв. "&amp;B474&amp;". МРП: "&amp;E474&amp;" сут. ГНО: "&amp;F474&amp;"; причина: "&amp;U474&amp;"; категория: "&amp;V474&amp;"; решение комиссии: "&amp;BB474&amp;".")</f>
        <v/>
      </c>
      <c r="BF474" s="173">
        <f>IF('Оперативный ввод'!X474="","",'Оперативный ввод'!X474)</f>
        <v/>
      </c>
    </row>
    <row r="475">
      <c r="A475" s="171">
        <f>IF('Оперативный ввод'!A475="","",'Оперативный ввод'!A475)</f>
        <v/>
      </c>
      <c r="B475" s="172">
        <f>IF('Оперативный ввод'!B475="","",'Оперативный ввод'!B475)</f>
        <v/>
      </c>
      <c r="C475" s="270">
        <f>IF('Оперативный ввод'!C475="","",'Оперативный ввод'!C475)</f>
        <v/>
      </c>
      <c r="D475" s="270">
        <f>IF('Оперативный ввод'!D475="","",'Оперативный ввод'!D475)</f>
        <v/>
      </c>
      <c r="E475" s="271">
        <f>IF(OR(C475="",D475=""),"",D475-C475)</f>
        <v/>
      </c>
      <c r="F475" s="172">
        <f>IF('Оперативный ввод'!F475="","",'Оперативный ввод'!F475)</f>
        <v/>
      </c>
      <c r="G475" s="172">
        <f>IF('Оперативный ввод'!G475="","",'Оперативный ввод'!G475)</f>
        <v/>
      </c>
      <c r="H475" s="172">
        <f>IF('Оперативный ввод'!H475="","",'Оперативный ввод'!H475)</f>
        <v/>
      </c>
      <c r="I475" s="172">
        <f>IF('Оперативный ввод'!I475="","",'Оперативный ввод'!I475)</f>
        <v/>
      </c>
      <c r="J475" s="172">
        <f>IF('Оперативный ввод'!J475="","",'Оперативный ввод'!J475)</f>
        <v/>
      </c>
      <c r="K475" s="172">
        <f>IF('Оперативный ввод'!K475="","",'Оперативный ввод'!K475)</f>
        <v/>
      </c>
      <c r="L475" s="172">
        <f>IF('Оперативный ввод'!L475="","",'Оперативный ввод'!L475)</f>
        <v/>
      </c>
      <c r="M475" s="172">
        <f>IF('Оперативный ввод'!M475="","",'Оперативный ввод'!M475)</f>
        <v/>
      </c>
      <c r="N475" s="172">
        <f>IF('Оперативный ввод'!N475="","",'Оперативный ввод'!N475)</f>
        <v/>
      </c>
      <c r="O475" s="172">
        <f>IF('Оперативный ввод'!O475="","",'Оперативный ввод'!O475)</f>
        <v/>
      </c>
      <c r="P475" s="205">
        <f>IF(AND(A475="",B475=""),"",IF(AND(A475&lt;&gt;"",B475&lt;&gt;"",C475&lt;&gt;"",D475&lt;&gt;"",F475&lt;&gt;"",G475&lt;&gt;"",H475&lt;&gt;"",ISERROR(SEARCH("по паспорту",G475)),ISERROR(SEARCH("по паспорту",H475)),I475&lt;&gt;"",J475&lt;&gt;"",K475&lt;&gt;"",L475&lt;&gt;"",M475&lt;&gt;""),"ГОТОВО","НЕ ГОТОВО"))</f>
        <v/>
      </c>
      <c r="Q475" s="205">
        <f>IF(P475&lt;&gt;"ГОТОВО","", "Предварительное заключение: "&amp;A475&amp;", скв. "&amp;B475&amp;". МРП: "&amp;E475&amp;" сут. ГНО: "&amp;F475&amp;", типоразмер "&amp;G475&amp;", марка "&amp;H475&amp;". Событие: "&amp;I475&amp;". Признак: "&amp;J475&amp;". Узел: "&amp;K475&amp;". Предварительная причина: "&amp;L475&amp;". Основное осложнение: "&amp;M475&amp;IF(N475&lt;&gt;"","; сопутствующее: "&amp;N475,"")&amp;IF(O475&lt;&gt;"","; дополнительно: "&amp;O475,"")&amp;".")</f>
        <v/>
      </c>
      <c r="R475" s="172">
        <f>IF('Оперативный ввод'!P475="","",'Оперативный ввод'!P475)</f>
        <v/>
      </c>
      <c r="S475" s="172">
        <f>IF('Оперативный ввод'!Q475="","",'Оперативный ввод'!Q475)</f>
        <v/>
      </c>
      <c r="T475" s="172">
        <f>IF('Оперативный ввод'!R475="","",'Оперативный ввод'!R475)</f>
        <v/>
      </c>
      <c r="U475" s="172">
        <f>IF('Оперативный ввод'!S475="","",'Оперативный ввод'!S475)</f>
        <v/>
      </c>
      <c r="V475" s="172">
        <f>IF('Оперативный ввод'!T475="","",'Оперативный ввод'!T475)</f>
        <v/>
      </c>
      <c r="W475" s="172" t="n"/>
      <c r="X475" s="172" t="n"/>
      <c r="Y475" s="172" t="n"/>
      <c r="Z475" s="172" t="n"/>
      <c r="AA475" s="172">
        <f>IF('Оперативный ввод'!U475="","",'Оперативный ввод'!U475)</f>
        <v/>
      </c>
      <c r="AB475" s="172">
        <f>IF('Оперативный ввод'!V475="","",'Оперативный ввод'!V475)</f>
        <v/>
      </c>
      <c r="AC475" s="172">
        <f>IF('Оперативный ввод'!W475="","",'Оперативный ввод'!W475)</f>
        <v/>
      </c>
      <c r="BB475" s="172" t="n"/>
      <c r="BC475" s="172" t="n"/>
      <c r="BD475" s="205">
        <f>IF(AND(A475="",B475=""),"",IF(AND(P475="ГОТОВО",R475&lt;&gt;"",T475&lt;&gt;"",U475&lt;&gt;"",AA475&lt;&gt;"",AB475&lt;&gt;"",AC475&lt;&gt;"",BB475&lt;&gt;"",BC475&lt;&gt;""),"ГОТОВО","НЕ ГОТОВО"))</f>
        <v/>
      </c>
      <c r="BE475" s="205">
        <f>IF(BD475&lt;&gt;"ГОТОВО","","Полное заключение: "&amp;A475&amp;", скв. "&amp;B475&amp;". МРП: "&amp;E475&amp;" сут. ГНО: "&amp;F475&amp;"; причина: "&amp;U475&amp;"; категория: "&amp;V475&amp;"; решение комиссии: "&amp;BB475&amp;".")</f>
        <v/>
      </c>
      <c r="BF475" s="173">
        <f>IF('Оперативный ввод'!X475="","",'Оперативный ввод'!X475)</f>
        <v/>
      </c>
    </row>
    <row r="476">
      <c r="A476" s="171">
        <f>IF('Оперативный ввод'!A476="","",'Оперативный ввод'!A476)</f>
        <v/>
      </c>
      <c r="B476" s="172">
        <f>IF('Оперативный ввод'!B476="","",'Оперативный ввод'!B476)</f>
        <v/>
      </c>
      <c r="C476" s="270">
        <f>IF('Оперативный ввод'!C476="","",'Оперативный ввод'!C476)</f>
        <v/>
      </c>
      <c r="D476" s="270">
        <f>IF('Оперативный ввод'!D476="","",'Оперативный ввод'!D476)</f>
        <v/>
      </c>
      <c r="E476" s="271">
        <f>IF(OR(C476="",D476=""),"",D476-C476)</f>
        <v/>
      </c>
      <c r="F476" s="172">
        <f>IF('Оперативный ввод'!F476="","",'Оперативный ввод'!F476)</f>
        <v/>
      </c>
      <c r="G476" s="172">
        <f>IF('Оперативный ввод'!G476="","",'Оперативный ввод'!G476)</f>
        <v/>
      </c>
      <c r="H476" s="172">
        <f>IF('Оперативный ввод'!H476="","",'Оперативный ввод'!H476)</f>
        <v/>
      </c>
      <c r="I476" s="172">
        <f>IF('Оперативный ввод'!I476="","",'Оперативный ввод'!I476)</f>
        <v/>
      </c>
      <c r="J476" s="172">
        <f>IF('Оперативный ввод'!J476="","",'Оперативный ввод'!J476)</f>
        <v/>
      </c>
      <c r="K476" s="172">
        <f>IF('Оперативный ввод'!K476="","",'Оперативный ввод'!K476)</f>
        <v/>
      </c>
      <c r="L476" s="172">
        <f>IF('Оперативный ввод'!L476="","",'Оперативный ввод'!L476)</f>
        <v/>
      </c>
      <c r="M476" s="172">
        <f>IF('Оперативный ввод'!M476="","",'Оперативный ввод'!M476)</f>
        <v/>
      </c>
      <c r="N476" s="172">
        <f>IF('Оперативный ввод'!N476="","",'Оперативный ввод'!N476)</f>
        <v/>
      </c>
      <c r="O476" s="172">
        <f>IF('Оперативный ввод'!O476="","",'Оперативный ввод'!O476)</f>
        <v/>
      </c>
      <c r="P476" s="205">
        <f>IF(AND(A476="",B476=""),"",IF(AND(A476&lt;&gt;"",B476&lt;&gt;"",C476&lt;&gt;"",D476&lt;&gt;"",F476&lt;&gt;"",G476&lt;&gt;"",H476&lt;&gt;"",ISERROR(SEARCH("по паспорту",G476)),ISERROR(SEARCH("по паспорту",H476)),I476&lt;&gt;"",J476&lt;&gt;"",K476&lt;&gt;"",L476&lt;&gt;"",M476&lt;&gt;""),"ГОТОВО","НЕ ГОТОВО"))</f>
        <v/>
      </c>
      <c r="Q476" s="205">
        <f>IF(P476&lt;&gt;"ГОТОВО","", "Предварительное заключение: "&amp;A476&amp;", скв. "&amp;B476&amp;". МРП: "&amp;E476&amp;" сут. ГНО: "&amp;F476&amp;", типоразмер "&amp;G476&amp;", марка "&amp;H476&amp;". Событие: "&amp;I476&amp;". Признак: "&amp;J476&amp;". Узел: "&amp;K476&amp;". Предварительная причина: "&amp;L476&amp;". Основное осложнение: "&amp;M476&amp;IF(N476&lt;&gt;"","; сопутствующее: "&amp;N476,"")&amp;IF(O476&lt;&gt;"","; дополнительно: "&amp;O476,"")&amp;".")</f>
        <v/>
      </c>
      <c r="R476" s="172">
        <f>IF('Оперативный ввод'!P476="","",'Оперативный ввод'!P476)</f>
        <v/>
      </c>
      <c r="S476" s="172">
        <f>IF('Оперативный ввод'!Q476="","",'Оперативный ввод'!Q476)</f>
        <v/>
      </c>
      <c r="T476" s="172">
        <f>IF('Оперативный ввод'!R476="","",'Оперативный ввод'!R476)</f>
        <v/>
      </c>
      <c r="U476" s="172">
        <f>IF('Оперативный ввод'!S476="","",'Оперативный ввод'!S476)</f>
        <v/>
      </c>
      <c r="V476" s="172">
        <f>IF('Оперативный ввод'!T476="","",'Оперативный ввод'!T476)</f>
        <v/>
      </c>
      <c r="W476" s="172" t="n"/>
      <c r="X476" s="172" t="n"/>
      <c r="Y476" s="172" t="n"/>
      <c r="Z476" s="172" t="n"/>
      <c r="AA476" s="172">
        <f>IF('Оперативный ввод'!U476="","",'Оперативный ввод'!U476)</f>
        <v/>
      </c>
      <c r="AB476" s="172">
        <f>IF('Оперативный ввод'!V476="","",'Оперативный ввод'!V476)</f>
        <v/>
      </c>
      <c r="AC476" s="172">
        <f>IF('Оперативный ввод'!W476="","",'Оперативный ввод'!W476)</f>
        <v/>
      </c>
      <c r="BB476" s="172" t="n"/>
      <c r="BC476" s="172" t="n"/>
      <c r="BD476" s="205">
        <f>IF(AND(A476="",B476=""),"",IF(AND(P476="ГОТОВО",R476&lt;&gt;"",T476&lt;&gt;"",U476&lt;&gt;"",AA476&lt;&gt;"",AB476&lt;&gt;"",AC476&lt;&gt;"",BB476&lt;&gt;"",BC476&lt;&gt;""),"ГОТОВО","НЕ ГОТОВО"))</f>
        <v/>
      </c>
      <c r="BE476" s="205">
        <f>IF(BD476&lt;&gt;"ГОТОВО","","Полное заключение: "&amp;A476&amp;", скв. "&amp;B476&amp;". МРП: "&amp;E476&amp;" сут. ГНО: "&amp;F476&amp;"; причина: "&amp;U476&amp;"; категория: "&amp;V476&amp;"; решение комиссии: "&amp;BB476&amp;".")</f>
        <v/>
      </c>
      <c r="BF476" s="173">
        <f>IF('Оперативный ввод'!X476="","",'Оперативный ввод'!X476)</f>
        <v/>
      </c>
    </row>
    <row r="477">
      <c r="A477" s="171">
        <f>IF('Оперативный ввод'!A477="","",'Оперативный ввод'!A477)</f>
        <v/>
      </c>
      <c r="B477" s="172">
        <f>IF('Оперативный ввод'!B477="","",'Оперативный ввод'!B477)</f>
        <v/>
      </c>
      <c r="C477" s="270">
        <f>IF('Оперативный ввод'!C477="","",'Оперативный ввод'!C477)</f>
        <v/>
      </c>
      <c r="D477" s="270">
        <f>IF('Оперативный ввод'!D477="","",'Оперативный ввод'!D477)</f>
        <v/>
      </c>
      <c r="E477" s="271">
        <f>IF(OR(C477="",D477=""),"",D477-C477)</f>
        <v/>
      </c>
      <c r="F477" s="172">
        <f>IF('Оперативный ввод'!F477="","",'Оперативный ввод'!F477)</f>
        <v/>
      </c>
      <c r="G477" s="172">
        <f>IF('Оперативный ввод'!G477="","",'Оперативный ввод'!G477)</f>
        <v/>
      </c>
      <c r="H477" s="172">
        <f>IF('Оперативный ввод'!H477="","",'Оперативный ввод'!H477)</f>
        <v/>
      </c>
      <c r="I477" s="172">
        <f>IF('Оперативный ввод'!I477="","",'Оперативный ввод'!I477)</f>
        <v/>
      </c>
      <c r="J477" s="172">
        <f>IF('Оперативный ввод'!J477="","",'Оперативный ввод'!J477)</f>
        <v/>
      </c>
      <c r="K477" s="172">
        <f>IF('Оперативный ввод'!K477="","",'Оперативный ввод'!K477)</f>
        <v/>
      </c>
      <c r="L477" s="172">
        <f>IF('Оперативный ввод'!L477="","",'Оперативный ввод'!L477)</f>
        <v/>
      </c>
      <c r="M477" s="172">
        <f>IF('Оперативный ввод'!M477="","",'Оперативный ввод'!M477)</f>
        <v/>
      </c>
      <c r="N477" s="172">
        <f>IF('Оперативный ввод'!N477="","",'Оперативный ввод'!N477)</f>
        <v/>
      </c>
      <c r="O477" s="172">
        <f>IF('Оперативный ввод'!O477="","",'Оперативный ввод'!O477)</f>
        <v/>
      </c>
      <c r="P477" s="205">
        <f>IF(AND(A477="",B477=""),"",IF(AND(A477&lt;&gt;"",B477&lt;&gt;"",C477&lt;&gt;"",D477&lt;&gt;"",F477&lt;&gt;"",G477&lt;&gt;"",H477&lt;&gt;"",ISERROR(SEARCH("по паспорту",G477)),ISERROR(SEARCH("по паспорту",H477)),I477&lt;&gt;"",J477&lt;&gt;"",K477&lt;&gt;"",L477&lt;&gt;"",M477&lt;&gt;""),"ГОТОВО","НЕ ГОТОВО"))</f>
        <v/>
      </c>
      <c r="Q477" s="205">
        <f>IF(P477&lt;&gt;"ГОТОВО","", "Предварительное заключение: "&amp;A477&amp;", скв. "&amp;B477&amp;". МРП: "&amp;E477&amp;" сут. ГНО: "&amp;F477&amp;", типоразмер "&amp;G477&amp;", марка "&amp;H477&amp;". Событие: "&amp;I477&amp;". Признак: "&amp;J477&amp;". Узел: "&amp;K477&amp;". Предварительная причина: "&amp;L477&amp;". Основное осложнение: "&amp;M477&amp;IF(N477&lt;&gt;"","; сопутствующее: "&amp;N477,"")&amp;IF(O477&lt;&gt;"","; дополнительно: "&amp;O477,"")&amp;".")</f>
        <v/>
      </c>
      <c r="R477" s="172">
        <f>IF('Оперативный ввод'!P477="","",'Оперативный ввод'!P477)</f>
        <v/>
      </c>
      <c r="S477" s="172">
        <f>IF('Оперативный ввод'!Q477="","",'Оперативный ввод'!Q477)</f>
        <v/>
      </c>
      <c r="T477" s="172">
        <f>IF('Оперативный ввод'!R477="","",'Оперативный ввод'!R477)</f>
        <v/>
      </c>
      <c r="U477" s="172">
        <f>IF('Оперативный ввод'!S477="","",'Оперативный ввод'!S477)</f>
        <v/>
      </c>
      <c r="V477" s="172">
        <f>IF('Оперативный ввод'!T477="","",'Оперативный ввод'!T477)</f>
        <v/>
      </c>
      <c r="W477" s="172" t="n"/>
      <c r="X477" s="172" t="n"/>
      <c r="Y477" s="172" t="n"/>
      <c r="Z477" s="172" t="n"/>
      <c r="AA477" s="172">
        <f>IF('Оперативный ввод'!U477="","",'Оперативный ввод'!U477)</f>
        <v/>
      </c>
      <c r="AB477" s="172">
        <f>IF('Оперативный ввод'!V477="","",'Оперативный ввод'!V477)</f>
        <v/>
      </c>
      <c r="AC477" s="172">
        <f>IF('Оперативный ввод'!W477="","",'Оперативный ввод'!W477)</f>
        <v/>
      </c>
      <c r="BB477" s="172" t="n"/>
      <c r="BC477" s="172" t="n"/>
      <c r="BD477" s="205">
        <f>IF(AND(A477="",B477=""),"",IF(AND(P477="ГОТОВО",R477&lt;&gt;"",T477&lt;&gt;"",U477&lt;&gt;"",AA477&lt;&gt;"",AB477&lt;&gt;"",AC477&lt;&gt;"",BB477&lt;&gt;"",BC477&lt;&gt;""),"ГОТОВО","НЕ ГОТОВО"))</f>
        <v/>
      </c>
      <c r="BE477" s="205">
        <f>IF(BD477&lt;&gt;"ГОТОВО","","Полное заключение: "&amp;A477&amp;", скв. "&amp;B477&amp;". МРП: "&amp;E477&amp;" сут. ГНО: "&amp;F477&amp;"; причина: "&amp;U477&amp;"; категория: "&amp;V477&amp;"; решение комиссии: "&amp;BB477&amp;".")</f>
        <v/>
      </c>
      <c r="BF477" s="173">
        <f>IF('Оперативный ввод'!X477="","",'Оперативный ввод'!X477)</f>
        <v/>
      </c>
    </row>
    <row r="478">
      <c r="A478" s="171">
        <f>IF('Оперативный ввод'!A478="","",'Оперативный ввод'!A478)</f>
        <v/>
      </c>
      <c r="B478" s="172">
        <f>IF('Оперативный ввод'!B478="","",'Оперативный ввод'!B478)</f>
        <v/>
      </c>
      <c r="C478" s="270">
        <f>IF('Оперативный ввод'!C478="","",'Оперативный ввод'!C478)</f>
        <v/>
      </c>
      <c r="D478" s="270">
        <f>IF('Оперативный ввод'!D478="","",'Оперативный ввод'!D478)</f>
        <v/>
      </c>
      <c r="E478" s="271">
        <f>IF(OR(C478="",D478=""),"",D478-C478)</f>
        <v/>
      </c>
      <c r="F478" s="172">
        <f>IF('Оперативный ввод'!F478="","",'Оперативный ввод'!F478)</f>
        <v/>
      </c>
      <c r="G478" s="172">
        <f>IF('Оперативный ввод'!G478="","",'Оперативный ввод'!G478)</f>
        <v/>
      </c>
      <c r="H478" s="172">
        <f>IF('Оперативный ввод'!H478="","",'Оперативный ввод'!H478)</f>
        <v/>
      </c>
      <c r="I478" s="172">
        <f>IF('Оперативный ввод'!I478="","",'Оперативный ввод'!I478)</f>
        <v/>
      </c>
      <c r="J478" s="172">
        <f>IF('Оперативный ввод'!J478="","",'Оперативный ввод'!J478)</f>
        <v/>
      </c>
      <c r="K478" s="172">
        <f>IF('Оперативный ввод'!K478="","",'Оперативный ввод'!K478)</f>
        <v/>
      </c>
      <c r="L478" s="172">
        <f>IF('Оперативный ввод'!L478="","",'Оперативный ввод'!L478)</f>
        <v/>
      </c>
      <c r="M478" s="172">
        <f>IF('Оперативный ввод'!M478="","",'Оперативный ввод'!M478)</f>
        <v/>
      </c>
      <c r="N478" s="172">
        <f>IF('Оперативный ввод'!N478="","",'Оперативный ввод'!N478)</f>
        <v/>
      </c>
      <c r="O478" s="172">
        <f>IF('Оперативный ввод'!O478="","",'Оперативный ввод'!O478)</f>
        <v/>
      </c>
      <c r="P478" s="205">
        <f>IF(AND(A478="",B478=""),"",IF(AND(A478&lt;&gt;"",B478&lt;&gt;"",C478&lt;&gt;"",D478&lt;&gt;"",F478&lt;&gt;"",G478&lt;&gt;"",H478&lt;&gt;"",ISERROR(SEARCH("по паспорту",G478)),ISERROR(SEARCH("по паспорту",H478)),I478&lt;&gt;"",J478&lt;&gt;"",K478&lt;&gt;"",L478&lt;&gt;"",M478&lt;&gt;""),"ГОТОВО","НЕ ГОТОВО"))</f>
        <v/>
      </c>
      <c r="Q478" s="205">
        <f>IF(P478&lt;&gt;"ГОТОВО","", "Предварительное заключение: "&amp;A478&amp;", скв. "&amp;B478&amp;". МРП: "&amp;E478&amp;" сут. ГНО: "&amp;F478&amp;", типоразмер "&amp;G478&amp;", марка "&amp;H478&amp;". Событие: "&amp;I478&amp;". Признак: "&amp;J478&amp;". Узел: "&amp;K478&amp;". Предварительная причина: "&amp;L478&amp;". Основное осложнение: "&amp;M478&amp;IF(N478&lt;&gt;"","; сопутствующее: "&amp;N478,"")&amp;IF(O478&lt;&gt;"","; дополнительно: "&amp;O478,"")&amp;".")</f>
        <v/>
      </c>
      <c r="R478" s="172">
        <f>IF('Оперативный ввод'!P478="","",'Оперативный ввод'!P478)</f>
        <v/>
      </c>
      <c r="S478" s="172">
        <f>IF('Оперативный ввод'!Q478="","",'Оперативный ввод'!Q478)</f>
        <v/>
      </c>
      <c r="T478" s="172">
        <f>IF('Оперативный ввод'!R478="","",'Оперативный ввод'!R478)</f>
        <v/>
      </c>
      <c r="U478" s="172">
        <f>IF('Оперативный ввод'!S478="","",'Оперативный ввод'!S478)</f>
        <v/>
      </c>
      <c r="V478" s="172">
        <f>IF('Оперативный ввод'!T478="","",'Оперативный ввод'!T478)</f>
        <v/>
      </c>
      <c r="W478" s="172" t="n"/>
      <c r="X478" s="172" t="n"/>
      <c r="Y478" s="172" t="n"/>
      <c r="Z478" s="172" t="n"/>
      <c r="AA478" s="172">
        <f>IF('Оперативный ввод'!U478="","",'Оперативный ввод'!U478)</f>
        <v/>
      </c>
      <c r="AB478" s="172">
        <f>IF('Оперативный ввод'!V478="","",'Оперативный ввод'!V478)</f>
        <v/>
      </c>
      <c r="AC478" s="172">
        <f>IF('Оперативный ввод'!W478="","",'Оперативный ввод'!W478)</f>
        <v/>
      </c>
      <c r="BB478" s="172" t="n"/>
      <c r="BC478" s="172" t="n"/>
      <c r="BD478" s="205">
        <f>IF(AND(A478="",B478=""),"",IF(AND(P478="ГОТОВО",R478&lt;&gt;"",T478&lt;&gt;"",U478&lt;&gt;"",AA478&lt;&gt;"",AB478&lt;&gt;"",AC478&lt;&gt;"",BB478&lt;&gt;"",BC478&lt;&gt;""),"ГОТОВО","НЕ ГОТОВО"))</f>
        <v/>
      </c>
      <c r="BE478" s="205">
        <f>IF(BD478&lt;&gt;"ГОТОВО","","Полное заключение: "&amp;A478&amp;", скв. "&amp;B478&amp;". МРП: "&amp;E478&amp;" сут. ГНО: "&amp;F478&amp;"; причина: "&amp;U478&amp;"; категория: "&amp;V478&amp;"; решение комиссии: "&amp;BB478&amp;".")</f>
        <v/>
      </c>
      <c r="BF478" s="173">
        <f>IF('Оперативный ввод'!X478="","",'Оперативный ввод'!X478)</f>
        <v/>
      </c>
    </row>
    <row r="479">
      <c r="A479" s="171">
        <f>IF('Оперативный ввод'!A479="","",'Оперативный ввод'!A479)</f>
        <v/>
      </c>
      <c r="B479" s="172">
        <f>IF('Оперативный ввод'!B479="","",'Оперативный ввод'!B479)</f>
        <v/>
      </c>
      <c r="C479" s="270">
        <f>IF('Оперативный ввод'!C479="","",'Оперативный ввод'!C479)</f>
        <v/>
      </c>
      <c r="D479" s="270">
        <f>IF('Оперативный ввод'!D479="","",'Оперативный ввод'!D479)</f>
        <v/>
      </c>
      <c r="E479" s="271">
        <f>IF(OR(C479="",D479=""),"",D479-C479)</f>
        <v/>
      </c>
      <c r="F479" s="172">
        <f>IF('Оперативный ввод'!F479="","",'Оперативный ввод'!F479)</f>
        <v/>
      </c>
      <c r="G479" s="172">
        <f>IF('Оперативный ввод'!G479="","",'Оперативный ввод'!G479)</f>
        <v/>
      </c>
      <c r="H479" s="172">
        <f>IF('Оперативный ввод'!H479="","",'Оперативный ввод'!H479)</f>
        <v/>
      </c>
      <c r="I479" s="172">
        <f>IF('Оперативный ввод'!I479="","",'Оперативный ввод'!I479)</f>
        <v/>
      </c>
      <c r="J479" s="172">
        <f>IF('Оперативный ввод'!J479="","",'Оперативный ввод'!J479)</f>
        <v/>
      </c>
      <c r="K479" s="172">
        <f>IF('Оперативный ввод'!K479="","",'Оперативный ввод'!K479)</f>
        <v/>
      </c>
      <c r="L479" s="172">
        <f>IF('Оперативный ввод'!L479="","",'Оперативный ввод'!L479)</f>
        <v/>
      </c>
      <c r="M479" s="172">
        <f>IF('Оперативный ввод'!M479="","",'Оперативный ввод'!M479)</f>
        <v/>
      </c>
      <c r="N479" s="172">
        <f>IF('Оперативный ввод'!N479="","",'Оперативный ввод'!N479)</f>
        <v/>
      </c>
      <c r="O479" s="172">
        <f>IF('Оперативный ввод'!O479="","",'Оперативный ввод'!O479)</f>
        <v/>
      </c>
      <c r="P479" s="205">
        <f>IF(AND(A479="",B479=""),"",IF(AND(A479&lt;&gt;"",B479&lt;&gt;"",C479&lt;&gt;"",D479&lt;&gt;"",F479&lt;&gt;"",G479&lt;&gt;"",H479&lt;&gt;"",ISERROR(SEARCH("по паспорту",G479)),ISERROR(SEARCH("по паспорту",H479)),I479&lt;&gt;"",J479&lt;&gt;"",K479&lt;&gt;"",L479&lt;&gt;"",M479&lt;&gt;""),"ГОТОВО","НЕ ГОТОВО"))</f>
        <v/>
      </c>
      <c r="Q479" s="205">
        <f>IF(P479&lt;&gt;"ГОТОВО","", "Предварительное заключение: "&amp;A479&amp;", скв. "&amp;B479&amp;". МРП: "&amp;E479&amp;" сут. ГНО: "&amp;F479&amp;", типоразмер "&amp;G479&amp;", марка "&amp;H479&amp;". Событие: "&amp;I479&amp;". Признак: "&amp;J479&amp;". Узел: "&amp;K479&amp;". Предварительная причина: "&amp;L479&amp;". Основное осложнение: "&amp;M479&amp;IF(N479&lt;&gt;"","; сопутствующее: "&amp;N479,"")&amp;IF(O479&lt;&gt;"","; дополнительно: "&amp;O479,"")&amp;".")</f>
        <v/>
      </c>
      <c r="R479" s="172">
        <f>IF('Оперативный ввод'!P479="","",'Оперативный ввод'!P479)</f>
        <v/>
      </c>
      <c r="S479" s="172">
        <f>IF('Оперативный ввод'!Q479="","",'Оперативный ввод'!Q479)</f>
        <v/>
      </c>
      <c r="T479" s="172">
        <f>IF('Оперативный ввод'!R479="","",'Оперативный ввод'!R479)</f>
        <v/>
      </c>
      <c r="U479" s="172">
        <f>IF('Оперативный ввод'!S479="","",'Оперативный ввод'!S479)</f>
        <v/>
      </c>
      <c r="V479" s="172">
        <f>IF('Оперативный ввод'!T479="","",'Оперативный ввод'!T479)</f>
        <v/>
      </c>
      <c r="W479" s="172" t="n"/>
      <c r="X479" s="172" t="n"/>
      <c r="Y479" s="172" t="n"/>
      <c r="Z479" s="172" t="n"/>
      <c r="AA479" s="172">
        <f>IF('Оперативный ввод'!U479="","",'Оперативный ввод'!U479)</f>
        <v/>
      </c>
      <c r="AB479" s="172">
        <f>IF('Оперативный ввод'!V479="","",'Оперативный ввод'!V479)</f>
        <v/>
      </c>
      <c r="AC479" s="172">
        <f>IF('Оперативный ввод'!W479="","",'Оперативный ввод'!W479)</f>
        <v/>
      </c>
      <c r="BB479" s="172" t="n"/>
      <c r="BC479" s="172" t="n"/>
      <c r="BD479" s="205">
        <f>IF(AND(A479="",B479=""),"",IF(AND(P479="ГОТОВО",R479&lt;&gt;"",T479&lt;&gt;"",U479&lt;&gt;"",AA479&lt;&gt;"",AB479&lt;&gt;"",AC479&lt;&gt;"",BB479&lt;&gt;"",BC479&lt;&gt;""),"ГОТОВО","НЕ ГОТОВО"))</f>
        <v/>
      </c>
      <c r="BE479" s="205">
        <f>IF(BD479&lt;&gt;"ГОТОВО","","Полное заключение: "&amp;A479&amp;", скв. "&amp;B479&amp;". МРП: "&amp;E479&amp;" сут. ГНО: "&amp;F479&amp;"; причина: "&amp;U479&amp;"; категория: "&amp;V479&amp;"; решение комиссии: "&amp;BB479&amp;".")</f>
        <v/>
      </c>
      <c r="BF479" s="173">
        <f>IF('Оперативный ввод'!X479="","",'Оперативный ввод'!X479)</f>
        <v/>
      </c>
    </row>
    <row r="480">
      <c r="A480" s="171">
        <f>IF('Оперативный ввод'!A480="","",'Оперативный ввод'!A480)</f>
        <v/>
      </c>
      <c r="B480" s="172">
        <f>IF('Оперативный ввод'!B480="","",'Оперативный ввод'!B480)</f>
        <v/>
      </c>
      <c r="C480" s="270">
        <f>IF('Оперативный ввод'!C480="","",'Оперативный ввод'!C480)</f>
        <v/>
      </c>
      <c r="D480" s="270">
        <f>IF('Оперативный ввод'!D480="","",'Оперативный ввод'!D480)</f>
        <v/>
      </c>
      <c r="E480" s="271">
        <f>IF(OR(C480="",D480=""),"",D480-C480)</f>
        <v/>
      </c>
      <c r="F480" s="172">
        <f>IF('Оперативный ввод'!F480="","",'Оперативный ввод'!F480)</f>
        <v/>
      </c>
      <c r="G480" s="172">
        <f>IF('Оперативный ввод'!G480="","",'Оперативный ввод'!G480)</f>
        <v/>
      </c>
      <c r="H480" s="172">
        <f>IF('Оперативный ввод'!H480="","",'Оперативный ввод'!H480)</f>
        <v/>
      </c>
      <c r="I480" s="172">
        <f>IF('Оперативный ввод'!I480="","",'Оперативный ввод'!I480)</f>
        <v/>
      </c>
      <c r="J480" s="172">
        <f>IF('Оперативный ввод'!J480="","",'Оперативный ввод'!J480)</f>
        <v/>
      </c>
      <c r="K480" s="172">
        <f>IF('Оперативный ввод'!K480="","",'Оперативный ввод'!K480)</f>
        <v/>
      </c>
      <c r="L480" s="172">
        <f>IF('Оперативный ввод'!L480="","",'Оперативный ввод'!L480)</f>
        <v/>
      </c>
      <c r="M480" s="172">
        <f>IF('Оперативный ввод'!M480="","",'Оперативный ввод'!M480)</f>
        <v/>
      </c>
      <c r="N480" s="172">
        <f>IF('Оперативный ввод'!N480="","",'Оперативный ввод'!N480)</f>
        <v/>
      </c>
      <c r="O480" s="172">
        <f>IF('Оперативный ввод'!O480="","",'Оперативный ввод'!O480)</f>
        <v/>
      </c>
      <c r="P480" s="205">
        <f>IF(AND(A480="",B480=""),"",IF(AND(A480&lt;&gt;"",B480&lt;&gt;"",C480&lt;&gt;"",D480&lt;&gt;"",F480&lt;&gt;"",G480&lt;&gt;"",H480&lt;&gt;"",ISERROR(SEARCH("по паспорту",G480)),ISERROR(SEARCH("по паспорту",H480)),I480&lt;&gt;"",J480&lt;&gt;"",K480&lt;&gt;"",L480&lt;&gt;"",M480&lt;&gt;""),"ГОТОВО","НЕ ГОТОВО"))</f>
        <v/>
      </c>
      <c r="Q480" s="205">
        <f>IF(P480&lt;&gt;"ГОТОВО","", "Предварительное заключение: "&amp;A480&amp;", скв. "&amp;B480&amp;". МРП: "&amp;E480&amp;" сут. ГНО: "&amp;F480&amp;", типоразмер "&amp;G480&amp;", марка "&amp;H480&amp;". Событие: "&amp;I480&amp;". Признак: "&amp;J480&amp;". Узел: "&amp;K480&amp;". Предварительная причина: "&amp;L480&amp;". Основное осложнение: "&amp;M480&amp;IF(N480&lt;&gt;"","; сопутствующее: "&amp;N480,"")&amp;IF(O480&lt;&gt;"","; дополнительно: "&amp;O480,"")&amp;".")</f>
        <v/>
      </c>
      <c r="R480" s="172">
        <f>IF('Оперативный ввод'!P480="","",'Оперативный ввод'!P480)</f>
        <v/>
      </c>
      <c r="S480" s="172">
        <f>IF('Оперативный ввод'!Q480="","",'Оперативный ввод'!Q480)</f>
        <v/>
      </c>
      <c r="T480" s="172">
        <f>IF('Оперативный ввод'!R480="","",'Оперативный ввод'!R480)</f>
        <v/>
      </c>
      <c r="U480" s="172">
        <f>IF('Оперативный ввод'!S480="","",'Оперативный ввод'!S480)</f>
        <v/>
      </c>
      <c r="V480" s="172">
        <f>IF('Оперативный ввод'!T480="","",'Оперативный ввод'!T480)</f>
        <v/>
      </c>
      <c r="W480" s="172" t="n"/>
      <c r="X480" s="172" t="n"/>
      <c r="Y480" s="172" t="n"/>
      <c r="Z480" s="172" t="n"/>
      <c r="AA480" s="172">
        <f>IF('Оперативный ввод'!U480="","",'Оперативный ввод'!U480)</f>
        <v/>
      </c>
      <c r="AB480" s="172">
        <f>IF('Оперативный ввод'!V480="","",'Оперативный ввод'!V480)</f>
        <v/>
      </c>
      <c r="AC480" s="172">
        <f>IF('Оперативный ввод'!W480="","",'Оперативный ввод'!W480)</f>
        <v/>
      </c>
      <c r="BB480" s="172" t="n"/>
      <c r="BC480" s="172" t="n"/>
      <c r="BD480" s="205">
        <f>IF(AND(A480="",B480=""),"",IF(AND(P480="ГОТОВО",R480&lt;&gt;"",T480&lt;&gt;"",U480&lt;&gt;"",AA480&lt;&gt;"",AB480&lt;&gt;"",AC480&lt;&gt;"",BB480&lt;&gt;"",BC480&lt;&gt;""),"ГОТОВО","НЕ ГОТОВО"))</f>
        <v/>
      </c>
      <c r="BE480" s="205">
        <f>IF(BD480&lt;&gt;"ГОТОВО","","Полное заключение: "&amp;A480&amp;", скв. "&amp;B480&amp;". МРП: "&amp;E480&amp;" сут. ГНО: "&amp;F480&amp;"; причина: "&amp;U480&amp;"; категория: "&amp;V480&amp;"; решение комиссии: "&amp;BB480&amp;".")</f>
        <v/>
      </c>
      <c r="BF480" s="173">
        <f>IF('Оперативный ввод'!X480="","",'Оперативный ввод'!X480)</f>
        <v/>
      </c>
    </row>
    <row r="481">
      <c r="A481" s="171">
        <f>IF('Оперативный ввод'!A481="","",'Оперативный ввод'!A481)</f>
        <v/>
      </c>
      <c r="B481" s="172">
        <f>IF('Оперативный ввод'!B481="","",'Оперативный ввод'!B481)</f>
        <v/>
      </c>
      <c r="C481" s="270">
        <f>IF('Оперативный ввод'!C481="","",'Оперативный ввод'!C481)</f>
        <v/>
      </c>
      <c r="D481" s="270">
        <f>IF('Оперативный ввод'!D481="","",'Оперативный ввод'!D481)</f>
        <v/>
      </c>
      <c r="E481" s="271">
        <f>IF(OR(C481="",D481=""),"",D481-C481)</f>
        <v/>
      </c>
      <c r="F481" s="172">
        <f>IF('Оперативный ввод'!F481="","",'Оперативный ввод'!F481)</f>
        <v/>
      </c>
      <c r="G481" s="172">
        <f>IF('Оперативный ввод'!G481="","",'Оперативный ввод'!G481)</f>
        <v/>
      </c>
      <c r="H481" s="172">
        <f>IF('Оперативный ввод'!H481="","",'Оперативный ввод'!H481)</f>
        <v/>
      </c>
      <c r="I481" s="172">
        <f>IF('Оперативный ввод'!I481="","",'Оперативный ввод'!I481)</f>
        <v/>
      </c>
      <c r="J481" s="172">
        <f>IF('Оперативный ввод'!J481="","",'Оперативный ввод'!J481)</f>
        <v/>
      </c>
      <c r="K481" s="172">
        <f>IF('Оперативный ввод'!K481="","",'Оперативный ввод'!K481)</f>
        <v/>
      </c>
      <c r="L481" s="172">
        <f>IF('Оперативный ввод'!L481="","",'Оперативный ввод'!L481)</f>
        <v/>
      </c>
      <c r="M481" s="172">
        <f>IF('Оперативный ввод'!M481="","",'Оперативный ввод'!M481)</f>
        <v/>
      </c>
      <c r="N481" s="172">
        <f>IF('Оперативный ввод'!N481="","",'Оперативный ввод'!N481)</f>
        <v/>
      </c>
      <c r="O481" s="172">
        <f>IF('Оперативный ввод'!O481="","",'Оперативный ввод'!O481)</f>
        <v/>
      </c>
      <c r="P481" s="205">
        <f>IF(AND(A481="",B481=""),"",IF(AND(A481&lt;&gt;"",B481&lt;&gt;"",C481&lt;&gt;"",D481&lt;&gt;"",F481&lt;&gt;"",G481&lt;&gt;"",H481&lt;&gt;"",ISERROR(SEARCH("по паспорту",G481)),ISERROR(SEARCH("по паспорту",H481)),I481&lt;&gt;"",J481&lt;&gt;"",K481&lt;&gt;"",L481&lt;&gt;"",M481&lt;&gt;""),"ГОТОВО","НЕ ГОТОВО"))</f>
        <v/>
      </c>
      <c r="Q481" s="205">
        <f>IF(P481&lt;&gt;"ГОТОВО","", "Предварительное заключение: "&amp;A481&amp;", скв. "&amp;B481&amp;". МРП: "&amp;E481&amp;" сут. ГНО: "&amp;F481&amp;", типоразмер "&amp;G481&amp;", марка "&amp;H481&amp;". Событие: "&amp;I481&amp;". Признак: "&amp;J481&amp;". Узел: "&amp;K481&amp;". Предварительная причина: "&amp;L481&amp;". Основное осложнение: "&amp;M481&amp;IF(N481&lt;&gt;"","; сопутствующее: "&amp;N481,"")&amp;IF(O481&lt;&gt;"","; дополнительно: "&amp;O481,"")&amp;".")</f>
        <v/>
      </c>
      <c r="R481" s="172">
        <f>IF('Оперативный ввод'!P481="","",'Оперативный ввод'!P481)</f>
        <v/>
      </c>
      <c r="S481" s="172">
        <f>IF('Оперативный ввод'!Q481="","",'Оперативный ввод'!Q481)</f>
        <v/>
      </c>
      <c r="T481" s="172">
        <f>IF('Оперативный ввод'!R481="","",'Оперативный ввод'!R481)</f>
        <v/>
      </c>
      <c r="U481" s="172">
        <f>IF('Оперативный ввод'!S481="","",'Оперативный ввод'!S481)</f>
        <v/>
      </c>
      <c r="V481" s="172">
        <f>IF('Оперативный ввод'!T481="","",'Оперативный ввод'!T481)</f>
        <v/>
      </c>
      <c r="W481" s="172" t="n"/>
      <c r="X481" s="172" t="n"/>
      <c r="Y481" s="172" t="n"/>
      <c r="Z481" s="172" t="n"/>
      <c r="AA481" s="172">
        <f>IF('Оперативный ввод'!U481="","",'Оперативный ввод'!U481)</f>
        <v/>
      </c>
      <c r="AB481" s="172">
        <f>IF('Оперативный ввод'!V481="","",'Оперативный ввод'!V481)</f>
        <v/>
      </c>
      <c r="AC481" s="172">
        <f>IF('Оперативный ввод'!W481="","",'Оперативный ввод'!W481)</f>
        <v/>
      </c>
      <c r="BB481" s="172" t="n"/>
      <c r="BC481" s="172" t="n"/>
      <c r="BD481" s="205">
        <f>IF(AND(A481="",B481=""),"",IF(AND(P481="ГОТОВО",R481&lt;&gt;"",T481&lt;&gt;"",U481&lt;&gt;"",AA481&lt;&gt;"",AB481&lt;&gt;"",AC481&lt;&gt;"",BB481&lt;&gt;"",BC481&lt;&gt;""),"ГОТОВО","НЕ ГОТОВО"))</f>
        <v/>
      </c>
      <c r="BE481" s="205">
        <f>IF(BD481&lt;&gt;"ГОТОВО","","Полное заключение: "&amp;A481&amp;", скв. "&amp;B481&amp;". МРП: "&amp;E481&amp;" сут. ГНО: "&amp;F481&amp;"; причина: "&amp;U481&amp;"; категория: "&amp;V481&amp;"; решение комиссии: "&amp;BB481&amp;".")</f>
        <v/>
      </c>
      <c r="BF481" s="173">
        <f>IF('Оперативный ввод'!X481="","",'Оперативный ввод'!X481)</f>
        <v/>
      </c>
    </row>
    <row r="482">
      <c r="A482" s="171">
        <f>IF('Оперативный ввод'!A482="","",'Оперативный ввод'!A482)</f>
        <v/>
      </c>
      <c r="B482" s="172">
        <f>IF('Оперативный ввод'!B482="","",'Оперативный ввод'!B482)</f>
        <v/>
      </c>
      <c r="C482" s="270">
        <f>IF('Оперативный ввод'!C482="","",'Оперативный ввод'!C482)</f>
        <v/>
      </c>
      <c r="D482" s="270">
        <f>IF('Оперативный ввод'!D482="","",'Оперативный ввод'!D482)</f>
        <v/>
      </c>
      <c r="E482" s="271">
        <f>IF(OR(C482="",D482=""),"",D482-C482)</f>
        <v/>
      </c>
      <c r="F482" s="172">
        <f>IF('Оперативный ввод'!F482="","",'Оперативный ввод'!F482)</f>
        <v/>
      </c>
      <c r="G482" s="172">
        <f>IF('Оперативный ввод'!G482="","",'Оперативный ввод'!G482)</f>
        <v/>
      </c>
      <c r="H482" s="172">
        <f>IF('Оперативный ввод'!H482="","",'Оперативный ввод'!H482)</f>
        <v/>
      </c>
      <c r="I482" s="172">
        <f>IF('Оперативный ввод'!I482="","",'Оперативный ввод'!I482)</f>
        <v/>
      </c>
      <c r="J482" s="172">
        <f>IF('Оперативный ввод'!J482="","",'Оперативный ввод'!J482)</f>
        <v/>
      </c>
      <c r="K482" s="172">
        <f>IF('Оперативный ввод'!K482="","",'Оперативный ввод'!K482)</f>
        <v/>
      </c>
      <c r="L482" s="172">
        <f>IF('Оперативный ввод'!L482="","",'Оперативный ввод'!L482)</f>
        <v/>
      </c>
      <c r="M482" s="172">
        <f>IF('Оперативный ввод'!M482="","",'Оперативный ввод'!M482)</f>
        <v/>
      </c>
      <c r="N482" s="172">
        <f>IF('Оперативный ввод'!N482="","",'Оперативный ввод'!N482)</f>
        <v/>
      </c>
      <c r="O482" s="172">
        <f>IF('Оперативный ввод'!O482="","",'Оперативный ввод'!O482)</f>
        <v/>
      </c>
      <c r="P482" s="205">
        <f>IF(AND(A482="",B482=""),"",IF(AND(A482&lt;&gt;"",B482&lt;&gt;"",C482&lt;&gt;"",D482&lt;&gt;"",F482&lt;&gt;"",G482&lt;&gt;"",H482&lt;&gt;"",ISERROR(SEARCH("по паспорту",G482)),ISERROR(SEARCH("по паспорту",H482)),I482&lt;&gt;"",J482&lt;&gt;"",K482&lt;&gt;"",L482&lt;&gt;"",M482&lt;&gt;""),"ГОТОВО","НЕ ГОТОВО"))</f>
        <v/>
      </c>
      <c r="Q482" s="205">
        <f>IF(P482&lt;&gt;"ГОТОВО","", "Предварительное заключение: "&amp;A482&amp;", скв. "&amp;B482&amp;". МРП: "&amp;E482&amp;" сут. ГНО: "&amp;F482&amp;", типоразмер "&amp;G482&amp;", марка "&amp;H482&amp;". Событие: "&amp;I482&amp;". Признак: "&amp;J482&amp;". Узел: "&amp;K482&amp;". Предварительная причина: "&amp;L482&amp;". Основное осложнение: "&amp;M482&amp;IF(N482&lt;&gt;"","; сопутствующее: "&amp;N482,"")&amp;IF(O482&lt;&gt;"","; дополнительно: "&amp;O482,"")&amp;".")</f>
        <v/>
      </c>
      <c r="R482" s="172">
        <f>IF('Оперативный ввод'!P482="","",'Оперативный ввод'!P482)</f>
        <v/>
      </c>
      <c r="S482" s="172">
        <f>IF('Оперативный ввод'!Q482="","",'Оперативный ввод'!Q482)</f>
        <v/>
      </c>
      <c r="T482" s="172">
        <f>IF('Оперативный ввод'!R482="","",'Оперативный ввод'!R482)</f>
        <v/>
      </c>
      <c r="U482" s="172">
        <f>IF('Оперативный ввод'!S482="","",'Оперативный ввод'!S482)</f>
        <v/>
      </c>
      <c r="V482" s="172">
        <f>IF('Оперативный ввод'!T482="","",'Оперативный ввод'!T482)</f>
        <v/>
      </c>
      <c r="W482" s="172" t="n"/>
      <c r="X482" s="172" t="n"/>
      <c r="Y482" s="172" t="n"/>
      <c r="Z482" s="172" t="n"/>
      <c r="AA482" s="172">
        <f>IF('Оперативный ввод'!U482="","",'Оперативный ввод'!U482)</f>
        <v/>
      </c>
      <c r="AB482" s="172">
        <f>IF('Оперативный ввод'!V482="","",'Оперативный ввод'!V482)</f>
        <v/>
      </c>
      <c r="AC482" s="172">
        <f>IF('Оперативный ввод'!W482="","",'Оперативный ввод'!W482)</f>
        <v/>
      </c>
      <c r="BB482" s="172" t="n"/>
      <c r="BC482" s="172" t="n"/>
      <c r="BD482" s="205">
        <f>IF(AND(A482="",B482=""),"",IF(AND(P482="ГОТОВО",R482&lt;&gt;"",T482&lt;&gt;"",U482&lt;&gt;"",AA482&lt;&gt;"",AB482&lt;&gt;"",AC482&lt;&gt;"",BB482&lt;&gt;"",BC482&lt;&gt;""),"ГОТОВО","НЕ ГОТОВО"))</f>
        <v/>
      </c>
      <c r="BE482" s="205">
        <f>IF(BD482&lt;&gt;"ГОТОВО","","Полное заключение: "&amp;A482&amp;", скв. "&amp;B482&amp;". МРП: "&amp;E482&amp;" сут. ГНО: "&amp;F482&amp;"; причина: "&amp;U482&amp;"; категория: "&amp;V482&amp;"; решение комиссии: "&amp;BB482&amp;".")</f>
        <v/>
      </c>
      <c r="BF482" s="173">
        <f>IF('Оперативный ввод'!X482="","",'Оперативный ввод'!X482)</f>
        <v/>
      </c>
    </row>
    <row r="483">
      <c r="A483" s="171">
        <f>IF('Оперативный ввод'!A483="","",'Оперативный ввод'!A483)</f>
        <v/>
      </c>
      <c r="B483" s="172">
        <f>IF('Оперативный ввод'!B483="","",'Оперативный ввод'!B483)</f>
        <v/>
      </c>
      <c r="C483" s="270">
        <f>IF('Оперативный ввод'!C483="","",'Оперативный ввод'!C483)</f>
        <v/>
      </c>
      <c r="D483" s="270">
        <f>IF('Оперативный ввод'!D483="","",'Оперативный ввод'!D483)</f>
        <v/>
      </c>
      <c r="E483" s="271">
        <f>IF(OR(C483="",D483=""),"",D483-C483)</f>
        <v/>
      </c>
      <c r="F483" s="172">
        <f>IF('Оперативный ввод'!F483="","",'Оперативный ввод'!F483)</f>
        <v/>
      </c>
      <c r="G483" s="172">
        <f>IF('Оперативный ввод'!G483="","",'Оперативный ввод'!G483)</f>
        <v/>
      </c>
      <c r="H483" s="172">
        <f>IF('Оперативный ввод'!H483="","",'Оперативный ввод'!H483)</f>
        <v/>
      </c>
      <c r="I483" s="172">
        <f>IF('Оперативный ввод'!I483="","",'Оперативный ввод'!I483)</f>
        <v/>
      </c>
      <c r="J483" s="172">
        <f>IF('Оперативный ввод'!J483="","",'Оперативный ввод'!J483)</f>
        <v/>
      </c>
      <c r="K483" s="172">
        <f>IF('Оперативный ввод'!K483="","",'Оперативный ввод'!K483)</f>
        <v/>
      </c>
      <c r="L483" s="172">
        <f>IF('Оперативный ввод'!L483="","",'Оперативный ввод'!L483)</f>
        <v/>
      </c>
      <c r="M483" s="172">
        <f>IF('Оперативный ввод'!M483="","",'Оперативный ввод'!M483)</f>
        <v/>
      </c>
      <c r="N483" s="172">
        <f>IF('Оперативный ввод'!N483="","",'Оперативный ввод'!N483)</f>
        <v/>
      </c>
      <c r="O483" s="172">
        <f>IF('Оперативный ввод'!O483="","",'Оперативный ввод'!O483)</f>
        <v/>
      </c>
      <c r="P483" s="205">
        <f>IF(AND(A483="",B483=""),"",IF(AND(A483&lt;&gt;"",B483&lt;&gt;"",C483&lt;&gt;"",D483&lt;&gt;"",F483&lt;&gt;"",G483&lt;&gt;"",H483&lt;&gt;"",ISERROR(SEARCH("по паспорту",G483)),ISERROR(SEARCH("по паспорту",H483)),I483&lt;&gt;"",J483&lt;&gt;"",K483&lt;&gt;"",L483&lt;&gt;"",M483&lt;&gt;""),"ГОТОВО","НЕ ГОТОВО"))</f>
        <v/>
      </c>
      <c r="Q483" s="205">
        <f>IF(P483&lt;&gt;"ГОТОВО","", "Предварительное заключение: "&amp;A483&amp;", скв. "&amp;B483&amp;". МРП: "&amp;E483&amp;" сут. ГНО: "&amp;F483&amp;", типоразмер "&amp;G483&amp;", марка "&amp;H483&amp;". Событие: "&amp;I483&amp;". Признак: "&amp;J483&amp;". Узел: "&amp;K483&amp;". Предварительная причина: "&amp;L483&amp;". Основное осложнение: "&amp;M483&amp;IF(N483&lt;&gt;"","; сопутствующее: "&amp;N483,"")&amp;IF(O483&lt;&gt;"","; дополнительно: "&amp;O483,"")&amp;".")</f>
        <v/>
      </c>
      <c r="R483" s="172">
        <f>IF('Оперативный ввод'!P483="","",'Оперативный ввод'!P483)</f>
        <v/>
      </c>
      <c r="S483" s="172">
        <f>IF('Оперативный ввод'!Q483="","",'Оперативный ввод'!Q483)</f>
        <v/>
      </c>
      <c r="T483" s="172">
        <f>IF('Оперативный ввод'!R483="","",'Оперативный ввод'!R483)</f>
        <v/>
      </c>
      <c r="U483" s="172">
        <f>IF('Оперативный ввод'!S483="","",'Оперативный ввод'!S483)</f>
        <v/>
      </c>
      <c r="V483" s="172">
        <f>IF('Оперативный ввод'!T483="","",'Оперативный ввод'!T483)</f>
        <v/>
      </c>
      <c r="W483" s="172" t="n"/>
      <c r="X483" s="172" t="n"/>
      <c r="Y483" s="172" t="n"/>
      <c r="Z483" s="172" t="n"/>
      <c r="AA483" s="172">
        <f>IF('Оперативный ввод'!U483="","",'Оперативный ввод'!U483)</f>
        <v/>
      </c>
      <c r="AB483" s="172">
        <f>IF('Оперативный ввод'!V483="","",'Оперативный ввод'!V483)</f>
        <v/>
      </c>
      <c r="AC483" s="172">
        <f>IF('Оперативный ввод'!W483="","",'Оперативный ввод'!W483)</f>
        <v/>
      </c>
      <c r="BB483" s="172" t="n"/>
      <c r="BC483" s="172" t="n"/>
      <c r="BD483" s="205">
        <f>IF(AND(A483="",B483=""),"",IF(AND(P483="ГОТОВО",R483&lt;&gt;"",T483&lt;&gt;"",U483&lt;&gt;"",AA483&lt;&gt;"",AB483&lt;&gt;"",AC483&lt;&gt;"",BB483&lt;&gt;"",BC483&lt;&gt;""),"ГОТОВО","НЕ ГОТОВО"))</f>
        <v/>
      </c>
      <c r="BE483" s="205">
        <f>IF(BD483&lt;&gt;"ГОТОВО","","Полное заключение: "&amp;A483&amp;", скв. "&amp;B483&amp;". МРП: "&amp;E483&amp;" сут. ГНО: "&amp;F483&amp;"; причина: "&amp;U483&amp;"; категория: "&amp;V483&amp;"; решение комиссии: "&amp;BB483&amp;".")</f>
        <v/>
      </c>
      <c r="BF483" s="173">
        <f>IF('Оперативный ввод'!X483="","",'Оперативный ввод'!X483)</f>
        <v/>
      </c>
    </row>
    <row r="484">
      <c r="A484" s="171">
        <f>IF('Оперативный ввод'!A484="","",'Оперативный ввод'!A484)</f>
        <v/>
      </c>
      <c r="B484" s="172">
        <f>IF('Оперативный ввод'!B484="","",'Оперативный ввод'!B484)</f>
        <v/>
      </c>
      <c r="C484" s="270">
        <f>IF('Оперативный ввод'!C484="","",'Оперативный ввод'!C484)</f>
        <v/>
      </c>
      <c r="D484" s="270">
        <f>IF('Оперативный ввод'!D484="","",'Оперативный ввод'!D484)</f>
        <v/>
      </c>
      <c r="E484" s="271">
        <f>IF(OR(C484="",D484=""),"",D484-C484)</f>
        <v/>
      </c>
      <c r="F484" s="172">
        <f>IF('Оперативный ввод'!F484="","",'Оперативный ввод'!F484)</f>
        <v/>
      </c>
      <c r="G484" s="172">
        <f>IF('Оперативный ввод'!G484="","",'Оперативный ввод'!G484)</f>
        <v/>
      </c>
      <c r="H484" s="172">
        <f>IF('Оперативный ввод'!H484="","",'Оперативный ввод'!H484)</f>
        <v/>
      </c>
      <c r="I484" s="172">
        <f>IF('Оперативный ввод'!I484="","",'Оперативный ввод'!I484)</f>
        <v/>
      </c>
      <c r="J484" s="172">
        <f>IF('Оперативный ввод'!J484="","",'Оперативный ввод'!J484)</f>
        <v/>
      </c>
      <c r="K484" s="172">
        <f>IF('Оперативный ввод'!K484="","",'Оперативный ввод'!K484)</f>
        <v/>
      </c>
      <c r="L484" s="172">
        <f>IF('Оперативный ввод'!L484="","",'Оперативный ввод'!L484)</f>
        <v/>
      </c>
      <c r="M484" s="172">
        <f>IF('Оперативный ввод'!M484="","",'Оперативный ввод'!M484)</f>
        <v/>
      </c>
      <c r="N484" s="172">
        <f>IF('Оперативный ввод'!N484="","",'Оперативный ввод'!N484)</f>
        <v/>
      </c>
      <c r="O484" s="172">
        <f>IF('Оперативный ввод'!O484="","",'Оперативный ввод'!O484)</f>
        <v/>
      </c>
      <c r="P484" s="205">
        <f>IF(AND(A484="",B484=""),"",IF(AND(A484&lt;&gt;"",B484&lt;&gt;"",C484&lt;&gt;"",D484&lt;&gt;"",F484&lt;&gt;"",G484&lt;&gt;"",H484&lt;&gt;"",ISERROR(SEARCH("по паспорту",G484)),ISERROR(SEARCH("по паспорту",H484)),I484&lt;&gt;"",J484&lt;&gt;"",K484&lt;&gt;"",L484&lt;&gt;"",M484&lt;&gt;""),"ГОТОВО","НЕ ГОТОВО"))</f>
        <v/>
      </c>
      <c r="Q484" s="205">
        <f>IF(P484&lt;&gt;"ГОТОВО","", "Предварительное заключение: "&amp;A484&amp;", скв. "&amp;B484&amp;". МРП: "&amp;E484&amp;" сут. ГНО: "&amp;F484&amp;", типоразмер "&amp;G484&amp;", марка "&amp;H484&amp;". Событие: "&amp;I484&amp;". Признак: "&amp;J484&amp;". Узел: "&amp;K484&amp;". Предварительная причина: "&amp;L484&amp;". Основное осложнение: "&amp;M484&amp;IF(N484&lt;&gt;"","; сопутствующее: "&amp;N484,"")&amp;IF(O484&lt;&gt;"","; дополнительно: "&amp;O484,"")&amp;".")</f>
        <v/>
      </c>
      <c r="R484" s="172">
        <f>IF('Оперативный ввод'!P484="","",'Оперативный ввод'!P484)</f>
        <v/>
      </c>
      <c r="S484" s="172">
        <f>IF('Оперативный ввод'!Q484="","",'Оперативный ввод'!Q484)</f>
        <v/>
      </c>
      <c r="T484" s="172">
        <f>IF('Оперативный ввод'!R484="","",'Оперативный ввод'!R484)</f>
        <v/>
      </c>
      <c r="U484" s="172">
        <f>IF('Оперативный ввод'!S484="","",'Оперативный ввод'!S484)</f>
        <v/>
      </c>
      <c r="V484" s="172">
        <f>IF('Оперативный ввод'!T484="","",'Оперативный ввод'!T484)</f>
        <v/>
      </c>
      <c r="W484" s="172" t="n"/>
      <c r="X484" s="172" t="n"/>
      <c r="Y484" s="172" t="n"/>
      <c r="Z484" s="172" t="n"/>
      <c r="AA484" s="172">
        <f>IF('Оперативный ввод'!U484="","",'Оперативный ввод'!U484)</f>
        <v/>
      </c>
      <c r="AB484" s="172">
        <f>IF('Оперативный ввод'!V484="","",'Оперативный ввод'!V484)</f>
        <v/>
      </c>
      <c r="AC484" s="172">
        <f>IF('Оперативный ввод'!W484="","",'Оперативный ввод'!W484)</f>
        <v/>
      </c>
      <c r="BB484" s="172" t="n"/>
      <c r="BC484" s="172" t="n"/>
      <c r="BD484" s="205">
        <f>IF(AND(A484="",B484=""),"",IF(AND(P484="ГОТОВО",R484&lt;&gt;"",T484&lt;&gt;"",U484&lt;&gt;"",AA484&lt;&gt;"",AB484&lt;&gt;"",AC484&lt;&gt;"",BB484&lt;&gt;"",BC484&lt;&gt;""),"ГОТОВО","НЕ ГОТОВО"))</f>
        <v/>
      </c>
      <c r="BE484" s="205">
        <f>IF(BD484&lt;&gt;"ГОТОВО","","Полное заключение: "&amp;A484&amp;", скв. "&amp;B484&amp;". МРП: "&amp;E484&amp;" сут. ГНО: "&amp;F484&amp;"; причина: "&amp;U484&amp;"; категория: "&amp;V484&amp;"; решение комиссии: "&amp;BB484&amp;".")</f>
        <v/>
      </c>
      <c r="BF484" s="173">
        <f>IF('Оперативный ввод'!X484="","",'Оперативный ввод'!X484)</f>
        <v/>
      </c>
    </row>
    <row r="485">
      <c r="A485" s="171">
        <f>IF('Оперативный ввод'!A485="","",'Оперативный ввод'!A485)</f>
        <v/>
      </c>
      <c r="B485" s="172">
        <f>IF('Оперативный ввод'!B485="","",'Оперативный ввод'!B485)</f>
        <v/>
      </c>
      <c r="C485" s="270">
        <f>IF('Оперативный ввод'!C485="","",'Оперативный ввод'!C485)</f>
        <v/>
      </c>
      <c r="D485" s="270">
        <f>IF('Оперативный ввод'!D485="","",'Оперативный ввод'!D485)</f>
        <v/>
      </c>
      <c r="E485" s="271">
        <f>IF(OR(C485="",D485=""),"",D485-C485)</f>
        <v/>
      </c>
      <c r="F485" s="172">
        <f>IF('Оперативный ввод'!F485="","",'Оперативный ввод'!F485)</f>
        <v/>
      </c>
      <c r="G485" s="172">
        <f>IF('Оперативный ввод'!G485="","",'Оперативный ввод'!G485)</f>
        <v/>
      </c>
      <c r="H485" s="172">
        <f>IF('Оперативный ввод'!H485="","",'Оперативный ввод'!H485)</f>
        <v/>
      </c>
      <c r="I485" s="172">
        <f>IF('Оперативный ввод'!I485="","",'Оперативный ввод'!I485)</f>
        <v/>
      </c>
      <c r="J485" s="172">
        <f>IF('Оперативный ввод'!J485="","",'Оперативный ввод'!J485)</f>
        <v/>
      </c>
      <c r="K485" s="172">
        <f>IF('Оперативный ввод'!K485="","",'Оперативный ввод'!K485)</f>
        <v/>
      </c>
      <c r="L485" s="172">
        <f>IF('Оперативный ввод'!L485="","",'Оперативный ввод'!L485)</f>
        <v/>
      </c>
      <c r="M485" s="172">
        <f>IF('Оперативный ввод'!M485="","",'Оперативный ввод'!M485)</f>
        <v/>
      </c>
      <c r="N485" s="172">
        <f>IF('Оперативный ввод'!N485="","",'Оперативный ввод'!N485)</f>
        <v/>
      </c>
      <c r="O485" s="172">
        <f>IF('Оперативный ввод'!O485="","",'Оперативный ввод'!O485)</f>
        <v/>
      </c>
      <c r="P485" s="205">
        <f>IF(AND(A485="",B485=""),"",IF(AND(A485&lt;&gt;"",B485&lt;&gt;"",C485&lt;&gt;"",D485&lt;&gt;"",F485&lt;&gt;"",G485&lt;&gt;"",H485&lt;&gt;"",ISERROR(SEARCH("по паспорту",G485)),ISERROR(SEARCH("по паспорту",H485)),I485&lt;&gt;"",J485&lt;&gt;"",K485&lt;&gt;"",L485&lt;&gt;"",M485&lt;&gt;""),"ГОТОВО","НЕ ГОТОВО"))</f>
        <v/>
      </c>
      <c r="Q485" s="205">
        <f>IF(P485&lt;&gt;"ГОТОВО","", "Предварительное заключение: "&amp;A485&amp;", скв. "&amp;B485&amp;". МРП: "&amp;E485&amp;" сут. ГНО: "&amp;F485&amp;", типоразмер "&amp;G485&amp;", марка "&amp;H485&amp;". Событие: "&amp;I485&amp;". Признак: "&amp;J485&amp;". Узел: "&amp;K485&amp;". Предварительная причина: "&amp;L485&amp;". Основное осложнение: "&amp;M485&amp;IF(N485&lt;&gt;"","; сопутствующее: "&amp;N485,"")&amp;IF(O485&lt;&gt;"","; дополнительно: "&amp;O485,"")&amp;".")</f>
        <v/>
      </c>
      <c r="R485" s="172">
        <f>IF('Оперативный ввод'!P485="","",'Оперативный ввод'!P485)</f>
        <v/>
      </c>
      <c r="S485" s="172">
        <f>IF('Оперативный ввод'!Q485="","",'Оперативный ввод'!Q485)</f>
        <v/>
      </c>
      <c r="T485" s="172">
        <f>IF('Оперативный ввод'!R485="","",'Оперативный ввод'!R485)</f>
        <v/>
      </c>
      <c r="U485" s="172">
        <f>IF('Оперативный ввод'!S485="","",'Оперативный ввод'!S485)</f>
        <v/>
      </c>
      <c r="V485" s="172">
        <f>IF('Оперативный ввод'!T485="","",'Оперативный ввод'!T485)</f>
        <v/>
      </c>
      <c r="W485" s="172" t="n"/>
      <c r="X485" s="172" t="n"/>
      <c r="Y485" s="172" t="n"/>
      <c r="Z485" s="172" t="n"/>
      <c r="AA485" s="172">
        <f>IF('Оперативный ввод'!U485="","",'Оперативный ввод'!U485)</f>
        <v/>
      </c>
      <c r="AB485" s="172">
        <f>IF('Оперативный ввод'!V485="","",'Оперативный ввод'!V485)</f>
        <v/>
      </c>
      <c r="AC485" s="172">
        <f>IF('Оперативный ввод'!W485="","",'Оперативный ввод'!W485)</f>
        <v/>
      </c>
      <c r="BB485" s="172" t="n"/>
      <c r="BC485" s="172" t="n"/>
      <c r="BD485" s="205">
        <f>IF(AND(A485="",B485=""),"",IF(AND(P485="ГОТОВО",R485&lt;&gt;"",T485&lt;&gt;"",U485&lt;&gt;"",AA485&lt;&gt;"",AB485&lt;&gt;"",AC485&lt;&gt;"",BB485&lt;&gt;"",BC485&lt;&gt;""),"ГОТОВО","НЕ ГОТОВО"))</f>
        <v/>
      </c>
      <c r="BE485" s="205">
        <f>IF(BD485&lt;&gt;"ГОТОВО","","Полное заключение: "&amp;A485&amp;", скв. "&amp;B485&amp;". МРП: "&amp;E485&amp;" сут. ГНО: "&amp;F485&amp;"; причина: "&amp;U485&amp;"; категория: "&amp;V485&amp;"; решение комиссии: "&amp;BB485&amp;".")</f>
        <v/>
      </c>
      <c r="BF485" s="173">
        <f>IF('Оперативный ввод'!X485="","",'Оперативный ввод'!X485)</f>
        <v/>
      </c>
    </row>
    <row r="486">
      <c r="A486" s="171">
        <f>IF('Оперативный ввод'!A486="","",'Оперативный ввод'!A486)</f>
        <v/>
      </c>
      <c r="B486" s="172">
        <f>IF('Оперативный ввод'!B486="","",'Оперативный ввод'!B486)</f>
        <v/>
      </c>
      <c r="C486" s="270">
        <f>IF('Оперативный ввод'!C486="","",'Оперативный ввод'!C486)</f>
        <v/>
      </c>
      <c r="D486" s="270">
        <f>IF('Оперативный ввод'!D486="","",'Оперативный ввод'!D486)</f>
        <v/>
      </c>
      <c r="E486" s="271">
        <f>IF(OR(C486="",D486=""),"",D486-C486)</f>
        <v/>
      </c>
      <c r="F486" s="172">
        <f>IF('Оперативный ввод'!F486="","",'Оперативный ввод'!F486)</f>
        <v/>
      </c>
      <c r="G486" s="172">
        <f>IF('Оперативный ввод'!G486="","",'Оперативный ввод'!G486)</f>
        <v/>
      </c>
      <c r="H486" s="172">
        <f>IF('Оперативный ввод'!H486="","",'Оперативный ввод'!H486)</f>
        <v/>
      </c>
      <c r="I486" s="172">
        <f>IF('Оперативный ввод'!I486="","",'Оперативный ввод'!I486)</f>
        <v/>
      </c>
      <c r="J486" s="172">
        <f>IF('Оперативный ввод'!J486="","",'Оперативный ввод'!J486)</f>
        <v/>
      </c>
      <c r="K486" s="172">
        <f>IF('Оперативный ввод'!K486="","",'Оперативный ввод'!K486)</f>
        <v/>
      </c>
      <c r="L486" s="172">
        <f>IF('Оперативный ввод'!L486="","",'Оперативный ввод'!L486)</f>
        <v/>
      </c>
      <c r="M486" s="172">
        <f>IF('Оперативный ввод'!M486="","",'Оперативный ввод'!M486)</f>
        <v/>
      </c>
      <c r="N486" s="172">
        <f>IF('Оперативный ввод'!N486="","",'Оперативный ввод'!N486)</f>
        <v/>
      </c>
      <c r="O486" s="172">
        <f>IF('Оперативный ввод'!O486="","",'Оперативный ввод'!O486)</f>
        <v/>
      </c>
      <c r="P486" s="205">
        <f>IF(AND(A486="",B486=""),"",IF(AND(A486&lt;&gt;"",B486&lt;&gt;"",C486&lt;&gt;"",D486&lt;&gt;"",F486&lt;&gt;"",G486&lt;&gt;"",H486&lt;&gt;"",ISERROR(SEARCH("по паспорту",G486)),ISERROR(SEARCH("по паспорту",H486)),I486&lt;&gt;"",J486&lt;&gt;"",K486&lt;&gt;"",L486&lt;&gt;"",M486&lt;&gt;""),"ГОТОВО","НЕ ГОТОВО"))</f>
        <v/>
      </c>
      <c r="Q486" s="205">
        <f>IF(P486&lt;&gt;"ГОТОВО","", "Предварительное заключение: "&amp;A486&amp;", скв. "&amp;B486&amp;". МРП: "&amp;E486&amp;" сут. ГНО: "&amp;F486&amp;", типоразмер "&amp;G486&amp;", марка "&amp;H486&amp;". Событие: "&amp;I486&amp;". Признак: "&amp;J486&amp;". Узел: "&amp;K486&amp;". Предварительная причина: "&amp;L486&amp;". Основное осложнение: "&amp;M486&amp;IF(N486&lt;&gt;"","; сопутствующее: "&amp;N486,"")&amp;IF(O486&lt;&gt;"","; дополнительно: "&amp;O486,"")&amp;".")</f>
        <v/>
      </c>
      <c r="R486" s="172">
        <f>IF('Оперативный ввод'!P486="","",'Оперативный ввод'!P486)</f>
        <v/>
      </c>
      <c r="S486" s="172">
        <f>IF('Оперативный ввод'!Q486="","",'Оперативный ввод'!Q486)</f>
        <v/>
      </c>
      <c r="T486" s="172">
        <f>IF('Оперативный ввод'!R486="","",'Оперативный ввод'!R486)</f>
        <v/>
      </c>
      <c r="U486" s="172">
        <f>IF('Оперативный ввод'!S486="","",'Оперативный ввод'!S486)</f>
        <v/>
      </c>
      <c r="V486" s="172">
        <f>IF('Оперативный ввод'!T486="","",'Оперативный ввод'!T486)</f>
        <v/>
      </c>
      <c r="W486" s="172" t="n"/>
      <c r="X486" s="172" t="n"/>
      <c r="Y486" s="172" t="n"/>
      <c r="Z486" s="172" t="n"/>
      <c r="AA486" s="172">
        <f>IF('Оперативный ввод'!U486="","",'Оперативный ввод'!U486)</f>
        <v/>
      </c>
      <c r="AB486" s="172">
        <f>IF('Оперативный ввод'!V486="","",'Оперативный ввод'!V486)</f>
        <v/>
      </c>
      <c r="AC486" s="172">
        <f>IF('Оперативный ввод'!W486="","",'Оперативный ввод'!W486)</f>
        <v/>
      </c>
      <c r="BB486" s="172" t="n"/>
      <c r="BC486" s="172" t="n"/>
      <c r="BD486" s="205">
        <f>IF(AND(A486="",B486=""),"",IF(AND(P486="ГОТОВО",R486&lt;&gt;"",T486&lt;&gt;"",U486&lt;&gt;"",AA486&lt;&gt;"",AB486&lt;&gt;"",AC486&lt;&gt;"",BB486&lt;&gt;"",BC486&lt;&gt;""),"ГОТОВО","НЕ ГОТОВО"))</f>
        <v/>
      </c>
      <c r="BE486" s="205">
        <f>IF(BD486&lt;&gt;"ГОТОВО","","Полное заключение: "&amp;A486&amp;", скв. "&amp;B486&amp;". МРП: "&amp;E486&amp;" сут. ГНО: "&amp;F486&amp;"; причина: "&amp;U486&amp;"; категория: "&amp;V486&amp;"; решение комиссии: "&amp;BB486&amp;".")</f>
        <v/>
      </c>
      <c r="BF486" s="173">
        <f>IF('Оперативный ввод'!X486="","",'Оперативный ввод'!X486)</f>
        <v/>
      </c>
    </row>
    <row r="487">
      <c r="A487" s="171">
        <f>IF('Оперативный ввод'!A487="","",'Оперативный ввод'!A487)</f>
        <v/>
      </c>
      <c r="B487" s="172">
        <f>IF('Оперативный ввод'!B487="","",'Оперативный ввод'!B487)</f>
        <v/>
      </c>
      <c r="C487" s="270">
        <f>IF('Оперативный ввод'!C487="","",'Оперативный ввод'!C487)</f>
        <v/>
      </c>
      <c r="D487" s="270">
        <f>IF('Оперативный ввод'!D487="","",'Оперативный ввод'!D487)</f>
        <v/>
      </c>
      <c r="E487" s="271">
        <f>IF(OR(C487="",D487=""),"",D487-C487)</f>
        <v/>
      </c>
      <c r="F487" s="172">
        <f>IF('Оперативный ввод'!F487="","",'Оперативный ввод'!F487)</f>
        <v/>
      </c>
      <c r="G487" s="172">
        <f>IF('Оперативный ввод'!G487="","",'Оперативный ввод'!G487)</f>
        <v/>
      </c>
      <c r="H487" s="172">
        <f>IF('Оперативный ввод'!H487="","",'Оперативный ввод'!H487)</f>
        <v/>
      </c>
      <c r="I487" s="172">
        <f>IF('Оперативный ввод'!I487="","",'Оперативный ввод'!I487)</f>
        <v/>
      </c>
      <c r="J487" s="172">
        <f>IF('Оперативный ввод'!J487="","",'Оперативный ввод'!J487)</f>
        <v/>
      </c>
      <c r="K487" s="172">
        <f>IF('Оперативный ввод'!K487="","",'Оперативный ввод'!K487)</f>
        <v/>
      </c>
      <c r="L487" s="172">
        <f>IF('Оперативный ввод'!L487="","",'Оперативный ввод'!L487)</f>
        <v/>
      </c>
      <c r="M487" s="172">
        <f>IF('Оперативный ввод'!M487="","",'Оперативный ввод'!M487)</f>
        <v/>
      </c>
      <c r="N487" s="172">
        <f>IF('Оперативный ввод'!N487="","",'Оперативный ввод'!N487)</f>
        <v/>
      </c>
      <c r="O487" s="172">
        <f>IF('Оперативный ввод'!O487="","",'Оперативный ввод'!O487)</f>
        <v/>
      </c>
      <c r="P487" s="205">
        <f>IF(AND(A487="",B487=""),"",IF(AND(A487&lt;&gt;"",B487&lt;&gt;"",C487&lt;&gt;"",D487&lt;&gt;"",F487&lt;&gt;"",G487&lt;&gt;"",H487&lt;&gt;"",ISERROR(SEARCH("по паспорту",G487)),ISERROR(SEARCH("по паспорту",H487)),I487&lt;&gt;"",J487&lt;&gt;"",K487&lt;&gt;"",L487&lt;&gt;"",M487&lt;&gt;""),"ГОТОВО","НЕ ГОТОВО"))</f>
        <v/>
      </c>
      <c r="Q487" s="205">
        <f>IF(P487&lt;&gt;"ГОТОВО","", "Предварительное заключение: "&amp;A487&amp;", скв. "&amp;B487&amp;". МРП: "&amp;E487&amp;" сут. ГНО: "&amp;F487&amp;", типоразмер "&amp;G487&amp;", марка "&amp;H487&amp;". Событие: "&amp;I487&amp;". Признак: "&amp;J487&amp;". Узел: "&amp;K487&amp;". Предварительная причина: "&amp;L487&amp;". Основное осложнение: "&amp;M487&amp;IF(N487&lt;&gt;"","; сопутствующее: "&amp;N487,"")&amp;IF(O487&lt;&gt;"","; дополнительно: "&amp;O487,"")&amp;".")</f>
        <v/>
      </c>
      <c r="R487" s="172">
        <f>IF('Оперативный ввод'!P487="","",'Оперативный ввод'!P487)</f>
        <v/>
      </c>
      <c r="S487" s="172">
        <f>IF('Оперативный ввод'!Q487="","",'Оперативный ввод'!Q487)</f>
        <v/>
      </c>
      <c r="T487" s="172">
        <f>IF('Оперативный ввод'!R487="","",'Оперативный ввод'!R487)</f>
        <v/>
      </c>
      <c r="U487" s="172">
        <f>IF('Оперативный ввод'!S487="","",'Оперативный ввод'!S487)</f>
        <v/>
      </c>
      <c r="V487" s="172">
        <f>IF('Оперативный ввод'!T487="","",'Оперативный ввод'!T487)</f>
        <v/>
      </c>
      <c r="W487" s="172" t="n"/>
      <c r="X487" s="172" t="n"/>
      <c r="Y487" s="172" t="n"/>
      <c r="Z487" s="172" t="n"/>
      <c r="AA487" s="172">
        <f>IF('Оперативный ввод'!U487="","",'Оперативный ввод'!U487)</f>
        <v/>
      </c>
      <c r="AB487" s="172">
        <f>IF('Оперативный ввод'!V487="","",'Оперативный ввод'!V487)</f>
        <v/>
      </c>
      <c r="AC487" s="172">
        <f>IF('Оперативный ввод'!W487="","",'Оперативный ввод'!W487)</f>
        <v/>
      </c>
      <c r="BB487" s="172" t="n"/>
      <c r="BC487" s="172" t="n"/>
      <c r="BD487" s="205">
        <f>IF(AND(A487="",B487=""),"",IF(AND(P487="ГОТОВО",R487&lt;&gt;"",T487&lt;&gt;"",U487&lt;&gt;"",AA487&lt;&gt;"",AB487&lt;&gt;"",AC487&lt;&gt;"",BB487&lt;&gt;"",BC487&lt;&gt;""),"ГОТОВО","НЕ ГОТОВО"))</f>
        <v/>
      </c>
      <c r="BE487" s="205">
        <f>IF(BD487&lt;&gt;"ГОТОВО","","Полное заключение: "&amp;A487&amp;", скв. "&amp;B487&amp;". МРП: "&amp;E487&amp;" сут. ГНО: "&amp;F487&amp;"; причина: "&amp;U487&amp;"; категория: "&amp;V487&amp;"; решение комиссии: "&amp;BB487&amp;".")</f>
        <v/>
      </c>
      <c r="BF487" s="173">
        <f>IF('Оперативный ввод'!X487="","",'Оперативный ввод'!X487)</f>
        <v/>
      </c>
    </row>
    <row r="488">
      <c r="A488" s="171">
        <f>IF('Оперативный ввод'!A488="","",'Оперативный ввод'!A488)</f>
        <v/>
      </c>
      <c r="B488" s="172">
        <f>IF('Оперативный ввод'!B488="","",'Оперативный ввод'!B488)</f>
        <v/>
      </c>
      <c r="C488" s="270">
        <f>IF('Оперативный ввод'!C488="","",'Оперативный ввод'!C488)</f>
        <v/>
      </c>
      <c r="D488" s="270">
        <f>IF('Оперативный ввод'!D488="","",'Оперативный ввод'!D488)</f>
        <v/>
      </c>
      <c r="E488" s="271">
        <f>IF(OR(C488="",D488=""),"",D488-C488)</f>
        <v/>
      </c>
      <c r="F488" s="172">
        <f>IF('Оперативный ввод'!F488="","",'Оперативный ввод'!F488)</f>
        <v/>
      </c>
      <c r="G488" s="172">
        <f>IF('Оперативный ввод'!G488="","",'Оперативный ввод'!G488)</f>
        <v/>
      </c>
      <c r="H488" s="172">
        <f>IF('Оперативный ввод'!H488="","",'Оперативный ввод'!H488)</f>
        <v/>
      </c>
      <c r="I488" s="172">
        <f>IF('Оперативный ввод'!I488="","",'Оперативный ввод'!I488)</f>
        <v/>
      </c>
      <c r="J488" s="172">
        <f>IF('Оперативный ввод'!J488="","",'Оперативный ввод'!J488)</f>
        <v/>
      </c>
      <c r="K488" s="172">
        <f>IF('Оперативный ввод'!K488="","",'Оперативный ввод'!K488)</f>
        <v/>
      </c>
      <c r="L488" s="172">
        <f>IF('Оперативный ввод'!L488="","",'Оперативный ввод'!L488)</f>
        <v/>
      </c>
      <c r="M488" s="172">
        <f>IF('Оперативный ввод'!M488="","",'Оперативный ввод'!M488)</f>
        <v/>
      </c>
      <c r="N488" s="172">
        <f>IF('Оперативный ввод'!N488="","",'Оперативный ввод'!N488)</f>
        <v/>
      </c>
      <c r="O488" s="172">
        <f>IF('Оперативный ввод'!O488="","",'Оперативный ввод'!O488)</f>
        <v/>
      </c>
      <c r="P488" s="205">
        <f>IF(AND(A488="",B488=""),"",IF(AND(A488&lt;&gt;"",B488&lt;&gt;"",C488&lt;&gt;"",D488&lt;&gt;"",F488&lt;&gt;"",G488&lt;&gt;"",H488&lt;&gt;"",ISERROR(SEARCH("по паспорту",G488)),ISERROR(SEARCH("по паспорту",H488)),I488&lt;&gt;"",J488&lt;&gt;"",K488&lt;&gt;"",L488&lt;&gt;"",M488&lt;&gt;""),"ГОТОВО","НЕ ГОТОВО"))</f>
        <v/>
      </c>
      <c r="Q488" s="205">
        <f>IF(P488&lt;&gt;"ГОТОВО","", "Предварительное заключение: "&amp;A488&amp;", скв. "&amp;B488&amp;". МРП: "&amp;E488&amp;" сут. ГНО: "&amp;F488&amp;", типоразмер "&amp;G488&amp;", марка "&amp;H488&amp;". Событие: "&amp;I488&amp;". Признак: "&amp;J488&amp;". Узел: "&amp;K488&amp;". Предварительная причина: "&amp;L488&amp;". Основное осложнение: "&amp;M488&amp;IF(N488&lt;&gt;"","; сопутствующее: "&amp;N488,"")&amp;IF(O488&lt;&gt;"","; дополнительно: "&amp;O488,"")&amp;".")</f>
        <v/>
      </c>
      <c r="R488" s="172">
        <f>IF('Оперативный ввод'!P488="","",'Оперативный ввод'!P488)</f>
        <v/>
      </c>
      <c r="S488" s="172">
        <f>IF('Оперативный ввод'!Q488="","",'Оперативный ввод'!Q488)</f>
        <v/>
      </c>
      <c r="T488" s="172">
        <f>IF('Оперативный ввод'!R488="","",'Оперативный ввод'!R488)</f>
        <v/>
      </c>
      <c r="U488" s="172">
        <f>IF('Оперативный ввод'!S488="","",'Оперативный ввод'!S488)</f>
        <v/>
      </c>
      <c r="V488" s="172">
        <f>IF('Оперативный ввод'!T488="","",'Оперативный ввод'!T488)</f>
        <v/>
      </c>
      <c r="W488" s="172" t="n"/>
      <c r="X488" s="172" t="n"/>
      <c r="Y488" s="172" t="n"/>
      <c r="Z488" s="172" t="n"/>
      <c r="AA488" s="172">
        <f>IF('Оперативный ввод'!U488="","",'Оперативный ввод'!U488)</f>
        <v/>
      </c>
      <c r="AB488" s="172">
        <f>IF('Оперативный ввод'!V488="","",'Оперативный ввод'!V488)</f>
        <v/>
      </c>
      <c r="AC488" s="172">
        <f>IF('Оперативный ввод'!W488="","",'Оперативный ввод'!W488)</f>
        <v/>
      </c>
      <c r="BB488" s="172" t="n"/>
      <c r="BC488" s="172" t="n"/>
      <c r="BD488" s="205">
        <f>IF(AND(A488="",B488=""),"",IF(AND(P488="ГОТОВО",R488&lt;&gt;"",T488&lt;&gt;"",U488&lt;&gt;"",AA488&lt;&gt;"",AB488&lt;&gt;"",AC488&lt;&gt;"",BB488&lt;&gt;"",BC488&lt;&gt;""),"ГОТОВО","НЕ ГОТОВО"))</f>
        <v/>
      </c>
      <c r="BE488" s="205">
        <f>IF(BD488&lt;&gt;"ГОТОВО","","Полное заключение: "&amp;A488&amp;", скв. "&amp;B488&amp;". МРП: "&amp;E488&amp;" сут. ГНО: "&amp;F488&amp;"; причина: "&amp;U488&amp;"; категория: "&amp;V488&amp;"; решение комиссии: "&amp;BB488&amp;".")</f>
        <v/>
      </c>
      <c r="BF488" s="173">
        <f>IF('Оперативный ввод'!X488="","",'Оперативный ввод'!X488)</f>
        <v/>
      </c>
    </row>
    <row r="489">
      <c r="A489" s="171">
        <f>IF('Оперативный ввод'!A489="","",'Оперативный ввод'!A489)</f>
        <v/>
      </c>
      <c r="B489" s="172">
        <f>IF('Оперативный ввод'!B489="","",'Оперативный ввод'!B489)</f>
        <v/>
      </c>
      <c r="C489" s="270">
        <f>IF('Оперативный ввод'!C489="","",'Оперативный ввод'!C489)</f>
        <v/>
      </c>
      <c r="D489" s="270">
        <f>IF('Оперативный ввод'!D489="","",'Оперативный ввод'!D489)</f>
        <v/>
      </c>
      <c r="E489" s="271">
        <f>IF(OR(C489="",D489=""),"",D489-C489)</f>
        <v/>
      </c>
      <c r="F489" s="172">
        <f>IF('Оперативный ввод'!F489="","",'Оперативный ввод'!F489)</f>
        <v/>
      </c>
      <c r="G489" s="172">
        <f>IF('Оперативный ввод'!G489="","",'Оперативный ввод'!G489)</f>
        <v/>
      </c>
      <c r="H489" s="172">
        <f>IF('Оперативный ввод'!H489="","",'Оперативный ввод'!H489)</f>
        <v/>
      </c>
      <c r="I489" s="172">
        <f>IF('Оперативный ввод'!I489="","",'Оперативный ввод'!I489)</f>
        <v/>
      </c>
      <c r="J489" s="172">
        <f>IF('Оперативный ввод'!J489="","",'Оперативный ввод'!J489)</f>
        <v/>
      </c>
      <c r="K489" s="172">
        <f>IF('Оперативный ввод'!K489="","",'Оперативный ввод'!K489)</f>
        <v/>
      </c>
      <c r="L489" s="172">
        <f>IF('Оперативный ввод'!L489="","",'Оперативный ввод'!L489)</f>
        <v/>
      </c>
      <c r="M489" s="172">
        <f>IF('Оперативный ввод'!M489="","",'Оперативный ввод'!M489)</f>
        <v/>
      </c>
      <c r="N489" s="172">
        <f>IF('Оперативный ввод'!N489="","",'Оперативный ввод'!N489)</f>
        <v/>
      </c>
      <c r="O489" s="172">
        <f>IF('Оперативный ввод'!O489="","",'Оперативный ввод'!O489)</f>
        <v/>
      </c>
      <c r="P489" s="205">
        <f>IF(AND(A489="",B489=""),"",IF(AND(A489&lt;&gt;"",B489&lt;&gt;"",C489&lt;&gt;"",D489&lt;&gt;"",F489&lt;&gt;"",G489&lt;&gt;"",H489&lt;&gt;"",ISERROR(SEARCH("по паспорту",G489)),ISERROR(SEARCH("по паспорту",H489)),I489&lt;&gt;"",J489&lt;&gt;"",K489&lt;&gt;"",L489&lt;&gt;"",M489&lt;&gt;""),"ГОТОВО","НЕ ГОТОВО"))</f>
        <v/>
      </c>
      <c r="Q489" s="205">
        <f>IF(P489&lt;&gt;"ГОТОВО","", "Предварительное заключение: "&amp;A489&amp;", скв. "&amp;B489&amp;". МРП: "&amp;E489&amp;" сут. ГНО: "&amp;F489&amp;", типоразмер "&amp;G489&amp;", марка "&amp;H489&amp;". Событие: "&amp;I489&amp;". Признак: "&amp;J489&amp;". Узел: "&amp;K489&amp;". Предварительная причина: "&amp;L489&amp;". Основное осложнение: "&amp;M489&amp;IF(N489&lt;&gt;"","; сопутствующее: "&amp;N489,"")&amp;IF(O489&lt;&gt;"","; дополнительно: "&amp;O489,"")&amp;".")</f>
        <v/>
      </c>
      <c r="R489" s="172">
        <f>IF('Оперативный ввод'!P489="","",'Оперативный ввод'!P489)</f>
        <v/>
      </c>
      <c r="S489" s="172">
        <f>IF('Оперативный ввод'!Q489="","",'Оперативный ввод'!Q489)</f>
        <v/>
      </c>
      <c r="T489" s="172">
        <f>IF('Оперативный ввод'!R489="","",'Оперативный ввод'!R489)</f>
        <v/>
      </c>
      <c r="U489" s="172">
        <f>IF('Оперативный ввод'!S489="","",'Оперативный ввод'!S489)</f>
        <v/>
      </c>
      <c r="V489" s="172">
        <f>IF('Оперативный ввод'!T489="","",'Оперативный ввод'!T489)</f>
        <v/>
      </c>
      <c r="W489" s="172" t="n"/>
      <c r="X489" s="172" t="n"/>
      <c r="Y489" s="172" t="n"/>
      <c r="Z489" s="172" t="n"/>
      <c r="AA489" s="172">
        <f>IF('Оперативный ввод'!U489="","",'Оперативный ввод'!U489)</f>
        <v/>
      </c>
      <c r="AB489" s="172">
        <f>IF('Оперативный ввод'!V489="","",'Оперативный ввод'!V489)</f>
        <v/>
      </c>
      <c r="AC489" s="172">
        <f>IF('Оперативный ввод'!W489="","",'Оперативный ввод'!W489)</f>
        <v/>
      </c>
      <c r="BB489" s="172" t="n"/>
      <c r="BC489" s="172" t="n"/>
      <c r="BD489" s="205">
        <f>IF(AND(A489="",B489=""),"",IF(AND(P489="ГОТОВО",R489&lt;&gt;"",T489&lt;&gt;"",U489&lt;&gt;"",AA489&lt;&gt;"",AB489&lt;&gt;"",AC489&lt;&gt;"",BB489&lt;&gt;"",BC489&lt;&gt;""),"ГОТОВО","НЕ ГОТОВО"))</f>
        <v/>
      </c>
      <c r="BE489" s="205">
        <f>IF(BD489&lt;&gt;"ГОТОВО","","Полное заключение: "&amp;A489&amp;", скв. "&amp;B489&amp;". МРП: "&amp;E489&amp;" сут. ГНО: "&amp;F489&amp;"; причина: "&amp;U489&amp;"; категория: "&amp;V489&amp;"; решение комиссии: "&amp;BB489&amp;".")</f>
        <v/>
      </c>
      <c r="BF489" s="173">
        <f>IF('Оперативный ввод'!X489="","",'Оперативный ввод'!X489)</f>
        <v/>
      </c>
    </row>
    <row r="490">
      <c r="A490" s="171">
        <f>IF('Оперативный ввод'!A490="","",'Оперативный ввод'!A490)</f>
        <v/>
      </c>
      <c r="B490" s="172">
        <f>IF('Оперативный ввод'!B490="","",'Оперативный ввод'!B490)</f>
        <v/>
      </c>
      <c r="C490" s="270">
        <f>IF('Оперативный ввод'!C490="","",'Оперативный ввод'!C490)</f>
        <v/>
      </c>
      <c r="D490" s="270">
        <f>IF('Оперативный ввод'!D490="","",'Оперативный ввод'!D490)</f>
        <v/>
      </c>
      <c r="E490" s="271">
        <f>IF(OR(C490="",D490=""),"",D490-C490)</f>
        <v/>
      </c>
      <c r="F490" s="172">
        <f>IF('Оперативный ввод'!F490="","",'Оперативный ввод'!F490)</f>
        <v/>
      </c>
      <c r="G490" s="172">
        <f>IF('Оперативный ввод'!G490="","",'Оперативный ввод'!G490)</f>
        <v/>
      </c>
      <c r="H490" s="172">
        <f>IF('Оперативный ввод'!H490="","",'Оперативный ввод'!H490)</f>
        <v/>
      </c>
      <c r="I490" s="172">
        <f>IF('Оперативный ввод'!I490="","",'Оперативный ввод'!I490)</f>
        <v/>
      </c>
      <c r="J490" s="172">
        <f>IF('Оперативный ввод'!J490="","",'Оперативный ввод'!J490)</f>
        <v/>
      </c>
      <c r="K490" s="172">
        <f>IF('Оперативный ввод'!K490="","",'Оперативный ввод'!K490)</f>
        <v/>
      </c>
      <c r="L490" s="172">
        <f>IF('Оперативный ввод'!L490="","",'Оперативный ввод'!L490)</f>
        <v/>
      </c>
      <c r="M490" s="172">
        <f>IF('Оперативный ввод'!M490="","",'Оперативный ввод'!M490)</f>
        <v/>
      </c>
      <c r="N490" s="172">
        <f>IF('Оперативный ввод'!N490="","",'Оперативный ввод'!N490)</f>
        <v/>
      </c>
      <c r="O490" s="172">
        <f>IF('Оперативный ввод'!O490="","",'Оперативный ввод'!O490)</f>
        <v/>
      </c>
      <c r="P490" s="205">
        <f>IF(AND(A490="",B490=""),"",IF(AND(A490&lt;&gt;"",B490&lt;&gt;"",C490&lt;&gt;"",D490&lt;&gt;"",F490&lt;&gt;"",G490&lt;&gt;"",H490&lt;&gt;"",ISERROR(SEARCH("по паспорту",G490)),ISERROR(SEARCH("по паспорту",H490)),I490&lt;&gt;"",J490&lt;&gt;"",K490&lt;&gt;"",L490&lt;&gt;"",M490&lt;&gt;""),"ГОТОВО","НЕ ГОТОВО"))</f>
        <v/>
      </c>
      <c r="Q490" s="205">
        <f>IF(P490&lt;&gt;"ГОТОВО","", "Предварительное заключение: "&amp;A490&amp;", скв. "&amp;B490&amp;". МРП: "&amp;E490&amp;" сут. ГНО: "&amp;F490&amp;", типоразмер "&amp;G490&amp;", марка "&amp;H490&amp;". Событие: "&amp;I490&amp;". Признак: "&amp;J490&amp;". Узел: "&amp;K490&amp;". Предварительная причина: "&amp;L490&amp;". Основное осложнение: "&amp;M490&amp;IF(N490&lt;&gt;"","; сопутствующее: "&amp;N490,"")&amp;IF(O490&lt;&gt;"","; дополнительно: "&amp;O490,"")&amp;".")</f>
        <v/>
      </c>
      <c r="R490" s="172">
        <f>IF('Оперативный ввод'!P490="","",'Оперативный ввод'!P490)</f>
        <v/>
      </c>
      <c r="S490" s="172">
        <f>IF('Оперативный ввод'!Q490="","",'Оперативный ввод'!Q490)</f>
        <v/>
      </c>
      <c r="T490" s="172">
        <f>IF('Оперативный ввод'!R490="","",'Оперативный ввод'!R490)</f>
        <v/>
      </c>
      <c r="U490" s="172">
        <f>IF('Оперативный ввод'!S490="","",'Оперативный ввод'!S490)</f>
        <v/>
      </c>
      <c r="V490" s="172">
        <f>IF('Оперативный ввод'!T490="","",'Оперативный ввод'!T490)</f>
        <v/>
      </c>
      <c r="W490" s="172" t="n"/>
      <c r="X490" s="172" t="n"/>
      <c r="Y490" s="172" t="n"/>
      <c r="Z490" s="172" t="n"/>
      <c r="AA490" s="172">
        <f>IF('Оперативный ввод'!U490="","",'Оперативный ввод'!U490)</f>
        <v/>
      </c>
      <c r="AB490" s="172">
        <f>IF('Оперативный ввод'!V490="","",'Оперативный ввод'!V490)</f>
        <v/>
      </c>
      <c r="AC490" s="172">
        <f>IF('Оперативный ввод'!W490="","",'Оперативный ввод'!W490)</f>
        <v/>
      </c>
      <c r="BB490" s="172" t="n"/>
      <c r="BC490" s="172" t="n"/>
      <c r="BD490" s="205">
        <f>IF(AND(A490="",B490=""),"",IF(AND(P490="ГОТОВО",R490&lt;&gt;"",T490&lt;&gt;"",U490&lt;&gt;"",AA490&lt;&gt;"",AB490&lt;&gt;"",AC490&lt;&gt;"",BB490&lt;&gt;"",BC490&lt;&gt;""),"ГОТОВО","НЕ ГОТОВО"))</f>
        <v/>
      </c>
      <c r="BE490" s="205">
        <f>IF(BD490&lt;&gt;"ГОТОВО","","Полное заключение: "&amp;A490&amp;", скв. "&amp;B490&amp;". МРП: "&amp;E490&amp;" сут. ГНО: "&amp;F490&amp;"; причина: "&amp;U490&amp;"; категория: "&amp;V490&amp;"; решение комиссии: "&amp;BB490&amp;".")</f>
        <v/>
      </c>
      <c r="BF490" s="173">
        <f>IF('Оперативный ввод'!X490="","",'Оперативный ввод'!X490)</f>
        <v/>
      </c>
    </row>
    <row r="491">
      <c r="A491" s="171">
        <f>IF('Оперативный ввод'!A491="","",'Оперативный ввод'!A491)</f>
        <v/>
      </c>
      <c r="B491" s="172">
        <f>IF('Оперативный ввод'!B491="","",'Оперативный ввод'!B491)</f>
        <v/>
      </c>
      <c r="C491" s="270">
        <f>IF('Оперативный ввод'!C491="","",'Оперативный ввод'!C491)</f>
        <v/>
      </c>
      <c r="D491" s="270">
        <f>IF('Оперативный ввод'!D491="","",'Оперативный ввод'!D491)</f>
        <v/>
      </c>
      <c r="E491" s="271">
        <f>IF(OR(C491="",D491=""),"",D491-C491)</f>
        <v/>
      </c>
      <c r="F491" s="172">
        <f>IF('Оперативный ввод'!F491="","",'Оперативный ввод'!F491)</f>
        <v/>
      </c>
      <c r="G491" s="172">
        <f>IF('Оперативный ввод'!G491="","",'Оперативный ввод'!G491)</f>
        <v/>
      </c>
      <c r="H491" s="172">
        <f>IF('Оперативный ввод'!H491="","",'Оперативный ввод'!H491)</f>
        <v/>
      </c>
      <c r="I491" s="172">
        <f>IF('Оперативный ввод'!I491="","",'Оперативный ввод'!I491)</f>
        <v/>
      </c>
      <c r="J491" s="172">
        <f>IF('Оперативный ввод'!J491="","",'Оперативный ввод'!J491)</f>
        <v/>
      </c>
      <c r="K491" s="172">
        <f>IF('Оперативный ввод'!K491="","",'Оперативный ввод'!K491)</f>
        <v/>
      </c>
      <c r="L491" s="172">
        <f>IF('Оперативный ввод'!L491="","",'Оперативный ввод'!L491)</f>
        <v/>
      </c>
      <c r="M491" s="172">
        <f>IF('Оперативный ввод'!M491="","",'Оперативный ввод'!M491)</f>
        <v/>
      </c>
      <c r="N491" s="172">
        <f>IF('Оперативный ввод'!N491="","",'Оперативный ввод'!N491)</f>
        <v/>
      </c>
      <c r="O491" s="172">
        <f>IF('Оперативный ввод'!O491="","",'Оперативный ввод'!O491)</f>
        <v/>
      </c>
      <c r="P491" s="205">
        <f>IF(AND(A491="",B491=""),"",IF(AND(A491&lt;&gt;"",B491&lt;&gt;"",C491&lt;&gt;"",D491&lt;&gt;"",F491&lt;&gt;"",G491&lt;&gt;"",H491&lt;&gt;"",ISERROR(SEARCH("по паспорту",G491)),ISERROR(SEARCH("по паспорту",H491)),I491&lt;&gt;"",J491&lt;&gt;"",K491&lt;&gt;"",L491&lt;&gt;"",M491&lt;&gt;""),"ГОТОВО","НЕ ГОТОВО"))</f>
        <v/>
      </c>
      <c r="Q491" s="205">
        <f>IF(P491&lt;&gt;"ГОТОВО","", "Предварительное заключение: "&amp;A491&amp;", скв. "&amp;B491&amp;". МРП: "&amp;E491&amp;" сут. ГНО: "&amp;F491&amp;", типоразмер "&amp;G491&amp;", марка "&amp;H491&amp;". Событие: "&amp;I491&amp;". Признак: "&amp;J491&amp;". Узел: "&amp;K491&amp;". Предварительная причина: "&amp;L491&amp;". Основное осложнение: "&amp;M491&amp;IF(N491&lt;&gt;"","; сопутствующее: "&amp;N491,"")&amp;IF(O491&lt;&gt;"","; дополнительно: "&amp;O491,"")&amp;".")</f>
        <v/>
      </c>
      <c r="R491" s="172">
        <f>IF('Оперативный ввод'!P491="","",'Оперативный ввод'!P491)</f>
        <v/>
      </c>
      <c r="S491" s="172">
        <f>IF('Оперативный ввод'!Q491="","",'Оперативный ввод'!Q491)</f>
        <v/>
      </c>
      <c r="T491" s="172">
        <f>IF('Оперативный ввод'!R491="","",'Оперативный ввод'!R491)</f>
        <v/>
      </c>
      <c r="U491" s="172">
        <f>IF('Оперативный ввод'!S491="","",'Оперативный ввод'!S491)</f>
        <v/>
      </c>
      <c r="V491" s="172">
        <f>IF('Оперативный ввод'!T491="","",'Оперативный ввод'!T491)</f>
        <v/>
      </c>
      <c r="W491" s="172" t="n"/>
      <c r="X491" s="172" t="n"/>
      <c r="Y491" s="172" t="n"/>
      <c r="Z491" s="172" t="n"/>
      <c r="AA491" s="172">
        <f>IF('Оперативный ввод'!U491="","",'Оперативный ввод'!U491)</f>
        <v/>
      </c>
      <c r="AB491" s="172">
        <f>IF('Оперативный ввод'!V491="","",'Оперативный ввод'!V491)</f>
        <v/>
      </c>
      <c r="AC491" s="172">
        <f>IF('Оперативный ввод'!W491="","",'Оперативный ввод'!W491)</f>
        <v/>
      </c>
      <c r="BB491" s="172" t="n"/>
      <c r="BC491" s="172" t="n"/>
      <c r="BD491" s="205">
        <f>IF(AND(A491="",B491=""),"",IF(AND(P491="ГОТОВО",R491&lt;&gt;"",T491&lt;&gt;"",U491&lt;&gt;"",AA491&lt;&gt;"",AB491&lt;&gt;"",AC491&lt;&gt;"",BB491&lt;&gt;"",BC491&lt;&gt;""),"ГОТОВО","НЕ ГОТОВО"))</f>
        <v/>
      </c>
      <c r="BE491" s="205">
        <f>IF(BD491&lt;&gt;"ГОТОВО","","Полное заключение: "&amp;A491&amp;", скв. "&amp;B491&amp;". МРП: "&amp;E491&amp;" сут. ГНО: "&amp;F491&amp;"; причина: "&amp;U491&amp;"; категория: "&amp;V491&amp;"; решение комиссии: "&amp;BB491&amp;".")</f>
        <v/>
      </c>
      <c r="BF491" s="173">
        <f>IF('Оперативный ввод'!X491="","",'Оперативный ввод'!X491)</f>
        <v/>
      </c>
    </row>
    <row r="492">
      <c r="A492" s="171">
        <f>IF('Оперативный ввод'!A492="","",'Оперативный ввод'!A492)</f>
        <v/>
      </c>
      <c r="B492" s="172">
        <f>IF('Оперативный ввод'!B492="","",'Оперативный ввод'!B492)</f>
        <v/>
      </c>
      <c r="C492" s="270">
        <f>IF('Оперативный ввод'!C492="","",'Оперативный ввод'!C492)</f>
        <v/>
      </c>
      <c r="D492" s="270">
        <f>IF('Оперативный ввод'!D492="","",'Оперативный ввод'!D492)</f>
        <v/>
      </c>
      <c r="E492" s="271">
        <f>IF(OR(C492="",D492=""),"",D492-C492)</f>
        <v/>
      </c>
      <c r="F492" s="172">
        <f>IF('Оперативный ввод'!F492="","",'Оперативный ввод'!F492)</f>
        <v/>
      </c>
      <c r="G492" s="172">
        <f>IF('Оперативный ввод'!G492="","",'Оперативный ввод'!G492)</f>
        <v/>
      </c>
      <c r="H492" s="172">
        <f>IF('Оперативный ввод'!H492="","",'Оперативный ввод'!H492)</f>
        <v/>
      </c>
      <c r="I492" s="172">
        <f>IF('Оперативный ввод'!I492="","",'Оперативный ввод'!I492)</f>
        <v/>
      </c>
      <c r="J492" s="172">
        <f>IF('Оперативный ввод'!J492="","",'Оперативный ввод'!J492)</f>
        <v/>
      </c>
      <c r="K492" s="172">
        <f>IF('Оперативный ввод'!K492="","",'Оперативный ввод'!K492)</f>
        <v/>
      </c>
      <c r="L492" s="172">
        <f>IF('Оперативный ввод'!L492="","",'Оперативный ввод'!L492)</f>
        <v/>
      </c>
      <c r="M492" s="172">
        <f>IF('Оперативный ввод'!M492="","",'Оперативный ввод'!M492)</f>
        <v/>
      </c>
      <c r="N492" s="172">
        <f>IF('Оперативный ввод'!N492="","",'Оперативный ввод'!N492)</f>
        <v/>
      </c>
      <c r="O492" s="172">
        <f>IF('Оперативный ввод'!O492="","",'Оперативный ввод'!O492)</f>
        <v/>
      </c>
      <c r="P492" s="205">
        <f>IF(AND(A492="",B492=""),"",IF(AND(A492&lt;&gt;"",B492&lt;&gt;"",C492&lt;&gt;"",D492&lt;&gt;"",F492&lt;&gt;"",G492&lt;&gt;"",H492&lt;&gt;"",ISERROR(SEARCH("по паспорту",G492)),ISERROR(SEARCH("по паспорту",H492)),I492&lt;&gt;"",J492&lt;&gt;"",K492&lt;&gt;"",L492&lt;&gt;"",M492&lt;&gt;""),"ГОТОВО","НЕ ГОТОВО"))</f>
        <v/>
      </c>
      <c r="Q492" s="205">
        <f>IF(P492&lt;&gt;"ГОТОВО","", "Предварительное заключение: "&amp;A492&amp;", скв. "&amp;B492&amp;". МРП: "&amp;E492&amp;" сут. ГНО: "&amp;F492&amp;", типоразмер "&amp;G492&amp;", марка "&amp;H492&amp;". Событие: "&amp;I492&amp;". Признак: "&amp;J492&amp;". Узел: "&amp;K492&amp;". Предварительная причина: "&amp;L492&amp;". Основное осложнение: "&amp;M492&amp;IF(N492&lt;&gt;"","; сопутствующее: "&amp;N492,"")&amp;IF(O492&lt;&gt;"","; дополнительно: "&amp;O492,"")&amp;".")</f>
        <v/>
      </c>
      <c r="R492" s="172">
        <f>IF('Оперативный ввод'!P492="","",'Оперативный ввод'!P492)</f>
        <v/>
      </c>
      <c r="S492" s="172">
        <f>IF('Оперативный ввод'!Q492="","",'Оперативный ввод'!Q492)</f>
        <v/>
      </c>
      <c r="T492" s="172">
        <f>IF('Оперативный ввод'!R492="","",'Оперативный ввод'!R492)</f>
        <v/>
      </c>
      <c r="U492" s="172">
        <f>IF('Оперативный ввод'!S492="","",'Оперативный ввод'!S492)</f>
        <v/>
      </c>
      <c r="V492" s="172">
        <f>IF('Оперативный ввод'!T492="","",'Оперативный ввод'!T492)</f>
        <v/>
      </c>
      <c r="W492" s="172" t="n"/>
      <c r="X492" s="172" t="n"/>
      <c r="Y492" s="172" t="n"/>
      <c r="Z492" s="172" t="n"/>
      <c r="AA492" s="172">
        <f>IF('Оперативный ввод'!U492="","",'Оперативный ввод'!U492)</f>
        <v/>
      </c>
      <c r="AB492" s="172">
        <f>IF('Оперативный ввод'!V492="","",'Оперативный ввод'!V492)</f>
        <v/>
      </c>
      <c r="AC492" s="172">
        <f>IF('Оперативный ввод'!W492="","",'Оперативный ввод'!W492)</f>
        <v/>
      </c>
      <c r="BB492" s="172" t="n"/>
      <c r="BC492" s="172" t="n"/>
      <c r="BD492" s="205">
        <f>IF(AND(A492="",B492=""),"",IF(AND(P492="ГОТОВО",R492&lt;&gt;"",T492&lt;&gt;"",U492&lt;&gt;"",AA492&lt;&gt;"",AB492&lt;&gt;"",AC492&lt;&gt;"",BB492&lt;&gt;"",BC492&lt;&gt;""),"ГОТОВО","НЕ ГОТОВО"))</f>
        <v/>
      </c>
      <c r="BE492" s="205">
        <f>IF(BD492&lt;&gt;"ГОТОВО","","Полное заключение: "&amp;A492&amp;", скв. "&amp;B492&amp;". МРП: "&amp;E492&amp;" сут. ГНО: "&amp;F492&amp;"; причина: "&amp;U492&amp;"; категория: "&amp;V492&amp;"; решение комиссии: "&amp;BB492&amp;".")</f>
        <v/>
      </c>
      <c r="BF492" s="173">
        <f>IF('Оперативный ввод'!X492="","",'Оперативный ввод'!X492)</f>
        <v/>
      </c>
    </row>
    <row r="493">
      <c r="A493" s="171">
        <f>IF('Оперативный ввод'!A493="","",'Оперативный ввод'!A493)</f>
        <v/>
      </c>
      <c r="B493" s="172">
        <f>IF('Оперативный ввод'!B493="","",'Оперативный ввод'!B493)</f>
        <v/>
      </c>
      <c r="C493" s="270">
        <f>IF('Оперативный ввод'!C493="","",'Оперативный ввод'!C493)</f>
        <v/>
      </c>
      <c r="D493" s="270">
        <f>IF('Оперативный ввод'!D493="","",'Оперативный ввод'!D493)</f>
        <v/>
      </c>
      <c r="E493" s="271">
        <f>IF(OR(C493="",D493=""),"",D493-C493)</f>
        <v/>
      </c>
      <c r="F493" s="172">
        <f>IF('Оперативный ввод'!F493="","",'Оперативный ввод'!F493)</f>
        <v/>
      </c>
      <c r="G493" s="172">
        <f>IF('Оперативный ввод'!G493="","",'Оперативный ввод'!G493)</f>
        <v/>
      </c>
      <c r="H493" s="172">
        <f>IF('Оперативный ввод'!H493="","",'Оперативный ввод'!H493)</f>
        <v/>
      </c>
      <c r="I493" s="172">
        <f>IF('Оперативный ввод'!I493="","",'Оперативный ввод'!I493)</f>
        <v/>
      </c>
      <c r="J493" s="172">
        <f>IF('Оперативный ввод'!J493="","",'Оперативный ввод'!J493)</f>
        <v/>
      </c>
      <c r="K493" s="172">
        <f>IF('Оперативный ввод'!K493="","",'Оперативный ввод'!K493)</f>
        <v/>
      </c>
      <c r="L493" s="172">
        <f>IF('Оперативный ввод'!L493="","",'Оперативный ввод'!L493)</f>
        <v/>
      </c>
      <c r="M493" s="172">
        <f>IF('Оперативный ввод'!M493="","",'Оперативный ввод'!M493)</f>
        <v/>
      </c>
      <c r="N493" s="172">
        <f>IF('Оперативный ввод'!N493="","",'Оперативный ввод'!N493)</f>
        <v/>
      </c>
      <c r="O493" s="172">
        <f>IF('Оперативный ввод'!O493="","",'Оперативный ввод'!O493)</f>
        <v/>
      </c>
      <c r="P493" s="205">
        <f>IF(AND(A493="",B493=""),"",IF(AND(A493&lt;&gt;"",B493&lt;&gt;"",C493&lt;&gt;"",D493&lt;&gt;"",F493&lt;&gt;"",G493&lt;&gt;"",H493&lt;&gt;"",ISERROR(SEARCH("по паспорту",G493)),ISERROR(SEARCH("по паспорту",H493)),I493&lt;&gt;"",J493&lt;&gt;"",K493&lt;&gt;"",L493&lt;&gt;"",M493&lt;&gt;""),"ГОТОВО","НЕ ГОТОВО"))</f>
        <v/>
      </c>
      <c r="Q493" s="205">
        <f>IF(P493&lt;&gt;"ГОТОВО","", "Предварительное заключение: "&amp;A493&amp;", скв. "&amp;B493&amp;". МРП: "&amp;E493&amp;" сут. ГНО: "&amp;F493&amp;", типоразмер "&amp;G493&amp;", марка "&amp;H493&amp;". Событие: "&amp;I493&amp;". Признак: "&amp;J493&amp;". Узел: "&amp;K493&amp;". Предварительная причина: "&amp;L493&amp;". Основное осложнение: "&amp;M493&amp;IF(N493&lt;&gt;"","; сопутствующее: "&amp;N493,"")&amp;IF(O493&lt;&gt;"","; дополнительно: "&amp;O493,"")&amp;".")</f>
        <v/>
      </c>
      <c r="R493" s="172">
        <f>IF('Оперативный ввод'!P493="","",'Оперативный ввод'!P493)</f>
        <v/>
      </c>
      <c r="S493" s="172">
        <f>IF('Оперативный ввод'!Q493="","",'Оперативный ввод'!Q493)</f>
        <v/>
      </c>
      <c r="T493" s="172">
        <f>IF('Оперативный ввод'!R493="","",'Оперативный ввод'!R493)</f>
        <v/>
      </c>
      <c r="U493" s="172">
        <f>IF('Оперативный ввод'!S493="","",'Оперативный ввод'!S493)</f>
        <v/>
      </c>
      <c r="V493" s="172">
        <f>IF('Оперативный ввод'!T493="","",'Оперативный ввод'!T493)</f>
        <v/>
      </c>
      <c r="W493" s="172" t="n"/>
      <c r="X493" s="172" t="n"/>
      <c r="Y493" s="172" t="n"/>
      <c r="Z493" s="172" t="n"/>
      <c r="AA493" s="172">
        <f>IF('Оперативный ввод'!U493="","",'Оперативный ввод'!U493)</f>
        <v/>
      </c>
      <c r="AB493" s="172">
        <f>IF('Оперативный ввод'!V493="","",'Оперативный ввод'!V493)</f>
        <v/>
      </c>
      <c r="AC493" s="172">
        <f>IF('Оперативный ввод'!W493="","",'Оперативный ввод'!W493)</f>
        <v/>
      </c>
      <c r="BB493" s="172" t="n"/>
      <c r="BC493" s="172" t="n"/>
      <c r="BD493" s="205">
        <f>IF(AND(A493="",B493=""),"",IF(AND(P493="ГОТОВО",R493&lt;&gt;"",T493&lt;&gt;"",U493&lt;&gt;"",AA493&lt;&gt;"",AB493&lt;&gt;"",AC493&lt;&gt;"",BB493&lt;&gt;"",BC493&lt;&gt;""),"ГОТОВО","НЕ ГОТОВО"))</f>
        <v/>
      </c>
      <c r="BE493" s="205">
        <f>IF(BD493&lt;&gt;"ГОТОВО","","Полное заключение: "&amp;A493&amp;", скв. "&amp;B493&amp;". МРП: "&amp;E493&amp;" сут. ГНО: "&amp;F493&amp;"; причина: "&amp;U493&amp;"; категория: "&amp;V493&amp;"; решение комиссии: "&amp;BB493&amp;".")</f>
        <v/>
      </c>
      <c r="BF493" s="173">
        <f>IF('Оперативный ввод'!X493="","",'Оперативный ввод'!X493)</f>
        <v/>
      </c>
    </row>
    <row r="494">
      <c r="A494" s="171">
        <f>IF('Оперативный ввод'!A494="","",'Оперативный ввод'!A494)</f>
        <v/>
      </c>
      <c r="B494" s="172">
        <f>IF('Оперативный ввод'!B494="","",'Оперативный ввод'!B494)</f>
        <v/>
      </c>
      <c r="C494" s="270">
        <f>IF('Оперативный ввод'!C494="","",'Оперативный ввод'!C494)</f>
        <v/>
      </c>
      <c r="D494" s="270">
        <f>IF('Оперативный ввод'!D494="","",'Оперативный ввод'!D494)</f>
        <v/>
      </c>
      <c r="E494" s="271">
        <f>IF(OR(C494="",D494=""),"",D494-C494)</f>
        <v/>
      </c>
      <c r="F494" s="172">
        <f>IF('Оперативный ввод'!F494="","",'Оперативный ввод'!F494)</f>
        <v/>
      </c>
      <c r="G494" s="172">
        <f>IF('Оперативный ввод'!G494="","",'Оперативный ввод'!G494)</f>
        <v/>
      </c>
      <c r="H494" s="172">
        <f>IF('Оперативный ввод'!H494="","",'Оперативный ввод'!H494)</f>
        <v/>
      </c>
      <c r="I494" s="172">
        <f>IF('Оперативный ввод'!I494="","",'Оперативный ввод'!I494)</f>
        <v/>
      </c>
      <c r="J494" s="172">
        <f>IF('Оперативный ввод'!J494="","",'Оперативный ввод'!J494)</f>
        <v/>
      </c>
      <c r="K494" s="172">
        <f>IF('Оперативный ввод'!K494="","",'Оперативный ввод'!K494)</f>
        <v/>
      </c>
      <c r="L494" s="172">
        <f>IF('Оперативный ввод'!L494="","",'Оперативный ввод'!L494)</f>
        <v/>
      </c>
      <c r="M494" s="172">
        <f>IF('Оперативный ввод'!M494="","",'Оперативный ввод'!M494)</f>
        <v/>
      </c>
      <c r="N494" s="172">
        <f>IF('Оперативный ввод'!N494="","",'Оперативный ввод'!N494)</f>
        <v/>
      </c>
      <c r="O494" s="172">
        <f>IF('Оперативный ввод'!O494="","",'Оперативный ввод'!O494)</f>
        <v/>
      </c>
      <c r="P494" s="205">
        <f>IF(AND(A494="",B494=""),"",IF(AND(A494&lt;&gt;"",B494&lt;&gt;"",C494&lt;&gt;"",D494&lt;&gt;"",F494&lt;&gt;"",G494&lt;&gt;"",H494&lt;&gt;"",ISERROR(SEARCH("по паспорту",G494)),ISERROR(SEARCH("по паспорту",H494)),I494&lt;&gt;"",J494&lt;&gt;"",K494&lt;&gt;"",L494&lt;&gt;"",M494&lt;&gt;""),"ГОТОВО","НЕ ГОТОВО"))</f>
        <v/>
      </c>
      <c r="Q494" s="205">
        <f>IF(P494&lt;&gt;"ГОТОВО","", "Предварительное заключение: "&amp;A494&amp;", скв. "&amp;B494&amp;". МРП: "&amp;E494&amp;" сут. ГНО: "&amp;F494&amp;", типоразмер "&amp;G494&amp;", марка "&amp;H494&amp;". Событие: "&amp;I494&amp;". Признак: "&amp;J494&amp;". Узел: "&amp;K494&amp;". Предварительная причина: "&amp;L494&amp;". Основное осложнение: "&amp;M494&amp;IF(N494&lt;&gt;"","; сопутствующее: "&amp;N494,"")&amp;IF(O494&lt;&gt;"","; дополнительно: "&amp;O494,"")&amp;".")</f>
        <v/>
      </c>
      <c r="R494" s="172">
        <f>IF('Оперативный ввод'!P494="","",'Оперативный ввод'!P494)</f>
        <v/>
      </c>
      <c r="S494" s="172">
        <f>IF('Оперативный ввод'!Q494="","",'Оперативный ввод'!Q494)</f>
        <v/>
      </c>
      <c r="T494" s="172">
        <f>IF('Оперативный ввод'!R494="","",'Оперативный ввод'!R494)</f>
        <v/>
      </c>
      <c r="U494" s="172">
        <f>IF('Оперативный ввод'!S494="","",'Оперативный ввод'!S494)</f>
        <v/>
      </c>
      <c r="V494" s="172">
        <f>IF('Оперативный ввод'!T494="","",'Оперативный ввод'!T494)</f>
        <v/>
      </c>
      <c r="W494" s="172" t="n"/>
      <c r="X494" s="172" t="n"/>
      <c r="Y494" s="172" t="n"/>
      <c r="Z494" s="172" t="n"/>
      <c r="AA494" s="172">
        <f>IF('Оперативный ввод'!U494="","",'Оперативный ввод'!U494)</f>
        <v/>
      </c>
      <c r="AB494" s="172">
        <f>IF('Оперативный ввод'!V494="","",'Оперативный ввод'!V494)</f>
        <v/>
      </c>
      <c r="AC494" s="172">
        <f>IF('Оперативный ввод'!W494="","",'Оперативный ввод'!W494)</f>
        <v/>
      </c>
      <c r="BB494" s="172" t="n"/>
      <c r="BC494" s="172" t="n"/>
      <c r="BD494" s="205">
        <f>IF(AND(A494="",B494=""),"",IF(AND(P494="ГОТОВО",R494&lt;&gt;"",T494&lt;&gt;"",U494&lt;&gt;"",AA494&lt;&gt;"",AB494&lt;&gt;"",AC494&lt;&gt;"",BB494&lt;&gt;"",BC494&lt;&gt;""),"ГОТОВО","НЕ ГОТОВО"))</f>
        <v/>
      </c>
      <c r="BE494" s="205">
        <f>IF(BD494&lt;&gt;"ГОТОВО","","Полное заключение: "&amp;A494&amp;", скв. "&amp;B494&amp;". МРП: "&amp;E494&amp;" сут. ГНО: "&amp;F494&amp;"; причина: "&amp;U494&amp;"; категория: "&amp;V494&amp;"; решение комиссии: "&amp;BB494&amp;".")</f>
        <v/>
      </c>
      <c r="BF494" s="173">
        <f>IF('Оперативный ввод'!X494="","",'Оперативный ввод'!X494)</f>
        <v/>
      </c>
    </row>
    <row r="495">
      <c r="A495" s="171">
        <f>IF('Оперативный ввод'!A495="","",'Оперативный ввод'!A495)</f>
        <v/>
      </c>
      <c r="B495" s="172">
        <f>IF('Оперативный ввод'!B495="","",'Оперативный ввод'!B495)</f>
        <v/>
      </c>
      <c r="C495" s="270">
        <f>IF('Оперативный ввод'!C495="","",'Оперативный ввод'!C495)</f>
        <v/>
      </c>
      <c r="D495" s="270">
        <f>IF('Оперативный ввод'!D495="","",'Оперативный ввод'!D495)</f>
        <v/>
      </c>
      <c r="E495" s="271">
        <f>IF(OR(C495="",D495=""),"",D495-C495)</f>
        <v/>
      </c>
      <c r="F495" s="172">
        <f>IF('Оперативный ввод'!F495="","",'Оперативный ввод'!F495)</f>
        <v/>
      </c>
      <c r="G495" s="172">
        <f>IF('Оперативный ввод'!G495="","",'Оперативный ввод'!G495)</f>
        <v/>
      </c>
      <c r="H495" s="172">
        <f>IF('Оперативный ввод'!H495="","",'Оперативный ввод'!H495)</f>
        <v/>
      </c>
      <c r="I495" s="172">
        <f>IF('Оперативный ввод'!I495="","",'Оперативный ввод'!I495)</f>
        <v/>
      </c>
      <c r="J495" s="172">
        <f>IF('Оперативный ввод'!J495="","",'Оперативный ввод'!J495)</f>
        <v/>
      </c>
      <c r="K495" s="172">
        <f>IF('Оперативный ввод'!K495="","",'Оперативный ввод'!K495)</f>
        <v/>
      </c>
      <c r="L495" s="172">
        <f>IF('Оперативный ввод'!L495="","",'Оперативный ввод'!L495)</f>
        <v/>
      </c>
      <c r="M495" s="172">
        <f>IF('Оперативный ввод'!M495="","",'Оперативный ввод'!M495)</f>
        <v/>
      </c>
      <c r="N495" s="172">
        <f>IF('Оперативный ввод'!N495="","",'Оперативный ввод'!N495)</f>
        <v/>
      </c>
      <c r="O495" s="172">
        <f>IF('Оперативный ввод'!O495="","",'Оперативный ввод'!O495)</f>
        <v/>
      </c>
      <c r="P495" s="205">
        <f>IF(AND(A495="",B495=""),"",IF(AND(A495&lt;&gt;"",B495&lt;&gt;"",C495&lt;&gt;"",D495&lt;&gt;"",F495&lt;&gt;"",G495&lt;&gt;"",H495&lt;&gt;"",ISERROR(SEARCH("по паспорту",G495)),ISERROR(SEARCH("по паспорту",H495)),I495&lt;&gt;"",J495&lt;&gt;"",K495&lt;&gt;"",L495&lt;&gt;"",M495&lt;&gt;""),"ГОТОВО","НЕ ГОТОВО"))</f>
        <v/>
      </c>
      <c r="Q495" s="205">
        <f>IF(P495&lt;&gt;"ГОТОВО","", "Предварительное заключение: "&amp;A495&amp;", скв. "&amp;B495&amp;". МРП: "&amp;E495&amp;" сут. ГНО: "&amp;F495&amp;", типоразмер "&amp;G495&amp;", марка "&amp;H495&amp;". Событие: "&amp;I495&amp;". Признак: "&amp;J495&amp;". Узел: "&amp;K495&amp;". Предварительная причина: "&amp;L495&amp;". Основное осложнение: "&amp;M495&amp;IF(N495&lt;&gt;"","; сопутствующее: "&amp;N495,"")&amp;IF(O495&lt;&gt;"","; дополнительно: "&amp;O495,"")&amp;".")</f>
        <v/>
      </c>
      <c r="R495" s="172">
        <f>IF('Оперативный ввод'!P495="","",'Оперативный ввод'!P495)</f>
        <v/>
      </c>
      <c r="S495" s="172">
        <f>IF('Оперативный ввод'!Q495="","",'Оперативный ввод'!Q495)</f>
        <v/>
      </c>
      <c r="T495" s="172">
        <f>IF('Оперативный ввод'!R495="","",'Оперативный ввод'!R495)</f>
        <v/>
      </c>
      <c r="U495" s="172">
        <f>IF('Оперативный ввод'!S495="","",'Оперативный ввод'!S495)</f>
        <v/>
      </c>
      <c r="V495" s="172">
        <f>IF('Оперативный ввод'!T495="","",'Оперативный ввод'!T495)</f>
        <v/>
      </c>
      <c r="W495" s="172" t="n"/>
      <c r="X495" s="172" t="n"/>
      <c r="Y495" s="172" t="n"/>
      <c r="Z495" s="172" t="n"/>
      <c r="AA495" s="172">
        <f>IF('Оперативный ввод'!U495="","",'Оперативный ввод'!U495)</f>
        <v/>
      </c>
      <c r="AB495" s="172">
        <f>IF('Оперативный ввод'!V495="","",'Оперативный ввод'!V495)</f>
        <v/>
      </c>
      <c r="AC495" s="172">
        <f>IF('Оперативный ввод'!W495="","",'Оперативный ввод'!W495)</f>
        <v/>
      </c>
      <c r="BB495" s="172" t="n"/>
      <c r="BC495" s="172" t="n"/>
      <c r="BD495" s="205">
        <f>IF(AND(A495="",B495=""),"",IF(AND(P495="ГОТОВО",R495&lt;&gt;"",T495&lt;&gt;"",U495&lt;&gt;"",AA495&lt;&gt;"",AB495&lt;&gt;"",AC495&lt;&gt;"",BB495&lt;&gt;"",BC495&lt;&gt;""),"ГОТОВО","НЕ ГОТОВО"))</f>
        <v/>
      </c>
      <c r="BE495" s="205">
        <f>IF(BD495&lt;&gt;"ГОТОВО","","Полное заключение: "&amp;A495&amp;", скв. "&amp;B495&amp;". МРП: "&amp;E495&amp;" сут. ГНО: "&amp;F495&amp;"; причина: "&amp;U495&amp;"; категория: "&amp;V495&amp;"; решение комиссии: "&amp;BB495&amp;".")</f>
        <v/>
      </c>
      <c r="BF495" s="173">
        <f>IF('Оперативный ввод'!X495="","",'Оперативный ввод'!X495)</f>
        <v/>
      </c>
    </row>
    <row r="496">
      <c r="A496" s="171">
        <f>IF('Оперативный ввод'!A496="","",'Оперативный ввод'!A496)</f>
        <v/>
      </c>
      <c r="B496" s="172">
        <f>IF('Оперативный ввод'!B496="","",'Оперативный ввод'!B496)</f>
        <v/>
      </c>
      <c r="C496" s="270">
        <f>IF('Оперативный ввод'!C496="","",'Оперативный ввод'!C496)</f>
        <v/>
      </c>
      <c r="D496" s="270">
        <f>IF('Оперативный ввод'!D496="","",'Оперативный ввод'!D496)</f>
        <v/>
      </c>
      <c r="E496" s="271">
        <f>IF(OR(C496="",D496=""),"",D496-C496)</f>
        <v/>
      </c>
      <c r="F496" s="172">
        <f>IF('Оперативный ввод'!F496="","",'Оперативный ввод'!F496)</f>
        <v/>
      </c>
      <c r="G496" s="172">
        <f>IF('Оперативный ввод'!G496="","",'Оперативный ввод'!G496)</f>
        <v/>
      </c>
      <c r="H496" s="172">
        <f>IF('Оперативный ввод'!H496="","",'Оперативный ввод'!H496)</f>
        <v/>
      </c>
      <c r="I496" s="172">
        <f>IF('Оперативный ввод'!I496="","",'Оперативный ввод'!I496)</f>
        <v/>
      </c>
      <c r="J496" s="172">
        <f>IF('Оперативный ввод'!J496="","",'Оперативный ввод'!J496)</f>
        <v/>
      </c>
      <c r="K496" s="172">
        <f>IF('Оперативный ввод'!K496="","",'Оперативный ввод'!K496)</f>
        <v/>
      </c>
      <c r="L496" s="172">
        <f>IF('Оперативный ввод'!L496="","",'Оперативный ввод'!L496)</f>
        <v/>
      </c>
      <c r="M496" s="172">
        <f>IF('Оперативный ввод'!M496="","",'Оперативный ввод'!M496)</f>
        <v/>
      </c>
      <c r="N496" s="172">
        <f>IF('Оперативный ввод'!N496="","",'Оперативный ввод'!N496)</f>
        <v/>
      </c>
      <c r="O496" s="172">
        <f>IF('Оперативный ввод'!O496="","",'Оперативный ввод'!O496)</f>
        <v/>
      </c>
      <c r="P496" s="205">
        <f>IF(AND(A496="",B496=""),"",IF(AND(A496&lt;&gt;"",B496&lt;&gt;"",C496&lt;&gt;"",D496&lt;&gt;"",F496&lt;&gt;"",G496&lt;&gt;"",H496&lt;&gt;"",ISERROR(SEARCH("по паспорту",G496)),ISERROR(SEARCH("по паспорту",H496)),I496&lt;&gt;"",J496&lt;&gt;"",K496&lt;&gt;"",L496&lt;&gt;"",M496&lt;&gt;""),"ГОТОВО","НЕ ГОТОВО"))</f>
        <v/>
      </c>
      <c r="Q496" s="205">
        <f>IF(P496&lt;&gt;"ГОТОВО","", "Предварительное заключение: "&amp;A496&amp;", скв. "&amp;B496&amp;". МРП: "&amp;E496&amp;" сут. ГНО: "&amp;F496&amp;", типоразмер "&amp;G496&amp;", марка "&amp;H496&amp;". Событие: "&amp;I496&amp;". Признак: "&amp;J496&amp;". Узел: "&amp;K496&amp;". Предварительная причина: "&amp;L496&amp;". Основное осложнение: "&amp;M496&amp;IF(N496&lt;&gt;"","; сопутствующее: "&amp;N496,"")&amp;IF(O496&lt;&gt;"","; дополнительно: "&amp;O496,"")&amp;".")</f>
        <v/>
      </c>
      <c r="R496" s="172">
        <f>IF('Оперативный ввод'!P496="","",'Оперативный ввод'!P496)</f>
        <v/>
      </c>
      <c r="S496" s="172">
        <f>IF('Оперативный ввод'!Q496="","",'Оперативный ввод'!Q496)</f>
        <v/>
      </c>
      <c r="T496" s="172">
        <f>IF('Оперативный ввод'!R496="","",'Оперативный ввод'!R496)</f>
        <v/>
      </c>
      <c r="U496" s="172">
        <f>IF('Оперативный ввод'!S496="","",'Оперативный ввод'!S496)</f>
        <v/>
      </c>
      <c r="V496" s="172">
        <f>IF('Оперативный ввод'!T496="","",'Оперативный ввод'!T496)</f>
        <v/>
      </c>
      <c r="W496" s="172" t="n"/>
      <c r="X496" s="172" t="n"/>
      <c r="Y496" s="172" t="n"/>
      <c r="Z496" s="172" t="n"/>
      <c r="AA496" s="172">
        <f>IF('Оперативный ввод'!U496="","",'Оперативный ввод'!U496)</f>
        <v/>
      </c>
      <c r="AB496" s="172">
        <f>IF('Оперативный ввод'!V496="","",'Оперативный ввод'!V496)</f>
        <v/>
      </c>
      <c r="AC496" s="172">
        <f>IF('Оперативный ввод'!W496="","",'Оперативный ввод'!W496)</f>
        <v/>
      </c>
      <c r="BB496" s="172" t="n"/>
      <c r="BC496" s="172" t="n"/>
      <c r="BD496" s="205">
        <f>IF(AND(A496="",B496=""),"",IF(AND(P496="ГОТОВО",R496&lt;&gt;"",T496&lt;&gt;"",U496&lt;&gt;"",AA496&lt;&gt;"",AB496&lt;&gt;"",AC496&lt;&gt;"",BB496&lt;&gt;"",BC496&lt;&gt;""),"ГОТОВО","НЕ ГОТОВО"))</f>
        <v/>
      </c>
      <c r="BE496" s="205">
        <f>IF(BD496&lt;&gt;"ГОТОВО","","Полное заключение: "&amp;A496&amp;", скв. "&amp;B496&amp;". МРП: "&amp;E496&amp;" сут. ГНО: "&amp;F496&amp;"; причина: "&amp;U496&amp;"; категория: "&amp;V496&amp;"; решение комиссии: "&amp;BB496&amp;".")</f>
        <v/>
      </c>
      <c r="BF496" s="173">
        <f>IF('Оперативный ввод'!X496="","",'Оперативный ввод'!X496)</f>
        <v/>
      </c>
    </row>
    <row r="497">
      <c r="A497" s="171">
        <f>IF('Оперативный ввод'!A497="","",'Оперативный ввод'!A497)</f>
        <v/>
      </c>
      <c r="B497" s="172">
        <f>IF('Оперативный ввод'!B497="","",'Оперативный ввод'!B497)</f>
        <v/>
      </c>
      <c r="C497" s="270">
        <f>IF('Оперативный ввод'!C497="","",'Оперативный ввод'!C497)</f>
        <v/>
      </c>
      <c r="D497" s="270">
        <f>IF('Оперативный ввод'!D497="","",'Оперативный ввод'!D497)</f>
        <v/>
      </c>
      <c r="E497" s="271">
        <f>IF(OR(C497="",D497=""),"",D497-C497)</f>
        <v/>
      </c>
      <c r="F497" s="172">
        <f>IF('Оперативный ввод'!F497="","",'Оперативный ввод'!F497)</f>
        <v/>
      </c>
      <c r="G497" s="172">
        <f>IF('Оперативный ввод'!G497="","",'Оперативный ввод'!G497)</f>
        <v/>
      </c>
      <c r="H497" s="172">
        <f>IF('Оперативный ввод'!H497="","",'Оперативный ввод'!H497)</f>
        <v/>
      </c>
      <c r="I497" s="172">
        <f>IF('Оперативный ввод'!I497="","",'Оперативный ввод'!I497)</f>
        <v/>
      </c>
      <c r="J497" s="172">
        <f>IF('Оперативный ввод'!J497="","",'Оперативный ввод'!J497)</f>
        <v/>
      </c>
      <c r="K497" s="172">
        <f>IF('Оперативный ввод'!K497="","",'Оперативный ввод'!K497)</f>
        <v/>
      </c>
      <c r="L497" s="172">
        <f>IF('Оперативный ввод'!L497="","",'Оперативный ввод'!L497)</f>
        <v/>
      </c>
      <c r="M497" s="172">
        <f>IF('Оперативный ввод'!M497="","",'Оперативный ввод'!M497)</f>
        <v/>
      </c>
      <c r="N497" s="172">
        <f>IF('Оперативный ввод'!N497="","",'Оперативный ввод'!N497)</f>
        <v/>
      </c>
      <c r="O497" s="172">
        <f>IF('Оперативный ввод'!O497="","",'Оперативный ввод'!O497)</f>
        <v/>
      </c>
      <c r="P497" s="205">
        <f>IF(AND(A497="",B497=""),"",IF(AND(A497&lt;&gt;"",B497&lt;&gt;"",C497&lt;&gt;"",D497&lt;&gt;"",F497&lt;&gt;"",G497&lt;&gt;"",H497&lt;&gt;"",ISERROR(SEARCH("по паспорту",G497)),ISERROR(SEARCH("по паспорту",H497)),I497&lt;&gt;"",J497&lt;&gt;"",K497&lt;&gt;"",L497&lt;&gt;"",M497&lt;&gt;""),"ГОТОВО","НЕ ГОТОВО"))</f>
        <v/>
      </c>
      <c r="Q497" s="205">
        <f>IF(P497&lt;&gt;"ГОТОВО","", "Предварительное заключение: "&amp;A497&amp;", скв. "&amp;B497&amp;". МРП: "&amp;E497&amp;" сут. ГНО: "&amp;F497&amp;", типоразмер "&amp;G497&amp;", марка "&amp;H497&amp;". Событие: "&amp;I497&amp;". Признак: "&amp;J497&amp;". Узел: "&amp;K497&amp;". Предварительная причина: "&amp;L497&amp;". Основное осложнение: "&amp;M497&amp;IF(N497&lt;&gt;"","; сопутствующее: "&amp;N497,"")&amp;IF(O497&lt;&gt;"","; дополнительно: "&amp;O497,"")&amp;".")</f>
        <v/>
      </c>
      <c r="R497" s="172">
        <f>IF('Оперативный ввод'!P497="","",'Оперативный ввод'!P497)</f>
        <v/>
      </c>
      <c r="S497" s="172">
        <f>IF('Оперативный ввод'!Q497="","",'Оперативный ввод'!Q497)</f>
        <v/>
      </c>
      <c r="T497" s="172">
        <f>IF('Оперативный ввод'!R497="","",'Оперативный ввод'!R497)</f>
        <v/>
      </c>
      <c r="U497" s="172">
        <f>IF('Оперативный ввод'!S497="","",'Оперативный ввод'!S497)</f>
        <v/>
      </c>
      <c r="V497" s="172">
        <f>IF('Оперативный ввод'!T497="","",'Оперативный ввод'!T497)</f>
        <v/>
      </c>
      <c r="W497" s="172" t="n"/>
      <c r="X497" s="172" t="n"/>
      <c r="Y497" s="172" t="n"/>
      <c r="Z497" s="172" t="n"/>
      <c r="AA497" s="172">
        <f>IF('Оперативный ввод'!U497="","",'Оперативный ввод'!U497)</f>
        <v/>
      </c>
      <c r="AB497" s="172">
        <f>IF('Оперативный ввод'!V497="","",'Оперативный ввод'!V497)</f>
        <v/>
      </c>
      <c r="AC497" s="172">
        <f>IF('Оперативный ввод'!W497="","",'Оперативный ввод'!W497)</f>
        <v/>
      </c>
      <c r="BB497" s="172" t="n"/>
      <c r="BC497" s="172" t="n"/>
      <c r="BD497" s="205">
        <f>IF(AND(A497="",B497=""),"",IF(AND(P497="ГОТОВО",R497&lt;&gt;"",T497&lt;&gt;"",U497&lt;&gt;"",AA497&lt;&gt;"",AB497&lt;&gt;"",AC497&lt;&gt;"",BB497&lt;&gt;"",BC497&lt;&gt;""),"ГОТОВО","НЕ ГОТОВО"))</f>
        <v/>
      </c>
      <c r="BE497" s="205">
        <f>IF(BD497&lt;&gt;"ГОТОВО","","Полное заключение: "&amp;A497&amp;", скв. "&amp;B497&amp;". МРП: "&amp;E497&amp;" сут. ГНО: "&amp;F497&amp;"; причина: "&amp;U497&amp;"; категория: "&amp;V497&amp;"; решение комиссии: "&amp;BB497&amp;".")</f>
        <v/>
      </c>
      <c r="BF497" s="173">
        <f>IF('Оперативный ввод'!X497="","",'Оперативный ввод'!X497)</f>
        <v/>
      </c>
    </row>
    <row r="498">
      <c r="A498" s="171">
        <f>IF('Оперативный ввод'!A498="","",'Оперативный ввод'!A498)</f>
        <v/>
      </c>
      <c r="B498" s="172">
        <f>IF('Оперативный ввод'!B498="","",'Оперативный ввод'!B498)</f>
        <v/>
      </c>
      <c r="C498" s="270">
        <f>IF('Оперативный ввод'!C498="","",'Оперативный ввод'!C498)</f>
        <v/>
      </c>
      <c r="D498" s="270">
        <f>IF('Оперативный ввод'!D498="","",'Оперативный ввод'!D498)</f>
        <v/>
      </c>
      <c r="E498" s="271">
        <f>IF(OR(C498="",D498=""),"",D498-C498)</f>
        <v/>
      </c>
      <c r="F498" s="172">
        <f>IF('Оперативный ввод'!F498="","",'Оперативный ввод'!F498)</f>
        <v/>
      </c>
      <c r="G498" s="172">
        <f>IF('Оперативный ввод'!G498="","",'Оперативный ввод'!G498)</f>
        <v/>
      </c>
      <c r="H498" s="172">
        <f>IF('Оперативный ввод'!H498="","",'Оперативный ввод'!H498)</f>
        <v/>
      </c>
      <c r="I498" s="172">
        <f>IF('Оперативный ввод'!I498="","",'Оперативный ввод'!I498)</f>
        <v/>
      </c>
      <c r="J498" s="172">
        <f>IF('Оперативный ввод'!J498="","",'Оперативный ввод'!J498)</f>
        <v/>
      </c>
      <c r="K498" s="172">
        <f>IF('Оперативный ввод'!K498="","",'Оперативный ввод'!K498)</f>
        <v/>
      </c>
      <c r="L498" s="172">
        <f>IF('Оперативный ввод'!L498="","",'Оперативный ввод'!L498)</f>
        <v/>
      </c>
      <c r="M498" s="172">
        <f>IF('Оперативный ввод'!M498="","",'Оперативный ввод'!M498)</f>
        <v/>
      </c>
      <c r="N498" s="172">
        <f>IF('Оперативный ввод'!N498="","",'Оперативный ввод'!N498)</f>
        <v/>
      </c>
      <c r="O498" s="172">
        <f>IF('Оперативный ввод'!O498="","",'Оперативный ввод'!O498)</f>
        <v/>
      </c>
      <c r="P498" s="205">
        <f>IF(AND(A498="",B498=""),"",IF(AND(A498&lt;&gt;"",B498&lt;&gt;"",C498&lt;&gt;"",D498&lt;&gt;"",F498&lt;&gt;"",G498&lt;&gt;"",H498&lt;&gt;"",ISERROR(SEARCH("по паспорту",G498)),ISERROR(SEARCH("по паспорту",H498)),I498&lt;&gt;"",J498&lt;&gt;"",K498&lt;&gt;"",L498&lt;&gt;"",M498&lt;&gt;""),"ГОТОВО","НЕ ГОТОВО"))</f>
        <v/>
      </c>
      <c r="Q498" s="205">
        <f>IF(P498&lt;&gt;"ГОТОВО","", "Предварительное заключение: "&amp;A498&amp;", скв. "&amp;B498&amp;". МРП: "&amp;E498&amp;" сут. ГНО: "&amp;F498&amp;", типоразмер "&amp;G498&amp;", марка "&amp;H498&amp;". Событие: "&amp;I498&amp;". Признак: "&amp;J498&amp;". Узел: "&amp;K498&amp;". Предварительная причина: "&amp;L498&amp;". Основное осложнение: "&amp;M498&amp;IF(N498&lt;&gt;"","; сопутствующее: "&amp;N498,"")&amp;IF(O498&lt;&gt;"","; дополнительно: "&amp;O498,"")&amp;".")</f>
        <v/>
      </c>
      <c r="R498" s="172">
        <f>IF('Оперативный ввод'!P498="","",'Оперативный ввод'!P498)</f>
        <v/>
      </c>
      <c r="S498" s="172">
        <f>IF('Оперативный ввод'!Q498="","",'Оперативный ввод'!Q498)</f>
        <v/>
      </c>
      <c r="T498" s="172">
        <f>IF('Оперативный ввод'!R498="","",'Оперативный ввод'!R498)</f>
        <v/>
      </c>
      <c r="U498" s="172">
        <f>IF('Оперативный ввод'!S498="","",'Оперативный ввод'!S498)</f>
        <v/>
      </c>
      <c r="V498" s="172">
        <f>IF('Оперативный ввод'!T498="","",'Оперативный ввод'!T498)</f>
        <v/>
      </c>
      <c r="W498" s="172" t="n"/>
      <c r="X498" s="172" t="n"/>
      <c r="Y498" s="172" t="n"/>
      <c r="Z498" s="172" t="n"/>
      <c r="AA498" s="172">
        <f>IF('Оперативный ввод'!U498="","",'Оперативный ввод'!U498)</f>
        <v/>
      </c>
      <c r="AB498" s="172">
        <f>IF('Оперативный ввод'!V498="","",'Оперативный ввод'!V498)</f>
        <v/>
      </c>
      <c r="AC498" s="172">
        <f>IF('Оперативный ввод'!W498="","",'Оперативный ввод'!W498)</f>
        <v/>
      </c>
      <c r="BB498" s="172" t="n"/>
      <c r="BC498" s="172" t="n"/>
      <c r="BD498" s="205">
        <f>IF(AND(A498="",B498=""),"",IF(AND(P498="ГОТОВО",R498&lt;&gt;"",T498&lt;&gt;"",U498&lt;&gt;"",AA498&lt;&gt;"",AB498&lt;&gt;"",AC498&lt;&gt;"",BB498&lt;&gt;"",BC498&lt;&gt;""),"ГОТОВО","НЕ ГОТОВО"))</f>
        <v/>
      </c>
      <c r="BE498" s="205">
        <f>IF(BD498&lt;&gt;"ГОТОВО","","Полное заключение: "&amp;A498&amp;", скв. "&amp;B498&amp;". МРП: "&amp;E498&amp;" сут. ГНО: "&amp;F498&amp;"; причина: "&amp;U498&amp;"; категория: "&amp;V498&amp;"; решение комиссии: "&amp;BB498&amp;".")</f>
        <v/>
      </c>
      <c r="BF498" s="173">
        <f>IF('Оперативный ввод'!X498="","",'Оперативный ввод'!X498)</f>
        <v/>
      </c>
    </row>
    <row r="499">
      <c r="A499" s="171">
        <f>IF('Оперативный ввод'!A499="","",'Оперативный ввод'!A499)</f>
        <v/>
      </c>
      <c r="B499" s="172">
        <f>IF('Оперативный ввод'!B499="","",'Оперативный ввод'!B499)</f>
        <v/>
      </c>
      <c r="C499" s="270">
        <f>IF('Оперативный ввод'!C499="","",'Оперативный ввод'!C499)</f>
        <v/>
      </c>
      <c r="D499" s="270">
        <f>IF('Оперативный ввод'!D499="","",'Оперативный ввод'!D499)</f>
        <v/>
      </c>
      <c r="E499" s="271">
        <f>IF(OR(C499="",D499=""),"",D499-C499)</f>
        <v/>
      </c>
      <c r="F499" s="172">
        <f>IF('Оперативный ввод'!F499="","",'Оперативный ввод'!F499)</f>
        <v/>
      </c>
      <c r="G499" s="172">
        <f>IF('Оперативный ввод'!G499="","",'Оперативный ввод'!G499)</f>
        <v/>
      </c>
      <c r="H499" s="172">
        <f>IF('Оперативный ввод'!H499="","",'Оперативный ввод'!H499)</f>
        <v/>
      </c>
      <c r="I499" s="172">
        <f>IF('Оперативный ввод'!I499="","",'Оперативный ввод'!I499)</f>
        <v/>
      </c>
      <c r="J499" s="172">
        <f>IF('Оперативный ввод'!J499="","",'Оперативный ввод'!J499)</f>
        <v/>
      </c>
      <c r="K499" s="172">
        <f>IF('Оперативный ввод'!K499="","",'Оперативный ввод'!K499)</f>
        <v/>
      </c>
      <c r="L499" s="172">
        <f>IF('Оперативный ввод'!L499="","",'Оперативный ввод'!L499)</f>
        <v/>
      </c>
      <c r="M499" s="172">
        <f>IF('Оперативный ввод'!M499="","",'Оперативный ввод'!M499)</f>
        <v/>
      </c>
      <c r="N499" s="172">
        <f>IF('Оперативный ввод'!N499="","",'Оперативный ввод'!N499)</f>
        <v/>
      </c>
      <c r="O499" s="172">
        <f>IF('Оперативный ввод'!O499="","",'Оперативный ввод'!O499)</f>
        <v/>
      </c>
      <c r="P499" s="205">
        <f>IF(AND(A499="",B499=""),"",IF(AND(A499&lt;&gt;"",B499&lt;&gt;"",C499&lt;&gt;"",D499&lt;&gt;"",F499&lt;&gt;"",G499&lt;&gt;"",H499&lt;&gt;"",ISERROR(SEARCH("по паспорту",G499)),ISERROR(SEARCH("по паспорту",H499)),I499&lt;&gt;"",J499&lt;&gt;"",K499&lt;&gt;"",L499&lt;&gt;"",M499&lt;&gt;""),"ГОТОВО","НЕ ГОТОВО"))</f>
        <v/>
      </c>
      <c r="Q499" s="205">
        <f>IF(P499&lt;&gt;"ГОТОВО","", "Предварительное заключение: "&amp;A499&amp;", скв. "&amp;B499&amp;". МРП: "&amp;E499&amp;" сут. ГНО: "&amp;F499&amp;", типоразмер "&amp;G499&amp;", марка "&amp;H499&amp;". Событие: "&amp;I499&amp;". Признак: "&amp;J499&amp;". Узел: "&amp;K499&amp;". Предварительная причина: "&amp;L499&amp;". Основное осложнение: "&amp;M499&amp;IF(N499&lt;&gt;"","; сопутствующее: "&amp;N499,"")&amp;IF(O499&lt;&gt;"","; дополнительно: "&amp;O499,"")&amp;".")</f>
        <v/>
      </c>
      <c r="R499" s="172">
        <f>IF('Оперативный ввод'!P499="","",'Оперативный ввод'!P499)</f>
        <v/>
      </c>
      <c r="S499" s="172">
        <f>IF('Оперативный ввод'!Q499="","",'Оперативный ввод'!Q499)</f>
        <v/>
      </c>
      <c r="T499" s="172">
        <f>IF('Оперативный ввод'!R499="","",'Оперативный ввод'!R499)</f>
        <v/>
      </c>
      <c r="U499" s="172">
        <f>IF('Оперативный ввод'!S499="","",'Оперативный ввод'!S499)</f>
        <v/>
      </c>
      <c r="V499" s="172">
        <f>IF('Оперативный ввод'!T499="","",'Оперативный ввод'!T499)</f>
        <v/>
      </c>
      <c r="W499" s="172" t="n"/>
      <c r="X499" s="172" t="n"/>
      <c r="Y499" s="172" t="n"/>
      <c r="Z499" s="172" t="n"/>
      <c r="AA499" s="172">
        <f>IF('Оперативный ввод'!U499="","",'Оперативный ввод'!U499)</f>
        <v/>
      </c>
      <c r="AB499" s="172">
        <f>IF('Оперативный ввод'!V499="","",'Оперативный ввод'!V499)</f>
        <v/>
      </c>
      <c r="AC499" s="172">
        <f>IF('Оперативный ввод'!W499="","",'Оперативный ввод'!W499)</f>
        <v/>
      </c>
      <c r="BB499" s="172" t="n"/>
      <c r="BC499" s="172" t="n"/>
      <c r="BD499" s="205">
        <f>IF(AND(A499="",B499=""),"",IF(AND(P499="ГОТОВО",R499&lt;&gt;"",T499&lt;&gt;"",U499&lt;&gt;"",AA499&lt;&gt;"",AB499&lt;&gt;"",AC499&lt;&gt;"",BB499&lt;&gt;"",BC499&lt;&gt;""),"ГОТОВО","НЕ ГОТОВО"))</f>
        <v/>
      </c>
      <c r="BE499" s="205">
        <f>IF(BD499&lt;&gt;"ГОТОВО","","Полное заключение: "&amp;A499&amp;", скв. "&amp;B499&amp;". МРП: "&amp;E499&amp;" сут. ГНО: "&amp;F499&amp;"; причина: "&amp;U499&amp;"; категория: "&amp;V499&amp;"; решение комиссии: "&amp;BB499&amp;".")</f>
        <v/>
      </c>
      <c r="BF499" s="173">
        <f>IF('Оперативный ввод'!X499="","",'Оперативный ввод'!X499)</f>
        <v/>
      </c>
    </row>
    <row r="500">
      <c r="A500" s="171">
        <f>IF('Оперативный ввод'!A500="","",'Оперативный ввод'!A500)</f>
        <v/>
      </c>
      <c r="B500" s="172">
        <f>IF('Оперативный ввод'!B500="","",'Оперативный ввод'!B500)</f>
        <v/>
      </c>
      <c r="C500" s="270">
        <f>IF('Оперативный ввод'!C500="","",'Оперативный ввод'!C500)</f>
        <v/>
      </c>
      <c r="D500" s="270">
        <f>IF('Оперативный ввод'!D500="","",'Оперативный ввод'!D500)</f>
        <v/>
      </c>
      <c r="E500" s="271">
        <f>IF(OR(C500="",D500=""),"",D500-C500)</f>
        <v/>
      </c>
      <c r="F500" s="172">
        <f>IF('Оперативный ввод'!F500="","",'Оперативный ввод'!F500)</f>
        <v/>
      </c>
      <c r="G500" s="172">
        <f>IF('Оперативный ввод'!G500="","",'Оперативный ввод'!G500)</f>
        <v/>
      </c>
      <c r="H500" s="172">
        <f>IF('Оперативный ввод'!H500="","",'Оперативный ввод'!H500)</f>
        <v/>
      </c>
      <c r="I500" s="172">
        <f>IF('Оперативный ввод'!I500="","",'Оперативный ввод'!I500)</f>
        <v/>
      </c>
      <c r="J500" s="172">
        <f>IF('Оперативный ввод'!J500="","",'Оперативный ввод'!J500)</f>
        <v/>
      </c>
      <c r="K500" s="172">
        <f>IF('Оперативный ввод'!K500="","",'Оперативный ввод'!K500)</f>
        <v/>
      </c>
      <c r="L500" s="172">
        <f>IF('Оперативный ввод'!L500="","",'Оперативный ввод'!L500)</f>
        <v/>
      </c>
      <c r="M500" s="172">
        <f>IF('Оперативный ввод'!M500="","",'Оперативный ввод'!M500)</f>
        <v/>
      </c>
      <c r="N500" s="172">
        <f>IF('Оперативный ввод'!N500="","",'Оперативный ввод'!N500)</f>
        <v/>
      </c>
      <c r="O500" s="172">
        <f>IF('Оперативный ввод'!O500="","",'Оперативный ввод'!O500)</f>
        <v/>
      </c>
      <c r="P500" s="205">
        <f>IF(AND(A500="",B500=""),"",IF(AND(A500&lt;&gt;"",B500&lt;&gt;"",C500&lt;&gt;"",D500&lt;&gt;"",F500&lt;&gt;"",G500&lt;&gt;"",H500&lt;&gt;"",ISERROR(SEARCH("по паспорту",G500)),ISERROR(SEARCH("по паспорту",H500)),I500&lt;&gt;"",J500&lt;&gt;"",K500&lt;&gt;"",L500&lt;&gt;"",M500&lt;&gt;""),"ГОТОВО","НЕ ГОТОВО"))</f>
        <v/>
      </c>
      <c r="Q500" s="205">
        <f>IF(P500&lt;&gt;"ГОТОВО","", "Предварительное заключение: "&amp;A500&amp;", скв. "&amp;B500&amp;". МРП: "&amp;E500&amp;" сут. ГНО: "&amp;F500&amp;", типоразмер "&amp;G500&amp;", марка "&amp;H500&amp;". Событие: "&amp;I500&amp;". Признак: "&amp;J500&amp;". Узел: "&amp;K500&amp;". Предварительная причина: "&amp;L500&amp;". Основное осложнение: "&amp;M500&amp;IF(N500&lt;&gt;"","; сопутствующее: "&amp;N500,"")&amp;IF(O500&lt;&gt;"","; дополнительно: "&amp;O500,"")&amp;".")</f>
        <v/>
      </c>
      <c r="R500" s="172">
        <f>IF('Оперативный ввод'!P500="","",'Оперативный ввод'!P500)</f>
        <v/>
      </c>
      <c r="S500" s="172">
        <f>IF('Оперативный ввод'!Q500="","",'Оперативный ввод'!Q500)</f>
        <v/>
      </c>
      <c r="T500" s="172">
        <f>IF('Оперативный ввод'!R500="","",'Оперативный ввод'!R500)</f>
        <v/>
      </c>
      <c r="U500" s="172">
        <f>IF('Оперативный ввод'!S500="","",'Оперативный ввод'!S500)</f>
        <v/>
      </c>
      <c r="V500" s="172">
        <f>IF('Оперативный ввод'!T500="","",'Оперативный ввод'!T500)</f>
        <v/>
      </c>
      <c r="W500" s="172" t="n"/>
      <c r="X500" s="172" t="n"/>
      <c r="Y500" s="172" t="n"/>
      <c r="Z500" s="172" t="n"/>
      <c r="AA500" s="172">
        <f>IF('Оперативный ввод'!U500="","",'Оперативный ввод'!U500)</f>
        <v/>
      </c>
      <c r="AB500" s="172">
        <f>IF('Оперативный ввод'!V500="","",'Оперативный ввод'!V500)</f>
        <v/>
      </c>
      <c r="AC500" s="172">
        <f>IF('Оперативный ввод'!W500="","",'Оперативный ввод'!W500)</f>
        <v/>
      </c>
      <c r="BB500" s="172" t="n"/>
      <c r="BC500" s="172" t="n"/>
      <c r="BD500" s="205">
        <f>IF(AND(A500="",B500=""),"",IF(AND(P500="ГОТОВО",R500&lt;&gt;"",T500&lt;&gt;"",U500&lt;&gt;"",AA500&lt;&gt;"",AB500&lt;&gt;"",AC500&lt;&gt;"",BB500&lt;&gt;"",BC500&lt;&gt;""),"ГОТОВО","НЕ ГОТОВО"))</f>
        <v/>
      </c>
      <c r="BE500" s="205">
        <f>IF(BD500&lt;&gt;"ГОТОВО","","Полное заключение: "&amp;A500&amp;", скв. "&amp;B500&amp;". МРП: "&amp;E500&amp;" сут. ГНО: "&amp;F500&amp;"; причина: "&amp;U500&amp;"; категория: "&amp;V500&amp;"; решение комиссии: "&amp;BB500&amp;".")</f>
        <v/>
      </c>
      <c r="BF500" s="173">
        <f>IF('Оперативный ввод'!X500="","",'Оперативный ввод'!X500)</f>
        <v/>
      </c>
    </row>
    <row r="501">
      <c r="A501" s="171">
        <f>IF('Оперативный ввод'!A501="","",'Оперативный ввод'!A501)</f>
        <v/>
      </c>
      <c r="B501" s="172">
        <f>IF('Оперативный ввод'!B501="","",'Оперативный ввод'!B501)</f>
        <v/>
      </c>
      <c r="C501" s="270">
        <f>IF('Оперативный ввод'!C501="","",'Оперативный ввод'!C501)</f>
        <v/>
      </c>
      <c r="D501" s="270">
        <f>IF('Оперативный ввод'!D501="","",'Оперативный ввод'!D501)</f>
        <v/>
      </c>
      <c r="E501" s="271">
        <f>IF(OR(C501="",D501=""),"",D501-C501)</f>
        <v/>
      </c>
      <c r="F501" s="172">
        <f>IF('Оперативный ввод'!F501="","",'Оперативный ввод'!F501)</f>
        <v/>
      </c>
      <c r="G501" s="172">
        <f>IF('Оперативный ввод'!G501="","",'Оперативный ввод'!G501)</f>
        <v/>
      </c>
      <c r="H501" s="172">
        <f>IF('Оперативный ввод'!H501="","",'Оперативный ввод'!H501)</f>
        <v/>
      </c>
      <c r="I501" s="172">
        <f>IF('Оперативный ввод'!I501="","",'Оперативный ввод'!I501)</f>
        <v/>
      </c>
      <c r="J501" s="172">
        <f>IF('Оперативный ввод'!J501="","",'Оперативный ввод'!J501)</f>
        <v/>
      </c>
      <c r="K501" s="172">
        <f>IF('Оперативный ввод'!K501="","",'Оперативный ввод'!K501)</f>
        <v/>
      </c>
      <c r="L501" s="172">
        <f>IF('Оперативный ввод'!L501="","",'Оперативный ввод'!L501)</f>
        <v/>
      </c>
      <c r="M501" s="172">
        <f>IF('Оперативный ввод'!M501="","",'Оперативный ввод'!M501)</f>
        <v/>
      </c>
      <c r="N501" s="172">
        <f>IF('Оперативный ввод'!N501="","",'Оперативный ввод'!N501)</f>
        <v/>
      </c>
      <c r="O501" s="172">
        <f>IF('Оперативный ввод'!O501="","",'Оперативный ввод'!O501)</f>
        <v/>
      </c>
      <c r="P501" s="205">
        <f>IF(AND(A501="",B501=""),"",IF(AND(A501&lt;&gt;"",B501&lt;&gt;"",C501&lt;&gt;"",D501&lt;&gt;"",F501&lt;&gt;"",G501&lt;&gt;"",H501&lt;&gt;"",ISERROR(SEARCH("по паспорту",G501)),ISERROR(SEARCH("по паспорту",H501)),I501&lt;&gt;"",J501&lt;&gt;"",K501&lt;&gt;"",L501&lt;&gt;"",M501&lt;&gt;""),"ГОТОВО","НЕ ГОТОВО"))</f>
        <v/>
      </c>
      <c r="Q501" s="205">
        <f>IF(P501&lt;&gt;"ГОТОВО","", "Предварительное заключение: "&amp;A501&amp;", скв. "&amp;B501&amp;". МРП: "&amp;E501&amp;" сут. ГНО: "&amp;F501&amp;", типоразмер "&amp;G501&amp;", марка "&amp;H501&amp;". Событие: "&amp;I501&amp;". Признак: "&amp;J501&amp;". Узел: "&amp;K501&amp;". Предварительная причина: "&amp;L501&amp;". Основное осложнение: "&amp;M501&amp;IF(N501&lt;&gt;"","; сопутствующее: "&amp;N501,"")&amp;IF(O501&lt;&gt;"","; дополнительно: "&amp;O501,"")&amp;".")</f>
        <v/>
      </c>
      <c r="R501" s="172">
        <f>IF('Оперативный ввод'!P501="","",'Оперативный ввод'!P501)</f>
        <v/>
      </c>
      <c r="S501" s="172">
        <f>IF('Оперативный ввод'!Q501="","",'Оперативный ввод'!Q501)</f>
        <v/>
      </c>
      <c r="T501" s="172">
        <f>IF('Оперативный ввод'!R501="","",'Оперативный ввод'!R501)</f>
        <v/>
      </c>
      <c r="U501" s="172">
        <f>IF('Оперативный ввод'!S501="","",'Оперативный ввод'!S501)</f>
        <v/>
      </c>
      <c r="V501" s="172">
        <f>IF('Оперативный ввод'!T501="","",'Оперативный ввод'!T501)</f>
        <v/>
      </c>
      <c r="W501" s="172" t="n"/>
      <c r="X501" s="172" t="n"/>
      <c r="Y501" s="172" t="n"/>
      <c r="Z501" s="172" t="n"/>
      <c r="AA501" s="172">
        <f>IF('Оперативный ввод'!U501="","",'Оперативный ввод'!U501)</f>
        <v/>
      </c>
      <c r="AB501" s="172">
        <f>IF('Оперативный ввод'!V501="","",'Оперативный ввод'!V501)</f>
        <v/>
      </c>
      <c r="AC501" s="172">
        <f>IF('Оперативный ввод'!W501="","",'Оперативный ввод'!W501)</f>
        <v/>
      </c>
      <c r="BB501" s="172" t="n"/>
      <c r="BC501" s="172" t="n"/>
      <c r="BD501" s="205">
        <f>IF(AND(A501="",B501=""),"",IF(AND(P501="ГОТОВО",R501&lt;&gt;"",T501&lt;&gt;"",U501&lt;&gt;"",AA501&lt;&gt;"",AB501&lt;&gt;"",AC501&lt;&gt;"",BB501&lt;&gt;"",BC501&lt;&gt;""),"ГОТОВО","НЕ ГОТОВО"))</f>
        <v/>
      </c>
      <c r="BE501" s="205">
        <f>IF(BD501&lt;&gt;"ГОТОВО","","Полное заключение: "&amp;A501&amp;", скв. "&amp;B501&amp;". МРП: "&amp;E501&amp;" сут. ГНО: "&amp;F501&amp;"; причина: "&amp;U501&amp;"; категория: "&amp;V501&amp;"; решение комиссии: "&amp;BB501&amp;".")</f>
        <v/>
      </c>
      <c r="BF501" s="173">
        <f>IF('Оперативный ввод'!X501="","",'Оперативный ввод'!X501)</f>
        <v/>
      </c>
    </row>
    <row r="502">
      <c r="A502" s="171">
        <f>IF('Оперативный ввод'!A502="","",'Оперативный ввод'!A502)</f>
        <v/>
      </c>
      <c r="B502" s="172">
        <f>IF('Оперативный ввод'!B502="","",'Оперативный ввод'!B502)</f>
        <v/>
      </c>
      <c r="C502" s="270">
        <f>IF('Оперативный ввод'!C502="","",'Оперативный ввод'!C502)</f>
        <v/>
      </c>
      <c r="D502" s="270">
        <f>IF('Оперативный ввод'!D502="","",'Оперативный ввод'!D502)</f>
        <v/>
      </c>
      <c r="E502" s="271">
        <f>IF(OR(C502="",D502=""),"",D502-C502)</f>
        <v/>
      </c>
      <c r="F502" s="172">
        <f>IF('Оперативный ввод'!F502="","",'Оперативный ввод'!F502)</f>
        <v/>
      </c>
      <c r="G502" s="172">
        <f>IF('Оперативный ввод'!G502="","",'Оперативный ввод'!G502)</f>
        <v/>
      </c>
      <c r="H502" s="172">
        <f>IF('Оперативный ввод'!H502="","",'Оперативный ввод'!H502)</f>
        <v/>
      </c>
      <c r="I502" s="172">
        <f>IF('Оперативный ввод'!I502="","",'Оперативный ввод'!I502)</f>
        <v/>
      </c>
      <c r="J502" s="172">
        <f>IF('Оперативный ввод'!J502="","",'Оперативный ввод'!J502)</f>
        <v/>
      </c>
      <c r="K502" s="172">
        <f>IF('Оперативный ввод'!K502="","",'Оперативный ввод'!K502)</f>
        <v/>
      </c>
      <c r="L502" s="172">
        <f>IF('Оперативный ввод'!L502="","",'Оперативный ввод'!L502)</f>
        <v/>
      </c>
      <c r="M502" s="172">
        <f>IF('Оперативный ввод'!M502="","",'Оперативный ввод'!M502)</f>
        <v/>
      </c>
      <c r="N502" s="172">
        <f>IF('Оперативный ввод'!N502="","",'Оперативный ввод'!N502)</f>
        <v/>
      </c>
      <c r="O502" s="172">
        <f>IF('Оперативный ввод'!O502="","",'Оперативный ввод'!O502)</f>
        <v/>
      </c>
      <c r="P502" s="205">
        <f>IF(AND(A502="",B502=""),"",IF(AND(A502&lt;&gt;"",B502&lt;&gt;"",C502&lt;&gt;"",D502&lt;&gt;"",F502&lt;&gt;"",G502&lt;&gt;"",H502&lt;&gt;"",ISERROR(SEARCH("по паспорту",G502)),ISERROR(SEARCH("по паспорту",H502)),I502&lt;&gt;"",J502&lt;&gt;"",K502&lt;&gt;"",L502&lt;&gt;"",M502&lt;&gt;""),"ГОТОВО","НЕ ГОТОВО"))</f>
        <v/>
      </c>
      <c r="Q502" s="205">
        <f>IF(P502&lt;&gt;"ГОТОВО","", "Предварительное заключение: "&amp;A502&amp;", скв. "&amp;B502&amp;". МРП: "&amp;E502&amp;" сут. ГНО: "&amp;F502&amp;", типоразмер "&amp;G502&amp;", марка "&amp;H502&amp;". Событие: "&amp;I502&amp;". Признак: "&amp;J502&amp;". Узел: "&amp;K502&amp;". Предварительная причина: "&amp;L502&amp;". Основное осложнение: "&amp;M502&amp;IF(N502&lt;&gt;"","; сопутствующее: "&amp;N502,"")&amp;IF(O502&lt;&gt;"","; дополнительно: "&amp;O502,"")&amp;".")</f>
        <v/>
      </c>
      <c r="R502" s="172">
        <f>IF('Оперативный ввод'!P502="","",'Оперативный ввод'!P502)</f>
        <v/>
      </c>
      <c r="S502" s="172">
        <f>IF('Оперативный ввод'!Q502="","",'Оперативный ввод'!Q502)</f>
        <v/>
      </c>
      <c r="T502" s="172">
        <f>IF('Оперативный ввод'!R502="","",'Оперативный ввод'!R502)</f>
        <v/>
      </c>
      <c r="U502" s="172">
        <f>IF('Оперативный ввод'!S502="","",'Оперативный ввод'!S502)</f>
        <v/>
      </c>
      <c r="V502" s="172">
        <f>IF('Оперативный ввод'!T502="","",'Оперативный ввод'!T502)</f>
        <v/>
      </c>
      <c r="W502" s="172" t="n"/>
      <c r="X502" s="172" t="n"/>
      <c r="Y502" s="172" t="n"/>
      <c r="Z502" s="172" t="n"/>
      <c r="AA502" s="172">
        <f>IF('Оперативный ввод'!U502="","",'Оперативный ввод'!U502)</f>
        <v/>
      </c>
      <c r="AB502" s="172">
        <f>IF('Оперативный ввод'!V502="","",'Оперативный ввод'!V502)</f>
        <v/>
      </c>
      <c r="AC502" s="172">
        <f>IF('Оперативный ввод'!W502="","",'Оперативный ввод'!W502)</f>
        <v/>
      </c>
      <c r="BB502" s="172" t="n"/>
      <c r="BC502" s="172" t="n"/>
      <c r="BD502" s="205">
        <f>IF(AND(A502="",B502=""),"",IF(AND(P502="ГОТОВО",R502&lt;&gt;"",T502&lt;&gt;"",U502&lt;&gt;"",AA502&lt;&gt;"",AB502&lt;&gt;"",AC502&lt;&gt;"",BB502&lt;&gt;"",BC502&lt;&gt;""),"ГОТОВО","НЕ ГОТОВО"))</f>
        <v/>
      </c>
      <c r="BE502" s="205">
        <f>IF(BD502&lt;&gt;"ГОТОВО","","Полное заключение: "&amp;A502&amp;", скв. "&amp;B502&amp;". МРП: "&amp;E502&amp;" сут. ГНО: "&amp;F502&amp;"; причина: "&amp;U502&amp;"; категория: "&amp;V502&amp;"; решение комиссии: "&amp;BB502&amp;".")</f>
        <v/>
      </c>
      <c r="BF502" s="173">
        <f>IF('Оперативный ввод'!X502="","",'Оперативный ввод'!X502)</f>
        <v/>
      </c>
    </row>
    <row r="503">
      <c r="A503" s="171">
        <f>IF('Оперативный ввод'!A503="","",'Оперативный ввод'!A503)</f>
        <v/>
      </c>
      <c r="B503" s="172">
        <f>IF('Оперативный ввод'!B503="","",'Оперативный ввод'!B503)</f>
        <v/>
      </c>
      <c r="C503" s="270">
        <f>IF('Оперативный ввод'!C503="","",'Оперативный ввод'!C503)</f>
        <v/>
      </c>
      <c r="D503" s="270">
        <f>IF('Оперативный ввод'!D503="","",'Оперативный ввод'!D503)</f>
        <v/>
      </c>
      <c r="E503" s="271">
        <f>IF(OR(C503="",D503=""),"",D503-C503)</f>
        <v/>
      </c>
      <c r="F503" s="172">
        <f>IF('Оперативный ввод'!F503="","",'Оперативный ввод'!F503)</f>
        <v/>
      </c>
      <c r="G503" s="172">
        <f>IF('Оперативный ввод'!G503="","",'Оперативный ввод'!G503)</f>
        <v/>
      </c>
      <c r="H503" s="172">
        <f>IF('Оперативный ввод'!H503="","",'Оперативный ввод'!H503)</f>
        <v/>
      </c>
      <c r="I503" s="172">
        <f>IF('Оперативный ввод'!I503="","",'Оперативный ввод'!I503)</f>
        <v/>
      </c>
      <c r="J503" s="172">
        <f>IF('Оперативный ввод'!J503="","",'Оперативный ввод'!J503)</f>
        <v/>
      </c>
      <c r="K503" s="172">
        <f>IF('Оперативный ввод'!K503="","",'Оперативный ввод'!K503)</f>
        <v/>
      </c>
      <c r="L503" s="172">
        <f>IF('Оперативный ввод'!L503="","",'Оперативный ввод'!L503)</f>
        <v/>
      </c>
      <c r="M503" s="172">
        <f>IF('Оперативный ввод'!M503="","",'Оперативный ввод'!M503)</f>
        <v/>
      </c>
      <c r="N503" s="172">
        <f>IF('Оперативный ввод'!N503="","",'Оперативный ввод'!N503)</f>
        <v/>
      </c>
      <c r="O503" s="172">
        <f>IF('Оперативный ввод'!O503="","",'Оперативный ввод'!O503)</f>
        <v/>
      </c>
      <c r="P503" s="205">
        <f>IF(AND(A503="",B503=""),"",IF(AND(A503&lt;&gt;"",B503&lt;&gt;"",C503&lt;&gt;"",D503&lt;&gt;"",F503&lt;&gt;"",G503&lt;&gt;"",H503&lt;&gt;"",ISERROR(SEARCH("по паспорту",G503)),ISERROR(SEARCH("по паспорту",H503)),I503&lt;&gt;"",J503&lt;&gt;"",K503&lt;&gt;"",L503&lt;&gt;"",M503&lt;&gt;""),"ГОТОВО","НЕ ГОТОВО"))</f>
        <v/>
      </c>
      <c r="Q503" s="205">
        <f>IF(P503&lt;&gt;"ГОТОВО","", "Предварительное заключение: "&amp;A503&amp;", скв. "&amp;B503&amp;". МРП: "&amp;E503&amp;" сут. ГНО: "&amp;F503&amp;", типоразмер "&amp;G503&amp;", марка "&amp;H503&amp;". Событие: "&amp;I503&amp;". Признак: "&amp;J503&amp;". Узел: "&amp;K503&amp;". Предварительная причина: "&amp;L503&amp;". Основное осложнение: "&amp;M503&amp;IF(N503&lt;&gt;"","; сопутствующее: "&amp;N503,"")&amp;IF(O503&lt;&gt;"","; дополнительно: "&amp;O503,"")&amp;".")</f>
        <v/>
      </c>
      <c r="R503" s="172">
        <f>IF('Оперативный ввод'!P503="","",'Оперативный ввод'!P503)</f>
        <v/>
      </c>
      <c r="S503" s="172">
        <f>IF('Оперативный ввод'!Q503="","",'Оперативный ввод'!Q503)</f>
        <v/>
      </c>
      <c r="T503" s="172">
        <f>IF('Оперативный ввод'!R503="","",'Оперативный ввод'!R503)</f>
        <v/>
      </c>
      <c r="U503" s="172">
        <f>IF('Оперативный ввод'!S503="","",'Оперативный ввод'!S503)</f>
        <v/>
      </c>
      <c r="V503" s="172">
        <f>IF('Оперативный ввод'!T503="","",'Оперативный ввод'!T503)</f>
        <v/>
      </c>
      <c r="W503" s="172" t="n"/>
      <c r="X503" s="172" t="n"/>
      <c r="Y503" s="172" t="n"/>
      <c r="Z503" s="172" t="n"/>
      <c r="AA503" s="172">
        <f>IF('Оперативный ввод'!U503="","",'Оперативный ввод'!U503)</f>
        <v/>
      </c>
      <c r="AB503" s="172">
        <f>IF('Оперативный ввод'!V503="","",'Оперативный ввод'!V503)</f>
        <v/>
      </c>
      <c r="AC503" s="172">
        <f>IF('Оперативный ввод'!W503="","",'Оперативный ввод'!W503)</f>
        <v/>
      </c>
      <c r="BB503" s="172" t="n"/>
      <c r="BC503" s="172" t="n"/>
      <c r="BD503" s="205">
        <f>IF(AND(A503="",B503=""),"",IF(AND(P503="ГОТОВО",R503&lt;&gt;"",T503&lt;&gt;"",U503&lt;&gt;"",AA503&lt;&gt;"",AB503&lt;&gt;"",AC503&lt;&gt;"",BB503&lt;&gt;"",BC503&lt;&gt;""),"ГОТОВО","НЕ ГОТОВО"))</f>
        <v/>
      </c>
      <c r="BE503" s="205">
        <f>IF(BD503&lt;&gt;"ГОТОВО","","Полное заключение: "&amp;A503&amp;", скв. "&amp;B503&amp;". МРП: "&amp;E503&amp;" сут. ГНО: "&amp;F503&amp;"; причина: "&amp;U503&amp;"; категория: "&amp;V503&amp;"; решение комиссии: "&amp;BB503&amp;".")</f>
        <v/>
      </c>
      <c r="BF503" s="173">
        <f>IF('Оперативный ввод'!X503="","",'Оперативный ввод'!X503)</f>
        <v/>
      </c>
    </row>
    <row r="504">
      <c r="A504" s="171">
        <f>IF('Оперативный ввод'!A504="","",'Оперативный ввод'!A504)</f>
        <v/>
      </c>
      <c r="B504" s="172">
        <f>IF('Оперативный ввод'!B504="","",'Оперативный ввод'!B504)</f>
        <v/>
      </c>
      <c r="C504" s="270">
        <f>IF('Оперативный ввод'!C504="","",'Оперативный ввод'!C504)</f>
        <v/>
      </c>
      <c r="D504" s="270">
        <f>IF('Оперативный ввод'!D504="","",'Оперативный ввод'!D504)</f>
        <v/>
      </c>
      <c r="E504" s="271">
        <f>IF(OR(C504="",D504=""),"",D504-C504)</f>
        <v/>
      </c>
      <c r="F504" s="172">
        <f>IF('Оперативный ввод'!F504="","",'Оперативный ввод'!F504)</f>
        <v/>
      </c>
      <c r="G504" s="172">
        <f>IF('Оперативный ввод'!G504="","",'Оперативный ввод'!G504)</f>
        <v/>
      </c>
      <c r="H504" s="172">
        <f>IF('Оперативный ввод'!H504="","",'Оперативный ввод'!H504)</f>
        <v/>
      </c>
      <c r="I504" s="172">
        <f>IF('Оперативный ввод'!I504="","",'Оперативный ввод'!I504)</f>
        <v/>
      </c>
      <c r="J504" s="172">
        <f>IF('Оперативный ввод'!J504="","",'Оперативный ввод'!J504)</f>
        <v/>
      </c>
      <c r="K504" s="172">
        <f>IF('Оперативный ввод'!K504="","",'Оперативный ввод'!K504)</f>
        <v/>
      </c>
      <c r="L504" s="172">
        <f>IF('Оперативный ввод'!L504="","",'Оперативный ввод'!L504)</f>
        <v/>
      </c>
      <c r="M504" s="172">
        <f>IF('Оперативный ввод'!M504="","",'Оперативный ввод'!M504)</f>
        <v/>
      </c>
      <c r="N504" s="172">
        <f>IF('Оперативный ввод'!N504="","",'Оперативный ввод'!N504)</f>
        <v/>
      </c>
      <c r="O504" s="172">
        <f>IF('Оперативный ввод'!O504="","",'Оперативный ввод'!O504)</f>
        <v/>
      </c>
      <c r="P504" s="205">
        <f>IF(AND(A504="",B504=""),"",IF(AND(A504&lt;&gt;"",B504&lt;&gt;"",C504&lt;&gt;"",D504&lt;&gt;"",F504&lt;&gt;"",G504&lt;&gt;"",H504&lt;&gt;"",ISERROR(SEARCH("по паспорту",G504)),ISERROR(SEARCH("по паспорту",H504)),I504&lt;&gt;"",J504&lt;&gt;"",K504&lt;&gt;"",L504&lt;&gt;"",M504&lt;&gt;""),"ГОТОВО","НЕ ГОТОВО"))</f>
        <v/>
      </c>
      <c r="Q504" s="205">
        <f>IF(P504&lt;&gt;"ГОТОВО","", "Предварительное заключение: "&amp;A504&amp;", скв. "&amp;B504&amp;". МРП: "&amp;E504&amp;" сут. ГНО: "&amp;F504&amp;", типоразмер "&amp;G504&amp;", марка "&amp;H504&amp;". Событие: "&amp;I504&amp;". Признак: "&amp;J504&amp;". Узел: "&amp;K504&amp;". Предварительная причина: "&amp;L504&amp;". Основное осложнение: "&amp;M504&amp;IF(N504&lt;&gt;"","; сопутствующее: "&amp;N504,"")&amp;IF(O504&lt;&gt;"","; дополнительно: "&amp;O504,"")&amp;".")</f>
        <v/>
      </c>
      <c r="R504" s="172">
        <f>IF('Оперативный ввод'!P504="","",'Оперативный ввод'!P504)</f>
        <v/>
      </c>
      <c r="S504" s="172">
        <f>IF('Оперативный ввод'!Q504="","",'Оперативный ввод'!Q504)</f>
        <v/>
      </c>
      <c r="T504" s="172">
        <f>IF('Оперативный ввод'!R504="","",'Оперативный ввод'!R504)</f>
        <v/>
      </c>
      <c r="U504" s="172">
        <f>IF('Оперативный ввод'!S504="","",'Оперативный ввод'!S504)</f>
        <v/>
      </c>
      <c r="V504" s="172">
        <f>IF('Оперативный ввод'!T504="","",'Оперативный ввод'!T504)</f>
        <v/>
      </c>
      <c r="W504" s="172" t="n"/>
      <c r="X504" s="172" t="n"/>
      <c r="Y504" s="172" t="n"/>
      <c r="Z504" s="172" t="n"/>
      <c r="AA504" s="172">
        <f>IF('Оперативный ввод'!U504="","",'Оперативный ввод'!U504)</f>
        <v/>
      </c>
      <c r="AB504" s="172">
        <f>IF('Оперативный ввод'!V504="","",'Оперативный ввод'!V504)</f>
        <v/>
      </c>
      <c r="AC504" s="172">
        <f>IF('Оперативный ввод'!W504="","",'Оперативный ввод'!W504)</f>
        <v/>
      </c>
      <c r="BB504" s="172" t="n"/>
      <c r="BC504" s="172" t="n"/>
      <c r="BD504" s="205">
        <f>IF(AND(A504="",B504=""),"",IF(AND(P504="ГОТОВО",R504&lt;&gt;"",T504&lt;&gt;"",U504&lt;&gt;"",AA504&lt;&gt;"",AB504&lt;&gt;"",AC504&lt;&gt;"",BB504&lt;&gt;"",BC504&lt;&gt;""),"ГОТОВО","НЕ ГОТОВО"))</f>
        <v/>
      </c>
      <c r="BE504" s="205">
        <f>IF(BD504&lt;&gt;"ГОТОВО","","Полное заключение: "&amp;A504&amp;", скв. "&amp;B504&amp;". МРП: "&amp;E504&amp;" сут. ГНО: "&amp;F504&amp;"; причина: "&amp;U504&amp;"; категория: "&amp;V504&amp;"; решение комиссии: "&amp;BB504&amp;".")</f>
        <v/>
      </c>
      <c r="BF504" s="173">
        <f>IF('Оперативный ввод'!X504="","",'Оперативный ввод'!X504)</f>
        <v/>
      </c>
    </row>
    <row r="505">
      <c r="A505" s="171">
        <f>IF('Оперативный ввод'!A505="","",'Оперативный ввод'!A505)</f>
        <v/>
      </c>
      <c r="B505" s="172">
        <f>IF('Оперативный ввод'!B505="","",'Оперативный ввод'!B505)</f>
        <v/>
      </c>
      <c r="C505" s="270">
        <f>IF('Оперативный ввод'!C505="","",'Оперативный ввод'!C505)</f>
        <v/>
      </c>
      <c r="D505" s="270">
        <f>IF('Оперативный ввод'!D505="","",'Оперативный ввод'!D505)</f>
        <v/>
      </c>
      <c r="E505" s="271">
        <f>IF(OR(C505="",D505=""),"",D505-C505)</f>
        <v/>
      </c>
      <c r="F505" s="172">
        <f>IF('Оперативный ввод'!F505="","",'Оперативный ввод'!F505)</f>
        <v/>
      </c>
      <c r="G505" s="172">
        <f>IF('Оперативный ввод'!G505="","",'Оперативный ввод'!G505)</f>
        <v/>
      </c>
      <c r="H505" s="172">
        <f>IF('Оперативный ввод'!H505="","",'Оперативный ввод'!H505)</f>
        <v/>
      </c>
      <c r="I505" s="172">
        <f>IF('Оперативный ввод'!I505="","",'Оперативный ввод'!I505)</f>
        <v/>
      </c>
      <c r="J505" s="172">
        <f>IF('Оперативный ввод'!J505="","",'Оперативный ввод'!J505)</f>
        <v/>
      </c>
      <c r="K505" s="172">
        <f>IF('Оперативный ввод'!K505="","",'Оперативный ввод'!K505)</f>
        <v/>
      </c>
      <c r="L505" s="172">
        <f>IF('Оперативный ввод'!L505="","",'Оперативный ввод'!L505)</f>
        <v/>
      </c>
      <c r="M505" s="172">
        <f>IF('Оперативный ввод'!M505="","",'Оперативный ввод'!M505)</f>
        <v/>
      </c>
      <c r="N505" s="172">
        <f>IF('Оперативный ввод'!N505="","",'Оперативный ввод'!N505)</f>
        <v/>
      </c>
      <c r="O505" s="172">
        <f>IF('Оперативный ввод'!O505="","",'Оперативный ввод'!O505)</f>
        <v/>
      </c>
      <c r="P505" s="205">
        <f>IF(AND(A505="",B505=""),"",IF(AND(A505&lt;&gt;"",B505&lt;&gt;"",C505&lt;&gt;"",D505&lt;&gt;"",F505&lt;&gt;"",G505&lt;&gt;"",H505&lt;&gt;"",ISERROR(SEARCH("по паспорту",G505)),ISERROR(SEARCH("по паспорту",H505)),I505&lt;&gt;"",J505&lt;&gt;"",K505&lt;&gt;"",L505&lt;&gt;"",M505&lt;&gt;""),"ГОТОВО","НЕ ГОТОВО"))</f>
        <v/>
      </c>
      <c r="Q505" s="205">
        <f>IF(P505&lt;&gt;"ГОТОВО","", "Предварительное заключение: "&amp;A505&amp;", скв. "&amp;B505&amp;". МРП: "&amp;E505&amp;" сут. ГНО: "&amp;F505&amp;", типоразмер "&amp;G505&amp;", марка "&amp;H505&amp;". Событие: "&amp;I505&amp;". Признак: "&amp;J505&amp;". Узел: "&amp;K505&amp;". Предварительная причина: "&amp;L505&amp;". Основное осложнение: "&amp;M505&amp;IF(N505&lt;&gt;"","; сопутствующее: "&amp;N505,"")&amp;IF(O505&lt;&gt;"","; дополнительно: "&amp;O505,"")&amp;".")</f>
        <v/>
      </c>
      <c r="R505" s="172">
        <f>IF('Оперативный ввод'!P505="","",'Оперативный ввод'!P505)</f>
        <v/>
      </c>
      <c r="S505" s="172">
        <f>IF('Оперативный ввод'!Q505="","",'Оперативный ввод'!Q505)</f>
        <v/>
      </c>
      <c r="T505" s="172">
        <f>IF('Оперативный ввод'!R505="","",'Оперативный ввод'!R505)</f>
        <v/>
      </c>
      <c r="U505" s="172">
        <f>IF('Оперативный ввод'!S505="","",'Оперативный ввод'!S505)</f>
        <v/>
      </c>
      <c r="V505" s="172">
        <f>IF('Оперативный ввод'!T505="","",'Оперативный ввод'!T505)</f>
        <v/>
      </c>
      <c r="W505" s="172" t="n"/>
      <c r="X505" s="172" t="n"/>
      <c r="Y505" s="172" t="n"/>
      <c r="Z505" s="172" t="n"/>
      <c r="AA505" s="172">
        <f>IF('Оперативный ввод'!U505="","",'Оперативный ввод'!U505)</f>
        <v/>
      </c>
      <c r="AB505" s="172">
        <f>IF('Оперативный ввод'!V505="","",'Оперативный ввод'!V505)</f>
        <v/>
      </c>
      <c r="AC505" s="172">
        <f>IF('Оперативный ввод'!W505="","",'Оперативный ввод'!W505)</f>
        <v/>
      </c>
      <c r="BB505" s="172" t="n"/>
      <c r="BC505" s="172" t="n"/>
      <c r="BD505" s="205">
        <f>IF(AND(A505="",B505=""),"",IF(AND(P505="ГОТОВО",R505&lt;&gt;"",T505&lt;&gt;"",U505&lt;&gt;"",AA505&lt;&gt;"",AB505&lt;&gt;"",AC505&lt;&gt;"",BB505&lt;&gt;"",BC505&lt;&gt;""),"ГОТОВО","НЕ ГОТОВО"))</f>
        <v/>
      </c>
      <c r="BE505" s="205">
        <f>IF(BD505&lt;&gt;"ГОТОВО","","Полное заключение: "&amp;A505&amp;", скв. "&amp;B505&amp;". МРП: "&amp;E505&amp;" сут. ГНО: "&amp;F505&amp;"; причина: "&amp;U505&amp;"; категория: "&amp;V505&amp;"; решение комиссии: "&amp;BB505&amp;".")</f>
        <v/>
      </c>
      <c r="BF505" s="173">
        <f>IF('Оперативный ввод'!X505="","",'Оперативный ввод'!X505)</f>
        <v/>
      </c>
    </row>
    <row r="506">
      <c r="A506" s="171">
        <f>IF('Оперативный ввод'!A506="","",'Оперативный ввод'!A506)</f>
        <v/>
      </c>
      <c r="B506" s="172">
        <f>IF('Оперативный ввод'!B506="","",'Оперативный ввод'!B506)</f>
        <v/>
      </c>
      <c r="C506" s="270">
        <f>IF('Оперативный ввод'!C506="","",'Оперативный ввод'!C506)</f>
        <v/>
      </c>
      <c r="D506" s="270">
        <f>IF('Оперативный ввод'!D506="","",'Оперативный ввод'!D506)</f>
        <v/>
      </c>
      <c r="E506" s="271">
        <f>IF(OR(C506="",D506=""),"",D506-C506)</f>
        <v/>
      </c>
      <c r="F506" s="172">
        <f>IF('Оперативный ввод'!F506="","",'Оперативный ввод'!F506)</f>
        <v/>
      </c>
      <c r="G506" s="172">
        <f>IF('Оперативный ввод'!G506="","",'Оперативный ввод'!G506)</f>
        <v/>
      </c>
      <c r="H506" s="172">
        <f>IF('Оперативный ввод'!H506="","",'Оперативный ввод'!H506)</f>
        <v/>
      </c>
      <c r="I506" s="172">
        <f>IF('Оперативный ввод'!I506="","",'Оперативный ввод'!I506)</f>
        <v/>
      </c>
      <c r="J506" s="172">
        <f>IF('Оперативный ввод'!J506="","",'Оперативный ввод'!J506)</f>
        <v/>
      </c>
      <c r="K506" s="172">
        <f>IF('Оперативный ввод'!K506="","",'Оперативный ввод'!K506)</f>
        <v/>
      </c>
      <c r="L506" s="172">
        <f>IF('Оперативный ввод'!L506="","",'Оперативный ввод'!L506)</f>
        <v/>
      </c>
      <c r="M506" s="172">
        <f>IF('Оперативный ввод'!M506="","",'Оперативный ввод'!M506)</f>
        <v/>
      </c>
      <c r="N506" s="172">
        <f>IF('Оперативный ввод'!N506="","",'Оперативный ввод'!N506)</f>
        <v/>
      </c>
      <c r="O506" s="172">
        <f>IF('Оперативный ввод'!O506="","",'Оперативный ввод'!O506)</f>
        <v/>
      </c>
      <c r="P506" s="205">
        <f>IF(AND(A506="",B506=""),"",IF(AND(A506&lt;&gt;"",B506&lt;&gt;"",C506&lt;&gt;"",D506&lt;&gt;"",F506&lt;&gt;"",G506&lt;&gt;"",H506&lt;&gt;"",ISERROR(SEARCH("по паспорту",G506)),ISERROR(SEARCH("по паспорту",H506)),I506&lt;&gt;"",J506&lt;&gt;"",K506&lt;&gt;"",L506&lt;&gt;"",M506&lt;&gt;""),"ГОТОВО","НЕ ГОТОВО"))</f>
        <v/>
      </c>
      <c r="Q506" s="205">
        <f>IF(P506&lt;&gt;"ГОТОВО","", "Предварительное заключение: "&amp;A506&amp;", скв. "&amp;B506&amp;". МРП: "&amp;E506&amp;" сут. ГНО: "&amp;F506&amp;", типоразмер "&amp;G506&amp;", марка "&amp;H506&amp;". Событие: "&amp;I506&amp;". Признак: "&amp;J506&amp;". Узел: "&amp;K506&amp;". Предварительная причина: "&amp;L506&amp;". Основное осложнение: "&amp;M506&amp;IF(N506&lt;&gt;"","; сопутствующее: "&amp;N506,"")&amp;IF(O506&lt;&gt;"","; дополнительно: "&amp;O506,"")&amp;".")</f>
        <v/>
      </c>
      <c r="R506" s="172">
        <f>IF('Оперативный ввод'!P506="","",'Оперативный ввод'!P506)</f>
        <v/>
      </c>
      <c r="S506" s="172">
        <f>IF('Оперативный ввод'!Q506="","",'Оперативный ввод'!Q506)</f>
        <v/>
      </c>
      <c r="T506" s="172">
        <f>IF('Оперативный ввод'!R506="","",'Оперативный ввод'!R506)</f>
        <v/>
      </c>
      <c r="U506" s="172">
        <f>IF('Оперативный ввод'!S506="","",'Оперативный ввод'!S506)</f>
        <v/>
      </c>
      <c r="V506" s="172">
        <f>IF('Оперативный ввод'!T506="","",'Оперативный ввод'!T506)</f>
        <v/>
      </c>
      <c r="W506" s="172" t="n"/>
      <c r="X506" s="172" t="n"/>
      <c r="Y506" s="172" t="n"/>
      <c r="Z506" s="172" t="n"/>
      <c r="AA506" s="172">
        <f>IF('Оперативный ввод'!U506="","",'Оперативный ввод'!U506)</f>
        <v/>
      </c>
      <c r="AB506" s="172">
        <f>IF('Оперативный ввод'!V506="","",'Оперативный ввод'!V506)</f>
        <v/>
      </c>
      <c r="AC506" s="172">
        <f>IF('Оперативный ввод'!W506="","",'Оперативный ввод'!W506)</f>
        <v/>
      </c>
      <c r="BB506" s="172" t="n"/>
      <c r="BC506" s="172" t="n"/>
      <c r="BD506" s="205">
        <f>IF(AND(A506="",B506=""),"",IF(AND(P506="ГОТОВО",R506&lt;&gt;"",T506&lt;&gt;"",U506&lt;&gt;"",AA506&lt;&gt;"",AB506&lt;&gt;"",AC506&lt;&gt;"",BB506&lt;&gt;"",BC506&lt;&gt;""),"ГОТОВО","НЕ ГОТОВО"))</f>
        <v/>
      </c>
      <c r="BE506" s="205">
        <f>IF(BD506&lt;&gt;"ГОТОВО","","Полное заключение: "&amp;A506&amp;", скв. "&amp;B506&amp;". МРП: "&amp;E506&amp;" сут. ГНО: "&amp;F506&amp;"; причина: "&amp;U506&amp;"; категория: "&amp;V506&amp;"; решение комиссии: "&amp;BB506&amp;".")</f>
        <v/>
      </c>
      <c r="BF506" s="173">
        <f>IF('Оперативный ввод'!X506="","",'Оперативный ввод'!X506)</f>
        <v/>
      </c>
    </row>
    <row r="507">
      <c r="A507" s="171">
        <f>IF('Оперативный ввод'!A507="","",'Оперативный ввод'!A507)</f>
        <v/>
      </c>
      <c r="B507" s="172">
        <f>IF('Оперативный ввод'!B507="","",'Оперативный ввод'!B507)</f>
        <v/>
      </c>
      <c r="C507" s="270">
        <f>IF('Оперативный ввод'!C507="","",'Оперативный ввод'!C507)</f>
        <v/>
      </c>
      <c r="D507" s="270">
        <f>IF('Оперативный ввод'!D507="","",'Оперативный ввод'!D507)</f>
        <v/>
      </c>
      <c r="E507" s="271">
        <f>IF(OR(C507="",D507=""),"",D507-C507)</f>
        <v/>
      </c>
      <c r="F507" s="172">
        <f>IF('Оперативный ввод'!F507="","",'Оперативный ввод'!F507)</f>
        <v/>
      </c>
      <c r="G507" s="172">
        <f>IF('Оперативный ввод'!G507="","",'Оперативный ввод'!G507)</f>
        <v/>
      </c>
      <c r="H507" s="172">
        <f>IF('Оперативный ввод'!H507="","",'Оперативный ввод'!H507)</f>
        <v/>
      </c>
      <c r="I507" s="172">
        <f>IF('Оперативный ввод'!I507="","",'Оперативный ввод'!I507)</f>
        <v/>
      </c>
      <c r="J507" s="172">
        <f>IF('Оперативный ввод'!J507="","",'Оперативный ввод'!J507)</f>
        <v/>
      </c>
      <c r="K507" s="172">
        <f>IF('Оперативный ввод'!K507="","",'Оперативный ввод'!K507)</f>
        <v/>
      </c>
      <c r="L507" s="172">
        <f>IF('Оперативный ввод'!L507="","",'Оперативный ввод'!L507)</f>
        <v/>
      </c>
      <c r="M507" s="172">
        <f>IF('Оперативный ввод'!M507="","",'Оперативный ввод'!M507)</f>
        <v/>
      </c>
      <c r="N507" s="172">
        <f>IF('Оперативный ввод'!N507="","",'Оперативный ввод'!N507)</f>
        <v/>
      </c>
      <c r="O507" s="172">
        <f>IF('Оперативный ввод'!O507="","",'Оперативный ввод'!O507)</f>
        <v/>
      </c>
      <c r="P507" s="205">
        <f>IF(AND(A507="",B507=""),"",IF(AND(A507&lt;&gt;"",B507&lt;&gt;"",C507&lt;&gt;"",D507&lt;&gt;"",F507&lt;&gt;"",G507&lt;&gt;"",H507&lt;&gt;"",ISERROR(SEARCH("по паспорту",G507)),ISERROR(SEARCH("по паспорту",H507)),I507&lt;&gt;"",J507&lt;&gt;"",K507&lt;&gt;"",L507&lt;&gt;"",M507&lt;&gt;""),"ГОТОВО","НЕ ГОТОВО"))</f>
        <v/>
      </c>
      <c r="Q507" s="205">
        <f>IF(P507&lt;&gt;"ГОТОВО","", "Предварительное заключение: "&amp;A507&amp;", скв. "&amp;B507&amp;". МРП: "&amp;E507&amp;" сут. ГНО: "&amp;F507&amp;", типоразмер "&amp;G507&amp;", марка "&amp;H507&amp;". Событие: "&amp;I507&amp;". Признак: "&amp;J507&amp;". Узел: "&amp;K507&amp;". Предварительная причина: "&amp;L507&amp;". Основное осложнение: "&amp;M507&amp;IF(N507&lt;&gt;"","; сопутствующее: "&amp;N507,"")&amp;IF(O507&lt;&gt;"","; дополнительно: "&amp;O507,"")&amp;".")</f>
        <v/>
      </c>
      <c r="R507" s="172">
        <f>IF('Оперативный ввод'!P507="","",'Оперативный ввод'!P507)</f>
        <v/>
      </c>
      <c r="S507" s="172">
        <f>IF('Оперативный ввод'!Q507="","",'Оперативный ввод'!Q507)</f>
        <v/>
      </c>
      <c r="T507" s="172">
        <f>IF('Оперативный ввод'!R507="","",'Оперативный ввод'!R507)</f>
        <v/>
      </c>
      <c r="U507" s="172">
        <f>IF('Оперативный ввод'!S507="","",'Оперативный ввод'!S507)</f>
        <v/>
      </c>
      <c r="V507" s="172">
        <f>IF('Оперативный ввод'!T507="","",'Оперативный ввод'!T507)</f>
        <v/>
      </c>
      <c r="W507" s="172" t="n"/>
      <c r="X507" s="172" t="n"/>
      <c r="Y507" s="172" t="n"/>
      <c r="Z507" s="172" t="n"/>
      <c r="AA507" s="172">
        <f>IF('Оперативный ввод'!U507="","",'Оперативный ввод'!U507)</f>
        <v/>
      </c>
      <c r="AB507" s="172">
        <f>IF('Оперативный ввод'!V507="","",'Оперативный ввод'!V507)</f>
        <v/>
      </c>
      <c r="AC507" s="172">
        <f>IF('Оперативный ввод'!W507="","",'Оперативный ввод'!W507)</f>
        <v/>
      </c>
      <c r="BB507" s="172" t="n"/>
      <c r="BC507" s="172" t="n"/>
      <c r="BD507" s="205">
        <f>IF(AND(A507="",B507=""),"",IF(AND(P507="ГОТОВО",R507&lt;&gt;"",T507&lt;&gt;"",U507&lt;&gt;"",AA507&lt;&gt;"",AB507&lt;&gt;"",AC507&lt;&gt;"",BB507&lt;&gt;"",BC507&lt;&gt;""),"ГОТОВО","НЕ ГОТОВО"))</f>
        <v/>
      </c>
      <c r="BE507" s="205">
        <f>IF(BD507&lt;&gt;"ГОТОВО","","Полное заключение: "&amp;A507&amp;", скв. "&amp;B507&amp;". МРП: "&amp;E507&amp;" сут. ГНО: "&amp;F507&amp;"; причина: "&amp;U507&amp;"; категория: "&amp;V507&amp;"; решение комиссии: "&amp;BB507&amp;".")</f>
        <v/>
      </c>
      <c r="BF507" s="173">
        <f>IF('Оперативный ввод'!X507="","",'Оперативный ввод'!X507)</f>
        <v/>
      </c>
    </row>
    <row r="508">
      <c r="A508" s="171">
        <f>IF('Оперативный ввод'!A508="","",'Оперативный ввод'!A508)</f>
        <v/>
      </c>
      <c r="B508" s="172">
        <f>IF('Оперативный ввод'!B508="","",'Оперативный ввод'!B508)</f>
        <v/>
      </c>
      <c r="C508" s="270">
        <f>IF('Оперативный ввод'!C508="","",'Оперативный ввод'!C508)</f>
        <v/>
      </c>
      <c r="D508" s="270">
        <f>IF('Оперативный ввод'!D508="","",'Оперативный ввод'!D508)</f>
        <v/>
      </c>
      <c r="E508" s="271">
        <f>IF(OR(C508="",D508=""),"",D508-C508)</f>
        <v/>
      </c>
      <c r="F508" s="172">
        <f>IF('Оперативный ввод'!F508="","",'Оперативный ввод'!F508)</f>
        <v/>
      </c>
      <c r="G508" s="172">
        <f>IF('Оперативный ввод'!G508="","",'Оперативный ввод'!G508)</f>
        <v/>
      </c>
      <c r="H508" s="172">
        <f>IF('Оперативный ввод'!H508="","",'Оперативный ввод'!H508)</f>
        <v/>
      </c>
      <c r="I508" s="172">
        <f>IF('Оперативный ввод'!I508="","",'Оперативный ввод'!I508)</f>
        <v/>
      </c>
      <c r="J508" s="172">
        <f>IF('Оперативный ввод'!J508="","",'Оперативный ввод'!J508)</f>
        <v/>
      </c>
      <c r="K508" s="172">
        <f>IF('Оперативный ввод'!K508="","",'Оперативный ввод'!K508)</f>
        <v/>
      </c>
      <c r="L508" s="172">
        <f>IF('Оперативный ввод'!L508="","",'Оперативный ввод'!L508)</f>
        <v/>
      </c>
      <c r="M508" s="172">
        <f>IF('Оперативный ввод'!M508="","",'Оперативный ввод'!M508)</f>
        <v/>
      </c>
      <c r="N508" s="172">
        <f>IF('Оперативный ввод'!N508="","",'Оперативный ввод'!N508)</f>
        <v/>
      </c>
      <c r="O508" s="172">
        <f>IF('Оперативный ввод'!O508="","",'Оперативный ввод'!O508)</f>
        <v/>
      </c>
      <c r="P508" s="205">
        <f>IF(AND(A508="",B508=""),"",IF(AND(A508&lt;&gt;"",B508&lt;&gt;"",C508&lt;&gt;"",D508&lt;&gt;"",F508&lt;&gt;"",G508&lt;&gt;"",H508&lt;&gt;"",ISERROR(SEARCH("по паспорту",G508)),ISERROR(SEARCH("по паспорту",H508)),I508&lt;&gt;"",J508&lt;&gt;"",K508&lt;&gt;"",L508&lt;&gt;"",M508&lt;&gt;""),"ГОТОВО","НЕ ГОТОВО"))</f>
        <v/>
      </c>
      <c r="Q508" s="205">
        <f>IF(P508&lt;&gt;"ГОТОВО","", "Предварительное заключение: "&amp;A508&amp;", скв. "&amp;B508&amp;". МРП: "&amp;E508&amp;" сут. ГНО: "&amp;F508&amp;", типоразмер "&amp;G508&amp;", марка "&amp;H508&amp;". Событие: "&amp;I508&amp;". Признак: "&amp;J508&amp;". Узел: "&amp;K508&amp;". Предварительная причина: "&amp;L508&amp;". Основное осложнение: "&amp;M508&amp;IF(N508&lt;&gt;"","; сопутствующее: "&amp;N508,"")&amp;IF(O508&lt;&gt;"","; дополнительно: "&amp;O508,"")&amp;".")</f>
        <v/>
      </c>
      <c r="R508" s="172">
        <f>IF('Оперативный ввод'!P508="","",'Оперативный ввод'!P508)</f>
        <v/>
      </c>
      <c r="S508" s="172">
        <f>IF('Оперативный ввод'!Q508="","",'Оперативный ввод'!Q508)</f>
        <v/>
      </c>
      <c r="T508" s="172">
        <f>IF('Оперативный ввод'!R508="","",'Оперативный ввод'!R508)</f>
        <v/>
      </c>
      <c r="U508" s="172">
        <f>IF('Оперативный ввод'!S508="","",'Оперативный ввод'!S508)</f>
        <v/>
      </c>
      <c r="V508" s="172">
        <f>IF('Оперативный ввод'!T508="","",'Оперативный ввод'!T508)</f>
        <v/>
      </c>
      <c r="W508" s="172" t="n"/>
      <c r="X508" s="172" t="n"/>
      <c r="Y508" s="172" t="n"/>
      <c r="Z508" s="172" t="n"/>
      <c r="AA508" s="172">
        <f>IF('Оперативный ввод'!U508="","",'Оперативный ввод'!U508)</f>
        <v/>
      </c>
      <c r="AB508" s="172">
        <f>IF('Оперативный ввод'!V508="","",'Оперативный ввод'!V508)</f>
        <v/>
      </c>
      <c r="AC508" s="172">
        <f>IF('Оперативный ввод'!W508="","",'Оперативный ввод'!W508)</f>
        <v/>
      </c>
      <c r="BB508" s="172" t="n"/>
      <c r="BC508" s="172" t="n"/>
      <c r="BD508" s="205">
        <f>IF(AND(A508="",B508=""),"",IF(AND(P508="ГОТОВО",R508&lt;&gt;"",T508&lt;&gt;"",U508&lt;&gt;"",AA508&lt;&gt;"",AB508&lt;&gt;"",AC508&lt;&gt;"",BB508&lt;&gt;"",BC508&lt;&gt;""),"ГОТОВО","НЕ ГОТОВО"))</f>
        <v/>
      </c>
      <c r="BE508" s="205">
        <f>IF(BD508&lt;&gt;"ГОТОВО","","Полное заключение: "&amp;A508&amp;", скв. "&amp;B508&amp;". МРП: "&amp;E508&amp;" сут. ГНО: "&amp;F508&amp;"; причина: "&amp;U508&amp;"; категория: "&amp;V508&amp;"; решение комиссии: "&amp;BB508&amp;".")</f>
        <v/>
      </c>
      <c r="BF508" s="173">
        <f>IF('Оперативный ввод'!X508="","",'Оперативный ввод'!X508)</f>
        <v/>
      </c>
    </row>
    <row r="509">
      <c r="A509" s="171">
        <f>IF('Оперативный ввод'!A509="","",'Оперативный ввод'!A509)</f>
        <v/>
      </c>
      <c r="B509" s="172">
        <f>IF('Оперативный ввод'!B509="","",'Оперативный ввод'!B509)</f>
        <v/>
      </c>
      <c r="C509" s="270">
        <f>IF('Оперативный ввод'!C509="","",'Оперативный ввод'!C509)</f>
        <v/>
      </c>
      <c r="D509" s="270">
        <f>IF('Оперативный ввод'!D509="","",'Оперативный ввод'!D509)</f>
        <v/>
      </c>
      <c r="E509" s="271">
        <f>IF(OR(C509="",D509=""),"",D509-C509)</f>
        <v/>
      </c>
      <c r="F509" s="172">
        <f>IF('Оперативный ввод'!F509="","",'Оперативный ввод'!F509)</f>
        <v/>
      </c>
      <c r="G509" s="172">
        <f>IF('Оперативный ввод'!G509="","",'Оперативный ввод'!G509)</f>
        <v/>
      </c>
      <c r="H509" s="172">
        <f>IF('Оперативный ввод'!H509="","",'Оперативный ввод'!H509)</f>
        <v/>
      </c>
      <c r="I509" s="172">
        <f>IF('Оперативный ввод'!I509="","",'Оперативный ввод'!I509)</f>
        <v/>
      </c>
      <c r="J509" s="172">
        <f>IF('Оперативный ввод'!J509="","",'Оперативный ввод'!J509)</f>
        <v/>
      </c>
      <c r="K509" s="172">
        <f>IF('Оперативный ввод'!K509="","",'Оперативный ввод'!K509)</f>
        <v/>
      </c>
      <c r="L509" s="172">
        <f>IF('Оперативный ввод'!L509="","",'Оперативный ввод'!L509)</f>
        <v/>
      </c>
      <c r="M509" s="172">
        <f>IF('Оперативный ввод'!M509="","",'Оперативный ввод'!M509)</f>
        <v/>
      </c>
      <c r="N509" s="172">
        <f>IF('Оперативный ввод'!N509="","",'Оперативный ввод'!N509)</f>
        <v/>
      </c>
      <c r="O509" s="172">
        <f>IF('Оперативный ввод'!O509="","",'Оперативный ввод'!O509)</f>
        <v/>
      </c>
      <c r="P509" s="205">
        <f>IF(AND(A509="",B509=""),"",IF(AND(A509&lt;&gt;"",B509&lt;&gt;"",C509&lt;&gt;"",D509&lt;&gt;"",F509&lt;&gt;"",G509&lt;&gt;"",H509&lt;&gt;"",ISERROR(SEARCH("по паспорту",G509)),ISERROR(SEARCH("по паспорту",H509)),I509&lt;&gt;"",J509&lt;&gt;"",K509&lt;&gt;"",L509&lt;&gt;"",M509&lt;&gt;""),"ГОТОВО","НЕ ГОТОВО"))</f>
        <v/>
      </c>
      <c r="Q509" s="205">
        <f>IF(P509&lt;&gt;"ГОТОВО","", "Предварительное заключение: "&amp;A509&amp;", скв. "&amp;B509&amp;". МРП: "&amp;E509&amp;" сут. ГНО: "&amp;F509&amp;", типоразмер "&amp;G509&amp;", марка "&amp;H509&amp;". Событие: "&amp;I509&amp;". Признак: "&amp;J509&amp;". Узел: "&amp;K509&amp;". Предварительная причина: "&amp;L509&amp;". Основное осложнение: "&amp;M509&amp;IF(N509&lt;&gt;"","; сопутствующее: "&amp;N509,"")&amp;IF(O509&lt;&gt;"","; дополнительно: "&amp;O509,"")&amp;".")</f>
        <v/>
      </c>
      <c r="R509" s="172">
        <f>IF('Оперативный ввод'!P509="","",'Оперативный ввод'!P509)</f>
        <v/>
      </c>
      <c r="S509" s="172">
        <f>IF('Оперативный ввод'!Q509="","",'Оперативный ввод'!Q509)</f>
        <v/>
      </c>
      <c r="T509" s="172">
        <f>IF('Оперативный ввод'!R509="","",'Оперативный ввод'!R509)</f>
        <v/>
      </c>
      <c r="U509" s="172">
        <f>IF('Оперативный ввод'!S509="","",'Оперативный ввод'!S509)</f>
        <v/>
      </c>
      <c r="V509" s="172">
        <f>IF('Оперативный ввод'!T509="","",'Оперативный ввод'!T509)</f>
        <v/>
      </c>
      <c r="W509" s="172" t="n"/>
      <c r="X509" s="172" t="n"/>
      <c r="Y509" s="172" t="n"/>
      <c r="Z509" s="172" t="n"/>
      <c r="AA509" s="172">
        <f>IF('Оперативный ввод'!U509="","",'Оперативный ввод'!U509)</f>
        <v/>
      </c>
      <c r="AB509" s="172">
        <f>IF('Оперативный ввод'!V509="","",'Оперативный ввод'!V509)</f>
        <v/>
      </c>
      <c r="AC509" s="172">
        <f>IF('Оперативный ввод'!W509="","",'Оперативный ввод'!W509)</f>
        <v/>
      </c>
      <c r="BB509" s="172" t="n"/>
      <c r="BC509" s="172" t="n"/>
      <c r="BD509" s="205">
        <f>IF(AND(A509="",B509=""),"",IF(AND(P509="ГОТОВО",R509&lt;&gt;"",T509&lt;&gt;"",U509&lt;&gt;"",AA509&lt;&gt;"",AB509&lt;&gt;"",AC509&lt;&gt;"",BB509&lt;&gt;"",BC509&lt;&gt;""),"ГОТОВО","НЕ ГОТОВО"))</f>
        <v/>
      </c>
      <c r="BE509" s="205">
        <f>IF(BD509&lt;&gt;"ГОТОВО","","Полное заключение: "&amp;A509&amp;", скв. "&amp;B509&amp;". МРП: "&amp;E509&amp;" сут. ГНО: "&amp;F509&amp;"; причина: "&amp;U509&amp;"; категория: "&amp;V509&amp;"; решение комиссии: "&amp;BB509&amp;".")</f>
        <v/>
      </c>
      <c r="BF509" s="173">
        <f>IF('Оперативный ввод'!X509="","",'Оперативный ввод'!X509)</f>
        <v/>
      </c>
    </row>
    <row r="510">
      <c r="A510" s="171">
        <f>IF('Оперативный ввод'!A510="","",'Оперативный ввод'!A510)</f>
        <v/>
      </c>
      <c r="B510" s="172">
        <f>IF('Оперативный ввод'!B510="","",'Оперативный ввод'!B510)</f>
        <v/>
      </c>
      <c r="C510" s="270">
        <f>IF('Оперативный ввод'!C510="","",'Оперативный ввод'!C510)</f>
        <v/>
      </c>
      <c r="D510" s="270">
        <f>IF('Оперативный ввод'!D510="","",'Оперативный ввод'!D510)</f>
        <v/>
      </c>
      <c r="E510" s="271">
        <f>IF(OR(C510="",D510=""),"",D510-C510)</f>
        <v/>
      </c>
      <c r="F510" s="172">
        <f>IF('Оперативный ввод'!F510="","",'Оперативный ввод'!F510)</f>
        <v/>
      </c>
      <c r="G510" s="172">
        <f>IF('Оперативный ввод'!G510="","",'Оперативный ввод'!G510)</f>
        <v/>
      </c>
      <c r="H510" s="172">
        <f>IF('Оперативный ввод'!H510="","",'Оперативный ввод'!H510)</f>
        <v/>
      </c>
      <c r="I510" s="172">
        <f>IF('Оперативный ввод'!I510="","",'Оперативный ввод'!I510)</f>
        <v/>
      </c>
      <c r="J510" s="172">
        <f>IF('Оперативный ввод'!J510="","",'Оперативный ввод'!J510)</f>
        <v/>
      </c>
      <c r="K510" s="172">
        <f>IF('Оперативный ввод'!K510="","",'Оперативный ввод'!K510)</f>
        <v/>
      </c>
      <c r="L510" s="172">
        <f>IF('Оперативный ввод'!L510="","",'Оперативный ввод'!L510)</f>
        <v/>
      </c>
      <c r="M510" s="172">
        <f>IF('Оперативный ввод'!M510="","",'Оперативный ввод'!M510)</f>
        <v/>
      </c>
      <c r="N510" s="172">
        <f>IF('Оперативный ввод'!N510="","",'Оперативный ввод'!N510)</f>
        <v/>
      </c>
      <c r="O510" s="172">
        <f>IF('Оперативный ввод'!O510="","",'Оперативный ввод'!O510)</f>
        <v/>
      </c>
      <c r="P510" s="205">
        <f>IF(AND(A510="",B510=""),"",IF(AND(A510&lt;&gt;"",B510&lt;&gt;"",C510&lt;&gt;"",D510&lt;&gt;"",F510&lt;&gt;"",G510&lt;&gt;"",H510&lt;&gt;"",ISERROR(SEARCH("по паспорту",G510)),ISERROR(SEARCH("по паспорту",H510)),I510&lt;&gt;"",J510&lt;&gt;"",K510&lt;&gt;"",L510&lt;&gt;"",M510&lt;&gt;""),"ГОТОВО","НЕ ГОТОВО"))</f>
        <v/>
      </c>
      <c r="Q510" s="205">
        <f>IF(P510&lt;&gt;"ГОТОВО","", "Предварительное заключение: "&amp;A510&amp;", скв. "&amp;B510&amp;". МРП: "&amp;E510&amp;" сут. ГНО: "&amp;F510&amp;", типоразмер "&amp;G510&amp;", марка "&amp;H510&amp;". Событие: "&amp;I510&amp;". Признак: "&amp;J510&amp;". Узел: "&amp;K510&amp;". Предварительная причина: "&amp;L510&amp;". Основное осложнение: "&amp;M510&amp;IF(N510&lt;&gt;"","; сопутствующее: "&amp;N510,"")&amp;IF(O510&lt;&gt;"","; дополнительно: "&amp;O510,"")&amp;".")</f>
        <v/>
      </c>
      <c r="R510" s="172">
        <f>IF('Оперативный ввод'!P510="","",'Оперативный ввод'!P510)</f>
        <v/>
      </c>
      <c r="S510" s="172">
        <f>IF('Оперативный ввод'!Q510="","",'Оперативный ввод'!Q510)</f>
        <v/>
      </c>
      <c r="T510" s="172">
        <f>IF('Оперативный ввод'!R510="","",'Оперативный ввод'!R510)</f>
        <v/>
      </c>
      <c r="U510" s="172">
        <f>IF('Оперативный ввод'!S510="","",'Оперативный ввод'!S510)</f>
        <v/>
      </c>
      <c r="V510" s="172">
        <f>IF('Оперативный ввод'!T510="","",'Оперативный ввод'!T510)</f>
        <v/>
      </c>
      <c r="W510" s="172" t="n"/>
      <c r="X510" s="172" t="n"/>
      <c r="Y510" s="172" t="n"/>
      <c r="Z510" s="172" t="n"/>
      <c r="AA510" s="172">
        <f>IF('Оперативный ввод'!U510="","",'Оперативный ввод'!U510)</f>
        <v/>
      </c>
      <c r="AB510" s="172">
        <f>IF('Оперативный ввод'!V510="","",'Оперативный ввод'!V510)</f>
        <v/>
      </c>
      <c r="AC510" s="172">
        <f>IF('Оперативный ввод'!W510="","",'Оперативный ввод'!W510)</f>
        <v/>
      </c>
      <c r="BB510" s="172" t="n"/>
      <c r="BC510" s="172" t="n"/>
      <c r="BD510" s="205">
        <f>IF(AND(A510="",B510=""),"",IF(AND(P510="ГОТОВО",R510&lt;&gt;"",T510&lt;&gt;"",U510&lt;&gt;"",AA510&lt;&gt;"",AB510&lt;&gt;"",AC510&lt;&gt;"",BB510&lt;&gt;"",BC510&lt;&gt;""),"ГОТОВО","НЕ ГОТОВО"))</f>
        <v/>
      </c>
      <c r="BE510" s="205">
        <f>IF(BD510&lt;&gt;"ГОТОВО","","Полное заключение: "&amp;A510&amp;", скв. "&amp;B510&amp;". МРП: "&amp;E510&amp;" сут. ГНО: "&amp;F510&amp;"; причина: "&amp;U510&amp;"; категория: "&amp;V510&amp;"; решение комиссии: "&amp;BB510&amp;".")</f>
        <v/>
      </c>
      <c r="BF510" s="173">
        <f>IF('Оперативный ввод'!X510="","",'Оперативный ввод'!X510)</f>
        <v/>
      </c>
    </row>
    <row r="511">
      <c r="A511" s="171">
        <f>IF('Оперативный ввод'!A511="","",'Оперативный ввод'!A511)</f>
        <v/>
      </c>
      <c r="B511" s="172">
        <f>IF('Оперативный ввод'!B511="","",'Оперативный ввод'!B511)</f>
        <v/>
      </c>
      <c r="C511" s="270">
        <f>IF('Оперативный ввод'!C511="","",'Оперативный ввод'!C511)</f>
        <v/>
      </c>
      <c r="D511" s="270">
        <f>IF('Оперативный ввод'!D511="","",'Оперативный ввод'!D511)</f>
        <v/>
      </c>
      <c r="E511" s="271">
        <f>IF(OR(C511="",D511=""),"",D511-C511)</f>
        <v/>
      </c>
      <c r="F511" s="172">
        <f>IF('Оперативный ввод'!F511="","",'Оперативный ввод'!F511)</f>
        <v/>
      </c>
      <c r="G511" s="172">
        <f>IF('Оперативный ввод'!G511="","",'Оперативный ввод'!G511)</f>
        <v/>
      </c>
      <c r="H511" s="172">
        <f>IF('Оперативный ввод'!H511="","",'Оперативный ввод'!H511)</f>
        <v/>
      </c>
      <c r="I511" s="172">
        <f>IF('Оперативный ввод'!I511="","",'Оперативный ввод'!I511)</f>
        <v/>
      </c>
      <c r="J511" s="172">
        <f>IF('Оперативный ввод'!J511="","",'Оперативный ввод'!J511)</f>
        <v/>
      </c>
      <c r="K511" s="172">
        <f>IF('Оперативный ввод'!K511="","",'Оперативный ввод'!K511)</f>
        <v/>
      </c>
      <c r="L511" s="172">
        <f>IF('Оперативный ввод'!L511="","",'Оперативный ввод'!L511)</f>
        <v/>
      </c>
      <c r="M511" s="172">
        <f>IF('Оперативный ввод'!M511="","",'Оперативный ввод'!M511)</f>
        <v/>
      </c>
      <c r="N511" s="172">
        <f>IF('Оперативный ввод'!N511="","",'Оперативный ввод'!N511)</f>
        <v/>
      </c>
      <c r="O511" s="172">
        <f>IF('Оперативный ввод'!O511="","",'Оперативный ввод'!O511)</f>
        <v/>
      </c>
      <c r="P511" s="205">
        <f>IF(AND(A511="",B511=""),"",IF(AND(A511&lt;&gt;"",B511&lt;&gt;"",C511&lt;&gt;"",D511&lt;&gt;"",F511&lt;&gt;"",G511&lt;&gt;"",H511&lt;&gt;"",ISERROR(SEARCH("по паспорту",G511)),ISERROR(SEARCH("по паспорту",H511)),I511&lt;&gt;"",J511&lt;&gt;"",K511&lt;&gt;"",L511&lt;&gt;"",M511&lt;&gt;""),"ГОТОВО","НЕ ГОТОВО"))</f>
        <v/>
      </c>
      <c r="Q511" s="205">
        <f>IF(P511&lt;&gt;"ГОТОВО","", "Предварительное заключение: "&amp;A511&amp;", скв. "&amp;B511&amp;". МРП: "&amp;E511&amp;" сут. ГНО: "&amp;F511&amp;", типоразмер "&amp;G511&amp;", марка "&amp;H511&amp;". Событие: "&amp;I511&amp;". Признак: "&amp;J511&amp;". Узел: "&amp;K511&amp;". Предварительная причина: "&amp;L511&amp;". Основное осложнение: "&amp;M511&amp;IF(N511&lt;&gt;"","; сопутствующее: "&amp;N511,"")&amp;IF(O511&lt;&gt;"","; дополнительно: "&amp;O511,"")&amp;".")</f>
        <v/>
      </c>
      <c r="R511" s="172">
        <f>IF('Оперативный ввод'!P511="","",'Оперативный ввод'!P511)</f>
        <v/>
      </c>
      <c r="S511" s="172">
        <f>IF('Оперативный ввод'!Q511="","",'Оперативный ввод'!Q511)</f>
        <v/>
      </c>
      <c r="T511" s="172">
        <f>IF('Оперативный ввод'!R511="","",'Оперативный ввод'!R511)</f>
        <v/>
      </c>
      <c r="U511" s="172">
        <f>IF('Оперативный ввод'!S511="","",'Оперативный ввод'!S511)</f>
        <v/>
      </c>
      <c r="V511" s="172">
        <f>IF('Оперативный ввод'!T511="","",'Оперативный ввод'!T511)</f>
        <v/>
      </c>
      <c r="W511" s="172" t="n"/>
      <c r="X511" s="172" t="n"/>
      <c r="Y511" s="172" t="n"/>
      <c r="Z511" s="172" t="n"/>
      <c r="AA511" s="172">
        <f>IF('Оперативный ввод'!U511="","",'Оперативный ввод'!U511)</f>
        <v/>
      </c>
      <c r="AB511" s="172">
        <f>IF('Оперативный ввод'!V511="","",'Оперативный ввод'!V511)</f>
        <v/>
      </c>
      <c r="AC511" s="172">
        <f>IF('Оперативный ввод'!W511="","",'Оперативный ввод'!W511)</f>
        <v/>
      </c>
      <c r="BB511" s="172" t="n"/>
      <c r="BC511" s="172" t="n"/>
      <c r="BD511" s="205">
        <f>IF(AND(A511="",B511=""),"",IF(AND(P511="ГОТОВО",R511&lt;&gt;"",T511&lt;&gt;"",U511&lt;&gt;"",AA511&lt;&gt;"",AB511&lt;&gt;"",AC511&lt;&gt;"",BB511&lt;&gt;"",BC511&lt;&gt;""),"ГОТОВО","НЕ ГОТОВО"))</f>
        <v/>
      </c>
      <c r="BE511" s="205">
        <f>IF(BD511&lt;&gt;"ГОТОВО","","Полное заключение: "&amp;A511&amp;", скв. "&amp;B511&amp;". МРП: "&amp;E511&amp;" сут. ГНО: "&amp;F511&amp;"; причина: "&amp;U511&amp;"; категория: "&amp;V511&amp;"; решение комиссии: "&amp;BB511&amp;".")</f>
        <v/>
      </c>
      <c r="BF511" s="173">
        <f>IF('Оперативный ввод'!X511="","",'Оперативный ввод'!X511)</f>
        <v/>
      </c>
    </row>
    <row r="512">
      <c r="A512" s="171">
        <f>IF('Оперативный ввод'!A512="","",'Оперативный ввод'!A512)</f>
        <v/>
      </c>
      <c r="B512" s="172">
        <f>IF('Оперативный ввод'!B512="","",'Оперативный ввод'!B512)</f>
        <v/>
      </c>
      <c r="C512" s="270">
        <f>IF('Оперативный ввод'!C512="","",'Оперативный ввод'!C512)</f>
        <v/>
      </c>
      <c r="D512" s="270">
        <f>IF('Оперативный ввод'!D512="","",'Оперативный ввод'!D512)</f>
        <v/>
      </c>
      <c r="E512" s="271">
        <f>IF(OR(C512="",D512=""),"",D512-C512)</f>
        <v/>
      </c>
      <c r="F512" s="172">
        <f>IF('Оперативный ввод'!F512="","",'Оперативный ввод'!F512)</f>
        <v/>
      </c>
      <c r="G512" s="172">
        <f>IF('Оперативный ввод'!G512="","",'Оперативный ввод'!G512)</f>
        <v/>
      </c>
      <c r="H512" s="172">
        <f>IF('Оперативный ввод'!H512="","",'Оперативный ввод'!H512)</f>
        <v/>
      </c>
      <c r="I512" s="172">
        <f>IF('Оперативный ввод'!I512="","",'Оперативный ввод'!I512)</f>
        <v/>
      </c>
      <c r="J512" s="172">
        <f>IF('Оперативный ввод'!J512="","",'Оперативный ввод'!J512)</f>
        <v/>
      </c>
      <c r="K512" s="172">
        <f>IF('Оперативный ввод'!K512="","",'Оперативный ввод'!K512)</f>
        <v/>
      </c>
      <c r="L512" s="172">
        <f>IF('Оперативный ввод'!L512="","",'Оперативный ввод'!L512)</f>
        <v/>
      </c>
      <c r="M512" s="172">
        <f>IF('Оперативный ввод'!M512="","",'Оперативный ввод'!M512)</f>
        <v/>
      </c>
      <c r="N512" s="172">
        <f>IF('Оперативный ввод'!N512="","",'Оперативный ввод'!N512)</f>
        <v/>
      </c>
      <c r="O512" s="172">
        <f>IF('Оперативный ввод'!O512="","",'Оперативный ввод'!O512)</f>
        <v/>
      </c>
      <c r="P512" s="205">
        <f>IF(AND(A512="",B512=""),"",IF(AND(A512&lt;&gt;"",B512&lt;&gt;"",C512&lt;&gt;"",D512&lt;&gt;"",F512&lt;&gt;"",G512&lt;&gt;"",H512&lt;&gt;"",ISERROR(SEARCH("по паспорту",G512)),ISERROR(SEARCH("по паспорту",H512)),I512&lt;&gt;"",J512&lt;&gt;"",K512&lt;&gt;"",L512&lt;&gt;"",M512&lt;&gt;""),"ГОТОВО","НЕ ГОТОВО"))</f>
        <v/>
      </c>
      <c r="Q512" s="205">
        <f>IF(P512&lt;&gt;"ГОТОВО","", "Предварительное заключение: "&amp;A512&amp;", скв. "&amp;B512&amp;". МРП: "&amp;E512&amp;" сут. ГНО: "&amp;F512&amp;", типоразмер "&amp;G512&amp;", марка "&amp;H512&amp;". Событие: "&amp;I512&amp;". Признак: "&amp;J512&amp;". Узел: "&amp;K512&amp;". Предварительная причина: "&amp;L512&amp;". Основное осложнение: "&amp;M512&amp;IF(N512&lt;&gt;"","; сопутствующее: "&amp;N512,"")&amp;IF(O512&lt;&gt;"","; дополнительно: "&amp;O512,"")&amp;".")</f>
        <v/>
      </c>
      <c r="R512" s="172">
        <f>IF('Оперативный ввод'!P512="","",'Оперативный ввод'!P512)</f>
        <v/>
      </c>
      <c r="S512" s="172">
        <f>IF('Оперативный ввод'!Q512="","",'Оперативный ввод'!Q512)</f>
        <v/>
      </c>
      <c r="T512" s="172">
        <f>IF('Оперативный ввод'!R512="","",'Оперативный ввод'!R512)</f>
        <v/>
      </c>
      <c r="U512" s="172">
        <f>IF('Оперативный ввод'!S512="","",'Оперативный ввод'!S512)</f>
        <v/>
      </c>
      <c r="V512" s="172">
        <f>IF('Оперативный ввод'!T512="","",'Оперативный ввод'!T512)</f>
        <v/>
      </c>
      <c r="W512" s="172" t="n"/>
      <c r="X512" s="172" t="n"/>
      <c r="Y512" s="172" t="n"/>
      <c r="Z512" s="172" t="n"/>
      <c r="AA512" s="172">
        <f>IF('Оперативный ввод'!U512="","",'Оперативный ввод'!U512)</f>
        <v/>
      </c>
      <c r="AB512" s="172">
        <f>IF('Оперативный ввод'!V512="","",'Оперативный ввод'!V512)</f>
        <v/>
      </c>
      <c r="AC512" s="172">
        <f>IF('Оперативный ввод'!W512="","",'Оперативный ввод'!W512)</f>
        <v/>
      </c>
      <c r="BB512" s="172" t="n"/>
      <c r="BC512" s="172" t="n"/>
      <c r="BD512" s="205">
        <f>IF(AND(A512="",B512=""),"",IF(AND(P512="ГОТОВО",R512&lt;&gt;"",T512&lt;&gt;"",U512&lt;&gt;"",AA512&lt;&gt;"",AB512&lt;&gt;"",AC512&lt;&gt;"",BB512&lt;&gt;"",BC512&lt;&gt;""),"ГОТОВО","НЕ ГОТОВО"))</f>
        <v/>
      </c>
      <c r="BE512" s="205">
        <f>IF(BD512&lt;&gt;"ГОТОВО","","Полное заключение: "&amp;A512&amp;", скв. "&amp;B512&amp;". МРП: "&amp;E512&amp;" сут. ГНО: "&amp;F512&amp;"; причина: "&amp;U512&amp;"; категория: "&amp;V512&amp;"; решение комиссии: "&amp;BB512&amp;".")</f>
        <v/>
      </c>
      <c r="BF512" s="173">
        <f>IF('Оперативный ввод'!X512="","",'Оперативный ввод'!X512)</f>
        <v/>
      </c>
    </row>
    <row r="513">
      <c r="A513" s="171">
        <f>IF('Оперативный ввод'!A513="","",'Оперативный ввод'!A513)</f>
        <v/>
      </c>
      <c r="B513" s="172">
        <f>IF('Оперативный ввод'!B513="","",'Оперативный ввод'!B513)</f>
        <v/>
      </c>
      <c r="C513" s="270">
        <f>IF('Оперативный ввод'!C513="","",'Оперативный ввод'!C513)</f>
        <v/>
      </c>
      <c r="D513" s="270">
        <f>IF('Оперативный ввод'!D513="","",'Оперативный ввод'!D513)</f>
        <v/>
      </c>
      <c r="E513" s="271">
        <f>IF(OR(C513="",D513=""),"",D513-C513)</f>
        <v/>
      </c>
      <c r="F513" s="172">
        <f>IF('Оперативный ввод'!F513="","",'Оперативный ввод'!F513)</f>
        <v/>
      </c>
      <c r="G513" s="172">
        <f>IF('Оперативный ввод'!G513="","",'Оперативный ввод'!G513)</f>
        <v/>
      </c>
      <c r="H513" s="172">
        <f>IF('Оперативный ввод'!H513="","",'Оперативный ввод'!H513)</f>
        <v/>
      </c>
      <c r="I513" s="172">
        <f>IF('Оперативный ввод'!I513="","",'Оперативный ввод'!I513)</f>
        <v/>
      </c>
      <c r="J513" s="172">
        <f>IF('Оперативный ввод'!J513="","",'Оперативный ввод'!J513)</f>
        <v/>
      </c>
      <c r="K513" s="172">
        <f>IF('Оперативный ввод'!K513="","",'Оперативный ввод'!K513)</f>
        <v/>
      </c>
      <c r="L513" s="172">
        <f>IF('Оперативный ввод'!L513="","",'Оперативный ввод'!L513)</f>
        <v/>
      </c>
      <c r="M513" s="172">
        <f>IF('Оперативный ввод'!M513="","",'Оперативный ввод'!M513)</f>
        <v/>
      </c>
      <c r="N513" s="172">
        <f>IF('Оперативный ввод'!N513="","",'Оперативный ввод'!N513)</f>
        <v/>
      </c>
      <c r="O513" s="172">
        <f>IF('Оперативный ввод'!O513="","",'Оперативный ввод'!O513)</f>
        <v/>
      </c>
      <c r="P513" s="205">
        <f>IF(AND(A513="",B513=""),"",IF(AND(A513&lt;&gt;"",B513&lt;&gt;"",C513&lt;&gt;"",D513&lt;&gt;"",F513&lt;&gt;"",G513&lt;&gt;"",H513&lt;&gt;"",ISERROR(SEARCH("по паспорту",G513)),ISERROR(SEARCH("по паспорту",H513)),I513&lt;&gt;"",J513&lt;&gt;"",K513&lt;&gt;"",L513&lt;&gt;"",M513&lt;&gt;""),"ГОТОВО","НЕ ГОТОВО"))</f>
        <v/>
      </c>
      <c r="Q513" s="205">
        <f>IF(P513&lt;&gt;"ГОТОВО","", "Предварительное заключение: "&amp;A513&amp;", скв. "&amp;B513&amp;". МРП: "&amp;E513&amp;" сут. ГНО: "&amp;F513&amp;", типоразмер "&amp;G513&amp;", марка "&amp;H513&amp;". Событие: "&amp;I513&amp;". Признак: "&amp;J513&amp;". Узел: "&amp;K513&amp;". Предварительная причина: "&amp;L513&amp;". Основное осложнение: "&amp;M513&amp;IF(N513&lt;&gt;"","; сопутствующее: "&amp;N513,"")&amp;IF(O513&lt;&gt;"","; дополнительно: "&amp;O513,"")&amp;".")</f>
        <v/>
      </c>
      <c r="R513" s="172">
        <f>IF('Оперативный ввод'!P513="","",'Оперативный ввод'!P513)</f>
        <v/>
      </c>
      <c r="S513" s="172">
        <f>IF('Оперативный ввод'!Q513="","",'Оперативный ввод'!Q513)</f>
        <v/>
      </c>
      <c r="T513" s="172">
        <f>IF('Оперативный ввод'!R513="","",'Оперативный ввод'!R513)</f>
        <v/>
      </c>
      <c r="U513" s="172">
        <f>IF('Оперативный ввод'!S513="","",'Оперативный ввод'!S513)</f>
        <v/>
      </c>
      <c r="V513" s="172">
        <f>IF('Оперативный ввод'!T513="","",'Оперативный ввод'!T513)</f>
        <v/>
      </c>
      <c r="W513" s="172" t="n"/>
      <c r="X513" s="172" t="n"/>
      <c r="Y513" s="172" t="n"/>
      <c r="Z513" s="172" t="n"/>
      <c r="AA513" s="172">
        <f>IF('Оперативный ввод'!U513="","",'Оперативный ввод'!U513)</f>
        <v/>
      </c>
      <c r="AB513" s="172">
        <f>IF('Оперативный ввод'!V513="","",'Оперативный ввод'!V513)</f>
        <v/>
      </c>
      <c r="AC513" s="172">
        <f>IF('Оперативный ввод'!W513="","",'Оперативный ввод'!W513)</f>
        <v/>
      </c>
      <c r="BB513" s="172" t="n"/>
      <c r="BC513" s="172" t="n"/>
      <c r="BD513" s="205">
        <f>IF(AND(A513="",B513=""),"",IF(AND(P513="ГОТОВО",R513&lt;&gt;"",T513&lt;&gt;"",U513&lt;&gt;"",AA513&lt;&gt;"",AB513&lt;&gt;"",AC513&lt;&gt;"",BB513&lt;&gt;"",BC513&lt;&gt;""),"ГОТОВО","НЕ ГОТОВО"))</f>
        <v/>
      </c>
      <c r="BE513" s="205">
        <f>IF(BD513&lt;&gt;"ГОТОВО","","Полное заключение: "&amp;A513&amp;", скв. "&amp;B513&amp;". МРП: "&amp;E513&amp;" сут. ГНО: "&amp;F513&amp;"; причина: "&amp;U513&amp;"; категория: "&amp;V513&amp;"; решение комиссии: "&amp;BB513&amp;".")</f>
        <v/>
      </c>
      <c r="BF513" s="173">
        <f>IF('Оперативный ввод'!X513="","",'Оперативный ввод'!X513)</f>
        <v/>
      </c>
    </row>
    <row r="514">
      <c r="A514" s="171">
        <f>IF('Оперативный ввод'!A514="","",'Оперативный ввод'!A514)</f>
        <v/>
      </c>
      <c r="B514" s="172">
        <f>IF('Оперативный ввод'!B514="","",'Оперативный ввод'!B514)</f>
        <v/>
      </c>
      <c r="C514" s="270">
        <f>IF('Оперативный ввод'!C514="","",'Оперативный ввод'!C514)</f>
        <v/>
      </c>
      <c r="D514" s="270">
        <f>IF('Оперативный ввод'!D514="","",'Оперативный ввод'!D514)</f>
        <v/>
      </c>
      <c r="E514" s="271">
        <f>IF(OR(C514="",D514=""),"",D514-C514)</f>
        <v/>
      </c>
      <c r="F514" s="172">
        <f>IF('Оперативный ввод'!F514="","",'Оперативный ввод'!F514)</f>
        <v/>
      </c>
      <c r="G514" s="172">
        <f>IF('Оперативный ввод'!G514="","",'Оперативный ввод'!G514)</f>
        <v/>
      </c>
      <c r="H514" s="172">
        <f>IF('Оперативный ввод'!H514="","",'Оперативный ввод'!H514)</f>
        <v/>
      </c>
      <c r="I514" s="172">
        <f>IF('Оперативный ввод'!I514="","",'Оперативный ввод'!I514)</f>
        <v/>
      </c>
      <c r="J514" s="172">
        <f>IF('Оперативный ввод'!J514="","",'Оперативный ввод'!J514)</f>
        <v/>
      </c>
      <c r="K514" s="172">
        <f>IF('Оперативный ввод'!K514="","",'Оперативный ввод'!K514)</f>
        <v/>
      </c>
      <c r="L514" s="172">
        <f>IF('Оперативный ввод'!L514="","",'Оперативный ввод'!L514)</f>
        <v/>
      </c>
      <c r="M514" s="172">
        <f>IF('Оперативный ввод'!M514="","",'Оперативный ввод'!M514)</f>
        <v/>
      </c>
      <c r="N514" s="172">
        <f>IF('Оперативный ввод'!N514="","",'Оперативный ввод'!N514)</f>
        <v/>
      </c>
      <c r="O514" s="172">
        <f>IF('Оперативный ввод'!O514="","",'Оперативный ввод'!O514)</f>
        <v/>
      </c>
      <c r="P514" s="205">
        <f>IF(AND(A514="",B514=""),"",IF(AND(A514&lt;&gt;"",B514&lt;&gt;"",C514&lt;&gt;"",D514&lt;&gt;"",F514&lt;&gt;"",G514&lt;&gt;"",H514&lt;&gt;"",ISERROR(SEARCH("по паспорту",G514)),ISERROR(SEARCH("по паспорту",H514)),I514&lt;&gt;"",J514&lt;&gt;"",K514&lt;&gt;"",L514&lt;&gt;"",M514&lt;&gt;""),"ГОТОВО","НЕ ГОТОВО"))</f>
        <v/>
      </c>
      <c r="Q514" s="205">
        <f>IF(P514&lt;&gt;"ГОТОВО","", "Предварительное заключение: "&amp;A514&amp;", скв. "&amp;B514&amp;". МРП: "&amp;E514&amp;" сут. ГНО: "&amp;F514&amp;", типоразмер "&amp;G514&amp;", марка "&amp;H514&amp;". Событие: "&amp;I514&amp;". Признак: "&amp;J514&amp;". Узел: "&amp;K514&amp;". Предварительная причина: "&amp;L514&amp;". Основное осложнение: "&amp;M514&amp;IF(N514&lt;&gt;"","; сопутствующее: "&amp;N514,"")&amp;IF(O514&lt;&gt;"","; дополнительно: "&amp;O514,"")&amp;".")</f>
        <v/>
      </c>
      <c r="R514" s="172">
        <f>IF('Оперативный ввод'!P514="","",'Оперативный ввод'!P514)</f>
        <v/>
      </c>
      <c r="S514" s="172">
        <f>IF('Оперативный ввод'!Q514="","",'Оперативный ввод'!Q514)</f>
        <v/>
      </c>
      <c r="T514" s="172">
        <f>IF('Оперативный ввод'!R514="","",'Оперативный ввод'!R514)</f>
        <v/>
      </c>
      <c r="U514" s="172">
        <f>IF('Оперативный ввод'!S514="","",'Оперативный ввод'!S514)</f>
        <v/>
      </c>
      <c r="V514" s="172">
        <f>IF('Оперативный ввод'!T514="","",'Оперативный ввод'!T514)</f>
        <v/>
      </c>
      <c r="W514" s="172" t="n"/>
      <c r="X514" s="172" t="n"/>
      <c r="Y514" s="172" t="n"/>
      <c r="Z514" s="172" t="n"/>
      <c r="AA514" s="172">
        <f>IF('Оперативный ввод'!U514="","",'Оперативный ввод'!U514)</f>
        <v/>
      </c>
      <c r="AB514" s="172">
        <f>IF('Оперативный ввод'!V514="","",'Оперативный ввод'!V514)</f>
        <v/>
      </c>
      <c r="AC514" s="172">
        <f>IF('Оперативный ввод'!W514="","",'Оперативный ввод'!W514)</f>
        <v/>
      </c>
      <c r="BB514" s="172" t="n"/>
      <c r="BC514" s="172" t="n"/>
      <c r="BD514" s="205">
        <f>IF(AND(A514="",B514=""),"",IF(AND(P514="ГОТОВО",R514&lt;&gt;"",T514&lt;&gt;"",U514&lt;&gt;"",AA514&lt;&gt;"",AB514&lt;&gt;"",AC514&lt;&gt;"",BB514&lt;&gt;"",BC514&lt;&gt;""),"ГОТОВО","НЕ ГОТОВО"))</f>
        <v/>
      </c>
      <c r="BE514" s="205">
        <f>IF(BD514&lt;&gt;"ГОТОВО","","Полное заключение: "&amp;A514&amp;", скв. "&amp;B514&amp;". МРП: "&amp;E514&amp;" сут. ГНО: "&amp;F514&amp;"; причина: "&amp;U514&amp;"; категория: "&amp;V514&amp;"; решение комиссии: "&amp;BB514&amp;".")</f>
        <v/>
      </c>
      <c r="BF514" s="173">
        <f>IF('Оперативный ввод'!X514="","",'Оперативный ввод'!X514)</f>
        <v/>
      </c>
    </row>
    <row r="515">
      <c r="A515" s="171">
        <f>IF('Оперативный ввод'!A515="","",'Оперативный ввод'!A515)</f>
        <v/>
      </c>
      <c r="B515" s="172">
        <f>IF('Оперативный ввод'!B515="","",'Оперативный ввод'!B515)</f>
        <v/>
      </c>
      <c r="C515" s="270">
        <f>IF('Оперативный ввод'!C515="","",'Оперативный ввод'!C515)</f>
        <v/>
      </c>
      <c r="D515" s="270">
        <f>IF('Оперативный ввод'!D515="","",'Оперативный ввод'!D515)</f>
        <v/>
      </c>
      <c r="E515" s="271">
        <f>IF(OR(C515="",D515=""),"",D515-C515)</f>
        <v/>
      </c>
      <c r="F515" s="172">
        <f>IF('Оперативный ввод'!F515="","",'Оперативный ввод'!F515)</f>
        <v/>
      </c>
      <c r="G515" s="172">
        <f>IF('Оперативный ввод'!G515="","",'Оперативный ввод'!G515)</f>
        <v/>
      </c>
      <c r="H515" s="172">
        <f>IF('Оперативный ввод'!H515="","",'Оперативный ввод'!H515)</f>
        <v/>
      </c>
      <c r="I515" s="172">
        <f>IF('Оперативный ввод'!I515="","",'Оперативный ввод'!I515)</f>
        <v/>
      </c>
      <c r="J515" s="172">
        <f>IF('Оперативный ввод'!J515="","",'Оперативный ввод'!J515)</f>
        <v/>
      </c>
      <c r="K515" s="172">
        <f>IF('Оперативный ввод'!K515="","",'Оперативный ввод'!K515)</f>
        <v/>
      </c>
      <c r="L515" s="172">
        <f>IF('Оперативный ввод'!L515="","",'Оперативный ввод'!L515)</f>
        <v/>
      </c>
      <c r="M515" s="172">
        <f>IF('Оперативный ввод'!M515="","",'Оперативный ввод'!M515)</f>
        <v/>
      </c>
      <c r="N515" s="172">
        <f>IF('Оперативный ввод'!N515="","",'Оперативный ввод'!N515)</f>
        <v/>
      </c>
      <c r="O515" s="172">
        <f>IF('Оперативный ввод'!O515="","",'Оперативный ввод'!O515)</f>
        <v/>
      </c>
      <c r="P515" s="205">
        <f>IF(AND(A515="",B515=""),"",IF(AND(A515&lt;&gt;"",B515&lt;&gt;"",C515&lt;&gt;"",D515&lt;&gt;"",F515&lt;&gt;"",G515&lt;&gt;"",H515&lt;&gt;"",ISERROR(SEARCH("по паспорту",G515)),ISERROR(SEARCH("по паспорту",H515)),I515&lt;&gt;"",J515&lt;&gt;"",K515&lt;&gt;"",L515&lt;&gt;"",M515&lt;&gt;""),"ГОТОВО","НЕ ГОТОВО"))</f>
        <v/>
      </c>
      <c r="Q515" s="205">
        <f>IF(P515&lt;&gt;"ГОТОВО","", "Предварительное заключение: "&amp;A515&amp;", скв. "&amp;B515&amp;". МРП: "&amp;E515&amp;" сут. ГНО: "&amp;F515&amp;", типоразмер "&amp;G515&amp;", марка "&amp;H515&amp;". Событие: "&amp;I515&amp;". Признак: "&amp;J515&amp;". Узел: "&amp;K515&amp;". Предварительная причина: "&amp;L515&amp;". Основное осложнение: "&amp;M515&amp;IF(N515&lt;&gt;"","; сопутствующее: "&amp;N515,"")&amp;IF(O515&lt;&gt;"","; дополнительно: "&amp;O515,"")&amp;".")</f>
        <v/>
      </c>
      <c r="R515" s="172">
        <f>IF('Оперативный ввод'!P515="","",'Оперативный ввод'!P515)</f>
        <v/>
      </c>
      <c r="S515" s="172">
        <f>IF('Оперативный ввод'!Q515="","",'Оперативный ввод'!Q515)</f>
        <v/>
      </c>
      <c r="T515" s="172">
        <f>IF('Оперативный ввод'!R515="","",'Оперативный ввод'!R515)</f>
        <v/>
      </c>
      <c r="U515" s="172">
        <f>IF('Оперативный ввод'!S515="","",'Оперативный ввод'!S515)</f>
        <v/>
      </c>
      <c r="V515" s="172">
        <f>IF('Оперативный ввод'!T515="","",'Оперативный ввод'!T515)</f>
        <v/>
      </c>
      <c r="W515" s="172" t="n"/>
      <c r="X515" s="172" t="n"/>
      <c r="Y515" s="172" t="n"/>
      <c r="Z515" s="172" t="n"/>
      <c r="AA515" s="172">
        <f>IF('Оперативный ввод'!U515="","",'Оперативный ввод'!U515)</f>
        <v/>
      </c>
      <c r="AB515" s="172">
        <f>IF('Оперативный ввод'!V515="","",'Оперативный ввод'!V515)</f>
        <v/>
      </c>
      <c r="AC515" s="172">
        <f>IF('Оперативный ввод'!W515="","",'Оперативный ввод'!W515)</f>
        <v/>
      </c>
      <c r="BB515" s="172" t="n"/>
      <c r="BC515" s="172" t="n"/>
      <c r="BD515" s="205">
        <f>IF(AND(A515="",B515=""),"",IF(AND(P515="ГОТОВО",R515&lt;&gt;"",T515&lt;&gt;"",U515&lt;&gt;"",AA515&lt;&gt;"",AB515&lt;&gt;"",AC515&lt;&gt;"",BB515&lt;&gt;"",BC515&lt;&gt;""),"ГОТОВО","НЕ ГОТОВО"))</f>
        <v/>
      </c>
      <c r="BE515" s="205">
        <f>IF(BD515&lt;&gt;"ГОТОВО","","Полное заключение: "&amp;A515&amp;", скв. "&amp;B515&amp;". МРП: "&amp;E515&amp;" сут. ГНО: "&amp;F515&amp;"; причина: "&amp;U515&amp;"; категория: "&amp;V515&amp;"; решение комиссии: "&amp;BB515&amp;".")</f>
        <v/>
      </c>
      <c r="BF515" s="173">
        <f>IF('Оперативный ввод'!X515="","",'Оперативный ввод'!X515)</f>
        <v/>
      </c>
    </row>
    <row r="516">
      <c r="A516" s="171">
        <f>IF('Оперативный ввод'!A516="","",'Оперативный ввод'!A516)</f>
        <v/>
      </c>
      <c r="B516" s="172">
        <f>IF('Оперативный ввод'!B516="","",'Оперативный ввод'!B516)</f>
        <v/>
      </c>
      <c r="C516" s="270">
        <f>IF('Оперативный ввод'!C516="","",'Оперативный ввод'!C516)</f>
        <v/>
      </c>
      <c r="D516" s="270">
        <f>IF('Оперативный ввод'!D516="","",'Оперативный ввод'!D516)</f>
        <v/>
      </c>
      <c r="E516" s="271">
        <f>IF(OR(C516="",D516=""),"",D516-C516)</f>
        <v/>
      </c>
      <c r="F516" s="172">
        <f>IF('Оперативный ввод'!F516="","",'Оперативный ввод'!F516)</f>
        <v/>
      </c>
      <c r="G516" s="172">
        <f>IF('Оперативный ввод'!G516="","",'Оперативный ввод'!G516)</f>
        <v/>
      </c>
      <c r="H516" s="172">
        <f>IF('Оперативный ввод'!H516="","",'Оперативный ввод'!H516)</f>
        <v/>
      </c>
      <c r="I516" s="172">
        <f>IF('Оперативный ввод'!I516="","",'Оперативный ввод'!I516)</f>
        <v/>
      </c>
      <c r="J516" s="172">
        <f>IF('Оперативный ввод'!J516="","",'Оперативный ввод'!J516)</f>
        <v/>
      </c>
      <c r="K516" s="172">
        <f>IF('Оперативный ввод'!K516="","",'Оперативный ввод'!K516)</f>
        <v/>
      </c>
      <c r="L516" s="172">
        <f>IF('Оперативный ввод'!L516="","",'Оперативный ввод'!L516)</f>
        <v/>
      </c>
      <c r="M516" s="172">
        <f>IF('Оперативный ввод'!M516="","",'Оперативный ввод'!M516)</f>
        <v/>
      </c>
      <c r="N516" s="172">
        <f>IF('Оперативный ввод'!N516="","",'Оперативный ввод'!N516)</f>
        <v/>
      </c>
      <c r="O516" s="172">
        <f>IF('Оперативный ввод'!O516="","",'Оперативный ввод'!O516)</f>
        <v/>
      </c>
      <c r="P516" s="205">
        <f>IF(AND(A516="",B516=""),"",IF(AND(A516&lt;&gt;"",B516&lt;&gt;"",C516&lt;&gt;"",D516&lt;&gt;"",F516&lt;&gt;"",G516&lt;&gt;"",H516&lt;&gt;"",ISERROR(SEARCH("по паспорту",G516)),ISERROR(SEARCH("по паспорту",H516)),I516&lt;&gt;"",J516&lt;&gt;"",K516&lt;&gt;"",L516&lt;&gt;"",M516&lt;&gt;""),"ГОТОВО","НЕ ГОТОВО"))</f>
        <v/>
      </c>
      <c r="Q516" s="205">
        <f>IF(P516&lt;&gt;"ГОТОВО","", "Предварительное заключение: "&amp;A516&amp;", скв. "&amp;B516&amp;". МРП: "&amp;E516&amp;" сут. ГНО: "&amp;F516&amp;", типоразмер "&amp;G516&amp;", марка "&amp;H516&amp;". Событие: "&amp;I516&amp;". Признак: "&amp;J516&amp;". Узел: "&amp;K516&amp;". Предварительная причина: "&amp;L516&amp;". Основное осложнение: "&amp;M516&amp;IF(N516&lt;&gt;"","; сопутствующее: "&amp;N516,"")&amp;IF(O516&lt;&gt;"","; дополнительно: "&amp;O516,"")&amp;".")</f>
        <v/>
      </c>
      <c r="R516" s="172">
        <f>IF('Оперативный ввод'!P516="","",'Оперативный ввод'!P516)</f>
        <v/>
      </c>
      <c r="S516" s="172">
        <f>IF('Оперативный ввод'!Q516="","",'Оперативный ввод'!Q516)</f>
        <v/>
      </c>
      <c r="T516" s="172">
        <f>IF('Оперативный ввод'!R516="","",'Оперативный ввод'!R516)</f>
        <v/>
      </c>
      <c r="U516" s="172">
        <f>IF('Оперативный ввод'!S516="","",'Оперативный ввод'!S516)</f>
        <v/>
      </c>
      <c r="V516" s="172">
        <f>IF('Оперативный ввод'!T516="","",'Оперативный ввод'!T516)</f>
        <v/>
      </c>
      <c r="W516" s="172" t="n"/>
      <c r="X516" s="172" t="n"/>
      <c r="Y516" s="172" t="n"/>
      <c r="Z516" s="172" t="n"/>
      <c r="AA516" s="172">
        <f>IF('Оперативный ввод'!U516="","",'Оперативный ввод'!U516)</f>
        <v/>
      </c>
      <c r="AB516" s="172">
        <f>IF('Оперативный ввод'!V516="","",'Оперативный ввод'!V516)</f>
        <v/>
      </c>
      <c r="AC516" s="172">
        <f>IF('Оперативный ввод'!W516="","",'Оперативный ввод'!W516)</f>
        <v/>
      </c>
      <c r="BB516" s="172" t="n"/>
      <c r="BC516" s="172" t="n"/>
      <c r="BD516" s="205">
        <f>IF(AND(A516="",B516=""),"",IF(AND(P516="ГОТОВО",R516&lt;&gt;"",T516&lt;&gt;"",U516&lt;&gt;"",AA516&lt;&gt;"",AB516&lt;&gt;"",AC516&lt;&gt;"",BB516&lt;&gt;"",BC516&lt;&gt;""),"ГОТОВО","НЕ ГОТОВО"))</f>
        <v/>
      </c>
      <c r="BE516" s="205">
        <f>IF(BD516&lt;&gt;"ГОТОВО","","Полное заключение: "&amp;A516&amp;", скв. "&amp;B516&amp;". МРП: "&amp;E516&amp;" сут. ГНО: "&amp;F516&amp;"; причина: "&amp;U516&amp;"; категория: "&amp;V516&amp;"; решение комиссии: "&amp;BB516&amp;".")</f>
        <v/>
      </c>
      <c r="BF516" s="173">
        <f>IF('Оперативный ввод'!X516="","",'Оперативный ввод'!X516)</f>
        <v/>
      </c>
    </row>
    <row r="517">
      <c r="A517" s="171">
        <f>IF('Оперативный ввод'!A517="","",'Оперативный ввод'!A517)</f>
        <v/>
      </c>
      <c r="B517" s="172">
        <f>IF('Оперативный ввод'!B517="","",'Оперативный ввод'!B517)</f>
        <v/>
      </c>
      <c r="C517" s="270">
        <f>IF('Оперативный ввод'!C517="","",'Оперативный ввод'!C517)</f>
        <v/>
      </c>
      <c r="D517" s="270">
        <f>IF('Оперативный ввод'!D517="","",'Оперативный ввод'!D517)</f>
        <v/>
      </c>
      <c r="E517" s="271">
        <f>IF(OR(C517="",D517=""),"",D517-C517)</f>
        <v/>
      </c>
      <c r="F517" s="172">
        <f>IF('Оперативный ввод'!F517="","",'Оперативный ввод'!F517)</f>
        <v/>
      </c>
      <c r="G517" s="172">
        <f>IF('Оперативный ввод'!G517="","",'Оперативный ввод'!G517)</f>
        <v/>
      </c>
      <c r="H517" s="172">
        <f>IF('Оперативный ввод'!H517="","",'Оперативный ввод'!H517)</f>
        <v/>
      </c>
      <c r="I517" s="172">
        <f>IF('Оперативный ввод'!I517="","",'Оперативный ввод'!I517)</f>
        <v/>
      </c>
      <c r="J517" s="172">
        <f>IF('Оперативный ввод'!J517="","",'Оперативный ввод'!J517)</f>
        <v/>
      </c>
      <c r="K517" s="172">
        <f>IF('Оперативный ввод'!K517="","",'Оперативный ввод'!K517)</f>
        <v/>
      </c>
      <c r="L517" s="172">
        <f>IF('Оперативный ввод'!L517="","",'Оперативный ввод'!L517)</f>
        <v/>
      </c>
      <c r="M517" s="172">
        <f>IF('Оперативный ввод'!M517="","",'Оперативный ввод'!M517)</f>
        <v/>
      </c>
      <c r="N517" s="172">
        <f>IF('Оперативный ввод'!N517="","",'Оперативный ввод'!N517)</f>
        <v/>
      </c>
      <c r="O517" s="172">
        <f>IF('Оперативный ввод'!O517="","",'Оперативный ввод'!O517)</f>
        <v/>
      </c>
      <c r="P517" s="205">
        <f>IF(AND(A517="",B517=""),"",IF(AND(A517&lt;&gt;"",B517&lt;&gt;"",C517&lt;&gt;"",D517&lt;&gt;"",F517&lt;&gt;"",G517&lt;&gt;"",H517&lt;&gt;"",ISERROR(SEARCH("по паспорту",G517)),ISERROR(SEARCH("по паспорту",H517)),I517&lt;&gt;"",J517&lt;&gt;"",K517&lt;&gt;"",L517&lt;&gt;"",M517&lt;&gt;""),"ГОТОВО","НЕ ГОТОВО"))</f>
        <v/>
      </c>
      <c r="Q517" s="205">
        <f>IF(P517&lt;&gt;"ГОТОВО","", "Предварительное заключение: "&amp;A517&amp;", скв. "&amp;B517&amp;". МРП: "&amp;E517&amp;" сут. ГНО: "&amp;F517&amp;", типоразмер "&amp;G517&amp;", марка "&amp;H517&amp;". Событие: "&amp;I517&amp;". Признак: "&amp;J517&amp;". Узел: "&amp;K517&amp;". Предварительная причина: "&amp;L517&amp;". Основное осложнение: "&amp;M517&amp;IF(N517&lt;&gt;"","; сопутствующее: "&amp;N517,"")&amp;IF(O517&lt;&gt;"","; дополнительно: "&amp;O517,"")&amp;".")</f>
        <v/>
      </c>
      <c r="R517" s="172">
        <f>IF('Оперативный ввод'!P517="","",'Оперативный ввод'!P517)</f>
        <v/>
      </c>
      <c r="S517" s="172">
        <f>IF('Оперативный ввод'!Q517="","",'Оперативный ввод'!Q517)</f>
        <v/>
      </c>
      <c r="T517" s="172">
        <f>IF('Оперативный ввод'!R517="","",'Оперативный ввод'!R517)</f>
        <v/>
      </c>
      <c r="U517" s="172">
        <f>IF('Оперативный ввод'!S517="","",'Оперативный ввод'!S517)</f>
        <v/>
      </c>
      <c r="V517" s="172">
        <f>IF('Оперативный ввод'!T517="","",'Оперативный ввод'!T517)</f>
        <v/>
      </c>
      <c r="W517" s="172" t="n"/>
      <c r="X517" s="172" t="n"/>
      <c r="Y517" s="172" t="n"/>
      <c r="Z517" s="172" t="n"/>
      <c r="AA517" s="172">
        <f>IF('Оперативный ввод'!U517="","",'Оперативный ввод'!U517)</f>
        <v/>
      </c>
      <c r="AB517" s="172">
        <f>IF('Оперативный ввод'!V517="","",'Оперативный ввод'!V517)</f>
        <v/>
      </c>
      <c r="AC517" s="172">
        <f>IF('Оперативный ввод'!W517="","",'Оперативный ввод'!W517)</f>
        <v/>
      </c>
      <c r="BB517" s="172" t="n"/>
      <c r="BC517" s="172" t="n"/>
      <c r="BD517" s="205">
        <f>IF(AND(A517="",B517=""),"",IF(AND(P517="ГОТОВО",R517&lt;&gt;"",T517&lt;&gt;"",U517&lt;&gt;"",AA517&lt;&gt;"",AB517&lt;&gt;"",AC517&lt;&gt;"",BB517&lt;&gt;"",BC517&lt;&gt;""),"ГОТОВО","НЕ ГОТОВО"))</f>
        <v/>
      </c>
      <c r="BE517" s="205">
        <f>IF(BD517&lt;&gt;"ГОТОВО","","Полное заключение: "&amp;A517&amp;", скв. "&amp;B517&amp;". МРП: "&amp;E517&amp;" сут. ГНО: "&amp;F517&amp;"; причина: "&amp;U517&amp;"; категория: "&amp;V517&amp;"; решение комиссии: "&amp;BB517&amp;".")</f>
        <v/>
      </c>
      <c r="BF517" s="173">
        <f>IF('Оперативный ввод'!X517="","",'Оперативный ввод'!X517)</f>
        <v/>
      </c>
    </row>
    <row r="518">
      <c r="A518" s="171">
        <f>IF('Оперативный ввод'!A518="","",'Оперативный ввод'!A518)</f>
        <v/>
      </c>
      <c r="B518" s="172">
        <f>IF('Оперативный ввод'!B518="","",'Оперативный ввод'!B518)</f>
        <v/>
      </c>
      <c r="C518" s="270">
        <f>IF('Оперативный ввод'!C518="","",'Оперативный ввод'!C518)</f>
        <v/>
      </c>
      <c r="D518" s="270">
        <f>IF('Оперативный ввод'!D518="","",'Оперативный ввод'!D518)</f>
        <v/>
      </c>
      <c r="E518" s="271">
        <f>IF(OR(C518="",D518=""),"",D518-C518)</f>
        <v/>
      </c>
      <c r="F518" s="172">
        <f>IF('Оперативный ввод'!F518="","",'Оперативный ввод'!F518)</f>
        <v/>
      </c>
      <c r="G518" s="172">
        <f>IF('Оперативный ввод'!G518="","",'Оперативный ввод'!G518)</f>
        <v/>
      </c>
      <c r="H518" s="172">
        <f>IF('Оперативный ввод'!H518="","",'Оперативный ввод'!H518)</f>
        <v/>
      </c>
      <c r="I518" s="172">
        <f>IF('Оперативный ввод'!I518="","",'Оперативный ввод'!I518)</f>
        <v/>
      </c>
      <c r="J518" s="172">
        <f>IF('Оперативный ввод'!J518="","",'Оперативный ввод'!J518)</f>
        <v/>
      </c>
      <c r="K518" s="172">
        <f>IF('Оперативный ввод'!K518="","",'Оперативный ввод'!K518)</f>
        <v/>
      </c>
      <c r="L518" s="172">
        <f>IF('Оперативный ввод'!L518="","",'Оперативный ввод'!L518)</f>
        <v/>
      </c>
      <c r="M518" s="172">
        <f>IF('Оперативный ввод'!M518="","",'Оперативный ввод'!M518)</f>
        <v/>
      </c>
      <c r="N518" s="172">
        <f>IF('Оперативный ввод'!N518="","",'Оперативный ввод'!N518)</f>
        <v/>
      </c>
      <c r="O518" s="172">
        <f>IF('Оперативный ввод'!O518="","",'Оперативный ввод'!O518)</f>
        <v/>
      </c>
      <c r="P518" s="205">
        <f>IF(AND(A518="",B518=""),"",IF(AND(A518&lt;&gt;"",B518&lt;&gt;"",C518&lt;&gt;"",D518&lt;&gt;"",F518&lt;&gt;"",G518&lt;&gt;"",H518&lt;&gt;"",ISERROR(SEARCH("по паспорту",G518)),ISERROR(SEARCH("по паспорту",H518)),I518&lt;&gt;"",J518&lt;&gt;"",K518&lt;&gt;"",L518&lt;&gt;"",M518&lt;&gt;""),"ГОТОВО","НЕ ГОТОВО"))</f>
        <v/>
      </c>
      <c r="Q518" s="205">
        <f>IF(P518&lt;&gt;"ГОТОВО","", "Предварительное заключение: "&amp;A518&amp;", скв. "&amp;B518&amp;". МРП: "&amp;E518&amp;" сут. ГНО: "&amp;F518&amp;", типоразмер "&amp;G518&amp;", марка "&amp;H518&amp;". Событие: "&amp;I518&amp;". Признак: "&amp;J518&amp;". Узел: "&amp;K518&amp;". Предварительная причина: "&amp;L518&amp;". Основное осложнение: "&amp;M518&amp;IF(N518&lt;&gt;"","; сопутствующее: "&amp;N518,"")&amp;IF(O518&lt;&gt;"","; дополнительно: "&amp;O518,"")&amp;".")</f>
        <v/>
      </c>
      <c r="R518" s="172">
        <f>IF('Оперативный ввод'!P518="","",'Оперативный ввод'!P518)</f>
        <v/>
      </c>
      <c r="S518" s="172">
        <f>IF('Оперативный ввод'!Q518="","",'Оперативный ввод'!Q518)</f>
        <v/>
      </c>
      <c r="T518" s="172">
        <f>IF('Оперативный ввод'!R518="","",'Оперативный ввод'!R518)</f>
        <v/>
      </c>
      <c r="U518" s="172">
        <f>IF('Оперативный ввод'!S518="","",'Оперативный ввод'!S518)</f>
        <v/>
      </c>
      <c r="V518" s="172">
        <f>IF('Оперативный ввод'!T518="","",'Оперативный ввод'!T518)</f>
        <v/>
      </c>
      <c r="W518" s="172" t="n"/>
      <c r="X518" s="172" t="n"/>
      <c r="Y518" s="172" t="n"/>
      <c r="Z518" s="172" t="n"/>
      <c r="AA518" s="172">
        <f>IF('Оперативный ввод'!U518="","",'Оперативный ввод'!U518)</f>
        <v/>
      </c>
      <c r="AB518" s="172">
        <f>IF('Оперативный ввод'!V518="","",'Оперативный ввод'!V518)</f>
        <v/>
      </c>
      <c r="AC518" s="172">
        <f>IF('Оперативный ввод'!W518="","",'Оперативный ввод'!W518)</f>
        <v/>
      </c>
      <c r="BB518" s="172" t="n"/>
      <c r="BC518" s="172" t="n"/>
      <c r="BD518" s="205">
        <f>IF(AND(A518="",B518=""),"",IF(AND(P518="ГОТОВО",R518&lt;&gt;"",T518&lt;&gt;"",U518&lt;&gt;"",AA518&lt;&gt;"",AB518&lt;&gt;"",AC518&lt;&gt;"",BB518&lt;&gt;"",BC518&lt;&gt;""),"ГОТОВО","НЕ ГОТОВО"))</f>
        <v/>
      </c>
      <c r="BE518" s="205">
        <f>IF(BD518&lt;&gt;"ГОТОВО","","Полное заключение: "&amp;A518&amp;", скв. "&amp;B518&amp;". МРП: "&amp;E518&amp;" сут. ГНО: "&amp;F518&amp;"; причина: "&amp;U518&amp;"; категория: "&amp;V518&amp;"; решение комиссии: "&amp;BB518&amp;".")</f>
        <v/>
      </c>
      <c r="BF518" s="173">
        <f>IF('Оперативный ввод'!X518="","",'Оперативный ввод'!X518)</f>
        <v/>
      </c>
    </row>
    <row r="519">
      <c r="A519" s="171">
        <f>IF('Оперативный ввод'!A519="","",'Оперативный ввод'!A519)</f>
        <v/>
      </c>
      <c r="B519" s="172">
        <f>IF('Оперативный ввод'!B519="","",'Оперативный ввод'!B519)</f>
        <v/>
      </c>
      <c r="C519" s="270">
        <f>IF('Оперативный ввод'!C519="","",'Оперативный ввод'!C519)</f>
        <v/>
      </c>
      <c r="D519" s="270">
        <f>IF('Оперативный ввод'!D519="","",'Оперативный ввод'!D519)</f>
        <v/>
      </c>
      <c r="E519" s="271">
        <f>IF(OR(C519="",D519=""),"",D519-C519)</f>
        <v/>
      </c>
      <c r="F519" s="172">
        <f>IF('Оперативный ввод'!F519="","",'Оперативный ввод'!F519)</f>
        <v/>
      </c>
      <c r="G519" s="172">
        <f>IF('Оперативный ввод'!G519="","",'Оперативный ввод'!G519)</f>
        <v/>
      </c>
      <c r="H519" s="172">
        <f>IF('Оперативный ввод'!H519="","",'Оперативный ввод'!H519)</f>
        <v/>
      </c>
      <c r="I519" s="172">
        <f>IF('Оперативный ввод'!I519="","",'Оперативный ввод'!I519)</f>
        <v/>
      </c>
      <c r="J519" s="172">
        <f>IF('Оперативный ввод'!J519="","",'Оперативный ввод'!J519)</f>
        <v/>
      </c>
      <c r="K519" s="172">
        <f>IF('Оперативный ввод'!K519="","",'Оперативный ввод'!K519)</f>
        <v/>
      </c>
      <c r="L519" s="172">
        <f>IF('Оперативный ввод'!L519="","",'Оперативный ввод'!L519)</f>
        <v/>
      </c>
      <c r="M519" s="172">
        <f>IF('Оперативный ввод'!M519="","",'Оперативный ввод'!M519)</f>
        <v/>
      </c>
      <c r="N519" s="172">
        <f>IF('Оперативный ввод'!N519="","",'Оперативный ввод'!N519)</f>
        <v/>
      </c>
      <c r="O519" s="172">
        <f>IF('Оперативный ввод'!O519="","",'Оперативный ввод'!O519)</f>
        <v/>
      </c>
      <c r="P519" s="205">
        <f>IF(AND(A519="",B519=""),"",IF(AND(A519&lt;&gt;"",B519&lt;&gt;"",C519&lt;&gt;"",D519&lt;&gt;"",F519&lt;&gt;"",G519&lt;&gt;"",H519&lt;&gt;"",ISERROR(SEARCH("по паспорту",G519)),ISERROR(SEARCH("по паспорту",H519)),I519&lt;&gt;"",J519&lt;&gt;"",K519&lt;&gt;"",L519&lt;&gt;"",M519&lt;&gt;""),"ГОТОВО","НЕ ГОТОВО"))</f>
        <v/>
      </c>
      <c r="Q519" s="205">
        <f>IF(P519&lt;&gt;"ГОТОВО","", "Предварительное заключение: "&amp;A519&amp;", скв. "&amp;B519&amp;". МРП: "&amp;E519&amp;" сут. ГНО: "&amp;F519&amp;", типоразмер "&amp;G519&amp;", марка "&amp;H519&amp;". Событие: "&amp;I519&amp;". Признак: "&amp;J519&amp;". Узел: "&amp;K519&amp;". Предварительная причина: "&amp;L519&amp;". Основное осложнение: "&amp;M519&amp;IF(N519&lt;&gt;"","; сопутствующее: "&amp;N519,"")&amp;IF(O519&lt;&gt;"","; дополнительно: "&amp;O519,"")&amp;".")</f>
        <v/>
      </c>
      <c r="R519" s="172">
        <f>IF('Оперативный ввод'!P519="","",'Оперативный ввод'!P519)</f>
        <v/>
      </c>
      <c r="S519" s="172">
        <f>IF('Оперативный ввод'!Q519="","",'Оперативный ввод'!Q519)</f>
        <v/>
      </c>
      <c r="T519" s="172">
        <f>IF('Оперативный ввод'!R519="","",'Оперативный ввод'!R519)</f>
        <v/>
      </c>
      <c r="U519" s="172">
        <f>IF('Оперативный ввод'!S519="","",'Оперативный ввод'!S519)</f>
        <v/>
      </c>
      <c r="V519" s="172">
        <f>IF('Оперативный ввод'!T519="","",'Оперативный ввод'!T519)</f>
        <v/>
      </c>
      <c r="W519" s="172" t="n"/>
      <c r="X519" s="172" t="n"/>
      <c r="Y519" s="172" t="n"/>
      <c r="Z519" s="172" t="n"/>
      <c r="AA519" s="172">
        <f>IF('Оперативный ввод'!U519="","",'Оперативный ввод'!U519)</f>
        <v/>
      </c>
      <c r="AB519" s="172">
        <f>IF('Оперативный ввод'!V519="","",'Оперативный ввод'!V519)</f>
        <v/>
      </c>
      <c r="AC519" s="172">
        <f>IF('Оперативный ввод'!W519="","",'Оперативный ввод'!W519)</f>
        <v/>
      </c>
      <c r="BB519" s="172" t="n"/>
      <c r="BC519" s="172" t="n"/>
      <c r="BD519" s="205">
        <f>IF(AND(A519="",B519=""),"",IF(AND(P519="ГОТОВО",R519&lt;&gt;"",T519&lt;&gt;"",U519&lt;&gt;"",AA519&lt;&gt;"",AB519&lt;&gt;"",AC519&lt;&gt;"",BB519&lt;&gt;"",BC519&lt;&gt;""),"ГОТОВО","НЕ ГОТОВО"))</f>
        <v/>
      </c>
      <c r="BE519" s="205">
        <f>IF(BD519&lt;&gt;"ГОТОВО","","Полное заключение: "&amp;A519&amp;", скв. "&amp;B519&amp;". МРП: "&amp;E519&amp;" сут. ГНО: "&amp;F519&amp;"; причина: "&amp;U519&amp;"; категория: "&amp;V519&amp;"; решение комиссии: "&amp;BB519&amp;".")</f>
        <v/>
      </c>
      <c r="BF519" s="173">
        <f>IF('Оперативный ввод'!X519="","",'Оперативный ввод'!X519)</f>
        <v/>
      </c>
    </row>
    <row r="520">
      <c r="A520" s="171">
        <f>IF('Оперативный ввод'!A520="","",'Оперативный ввод'!A520)</f>
        <v/>
      </c>
      <c r="B520" s="172">
        <f>IF('Оперативный ввод'!B520="","",'Оперативный ввод'!B520)</f>
        <v/>
      </c>
      <c r="C520" s="270">
        <f>IF('Оперативный ввод'!C520="","",'Оперативный ввод'!C520)</f>
        <v/>
      </c>
      <c r="D520" s="270">
        <f>IF('Оперативный ввод'!D520="","",'Оперативный ввод'!D520)</f>
        <v/>
      </c>
      <c r="E520" s="271">
        <f>IF(OR(C520="",D520=""),"",D520-C520)</f>
        <v/>
      </c>
      <c r="F520" s="172">
        <f>IF('Оперативный ввод'!F520="","",'Оперативный ввод'!F520)</f>
        <v/>
      </c>
      <c r="G520" s="172">
        <f>IF('Оперативный ввод'!G520="","",'Оперативный ввод'!G520)</f>
        <v/>
      </c>
      <c r="H520" s="172">
        <f>IF('Оперативный ввод'!H520="","",'Оперативный ввод'!H520)</f>
        <v/>
      </c>
      <c r="I520" s="172">
        <f>IF('Оперативный ввод'!I520="","",'Оперативный ввод'!I520)</f>
        <v/>
      </c>
      <c r="J520" s="172">
        <f>IF('Оперативный ввод'!J520="","",'Оперативный ввод'!J520)</f>
        <v/>
      </c>
      <c r="K520" s="172">
        <f>IF('Оперативный ввод'!K520="","",'Оперативный ввод'!K520)</f>
        <v/>
      </c>
      <c r="L520" s="172">
        <f>IF('Оперативный ввод'!L520="","",'Оперативный ввод'!L520)</f>
        <v/>
      </c>
      <c r="M520" s="172">
        <f>IF('Оперативный ввод'!M520="","",'Оперативный ввод'!M520)</f>
        <v/>
      </c>
      <c r="N520" s="172">
        <f>IF('Оперативный ввод'!N520="","",'Оперативный ввод'!N520)</f>
        <v/>
      </c>
      <c r="O520" s="172">
        <f>IF('Оперативный ввод'!O520="","",'Оперативный ввод'!O520)</f>
        <v/>
      </c>
      <c r="P520" s="205">
        <f>IF(AND(A520="",B520=""),"",IF(AND(A520&lt;&gt;"",B520&lt;&gt;"",C520&lt;&gt;"",D520&lt;&gt;"",F520&lt;&gt;"",G520&lt;&gt;"",H520&lt;&gt;"",ISERROR(SEARCH("по паспорту",G520)),ISERROR(SEARCH("по паспорту",H520)),I520&lt;&gt;"",J520&lt;&gt;"",K520&lt;&gt;"",L520&lt;&gt;"",M520&lt;&gt;""),"ГОТОВО","НЕ ГОТОВО"))</f>
        <v/>
      </c>
      <c r="Q520" s="205">
        <f>IF(P520&lt;&gt;"ГОТОВО","", "Предварительное заключение: "&amp;A520&amp;", скв. "&amp;B520&amp;". МРП: "&amp;E520&amp;" сут. ГНО: "&amp;F520&amp;", типоразмер "&amp;G520&amp;", марка "&amp;H520&amp;". Событие: "&amp;I520&amp;". Признак: "&amp;J520&amp;". Узел: "&amp;K520&amp;". Предварительная причина: "&amp;L520&amp;". Основное осложнение: "&amp;M520&amp;IF(N520&lt;&gt;"","; сопутствующее: "&amp;N520,"")&amp;IF(O520&lt;&gt;"","; дополнительно: "&amp;O520,"")&amp;".")</f>
        <v/>
      </c>
      <c r="R520" s="172">
        <f>IF('Оперативный ввод'!P520="","",'Оперативный ввод'!P520)</f>
        <v/>
      </c>
      <c r="S520" s="172">
        <f>IF('Оперативный ввод'!Q520="","",'Оперативный ввод'!Q520)</f>
        <v/>
      </c>
      <c r="T520" s="172">
        <f>IF('Оперативный ввод'!R520="","",'Оперативный ввод'!R520)</f>
        <v/>
      </c>
      <c r="U520" s="172">
        <f>IF('Оперативный ввод'!S520="","",'Оперативный ввод'!S520)</f>
        <v/>
      </c>
      <c r="V520" s="172">
        <f>IF('Оперативный ввод'!T520="","",'Оперативный ввод'!T520)</f>
        <v/>
      </c>
      <c r="W520" s="172" t="n"/>
      <c r="X520" s="172" t="n"/>
      <c r="Y520" s="172" t="n"/>
      <c r="Z520" s="172" t="n"/>
      <c r="AA520" s="172">
        <f>IF('Оперативный ввод'!U520="","",'Оперативный ввод'!U520)</f>
        <v/>
      </c>
      <c r="AB520" s="172">
        <f>IF('Оперативный ввод'!V520="","",'Оперативный ввод'!V520)</f>
        <v/>
      </c>
      <c r="AC520" s="172">
        <f>IF('Оперативный ввод'!W520="","",'Оперативный ввод'!W520)</f>
        <v/>
      </c>
      <c r="BB520" s="172" t="n"/>
      <c r="BC520" s="172" t="n"/>
      <c r="BD520" s="205">
        <f>IF(AND(A520="",B520=""),"",IF(AND(P520="ГОТОВО",R520&lt;&gt;"",T520&lt;&gt;"",U520&lt;&gt;"",AA520&lt;&gt;"",AB520&lt;&gt;"",AC520&lt;&gt;"",BB520&lt;&gt;"",BC520&lt;&gt;""),"ГОТОВО","НЕ ГОТОВО"))</f>
        <v/>
      </c>
      <c r="BE520" s="205">
        <f>IF(BD520&lt;&gt;"ГОТОВО","","Полное заключение: "&amp;A520&amp;", скв. "&amp;B520&amp;". МРП: "&amp;E520&amp;" сут. ГНО: "&amp;F520&amp;"; причина: "&amp;U520&amp;"; категория: "&amp;V520&amp;"; решение комиссии: "&amp;BB520&amp;".")</f>
        <v/>
      </c>
      <c r="BF520" s="173">
        <f>IF('Оперативный ввод'!X520="","",'Оперативный ввод'!X520)</f>
        <v/>
      </c>
    </row>
    <row r="521">
      <c r="A521" s="171">
        <f>IF('Оперативный ввод'!A521="","",'Оперативный ввод'!A521)</f>
        <v/>
      </c>
      <c r="B521" s="172">
        <f>IF('Оперативный ввод'!B521="","",'Оперативный ввод'!B521)</f>
        <v/>
      </c>
      <c r="C521" s="270">
        <f>IF('Оперативный ввод'!C521="","",'Оперативный ввод'!C521)</f>
        <v/>
      </c>
      <c r="D521" s="270">
        <f>IF('Оперативный ввод'!D521="","",'Оперативный ввод'!D521)</f>
        <v/>
      </c>
      <c r="E521" s="271">
        <f>IF(OR(C521="",D521=""),"",D521-C521)</f>
        <v/>
      </c>
      <c r="F521" s="172">
        <f>IF('Оперативный ввод'!F521="","",'Оперативный ввод'!F521)</f>
        <v/>
      </c>
      <c r="G521" s="172">
        <f>IF('Оперативный ввод'!G521="","",'Оперативный ввод'!G521)</f>
        <v/>
      </c>
      <c r="H521" s="172">
        <f>IF('Оперативный ввод'!H521="","",'Оперативный ввод'!H521)</f>
        <v/>
      </c>
      <c r="I521" s="172">
        <f>IF('Оперативный ввод'!I521="","",'Оперативный ввод'!I521)</f>
        <v/>
      </c>
      <c r="J521" s="172">
        <f>IF('Оперативный ввод'!J521="","",'Оперативный ввод'!J521)</f>
        <v/>
      </c>
      <c r="K521" s="172">
        <f>IF('Оперативный ввод'!K521="","",'Оперативный ввод'!K521)</f>
        <v/>
      </c>
      <c r="L521" s="172">
        <f>IF('Оперативный ввод'!L521="","",'Оперативный ввод'!L521)</f>
        <v/>
      </c>
      <c r="M521" s="172">
        <f>IF('Оперативный ввод'!M521="","",'Оперативный ввод'!M521)</f>
        <v/>
      </c>
      <c r="N521" s="172">
        <f>IF('Оперативный ввод'!N521="","",'Оперативный ввод'!N521)</f>
        <v/>
      </c>
      <c r="O521" s="172">
        <f>IF('Оперативный ввод'!O521="","",'Оперативный ввод'!O521)</f>
        <v/>
      </c>
      <c r="P521" s="205">
        <f>IF(AND(A521="",B521=""),"",IF(AND(A521&lt;&gt;"",B521&lt;&gt;"",C521&lt;&gt;"",D521&lt;&gt;"",F521&lt;&gt;"",G521&lt;&gt;"",H521&lt;&gt;"",ISERROR(SEARCH("по паспорту",G521)),ISERROR(SEARCH("по паспорту",H521)),I521&lt;&gt;"",J521&lt;&gt;"",K521&lt;&gt;"",L521&lt;&gt;"",M521&lt;&gt;""),"ГОТОВО","НЕ ГОТОВО"))</f>
        <v/>
      </c>
      <c r="Q521" s="205">
        <f>IF(P521&lt;&gt;"ГОТОВО","", "Предварительное заключение: "&amp;A521&amp;", скв. "&amp;B521&amp;". МРП: "&amp;E521&amp;" сут. ГНО: "&amp;F521&amp;", типоразмер "&amp;G521&amp;", марка "&amp;H521&amp;". Событие: "&amp;I521&amp;". Признак: "&amp;J521&amp;". Узел: "&amp;K521&amp;". Предварительная причина: "&amp;L521&amp;". Основное осложнение: "&amp;M521&amp;IF(N521&lt;&gt;"","; сопутствующее: "&amp;N521,"")&amp;IF(O521&lt;&gt;"","; дополнительно: "&amp;O521,"")&amp;".")</f>
        <v/>
      </c>
      <c r="R521" s="172">
        <f>IF('Оперативный ввод'!P521="","",'Оперативный ввод'!P521)</f>
        <v/>
      </c>
      <c r="S521" s="172">
        <f>IF('Оперативный ввод'!Q521="","",'Оперативный ввод'!Q521)</f>
        <v/>
      </c>
      <c r="T521" s="172">
        <f>IF('Оперативный ввод'!R521="","",'Оперативный ввод'!R521)</f>
        <v/>
      </c>
      <c r="U521" s="172">
        <f>IF('Оперативный ввод'!S521="","",'Оперативный ввод'!S521)</f>
        <v/>
      </c>
      <c r="V521" s="172">
        <f>IF('Оперативный ввод'!T521="","",'Оперативный ввод'!T521)</f>
        <v/>
      </c>
      <c r="W521" s="172" t="n"/>
      <c r="X521" s="172" t="n"/>
      <c r="Y521" s="172" t="n"/>
      <c r="Z521" s="172" t="n"/>
      <c r="AA521" s="172">
        <f>IF('Оперативный ввод'!U521="","",'Оперативный ввод'!U521)</f>
        <v/>
      </c>
      <c r="AB521" s="172">
        <f>IF('Оперативный ввод'!V521="","",'Оперативный ввод'!V521)</f>
        <v/>
      </c>
      <c r="AC521" s="172">
        <f>IF('Оперативный ввод'!W521="","",'Оперативный ввод'!W521)</f>
        <v/>
      </c>
      <c r="BB521" s="172" t="n"/>
      <c r="BC521" s="172" t="n"/>
      <c r="BD521" s="205">
        <f>IF(AND(A521="",B521=""),"",IF(AND(P521="ГОТОВО",R521&lt;&gt;"",T521&lt;&gt;"",U521&lt;&gt;"",AA521&lt;&gt;"",AB521&lt;&gt;"",AC521&lt;&gt;"",BB521&lt;&gt;"",BC521&lt;&gt;""),"ГОТОВО","НЕ ГОТОВО"))</f>
        <v/>
      </c>
      <c r="BE521" s="205">
        <f>IF(BD521&lt;&gt;"ГОТОВО","","Полное заключение: "&amp;A521&amp;", скв. "&amp;B521&amp;". МРП: "&amp;E521&amp;" сут. ГНО: "&amp;F521&amp;"; причина: "&amp;U521&amp;"; категория: "&amp;V521&amp;"; решение комиссии: "&amp;BB521&amp;".")</f>
        <v/>
      </c>
      <c r="BF521" s="173">
        <f>IF('Оперативный ввод'!X521="","",'Оперативный ввод'!X521)</f>
        <v/>
      </c>
    </row>
    <row r="522">
      <c r="A522" s="171">
        <f>IF('Оперативный ввод'!A522="","",'Оперативный ввод'!A522)</f>
        <v/>
      </c>
      <c r="B522" s="172">
        <f>IF('Оперативный ввод'!B522="","",'Оперативный ввод'!B522)</f>
        <v/>
      </c>
      <c r="C522" s="270">
        <f>IF('Оперативный ввод'!C522="","",'Оперативный ввод'!C522)</f>
        <v/>
      </c>
      <c r="D522" s="270">
        <f>IF('Оперативный ввод'!D522="","",'Оперативный ввод'!D522)</f>
        <v/>
      </c>
      <c r="E522" s="271">
        <f>IF(OR(C522="",D522=""),"",D522-C522)</f>
        <v/>
      </c>
      <c r="F522" s="172">
        <f>IF('Оперативный ввод'!F522="","",'Оперативный ввод'!F522)</f>
        <v/>
      </c>
      <c r="G522" s="172">
        <f>IF('Оперативный ввод'!G522="","",'Оперативный ввод'!G522)</f>
        <v/>
      </c>
      <c r="H522" s="172">
        <f>IF('Оперативный ввод'!H522="","",'Оперативный ввод'!H522)</f>
        <v/>
      </c>
      <c r="I522" s="172">
        <f>IF('Оперативный ввод'!I522="","",'Оперативный ввод'!I522)</f>
        <v/>
      </c>
      <c r="J522" s="172">
        <f>IF('Оперативный ввод'!J522="","",'Оперативный ввод'!J522)</f>
        <v/>
      </c>
      <c r="K522" s="172">
        <f>IF('Оперативный ввод'!K522="","",'Оперативный ввод'!K522)</f>
        <v/>
      </c>
      <c r="L522" s="172">
        <f>IF('Оперативный ввод'!L522="","",'Оперативный ввод'!L522)</f>
        <v/>
      </c>
      <c r="M522" s="172">
        <f>IF('Оперативный ввод'!M522="","",'Оперативный ввод'!M522)</f>
        <v/>
      </c>
      <c r="N522" s="172">
        <f>IF('Оперативный ввод'!N522="","",'Оперативный ввод'!N522)</f>
        <v/>
      </c>
      <c r="O522" s="172">
        <f>IF('Оперативный ввод'!O522="","",'Оперативный ввод'!O522)</f>
        <v/>
      </c>
      <c r="P522" s="205">
        <f>IF(AND(A522="",B522=""),"",IF(AND(A522&lt;&gt;"",B522&lt;&gt;"",C522&lt;&gt;"",D522&lt;&gt;"",F522&lt;&gt;"",G522&lt;&gt;"",H522&lt;&gt;"",ISERROR(SEARCH("по паспорту",G522)),ISERROR(SEARCH("по паспорту",H522)),I522&lt;&gt;"",J522&lt;&gt;"",K522&lt;&gt;"",L522&lt;&gt;"",M522&lt;&gt;""),"ГОТОВО","НЕ ГОТОВО"))</f>
        <v/>
      </c>
      <c r="Q522" s="205">
        <f>IF(P522&lt;&gt;"ГОТОВО","", "Предварительное заключение: "&amp;A522&amp;", скв. "&amp;B522&amp;". МРП: "&amp;E522&amp;" сут. ГНО: "&amp;F522&amp;", типоразмер "&amp;G522&amp;", марка "&amp;H522&amp;". Событие: "&amp;I522&amp;". Признак: "&amp;J522&amp;". Узел: "&amp;K522&amp;". Предварительная причина: "&amp;L522&amp;". Основное осложнение: "&amp;M522&amp;IF(N522&lt;&gt;"","; сопутствующее: "&amp;N522,"")&amp;IF(O522&lt;&gt;"","; дополнительно: "&amp;O522,"")&amp;".")</f>
        <v/>
      </c>
      <c r="R522" s="172">
        <f>IF('Оперативный ввод'!P522="","",'Оперативный ввод'!P522)</f>
        <v/>
      </c>
      <c r="S522" s="172">
        <f>IF('Оперативный ввод'!Q522="","",'Оперативный ввод'!Q522)</f>
        <v/>
      </c>
      <c r="T522" s="172">
        <f>IF('Оперативный ввод'!R522="","",'Оперативный ввод'!R522)</f>
        <v/>
      </c>
      <c r="U522" s="172">
        <f>IF('Оперативный ввод'!S522="","",'Оперативный ввод'!S522)</f>
        <v/>
      </c>
      <c r="V522" s="172">
        <f>IF('Оперативный ввод'!T522="","",'Оперативный ввод'!T522)</f>
        <v/>
      </c>
      <c r="W522" s="172" t="n"/>
      <c r="X522" s="172" t="n"/>
      <c r="Y522" s="172" t="n"/>
      <c r="Z522" s="172" t="n"/>
      <c r="AA522" s="172">
        <f>IF('Оперативный ввод'!U522="","",'Оперативный ввод'!U522)</f>
        <v/>
      </c>
      <c r="AB522" s="172">
        <f>IF('Оперативный ввод'!V522="","",'Оперативный ввод'!V522)</f>
        <v/>
      </c>
      <c r="AC522" s="172">
        <f>IF('Оперативный ввод'!W522="","",'Оперативный ввод'!W522)</f>
        <v/>
      </c>
      <c r="BB522" s="172" t="n"/>
      <c r="BC522" s="172" t="n"/>
      <c r="BD522" s="205">
        <f>IF(AND(A522="",B522=""),"",IF(AND(P522="ГОТОВО",R522&lt;&gt;"",T522&lt;&gt;"",U522&lt;&gt;"",AA522&lt;&gt;"",AB522&lt;&gt;"",AC522&lt;&gt;"",BB522&lt;&gt;"",BC522&lt;&gt;""),"ГОТОВО","НЕ ГОТОВО"))</f>
        <v/>
      </c>
      <c r="BE522" s="205">
        <f>IF(BD522&lt;&gt;"ГОТОВО","","Полное заключение: "&amp;A522&amp;", скв. "&amp;B522&amp;". МРП: "&amp;E522&amp;" сут. ГНО: "&amp;F522&amp;"; причина: "&amp;U522&amp;"; категория: "&amp;V522&amp;"; решение комиссии: "&amp;BB522&amp;".")</f>
        <v/>
      </c>
      <c r="BF522" s="173">
        <f>IF('Оперативный ввод'!X522="","",'Оперативный ввод'!X522)</f>
        <v/>
      </c>
    </row>
    <row r="523">
      <c r="A523" s="171">
        <f>IF('Оперативный ввод'!A523="","",'Оперативный ввод'!A523)</f>
        <v/>
      </c>
      <c r="B523" s="172">
        <f>IF('Оперативный ввод'!B523="","",'Оперативный ввод'!B523)</f>
        <v/>
      </c>
      <c r="C523" s="270">
        <f>IF('Оперативный ввод'!C523="","",'Оперативный ввод'!C523)</f>
        <v/>
      </c>
      <c r="D523" s="270">
        <f>IF('Оперативный ввод'!D523="","",'Оперативный ввод'!D523)</f>
        <v/>
      </c>
      <c r="E523" s="271">
        <f>IF(OR(C523="",D523=""),"",D523-C523)</f>
        <v/>
      </c>
      <c r="F523" s="172">
        <f>IF('Оперативный ввод'!F523="","",'Оперативный ввод'!F523)</f>
        <v/>
      </c>
      <c r="G523" s="172">
        <f>IF('Оперативный ввод'!G523="","",'Оперативный ввод'!G523)</f>
        <v/>
      </c>
      <c r="H523" s="172">
        <f>IF('Оперативный ввод'!H523="","",'Оперативный ввод'!H523)</f>
        <v/>
      </c>
      <c r="I523" s="172">
        <f>IF('Оперативный ввод'!I523="","",'Оперативный ввод'!I523)</f>
        <v/>
      </c>
      <c r="J523" s="172">
        <f>IF('Оперативный ввод'!J523="","",'Оперативный ввод'!J523)</f>
        <v/>
      </c>
      <c r="K523" s="172">
        <f>IF('Оперативный ввод'!K523="","",'Оперативный ввод'!K523)</f>
        <v/>
      </c>
      <c r="L523" s="172">
        <f>IF('Оперативный ввод'!L523="","",'Оперативный ввод'!L523)</f>
        <v/>
      </c>
      <c r="M523" s="172">
        <f>IF('Оперативный ввод'!M523="","",'Оперативный ввод'!M523)</f>
        <v/>
      </c>
      <c r="N523" s="172">
        <f>IF('Оперативный ввод'!N523="","",'Оперативный ввод'!N523)</f>
        <v/>
      </c>
      <c r="O523" s="172">
        <f>IF('Оперативный ввод'!O523="","",'Оперативный ввод'!O523)</f>
        <v/>
      </c>
      <c r="P523" s="205">
        <f>IF(AND(A523="",B523=""),"",IF(AND(A523&lt;&gt;"",B523&lt;&gt;"",C523&lt;&gt;"",D523&lt;&gt;"",F523&lt;&gt;"",G523&lt;&gt;"",H523&lt;&gt;"",ISERROR(SEARCH("по паспорту",G523)),ISERROR(SEARCH("по паспорту",H523)),I523&lt;&gt;"",J523&lt;&gt;"",K523&lt;&gt;"",L523&lt;&gt;"",M523&lt;&gt;""),"ГОТОВО","НЕ ГОТОВО"))</f>
        <v/>
      </c>
      <c r="Q523" s="205">
        <f>IF(P523&lt;&gt;"ГОТОВО","", "Предварительное заключение: "&amp;A523&amp;", скв. "&amp;B523&amp;". МРП: "&amp;E523&amp;" сут. ГНО: "&amp;F523&amp;", типоразмер "&amp;G523&amp;", марка "&amp;H523&amp;". Событие: "&amp;I523&amp;". Признак: "&amp;J523&amp;". Узел: "&amp;K523&amp;". Предварительная причина: "&amp;L523&amp;". Основное осложнение: "&amp;M523&amp;IF(N523&lt;&gt;"","; сопутствующее: "&amp;N523,"")&amp;IF(O523&lt;&gt;"","; дополнительно: "&amp;O523,"")&amp;".")</f>
        <v/>
      </c>
      <c r="R523" s="172">
        <f>IF('Оперативный ввод'!P523="","",'Оперативный ввод'!P523)</f>
        <v/>
      </c>
      <c r="S523" s="172">
        <f>IF('Оперативный ввод'!Q523="","",'Оперативный ввод'!Q523)</f>
        <v/>
      </c>
      <c r="T523" s="172">
        <f>IF('Оперативный ввод'!R523="","",'Оперативный ввод'!R523)</f>
        <v/>
      </c>
      <c r="U523" s="172">
        <f>IF('Оперативный ввод'!S523="","",'Оперативный ввод'!S523)</f>
        <v/>
      </c>
      <c r="V523" s="172">
        <f>IF('Оперативный ввод'!T523="","",'Оперативный ввод'!T523)</f>
        <v/>
      </c>
      <c r="W523" s="172" t="n"/>
      <c r="X523" s="172" t="n"/>
      <c r="Y523" s="172" t="n"/>
      <c r="Z523" s="172" t="n"/>
      <c r="AA523" s="172">
        <f>IF('Оперативный ввод'!U523="","",'Оперативный ввод'!U523)</f>
        <v/>
      </c>
      <c r="AB523" s="172">
        <f>IF('Оперативный ввод'!V523="","",'Оперативный ввод'!V523)</f>
        <v/>
      </c>
      <c r="AC523" s="172">
        <f>IF('Оперативный ввод'!W523="","",'Оперативный ввод'!W523)</f>
        <v/>
      </c>
      <c r="BB523" s="172" t="n"/>
      <c r="BC523" s="172" t="n"/>
      <c r="BD523" s="205">
        <f>IF(AND(A523="",B523=""),"",IF(AND(P523="ГОТОВО",R523&lt;&gt;"",T523&lt;&gt;"",U523&lt;&gt;"",AA523&lt;&gt;"",AB523&lt;&gt;"",AC523&lt;&gt;"",BB523&lt;&gt;"",BC523&lt;&gt;""),"ГОТОВО","НЕ ГОТОВО"))</f>
        <v/>
      </c>
      <c r="BE523" s="205">
        <f>IF(BD523&lt;&gt;"ГОТОВО","","Полное заключение: "&amp;A523&amp;", скв. "&amp;B523&amp;". МРП: "&amp;E523&amp;" сут. ГНО: "&amp;F523&amp;"; причина: "&amp;U523&amp;"; категория: "&amp;V523&amp;"; решение комиссии: "&amp;BB523&amp;".")</f>
        <v/>
      </c>
      <c r="BF523" s="173">
        <f>IF('Оперативный ввод'!X523="","",'Оперативный ввод'!X523)</f>
        <v/>
      </c>
    </row>
    <row r="524">
      <c r="A524" s="171">
        <f>IF('Оперативный ввод'!A524="","",'Оперативный ввод'!A524)</f>
        <v/>
      </c>
      <c r="B524" s="172">
        <f>IF('Оперативный ввод'!B524="","",'Оперативный ввод'!B524)</f>
        <v/>
      </c>
      <c r="C524" s="270">
        <f>IF('Оперативный ввод'!C524="","",'Оперативный ввод'!C524)</f>
        <v/>
      </c>
      <c r="D524" s="270">
        <f>IF('Оперативный ввод'!D524="","",'Оперативный ввод'!D524)</f>
        <v/>
      </c>
      <c r="E524" s="271">
        <f>IF(OR(C524="",D524=""),"",D524-C524)</f>
        <v/>
      </c>
      <c r="F524" s="172">
        <f>IF('Оперативный ввод'!F524="","",'Оперативный ввод'!F524)</f>
        <v/>
      </c>
      <c r="G524" s="172">
        <f>IF('Оперативный ввод'!G524="","",'Оперативный ввод'!G524)</f>
        <v/>
      </c>
      <c r="H524" s="172">
        <f>IF('Оперативный ввод'!H524="","",'Оперативный ввод'!H524)</f>
        <v/>
      </c>
      <c r="I524" s="172">
        <f>IF('Оперативный ввод'!I524="","",'Оперативный ввод'!I524)</f>
        <v/>
      </c>
      <c r="J524" s="172">
        <f>IF('Оперативный ввод'!J524="","",'Оперативный ввод'!J524)</f>
        <v/>
      </c>
      <c r="K524" s="172">
        <f>IF('Оперативный ввод'!K524="","",'Оперативный ввод'!K524)</f>
        <v/>
      </c>
      <c r="L524" s="172">
        <f>IF('Оперативный ввод'!L524="","",'Оперативный ввод'!L524)</f>
        <v/>
      </c>
      <c r="M524" s="172">
        <f>IF('Оперативный ввод'!M524="","",'Оперативный ввод'!M524)</f>
        <v/>
      </c>
      <c r="N524" s="172">
        <f>IF('Оперативный ввод'!N524="","",'Оперативный ввод'!N524)</f>
        <v/>
      </c>
      <c r="O524" s="172">
        <f>IF('Оперативный ввод'!O524="","",'Оперативный ввод'!O524)</f>
        <v/>
      </c>
      <c r="P524" s="205">
        <f>IF(AND(A524="",B524=""),"",IF(AND(A524&lt;&gt;"",B524&lt;&gt;"",C524&lt;&gt;"",D524&lt;&gt;"",F524&lt;&gt;"",G524&lt;&gt;"",H524&lt;&gt;"",ISERROR(SEARCH("по паспорту",G524)),ISERROR(SEARCH("по паспорту",H524)),I524&lt;&gt;"",J524&lt;&gt;"",K524&lt;&gt;"",L524&lt;&gt;"",M524&lt;&gt;""),"ГОТОВО","НЕ ГОТОВО"))</f>
        <v/>
      </c>
      <c r="Q524" s="205">
        <f>IF(P524&lt;&gt;"ГОТОВО","", "Предварительное заключение: "&amp;A524&amp;", скв. "&amp;B524&amp;". МРП: "&amp;E524&amp;" сут. ГНО: "&amp;F524&amp;", типоразмер "&amp;G524&amp;", марка "&amp;H524&amp;". Событие: "&amp;I524&amp;". Признак: "&amp;J524&amp;". Узел: "&amp;K524&amp;". Предварительная причина: "&amp;L524&amp;". Основное осложнение: "&amp;M524&amp;IF(N524&lt;&gt;"","; сопутствующее: "&amp;N524,"")&amp;IF(O524&lt;&gt;"","; дополнительно: "&amp;O524,"")&amp;".")</f>
        <v/>
      </c>
      <c r="R524" s="172">
        <f>IF('Оперативный ввод'!P524="","",'Оперативный ввод'!P524)</f>
        <v/>
      </c>
      <c r="S524" s="172">
        <f>IF('Оперативный ввод'!Q524="","",'Оперативный ввод'!Q524)</f>
        <v/>
      </c>
      <c r="T524" s="172">
        <f>IF('Оперативный ввод'!R524="","",'Оперативный ввод'!R524)</f>
        <v/>
      </c>
      <c r="U524" s="172">
        <f>IF('Оперативный ввод'!S524="","",'Оперативный ввод'!S524)</f>
        <v/>
      </c>
      <c r="V524" s="172">
        <f>IF('Оперативный ввод'!T524="","",'Оперативный ввод'!T524)</f>
        <v/>
      </c>
      <c r="W524" s="172" t="n"/>
      <c r="X524" s="172" t="n"/>
      <c r="Y524" s="172" t="n"/>
      <c r="Z524" s="172" t="n"/>
      <c r="AA524" s="172">
        <f>IF('Оперативный ввод'!U524="","",'Оперативный ввод'!U524)</f>
        <v/>
      </c>
      <c r="AB524" s="172">
        <f>IF('Оперативный ввод'!V524="","",'Оперативный ввод'!V524)</f>
        <v/>
      </c>
      <c r="AC524" s="172">
        <f>IF('Оперативный ввод'!W524="","",'Оперативный ввод'!W524)</f>
        <v/>
      </c>
      <c r="BB524" s="172" t="n"/>
      <c r="BC524" s="172" t="n"/>
      <c r="BD524" s="205">
        <f>IF(AND(A524="",B524=""),"",IF(AND(P524="ГОТОВО",R524&lt;&gt;"",T524&lt;&gt;"",U524&lt;&gt;"",AA524&lt;&gt;"",AB524&lt;&gt;"",AC524&lt;&gt;"",BB524&lt;&gt;"",BC524&lt;&gt;""),"ГОТОВО","НЕ ГОТОВО"))</f>
        <v/>
      </c>
      <c r="BE524" s="205">
        <f>IF(BD524&lt;&gt;"ГОТОВО","","Полное заключение: "&amp;A524&amp;", скв. "&amp;B524&amp;". МРП: "&amp;E524&amp;" сут. ГНО: "&amp;F524&amp;"; причина: "&amp;U524&amp;"; категория: "&amp;V524&amp;"; решение комиссии: "&amp;BB524&amp;".")</f>
        <v/>
      </c>
      <c r="BF524" s="173">
        <f>IF('Оперативный ввод'!X524="","",'Оперативный ввод'!X524)</f>
        <v/>
      </c>
    </row>
    <row r="525">
      <c r="A525" s="171">
        <f>IF('Оперативный ввод'!A525="","",'Оперативный ввод'!A525)</f>
        <v/>
      </c>
      <c r="B525" s="172">
        <f>IF('Оперативный ввод'!B525="","",'Оперативный ввод'!B525)</f>
        <v/>
      </c>
      <c r="C525" s="270">
        <f>IF('Оперативный ввод'!C525="","",'Оперативный ввод'!C525)</f>
        <v/>
      </c>
      <c r="D525" s="270">
        <f>IF('Оперативный ввод'!D525="","",'Оперативный ввод'!D525)</f>
        <v/>
      </c>
      <c r="E525" s="271">
        <f>IF(OR(C525="",D525=""),"",D525-C525)</f>
        <v/>
      </c>
      <c r="F525" s="172">
        <f>IF('Оперативный ввод'!F525="","",'Оперативный ввод'!F525)</f>
        <v/>
      </c>
      <c r="G525" s="172">
        <f>IF('Оперативный ввод'!G525="","",'Оперативный ввод'!G525)</f>
        <v/>
      </c>
      <c r="H525" s="172">
        <f>IF('Оперативный ввод'!H525="","",'Оперативный ввод'!H525)</f>
        <v/>
      </c>
      <c r="I525" s="172">
        <f>IF('Оперативный ввод'!I525="","",'Оперативный ввод'!I525)</f>
        <v/>
      </c>
      <c r="J525" s="172">
        <f>IF('Оперативный ввод'!J525="","",'Оперативный ввод'!J525)</f>
        <v/>
      </c>
      <c r="K525" s="172">
        <f>IF('Оперативный ввод'!K525="","",'Оперативный ввод'!K525)</f>
        <v/>
      </c>
      <c r="L525" s="172">
        <f>IF('Оперативный ввод'!L525="","",'Оперативный ввод'!L525)</f>
        <v/>
      </c>
      <c r="M525" s="172">
        <f>IF('Оперативный ввод'!M525="","",'Оперативный ввод'!M525)</f>
        <v/>
      </c>
      <c r="N525" s="172">
        <f>IF('Оперативный ввод'!N525="","",'Оперативный ввод'!N525)</f>
        <v/>
      </c>
      <c r="O525" s="172">
        <f>IF('Оперативный ввод'!O525="","",'Оперативный ввод'!O525)</f>
        <v/>
      </c>
      <c r="P525" s="205">
        <f>IF(AND(A525="",B525=""),"",IF(AND(A525&lt;&gt;"",B525&lt;&gt;"",C525&lt;&gt;"",D525&lt;&gt;"",F525&lt;&gt;"",G525&lt;&gt;"",H525&lt;&gt;"",ISERROR(SEARCH("по паспорту",G525)),ISERROR(SEARCH("по паспорту",H525)),I525&lt;&gt;"",J525&lt;&gt;"",K525&lt;&gt;"",L525&lt;&gt;"",M525&lt;&gt;""),"ГОТОВО","НЕ ГОТОВО"))</f>
        <v/>
      </c>
      <c r="Q525" s="205">
        <f>IF(P525&lt;&gt;"ГОТОВО","", "Предварительное заключение: "&amp;A525&amp;", скв. "&amp;B525&amp;". МРП: "&amp;E525&amp;" сут. ГНО: "&amp;F525&amp;", типоразмер "&amp;G525&amp;", марка "&amp;H525&amp;". Событие: "&amp;I525&amp;". Признак: "&amp;J525&amp;". Узел: "&amp;K525&amp;". Предварительная причина: "&amp;L525&amp;". Основное осложнение: "&amp;M525&amp;IF(N525&lt;&gt;"","; сопутствующее: "&amp;N525,"")&amp;IF(O525&lt;&gt;"","; дополнительно: "&amp;O525,"")&amp;".")</f>
        <v/>
      </c>
      <c r="R525" s="172">
        <f>IF('Оперативный ввод'!P525="","",'Оперативный ввод'!P525)</f>
        <v/>
      </c>
      <c r="S525" s="172">
        <f>IF('Оперативный ввод'!Q525="","",'Оперативный ввод'!Q525)</f>
        <v/>
      </c>
      <c r="T525" s="172">
        <f>IF('Оперативный ввод'!R525="","",'Оперативный ввод'!R525)</f>
        <v/>
      </c>
      <c r="U525" s="172">
        <f>IF('Оперативный ввод'!S525="","",'Оперативный ввод'!S525)</f>
        <v/>
      </c>
      <c r="V525" s="172">
        <f>IF('Оперативный ввод'!T525="","",'Оперативный ввод'!T525)</f>
        <v/>
      </c>
      <c r="W525" s="172" t="n"/>
      <c r="X525" s="172" t="n"/>
      <c r="Y525" s="172" t="n"/>
      <c r="Z525" s="172" t="n"/>
      <c r="AA525" s="172">
        <f>IF('Оперативный ввод'!U525="","",'Оперативный ввод'!U525)</f>
        <v/>
      </c>
      <c r="AB525" s="172">
        <f>IF('Оперативный ввод'!V525="","",'Оперативный ввод'!V525)</f>
        <v/>
      </c>
      <c r="AC525" s="172">
        <f>IF('Оперативный ввод'!W525="","",'Оперативный ввод'!W525)</f>
        <v/>
      </c>
      <c r="BB525" s="172" t="n"/>
      <c r="BC525" s="172" t="n"/>
      <c r="BD525" s="205">
        <f>IF(AND(A525="",B525=""),"",IF(AND(P525="ГОТОВО",R525&lt;&gt;"",T525&lt;&gt;"",U525&lt;&gt;"",AA525&lt;&gt;"",AB525&lt;&gt;"",AC525&lt;&gt;"",BB525&lt;&gt;"",BC525&lt;&gt;""),"ГОТОВО","НЕ ГОТОВО"))</f>
        <v/>
      </c>
      <c r="BE525" s="205">
        <f>IF(BD525&lt;&gt;"ГОТОВО","","Полное заключение: "&amp;A525&amp;", скв. "&amp;B525&amp;". МРП: "&amp;E525&amp;" сут. ГНО: "&amp;F525&amp;"; причина: "&amp;U525&amp;"; категория: "&amp;V525&amp;"; решение комиссии: "&amp;BB525&amp;".")</f>
        <v/>
      </c>
      <c r="BF525" s="173">
        <f>IF('Оперативный ввод'!X525="","",'Оперативный ввод'!X525)</f>
        <v/>
      </c>
    </row>
    <row r="526">
      <c r="A526" s="171">
        <f>IF('Оперативный ввод'!A526="","",'Оперативный ввод'!A526)</f>
        <v/>
      </c>
      <c r="B526" s="172">
        <f>IF('Оперативный ввод'!B526="","",'Оперативный ввод'!B526)</f>
        <v/>
      </c>
      <c r="C526" s="270">
        <f>IF('Оперативный ввод'!C526="","",'Оперативный ввод'!C526)</f>
        <v/>
      </c>
      <c r="D526" s="270">
        <f>IF('Оперативный ввод'!D526="","",'Оперативный ввод'!D526)</f>
        <v/>
      </c>
      <c r="E526" s="271">
        <f>IF(OR(C526="",D526=""),"",D526-C526)</f>
        <v/>
      </c>
      <c r="F526" s="172">
        <f>IF('Оперативный ввод'!F526="","",'Оперативный ввод'!F526)</f>
        <v/>
      </c>
      <c r="G526" s="172">
        <f>IF('Оперативный ввод'!G526="","",'Оперативный ввод'!G526)</f>
        <v/>
      </c>
      <c r="H526" s="172">
        <f>IF('Оперативный ввод'!H526="","",'Оперативный ввод'!H526)</f>
        <v/>
      </c>
      <c r="I526" s="172">
        <f>IF('Оперативный ввод'!I526="","",'Оперативный ввод'!I526)</f>
        <v/>
      </c>
      <c r="J526" s="172">
        <f>IF('Оперативный ввод'!J526="","",'Оперативный ввод'!J526)</f>
        <v/>
      </c>
      <c r="K526" s="172">
        <f>IF('Оперативный ввод'!K526="","",'Оперативный ввод'!K526)</f>
        <v/>
      </c>
      <c r="L526" s="172">
        <f>IF('Оперативный ввод'!L526="","",'Оперативный ввод'!L526)</f>
        <v/>
      </c>
      <c r="M526" s="172">
        <f>IF('Оперативный ввод'!M526="","",'Оперативный ввод'!M526)</f>
        <v/>
      </c>
      <c r="N526" s="172">
        <f>IF('Оперативный ввод'!N526="","",'Оперативный ввод'!N526)</f>
        <v/>
      </c>
      <c r="O526" s="172">
        <f>IF('Оперативный ввод'!O526="","",'Оперативный ввод'!O526)</f>
        <v/>
      </c>
      <c r="P526" s="205">
        <f>IF(AND(A526="",B526=""),"",IF(AND(A526&lt;&gt;"",B526&lt;&gt;"",C526&lt;&gt;"",D526&lt;&gt;"",F526&lt;&gt;"",G526&lt;&gt;"",H526&lt;&gt;"",ISERROR(SEARCH("по паспорту",G526)),ISERROR(SEARCH("по паспорту",H526)),I526&lt;&gt;"",J526&lt;&gt;"",K526&lt;&gt;"",L526&lt;&gt;"",M526&lt;&gt;""),"ГОТОВО","НЕ ГОТОВО"))</f>
        <v/>
      </c>
      <c r="Q526" s="205">
        <f>IF(P526&lt;&gt;"ГОТОВО","", "Предварительное заключение: "&amp;A526&amp;", скв. "&amp;B526&amp;". МРП: "&amp;E526&amp;" сут. ГНО: "&amp;F526&amp;", типоразмер "&amp;G526&amp;", марка "&amp;H526&amp;". Событие: "&amp;I526&amp;". Признак: "&amp;J526&amp;". Узел: "&amp;K526&amp;". Предварительная причина: "&amp;L526&amp;". Основное осложнение: "&amp;M526&amp;IF(N526&lt;&gt;"","; сопутствующее: "&amp;N526,"")&amp;IF(O526&lt;&gt;"","; дополнительно: "&amp;O526,"")&amp;".")</f>
        <v/>
      </c>
      <c r="R526" s="172">
        <f>IF('Оперативный ввод'!P526="","",'Оперативный ввод'!P526)</f>
        <v/>
      </c>
      <c r="S526" s="172">
        <f>IF('Оперативный ввод'!Q526="","",'Оперативный ввод'!Q526)</f>
        <v/>
      </c>
      <c r="T526" s="172">
        <f>IF('Оперативный ввод'!R526="","",'Оперативный ввод'!R526)</f>
        <v/>
      </c>
      <c r="U526" s="172">
        <f>IF('Оперативный ввод'!S526="","",'Оперативный ввод'!S526)</f>
        <v/>
      </c>
      <c r="V526" s="172">
        <f>IF('Оперативный ввод'!T526="","",'Оперативный ввод'!T526)</f>
        <v/>
      </c>
      <c r="W526" s="172" t="n"/>
      <c r="X526" s="172" t="n"/>
      <c r="Y526" s="172" t="n"/>
      <c r="Z526" s="172" t="n"/>
      <c r="AA526" s="172">
        <f>IF('Оперативный ввод'!U526="","",'Оперативный ввод'!U526)</f>
        <v/>
      </c>
      <c r="AB526" s="172">
        <f>IF('Оперативный ввод'!V526="","",'Оперативный ввод'!V526)</f>
        <v/>
      </c>
      <c r="AC526" s="172">
        <f>IF('Оперативный ввод'!W526="","",'Оперативный ввод'!W526)</f>
        <v/>
      </c>
      <c r="BB526" s="172" t="n"/>
      <c r="BC526" s="172" t="n"/>
      <c r="BD526" s="205">
        <f>IF(AND(A526="",B526=""),"",IF(AND(P526="ГОТОВО",R526&lt;&gt;"",T526&lt;&gt;"",U526&lt;&gt;"",AA526&lt;&gt;"",AB526&lt;&gt;"",AC526&lt;&gt;"",BB526&lt;&gt;"",BC526&lt;&gt;""),"ГОТОВО","НЕ ГОТОВО"))</f>
        <v/>
      </c>
      <c r="BE526" s="205">
        <f>IF(BD526&lt;&gt;"ГОТОВО","","Полное заключение: "&amp;A526&amp;", скв. "&amp;B526&amp;". МРП: "&amp;E526&amp;" сут. ГНО: "&amp;F526&amp;"; причина: "&amp;U526&amp;"; категория: "&amp;V526&amp;"; решение комиссии: "&amp;BB526&amp;".")</f>
        <v/>
      </c>
      <c r="BF526" s="173">
        <f>IF('Оперативный ввод'!X526="","",'Оперативный ввод'!X526)</f>
        <v/>
      </c>
    </row>
    <row r="527">
      <c r="A527" s="171">
        <f>IF('Оперативный ввод'!A527="","",'Оперативный ввод'!A527)</f>
        <v/>
      </c>
      <c r="B527" s="172">
        <f>IF('Оперативный ввод'!B527="","",'Оперативный ввод'!B527)</f>
        <v/>
      </c>
      <c r="C527" s="270">
        <f>IF('Оперативный ввод'!C527="","",'Оперативный ввод'!C527)</f>
        <v/>
      </c>
      <c r="D527" s="270">
        <f>IF('Оперативный ввод'!D527="","",'Оперативный ввод'!D527)</f>
        <v/>
      </c>
      <c r="E527" s="271">
        <f>IF(OR(C527="",D527=""),"",D527-C527)</f>
        <v/>
      </c>
      <c r="F527" s="172">
        <f>IF('Оперативный ввод'!F527="","",'Оперативный ввод'!F527)</f>
        <v/>
      </c>
      <c r="G527" s="172">
        <f>IF('Оперативный ввод'!G527="","",'Оперативный ввод'!G527)</f>
        <v/>
      </c>
      <c r="H527" s="172">
        <f>IF('Оперативный ввод'!H527="","",'Оперативный ввод'!H527)</f>
        <v/>
      </c>
      <c r="I527" s="172">
        <f>IF('Оперативный ввод'!I527="","",'Оперативный ввод'!I527)</f>
        <v/>
      </c>
      <c r="J527" s="172">
        <f>IF('Оперативный ввод'!J527="","",'Оперативный ввод'!J527)</f>
        <v/>
      </c>
      <c r="K527" s="172">
        <f>IF('Оперативный ввод'!K527="","",'Оперативный ввод'!K527)</f>
        <v/>
      </c>
      <c r="L527" s="172">
        <f>IF('Оперативный ввод'!L527="","",'Оперативный ввод'!L527)</f>
        <v/>
      </c>
      <c r="M527" s="172">
        <f>IF('Оперативный ввод'!M527="","",'Оперативный ввод'!M527)</f>
        <v/>
      </c>
      <c r="N527" s="172">
        <f>IF('Оперативный ввод'!N527="","",'Оперативный ввод'!N527)</f>
        <v/>
      </c>
      <c r="O527" s="172">
        <f>IF('Оперативный ввод'!O527="","",'Оперативный ввод'!O527)</f>
        <v/>
      </c>
      <c r="P527" s="205">
        <f>IF(AND(A527="",B527=""),"",IF(AND(A527&lt;&gt;"",B527&lt;&gt;"",C527&lt;&gt;"",D527&lt;&gt;"",F527&lt;&gt;"",G527&lt;&gt;"",H527&lt;&gt;"",ISERROR(SEARCH("по паспорту",G527)),ISERROR(SEARCH("по паспорту",H527)),I527&lt;&gt;"",J527&lt;&gt;"",K527&lt;&gt;"",L527&lt;&gt;"",M527&lt;&gt;""),"ГОТОВО","НЕ ГОТОВО"))</f>
        <v/>
      </c>
      <c r="Q527" s="205">
        <f>IF(P527&lt;&gt;"ГОТОВО","", "Предварительное заключение: "&amp;A527&amp;", скв. "&amp;B527&amp;". МРП: "&amp;E527&amp;" сут. ГНО: "&amp;F527&amp;", типоразмер "&amp;G527&amp;", марка "&amp;H527&amp;". Событие: "&amp;I527&amp;". Признак: "&amp;J527&amp;". Узел: "&amp;K527&amp;". Предварительная причина: "&amp;L527&amp;". Основное осложнение: "&amp;M527&amp;IF(N527&lt;&gt;"","; сопутствующее: "&amp;N527,"")&amp;IF(O527&lt;&gt;"","; дополнительно: "&amp;O527,"")&amp;".")</f>
        <v/>
      </c>
      <c r="R527" s="172">
        <f>IF('Оперативный ввод'!P527="","",'Оперативный ввод'!P527)</f>
        <v/>
      </c>
      <c r="S527" s="172">
        <f>IF('Оперативный ввод'!Q527="","",'Оперативный ввод'!Q527)</f>
        <v/>
      </c>
      <c r="T527" s="172">
        <f>IF('Оперативный ввод'!R527="","",'Оперативный ввод'!R527)</f>
        <v/>
      </c>
      <c r="U527" s="172">
        <f>IF('Оперативный ввод'!S527="","",'Оперативный ввод'!S527)</f>
        <v/>
      </c>
      <c r="V527" s="172">
        <f>IF('Оперативный ввод'!T527="","",'Оперативный ввод'!T527)</f>
        <v/>
      </c>
      <c r="W527" s="172" t="n"/>
      <c r="X527" s="172" t="n"/>
      <c r="Y527" s="172" t="n"/>
      <c r="Z527" s="172" t="n"/>
      <c r="AA527" s="172">
        <f>IF('Оперативный ввод'!U527="","",'Оперативный ввод'!U527)</f>
        <v/>
      </c>
      <c r="AB527" s="172">
        <f>IF('Оперативный ввод'!V527="","",'Оперативный ввод'!V527)</f>
        <v/>
      </c>
      <c r="AC527" s="172">
        <f>IF('Оперативный ввод'!W527="","",'Оперативный ввод'!W527)</f>
        <v/>
      </c>
      <c r="BB527" s="172" t="n"/>
      <c r="BC527" s="172" t="n"/>
      <c r="BD527" s="205">
        <f>IF(AND(A527="",B527=""),"",IF(AND(P527="ГОТОВО",R527&lt;&gt;"",T527&lt;&gt;"",U527&lt;&gt;"",AA527&lt;&gt;"",AB527&lt;&gt;"",AC527&lt;&gt;"",BB527&lt;&gt;"",BC527&lt;&gt;""),"ГОТОВО","НЕ ГОТОВО"))</f>
        <v/>
      </c>
      <c r="BE527" s="205">
        <f>IF(BD527&lt;&gt;"ГОТОВО","","Полное заключение: "&amp;A527&amp;", скв. "&amp;B527&amp;". МРП: "&amp;E527&amp;" сут. ГНО: "&amp;F527&amp;"; причина: "&amp;U527&amp;"; категория: "&amp;V527&amp;"; решение комиссии: "&amp;BB527&amp;".")</f>
        <v/>
      </c>
      <c r="BF527" s="173">
        <f>IF('Оперативный ввод'!X527="","",'Оперативный ввод'!X527)</f>
        <v/>
      </c>
    </row>
    <row r="528">
      <c r="A528" s="171">
        <f>IF('Оперативный ввод'!A528="","",'Оперативный ввод'!A528)</f>
        <v/>
      </c>
      <c r="B528" s="172">
        <f>IF('Оперативный ввод'!B528="","",'Оперативный ввод'!B528)</f>
        <v/>
      </c>
      <c r="C528" s="270">
        <f>IF('Оперативный ввод'!C528="","",'Оперативный ввод'!C528)</f>
        <v/>
      </c>
      <c r="D528" s="270">
        <f>IF('Оперативный ввод'!D528="","",'Оперативный ввод'!D528)</f>
        <v/>
      </c>
      <c r="E528" s="271">
        <f>IF(OR(C528="",D528=""),"",D528-C528)</f>
        <v/>
      </c>
      <c r="F528" s="172">
        <f>IF('Оперативный ввод'!F528="","",'Оперативный ввод'!F528)</f>
        <v/>
      </c>
      <c r="G528" s="172">
        <f>IF('Оперативный ввод'!G528="","",'Оперативный ввод'!G528)</f>
        <v/>
      </c>
      <c r="H528" s="172">
        <f>IF('Оперативный ввод'!H528="","",'Оперативный ввод'!H528)</f>
        <v/>
      </c>
      <c r="I528" s="172">
        <f>IF('Оперативный ввод'!I528="","",'Оперативный ввод'!I528)</f>
        <v/>
      </c>
      <c r="J528" s="172">
        <f>IF('Оперативный ввод'!J528="","",'Оперативный ввод'!J528)</f>
        <v/>
      </c>
      <c r="K528" s="172">
        <f>IF('Оперативный ввод'!K528="","",'Оперативный ввод'!K528)</f>
        <v/>
      </c>
      <c r="L528" s="172">
        <f>IF('Оперативный ввод'!L528="","",'Оперативный ввод'!L528)</f>
        <v/>
      </c>
      <c r="M528" s="172">
        <f>IF('Оперативный ввод'!M528="","",'Оперативный ввод'!M528)</f>
        <v/>
      </c>
      <c r="N528" s="172">
        <f>IF('Оперативный ввод'!N528="","",'Оперативный ввод'!N528)</f>
        <v/>
      </c>
      <c r="O528" s="172">
        <f>IF('Оперативный ввод'!O528="","",'Оперативный ввод'!O528)</f>
        <v/>
      </c>
      <c r="P528" s="205">
        <f>IF(AND(A528="",B528=""),"",IF(AND(A528&lt;&gt;"",B528&lt;&gt;"",C528&lt;&gt;"",D528&lt;&gt;"",F528&lt;&gt;"",G528&lt;&gt;"",H528&lt;&gt;"",ISERROR(SEARCH("по паспорту",G528)),ISERROR(SEARCH("по паспорту",H528)),I528&lt;&gt;"",J528&lt;&gt;"",K528&lt;&gt;"",L528&lt;&gt;"",M528&lt;&gt;""),"ГОТОВО","НЕ ГОТОВО"))</f>
        <v/>
      </c>
      <c r="Q528" s="205">
        <f>IF(P528&lt;&gt;"ГОТОВО","", "Предварительное заключение: "&amp;A528&amp;", скв. "&amp;B528&amp;". МРП: "&amp;E528&amp;" сут. ГНО: "&amp;F528&amp;", типоразмер "&amp;G528&amp;", марка "&amp;H528&amp;". Событие: "&amp;I528&amp;". Признак: "&amp;J528&amp;". Узел: "&amp;K528&amp;". Предварительная причина: "&amp;L528&amp;". Основное осложнение: "&amp;M528&amp;IF(N528&lt;&gt;"","; сопутствующее: "&amp;N528,"")&amp;IF(O528&lt;&gt;"","; дополнительно: "&amp;O528,"")&amp;".")</f>
        <v/>
      </c>
      <c r="R528" s="172">
        <f>IF('Оперативный ввод'!P528="","",'Оперативный ввод'!P528)</f>
        <v/>
      </c>
      <c r="S528" s="172">
        <f>IF('Оперативный ввод'!Q528="","",'Оперативный ввод'!Q528)</f>
        <v/>
      </c>
      <c r="T528" s="172">
        <f>IF('Оперативный ввод'!R528="","",'Оперативный ввод'!R528)</f>
        <v/>
      </c>
      <c r="U528" s="172">
        <f>IF('Оперативный ввод'!S528="","",'Оперативный ввод'!S528)</f>
        <v/>
      </c>
      <c r="V528" s="172">
        <f>IF('Оперативный ввод'!T528="","",'Оперативный ввод'!T528)</f>
        <v/>
      </c>
      <c r="W528" s="172" t="n"/>
      <c r="X528" s="172" t="n"/>
      <c r="Y528" s="172" t="n"/>
      <c r="Z528" s="172" t="n"/>
      <c r="AA528" s="172">
        <f>IF('Оперативный ввод'!U528="","",'Оперативный ввод'!U528)</f>
        <v/>
      </c>
      <c r="AB528" s="172">
        <f>IF('Оперативный ввод'!V528="","",'Оперативный ввод'!V528)</f>
        <v/>
      </c>
      <c r="AC528" s="172">
        <f>IF('Оперативный ввод'!W528="","",'Оперативный ввод'!W528)</f>
        <v/>
      </c>
      <c r="BB528" s="172" t="n"/>
      <c r="BC528" s="172" t="n"/>
      <c r="BD528" s="205">
        <f>IF(AND(A528="",B528=""),"",IF(AND(P528="ГОТОВО",R528&lt;&gt;"",T528&lt;&gt;"",U528&lt;&gt;"",AA528&lt;&gt;"",AB528&lt;&gt;"",AC528&lt;&gt;"",BB528&lt;&gt;"",BC528&lt;&gt;""),"ГОТОВО","НЕ ГОТОВО"))</f>
        <v/>
      </c>
      <c r="BE528" s="205">
        <f>IF(BD528&lt;&gt;"ГОТОВО","","Полное заключение: "&amp;A528&amp;", скв. "&amp;B528&amp;". МРП: "&amp;E528&amp;" сут. ГНО: "&amp;F528&amp;"; причина: "&amp;U528&amp;"; категория: "&amp;V528&amp;"; решение комиссии: "&amp;BB528&amp;".")</f>
        <v/>
      </c>
      <c r="BF528" s="173">
        <f>IF('Оперативный ввод'!X528="","",'Оперативный ввод'!X528)</f>
        <v/>
      </c>
    </row>
    <row r="529">
      <c r="A529" s="171">
        <f>IF('Оперативный ввод'!A529="","",'Оперативный ввод'!A529)</f>
        <v/>
      </c>
      <c r="B529" s="172">
        <f>IF('Оперативный ввод'!B529="","",'Оперативный ввод'!B529)</f>
        <v/>
      </c>
      <c r="C529" s="270">
        <f>IF('Оперативный ввод'!C529="","",'Оперативный ввод'!C529)</f>
        <v/>
      </c>
      <c r="D529" s="270">
        <f>IF('Оперативный ввод'!D529="","",'Оперативный ввод'!D529)</f>
        <v/>
      </c>
      <c r="E529" s="271">
        <f>IF(OR(C529="",D529=""),"",D529-C529)</f>
        <v/>
      </c>
      <c r="F529" s="172">
        <f>IF('Оперативный ввод'!F529="","",'Оперативный ввод'!F529)</f>
        <v/>
      </c>
      <c r="G529" s="172">
        <f>IF('Оперативный ввод'!G529="","",'Оперативный ввод'!G529)</f>
        <v/>
      </c>
      <c r="H529" s="172">
        <f>IF('Оперативный ввод'!H529="","",'Оперативный ввод'!H529)</f>
        <v/>
      </c>
      <c r="I529" s="172">
        <f>IF('Оперативный ввод'!I529="","",'Оперативный ввод'!I529)</f>
        <v/>
      </c>
      <c r="J529" s="172">
        <f>IF('Оперативный ввод'!J529="","",'Оперативный ввод'!J529)</f>
        <v/>
      </c>
      <c r="K529" s="172">
        <f>IF('Оперативный ввод'!K529="","",'Оперативный ввод'!K529)</f>
        <v/>
      </c>
      <c r="L529" s="172">
        <f>IF('Оперативный ввод'!L529="","",'Оперативный ввод'!L529)</f>
        <v/>
      </c>
      <c r="M529" s="172">
        <f>IF('Оперативный ввод'!M529="","",'Оперативный ввод'!M529)</f>
        <v/>
      </c>
      <c r="N529" s="172">
        <f>IF('Оперативный ввод'!N529="","",'Оперативный ввод'!N529)</f>
        <v/>
      </c>
      <c r="O529" s="172">
        <f>IF('Оперативный ввод'!O529="","",'Оперативный ввод'!O529)</f>
        <v/>
      </c>
      <c r="P529" s="205">
        <f>IF(AND(A529="",B529=""),"",IF(AND(A529&lt;&gt;"",B529&lt;&gt;"",C529&lt;&gt;"",D529&lt;&gt;"",F529&lt;&gt;"",G529&lt;&gt;"",H529&lt;&gt;"",ISERROR(SEARCH("по паспорту",G529)),ISERROR(SEARCH("по паспорту",H529)),I529&lt;&gt;"",J529&lt;&gt;"",K529&lt;&gt;"",L529&lt;&gt;"",M529&lt;&gt;""),"ГОТОВО","НЕ ГОТОВО"))</f>
        <v/>
      </c>
      <c r="Q529" s="205">
        <f>IF(P529&lt;&gt;"ГОТОВО","", "Предварительное заключение: "&amp;A529&amp;", скв. "&amp;B529&amp;". МРП: "&amp;E529&amp;" сут. ГНО: "&amp;F529&amp;", типоразмер "&amp;G529&amp;", марка "&amp;H529&amp;". Событие: "&amp;I529&amp;". Признак: "&amp;J529&amp;". Узел: "&amp;K529&amp;". Предварительная причина: "&amp;L529&amp;". Основное осложнение: "&amp;M529&amp;IF(N529&lt;&gt;"","; сопутствующее: "&amp;N529,"")&amp;IF(O529&lt;&gt;"","; дополнительно: "&amp;O529,"")&amp;".")</f>
        <v/>
      </c>
      <c r="R529" s="172">
        <f>IF('Оперативный ввод'!P529="","",'Оперативный ввод'!P529)</f>
        <v/>
      </c>
      <c r="S529" s="172">
        <f>IF('Оперативный ввод'!Q529="","",'Оперативный ввод'!Q529)</f>
        <v/>
      </c>
      <c r="T529" s="172">
        <f>IF('Оперативный ввод'!R529="","",'Оперативный ввод'!R529)</f>
        <v/>
      </c>
      <c r="U529" s="172">
        <f>IF('Оперативный ввод'!S529="","",'Оперативный ввод'!S529)</f>
        <v/>
      </c>
      <c r="V529" s="172">
        <f>IF('Оперативный ввод'!T529="","",'Оперативный ввод'!T529)</f>
        <v/>
      </c>
      <c r="W529" s="172" t="n"/>
      <c r="X529" s="172" t="n"/>
      <c r="Y529" s="172" t="n"/>
      <c r="Z529" s="172" t="n"/>
      <c r="AA529" s="172">
        <f>IF('Оперативный ввод'!U529="","",'Оперативный ввод'!U529)</f>
        <v/>
      </c>
      <c r="AB529" s="172">
        <f>IF('Оперативный ввод'!V529="","",'Оперативный ввод'!V529)</f>
        <v/>
      </c>
      <c r="AC529" s="172">
        <f>IF('Оперативный ввод'!W529="","",'Оперативный ввод'!W529)</f>
        <v/>
      </c>
      <c r="BB529" s="172" t="n"/>
      <c r="BC529" s="172" t="n"/>
      <c r="BD529" s="205">
        <f>IF(AND(A529="",B529=""),"",IF(AND(P529="ГОТОВО",R529&lt;&gt;"",T529&lt;&gt;"",U529&lt;&gt;"",AA529&lt;&gt;"",AB529&lt;&gt;"",AC529&lt;&gt;"",BB529&lt;&gt;"",BC529&lt;&gt;""),"ГОТОВО","НЕ ГОТОВО"))</f>
        <v/>
      </c>
      <c r="BE529" s="205">
        <f>IF(BD529&lt;&gt;"ГОТОВО","","Полное заключение: "&amp;A529&amp;", скв. "&amp;B529&amp;". МРП: "&amp;E529&amp;" сут. ГНО: "&amp;F529&amp;"; причина: "&amp;U529&amp;"; категория: "&amp;V529&amp;"; решение комиссии: "&amp;BB529&amp;".")</f>
        <v/>
      </c>
      <c r="BF529" s="173">
        <f>IF('Оперативный ввод'!X529="","",'Оперативный ввод'!X529)</f>
        <v/>
      </c>
    </row>
    <row r="530">
      <c r="A530" s="171">
        <f>IF('Оперативный ввод'!A530="","",'Оперативный ввод'!A530)</f>
        <v/>
      </c>
      <c r="B530" s="172">
        <f>IF('Оперативный ввод'!B530="","",'Оперативный ввод'!B530)</f>
        <v/>
      </c>
      <c r="C530" s="270">
        <f>IF('Оперативный ввод'!C530="","",'Оперативный ввод'!C530)</f>
        <v/>
      </c>
      <c r="D530" s="270">
        <f>IF('Оперативный ввод'!D530="","",'Оперативный ввод'!D530)</f>
        <v/>
      </c>
      <c r="E530" s="271">
        <f>IF(OR(C530="",D530=""),"",D530-C530)</f>
        <v/>
      </c>
      <c r="F530" s="172">
        <f>IF('Оперативный ввод'!F530="","",'Оперативный ввод'!F530)</f>
        <v/>
      </c>
      <c r="G530" s="172">
        <f>IF('Оперативный ввод'!G530="","",'Оперативный ввод'!G530)</f>
        <v/>
      </c>
      <c r="H530" s="172">
        <f>IF('Оперативный ввод'!H530="","",'Оперативный ввод'!H530)</f>
        <v/>
      </c>
      <c r="I530" s="172">
        <f>IF('Оперативный ввод'!I530="","",'Оперативный ввод'!I530)</f>
        <v/>
      </c>
      <c r="J530" s="172">
        <f>IF('Оперативный ввод'!J530="","",'Оперативный ввод'!J530)</f>
        <v/>
      </c>
      <c r="K530" s="172">
        <f>IF('Оперативный ввод'!K530="","",'Оперативный ввод'!K530)</f>
        <v/>
      </c>
      <c r="L530" s="172">
        <f>IF('Оперативный ввод'!L530="","",'Оперативный ввод'!L530)</f>
        <v/>
      </c>
      <c r="M530" s="172">
        <f>IF('Оперативный ввод'!M530="","",'Оперативный ввод'!M530)</f>
        <v/>
      </c>
      <c r="N530" s="172">
        <f>IF('Оперативный ввод'!N530="","",'Оперативный ввод'!N530)</f>
        <v/>
      </c>
      <c r="O530" s="172">
        <f>IF('Оперативный ввод'!O530="","",'Оперативный ввод'!O530)</f>
        <v/>
      </c>
      <c r="P530" s="205">
        <f>IF(AND(A530="",B530=""),"",IF(AND(A530&lt;&gt;"",B530&lt;&gt;"",C530&lt;&gt;"",D530&lt;&gt;"",F530&lt;&gt;"",G530&lt;&gt;"",H530&lt;&gt;"",ISERROR(SEARCH("по паспорту",G530)),ISERROR(SEARCH("по паспорту",H530)),I530&lt;&gt;"",J530&lt;&gt;"",K530&lt;&gt;"",L530&lt;&gt;"",M530&lt;&gt;""),"ГОТОВО","НЕ ГОТОВО"))</f>
        <v/>
      </c>
      <c r="Q530" s="205">
        <f>IF(P530&lt;&gt;"ГОТОВО","", "Предварительное заключение: "&amp;A530&amp;", скв. "&amp;B530&amp;". МРП: "&amp;E530&amp;" сут. ГНО: "&amp;F530&amp;", типоразмер "&amp;G530&amp;", марка "&amp;H530&amp;". Событие: "&amp;I530&amp;". Признак: "&amp;J530&amp;". Узел: "&amp;K530&amp;". Предварительная причина: "&amp;L530&amp;". Основное осложнение: "&amp;M530&amp;IF(N530&lt;&gt;"","; сопутствующее: "&amp;N530,"")&amp;IF(O530&lt;&gt;"","; дополнительно: "&amp;O530,"")&amp;".")</f>
        <v/>
      </c>
      <c r="R530" s="172">
        <f>IF('Оперативный ввод'!P530="","",'Оперативный ввод'!P530)</f>
        <v/>
      </c>
      <c r="S530" s="172">
        <f>IF('Оперативный ввод'!Q530="","",'Оперативный ввод'!Q530)</f>
        <v/>
      </c>
      <c r="T530" s="172">
        <f>IF('Оперативный ввод'!R530="","",'Оперативный ввод'!R530)</f>
        <v/>
      </c>
      <c r="U530" s="172">
        <f>IF('Оперативный ввод'!S530="","",'Оперативный ввод'!S530)</f>
        <v/>
      </c>
      <c r="V530" s="172">
        <f>IF('Оперативный ввод'!T530="","",'Оперативный ввод'!T530)</f>
        <v/>
      </c>
      <c r="W530" s="172" t="n"/>
      <c r="X530" s="172" t="n"/>
      <c r="Y530" s="172" t="n"/>
      <c r="Z530" s="172" t="n"/>
      <c r="AA530" s="172">
        <f>IF('Оперативный ввод'!U530="","",'Оперативный ввод'!U530)</f>
        <v/>
      </c>
      <c r="AB530" s="172">
        <f>IF('Оперативный ввод'!V530="","",'Оперативный ввод'!V530)</f>
        <v/>
      </c>
      <c r="AC530" s="172">
        <f>IF('Оперативный ввод'!W530="","",'Оперативный ввод'!W530)</f>
        <v/>
      </c>
      <c r="BB530" s="172" t="n"/>
      <c r="BC530" s="172" t="n"/>
      <c r="BD530" s="205">
        <f>IF(AND(A530="",B530=""),"",IF(AND(P530="ГОТОВО",R530&lt;&gt;"",T530&lt;&gt;"",U530&lt;&gt;"",AA530&lt;&gt;"",AB530&lt;&gt;"",AC530&lt;&gt;"",BB530&lt;&gt;"",BC530&lt;&gt;""),"ГОТОВО","НЕ ГОТОВО"))</f>
        <v/>
      </c>
      <c r="BE530" s="205">
        <f>IF(BD530&lt;&gt;"ГОТОВО","","Полное заключение: "&amp;A530&amp;", скв. "&amp;B530&amp;". МРП: "&amp;E530&amp;" сут. ГНО: "&amp;F530&amp;"; причина: "&amp;U530&amp;"; категория: "&amp;V530&amp;"; решение комиссии: "&amp;BB530&amp;".")</f>
        <v/>
      </c>
      <c r="BF530" s="173">
        <f>IF('Оперативный ввод'!X530="","",'Оперативный ввод'!X530)</f>
        <v/>
      </c>
    </row>
    <row r="531">
      <c r="A531" s="171">
        <f>IF('Оперативный ввод'!A531="","",'Оперативный ввод'!A531)</f>
        <v/>
      </c>
      <c r="B531" s="172">
        <f>IF('Оперативный ввод'!B531="","",'Оперативный ввод'!B531)</f>
        <v/>
      </c>
      <c r="C531" s="270">
        <f>IF('Оперативный ввод'!C531="","",'Оперативный ввод'!C531)</f>
        <v/>
      </c>
      <c r="D531" s="270">
        <f>IF('Оперативный ввод'!D531="","",'Оперативный ввод'!D531)</f>
        <v/>
      </c>
      <c r="E531" s="271">
        <f>IF(OR(C531="",D531=""),"",D531-C531)</f>
        <v/>
      </c>
      <c r="F531" s="172">
        <f>IF('Оперативный ввод'!F531="","",'Оперативный ввод'!F531)</f>
        <v/>
      </c>
      <c r="G531" s="172">
        <f>IF('Оперативный ввод'!G531="","",'Оперативный ввод'!G531)</f>
        <v/>
      </c>
      <c r="H531" s="172">
        <f>IF('Оперативный ввод'!H531="","",'Оперативный ввод'!H531)</f>
        <v/>
      </c>
      <c r="I531" s="172">
        <f>IF('Оперативный ввод'!I531="","",'Оперативный ввод'!I531)</f>
        <v/>
      </c>
      <c r="J531" s="172">
        <f>IF('Оперативный ввод'!J531="","",'Оперативный ввод'!J531)</f>
        <v/>
      </c>
      <c r="K531" s="172">
        <f>IF('Оперативный ввод'!K531="","",'Оперативный ввод'!K531)</f>
        <v/>
      </c>
      <c r="L531" s="172">
        <f>IF('Оперативный ввод'!L531="","",'Оперативный ввод'!L531)</f>
        <v/>
      </c>
      <c r="M531" s="172">
        <f>IF('Оперативный ввод'!M531="","",'Оперативный ввод'!M531)</f>
        <v/>
      </c>
      <c r="N531" s="172">
        <f>IF('Оперативный ввод'!N531="","",'Оперативный ввод'!N531)</f>
        <v/>
      </c>
      <c r="O531" s="172">
        <f>IF('Оперативный ввод'!O531="","",'Оперативный ввод'!O531)</f>
        <v/>
      </c>
      <c r="P531" s="205">
        <f>IF(AND(A531="",B531=""),"",IF(AND(A531&lt;&gt;"",B531&lt;&gt;"",C531&lt;&gt;"",D531&lt;&gt;"",F531&lt;&gt;"",G531&lt;&gt;"",H531&lt;&gt;"",ISERROR(SEARCH("по паспорту",G531)),ISERROR(SEARCH("по паспорту",H531)),I531&lt;&gt;"",J531&lt;&gt;"",K531&lt;&gt;"",L531&lt;&gt;"",M531&lt;&gt;""),"ГОТОВО","НЕ ГОТОВО"))</f>
        <v/>
      </c>
      <c r="Q531" s="205">
        <f>IF(P531&lt;&gt;"ГОТОВО","", "Предварительное заключение: "&amp;A531&amp;", скв. "&amp;B531&amp;". МРП: "&amp;E531&amp;" сут. ГНО: "&amp;F531&amp;", типоразмер "&amp;G531&amp;", марка "&amp;H531&amp;". Событие: "&amp;I531&amp;". Признак: "&amp;J531&amp;". Узел: "&amp;K531&amp;". Предварительная причина: "&amp;L531&amp;". Основное осложнение: "&amp;M531&amp;IF(N531&lt;&gt;"","; сопутствующее: "&amp;N531,"")&amp;IF(O531&lt;&gt;"","; дополнительно: "&amp;O531,"")&amp;".")</f>
        <v/>
      </c>
      <c r="R531" s="172">
        <f>IF('Оперативный ввод'!P531="","",'Оперативный ввод'!P531)</f>
        <v/>
      </c>
      <c r="S531" s="172">
        <f>IF('Оперативный ввод'!Q531="","",'Оперативный ввод'!Q531)</f>
        <v/>
      </c>
      <c r="T531" s="172">
        <f>IF('Оперативный ввод'!R531="","",'Оперативный ввод'!R531)</f>
        <v/>
      </c>
      <c r="U531" s="172">
        <f>IF('Оперативный ввод'!S531="","",'Оперативный ввод'!S531)</f>
        <v/>
      </c>
      <c r="V531" s="172">
        <f>IF('Оперативный ввод'!T531="","",'Оперативный ввод'!T531)</f>
        <v/>
      </c>
      <c r="W531" s="172" t="n"/>
      <c r="X531" s="172" t="n"/>
      <c r="Y531" s="172" t="n"/>
      <c r="Z531" s="172" t="n"/>
      <c r="AA531" s="172">
        <f>IF('Оперативный ввод'!U531="","",'Оперативный ввод'!U531)</f>
        <v/>
      </c>
      <c r="AB531" s="172">
        <f>IF('Оперативный ввод'!V531="","",'Оперативный ввод'!V531)</f>
        <v/>
      </c>
      <c r="AC531" s="172">
        <f>IF('Оперативный ввод'!W531="","",'Оперативный ввод'!W531)</f>
        <v/>
      </c>
      <c r="BB531" s="172" t="n"/>
      <c r="BC531" s="172" t="n"/>
      <c r="BD531" s="205">
        <f>IF(AND(A531="",B531=""),"",IF(AND(P531="ГОТОВО",R531&lt;&gt;"",T531&lt;&gt;"",U531&lt;&gt;"",AA531&lt;&gt;"",AB531&lt;&gt;"",AC531&lt;&gt;"",BB531&lt;&gt;"",BC531&lt;&gt;""),"ГОТОВО","НЕ ГОТОВО"))</f>
        <v/>
      </c>
      <c r="BE531" s="205">
        <f>IF(BD531&lt;&gt;"ГОТОВО","","Полное заключение: "&amp;A531&amp;", скв. "&amp;B531&amp;". МРП: "&amp;E531&amp;" сут. ГНО: "&amp;F531&amp;"; причина: "&amp;U531&amp;"; категория: "&amp;V531&amp;"; решение комиссии: "&amp;BB531&amp;".")</f>
        <v/>
      </c>
      <c r="BF531" s="173">
        <f>IF('Оперативный ввод'!X531="","",'Оперативный ввод'!X531)</f>
        <v/>
      </c>
    </row>
    <row r="532">
      <c r="A532" s="171">
        <f>IF('Оперативный ввод'!A532="","",'Оперативный ввод'!A532)</f>
        <v/>
      </c>
      <c r="B532" s="172">
        <f>IF('Оперативный ввод'!B532="","",'Оперативный ввод'!B532)</f>
        <v/>
      </c>
      <c r="C532" s="270">
        <f>IF('Оперативный ввод'!C532="","",'Оперативный ввод'!C532)</f>
        <v/>
      </c>
      <c r="D532" s="270">
        <f>IF('Оперативный ввод'!D532="","",'Оперативный ввод'!D532)</f>
        <v/>
      </c>
      <c r="E532" s="271">
        <f>IF(OR(C532="",D532=""),"",D532-C532)</f>
        <v/>
      </c>
      <c r="F532" s="172">
        <f>IF('Оперативный ввод'!F532="","",'Оперативный ввод'!F532)</f>
        <v/>
      </c>
      <c r="G532" s="172">
        <f>IF('Оперативный ввод'!G532="","",'Оперативный ввод'!G532)</f>
        <v/>
      </c>
      <c r="H532" s="172">
        <f>IF('Оперативный ввод'!H532="","",'Оперативный ввод'!H532)</f>
        <v/>
      </c>
      <c r="I532" s="172">
        <f>IF('Оперативный ввод'!I532="","",'Оперативный ввод'!I532)</f>
        <v/>
      </c>
      <c r="J532" s="172">
        <f>IF('Оперативный ввод'!J532="","",'Оперативный ввод'!J532)</f>
        <v/>
      </c>
      <c r="K532" s="172">
        <f>IF('Оперативный ввод'!K532="","",'Оперативный ввод'!K532)</f>
        <v/>
      </c>
      <c r="L532" s="172">
        <f>IF('Оперативный ввод'!L532="","",'Оперативный ввод'!L532)</f>
        <v/>
      </c>
      <c r="M532" s="172">
        <f>IF('Оперативный ввод'!M532="","",'Оперативный ввод'!M532)</f>
        <v/>
      </c>
      <c r="N532" s="172">
        <f>IF('Оперативный ввод'!N532="","",'Оперативный ввод'!N532)</f>
        <v/>
      </c>
      <c r="O532" s="172">
        <f>IF('Оперативный ввод'!O532="","",'Оперативный ввод'!O532)</f>
        <v/>
      </c>
      <c r="P532" s="205">
        <f>IF(AND(A532="",B532=""),"",IF(AND(A532&lt;&gt;"",B532&lt;&gt;"",C532&lt;&gt;"",D532&lt;&gt;"",F532&lt;&gt;"",G532&lt;&gt;"",H532&lt;&gt;"",ISERROR(SEARCH("по паспорту",G532)),ISERROR(SEARCH("по паспорту",H532)),I532&lt;&gt;"",J532&lt;&gt;"",K532&lt;&gt;"",L532&lt;&gt;"",M532&lt;&gt;""),"ГОТОВО","НЕ ГОТОВО"))</f>
        <v/>
      </c>
      <c r="Q532" s="205">
        <f>IF(P532&lt;&gt;"ГОТОВО","", "Предварительное заключение: "&amp;A532&amp;", скв. "&amp;B532&amp;". МРП: "&amp;E532&amp;" сут. ГНО: "&amp;F532&amp;", типоразмер "&amp;G532&amp;", марка "&amp;H532&amp;". Событие: "&amp;I532&amp;". Признак: "&amp;J532&amp;". Узел: "&amp;K532&amp;". Предварительная причина: "&amp;L532&amp;". Основное осложнение: "&amp;M532&amp;IF(N532&lt;&gt;"","; сопутствующее: "&amp;N532,"")&amp;IF(O532&lt;&gt;"","; дополнительно: "&amp;O532,"")&amp;".")</f>
        <v/>
      </c>
      <c r="R532" s="172">
        <f>IF('Оперативный ввод'!P532="","",'Оперативный ввод'!P532)</f>
        <v/>
      </c>
      <c r="S532" s="172">
        <f>IF('Оперативный ввод'!Q532="","",'Оперативный ввод'!Q532)</f>
        <v/>
      </c>
      <c r="T532" s="172">
        <f>IF('Оперативный ввод'!R532="","",'Оперативный ввод'!R532)</f>
        <v/>
      </c>
      <c r="U532" s="172">
        <f>IF('Оперативный ввод'!S532="","",'Оперативный ввод'!S532)</f>
        <v/>
      </c>
      <c r="V532" s="172">
        <f>IF('Оперативный ввод'!T532="","",'Оперативный ввод'!T532)</f>
        <v/>
      </c>
      <c r="W532" s="172" t="n"/>
      <c r="X532" s="172" t="n"/>
      <c r="Y532" s="172" t="n"/>
      <c r="Z532" s="172" t="n"/>
      <c r="AA532" s="172">
        <f>IF('Оперативный ввод'!U532="","",'Оперативный ввод'!U532)</f>
        <v/>
      </c>
      <c r="AB532" s="172">
        <f>IF('Оперативный ввод'!V532="","",'Оперативный ввод'!V532)</f>
        <v/>
      </c>
      <c r="AC532" s="172">
        <f>IF('Оперативный ввод'!W532="","",'Оперативный ввод'!W532)</f>
        <v/>
      </c>
      <c r="BB532" s="172" t="n"/>
      <c r="BC532" s="172" t="n"/>
      <c r="BD532" s="205">
        <f>IF(AND(A532="",B532=""),"",IF(AND(P532="ГОТОВО",R532&lt;&gt;"",T532&lt;&gt;"",U532&lt;&gt;"",AA532&lt;&gt;"",AB532&lt;&gt;"",AC532&lt;&gt;"",BB532&lt;&gt;"",BC532&lt;&gt;""),"ГОТОВО","НЕ ГОТОВО"))</f>
        <v/>
      </c>
      <c r="BE532" s="205">
        <f>IF(BD532&lt;&gt;"ГОТОВО","","Полное заключение: "&amp;A532&amp;", скв. "&amp;B532&amp;". МРП: "&amp;E532&amp;" сут. ГНО: "&amp;F532&amp;"; причина: "&amp;U532&amp;"; категория: "&amp;V532&amp;"; решение комиссии: "&amp;BB532&amp;".")</f>
        <v/>
      </c>
      <c r="BF532" s="173">
        <f>IF('Оперативный ввод'!X532="","",'Оперативный ввод'!X532)</f>
        <v/>
      </c>
    </row>
    <row r="533">
      <c r="A533" s="171">
        <f>IF('Оперативный ввод'!A533="","",'Оперативный ввод'!A533)</f>
        <v/>
      </c>
      <c r="B533" s="172">
        <f>IF('Оперативный ввод'!B533="","",'Оперативный ввод'!B533)</f>
        <v/>
      </c>
      <c r="C533" s="270">
        <f>IF('Оперативный ввод'!C533="","",'Оперативный ввод'!C533)</f>
        <v/>
      </c>
      <c r="D533" s="270">
        <f>IF('Оперативный ввод'!D533="","",'Оперативный ввод'!D533)</f>
        <v/>
      </c>
      <c r="E533" s="271">
        <f>IF(OR(C533="",D533=""),"",D533-C533)</f>
        <v/>
      </c>
      <c r="F533" s="172">
        <f>IF('Оперативный ввод'!F533="","",'Оперативный ввод'!F533)</f>
        <v/>
      </c>
      <c r="G533" s="172">
        <f>IF('Оперативный ввод'!G533="","",'Оперативный ввод'!G533)</f>
        <v/>
      </c>
      <c r="H533" s="172">
        <f>IF('Оперативный ввод'!H533="","",'Оперативный ввод'!H533)</f>
        <v/>
      </c>
      <c r="I533" s="172">
        <f>IF('Оперативный ввод'!I533="","",'Оперативный ввод'!I533)</f>
        <v/>
      </c>
      <c r="J533" s="172">
        <f>IF('Оперативный ввод'!J533="","",'Оперативный ввод'!J533)</f>
        <v/>
      </c>
      <c r="K533" s="172">
        <f>IF('Оперативный ввод'!K533="","",'Оперативный ввод'!K533)</f>
        <v/>
      </c>
      <c r="L533" s="172">
        <f>IF('Оперативный ввод'!L533="","",'Оперативный ввод'!L533)</f>
        <v/>
      </c>
      <c r="M533" s="172">
        <f>IF('Оперативный ввод'!M533="","",'Оперативный ввод'!M533)</f>
        <v/>
      </c>
      <c r="N533" s="172">
        <f>IF('Оперативный ввод'!N533="","",'Оперативный ввод'!N533)</f>
        <v/>
      </c>
      <c r="O533" s="172">
        <f>IF('Оперативный ввод'!O533="","",'Оперативный ввод'!O533)</f>
        <v/>
      </c>
      <c r="P533" s="205">
        <f>IF(AND(A533="",B533=""),"",IF(AND(A533&lt;&gt;"",B533&lt;&gt;"",C533&lt;&gt;"",D533&lt;&gt;"",F533&lt;&gt;"",G533&lt;&gt;"",H533&lt;&gt;"",ISERROR(SEARCH("по паспорту",G533)),ISERROR(SEARCH("по паспорту",H533)),I533&lt;&gt;"",J533&lt;&gt;"",K533&lt;&gt;"",L533&lt;&gt;"",M533&lt;&gt;""),"ГОТОВО","НЕ ГОТОВО"))</f>
        <v/>
      </c>
      <c r="Q533" s="205">
        <f>IF(P533&lt;&gt;"ГОТОВО","", "Предварительное заключение: "&amp;A533&amp;", скв. "&amp;B533&amp;". МРП: "&amp;E533&amp;" сут. ГНО: "&amp;F533&amp;", типоразмер "&amp;G533&amp;", марка "&amp;H533&amp;". Событие: "&amp;I533&amp;". Признак: "&amp;J533&amp;". Узел: "&amp;K533&amp;". Предварительная причина: "&amp;L533&amp;". Основное осложнение: "&amp;M533&amp;IF(N533&lt;&gt;"","; сопутствующее: "&amp;N533,"")&amp;IF(O533&lt;&gt;"","; дополнительно: "&amp;O533,"")&amp;".")</f>
        <v/>
      </c>
      <c r="R533" s="172">
        <f>IF('Оперативный ввод'!P533="","",'Оперативный ввод'!P533)</f>
        <v/>
      </c>
      <c r="S533" s="172">
        <f>IF('Оперативный ввод'!Q533="","",'Оперативный ввод'!Q533)</f>
        <v/>
      </c>
      <c r="T533" s="172">
        <f>IF('Оперативный ввод'!R533="","",'Оперативный ввод'!R533)</f>
        <v/>
      </c>
      <c r="U533" s="172">
        <f>IF('Оперативный ввод'!S533="","",'Оперативный ввод'!S533)</f>
        <v/>
      </c>
      <c r="V533" s="172">
        <f>IF('Оперативный ввод'!T533="","",'Оперативный ввод'!T533)</f>
        <v/>
      </c>
      <c r="W533" s="172" t="n"/>
      <c r="X533" s="172" t="n"/>
      <c r="Y533" s="172" t="n"/>
      <c r="Z533" s="172" t="n"/>
      <c r="AA533" s="172">
        <f>IF('Оперативный ввод'!U533="","",'Оперативный ввод'!U533)</f>
        <v/>
      </c>
      <c r="AB533" s="172">
        <f>IF('Оперативный ввод'!V533="","",'Оперативный ввод'!V533)</f>
        <v/>
      </c>
      <c r="AC533" s="172">
        <f>IF('Оперативный ввод'!W533="","",'Оперативный ввод'!W533)</f>
        <v/>
      </c>
      <c r="BB533" s="172" t="n"/>
      <c r="BC533" s="172" t="n"/>
      <c r="BD533" s="205">
        <f>IF(AND(A533="",B533=""),"",IF(AND(P533="ГОТОВО",R533&lt;&gt;"",T533&lt;&gt;"",U533&lt;&gt;"",AA533&lt;&gt;"",AB533&lt;&gt;"",AC533&lt;&gt;"",BB533&lt;&gt;"",BC533&lt;&gt;""),"ГОТОВО","НЕ ГОТОВО"))</f>
        <v/>
      </c>
      <c r="BE533" s="205">
        <f>IF(BD533&lt;&gt;"ГОТОВО","","Полное заключение: "&amp;A533&amp;", скв. "&amp;B533&amp;". МРП: "&amp;E533&amp;" сут. ГНО: "&amp;F533&amp;"; причина: "&amp;U533&amp;"; категория: "&amp;V533&amp;"; решение комиссии: "&amp;BB533&amp;".")</f>
        <v/>
      </c>
      <c r="BF533" s="173">
        <f>IF('Оперативный ввод'!X533="","",'Оперативный ввод'!X533)</f>
        <v/>
      </c>
    </row>
    <row r="534">
      <c r="A534" s="171">
        <f>IF('Оперативный ввод'!A534="","",'Оперативный ввод'!A534)</f>
        <v/>
      </c>
      <c r="B534" s="172">
        <f>IF('Оперативный ввод'!B534="","",'Оперативный ввод'!B534)</f>
        <v/>
      </c>
      <c r="C534" s="270">
        <f>IF('Оперативный ввод'!C534="","",'Оперативный ввод'!C534)</f>
        <v/>
      </c>
      <c r="D534" s="270">
        <f>IF('Оперативный ввод'!D534="","",'Оперативный ввод'!D534)</f>
        <v/>
      </c>
      <c r="E534" s="271">
        <f>IF(OR(C534="",D534=""),"",D534-C534)</f>
        <v/>
      </c>
      <c r="F534" s="172">
        <f>IF('Оперативный ввод'!F534="","",'Оперативный ввод'!F534)</f>
        <v/>
      </c>
      <c r="G534" s="172">
        <f>IF('Оперативный ввод'!G534="","",'Оперативный ввод'!G534)</f>
        <v/>
      </c>
      <c r="H534" s="172">
        <f>IF('Оперативный ввод'!H534="","",'Оперативный ввод'!H534)</f>
        <v/>
      </c>
      <c r="I534" s="172">
        <f>IF('Оперативный ввод'!I534="","",'Оперативный ввод'!I534)</f>
        <v/>
      </c>
      <c r="J534" s="172">
        <f>IF('Оперативный ввод'!J534="","",'Оперативный ввод'!J534)</f>
        <v/>
      </c>
      <c r="K534" s="172">
        <f>IF('Оперативный ввод'!K534="","",'Оперативный ввод'!K534)</f>
        <v/>
      </c>
      <c r="L534" s="172">
        <f>IF('Оперативный ввод'!L534="","",'Оперативный ввод'!L534)</f>
        <v/>
      </c>
      <c r="M534" s="172">
        <f>IF('Оперативный ввод'!M534="","",'Оперативный ввод'!M534)</f>
        <v/>
      </c>
      <c r="N534" s="172">
        <f>IF('Оперативный ввод'!N534="","",'Оперативный ввод'!N534)</f>
        <v/>
      </c>
      <c r="O534" s="172">
        <f>IF('Оперативный ввод'!O534="","",'Оперативный ввод'!O534)</f>
        <v/>
      </c>
      <c r="P534" s="205">
        <f>IF(AND(A534="",B534=""),"",IF(AND(A534&lt;&gt;"",B534&lt;&gt;"",C534&lt;&gt;"",D534&lt;&gt;"",F534&lt;&gt;"",G534&lt;&gt;"",H534&lt;&gt;"",ISERROR(SEARCH("по паспорту",G534)),ISERROR(SEARCH("по паспорту",H534)),I534&lt;&gt;"",J534&lt;&gt;"",K534&lt;&gt;"",L534&lt;&gt;"",M534&lt;&gt;""),"ГОТОВО","НЕ ГОТОВО"))</f>
        <v/>
      </c>
      <c r="Q534" s="205">
        <f>IF(P534&lt;&gt;"ГОТОВО","", "Предварительное заключение: "&amp;A534&amp;", скв. "&amp;B534&amp;". МРП: "&amp;E534&amp;" сут. ГНО: "&amp;F534&amp;", типоразмер "&amp;G534&amp;", марка "&amp;H534&amp;". Событие: "&amp;I534&amp;". Признак: "&amp;J534&amp;". Узел: "&amp;K534&amp;". Предварительная причина: "&amp;L534&amp;". Основное осложнение: "&amp;M534&amp;IF(N534&lt;&gt;"","; сопутствующее: "&amp;N534,"")&amp;IF(O534&lt;&gt;"","; дополнительно: "&amp;O534,"")&amp;".")</f>
        <v/>
      </c>
      <c r="R534" s="172">
        <f>IF('Оперативный ввод'!P534="","",'Оперативный ввод'!P534)</f>
        <v/>
      </c>
      <c r="S534" s="172">
        <f>IF('Оперативный ввод'!Q534="","",'Оперативный ввод'!Q534)</f>
        <v/>
      </c>
      <c r="T534" s="172">
        <f>IF('Оперативный ввод'!R534="","",'Оперативный ввод'!R534)</f>
        <v/>
      </c>
      <c r="U534" s="172">
        <f>IF('Оперативный ввод'!S534="","",'Оперативный ввод'!S534)</f>
        <v/>
      </c>
      <c r="V534" s="172">
        <f>IF('Оперативный ввод'!T534="","",'Оперативный ввод'!T534)</f>
        <v/>
      </c>
      <c r="W534" s="172" t="n"/>
      <c r="X534" s="172" t="n"/>
      <c r="Y534" s="172" t="n"/>
      <c r="Z534" s="172" t="n"/>
      <c r="AA534" s="172">
        <f>IF('Оперативный ввод'!U534="","",'Оперативный ввод'!U534)</f>
        <v/>
      </c>
      <c r="AB534" s="172">
        <f>IF('Оперативный ввод'!V534="","",'Оперативный ввод'!V534)</f>
        <v/>
      </c>
      <c r="AC534" s="172">
        <f>IF('Оперативный ввод'!W534="","",'Оперативный ввод'!W534)</f>
        <v/>
      </c>
      <c r="BB534" s="172" t="n"/>
      <c r="BC534" s="172" t="n"/>
      <c r="BD534" s="205">
        <f>IF(AND(A534="",B534=""),"",IF(AND(P534="ГОТОВО",R534&lt;&gt;"",T534&lt;&gt;"",U534&lt;&gt;"",AA534&lt;&gt;"",AB534&lt;&gt;"",AC534&lt;&gt;"",BB534&lt;&gt;"",BC534&lt;&gt;""),"ГОТОВО","НЕ ГОТОВО"))</f>
        <v/>
      </c>
      <c r="BE534" s="205">
        <f>IF(BD534&lt;&gt;"ГОТОВО","","Полное заключение: "&amp;A534&amp;", скв. "&amp;B534&amp;". МРП: "&amp;E534&amp;" сут. ГНО: "&amp;F534&amp;"; причина: "&amp;U534&amp;"; категория: "&amp;V534&amp;"; решение комиссии: "&amp;BB534&amp;".")</f>
        <v/>
      </c>
      <c r="BF534" s="173">
        <f>IF('Оперативный ввод'!X534="","",'Оперативный ввод'!X534)</f>
        <v/>
      </c>
    </row>
    <row r="535">
      <c r="A535" s="171">
        <f>IF('Оперативный ввод'!A535="","",'Оперативный ввод'!A535)</f>
        <v/>
      </c>
      <c r="B535" s="172">
        <f>IF('Оперативный ввод'!B535="","",'Оперативный ввод'!B535)</f>
        <v/>
      </c>
      <c r="C535" s="270">
        <f>IF('Оперативный ввод'!C535="","",'Оперативный ввод'!C535)</f>
        <v/>
      </c>
      <c r="D535" s="270">
        <f>IF('Оперативный ввод'!D535="","",'Оперативный ввод'!D535)</f>
        <v/>
      </c>
      <c r="E535" s="271">
        <f>IF(OR(C535="",D535=""),"",D535-C535)</f>
        <v/>
      </c>
      <c r="F535" s="172">
        <f>IF('Оперативный ввод'!F535="","",'Оперативный ввод'!F535)</f>
        <v/>
      </c>
      <c r="G535" s="172">
        <f>IF('Оперативный ввод'!G535="","",'Оперативный ввод'!G535)</f>
        <v/>
      </c>
      <c r="H535" s="172">
        <f>IF('Оперативный ввод'!H535="","",'Оперативный ввод'!H535)</f>
        <v/>
      </c>
      <c r="I535" s="172">
        <f>IF('Оперативный ввод'!I535="","",'Оперативный ввод'!I535)</f>
        <v/>
      </c>
      <c r="J535" s="172">
        <f>IF('Оперативный ввод'!J535="","",'Оперативный ввод'!J535)</f>
        <v/>
      </c>
      <c r="K535" s="172">
        <f>IF('Оперативный ввод'!K535="","",'Оперативный ввод'!K535)</f>
        <v/>
      </c>
      <c r="L535" s="172">
        <f>IF('Оперативный ввод'!L535="","",'Оперативный ввод'!L535)</f>
        <v/>
      </c>
      <c r="M535" s="172">
        <f>IF('Оперативный ввод'!M535="","",'Оперативный ввод'!M535)</f>
        <v/>
      </c>
      <c r="N535" s="172">
        <f>IF('Оперативный ввод'!N535="","",'Оперативный ввод'!N535)</f>
        <v/>
      </c>
      <c r="O535" s="172">
        <f>IF('Оперативный ввод'!O535="","",'Оперативный ввод'!O535)</f>
        <v/>
      </c>
      <c r="P535" s="205">
        <f>IF(AND(A535="",B535=""),"",IF(AND(A535&lt;&gt;"",B535&lt;&gt;"",C535&lt;&gt;"",D535&lt;&gt;"",F535&lt;&gt;"",G535&lt;&gt;"",H535&lt;&gt;"",ISERROR(SEARCH("по паспорту",G535)),ISERROR(SEARCH("по паспорту",H535)),I535&lt;&gt;"",J535&lt;&gt;"",K535&lt;&gt;"",L535&lt;&gt;"",M535&lt;&gt;""),"ГОТОВО","НЕ ГОТОВО"))</f>
        <v/>
      </c>
      <c r="Q535" s="205">
        <f>IF(P535&lt;&gt;"ГОТОВО","", "Предварительное заключение: "&amp;A535&amp;", скв. "&amp;B535&amp;". МРП: "&amp;E535&amp;" сут. ГНО: "&amp;F535&amp;", типоразмер "&amp;G535&amp;", марка "&amp;H535&amp;". Событие: "&amp;I535&amp;". Признак: "&amp;J535&amp;". Узел: "&amp;K535&amp;". Предварительная причина: "&amp;L535&amp;". Основное осложнение: "&amp;M535&amp;IF(N535&lt;&gt;"","; сопутствующее: "&amp;N535,"")&amp;IF(O535&lt;&gt;"","; дополнительно: "&amp;O535,"")&amp;".")</f>
        <v/>
      </c>
      <c r="R535" s="172">
        <f>IF('Оперативный ввод'!P535="","",'Оперативный ввод'!P535)</f>
        <v/>
      </c>
      <c r="S535" s="172">
        <f>IF('Оперативный ввод'!Q535="","",'Оперативный ввод'!Q535)</f>
        <v/>
      </c>
      <c r="T535" s="172">
        <f>IF('Оперативный ввод'!R535="","",'Оперативный ввод'!R535)</f>
        <v/>
      </c>
      <c r="U535" s="172">
        <f>IF('Оперативный ввод'!S535="","",'Оперативный ввод'!S535)</f>
        <v/>
      </c>
      <c r="V535" s="172">
        <f>IF('Оперативный ввод'!T535="","",'Оперативный ввод'!T535)</f>
        <v/>
      </c>
      <c r="W535" s="172" t="n"/>
      <c r="X535" s="172" t="n"/>
      <c r="Y535" s="172" t="n"/>
      <c r="Z535" s="172" t="n"/>
      <c r="AA535" s="172">
        <f>IF('Оперативный ввод'!U535="","",'Оперативный ввод'!U535)</f>
        <v/>
      </c>
      <c r="AB535" s="172">
        <f>IF('Оперативный ввод'!V535="","",'Оперативный ввод'!V535)</f>
        <v/>
      </c>
      <c r="AC535" s="172">
        <f>IF('Оперативный ввод'!W535="","",'Оперативный ввод'!W535)</f>
        <v/>
      </c>
      <c r="BB535" s="172" t="n"/>
      <c r="BC535" s="172" t="n"/>
      <c r="BD535" s="205">
        <f>IF(AND(A535="",B535=""),"",IF(AND(P535="ГОТОВО",R535&lt;&gt;"",T535&lt;&gt;"",U535&lt;&gt;"",AA535&lt;&gt;"",AB535&lt;&gt;"",AC535&lt;&gt;"",BB535&lt;&gt;"",BC535&lt;&gt;""),"ГОТОВО","НЕ ГОТОВО"))</f>
        <v/>
      </c>
      <c r="BE535" s="205">
        <f>IF(BD535&lt;&gt;"ГОТОВО","","Полное заключение: "&amp;A535&amp;", скв. "&amp;B535&amp;". МРП: "&amp;E535&amp;" сут. ГНО: "&amp;F535&amp;"; причина: "&amp;U535&amp;"; категория: "&amp;V535&amp;"; решение комиссии: "&amp;BB535&amp;".")</f>
        <v/>
      </c>
      <c r="BF535" s="173">
        <f>IF('Оперативный ввод'!X535="","",'Оперативный ввод'!X535)</f>
        <v/>
      </c>
    </row>
    <row r="536">
      <c r="A536" s="171">
        <f>IF('Оперативный ввод'!A536="","",'Оперативный ввод'!A536)</f>
        <v/>
      </c>
      <c r="B536" s="172">
        <f>IF('Оперативный ввод'!B536="","",'Оперативный ввод'!B536)</f>
        <v/>
      </c>
      <c r="C536" s="270">
        <f>IF('Оперативный ввод'!C536="","",'Оперативный ввод'!C536)</f>
        <v/>
      </c>
      <c r="D536" s="270">
        <f>IF('Оперативный ввод'!D536="","",'Оперативный ввод'!D536)</f>
        <v/>
      </c>
      <c r="E536" s="271">
        <f>IF(OR(C536="",D536=""),"",D536-C536)</f>
        <v/>
      </c>
      <c r="F536" s="172">
        <f>IF('Оперативный ввод'!F536="","",'Оперативный ввод'!F536)</f>
        <v/>
      </c>
      <c r="G536" s="172">
        <f>IF('Оперативный ввод'!G536="","",'Оперативный ввод'!G536)</f>
        <v/>
      </c>
      <c r="H536" s="172">
        <f>IF('Оперативный ввод'!H536="","",'Оперативный ввод'!H536)</f>
        <v/>
      </c>
      <c r="I536" s="172">
        <f>IF('Оперативный ввод'!I536="","",'Оперативный ввод'!I536)</f>
        <v/>
      </c>
      <c r="J536" s="172">
        <f>IF('Оперативный ввод'!J536="","",'Оперативный ввод'!J536)</f>
        <v/>
      </c>
      <c r="K536" s="172">
        <f>IF('Оперативный ввод'!K536="","",'Оперативный ввод'!K536)</f>
        <v/>
      </c>
      <c r="L536" s="172">
        <f>IF('Оперативный ввод'!L536="","",'Оперативный ввод'!L536)</f>
        <v/>
      </c>
      <c r="M536" s="172">
        <f>IF('Оперативный ввод'!M536="","",'Оперативный ввод'!M536)</f>
        <v/>
      </c>
      <c r="N536" s="172">
        <f>IF('Оперативный ввод'!N536="","",'Оперативный ввод'!N536)</f>
        <v/>
      </c>
      <c r="O536" s="172">
        <f>IF('Оперативный ввод'!O536="","",'Оперативный ввод'!O536)</f>
        <v/>
      </c>
      <c r="P536" s="205">
        <f>IF(AND(A536="",B536=""),"",IF(AND(A536&lt;&gt;"",B536&lt;&gt;"",C536&lt;&gt;"",D536&lt;&gt;"",F536&lt;&gt;"",G536&lt;&gt;"",H536&lt;&gt;"",ISERROR(SEARCH("по паспорту",G536)),ISERROR(SEARCH("по паспорту",H536)),I536&lt;&gt;"",J536&lt;&gt;"",K536&lt;&gt;"",L536&lt;&gt;"",M536&lt;&gt;""),"ГОТОВО","НЕ ГОТОВО"))</f>
        <v/>
      </c>
      <c r="Q536" s="205">
        <f>IF(P536&lt;&gt;"ГОТОВО","", "Предварительное заключение: "&amp;A536&amp;", скв. "&amp;B536&amp;". МРП: "&amp;E536&amp;" сут. ГНО: "&amp;F536&amp;", типоразмер "&amp;G536&amp;", марка "&amp;H536&amp;". Событие: "&amp;I536&amp;". Признак: "&amp;J536&amp;". Узел: "&amp;K536&amp;". Предварительная причина: "&amp;L536&amp;". Основное осложнение: "&amp;M536&amp;IF(N536&lt;&gt;"","; сопутствующее: "&amp;N536,"")&amp;IF(O536&lt;&gt;"","; дополнительно: "&amp;O536,"")&amp;".")</f>
        <v/>
      </c>
      <c r="R536" s="172">
        <f>IF('Оперативный ввод'!P536="","",'Оперативный ввод'!P536)</f>
        <v/>
      </c>
      <c r="S536" s="172">
        <f>IF('Оперативный ввод'!Q536="","",'Оперативный ввод'!Q536)</f>
        <v/>
      </c>
      <c r="T536" s="172">
        <f>IF('Оперативный ввод'!R536="","",'Оперативный ввод'!R536)</f>
        <v/>
      </c>
      <c r="U536" s="172">
        <f>IF('Оперативный ввод'!S536="","",'Оперативный ввод'!S536)</f>
        <v/>
      </c>
      <c r="V536" s="172">
        <f>IF('Оперативный ввод'!T536="","",'Оперативный ввод'!T536)</f>
        <v/>
      </c>
      <c r="W536" s="172" t="n"/>
      <c r="X536" s="172" t="n"/>
      <c r="Y536" s="172" t="n"/>
      <c r="Z536" s="172" t="n"/>
      <c r="AA536" s="172">
        <f>IF('Оперативный ввод'!U536="","",'Оперативный ввод'!U536)</f>
        <v/>
      </c>
      <c r="AB536" s="172">
        <f>IF('Оперативный ввод'!V536="","",'Оперативный ввод'!V536)</f>
        <v/>
      </c>
      <c r="AC536" s="172">
        <f>IF('Оперативный ввод'!W536="","",'Оперативный ввод'!W536)</f>
        <v/>
      </c>
      <c r="BB536" s="172" t="n"/>
      <c r="BC536" s="172" t="n"/>
      <c r="BD536" s="205">
        <f>IF(AND(A536="",B536=""),"",IF(AND(P536="ГОТОВО",R536&lt;&gt;"",T536&lt;&gt;"",U536&lt;&gt;"",AA536&lt;&gt;"",AB536&lt;&gt;"",AC536&lt;&gt;"",BB536&lt;&gt;"",BC536&lt;&gt;""),"ГОТОВО","НЕ ГОТОВО"))</f>
        <v/>
      </c>
      <c r="BE536" s="205">
        <f>IF(BD536&lt;&gt;"ГОТОВО","","Полное заключение: "&amp;A536&amp;", скв. "&amp;B536&amp;". МРП: "&amp;E536&amp;" сут. ГНО: "&amp;F536&amp;"; причина: "&amp;U536&amp;"; категория: "&amp;V536&amp;"; решение комиссии: "&amp;BB536&amp;".")</f>
        <v/>
      </c>
      <c r="BF536" s="173">
        <f>IF('Оперативный ввод'!X536="","",'Оперативный ввод'!X536)</f>
        <v/>
      </c>
    </row>
    <row r="537">
      <c r="A537" s="171">
        <f>IF('Оперативный ввод'!A537="","",'Оперативный ввод'!A537)</f>
        <v/>
      </c>
      <c r="B537" s="172">
        <f>IF('Оперативный ввод'!B537="","",'Оперативный ввод'!B537)</f>
        <v/>
      </c>
      <c r="C537" s="270">
        <f>IF('Оперативный ввод'!C537="","",'Оперативный ввод'!C537)</f>
        <v/>
      </c>
      <c r="D537" s="270">
        <f>IF('Оперативный ввод'!D537="","",'Оперативный ввод'!D537)</f>
        <v/>
      </c>
      <c r="E537" s="271">
        <f>IF(OR(C537="",D537=""),"",D537-C537)</f>
        <v/>
      </c>
      <c r="F537" s="172">
        <f>IF('Оперативный ввод'!F537="","",'Оперативный ввод'!F537)</f>
        <v/>
      </c>
      <c r="G537" s="172">
        <f>IF('Оперативный ввод'!G537="","",'Оперативный ввод'!G537)</f>
        <v/>
      </c>
      <c r="H537" s="172">
        <f>IF('Оперативный ввод'!H537="","",'Оперативный ввод'!H537)</f>
        <v/>
      </c>
      <c r="I537" s="172">
        <f>IF('Оперативный ввод'!I537="","",'Оперативный ввод'!I537)</f>
        <v/>
      </c>
      <c r="J537" s="172">
        <f>IF('Оперативный ввод'!J537="","",'Оперативный ввод'!J537)</f>
        <v/>
      </c>
      <c r="K537" s="172">
        <f>IF('Оперативный ввод'!K537="","",'Оперативный ввод'!K537)</f>
        <v/>
      </c>
      <c r="L537" s="172">
        <f>IF('Оперативный ввод'!L537="","",'Оперативный ввод'!L537)</f>
        <v/>
      </c>
      <c r="M537" s="172">
        <f>IF('Оперативный ввод'!M537="","",'Оперативный ввод'!M537)</f>
        <v/>
      </c>
      <c r="N537" s="172">
        <f>IF('Оперативный ввод'!N537="","",'Оперативный ввод'!N537)</f>
        <v/>
      </c>
      <c r="O537" s="172">
        <f>IF('Оперативный ввод'!O537="","",'Оперативный ввод'!O537)</f>
        <v/>
      </c>
      <c r="P537" s="205">
        <f>IF(AND(A537="",B537=""),"",IF(AND(A537&lt;&gt;"",B537&lt;&gt;"",C537&lt;&gt;"",D537&lt;&gt;"",F537&lt;&gt;"",G537&lt;&gt;"",H537&lt;&gt;"",ISERROR(SEARCH("по паспорту",G537)),ISERROR(SEARCH("по паспорту",H537)),I537&lt;&gt;"",J537&lt;&gt;"",K537&lt;&gt;"",L537&lt;&gt;"",M537&lt;&gt;""),"ГОТОВО","НЕ ГОТОВО"))</f>
        <v/>
      </c>
      <c r="Q537" s="205">
        <f>IF(P537&lt;&gt;"ГОТОВО","", "Предварительное заключение: "&amp;A537&amp;", скв. "&amp;B537&amp;". МРП: "&amp;E537&amp;" сут. ГНО: "&amp;F537&amp;", типоразмер "&amp;G537&amp;", марка "&amp;H537&amp;". Событие: "&amp;I537&amp;". Признак: "&amp;J537&amp;". Узел: "&amp;K537&amp;". Предварительная причина: "&amp;L537&amp;". Основное осложнение: "&amp;M537&amp;IF(N537&lt;&gt;"","; сопутствующее: "&amp;N537,"")&amp;IF(O537&lt;&gt;"","; дополнительно: "&amp;O537,"")&amp;".")</f>
        <v/>
      </c>
      <c r="R537" s="172">
        <f>IF('Оперативный ввод'!P537="","",'Оперативный ввод'!P537)</f>
        <v/>
      </c>
      <c r="S537" s="172">
        <f>IF('Оперативный ввод'!Q537="","",'Оперативный ввод'!Q537)</f>
        <v/>
      </c>
      <c r="T537" s="172">
        <f>IF('Оперативный ввод'!R537="","",'Оперативный ввод'!R537)</f>
        <v/>
      </c>
      <c r="U537" s="172">
        <f>IF('Оперативный ввод'!S537="","",'Оперативный ввод'!S537)</f>
        <v/>
      </c>
      <c r="V537" s="172">
        <f>IF('Оперативный ввод'!T537="","",'Оперативный ввод'!T537)</f>
        <v/>
      </c>
      <c r="W537" s="172" t="n"/>
      <c r="X537" s="172" t="n"/>
      <c r="Y537" s="172" t="n"/>
      <c r="Z537" s="172" t="n"/>
      <c r="AA537" s="172">
        <f>IF('Оперативный ввод'!U537="","",'Оперативный ввод'!U537)</f>
        <v/>
      </c>
      <c r="AB537" s="172">
        <f>IF('Оперативный ввод'!V537="","",'Оперативный ввод'!V537)</f>
        <v/>
      </c>
      <c r="AC537" s="172">
        <f>IF('Оперативный ввод'!W537="","",'Оперативный ввод'!W537)</f>
        <v/>
      </c>
      <c r="BB537" s="172" t="n"/>
      <c r="BC537" s="172" t="n"/>
      <c r="BD537" s="205">
        <f>IF(AND(A537="",B537=""),"",IF(AND(P537="ГОТОВО",R537&lt;&gt;"",T537&lt;&gt;"",U537&lt;&gt;"",AA537&lt;&gt;"",AB537&lt;&gt;"",AC537&lt;&gt;"",BB537&lt;&gt;"",BC537&lt;&gt;""),"ГОТОВО","НЕ ГОТОВО"))</f>
        <v/>
      </c>
      <c r="BE537" s="205">
        <f>IF(BD537&lt;&gt;"ГОТОВО","","Полное заключение: "&amp;A537&amp;", скв. "&amp;B537&amp;". МРП: "&amp;E537&amp;" сут. ГНО: "&amp;F537&amp;"; причина: "&amp;U537&amp;"; категория: "&amp;V537&amp;"; решение комиссии: "&amp;BB537&amp;".")</f>
        <v/>
      </c>
      <c r="BF537" s="173">
        <f>IF('Оперативный ввод'!X537="","",'Оперативный ввод'!X537)</f>
        <v/>
      </c>
    </row>
    <row r="538">
      <c r="A538" s="171">
        <f>IF('Оперативный ввод'!A538="","",'Оперативный ввод'!A538)</f>
        <v/>
      </c>
      <c r="B538" s="172">
        <f>IF('Оперативный ввод'!B538="","",'Оперативный ввод'!B538)</f>
        <v/>
      </c>
      <c r="C538" s="270">
        <f>IF('Оперативный ввод'!C538="","",'Оперативный ввод'!C538)</f>
        <v/>
      </c>
      <c r="D538" s="270">
        <f>IF('Оперативный ввод'!D538="","",'Оперативный ввод'!D538)</f>
        <v/>
      </c>
      <c r="E538" s="271">
        <f>IF(OR(C538="",D538=""),"",D538-C538)</f>
        <v/>
      </c>
      <c r="F538" s="172">
        <f>IF('Оперативный ввод'!F538="","",'Оперативный ввод'!F538)</f>
        <v/>
      </c>
      <c r="G538" s="172">
        <f>IF('Оперативный ввод'!G538="","",'Оперативный ввод'!G538)</f>
        <v/>
      </c>
      <c r="H538" s="172">
        <f>IF('Оперативный ввод'!H538="","",'Оперативный ввод'!H538)</f>
        <v/>
      </c>
      <c r="I538" s="172">
        <f>IF('Оперативный ввод'!I538="","",'Оперативный ввод'!I538)</f>
        <v/>
      </c>
      <c r="J538" s="172">
        <f>IF('Оперативный ввод'!J538="","",'Оперативный ввод'!J538)</f>
        <v/>
      </c>
      <c r="K538" s="172">
        <f>IF('Оперативный ввод'!K538="","",'Оперативный ввод'!K538)</f>
        <v/>
      </c>
      <c r="L538" s="172">
        <f>IF('Оперативный ввод'!L538="","",'Оперативный ввод'!L538)</f>
        <v/>
      </c>
      <c r="M538" s="172">
        <f>IF('Оперативный ввод'!M538="","",'Оперативный ввод'!M538)</f>
        <v/>
      </c>
      <c r="N538" s="172">
        <f>IF('Оперативный ввод'!N538="","",'Оперативный ввод'!N538)</f>
        <v/>
      </c>
      <c r="O538" s="172">
        <f>IF('Оперативный ввод'!O538="","",'Оперативный ввод'!O538)</f>
        <v/>
      </c>
      <c r="P538" s="205">
        <f>IF(AND(A538="",B538=""),"",IF(AND(A538&lt;&gt;"",B538&lt;&gt;"",C538&lt;&gt;"",D538&lt;&gt;"",F538&lt;&gt;"",G538&lt;&gt;"",H538&lt;&gt;"",ISERROR(SEARCH("по паспорту",G538)),ISERROR(SEARCH("по паспорту",H538)),I538&lt;&gt;"",J538&lt;&gt;"",K538&lt;&gt;"",L538&lt;&gt;"",M538&lt;&gt;""),"ГОТОВО","НЕ ГОТОВО"))</f>
        <v/>
      </c>
      <c r="Q538" s="205">
        <f>IF(P538&lt;&gt;"ГОТОВО","", "Предварительное заключение: "&amp;A538&amp;", скв. "&amp;B538&amp;". МРП: "&amp;E538&amp;" сут. ГНО: "&amp;F538&amp;", типоразмер "&amp;G538&amp;", марка "&amp;H538&amp;". Событие: "&amp;I538&amp;". Признак: "&amp;J538&amp;". Узел: "&amp;K538&amp;". Предварительная причина: "&amp;L538&amp;". Основное осложнение: "&amp;M538&amp;IF(N538&lt;&gt;"","; сопутствующее: "&amp;N538,"")&amp;IF(O538&lt;&gt;"","; дополнительно: "&amp;O538,"")&amp;".")</f>
        <v/>
      </c>
      <c r="R538" s="172">
        <f>IF('Оперативный ввод'!P538="","",'Оперативный ввод'!P538)</f>
        <v/>
      </c>
      <c r="S538" s="172">
        <f>IF('Оперативный ввод'!Q538="","",'Оперативный ввод'!Q538)</f>
        <v/>
      </c>
      <c r="T538" s="172">
        <f>IF('Оперативный ввод'!R538="","",'Оперативный ввод'!R538)</f>
        <v/>
      </c>
      <c r="U538" s="172">
        <f>IF('Оперативный ввод'!S538="","",'Оперативный ввод'!S538)</f>
        <v/>
      </c>
      <c r="V538" s="172">
        <f>IF('Оперативный ввод'!T538="","",'Оперативный ввод'!T538)</f>
        <v/>
      </c>
      <c r="W538" s="172" t="n"/>
      <c r="X538" s="172" t="n"/>
      <c r="Y538" s="172" t="n"/>
      <c r="Z538" s="172" t="n"/>
      <c r="AA538" s="172">
        <f>IF('Оперативный ввод'!U538="","",'Оперативный ввод'!U538)</f>
        <v/>
      </c>
      <c r="AB538" s="172">
        <f>IF('Оперативный ввод'!V538="","",'Оперативный ввод'!V538)</f>
        <v/>
      </c>
      <c r="AC538" s="172">
        <f>IF('Оперативный ввод'!W538="","",'Оперативный ввод'!W538)</f>
        <v/>
      </c>
      <c r="BB538" s="172" t="n"/>
      <c r="BC538" s="172" t="n"/>
      <c r="BD538" s="205">
        <f>IF(AND(A538="",B538=""),"",IF(AND(P538="ГОТОВО",R538&lt;&gt;"",T538&lt;&gt;"",U538&lt;&gt;"",AA538&lt;&gt;"",AB538&lt;&gt;"",AC538&lt;&gt;"",BB538&lt;&gt;"",BC538&lt;&gt;""),"ГОТОВО","НЕ ГОТОВО"))</f>
        <v/>
      </c>
      <c r="BE538" s="205">
        <f>IF(BD538&lt;&gt;"ГОТОВО","","Полное заключение: "&amp;A538&amp;", скв. "&amp;B538&amp;". МРП: "&amp;E538&amp;" сут. ГНО: "&amp;F538&amp;"; причина: "&amp;U538&amp;"; категория: "&amp;V538&amp;"; решение комиссии: "&amp;BB538&amp;".")</f>
        <v/>
      </c>
      <c r="BF538" s="173">
        <f>IF('Оперативный ввод'!X538="","",'Оперативный ввод'!X538)</f>
        <v/>
      </c>
    </row>
    <row r="539">
      <c r="A539" s="171">
        <f>IF('Оперативный ввод'!A539="","",'Оперативный ввод'!A539)</f>
        <v/>
      </c>
      <c r="B539" s="172">
        <f>IF('Оперативный ввод'!B539="","",'Оперативный ввод'!B539)</f>
        <v/>
      </c>
      <c r="C539" s="270">
        <f>IF('Оперативный ввод'!C539="","",'Оперативный ввод'!C539)</f>
        <v/>
      </c>
      <c r="D539" s="270">
        <f>IF('Оперативный ввод'!D539="","",'Оперативный ввод'!D539)</f>
        <v/>
      </c>
      <c r="E539" s="271">
        <f>IF(OR(C539="",D539=""),"",D539-C539)</f>
        <v/>
      </c>
      <c r="F539" s="172">
        <f>IF('Оперативный ввод'!F539="","",'Оперативный ввод'!F539)</f>
        <v/>
      </c>
      <c r="G539" s="172">
        <f>IF('Оперативный ввод'!G539="","",'Оперативный ввод'!G539)</f>
        <v/>
      </c>
      <c r="H539" s="172">
        <f>IF('Оперативный ввод'!H539="","",'Оперативный ввод'!H539)</f>
        <v/>
      </c>
      <c r="I539" s="172">
        <f>IF('Оперативный ввод'!I539="","",'Оперативный ввод'!I539)</f>
        <v/>
      </c>
      <c r="J539" s="172">
        <f>IF('Оперативный ввод'!J539="","",'Оперативный ввод'!J539)</f>
        <v/>
      </c>
      <c r="K539" s="172">
        <f>IF('Оперативный ввод'!K539="","",'Оперативный ввод'!K539)</f>
        <v/>
      </c>
      <c r="L539" s="172">
        <f>IF('Оперативный ввод'!L539="","",'Оперативный ввод'!L539)</f>
        <v/>
      </c>
      <c r="M539" s="172">
        <f>IF('Оперативный ввод'!M539="","",'Оперативный ввод'!M539)</f>
        <v/>
      </c>
      <c r="N539" s="172">
        <f>IF('Оперативный ввод'!N539="","",'Оперативный ввод'!N539)</f>
        <v/>
      </c>
      <c r="O539" s="172">
        <f>IF('Оперативный ввод'!O539="","",'Оперативный ввод'!O539)</f>
        <v/>
      </c>
      <c r="P539" s="205">
        <f>IF(AND(A539="",B539=""),"",IF(AND(A539&lt;&gt;"",B539&lt;&gt;"",C539&lt;&gt;"",D539&lt;&gt;"",F539&lt;&gt;"",G539&lt;&gt;"",H539&lt;&gt;"",ISERROR(SEARCH("по паспорту",G539)),ISERROR(SEARCH("по паспорту",H539)),I539&lt;&gt;"",J539&lt;&gt;"",K539&lt;&gt;"",L539&lt;&gt;"",M539&lt;&gt;""),"ГОТОВО","НЕ ГОТОВО"))</f>
        <v/>
      </c>
      <c r="Q539" s="205">
        <f>IF(P539&lt;&gt;"ГОТОВО","", "Предварительное заключение: "&amp;A539&amp;", скв. "&amp;B539&amp;". МРП: "&amp;E539&amp;" сут. ГНО: "&amp;F539&amp;", типоразмер "&amp;G539&amp;", марка "&amp;H539&amp;". Событие: "&amp;I539&amp;". Признак: "&amp;J539&amp;". Узел: "&amp;K539&amp;". Предварительная причина: "&amp;L539&amp;". Основное осложнение: "&amp;M539&amp;IF(N539&lt;&gt;"","; сопутствующее: "&amp;N539,"")&amp;IF(O539&lt;&gt;"","; дополнительно: "&amp;O539,"")&amp;".")</f>
        <v/>
      </c>
      <c r="R539" s="172">
        <f>IF('Оперативный ввод'!P539="","",'Оперативный ввод'!P539)</f>
        <v/>
      </c>
      <c r="S539" s="172">
        <f>IF('Оперативный ввод'!Q539="","",'Оперативный ввод'!Q539)</f>
        <v/>
      </c>
      <c r="T539" s="172">
        <f>IF('Оперативный ввод'!R539="","",'Оперативный ввод'!R539)</f>
        <v/>
      </c>
      <c r="U539" s="172">
        <f>IF('Оперативный ввод'!S539="","",'Оперативный ввод'!S539)</f>
        <v/>
      </c>
      <c r="V539" s="172">
        <f>IF('Оперативный ввод'!T539="","",'Оперативный ввод'!T539)</f>
        <v/>
      </c>
      <c r="W539" s="172" t="n"/>
      <c r="X539" s="172" t="n"/>
      <c r="Y539" s="172" t="n"/>
      <c r="Z539" s="172" t="n"/>
      <c r="AA539" s="172">
        <f>IF('Оперативный ввод'!U539="","",'Оперативный ввод'!U539)</f>
        <v/>
      </c>
      <c r="AB539" s="172">
        <f>IF('Оперативный ввод'!V539="","",'Оперативный ввод'!V539)</f>
        <v/>
      </c>
      <c r="AC539" s="172">
        <f>IF('Оперативный ввод'!W539="","",'Оперативный ввод'!W539)</f>
        <v/>
      </c>
      <c r="BB539" s="172" t="n"/>
      <c r="BC539" s="172" t="n"/>
      <c r="BD539" s="205">
        <f>IF(AND(A539="",B539=""),"",IF(AND(P539="ГОТОВО",R539&lt;&gt;"",T539&lt;&gt;"",U539&lt;&gt;"",AA539&lt;&gt;"",AB539&lt;&gt;"",AC539&lt;&gt;"",BB539&lt;&gt;"",BC539&lt;&gt;""),"ГОТОВО","НЕ ГОТОВО"))</f>
        <v/>
      </c>
      <c r="BE539" s="205">
        <f>IF(BD539&lt;&gt;"ГОТОВО","","Полное заключение: "&amp;A539&amp;", скв. "&amp;B539&amp;". МРП: "&amp;E539&amp;" сут. ГНО: "&amp;F539&amp;"; причина: "&amp;U539&amp;"; категория: "&amp;V539&amp;"; решение комиссии: "&amp;BB539&amp;".")</f>
        <v/>
      </c>
      <c r="BF539" s="173">
        <f>IF('Оперативный ввод'!X539="","",'Оперативный ввод'!X539)</f>
        <v/>
      </c>
    </row>
    <row r="540">
      <c r="A540" s="171">
        <f>IF('Оперативный ввод'!A540="","",'Оперативный ввод'!A540)</f>
        <v/>
      </c>
      <c r="B540" s="172">
        <f>IF('Оперативный ввод'!B540="","",'Оперативный ввод'!B540)</f>
        <v/>
      </c>
      <c r="C540" s="270">
        <f>IF('Оперативный ввод'!C540="","",'Оперативный ввод'!C540)</f>
        <v/>
      </c>
      <c r="D540" s="270">
        <f>IF('Оперативный ввод'!D540="","",'Оперативный ввод'!D540)</f>
        <v/>
      </c>
      <c r="E540" s="271">
        <f>IF(OR(C540="",D540=""),"",D540-C540)</f>
        <v/>
      </c>
      <c r="F540" s="172">
        <f>IF('Оперативный ввод'!F540="","",'Оперативный ввод'!F540)</f>
        <v/>
      </c>
      <c r="G540" s="172">
        <f>IF('Оперативный ввод'!G540="","",'Оперативный ввод'!G540)</f>
        <v/>
      </c>
      <c r="H540" s="172">
        <f>IF('Оперативный ввод'!H540="","",'Оперативный ввод'!H540)</f>
        <v/>
      </c>
      <c r="I540" s="172">
        <f>IF('Оперативный ввод'!I540="","",'Оперативный ввод'!I540)</f>
        <v/>
      </c>
      <c r="J540" s="172">
        <f>IF('Оперативный ввод'!J540="","",'Оперативный ввод'!J540)</f>
        <v/>
      </c>
      <c r="K540" s="172">
        <f>IF('Оперативный ввод'!K540="","",'Оперативный ввод'!K540)</f>
        <v/>
      </c>
      <c r="L540" s="172">
        <f>IF('Оперативный ввод'!L540="","",'Оперативный ввод'!L540)</f>
        <v/>
      </c>
      <c r="M540" s="172">
        <f>IF('Оперативный ввод'!M540="","",'Оперативный ввод'!M540)</f>
        <v/>
      </c>
      <c r="N540" s="172">
        <f>IF('Оперативный ввод'!N540="","",'Оперативный ввод'!N540)</f>
        <v/>
      </c>
      <c r="O540" s="172">
        <f>IF('Оперативный ввод'!O540="","",'Оперативный ввод'!O540)</f>
        <v/>
      </c>
      <c r="P540" s="205">
        <f>IF(AND(A540="",B540=""),"",IF(AND(A540&lt;&gt;"",B540&lt;&gt;"",C540&lt;&gt;"",D540&lt;&gt;"",F540&lt;&gt;"",G540&lt;&gt;"",H540&lt;&gt;"",ISERROR(SEARCH("по паспорту",G540)),ISERROR(SEARCH("по паспорту",H540)),I540&lt;&gt;"",J540&lt;&gt;"",K540&lt;&gt;"",L540&lt;&gt;"",M540&lt;&gt;""),"ГОТОВО","НЕ ГОТОВО"))</f>
        <v/>
      </c>
      <c r="Q540" s="205">
        <f>IF(P540&lt;&gt;"ГОТОВО","", "Предварительное заключение: "&amp;A540&amp;", скв. "&amp;B540&amp;". МРП: "&amp;E540&amp;" сут. ГНО: "&amp;F540&amp;", типоразмер "&amp;G540&amp;", марка "&amp;H540&amp;". Событие: "&amp;I540&amp;". Признак: "&amp;J540&amp;". Узел: "&amp;K540&amp;". Предварительная причина: "&amp;L540&amp;". Основное осложнение: "&amp;M540&amp;IF(N540&lt;&gt;"","; сопутствующее: "&amp;N540,"")&amp;IF(O540&lt;&gt;"","; дополнительно: "&amp;O540,"")&amp;".")</f>
        <v/>
      </c>
      <c r="R540" s="172">
        <f>IF('Оперативный ввод'!P540="","",'Оперативный ввод'!P540)</f>
        <v/>
      </c>
      <c r="S540" s="172">
        <f>IF('Оперативный ввод'!Q540="","",'Оперативный ввод'!Q540)</f>
        <v/>
      </c>
      <c r="T540" s="172">
        <f>IF('Оперативный ввод'!R540="","",'Оперативный ввод'!R540)</f>
        <v/>
      </c>
      <c r="U540" s="172">
        <f>IF('Оперативный ввод'!S540="","",'Оперативный ввод'!S540)</f>
        <v/>
      </c>
      <c r="V540" s="172">
        <f>IF('Оперативный ввод'!T540="","",'Оперативный ввод'!T540)</f>
        <v/>
      </c>
      <c r="W540" s="172" t="n"/>
      <c r="X540" s="172" t="n"/>
      <c r="Y540" s="172" t="n"/>
      <c r="Z540" s="172" t="n"/>
      <c r="AA540" s="172">
        <f>IF('Оперативный ввод'!U540="","",'Оперативный ввод'!U540)</f>
        <v/>
      </c>
      <c r="AB540" s="172">
        <f>IF('Оперативный ввод'!V540="","",'Оперативный ввод'!V540)</f>
        <v/>
      </c>
      <c r="AC540" s="172">
        <f>IF('Оперативный ввод'!W540="","",'Оперативный ввод'!W540)</f>
        <v/>
      </c>
      <c r="BB540" s="172" t="n"/>
      <c r="BC540" s="172" t="n"/>
      <c r="BD540" s="205">
        <f>IF(AND(A540="",B540=""),"",IF(AND(P540="ГОТОВО",R540&lt;&gt;"",T540&lt;&gt;"",U540&lt;&gt;"",AA540&lt;&gt;"",AB540&lt;&gt;"",AC540&lt;&gt;"",BB540&lt;&gt;"",BC540&lt;&gt;""),"ГОТОВО","НЕ ГОТОВО"))</f>
        <v/>
      </c>
      <c r="BE540" s="205">
        <f>IF(BD540&lt;&gt;"ГОТОВО","","Полное заключение: "&amp;A540&amp;", скв. "&amp;B540&amp;". МРП: "&amp;E540&amp;" сут. ГНО: "&amp;F540&amp;"; причина: "&amp;U540&amp;"; категория: "&amp;V540&amp;"; решение комиссии: "&amp;BB540&amp;".")</f>
        <v/>
      </c>
      <c r="BF540" s="173">
        <f>IF('Оперативный ввод'!X540="","",'Оперативный ввод'!X540)</f>
        <v/>
      </c>
    </row>
    <row r="541">
      <c r="A541" s="171">
        <f>IF('Оперативный ввод'!A541="","",'Оперативный ввод'!A541)</f>
        <v/>
      </c>
      <c r="B541" s="172">
        <f>IF('Оперативный ввод'!B541="","",'Оперативный ввод'!B541)</f>
        <v/>
      </c>
      <c r="C541" s="270">
        <f>IF('Оперативный ввод'!C541="","",'Оперативный ввод'!C541)</f>
        <v/>
      </c>
      <c r="D541" s="270">
        <f>IF('Оперативный ввод'!D541="","",'Оперативный ввод'!D541)</f>
        <v/>
      </c>
      <c r="E541" s="271">
        <f>IF(OR(C541="",D541=""),"",D541-C541)</f>
        <v/>
      </c>
      <c r="F541" s="172">
        <f>IF('Оперативный ввод'!F541="","",'Оперативный ввод'!F541)</f>
        <v/>
      </c>
      <c r="G541" s="172">
        <f>IF('Оперативный ввод'!G541="","",'Оперативный ввод'!G541)</f>
        <v/>
      </c>
      <c r="H541" s="172">
        <f>IF('Оперативный ввод'!H541="","",'Оперативный ввод'!H541)</f>
        <v/>
      </c>
      <c r="I541" s="172">
        <f>IF('Оперативный ввод'!I541="","",'Оперативный ввод'!I541)</f>
        <v/>
      </c>
      <c r="J541" s="172">
        <f>IF('Оперативный ввод'!J541="","",'Оперативный ввод'!J541)</f>
        <v/>
      </c>
      <c r="K541" s="172">
        <f>IF('Оперативный ввод'!K541="","",'Оперативный ввод'!K541)</f>
        <v/>
      </c>
      <c r="L541" s="172">
        <f>IF('Оперативный ввод'!L541="","",'Оперативный ввод'!L541)</f>
        <v/>
      </c>
      <c r="M541" s="172">
        <f>IF('Оперативный ввод'!M541="","",'Оперативный ввод'!M541)</f>
        <v/>
      </c>
      <c r="N541" s="172">
        <f>IF('Оперативный ввод'!N541="","",'Оперативный ввод'!N541)</f>
        <v/>
      </c>
      <c r="O541" s="172">
        <f>IF('Оперативный ввод'!O541="","",'Оперативный ввод'!O541)</f>
        <v/>
      </c>
      <c r="P541" s="205">
        <f>IF(AND(A541="",B541=""),"",IF(AND(A541&lt;&gt;"",B541&lt;&gt;"",C541&lt;&gt;"",D541&lt;&gt;"",F541&lt;&gt;"",G541&lt;&gt;"",H541&lt;&gt;"",ISERROR(SEARCH("по паспорту",G541)),ISERROR(SEARCH("по паспорту",H541)),I541&lt;&gt;"",J541&lt;&gt;"",K541&lt;&gt;"",L541&lt;&gt;"",M541&lt;&gt;""),"ГОТОВО","НЕ ГОТОВО"))</f>
        <v/>
      </c>
      <c r="Q541" s="205">
        <f>IF(P541&lt;&gt;"ГОТОВО","", "Предварительное заключение: "&amp;A541&amp;", скв. "&amp;B541&amp;". МРП: "&amp;E541&amp;" сут. ГНО: "&amp;F541&amp;", типоразмер "&amp;G541&amp;", марка "&amp;H541&amp;". Событие: "&amp;I541&amp;". Признак: "&amp;J541&amp;". Узел: "&amp;K541&amp;". Предварительная причина: "&amp;L541&amp;". Основное осложнение: "&amp;M541&amp;IF(N541&lt;&gt;"","; сопутствующее: "&amp;N541,"")&amp;IF(O541&lt;&gt;"","; дополнительно: "&amp;O541,"")&amp;".")</f>
        <v/>
      </c>
      <c r="R541" s="172">
        <f>IF('Оперативный ввод'!P541="","",'Оперативный ввод'!P541)</f>
        <v/>
      </c>
      <c r="S541" s="172">
        <f>IF('Оперативный ввод'!Q541="","",'Оперативный ввод'!Q541)</f>
        <v/>
      </c>
      <c r="T541" s="172">
        <f>IF('Оперативный ввод'!R541="","",'Оперативный ввод'!R541)</f>
        <v/>
      </c>
      <c r="U541" s="172">
        <f>IF('Оперативный ввод'!S541="","",'Оперативный ввод'!S541)</f>
        <v/>
      </c>
      <c r="V541" s="172">
        <f>IF('Оперативный ввод'!T541="","",'Оперативный ввод'!T541)</f>
        <v/>
      </c>
      <c r="W541" s="172" t="n"/>
      <c r="X541" s="172" t="n"/>
      <c r="Y541" s="172" t="n"/>
      <c r="Z541" s="172" t="n"/>
      <c r="AA541" s="172">
        <f>IF('Оперативный ввод'!U541="","",'Оперативный ввод'!U541)</f>
        <v/>
      </c>
      <c r="AB541" s="172">
        <f>IF('Оперативный ввод'!V541="","",'Оперативный ввод'!V541)</f>
        <v/>
      </c>
      <c r="AC541" s="172">
        <f>IF('Оперативный ввод'!W541="","",'Оперативный ввод'!W541)</f>
        <v/>
      </c>
      <c r="BB541" s="172" t="n"/>
      <c r="BC541" s="172" t="n"/>
      <c r="BD541" s="205">
        <f>IF(AND(A541="",B541=""),"",IF(AND(P541="ГОТОВО",R541&lt;&gt;"",T541&lt;&gt;"",U541&lt;&gt;"",AA541&lt;&gt;"",AB541&lt;&gt;"",AC541&lt;&gt;"",BB541&lt;&gt;"",BC541&lt;&gt;""),"ГОТОВО","НЕ ГОТОВО"))</f>
        <v/>
      </c>
      <c r="BE541" s="205">
        <f>IF(BD541&lt;&gt;"ГОТОВО","","Полное заключение: "&amp;A541&amp;", скв. "&amp;B541&amp;". МРП: "&amp;E541&amp;" сут. ГНО: "&amp;F541&amp;"; причина: "&amp;U541&amp;"; категория: "&amp;V541&amp;"; решение комиссии: "&amp;BB541&amp;".")</f>
        <v/>
      </c>
      <c r="BF541" s="173">
        <f>IF('Оперативный ввод'!X541="","",'Оперативный ввод'!X541)</f>
        <v/>
      </c>
    </row>
    <row r="542">
      <c r="A542" s="171">
        <f>IF('Оперативный ввод'!A542="","",'Оперативный ввод'!A542)</f>
        <v/>
      </c>
      <c r="B542" s="172">
        <f>IF('Оперативный ввод'!B542="","",'Оперативный ввод'!B542)</f>
        <v/>
      </c>
      <c r="C542" s="270">
        <f>IF('Оперативный ввод'!C542="","",'Оперативный ввод'!C542)</f>
        <v/>
      </c>
      <c r="D542" s="270">
        <f>IF('Оперативный ввод'!D542="","",'Оперативный ввод'!D542)</f>
        <v/>
      </c>
      <c r="E542" s="271">
        <f>IF(OR(C542="",D542=""),"",D542-C542)</f>
        <v/>
      </c>
      <c r="F542" s="172">
        <f>IF('Оперативный ввод'!F542="","",'Оперативный ввод'!F542)</f>
        <v/>
      </c>
      <c r="G542" s="172">
        <f>IF('Оперативный ввод'!G542="","",'Оперативный ввод'!G542)</f>
        <v/>
      </c>
      <c r="H542" s="172">
        <f>IF('Оперативный ввод'!H542="","",'Оперативный ввод'!H542)</f>
        <v/>
      </c>
      <c r="I542" s="172">
        <f>IF('Оперативный ввод'!I542="","",'Оперативный ввод'!I542)</f>
        <v/>
      </c>
      <c r="J542" s="172">
        <f>IF('Оперативный ввод'!J542="","",'Оперативный ввод'!J542)</f>
        <v/>
      </c>
      <c r="K542" s="172">
        <f>IF('Оперативный ввод'!K542="","",'Оперативный ввод'!K542)</f>
        <v/>
      </c>
      <c r="L542" s="172">
        <f>IF('Оперативный ввод'!L542="","",'Оперативный ввод'!L542)</f>
        <v/>
      </c>
      <c r="M542" s="172">
        <f>IF('Оперативный ввод'!M542="","",'Оперативный ввод'!M542)</f>
        <v/>
      </c>
      <c r="N542" s="172">
        <f>IF('Оперативный ввод'!N542="","",'Оперативный ввод'!N542)</f>
        <v/>
      </c>
      <c r="O542" s="172">
        <f>IF('Оперативный ввод'!O542="","",'Оперативный ввод'!O542)</f>
        <v/>
      </c>
      <c r="P542" s="205">
        <f>IF(AND(A542="",B542=""),"",IF(AND(A542&lt;&gt;"",B542&lt;&gt;"",C542&lt;&gt;"",D542&lt;&gt;"",F542&lt;&gt;"",G542&lt;&gt;"",H542&lt;&gt;"",ISERROR(SEARCH("по паспорту",G542)),ISERROR(SEARCH("по паспорту",H542)),I542&lt;&gt;"",J542&lt;&gt;"",K542&lt;&gt;"",L542&lt;&gt;"",M542&lt;&gt;""),"ГОТОВО","НЕ ГОТОВО"))</f>
        <v/>
      </c>
      <c r="Q542" s="205">
        <f>IF(P542&lt;&gt;"ГОТОВО","", "Предварительное заключение: "&amp;A542&amp;", скв. "&amp;B542&amp;". МРП: "&amp;E542&amp;" сут. ГНО: "&amp;F542&amp;", типоразмер "&amp;G542&amp;", марка "&amp;H542&amp;". Событие: "&amp;I542&amp;". Признак: "&amp;J542&amp;". Узел: "&amp;K542&amp;". Предварительная причина: "&amp;L542&amp;". Основное осложнение: "&amp;M542&amp;IF(N542&lt;&gt;"","; сопутствующее: "&amp;N542,"")&amp;IF(O542&lt;&gt;"","; дополнительно: "&amp;O542,"")&amp;".")</f>
        <v/>
      </c>
      <c r="R542" s="172">
        <f>IF('Оперативный ввод'!P542="","",'Оперативный ввод'!P542)</f>
        <v/>
      </c>
      <c r="S542" s="172">
        <f>IF('Оперативный ввод'!Q542="","",'Оперативный ввод'!Q542)</f>
        <v/>
      </c>
      <c r="T542" s="172">
        <f>IF('Оперативный ввод'!R542="","",'Оперативный ввод'!R542)</f>
        <v/>
      </c>
      <c r="U542" s="172">
        <f>IF('Оперативный ввод'!S542="","",'Оперативный ввод'!S542)</f>
        <v/>
      </c>
      <c r="V542" s="172">
        <f>IF('Оперативный ввод'!T542="","",'Оперативный ввод'!T542)</f>
        <v/>
      </c>
      <c r="W542" s="172" t="n"/>
      <c r="X542" s="172" t="n"/>
      <c r="Y542" s="172" t="n"/>
      <c r="Z542" s="172" t="n"/>
      <c r="AA542" s="172">
        <f>IF('Оперативный ввод'!U542="","",'Оперативный ввод'!U542)</f>
        <v/>
      </c>
      <c r="AB542" s="172">
        <f>IF('Оперативный ввод'!V542="","",'Оперативный ввод'!V542)</f>
        <v/>
      </c>
      <c r="AC542" s="172">
        <f>IF('Оперативный ввод'!W542="","",'Оперативный ввод'!W542)</f>
        <v/>
      </c>
      <c r="BB542" s="172" t="n"/>
      <c r="BC542" s="172" t="n"/>
      <c r="BD542" s="205">
        <f>IF(AND(A542="",B542=""),"",IF(AND(P542="ГОТОВО",R542&lt;&gt;"",T542&lt;&gt;"",U542&lt;&gt;"",AA542&lt;&gt;"",AB542&lt;&gt;"",AC542&lt;&gt;"",BB542&lt;&gt;"",BC542&lt;&gt;""),"ГОТОВО","НЕ ГОТОВО"))</f>
        <v/>
      </c>
      <c r="BE542" s="205">
        <f>IF(BD542&lt;&gt;"ГОТОВО","","Полное заключение: "&amp;A542&amp;", скв. "&amp;B542&amp;". МРП: "&amp;E542&amp;" сут. ГНО: "&amp;F542&amp;"; причина: "&amp;U542&amp;"; категория: "&amp;V542&amp;"; решение комиссии: "&amp;BB542&amp;".")</f>
        <v/>
      </c>
      <c r="BF542" s="173">
        <f>IF('Оперативный ввод'!X542="","",'Оперативный ввод'!X542)</f>
        <v/>
      </c>
    </row>
    <row r="543">
      <c r="A543" s="171">
        <f>IF('Оперативный ввод'!A543="","",'Оперативный ввод'!A543)</f>
        <v/>
      </c>
      <c r="B543" s="172">
        <f>IF('Оперативный ввод'!B543="","",'Оперативный ввод'!B543)</f>
        <v/>
      </c>
      <c r="C543" s="270">
        <f>IF('Оперативный ввод'!C543="","",'Оперативный ввод'!C543)</f>
        <v/>
      </c>
      <c r="D543" s="270">
        <f>IF('Оперативный ввод'!D543="","",'Оперативный ввод'!D543)</f>
        <v/>
      </c>
      <c r="E543" s="271">
        <f>IF(OR(C543="",D543=""),"",D543-C543)</f>
        <v/>
      </c>
      <c r="F543" s="172">
        <f>IF('Оперативный ввод'!F543="","",'Оперативный ввод'!F543)</f>
        <v/>
      </c>
      <c r="G543" s="172">
        <f>IF('Оперативный ввод'!G543="","",'Оперативный ввод'!G543)</f>
        <v/>
      </c>
      <c r="H543" s="172">
        <f>IF('Оперативный ввод'!H543="","",'Оперативный ввод'!H543)</f>
        <v/>
      </c>
      <c r="I543" s="172">
        <f>IF('Оперативный ввод'!I543="","",'Оперативный ввод'!I543)</f>
        <v/>
      </c>
      <c r="J543" s="172">
        <f>IF('Оперативный ввод'!J543="","",'Оперативный ввод'!J543)</f>
        <v/>
      </c>
      <c r="K543" s="172">
        <f>IF('Оперативный ввод'!K543="","",'Оперативный ввод'!K543)</f>
        <v/>
      </c>
      <c r="L543" s="172">
        <f>IF('Оперативный ввод'!L543="","",'Оперативный ввод'!L543)</f>
        <v/>
      </c>
      <c r="M543" s="172">
        <f>IF('Оперативный ввод'!M543="","",'Оперативный ввод'!M543)</f>
        <v/>
      </c>
      <c r="N543" s="172">
        <f>IF('Оперативный ввод'!N543="","",'Оперативный ввод'!N543)</f>
        <v/>
      </c>
      <c r="O543" s="172">
        <f>IF('Оперативный ввод'!O543="","",'Оперативный ввод'!O543)</f>
        <v/>
      </c>
      <c r="P543" s="205">
        <f>IF(AND(A543="",B543=""),"",IF(AND(A543&lt;&gt;"",B543&lt;&gt;"",C543&lt;&gt;"",D543&lt;&gt;"",F543&lt;&gt;"",G543&lt;&gt;"",H543&lt;&gt;"",ISERROR(SEARCH("по паспорту",G543)),ISERROR(SEARCH("по паспорту",H543)),I543&lt;&gt;"",J543&lt;&gt;"",K543&lt;&gt;"",L543&lt;&gt;"",M543&lt;&gt;""),"ГОТОВО","НЕ ГОТОВО"))</f>
        <v/>
      </c>
      <c r="Q543" s="205">
        <f>IF(P543&lt;&gt;"ГОТОВО","", "Предварительное заключение: "&amp;A543&amp;", скв. "&amp;B543&amp;". МРП: "&amp;E543&amp;" сут. ГНО: "&amp;F543&amp;", типоразмер "&amp;G543&amp;", марка "&amp;H543&amp;". Событие: "&amp;I543&amp;". Признак: "&amp;J543&amp;". Узел: "&amp;K543&amp;". Предварительная причина: "&amp;L543&amp;". Основное осложнение: "&amp;M543&amp;IF(N543&lt;&gt;"","; сопутствующее: "&amp;N543,"")&amp;IF(O543&lt;&gt;"","; дополнительно: "&amp;O543,"")&amp;".")</f>
        <v/>
      </c>
      <c r="R543" s="172">
        <f>IF('Оперативный ввод'!P543="","",'Оперативный ввод'!P543)</f>
        <v/>
      </c>
      <c r="S543" s="172">
        <f>IF('Оперативный ввод'!Q543="","",'Оперативный ввод'!Q543)</f>
        <v/>
      </c>
      <c r="T543" s="172">
        <f>IF('Оперативный ввод'!R543="","",'Оперативный ввод'!R543)</f>
        <v/>
      </c>
      <c r="U543" s="172">
        <f>IF('Оперативный ввод'!S543="","",'Оперативный ввод'!S543)</f>
        <v/>
      </c>
      <c r="V543" s="172">
        <f>IF('Оперативный ввод'!T543="","",'Оперативный ввод'!T543)</f>
        <v/>
      </c>
      <c r="W543" s="172" t="n"/>
      <c r="X543" s="172" t="n"/>
      <c r="Y543" s="172" t="n"/>
      <c r="Z543" s="172" t="n"/>
      <c r="AA543" s="172">
        <f>IF('Оперативный ввод'!U543="","",'Оперативный ввод'!U543)</f>
        <v/>
      </c>
      <c r="AB543" s="172">
        <f>IF('Оперативный ввод'!V543="","",'Оперативный ввод'!V543)</f>
        <v/>
      </c>
      <c r="AC543" s="172">
        <f>IF('Оперативный ввод'!W543="","",'Оперативный ввод'!W543)</f>
        <v/>
      </c>
      <c r="BB543" s="172" t="n"/>
      <c r="BC543" s="172" t="n"/>
      <c r="BD543" s="205">
        <f>IF(AND(A543="",B543=""),"",IF(AND(P543="ГОТОВО",R543&lt;&gt;"",T543&lt;&gt;"",U543&lt;&gt;"",AA543&lt;&gt;"",AB543&lt;&gt;"",AC543&lt;&gt;"",BB543&lt;&gt;"",BC543&lt;&gt;""),"ГОТОВО","НЕ ГОТОВО"))</f>
        <v/>
      </c>
      <c r="BE543" s="205">
        <f>IF(BD543&lt;&gt;"ГОТОВО","","Полное заключение: "&amp;A543&amp;", скв. "&amp;B543&amp;". МРП: "&amp;E543&amp;" сут. ГНО: "&amp;F543&amp;"; причина: "&amp;U543&amp;"; категория: "&amp;V543&amp;"; решение комиссии: "&amp;BB543&amp;".")</f>
        <v/>
      </c>
      <c r="BF543" s="173">
        <f>IF('Оперативный ввод'!X543="","",'Оперативный ввод'!X543)</f>
        <v/>
      </c>
    </row>
    <row r="544">
      <c r="A544" s="171">
        <f>IF('Оперативный ввод'!A544="","",'Оперативный ввод'!A544)</f>
        <v/>
      </c>
      <c r="B544" s="172">
        <f>IF('Оперативный ввод'!B544="","",'Оперативный ввод'!B544)</f>
        <v/>
      </c>
      <c r="C544" s="270">
        <f>IF('Оперативный ввод'!C544="","",'Оперативный ввод'!C544)</f>
        <v/>
      </c>
      <c r="D544" s="270">
        <f>IF('Оперативный ввод'!D544="","",'Оперативный ввод'!D544)</f>
        <v/>
      </c>
      <c r="E544" s="271">
        <f>IF(OR(C544="",D544=""),"",D544-C544)</f>
        <v/>
      </c>
      <c r="F544" s="172">
        <f>IF('Оперативный ввод'!F544="","",'Оперативный ввод'!F544)</f>
        <v/>
      </c>
      <c r="G544" s="172">
        <f>IF('Оперативный ввод'!G544="","",'Оперативный ввод'!G544)</f>
        <v/>
      </c>
      <c r="H544" s="172">
        <f>IF('Оперативный ввод'!H544="","",'Оперативный ввод'!H544)</f>
        <v/>
      </c>
      <c r="I544" s="172">
        <f>IF('Оперативный ввод'!I544="","",'Оперативный ввод'!I544)</f>
        <v/>
      </c>
      <c r="J544" s="172">
        <f>IF('Оперативный ввод'!J544="","",'Оперативный ввод'!J544)</f>
        <v/>
      </c>
      <c r="K544" s="172">
        <f>IF('Оперативный ввод'!K544="","",'Оперативный ввод'!K544)</f>
        <v/>
      </c>
      <c r="L544" s="172">
        <f>IF('Оперативный ввод'!L544="","",'Оперативный ввод'!L544)</f>
        <v/>
      </c>
      <c r="M544" s="172">
        <f>IF('Оперативный ввод'!M544="","",'Оперативный ввод'!M544)</f>
        <v/>
      </c>
      <c r="N544" s="172">
        <f>IF('Оперативный ввод'!N544="","",'Оперативный ввод'!N544)</f>
        <v/>
      </c>
      <c r="O544" s="172">
        <f>IF('Оперативный ввод'!O544="","",'Оперативный ввод'!O544)</f>
        <v/>
      </c>
      <c r="P544" s="205">
        <f>IF(AND(A544="",B544=""),"",IF(AND(A544&lt;&gt;"",B544&lt;&gt;"",C544&lt;&gt;"",D544&lt;&gt;"",F544&lt;&gt;"",G544&lt;&gt;"",H544&lt;&gt;"",ISERROR(SEARCH("по паспорту",G544)),ISERROR(SEARCH("по паспорту",H544)),I544&lt;&gt;"",J544&lt;&gt;"",K544&lt;&gt;"",L544&lt;&gt;"",M544&lt;&gt;""),"ГОТОВО","НЕ ГОТОВО"))</f>
        <v/>
      </c>
      <c r="Q544" s="205">
        <f>IF(P544&lt;&gt;"ГОТОВО","", "Предварительное заключение: "&amp;A544&amp;", скв. "&amp;B544&amp;". МРП: "&amp;E544&amp;" сут. ГНО: "&amp;F544&amp;", типоразмер "&amp;G544&amp;", марка "&amp;H544&amp;". Событие: "&amp;I544&amp;". Признак: "&amp;J544&amp;". Узел: "&amp;K544&amp;". Предварительная причина: "&amp;L544&amp;". Основное осложнение: "&amp;M544&amp;IF(N544&lt;&gt;"","; сопутствующее: "&amp;N544,"")&amp;IF(O544&lt;&gt;"","; дополнительно: "&amp;O544,"")&amp;".")</f>
        <v/>
      </c>
      <c r="R544" s="172">
        <f>IF('Оперативный ввод'!P544="","",'Оперативный ввод'!P544)</f>
        <v/>
      </c>
      <c r="S544" s="172">
        <f>IF('Оперативный ввод'!Q544="","",'Оперативный ввод'!Q544)</f>
        <v/>
      </c>
      <c r="T544" s="172">
        <f>IF('Оперативный ввод'!R544="","",'Оперативный ввод'!R544)</f>
        <v/>
      </c>
      <c r="U544" s="172">
        <f>IF('Оперативный ввод'!S544="","",'Оперативный ввод'!S544)</f>
        <v/>
      </c>
      <c r="V544" s="172">
        <f>IF('Оперативный ввод'!T544="","",'Оперативный ввод'!T544)</f>
        <v/>
      </c>
      <c r="W544" s="172" t="n"/>
      <c r="X544" s="172" t="n"/>
      <c r="Y544" s="172" t="n"/>
      <c r="Z544" s="172" t="n"/>
      <c r="AA544" s="172">
        <f>IF('Оперативный ввод'!U544="","",'Оперативный ввод'!U544)</f>
        <v/>
      </c>
      <c r="AB544" s="172">
        <f>IF('Оперативный ввод'!V544="","",'Оперативный ввод'!V544)</f>
        <v/>
      </c>
      <c r="AC544" s="172">
        <f>IF('Оперативный ввод'!W544="","",'Оперативный ввод'!W544)</f>
        <v/>
      </c>
      <c r="BB544" s="172" t="n"/>
      <c r="BC544" s="172" t="n"/>
      <c r="BD544" s="205">
        <f>IF(AND(A544="",B544=""),"",IF(AND(P544="ГОТОВО",R544&lt;&gt;"",T544&lt;&gt;"",U544&lt;&gt;"",AA544&lt;&gt;"",AB544&lt;&gt;"",AC544&lt;&gt;"",BB544&lt;&gt;"",BC544&lt;&gt;""),"ГОТОВО","НЕ ГОТОВО"))</f>
        <v/>
      </c>
      <c r="BE544" s="205">
        <f>IF(BD544&lt;&gt;"ГОТОВО","","Полное заключение: "&amp;A544&amp;", скв. "&amp;B544&amp;". МРП: "&amp;E544&amp;" сут. ГНО: "&amp;F544&amp;"; причина: "&amp;U544&amp;"; категория: "&amp;V544&amp;"; решение комиссии: "&amp;BB544&amp;".")</f>
        <v/>
      </c>
      <c r="BF544" s="173">
        <f>IF('Оперативный ввод'!X544="","",'Оперативный ввод'!X544)</f>
        <v/>
      </c>
    </row>
    <row r="545">
      <c r="A545" s="171">
        <f>IF('Оперативный ввод'!A545="","",'Оперативный ввод'!A545)</f>
        <v/>
      </c>
      <c r="B545" s="172">
        <f>IF('Оперативный ввод'!B545="","",'Оперативный ввод'!B545)</f>
        <v/>
      </c>
      <c r="C545" s="270">
        <f>IF('Оперативный ввод'!C545="","",'Оперативный ввод'!C545)</f>
        <v/>
      </c>
      <c r="D545" s="270">
        <f>IF('Оперативный ввод'!D545="","",'Оперативный ввод'!D545)</f>
        <v/>
      </c>
      <c r="E545" s="271">
        <f>IF(OR(C545="",D545=""),"",D545-C545)</f>
        <v/>
      </c>
      <c r="F545" s="172">
        <f>IF('Оперативный ввод'!F545="","",'Оперативный ввод'!F545)</f>
        <v/>
      </c>
      <c r="G545" s="172">
        <f>IF('Оперативный ввод'!G545="","",'Оперативный ввод'!G545)</f>
        <v/>
      </c>
      <c r="H545" s="172">
        <f>IF('Оперативный ввод'!H545="","",'Оперативный ввод'!H545)</f>
        <v/>
      </c>
      <c r="I545" s="172">
        <f>IF('Оперативный ввод'!I545="","",'Оперативный ввод'!I545)</f>
        <v/>
      </c>
      <c r="J545" s="172">
        <f>IF('Оперативный ввод'!J545="","",'Оперативный ввод'!J545)</f>
        <v/>
      </c>
      <c r="K545" s="172">
        <f>IF('Оперативный ввод'!K545="","",'Оперативный ввод'!K545)</f>
        <v/>
      </c>
      <c r="L545" s="172">
        <f>IF('Оперативный ввод'!L545="","",'Оперативный ввод'!L545)</f>
        <v/>
      </c>
      <c r="M545" s="172">
        <f>IF('Оперативный ввод'!M545="","",'Оперативный ввод'!M545)</f>
        <v/>
      </c>
      <c r="N545" s="172">
        <f>IF('Оперативный ввод'!N545="","",'Оперативный ввод'!N545)</f>
        <v/>
      </c>
      <c r="O545" s="172">
        <f>IF('Оперативный ввод'!O545="","",'Оперативный ввод'!O545)</f>
        <v/>
      </c>
      <c r="P545" s="205">
        <f>IF(AND(A545="",B545=""),"",IF(AND(A545&lt;&gt;"",B545&lt;&gt;"",C545&lt;&gt;"",D545&lt;&gt;"",F545&lt;&gt;"",G545&lt;&gt;"",H545&lt;&gt;"",ISERROR(SEARCH("по паспорту",G545)),ISERROR(SEARCH("по паспорту",H545)),I545&lt;&gt;"",J545&lt;&gt;"",K545&lt;&gt;"",L545&lt;&gt;"",M545&lt;&gt;""),"ГОТОВО","НЕ ГОТОВО"))</f>
        <v/>
      </c>
      <c r="Q545" s="205">
        <f>IF(P545&lt;&gt;"ГОТОВО","", "Предварительное заключение: "&amp;A545&amp;", скв. "&amp;B545&amp;". МРП: "&amp;E545&amp;" сут. ГНО: "&amp;F545&amp;", типоразмер "&amp;G545&amp;", марка "&amp;H545&amp;". Событие: "&amp;I545&amp;". Признак: "&amp;J545&amp;". Узел: "&amp;K545&amp;". Предварительная причина: "&amp;L545&amp;". Основное осложнение: "&amp;M545&amp;IF(N545&lt;&gt;"","; сопутствующее: "&amp;N545,"")&amp;IF(O545&lt;&gt;"","; дополнительно: "&amp;O545,"")&amp;".")</f>
        <v/>
      </c>
      <c r="R545" s="172">
        <f>IF('Оперативный ввод'!P545="","",'Оперативный ввод'!P545)</f>
        <v/>
      </c>
      <c r="S545" s="172">
        <f>IF('Оперативный ввод'!Q545="","",'Оперативный ввод'!Q545)</f>
        <v/>
      </c>
      <c r="T545" s="172">
        <f>IF('Оперативный ввод'!R545="","",'Оперативный ввод'!R545)</f>
        <v/>
      </c>
      <c r="U545" s="172">
        <f>IF('Оперативный ввод'!S545="","",'Оперативный ввод'!S545)</f>
        <v/>
      </c>
      <c r="V545" s="172">
        <f>IF('Оперативный ввод'!T545="","",'Оперативный ввод'!T545)</f>
        <v/>
      </c>
      <c r="W545" s="172" t="n"/>
      <c r="X545" s="172" t="n"/>
      <c r="Y545" s="172" t="n"/>
      <c r="Z545" s="172" t="n"/>
      <c r="AA545" s="172">
        <f>IF('Оперативный ввод'!U545="","",'Оперативный ввод'!U545)</f>
        <v/>
      </c>
      <c r="AB545" s="172">
        <f>IF('Оперативный ввод'!V545="","",'Оперативный ввод'!V545)</f>
        <v/>
      </c>
      <c r="AC545" s="172">
        <f>IF('Оперативный ввод'!W545="","",'Оперативный ввод'!W545)</f>
        <v/>
      </c>
      <c r="BB545" s="172" t="n"/>
      <c r="BC545" s="172" t="n"/>
      <c r="BD545" s="205">
        <f>IF(AND(A545="",B545=""),"",IF(AND(P545="ГОТОВО",R545&lt;&gt;"",T545&lt;&gt;"",U545&lt;&gt;"",AA545&lt;&gt;"",AB545&lt;&gt;"",AC545&lt;&gt;"",BB545&lt;&gt;"",BC545&lt;&gt;""),"ГОТОВО","НЕ ГОТОВО"))</f>
        <v/>
      </c>
      <c r="BE545" s="205">
        <f>IF(BD545&lt;&gt;"ГОТОВО","","Полное заключение: "&amp;A545&amp;", скв. "&amp;B545&amp;". МРП: "&amp;E545&amp;" сут. ГНО: "&amp;F545&amp;"; причина: "&amp;U545&amp;"; категория: "&amp;V545&amp;"; решение комиссии: "&amp;BB545&amp;".")</f>
        <v/>
      </c>
      <c r="BF545" s="173">
        <f>IF('Оперативный ввод'!X545="","",'Оперативный ввод'!X545)</f>
        <v/>
      </c>
    </row>
    <row r="546">
      <c r="A546" s="171">
        <f>IF('Оперативный ввод'!A546="","",'Оперативный ввод'!A546)</f>
        <v/>
      </c>
      <c r="B546" s="172">
        <f>IF('Оперативный ввод'!B546="","",'Оперативный ввод'!B546)</f>
        <v/>
      </c>
      <c r="C546" s="270">
        <f>IF('Оперативный ввод'!C546="","",'Оперативный ввод'!C546)</f>
        <v/>
      </c>
      <c r="D546" s="270">
        <f>IF('Оперативный ввод'!D546="","",'Оперативный ввод'!D546)</f>
        <v/>
      </c>
      <c r="E546" s="271">
        <f>IF(OR(C546="",D546=""),"",D546-C546)</f>
        <v/>
      </c>
      <c r="F546" s="172">
        <f>IF('Оперативный ввод'!F546="","",'Оперативный ввод'!F546)</f>
        <v/>
      </c>
      <c r="G546" s="172">
        <f>IF('Оперативный ввод'!G546="","",'Оперативный ввод'!G546)</f>
        <v/>
      </c>
      <c r="H546" s="172">
        <f>IF('Оперативный ввод'!H546="","",'Оперативный ввод'!H546)</f>
        <v/>
      </c>
      <c r="I546" s="172">
        <f>IF('Оперативный ввод'!I546="","",'Оперативный ввод'!I546)</f>
        <v/>
      </c>
      <c r="J546" s="172">
        <f>IF('Оперативный ввод'!J546="","",'Оперативный ввод'!J546)</f>
        <v/>
      </c>
      <c r="K546" s="172">
        <f>IF('Оперативный ввод'!K546="","",'Оперативный ввод'!K546)</f>
        <v/>
      </c>
      <c r="L546" s="172">
        <f>IF('Оперативный ввод'!L546="","",'Оперативный ввод'!L546)</f>
        <v/>
      </c>
      <c r="M546" s="172">
        <f>IF('Оперативный ввод'!M546="","",'Оперативный ввод'!M546)</f>
        <v/>
      </c>
      <c r="N546" s="172">
        <f>IF('Оперативный ввод'!N546="","",'Оперативный ввод'!N546)</f>
        <v/>
      </c>
      <c r="O546" s="172">
        <f>IF('Оперативный ввод'!O546="","",'Оперативный ввод'!O546)</f>
        <v/>
      </c>
      <c r="P546" s="205">
        <f>IF(AND(A546="",B546=""),"",IF(AND(A546&lt;&gt;"",B546&lt;&gt;"",C546&lt;&gt;"",D546&lt;&gt;"",F546&lt;&gt;"",G546&lt;&gt;"",H546&lt;&gt;"",ISERROR(SEARCH("по паспорту",G546)),ISERROR(SEARCH("по паспорту",H546)),I546&lt;&gt;"",J546&lt;&gt;"",K546&lt;&gt;"",L546&lt;&gt;"",M546&lt;&gt;""),"ГОТОВО","НЕ ГОТОВО"))</f>
        <v/>
      </c>
      <c r="Q546" s="205">
        <f>IF(P546&lt;&gt;"ГОТОВО","", "Предварительное заключение: "&amp;A546&amp;", скв. "&amp;B546&amp;". МРП: "&amp;E546&amp;" сут. ГНО: "&amp;F546&amp;", типоразмер "&amp;G546&amp;", марка "&amp;H546&amp;". Событие: "&amp;I546&amp;". Признак: "&amp;J546&amp;". Узел: "&amp;K546&amp;". Предварительная причина: "&amp;L546&amp;". Основное осложнение: "&amp;M546&amp;IF(N546&lt;&gt;"","; сопутствующее: "&amp;N546,"")&amp;IF(O546&lt;&gt;"","; дополнительно: "&amp;O546,"")&amp;".")</f>
        <v/>
      </c>
      <c r="R546" s="172">
        <f>IF('Оперативный ввод'!P546="","",'Оперативный ввод'!P546)</f>
        <v/>
      </c>
      <c r="S546" s="172">
        <f>IF('Оперативный ввод'!Q546="","",'Оперативный ввод'!Q546)</f>
        <v/>
      </c>
      <c r="T546" s="172">
        <f>IF('Оперативный ввод'!R546="","",'Оперативный ввод'!R546)</f>
        <v/>
      </c>
      <c r="U546" s="172">
        <f>IF('Оперативный ввод'!S546="","",'Оперативный ввод'!S546)</f>
        <v/>
      </c>
      <c r="V546" s="172">
        <f>IF('Оперативный ввод'!T546="","",'Оперативный ввод'!T546)</f>
        <v/>
      </c>
      <c r="W546" s="172" t="n"/>
      <c r="X546" s="172" t="n"/>
      <c r="Y546" s="172" t="n"/>
      <c r="Z546" s="172" t="n"/>
      <c r="AA546" s="172">
        <f>IF('Оперативный ввод'!U546="","",'Оперативный ввод'!U546)</f>
        <v/>
      </c>
      <c r="AB546" s="172">
        <f>IF('Оперативный ввод'!V546="","",'Оперативный ввод'!V546)</f>
        <v/>
      </c>
      <c r="AC546" s="172">
        <f>IF('Оперативный ввод'!W546="","",'Оперативный ввод'!W546)</f>
        <v/>
      </c>
      <c r="BB546" s="172" t="n"/>
      <c r="BC546" s="172" t="n"/>
      <c r="BD546" s="205">
        <f>IF(AND(A546="",B546=""),"",IF(AND(P546="ГОТОВО",R546&lt;&gt;"",T546&lt;&gt;"",U546&lt;&gt;"",AA546&lt;&gt;"",AB546&lt;&gt;"",AC546&lt;&gt;"",BB546&lt;&gt;"",BC546&lt;&gt;""),"ГОТОВО","НЕ ГОТОВО"))</f>
        <v/>
      </c>
      <c r="BE546" s="205">
        <f>IF(BD546&lt;&gt;"ГОТОВО","","Полное заключение: "&amp;A546&amp;", скв. "&amp;B546&amp;". МРП: "&amp;E546&amp;" сут. ГНО: "&amp;F546&amp;"; причина: "&amp;U546&amp;"; категория: "&amp;V546&amp;"; решение комиссии: "&amp;BB546&amp;".")</f>
        <v/>
      </c>
      <c r="BF546" s="173">
        <f>IF('Оперативный ввод'!X546="","",'Оперативный ввод'!X546)</f>
        <v/>
      </c>
    </row>
    <row r="547">
      <c r="A547" s="171">
        <f>IF('Оперативный ввод'!A547="","",'Оперативный ввод'!A547)</f>
        <v/>
      </c>
      <c r="B547" s="172">
        <f>IF('Оперативный ввод'!B547="","",'Оперативный ввод'!B547)</f>
        <v/>
      </c>
      <c r="C547" s="270">
        <f>IF('Оперативный ввод'!C547="","",'Оперативный ввод'!C547)</f>
        <v/>
      </c>
      <c r="D547" s="270">
        <f>IF('Оперативный ввод'!D547="","",'Оперативный ввод'!D547)</f>
        <v/>
      </c>
      <c r="E547" s="271">
        <f>IF(OR(C547="",D547=""),"",D547-C547)</f>
        <v/>
      </c>
      <c r="F547" s="172">
        <f>IF('Оперативный ввод'!F547="","",'Оперативный ввод'!F547)</f>
        <v/>
      </c>
      <c r="G547" s="172">
        <f>IF('Оперативный ввод'!G547="","",'Оперативный ввод'!G547)</f>
        <v/>
      </c>
      <c r="H547" s="172">
        <f>IF('Оперативный ввод'!H547="","",'Оперативный ввод'!H547)</f>
        <v/>
      </c>
      <c r="I547" s="172">
        <f>IF('Оперативный ввод'!I547="","",'Оперативный ввод'!I547)</f>
        <v/>
      </c>
      <c r="J547" s="172">
        <f>IF('Оперативный ввод'!J547="","",'Оперативный ввод'!J547)</f>
        <v/>
      </c>
      <c r="K547" s="172">
        <f>IF('Оперативный ввод'!K547="","",'Оперативный ввод'!K547)</f>
        <v/>
      </c>
      <c r="L547" s="172">
        <f>IF('Оперативный ввод'!L547="","",'Оперативный ввод'!L547)</f>
        <v/>
      </c>
      <c r="M547" s="172">
        <f>IF('Оперативный ввод'!M547="","",'Оперативный ввод'!M547)</f>
        <v/>
      </c>
      <c r="N547" s="172">
        <f>IF('Оперативный ввод'!N547="","",'Оперативный ввод'!N547)</f>
        <v/>
      </c>
      <c r="O547" s="172">
        <f>IF('Оперативный ввод'!O547="","",'Оперативный ввод'!O547)</f>
        <v/>
      </c>
      <c r="P547" s="205">
        <f>IF(AND(A547="",B547=""),"",IF(AND(A547&lt;&gt;"",B547&lt;&gt;"",C547&lt;&gt;"",D547&lt;&gt;"",F547&lt;&gt;"",G547&lt;&gt;"",H547&lt;&gt;"",ISERROR(SEARCH("по паспорту",G547)),ISERROR(SEARCH("по паспорту",H547)),I547&lt;&gt;"",J547&lt;&gt;"",K547&lt;&gt;"",L547&lt;&gt;"",M547&lt;&gt;""),"ГОТОВО","НЕ ГОТОВО"))</f>
        <v/>
      </c>
      <c r="Q547" s="205">
        <f>IF(P547&lt;&gt;"ГОТОВО","", "Предварительное заключение: "&amp;A547&amp;", скв. "&amp;B547&amp;". МРП: "&amp;E547&amp;" сут. ГНО: "&amp;F547&amp;", типоразмер "&amp;G547&amp;", марка "&amp;H547&amp;". Событие: "&amp;I547&amp;". Признак: "&amp;J547&amp;". Узел: "&amp;K547&amp;". Предварительная причина: "&amp;L547&amp;". Основное осложнение: "&amp;M547&amp;IF(N547&lt;&gt;"","; сопутствующее: "&amp;N547,"")&amp;IF(O547&lt;&gt;"","; дополнительно: "&amp;O547,"")&amp;".")</f>
        <v/>
      </c>
      <c r="R547" s="172">
        <f>IF('Оперативный ввод'!P547="","",'Оперативный ввод'!P547)</f>
        <v/>
      </c>
      <c r="S547" s="172">
        <f>IF('Оперативный ввод'!Q547="","",'Оперативный ввод'!Q547)</f>
        <v/>
      </c>
      <c r="T547" s="172">
        <f>IF('Оперативный ввод'!R547="","",'Оперативный ввод'!R547)</f>
        <v/>
      </c>
      <c r="U547" s="172">
        <f>IF('Оперативный ввод'!S547="","",'Оперативный ввод'!S547)</f>
        <v/>
      </c>
      <c r="V547" s="172">
        <f>IF('Оперативный ввод'!T547="","",'Оперативный ввод'!T547)</f>
        <v/>
      </c>
      <c r="W547" s="172" t="n"/>
      <c r="X547" s="172" t="n"/>
      <c r="Y547" s="172" t="n"/>
      <c r="Z547" s="172" t="n"/>
      <c r="AA547" s="172">
        <f>IF('Оперативный ввод'!U547="","",'Оперативный ввод'!U547)</f>
        <v/>
      </c>
      <c r="AB547" s="172">
        <f>IF('Оперативный ввод'!V547="","",'Оперативный ввод'!V547)</f>
        <v/>
      </c>
      <c r="AC547" s="172">
        <f>IF('Оперативный ввод'!W547="","",'Оперативный ввод'!W547)</f>
        <v/>
      </c>
      <c r="BB547" s="172" t="n"/>
      <c r="BC547" s="172" t="n"/>
      <c r="BD547" s="205">
        <f>IF(AND(A547="",B547=""),"",IF(AND(P547="ГОТОВО",R547&lt;&gt;"",T547&lt;&gt;"",U547&lt;&gt;"",AA547&lt;&gt;"",AB547&lt;&gt;"",AC547&lt;&gt;"",BB547&lt;&gt;"",BC547&lt;&gt;""),"ГОТОВО","НЕ ГОТОВО"))</f>
        <v/>
      </c>
      <c r="BE547" s="205">
        <f>IF(BD547&lt;&gt;"ГОТОВО","","Полное заключение: "&amp;A547&amp;", скв. "&amp;B547&amp;". МРП: "&amp;E547&amp;" сут. ГНО: "&amp;F547&amp;"; причина: "&amp;U547&amp;"; категория: "&amp;V547&amp;"; решение комиссии: "&amp;BB547&amp;".")</f>
        <v/>
      </c>
      <c r="BF547" s="173">
        <f>IF('Оперативный ввод'!X547="","",'Оперативный ввод'!X547)</f>
        <v/>
      </c>
    </row>
    <row r="548">
      <c r="A548" s="171">
        <f>IF('Оперативный ввод'!A548="","",'Оперативный ввод'!A548)</f>
        <v/>
      </c>
      <c r="B548" s="172">
        <f>IF('Оперативный ввод'!B548="","",'Оперативный ввод'!B548)</f>
        <v/>
      </c>
      <c r="C548" s="270">
        <f>IF('Оперативный ввод'!C548="","",'Оперативный ввод'!C548)</f>
        <v/>
      </c>
      <c r="D548" s="270">
        <f>IF('Оперативный ввод'!D548="","",'Оперативный ввод'!D548)</f>
        <v/>
      </c>
      <c r="E548" s="271">
        <f>IF(OR(C548="",D548=""),"",D548-C548)</f>
        <v/>
      </c>
      <c r="F548" s="172">
        <f>IF('Оперативный ввод'!F548="","",'Оперативный ввод'!F548)</f>
        <v/>
      </c>
      <c r="G548" s="172">
        <f>IF('Оперативный ввод'!G548="","",'Оперативный ввод'!G548)</f>
        <v/>
      </c>
      <c r="H548" s="172">
        <f>IF('Оперативный ввод'!H548="","",'Оперативный ввод'!H548)</f>
        <v/>
      </c>
      <c r="I548" s="172">
        <f>IF('Оперативный ввод'!I548="","",'Оперативный ввод'!I548)</f>
        <v/>
      </c>
      <c r="J548" s="172">
        <f>IF('Оперативный ввод'!J548="","",'Оперативный ввод'!J548)</f>
        <v/>
      </c>
      <c r="K548" s="172">
        <f>IF('Оперативный ввод'!K548="","",'Оперативный ввод'!K548)</f>
        <v/>
      </c>
      <c r="L548" s="172">
        <f>IF('Оперативный ввод'!L548="","",'Оперативный ввод'!L548)</f>
        <v/>
      </c>
      <c r="M548" s="172">
        <f>IF('Оперативный ввод'!M548="","",'Оперативный ввод'!M548)</f>
        <v/>
      </c>
      <c r="N548" s="172">
        <f>IF('Оперативный ввод'!N548="","",'Оперативный ввод'!N548)</f>
        <v/>
      </c>
      <c r="O548" s="172">
        <f>IF('Оперативный ввод'!O548="","",'Оперативный ввод'!O548)</f>
        <v/>
      </c>
      <c r="P548" s="205">
        <f>IF(AND(A548="",B548=""),"",IF(AND(A548&lt;&gt;"",B548&lt;&gt;"",C548&lt;&gt;"",D548&lt;&gt;"",F548&lt;&gt;"",G548&lt;&gt;"",H548&lt;&gt;"",ISERROR(SEARCH("по паспорту",G548)),ISERROR(SEARCH("по паспорту",H548)),I548&lt;&gt;"",J548&lt;&gt;"",K548&lt;&gt;"",L548&lt;&gt;"",M548&lt;&gt;""),"ГОТОВО","НЕ ГОТОВО"))</f>
        <v/>
      </c>
      <c r="Q548" s="205">
        <f>IF(P548&lt;&gt;"ГОТОВО","", "Предварительное заключение: "&amp;A548&amp;", скв. "&amp;B548&amp;". МРП: "&amp;E548&amp;" сут. ГНО: "&amp;F548&amp;", типоразмер "&amp;G548&amp;", марка "&amp;H548&amp;". Событие: "&amp;I548&amp;". Признак: "&amp;J548&amp;". Узел: "&amp;K548&amp;". Предварительная причина: "&amp;L548&amp;". Основное осложнение: "&amp;M548&amp;IF(N548&lt;&gt;"","; сопутствующее: "&amp;N548,"")&amp;IF(O548&lt;&gt;"","; дополнительно: "&amp;O548,"")&amp;".")</f>
        <v/>
      </c>
      <c r="R548" s="172">
        <f>IF('Оперативный ввод'!P548="","",'Оперативный ввод'!P548)</f>
        <v/>
      </c>
      <c r="S548" s="172">
        <f>IF('Оперативный ввод'!Q548="","",'Оперативный ввод'!Q548)</f>
        <v/>
      </c>
      <c r="T548" s="172">
        <f>IF('Оперативный ввод'!R548="","",'Оперативный ввод'!R548)</f>
        <v/>
      </c>
      <c r="U548" s="172">
        <f>IF('Оперативный ввод'!S548="","",'Оперативный ввод'!S548)</f>
        <v/>
      </c>
      <c r="V548" s="172">
        <f>IF('Оперативный ввод'!T548="","",'Оперативный ввод'!T548)</f>
        <v/>
      </c>
      <c r="W548" s="172" t="n"/>
      <c r="X548" s="172" t="n"/>
      <c r="Y548" s="172" t="n"/>
      <c r="Z548" s="172" t="n"/>
      <c r="AA548" s="172">
        <f>IF('Оперативный ввод'!U548="","",'Оперативный ввод'!U548)</f>
        <v/>
      </c>
      <c r="AB548" s="172">
        <f>IF('Оперативный ввод'!V548="","",'Оперативный ввод'!V548)</f>
        <v/>
      </c>
      <c r="AC548" s="172">
        <f>IF('Оперативный ввод'!W548="","",'Оперативный ввод'!W548)</f>
        <v/>
      </c>
      <c r="BB548" s="172" t="n"/>
      <c r="BC548" s="172" t="n"/>
      <c r="BD548" s="205">
        <f>IF(AND(A548="",B548=""),"",IF(AND(P548="ГОТОВО",R548&lt;&gt;"",T548&lt;&gt;"",U548&lt;&gt;"",AA548&lt;&gt;"",AB548&lt;&gt;"",AC548&lt;&gt;"",BB548&lt;&gt;"",BC548&lt;&gt;""),"ГОТОВО","НЕ ГОТОВО"))</f>
        <v/>
      </c>
      <c r="BE548" s="205">
        <f>IF(BD548&lt;&gt;"ГОТОВО","","Полное заключение: "&amp;A548&amp;", скв. "&amp;B548&amp;". МРП: "&amp;E548&amp;" сут. ГНО: "&amp;F548&amp;"; причина: "&amp;U548&amp;"; категория: "&amp;V548&amp;"; решение комиссии: "&amp;BB548&amp;".")</f>
        <v/>
      </c>
      <c r="BF548" s="173">
        <f>IF('Оперативный ввод'!X548="","",'Оперативный ввод'!X548)</f>
        <v/>
      </c>
    </row>
    <row r="549">
      <c r="A549" s="171">
        <f>IF('Оперативный ввод'!A549="","",'Оперативный ввод'!A549)</f>
        <v/>
      </c>
      <c r="B549" s="172">
        <f>IF('Оперативный ввод'!B549="","",'Оперативный ввод'!B549)</f>
        <v/>
      </c>
      <c r="C549" s="270">
        <f>IF('Оперативный ввод'!C549="","",'Оперативный ввод'!C549)</f>
        <v/>
      </c>
      <c r="D549" s="270">
        <f>IF('Оперативный ввод'!D549="","",'Оперативный ввод'!D549)</f>
        <v/>
      </c>
      <c r="E549" s="271">
        <f>IF(OR(C549="",D549=""),"",D549-C549)</f>
        <v/>
      </c>
      <c r="F549" s="172">
        <f>IF('Оперативный ввод'!F549="","",'Оперативный ввод'!F549)</f>
        <v/>
      </c>
      <c r="G549" s="172">
        <f>IF('Оперативный ввод'!G549="","",'Оперативный ввод'!G549)</f>
        <v/>
      </c>
      <c r="H549" s="172">
        <f>IF('Оперативный ввод'!H549="","",'Оперативный ввод'!H549)</f>
        <v/>
      </c>
      <c r="I549" s="172">
        <f>IF('Оперативный ввод'!I549="","",'Оперативный ввод'!I549)</f>
        <v/>
      </c>
      <c r="J549" s="172">
        <f>IF('Оперативный ввод'!J549="","",'Оперативный ввод'!J549)</f>
        <v/>
      </c>
      <c r="K549" s="172">
        <f>IF('Оперативный ввод'!K549="","",'Оперативный ввод'!K549)</f>
        <v/>
      </c>
      <c r="L549" s="172">
        <f>IF('Оперативный ввод'!L549="","",'Оперативный ввод'!L549)</f>
        <v/>
      </c>
      <c r="M549" s="172">
        <f>IF('Оперативный ввод'!M549="","",'Оперативный ввод'!M549)</f>
        <v/>
      </c>
      <c r="N549" s="172">
        <f>IF('Оперативный ввод'!N549="","",'Оперативный ввод'!N549)</f>
        <v/>
      </c>
      <c r="O549" s="172">
        <f>IF('Оперативный ввод'!O549="","",'Оперативный ввод'!O549)</f>
        <v/>
      </c>
      <c r="P549" s="205">
        <f>IF(AND(A549="",B549=""),"",IF(AND(A549&lt;&gt;"",B549&lt;&gt;"",C549&lt;&gt;"",D549&lt;&gt;"",F549&lt;&gt;"",G549&lt;&gt;"",H549&lt;&gt;"",ISERROR(SEARCH("по паспорту",G549)),ISERROR(SEARCH("по паспорту",H549)),I549&lt;&gt;"",J549&lt;&gt;"",K549&lt;&gt;"",L549&lt;&gt;"",M549&lt;&gt;""),"ГОТОВО","НЕ ГОТОВО"))</f>
        <v/>
      </c>
      <c r="Q549" s="205">
        <f>IF(P549&lt;&gt;"ГОТОВО","", "Предварительное заключение: "&amp;A549&amp;", скв. "&amp;B549&amp;". МРП: "&amp;E549&amp;" сут. ГНО: "&amp;F549&amp;", типоразмер "&amp;G549&amp;", марка "&amp;H549&amp;". Событие: "&amp;I549&amp;". Признак: "&amp;J549&amp;". Узел: "&amp;K549&amp;". Предварительная причина: "&amp;L549&amp;". Основное осложнение: "&amp;M549&amp;IF(N549&lt;&gt;"","; сопутствующее: "&amp;N549,"")&amp;IF(O549&lt;&gt;"","; дополнительно: "&amp;O549,"")&amp;".")</f>
        <v/>
      </c>
      <c r="R549" s="172">
        <f>IF('Оперативный ввод'!P549="","",'Оперативный ввод'!P549)</f>
        <v/>
      </c>
      <c r="S549" s="172">
        <f>IF('Оперативный ввод'!Q549="","",'Оперативный ввод'!Q549)</f>
        <v/>
      </c>
      <c r="T549" s="172">
        <f>IF('Оперативный ввод'!R549="","",'Оперативный ввод'!R549)</f>
        <v/>
      </c>
      <c r="U549" s="172">
        <f>IF('Оперативный ввод'!S549="","",'Оперативный ввод'!S549)</f>
        <v/>
      </c>
      <c r="V549" s="172">
        <f>IF('Оперативный ввод'!T549="","",'Оперативный ввод'!T549)</f>
        <v/>
      </c>
      <c r="W549" s="172" t="n"/>
      <c r="X549" s="172" t="n"/>
      <c r="Y549" s="172" t="n"/>
      <c r="Z549" s="172" t="n"/>
      <c r="AA549" s="172">
        <f>IF('Оперативный ввод'!U549="","",'Оперативный ввод'!U549)</f>
        <v/>
      </c>
      <c r="AB549" s="172">
        <f>IF('Оперативный ввод'!V549="","",'Оперативный ввод'!V549)</f>
        <v/>
      </c>
      <c r="AC549" s="172">
        <f>IF('Оперативный ввод'!W549="","",'Оперативный ввод'!W549)</f>
        <v/>
      </c>
      <c r="BB549" s="172" t="n"/>
      <c r="BC549" s="172" t="n"/>
      <c r="BD549" s="205">
        <f>IF(AND(A549="",B549=""),"",IF(AND(P549="ГОТОВО",R549&lt;&gt;"",T549&lt;&gt;"",U549&lt;&gt;"",AA549&lt;&gt;"",AB549&lt;&gt;"",AC549&lt;&gt;"",BB549&lt;&gt;"",BC549&lt;&gt;""),"ГОТОВО","НЕ ГОТОВО"))</f>
        <v/>
      </c>
      <c r="BE549" s="205">
        <f>IF(BD549&lt;&gt;"ГОТОВО","","Полное заключение: "&amp;A549&amp;", скв. "&amp;B549&amp;". МРП: "&amp;E549&amp;" сут. ГНО: "&amp;F549&amp;"; причина: "&amp;U549&amp;"; категория: "&amp;V549&amp;"; решение комиссии: "&amp;BB549&amp;".")</f>
        <v/>
      </c>
      <c r="BF549" s="173">
        <f>IF('Оперативный ввод'!X549="","",'Оперативный ввод'!X549)</f>
        <v/>
      </c>
    </row>
    <row r="550">
      <c r="A550" s="171">
        <f>IF('Оперативный ввод'!A550="","",'Оперативный ввод'!A550)</f>
        <v/>
      </c>
      <c r="B550" s="172">
        <f>IF('Оперативный ввод'!B550="","",'Оперативный ввод'!B550)</f>
        <v/>
      </c>
      <c r="C550" s="270">
        <f>IF('Оперативный ввод'!C550="","",'Оперативный ввод'!C550)</f>
        <v/>
      </c>
      <c r="D550" s="270">
        <f>IF('Оперативный ввод'!D550="","",'Оперативный ввод'!D550)</f>
        <v/>
      </c>
      <c r="E550" s="271">
        <f>IF(OR(C550="",D550=""),"",D550-C550)</f>
        <v/>
      </c>
      <c r="F550" s="172">
        <f>IF('Оперативный ввод'!F550="","",'Оперативный ввод'!F550)</f>
        <v/>
      </c>
      <c r="G550" s="172">
        <f>IF('Оперативный ввод'!G550="","",'Оперативный ввод'!G550)</f>
        <v/>
      </c>
      <c r="H550" s="172">
        <f>IF('Оперативный ввод'!H550="","",'Оперативный ввод'!H550)</f>
        <v/>
      </c>
      <c r="I550" s="172">
        <f>IF('Оперативный ввод'!I550="","",'Оперативный ввод'!I550)</f>
        <v/>
      </c>
      <c r="J550" s="172">
        <f>IF('Оперативный ввод'!J550="","",'Оперативный ввод'!J550)</f>
        <v/>
      </c>
      <c r="K550" s="172">
        <f>IF('Оперативный ввод'!K550="","",'Оперативный ввод'!K550)</f>
        <v/>
      </c>
      <c r="L550" s="172">
        <f>IF('Оперативный ввод'!L550="","",'Оперативный ввод'!L550)</f>
        <v/>
      </c>
      <c r="M550" s="172">
        <f>IF('Оперативный ввод'!M550="","",'Оперативный ввод'!M550)</f>
        <v/>
      </c>
      <c r="N550" s="172">
        <f>IF('Оперативный ввод'!N550="","",'Оперативный ввод'!N550)</f>
        <v/>
      </c>
      <c r="O550" s="172">
        <f>IF('Оперативный ввод'!O550="","",'Оперативный ввод'!O550)</f>
        <v/>
      </c>
      <c r="P550" s="205">
        <f>IF(AND(A550="",B550=""),"",IF(AND(A550&lt;&gt;"",B550&lt;&gt;"",C550&lt;&gt;"",D550&lt;&gt;"",F550&lt;&gt;"",G550&lt;&gt;"",H550&lt;&gt;"",ISERROR(SEARCH("по паспорту",G550)),ISERROR(SEARCH("по паспорту",H550)),I550&lt;&gt;"",J550&lt;&gt;"",K550&lt;&gt;"",L550&lt;&gt;"",M550&lt;&gt;""),"ГОТОВО","НЕ ГОТОВО"))</f>
        <v/>
      </c>
      <c r="Q550" s="205">
        <f>IF(P550&lt;&gt;"ГОТОВО","", "Предварительное заключение: "&amp;A550&amp;", скв. "&amp;B550&amp;". МРП: "&amp;E550&amp;" сут. ГНО: "&amp;F550&amp;", типоразмер "&amp;G550&amp;", марка "&amp;H550&amp;". Событие: "&amp;I550&amp;". Признак: "&amp;J550&amp;". Узел: "&amp;K550&amp;". Предварительная причина: "&amp;L550&amp;". Основное осложнение: "&amp;M550&amp;IF(N550&lt;&gt;"","; сопутствующее: "&amp;N550,"")&amp;IF(O550&lt;&gt;"","; дополнительно: "&amp;O550,"")&amp;".")</f>
        <v/>
      </c>
      <c r="R550" s="172">
        <f>IF('Оперативный ввод'!P550="","",'Оперативный ввод'!P550)</f>
        <v/>
      </c>
      <c r="S550" s="172">
        <f>IF('Оперативный ввод'!Q550="","",'Оперативный ввод'!Q550)</f>
        <v/>
      </c>
      <c r="T550" s="172">
        <f>IF('Оперативный ввод'!R550="","",'Оперативный ввод'!R550)</f>
        <v/>
      </c>
      <c r="U550" s="172">
        <f>IF('Оперативный ввод'!S550="","",'Оперативный ввод'!S550)</f>
        <v/>
      </c>
      <c r="V550" s="172">
        <f>IF('Оперативный ввод'!T550="","",'Оперативный ввод'!T550)</f>
        <v/>
      </c>
      <c r="W550" s="172" t="n"/>
      <c r="X550" s="172" t="n"/>
      <c r="Y550" s="172" t="n"/>
      <c r="Z550" s="172" t="n"/>
      <c r="AA550" s="172">
        <f>IF('Оперативный ввод'!U550="","",'Оперативный ввод'!U550)</f>
        <v/>
      </c>
      <c r="AB550" s="172">
        <f>IF('Оперативный ввод'!V550="","",'Оперативный ввод'!V550)</f>
        <v/>
      </c>
      <c r="AC550" s="172">
        <f>IF('Оперативный ввод'!W550="","",'Оперативный ввод'!W550)</f>
        <v/>
      </c>
      <c r="BB550" s="172" t="n"/>
      <c r="BC550" s="172" t="n"/>
      <c r="BD550" s="205">
        <f>IF(AND(A550="",B550=""),"",IF(AND(P550="ГОТОВО",R550&lt;&gt;"",T550&lt;&gt;"",U550&lt;&gt;"",AA550&lt;&gt;"",AB550&lt;&gt;"",AC550&lt;&gt;"",BB550&lt;&gt;"",BC550&lt;&gt;""),"ГОТОВО","НЕ ГОТОВО"))</f>
        <v/>
      </c>
      <c r="BE550" s="205">
        <f>IF(BD550&lt;&gt;"ГОТОВО","","Полное заключение: "&amp;A550&amp;", скв. "&amp;B550&amp;". МРП: "&amp;E550&amp;" сут. ГНО: "&amp;F550&amp;"; причина: "&amp;U550&amp;"; категория: "&amp;V550&amp;"; решение комиссии: "&amp;BB550&amp;".")</f>
        <v/>
      </c>
      <c r="BF550" s="173">
        <f>IF('Оперативный ввод'!X550="","",'Оперативный ввод'!X550)</f>
        <v/>
      </c>
    </row>
    <row r="551">
      <c r="A551" s="171">
        <f>IF('Оперативный ввод'!A551="","",'Оперативный ввод'!A551)</f>
        <v/>
      </c>
      <c r="B551" s="172">
        <f>IF('Оперативный ввод'!B551="","",'Оперативный ввод'!B551)</f>
        <v/>
      </c>
      <c r="C551" s="270">
        <f>IF('Оперативный ввод'!C551="","",'Оперативный ввод'!C551)</f>
        <v/>
      </c>
      <c r="D551" s="270">
        <f>IF('Оперативный ввод'!D551="","",'Оперативный ввод'!D551)</f>
        <v/>
      </c>
      <c r="E551" s="271">
        <f>IF(OR(C551="",D551=""),"",D551-C551)</f>
        <v/>
      </c>
      <c r="F551" s="172">
        <f>IF('Оперативный ввод'!F551="","",'Оперативный ввод'!F551)</f>
        <v/>
      </c>
      <c r="G551" s="172">
        <f>IF('Оперативный ввод'!G551="","",'Оперативный ввод'!G551)</f>
        <v/>
      </c>
      <c r="H551" s="172">
        <f>IF('Оперативный ввод'!H551="","",'Оперативный ввод'!H551)</f>
        <v/>
      </c>
      <c r="I551" s="172">
        <f>IF('Оперативный ввод'!I551="","",'Оперативный ввод'!I551)</f>
        <v/>
      </c>
      <c r="J551" s="172">
        <f>IF('Оперативный ввод'!J551="","",'Оперативный ввод'!J551)</f>
        <v/>
      </c>
      <c r="K551" s="172">
        <f>IF('Оперативный ввод'!K551="","",'Оперативный ввод'!K551)</f>
        <v/>
      </c>
      <c r="L551" s="172">
        <f>IF('Оперативный ввод'!L551="","",'Оперативный ввод'!L551)</f>
        <v/>
      </c>
      <c r="M551" s="172">
        <f>IF('Оперативный ввод'!M551="","",'Оперативный ввод'!M551)</f>
        <v/>
      </c>
      <c r="N551" s="172">
        <f>IF('Оперативный ввод'!N551="","",'Оперативный ввод'!N551)</f>
        <v/>
      </c>
      <c r="O551" s="172">
        <f>IF('Оперативный ввод'!O551="","",'Оперативный ввод'!O551)</f>
        <v/>
      </c>
      <c r="P551" s="205">
        <f>IF(AND(A551="",B551=""),"",IF(AND(A551&lt;&gt;"",B551&lt;&gt;"",C551&lt;&gt;"",D551&lt;&gt;"",F551&lt;&gt;"",G551&lt;&gt;"",H551&lt;&gt;"",ISERROR(SEARCH("по паспорту",G551)),ISERROR(SEARCH("по паспорту",H551)),I551&lt;&gt;"",J551&lt;&gt;"",K551&lt;&gt;"",L551&lt;&gt;"",M551&lt;&gt;""),"ГОТОВО","НЕ ГОТОВО"))</f>
        <v/>
      </c>
      <c r="Q551" s="205">
        <f>IF(P551&lt;&gt;"ГОТОВО","", "Предварительное заключение: "&amp;A551&amp;", скв. "&amp;B551&amp;". МРП: "&amp;E551&amp;" сут. ГНО: "&amp;F551&amp;", типоразмер "&amp;G551&amp;", марка "&amp;H551&amp;". Событие: "&amp;I551&amp;". Признак: "&amp;J551&amp;". Узел: "&amp;K551&amp;". Предварительная причина: "&amp;L551&amp;". Основное осложнение: "&amp;M551&amp;IF(N551&lt;&gt;"","; сопутствующее: "&amp;N551,"")&amp;IF(O551&lt;&gt;"","; дополнительно: "&amp;O551,"")&amp;".")</f>
        <v/>
      </c>
      <c r="R551" s="172">
        <f>IF('Оперативный ввод'!P551="","",'Оперативный ввод'!P551)</f>
        <v/>
      </c>
      <c r="S551" s="172">
        <f>IF('Оперативный ввод'!Q551="","",'Оперативный ввод'!Q551)</f>
        <v/>
      </c>
      <c r="T551" s="172">
        <f>IF('Оперативный ввод'!R551="","",'Оперативный ввод'!R551)</f>
        <v/>
      </c>
      <c r="U551" s="172">
        <f>IF('Оперативный ввод'!S551="","",'Оперативный ввод'!S551)</f>
        <v/>
      </c>
      <c r="V551" s="172">
        <f>IF('Оперативный ввод'!T551="","",'Оперативный ввод'!T551)</f>
        <v/>
      </c>
      <c r="W551" s="172" t="n"/>
      <c r="X551" s="172" t="n"/>
      <c r="Y551" s="172" t="n"/>
      <c r="Z551" s="172" t="n"/>
      <c r="AA551" s="172">
        <f>IF('Оперативный ввод'!U551="","",'Оперативный ввод'!U551)</f>
        <v/>
      </c>
      <c r="AB551" s="172">
        <f>IF('Оперативный ввод'!V551="","",'Оперативный ввод'!V551)</f>
        <v/>
      </c>
      <c r="AC551" s="172">
        <f>IF('Оперативный ввод'!W551="","",'Оперативный ввод'!W551)</f>
        <v/>
      </c>
      <c r="BB551" s="172" t="n"/>
      <c r="BC551" s="172" t="n"/>
      <c r="BD551" s="205">
        <f>IF(AND(A551="",B551=""),"",IF(AND(P551="ГОТОВО",R551&lt;&gt;"",T551&lt;&gt;"",U551&lt;&gt;"",AA551&lt;&gt;"",AB551&lt;&gt;"",AC551&lt;&gt;"",BB551&lt;&gt;"",BC551&lt;&gt;""),"ГОТОВО","НЕ ГОТОВО"))</f>
        <v/>
      </c>
      <c r="BE551" s="205">
        <f>IF(BD551&lt;&gt;"ГОТОВО","","Полное заключение: "&amp;A551&amp;", скв. "&amp;B551&amp;". МРП: "&amp;E551&amp;" сут. ГНО: "&amp;F551&amp;"; причина: "&amp;U551&amp;"; категория: "&amp;V551&amp;"; решение комиссии: "&amp;BB551&amp;".")</f>
        <v/>
      </c>
      <c r="BF551" s="173">
        <f>IF('Оперативный ввод'!X551="","",'Оперативный ввод'!X551)</f>
        <v/>
      </c>
    </row>
    <row r="552">
      <c r="A552" s="171">
        <f>IF('Оперативный ввод'!A552="","",'Оперативный ввод'!A552)</f>
        <v/>
      </c>
      <c r="B552" s="172">
        <f>IF('Оперативный ввод'!B552="","",'Оперативный ввод'!B552)</f>
        <v/>
      </c>
      <c r="C552" s="270">
        <f>IF('Оперативный ввод'!C552="","",'Оперативный ввод'!C552)</f>
        <v/>
      </c>
      <c r="D552" s="270">
        <f>IF('Оперативный ввод'!D552="","",'Оперативный ввод'!D552)</f>
        <v/>
      </c>
      <c r="E552" s="271">
        <f>IF(OR(C552="",D552=""),"",D552-C552)</f>
        <v/>
      </c>
      <c r="F552" s="172">
        <f>IF('Оперативный ввод'!F552="","",'Оперативный ввод'!F552)</f>
        <v/>
      </c>
      <c r="G552" s="172">
        <f>IF('Оперативный ввод'!G552="","",'Оперативный ввод'!G552)</f>
        <v/>
      </c>
      <c r="H552" s="172">
        <f>IF('Оперативный ввод'!H552="","",'Оперативный ввод'!H552)</f>
        <v/>
      </c>
      <c r="I552" s="172">
        <f>IF('Оперативный ввод'!I552="","",'Оперативный ввод'!I552)</f>
        <v/>
      </c>
      <c r="J552" s="172">
        <f>IF('Оперативный ввод'!J552="","",'Оперативный ввод'!J552)</f>
        <v/>
      </c>
      <c r="K552" s="172">
        <f>IF('Оперативный ввод'!K552="","",'Оперативный ввод'!K552)</f>
        <v/>
      </c>
      <c r="L552" s="172">
        <f>IF('Оперативный ввод'!L552="","",'Оперативный ввод'!L552)</f>
        <v/>
      </c>
      <c r="M552" s="172">
        <f>IF('Оперативный ввод'!M552="","",'Оперативный ввод'!M552)</f>
        <v/>
      </c>
      <c r="N552" s="172">
        <f>IF('Оперативный ввод'!N552="","",'Оперативный ввод'!N552)</f>
        <v/>
      </c>
      <c r="O552" s="172">
        <f>IF('Оперативный ввод'!O552="","",'Оперативный ввод'!O552)</f>
        <v/>
      </c>
      <c r="P552" s="205">
        <f>IF(AND(A552="",B552=""),"",IF(AND(A552&lt;&gt;"",B552&lt;&gt;"",C552&lt;&gt;"",D552&lt;&gt;"",F552&lt;&gt;"",G552&lt;&gt;"",H552&lt;&gt;"",ISERROR(SEARCH("по паспорту",G552)),ISERROR(SEARCH("по паспорту",H552)),I552&lt;&gt;"",J552&lt;&gt;"",K552&lt;&gt;"",L552&lt;&gt;"",M552&lt;&gt;""),"ГОТОВО","НЕ ГОТОВО"))</f>
        <v/>
      </c>
      <c r="Q552" s="205">
        <f>IF(P552&lt;&gt;"ГОТОВО","", "Предварительное заключение: "&amp;A552&amp;", скв. "&amp;B552&amp;". МРП: "&amp;E552&amp;" сут. ГНО: "&amp;F552&amp;", типоразмер "&amp;G552&amp;", марка "&amp;H552&amp;". Событие: "&amp;I552&amp;". Признак: "&amp;J552&amp;". Узел: "&amp;K552&amp;". Предварительная причина: "&amp;L552&amp;". Основное осложнение: "&amp;M552&amp;IF(N552&lt;&gt;"","; сопутствующее: "&amp;N552,"")&amp;IF(O552&lt;&gt;"","; дополнительно: "&amp;O552,"")&amp;".")</f>
        <v/>
      </c>
      <c r="R552" s="172">
        <f>IF('Оперативный ввод'!P552="","",'Оперативный ввод'!P552)</f>
        <v/>
      </c>
      <c r="S552" s="172">
        <f>IF('Оперативный ввод'!Q552="","",'Оперативный ввод'!Q552)</f>
        <v/>
      </c>
      <c r="T552" s="172">
        <f>IF('Оперативный ввод'!R552="","",'Оперативный ввод'!R552)</f>
        <v/>
      </c>
      <c r="U552" s="172">
        <f>IF('Оперативный ввод'!S552="","",'Оперативный ввод'!S552)</f>
        <v/>
      </c>
      <c r="V552" s="172">
        <f>IF('Оперативный ввод'!T552="","",'Оперативный ввод'!T552)</f>
        <v/>
      </c>
      <c r="W552" s="172" t="n"/>
      <c r="X552" s="172" t="n"/>
      <c r="Y552" s="172" t="n"/>
      <c r="Z552" s="172" t="n"/>
      <c r="AA552" s="172">
        <f>IF('Оперативный ввод'!U552="","",'Оперативный ввод'!U552)</f>
        <v/>
      </c>
      <c r="AB552" s="172">
        <f>IF('Оперативный ввод'!V552="","",'Оперативный ввод'!V552)</f>
        <v/>
      </c>
      <c r="AC552" s="172">
        <f>IF('Оперативный ввод'!W552="","",'Оперативный ввод'!W552)</f>
        <v/>
      </c>
      <c r="BB552" s="172" t="n"/>
      <c r="BC552" s="172" t="n"/>
      <c r="BD552" s="205">
        <f>IF(AND(A552="",B552=""),"",IF(AND(P552="ГОТОВО",R552&lt;&gt;"",T552&lt;&gt;"",U552&lt;&gt;"",AA552&lt;&gt;"",AB552&lt;&gt;"",AC552&lt;&gt;"",BB552&lt;&gt;"",BC552&lt;&gt;""),"ГОТОВО","НЕ ГОТОВО"))</f>
        <v/>
      </c>
      <c r="BE552" s="205">
        <f>IF(BD552&lt;&gt;"ГОТОВО","","Полное заключение: "&amp;A552&amp;", скв. "&amp;B552&amp;". МРП: "&amp;E552&amp;" сут. ГНО: "&amp;F552&amp;"; причина: "&amp;U552&amp;"; категория: "&amp;V552&amp;"; решение комиссии: "&amp;BB552&amp;".")</f>
        <v/>
      </c>
      <c r="BF552" s="173">
        <f>IF('Оперативный ввод'!X552="","",'Оперативный ввод'!X552)</f>
        <v/>
      </c>
    </row>
    <row r="553">
      <c r="A553" s="171">
        <f>IF('Оперативный ввод'!A553="","",'Оперативный ввод'!A553)</f>
        <v/>
      </c>
      <c r="B553" s="172">
        <f>IF('Оперативный ввод'!B553="","",'Оперативный ввод'!B553)</f>
        <v/>
      </c>
      <c r="C553" s="270">
        <f>IF('Оперативный ввод'!C553="","",'Оперативный ввод'!C553)</f>
        <v/>
      </c>
      <c r="D553" s="270">
        <f>IF('Оперативный ввод'!D553="","",'Оперативный ввод'!D553)</f>
        <v/>
      </c>
      <c r="E553" s="271">
        <f>IF(OR(C553="",D553=""),"",D553-C553)</f>
        <v/>
      </c>
      <c r="F553" s="172">
        <f>IF('Оперативный ввод'!F553="","",'Оперативный ввод'!F553)</f>
        <v/>
      </c>
      <c r="G553" s="172">
        <f>IF('Оперативный ввод'!G553="","",'Оперативный ввод'!G553)</f>
        <v/>
      </c>
      <c r="H553" s="172">
        <f>IF('Оперативный ввод'!H553="","",'Оперативный ввод'!H553)</f>
        <v/>
      </c>
      <c r="I553" s="172">
        <f>IF('Оперативный ввод'!I553="","",'Оперативный ввод'!I553)</f>
        <v/>
      </c>
      <c r="J553" s="172">
        <f>IF('Оперативный ввод'!J553="","",'Оперативный ввод'!J553)</f>
        <v/>
      </c>
      <c r="K553" s="172">
        <f>IF('Оперативный ввод'!K553="","",'Оперативный ввод'!K553)</f>
        <v/>
      </c>
      <c r="L553" s="172">
        <f>IF('Оперативный ввод'!L553="","",'Оперативный ввод'!L553)</f>
        <v/>
      </c>
      <c r="M553" s="172">
        <f>IF('Оперативный ввод'!M553="","",'Оперативный ввод'!M553)</f>
        <v/>
      </c>
      <c r="N553" s="172">
        <f>IF('Оперативный ввод'!N553="","",'Оперативный ввод'!N553)</f>
        <v/>
      </c>
      <c r="O553" s="172">
        <f>IF('Оперативный ввод'!O553="","",'Оперативный ввод'!O553)</f>
        <v/>
      </c>
      <c r="P553" s="205">
        <f>IF(AND(A553="",B553=""),"",IF(AND(A553&lt;&gt;"",B553&lt;&gt;"",C553&lt;&gt;"",D553&lt;&gt;"",F553&lt;&gt;"",G553&lt;&gt;"",H553&lt;&gt;"",ISERROR(SEARCH("по паспорту",G553)),ISERROR(SEARCH("по паспорту",H553)),I553&lt;&gt;"",J553&lt;&gt;"",K553&lt;&gt;"",L553&lt;&gt;"",M553&lt;&gt;""),"ГОТОВО","НЕ ГОТОВО"))</f>
        <v/>
      </c>
      <c r="Q553" s="205">
        <f>IF(P553&lt;&gt;"ГОТОВО","", "Предварительное заключение: "&amp;A553&amp;", скв. "&amp;B553&amp;". МРП: "&amp;E553&amp;" сут. ГНО: "&amp;F553&amp;", типоразмер "&amp;G553&amp;", марка "&amp;H553&amp;". Событие: "&amp;I553&amp;". Признак: "&amp;J553&amp;". Узел: "&amp;K553&amp;". Предварительная причина: "&amp;L553&amp;". Основное осложнение: "&amp;M553&amp;IF(N553&lt;&gt;"","; сопутствующее: "&amp;N553,"")&amp;IF(O553&lt;&gt;"","; дополнительно: "&amp;O553,"")&amp;".")</f>
        <v/>
      </c>
      <c r="R553" s="172">
        <f>IF('Оперативный ввод'!P553="","",'Оперативный ввод'!P553)</f>
        <v/>
      </c>
      <c r="S553" s="172">
        <f>IF('Оперативный ввод'!Q553="","",'Оперативный ввод'!Q553)</f>
        <v/>
      </c>
      <c r="T553" s="172">
        <f>IF('Оперативный ввод'!R553="","",'Оперативный ввод'!R553)</f>
        <v/>
      </c>
      <c r="U553" s="172">
        <f>IF('Оперативный ввод'!S553="","",'Оперативный ввод'!S553)</f>
        <v/>
      </c>
      <c r="V553" s="172">
        <f>IF('Оперативный ввод'!T553="","",'Оперативный ввод'!T553)</f>
        <v/>
      </c>
      <c r="W553" s="172" t="n"/>
      <c r="X553" s="172" t="n"/>
      <c r="Y553" s="172" t="n"/>
      <c r="Z553" s="172" t="n"/>
      <c r="AA553" s="172">
        <f>IF('Оперативный ввод'!U553="","",'Оперативный ввод'!U553)</f>
        <v/>
      </c>
      <c r="AB553" s="172">
        <f>IF('Оперативный ввод'!V553="","",'Оперативный ввод'!V553)</f>
        <v/>
      </c>
      <c r="AC553" s="172">
        <f>IF('Оперативный ввод'!W553="","",'Оперативный ввод'!W553)</f>
        <v/>
      </c>
      <c r="BB553" s="172" t="n"/>
      <c r="BC553" s="172" t="n"/>
      <c r="BD553" s="205">
        <f>IF(AND(A553="",B553=""),"",IF(AND(P553="ГОТОВО",R553&lt;&gt;"",T553&lt;&gt;"",U553&lt;&gt;"",AA553&lt;&gt;"",AB553&lt;&gt;"",AC553&lt;&gt;"",BB553&lt;&gt;"",BC553&lt;&gt;""),"ГОТОВО","НЕ ГОТОВО"))</f>
        <v/>
      </c>
      <c r="BE553" s="205">
        <f>IF(BD553&lt;&gt;"ГОТОВО","","Полное заключение: "&amp;A553&amp;", скв. "&amp;B553&amp;". МРП: "&amp;E553&amp;" сут. ГНО: "&amp;F553&amp;"; причина: "&amp;U553&amp;"; категория: "&amp;V553&amp;"; решение комиссии: "&amp;BB553&amp;".")</f>
        <v/>
      </c>
      <c r="BF553" s="173">
        <f>IF('Оперативный ввод'!X553="","",'Оперативный ввод'!X553)</f>
        <v/>
      </c>
    </row>
    <row r="554">
      <c r="A554" s="171">
        <f>IF('Оперативный ввод'!A554="","",'Оперативный ввод'!A554)</f>
        <v/>
      </c>
      <c r="B554" s="172">
        <f>IF('Оперативный ввод'!B554="","",'Оперативный ввод'!B554)</f>
        <v/>
      </c>
      <c r="C554" s="270">
        <f>IF('Оперативный ввод'!C554="","",'Оперативный ввод'!C554)</f>
        <v/>
      </c>
      <c r="D554" s="270">
        <f>IF('Оперативный ввод'!D554="","",'Оперативный ввод'!D554)</f>
        <v/>
      </c>
      <c r="E554" s="271">
        <f>IF(OR(C554="",D554=""),"",D554-C554)</f>
        <v/>
      </c>
      <c r="F554" s="172">
        <f>IF('Оперативный ввод'!F554="","",'Оперативный ввод'!F554)</f>
        <v/>
      </c>
      <c r="G554" s="172">
        <f>IF('Оперативный ввод'!G554="","",'Оперативный ввод'!G554)</f>
        <v/>
      </c>
      <c r="H554" s="172">
        <f>IF('Оперативный ввод'!H554="","",'Оперативный ввод'!H554)</f>
        <v/>
      </c>
      <c r="I554" s="172">
        <f>IF('Оперативный ввод'!I554="","",'Оперативный ввод'!I554)</f>
        <v/>
      </c>
      <c r="J554" s="172">
        <f>IF('Оперативный ввод'!J554="","",'Оперативный ввод'!J554)</f>
        <v/>
      </c>
      <c r="K554" s="172">
        <f>IF('Оперативный ввод'!K554="","",'Оперативный ввод'!K554)</f>
        <v/>
      </c>
      <c r="L554" s="172">
        <f>IF('Оперативный ввод'!L554="","",'Оперативный ввод'!L554)</f>
        <v/>
      </c>
      <c r="M554" s="172">
        <f>IF('Оперативный ввод'!M554="","",'Оперативный ввод'!M554)</f>
        <v/>
      </c>
      <c r="N554" s="172">
        <f>IF('Оперативный ввод'!N554="","",'Оперативный ввод'!N554)</f>
        <v/>
      </c>
      <c r="O554" s="172">
        <f>IF('Оперативный ввод'!O554="","",'Оперативный ввод'!O554)</f>
        <v/>
      </c>
      <c r="P554" s="205">
        <f>IF(AND(A554="",B554=""),"",IF(AND(A554&lt;&gt;"",B554&lt;&gt;"",C554&lt;&gt;"",D554&lt;&gt;"",F554&lt;&gt;"",G554&lt;&gt;"",H554&lt;&gt;"",ISERROR(SEARCH("по паспорту",G554)),ISERROR(SEARCH("по паспорту",H554)),I554&lt;&gt;"",J554&lt;&gt;"",K554&lt;&gt;"",L554&lt;&gt;"",M554&lt;&gt;""),"ГОТОВО","НЕ ГОТОВО"))</f>
        <v/>
      </c>
      <c r="Q554" s="205">
        <f>IF(P554&lt;&gt;"ГОТОВО","", "Предварительное заключение: "&amp;A554&amp;", скв. "&amp;B554&amp;". МРП: "&amp;E554&amp;" сут. ГНО: "&amp;F554&amp;", типоразмер "&amp;G554&amp;", марка "&amp;H554&amp;". Событие: "&amp;I554&amp;". Признак: "&amp;J554&amp;". Узел: "&amp;K554&amp;". Предварительная причина: "&amp;L554&amp;". Основное осложнение: "&amp;M554&amp;IF(N554&lt;&gt;"","; сопутствующее: "&amp;N554,"")&amp;IF(O554&lt;&gt;"","; дополнительно: "&amp;O554,"")&amp;".")</f>
        <v/>
      </c>
      <c r="R554" s="172">
        <f>IF('Оперативный ввод'!P554="","",'Оперативный ввод'!P554)</f>
        <v/>
      </c>
      <c r="S554" s="172">
        <f>IF('Оперативный ввод'!Q554="","",'Оперативный ввод'!Q554)</f>
        <v/>
      </c>
      <c r="T554" s="172">
        <f>IF('Оперативный ввод'!R554="","",'Оперативный ввод'!R554)</f>
        <v/>
      </c>
      <c r="U554" s="172">
        <f>IF('Оперативный ввод'!S554="","",'Оперативный ввод'!S554)</f>
        <v/>
      </c>
      <c r="V554" s="172">
        <f>IF('Оперативный ввод'!T554="","",'Оперативный ввод'!T554)</f>
        <v/>
      </c>
      <c r="W554" s="172" t="n"/>
      <c r="X554" s="172" t="n"/>
      <c r="Y554" s="172" t="n"/>
      <c r="Z554" s="172" t="n"/>
      <c r="AA554" s="172">
        <f>IF('Оперативный ввод'!U554="","",'Оперативный ввод'!U554)</f>
        <v/>
      </c>
      <c r="AB554" s="172">
        <f>IF('Оперативный ввод'!V554="","",'Оперативный ввод'!V554)</f>
        <v/>
      </c>
      <c r="AC554" s="172">
        <f>IF('Оперативный ввод'!W554="","",'Оперативный ввод'!W554)</f>
        <v/>
      </c>
      <c r="BB554" s="172" t="n"/>
      <c r="BC554" s="172" t="n"/>
      <c r="BD554" s="205">
        <f>IF(AND(A554="",B554=""),"",IF(AND(P554="ГОТОВО",R554&lt;&gt;"",T554&lt;&gt;"",U554&lt;&gt;"",AA554&lt;&gt;"",AB554&lt;&gt;"",AC554&lt;&gt;"",BB554&lt;&gt;"",BC554&lt;&gt;""),"ГОТОВО","НЕ ГОТОВО"))</f>
        <v/>
      </c>
      <c r="BE554" s="205">
        <f>IF(BD554&lt;&gt;"ГОТОВО","","Полное заключение: "&amp;A554&amp;", скв. "&amp;B554&amp;". МРП: "&amp;E554&amp;" сут. ГНО: "&amp;F554&amp;"; причина: "&amp;U554&amp;"; категория: "&amp;V554&amp;"; решение комиссии: "&amp;BB554&amp;".")</f>
        <v/>
      </c>
      <c r="BF554" s="173">
        <f>IF('Оперативный ввод'!X554="","",'Оперативный ввод'!X554)</f>
        <v/>
      </c>
    </row>
    <row r="555">
      <c r="A555" s="171">
        <f>IF('Оперативный ввод'!A555="","",'Оперативный ввод'!A555)</f>
        <v/>
      </c>
      <c r="B555" s="172">
        <f>IF('Оперативный ввод'!B555="","",'Оперативный ввод'!B555)</f>
        <v/>
      </c>
      <c r="C555" s="270">
        <f>IF('Оперативный ввод'!C555="","",'Оперативный ввод'!C555)</f>
        <v/>
      </c>
      <c r="D555" s="270">
        <f>IF('Оперативный ввод'!D555="","",'Оперативный ввод'!D555)</f>
        <v/>
      </c>
      <c r="E555" s="271">
        <f>IF(OR(C555="",D555=""),"",D555-C555)</f>
        <v/>
      </c>
      <c r="F555" s="172">
        <f>IF('Оперативный ввод'!F555="","",'Оперативный ввод'!F555)</f>
        <v/>
      </c>
      <c r="G555" s="172">
        <f>IF('Оперативный ввод'!G555="","",'Оперативный ввод'!G555)</f>
        <v/>
      </c>
      <c r="H555" s="172">
        <f>IF('Оперативный ввод'!H555="","",'Оперативный ввод'!H555)</f>
        <v/>
      </c>
      <c r="I555" s="172">
        <f>IF('Оперативный ввод'!I555="","",'Оперативный ввод'!I555)</f>
        <v/>
      </c>
      <c r="J555" s="172">
        <f>IF('Оперативный ввод'!J555="","",'Оперативный ввод'!J555)</f>
        <v/>
      </c>
      <c r="K555" s="172">
        <f>IF('Оперативный ввод'!K555="","",'Оперативный ввод'!K555)</f>
        <v/>
      </c>
      <c r="L555" s="172">
        <f>IF('Оперативный ввод'!L555="","",'Оперативный ввод'!L555)</f>
        <v/>
      </c>
      <c r="M555" s="172">
        <f>IF('Оперативный ввод'!M555="","",'Оперативный ввод'!M555)</f>
        <v/>
      </c>
      <c r="N555" s="172">
        <f>IF('Оперативный ввод'!N555="","",'Оперативный ввод'!N555)</f>
        <v/>
      </c>
      <c r="O555" s="172">
        <f>IF('Оперативный ввод'!O555="","",'Оперативный ввод'!O555)</f>
        <v/>
      </c>
      <c r="P555" s="205">
        <f>IF(AND(A555="",B555=""),"",IF(AND(A555&lt;&gt;"",B555&lt;&gt;"",C555&lt;&gt;"",D555&lt;&gt;"",F555&lt;&gt;"",G555&lt;&gt;"",H555&lt;&gt;"",ISERROR(SEARCH("по паспорту",G555)),ISERROR(SEARCH("по паспорту",H555)),I555&lt;&gt;"",J555&lt;&gt;"",K555&lt;&gt;"",L555&lt;&gt;"",M555&lt;&gt;""),"ГОТОВО","НЕ ГОТОВО"))</f>
        <v/>
      </c>
      <c r="Q555" s="205">
        <f>IF(P555&lt;&gt;"ГОТОВО","", "Предварительное заключение: "&amp;A555&amp;", скв. "&amp;B555&amp;". МРП: "&amp;E555&amp;" сут. ГНО: "&amp;F555&amp;", типоразмер "&amp;G555&amp;", марка "&amp;H555&amp;". Событие: "&amp;I555&amp;". Признак: "&amp;J555&amp;". Узел: "&amp;K555&amp;". Предварительная причина: "&amp;L555&amp;". Основное осложнение: "&amp;M555&amp;IF(N555&lt;&gt;"","; сопутствующее: "&amp;N555,"")&amp;IF(O555&lt;&gt;"","; дополнительно: "&amp;O555,"")&amp;".")</f>
        <v/>
      </c>
      <c r="R555" s="172">
        <f>IF('Оперативный ввод'!P555="","",'Оперативный ввод'!P555)</f>
        <v/>
      </c>
      <c r="S555" s="172">
        <f>IF('Оперативный ввод'!Q555="","",'Оперативный ввод'!Q555)</f>
        <v/>
      </c>
      <c r="T555" s="172">
        <f>IF('Оперативный ввод'!R555="","",'Оперативный ввод'!R555)</f>
        <v/>
      </c>
      <c r="U555" s="172">
        <f>IF('Оперативный ввод'!S555="","",'Оперативный ввод'!S555)</f>
        <v/>
      </c>
      <c r="V555" s="172">
        <f>IF('Оперативный ввод'!T555="","",'Оперативный ввод'!T555)</f>
        <v/>
      </c>
      <c r="W555" s="172" t="n"/>
      <c r="X555" s="172" t="n"/>
      <c r="Y555" s="172" t="n"/>
      <c r="Z555" s="172" t="n"/>
      <c r="AA555" s="172">
        <f>IF('Оперативный ввод'!U555="","",'Оперативный ввод'!U555)</f>
        <v/>
      </c>
      <c r="AB555" s="172">
        <f>IF('Оперативный ввод'!V555="","",'Оперативный ввод'!V555)</f>
        <v/>
      </c>
      <c r="AC555" s="172">
        <f>IF('Оперативный ввод'!W555="","",'Оперативный ввод'!W555)</f>
        <v/>
      </c>
      <c r="BB555" s="172" t="n"/>
      <c r="BC555" s="172" t="n"/>
      <c r="BD555" s="205">
        <f>IF(AND(A555="",B555=""),"",IF(AND(P555="ГОТОВО",R555&lt;&gt;"",T555&lt;&gt;"",U555&lt;&gt;"",AA555&lt;&gt;"",AB555&lt;&gt;"",AC555&lt;&gt;"",BB555&lt;&gt;"",BC555&lt;&gt;""),"ГОТОВО","НЕ ГОТОВО"))</f>
        <v/>
      </c>
      <c r="BE555" s="205">
        <f>IF(BD555&lt;&gt;"ГОТОВО","","Полное заключение: "&amp;A555&amp;", скв. "&amp;B555&amp;". МРП: "&amp;E555&amp;" сут. ГНО: "&amp;F555&amp;"; причина: "&amp;U555&amp;"; категория: "&amp;V555&amp;"; решение комиссии: "&amp;BB555&amp;".")</f>
        <v/>
      </c>
      <c r="BF555" s="173">
        <f>IF('Оперативный ввод'!X555="","",'Оперативный ввод'!X555)</f>
        <v/>
      </c>
    </row>
    <row r="556">
      <c r="A556" s="171">
        <f>IF('Оперативный ввод'!A556="","",'Оперативный ввод'!A556)</f>
        <v/>
      </c>
      <c r="B556" s="172">
        <f>IF('Оперативный ввод'!B556="","",'Оперативный ввод'!B556)</f>
        <v/>
      </c>
      <c r="C556" s="270">
        <f>IF('Оперативный ввод'!C556="","",'Оперативный ввод'!C556)</f>
        <v/>
      </c>
      <c r="D556" s="270">
        <f>IF('Оперативный ввод'!D556="","",'Оперативный ввод'!D556)</f>
        <v/>
      </c>
      <c r="E556" s="271">
        <f>IF(OR(C556="",D556=""),"",D556-C556)</f>
        <v/>
      </c>
      <c r="F556" s="172">
        <f>IF('Оперативный ввод'!F556="","",'Оперативный ввод'!F556)</f>
        <v/>
      </c>
      <c r="G556" s="172">
        <f>IF('Оперативный ввод'!G556="","",'Оперативный ввод'!G556)</f>
        <v/>
      </c>
      <c r="H556" s="172">
        <f>IF('Оперативный ввод'!H556="","",'Оперативный ввод'!H556)</f>
        <v/>
      </c>
      <c r="I556" s="172">
        <f>IF('Оперативный ввод'!I556="","",'Оперативный ввод'!I556)</f>
        <v/>
      </c>
      <c r="J556" s="172">
        <f>IF('Оперативный ввод'!J556="","",'Оперативный ввод'!J556)</f>
        <v/>
      </c>
      <c r="K556" s="172">
        <f>IF('Оперативный ввод'!K556="","",'Оперативный ввод'!K556)</f>
        <v/>
      </c>
      <c r="L556" s="172">
        <f>IF('Оперативный ввод'!L556="","",'Оперативный ввод'!L556)</f>
        <v/>
      </c>
      <c r="M556" s="172">
        <f>IF('Оперативный ввод'!M556="","",'Оперативный ввод'!M556)</f>
        <v/>
      </c>
      <c r="N556" s="172">
        <f>IF('Оперативный ввод'!N556="","",'Оперативный ввод'!N556)</f>
        <v/>
      </c>
      <c r="O556" s="172">
        <f>IF('Оперативный ввод'!O556="","",'Оперативный ввод'!O556)</f>
        <v/>
      </c>
      <c r="P556" s="205">
        <f>IF(AND(A556="",B556=""),"",IF(AND(A556&lt;&gt;"",B556&lt;&gt;"",C556&lt;&gt;"",D556&lt;&gt;"",F556&lt;&gt;"",G556&lt;&gt;"",H556&lt;&gt;"",ISERROR(SEARCH("по паспорту",G556)),ISERROR(SEARCH("по паспорту",H556)),I556&lt;&gt;"",J556&lt;&gt;"",K556&lt;&gt;"",L556&lt;&gt;"",M556&lt;&gt;""),"ГОТОВО","НЕ ГОТОВО"))</f>
        <v/>
      </c>
      <c r="Q556" s="205">
        <f>IF(P556&lt;&gt;"ГОТОВО","", "Предварительное заключение: "&amp;A556&amp;", скв. "&amp;B556&amp;". МРП: "&amp;E556&amp;" сут. ГНО: "&amp;F556&amp;", типоразмер "&amp;G556&amp;", марка "&amp;H556&amp;". Событие: "&amp;I556&amp;". Признак: "&amp;J556&amp;". Узел: "&amp;K556&amp;". Предварительная причина: "&amp;L556&amp;". Основное осложнение: "&amp;M556&amp;IF(N556&lt;&gt;"","; сопутствующее: "&amp;N556,"")&amp;IF(O556&lt;&gt;"","; дополнительно: "&amp;O556,"")&amp;".")</f>
        <v/>
      </c>
      <c r="R556" s="172">
        <f>IF('Оперативный ввод'!P556="","",'Оперативный ввод'!P556)</f>
        <v/>
      </c>
      <c r="S556" s="172">
        <f>IF('Оперативный ввод'!Q556="","",'Оперативный ввод'!Q556)</f>
        <v/>
      </c>
      <c r="T556" s="172">
        <f>IF('Оперативный ввод'!R556="","",'Оперативный ввод'!R556)</f>
        <v/>
      </c>
      <c r="U556" s="172">
        <f>IF('Оперативный ввод'!S556="","",'Оперативный ввод'!S556)</f>
        <v/>
      </c>
      <c r="V556" s="172">
        <f>IF('Оперативный ввод'!T556="","",'Оперативный ввод'!T556)</f>
        <v/>
      </c>
      <c r="W556" s="172" t="n"/>
      <c r="X556" s="172" t="n"/>
      <c r="Y556" s="172" t="n"/>
      <c r="Z556" s="172" t="n"/>
      <c r="AA556" s="172">
        <f>IF('Оперативный ввод'!U556="","",'Оперативный ввод'!U556)</f>
        <v/>
      </c>
      <c r="AB556" s="172">
        <f>IF('Оперативный ввод'!V556="","",'Оперативный ввод'!V556)</f>
        <v/>
      </c>
      <c r="AC556" s="172">
        <f>IF('Оперативный ввод'!W556="","",'Оперативный ввод'!W556)</f>
        <v/>
      </c>
      <c r="BB556" s="172" t="n"/>
      <c r="BC556" s="172" t="n"/>
      <c r="BD556" s="205">
        <f>IF(AND(A556="",B556=""),"",IF(AND(P556="ГОТОВО",R556&lt;&gt;"",T556&lt;&gt;"",U556&lt;&gt;"",AA556&lt;&gt;"",AB556&lt;&gt;"",AC556&lt;&gt;"",BB556&lt;&gt;"",BC556&lt;&gt;""),"ГОТОВО","НЕ ГОТОВО"))</f>
        <v/>
      </c>
      <c r="BE556" s="205">
        <f>IF(BD556&lt;&gt;"ГОТОВО","","Полное заключение: "&amp;A556&amp;", скв. "&amp;B556&amp;". МРП: "&amp;E556&amp;" сут. ГНО: "&amp;F556&amp;"; причина: "&amp;U556&amp;"; категория: "&amp;V556&amp;"; решение комиссии: "&amp;BB556&amp;".")</f>
        <v/>
      </c>
      <c r="BF556" s="173">
        <f>IF('Оперативный ввод'!X556="","",'Оперативный ввод'!X556)</f>
        <v/>
      </c>
    </row>
    <row r="557">
      <c r="A557" s="171">
        <f>IF('Оперативный ввод'!A557="","",'Оперативный ввод'!A557)</f>
        <v/>
      </c>
      <c r="B557" s="172">
        <f>IF('Оперативный ввод'!B557="","",'Оперативный ввод'!B557)</f>
        <v/>
      </c>
      <c r="C557" s="270">
        <f>IF('Оперативный ввод'!C557="","",'Оперативный ввод'!C557)</f>
        <v/>
      </c>
      <c r="D557" s="270">
        <f>IF('Оперативный ввод'!D557="","",'Оперативный ввод'!D557)</f>
        <v/>
      </c>
      <c r="E557" s="271">
        <f>IF(OR(C557="",D557=""),"",D557-C557)</f>
        <v/>
      </c>
      <c r="F557" s="172">
        <f>IF('Оперативный ввод'!F557="","",'Оперативный ввод'!F557)</f>
        <v/>
      </c>
      <c r="G557" s="172">
        <f>IF('Оперативный ввод'!G557="","",'Оперативный ввод'!G557)</f>
        <v/>
      </c>
      <c r="H557" s="172">
        <f>IF('Оперативный ввод'!H557="","",'Оперативный ввод'!H557)</f>
        <v/>
      </c>
      <c r="I557" s="172">
        <f>IF('Оперативный ввод'!I557="","",'Оперативный ввод'!I557)</f>
        <v/>
      </c>
      <c r="J557" s="172">
        <f>IF('Оперативный ввод'!J557="","",'Оперативный ввод'!J557)</f>
        <v/>
      </c>
      <c r="K557" s="172">
        <f>IF('Оперативный ввод'!K557="","",'Оперативный ввод'!K557)</f>
        <v/>
      </c>
      <c r="L557" s="172">
        <f>IF('Оперативный ввод'!L557="","",'Оперативный ввод'!L557)</f>
        <v/>
      </c>
      <c r="M557" s="172">
        <f>IF('Оперативный ввод'!M557="","",'Оперативный ввод'!M557)</f>
        <v/>
      </c>
      <c r="N557" s="172">
        <f>IF('Оперативный ввод'!N557="","",'Оперативный ввод'!N557)</f>
        <v/>
      </c>
      <c r="O557" s="172">
        <f>IF('Оперативный ввод'!O557="","",'Оперативный ввод'!O557)</f>
        <v/>
      </c>
      <c r="P557" s="205">
        <f>IF(AND(A557="",B557=""),"",IF(AND(A557&lt;&gt;"",B557&lt;&gt;"",C557&lt;&gt;"",D557&lt;&gt;"",F557&lt;&gt;"",G557&lt;&gt;"",H557&lt;&gt;"",ISERROR(SEARCH("по паспорту",G557)),ISERROR(SEARCH("по паспорту",H557)),I557&lt;&gt;"",J557&lt;&gt;"",K557&lt;&gt;"",L557&lt;&gt;"",M557&lt;&gt;""),"ГОТОВО","НЕ ГОТОВО"))</f>
        <v/>
      </c>
      <c r="Q557" s="205">
        <f>IF(P557&lt;&gt;"ГОТОВО","", "Предварительное заключение: "&amp;A557&amp;", скв. "&amp;B557&amp;". МРП: "&amp;E557&amp;" сут. ГНО: "&amp;F557&amp;", типоразмер "&amp;G557&amp;", марка "&amp;H557&amp;". Событие: "&amp;I557&amp;". Признак: "&amp;J557&amp;". Узел: "&amp;K557&amp;". Предварительная причина: "&amp;L557&amp;". Основное осложнение: "&amp;M557&amp;IF(N557&lt;&gt;"","; сопутствующее: "&amp;N557,"")&amp;IF(O557&lt;&gt;"","; дополнительно: "&amp;O557,"")&amp;".")</f>
        <v/>
      </c>
      <c r="R557" s="172">
        <f>IF('Оперативный ввод'!P557="","",'Оперативный ввод'!P557)</f>
        <v/>
      </c>
      <c r="S557" s="172">
        <f>IF('Оперативный ввод'!Q557="","",'Оперативный ввод'!Q557)</f>
        <v/>
      </c>
      <c r="T557" s="172">
        <f>IF('Оперативный ввод'!R557="","",'Оперативный ввод'!R557)</f>
        <v/>
      </c>
      <c r="U557" s="172">
        <f>IF('Оперативный ввод'!S557="","",'Оперативный ввод'!S557)</f>
        <v/>
      </c>
      <c r="V557" s="172">
        <f>IF('Оперативный ввод'!T557="","",'Оперативный ввод'!T557)</f>
        <v/>
      </c>
      <c r="W557" s="172" t="n"/>
      <c r="X557" s="172" t="n"/>
      <c r="Y557" s="172" t="n"/>
      <c r="Z557" s="172" t="n"/>
      <c r="AA557" s="172">
        <f>IF('Оперативный ввод'!U557="","",'Оперативный ввод'!U557)</f>
        <v/>
      </c>
      <c r="AB557" s="172">
        <f>IF('Оперативный ввод'!V557="","",'Оперативный ввод'!V557)</f>
        <v/>
      </c>
      <c r="AC557" s="172">
        <f>IF('Оперативный ввод'!W557="","",'Оперативный ввод'!W557)</f>
        <v/>
      </c>
      <c r="BB557" s="172" t="n"/>
      <c r="BC557" s="172" t="n"/>
      <c r="BD557" s="205">
        <f>IF(AND(A557="",B557=""),"",IF(AND(P557="ГОТОВО",R557&lt;&gt;"",T557&lt;&gt;"",U557&lt;&gt;"",AA557&lt;&gt;"",AB557&lt;&gt;"",AC557&lt;&gt;"",BB557&lt;&gt;"",BC557&lt;&gt;""),"ГОТОВО","НЕ ГОТОВО"))</f>
        <v/>
      </c>
      <c r="BE557" s="205">
        <f>IF(BD557&lt;&gt;"ГОТОВО","","Полное заключение: "&amp;A557&amp;", скв. "&amp;B557&amp;". МРП: "&amp;E557&amp;" сут. ГНО: "&amp;F557&amp;"; причина: "&amp;U557&amp;"; категория: "&amp;V557&amp;"; решение комиссии: "&amp;BB557&amp;".")</f>
        <v/>
      </c>
      <c r="BF557" s="173">
        <f>IF('Оперативный ввод'!X557="","",'Оперативный ввод'!X557)</f>
        <v/>
      </c>
    </row>
    <row r="558">
      <c r="A558" s="171">
        <f>IF('Оперативный ввод'!A558="","",'Оперативный ввод'!A558)</f>
        <v/>
      </c>
      <c r="B558" s="172">
        <f>IF('Оперативный ввод'!B558="","",'Оперативный ввод'!B558)</f>
        <v/>
      </c>
      <c r="C558" s="270">
        <f>IF('Оперативный ввод'!C558="","",'Оперативный ввод'!C558)</f>
        <v/>
      </c>
      <c r="D558" s="270">
        <f>IF('Оперативный ввод'!D558="","",'Оперативный ввод'!D558)</f>
        <v/>
      </c>
      <c r="E558" s="271">
        <f>IF(OR(C558="",D558=""),"",D558-C558)</f>
        <v/>
      </c>
      <c r="F558" s="172">
        <f>IF('Оперативный ввод'!F558="","",'Оперативный ввод'!F558)</f>
        <v/>
      </c>
      <c r="G558" s="172">
        <f>IF('Оперативный ввод'!G558="","",'Оперативный ввод'!G558)</f>
        <v/>
      </c>
      <c r="H558" s="172">
        <f>IF('Оперативный ввод'!H558="","",'Оперативный ввод'!H558)</f>
        <v/>
      </c>
      <c r="I558" s="172">
        <f>IF('Оперативный ввод'!I558="","",'Оперативный ввод'!I558)</f>
        <v/>
      </c>
      <c r="J558" s="172">
        <f>IF('Оперативный ввод'!J558="","",'Оперативный ввод'!J558)</f>
        <v/>
      </c>
      <c r="K558" s="172">
        <f>IF('Оперативный ввод'!K558="","",'Оперативный ввод'!K558)</f>
        <v/>
      </c>
      <c r="L558" s="172">
        <f>IF('Оперативный ввод'!L558="","",'Оперативный ввод'!L558)</f>
        <v/>
      </c>
      <c r="M558" s="172">
        <f>IF('Оперативный ввод'!M558="","",'Оперативный ввод'!M558)</f>
        <v/>
      </c>
      <c r="N558" s="172">
        <f>IF('Оперативный ввод'!N558="","",'Оперативный ввод'!N558)</f>
        <v/>
      </c>
      <c r="O558" s="172">
        <f>IF('Оперативный ввод'!O558="","",'Оперативный ввод'!O558)</f>
        <v/>
      </c>
      <c r="P558" s="205">
        <f>IF(AND(A558="",B558=""),"",IF(AND(A558&lt;&gt;"",B558&lt;&gt;"",C558&lt;&gt;"",D558&lt;&gt;"",F558&lt;&gt;"",G558&lt;&gt;"",H558&lt;&gt;"",ISERROR(SEARCH("по паспорту",G558)),ISERROR(SEARCH("по паспорту",H558)),I558&lt;&gt;"",J558&lt;&gt;"",K558&lt;&gt;"",L558&lt;&gt;"",M558&lt;&gt;""),"ГОТОВО","НЕ ГОТОВО"))</f>
        <v/>
      </c>
      <c r="Q558" s="205">
        <f>IF(P558&lt;&gt;"ГОТОВО","", "Предварительное заключение: "&amp;A558&amp;", скв. "&amp;B558&amp;". МРП: "&amp;E558&amp;" сут. ГНО: "&amp;F558&amp;", типоразмер "&amp;G558&amp;", марка "&amp;H558&amp;". Событие: "&amp;I558&amp;". Признак: "&amp;J558&amp;". Узел: "&amp;K558&amp;". Предварительная причина: "&amp;L558&amp;". Основное осложнение: "&amp;M558&amp;IF(N558&lt;&gt;"","; сопутствующее: "&amp;N558,"")&amp;IF(O558&lt;&gt;"","; дополнительно: "&amp;O558,"")&amp;".")</f>
        <v/>
      </c>
      <c r="R558" s="172">
        <f>IF('Оперативный ввод'!P558="","",'Оперативный ввод'!P558)</f>
        <v/>
      </c>
      <c r="S558" s="172">
        <f>IF('Оперативный ввод'!Q558="","",'Оперативный ввод'!Q558)</f>
        <v/>
      </c>
      <c r="T558" s="172">
        <f>IF('Оперативный ввод'!R558="","",'Оперативный ввод'!R558)</f>
        <v/>
      </c>
      <c r="U558" s="172">
        <f>IF('Оперативный ввод'!S558="","",'Оперативный ввод'!S558)</f>
        <v/>
      </c>
      <c r="V558" s="172">
        <f>IF('Оперативный ввод'!T558="","",'Оперативный ввод'!T558)</f>
        <v/>
      </c>
      <c r="W558" s="172" t="n"/>
      <c r="X558" s="172" t="n"/>
      <c r="Y558" s="172" t="n"/>
      <c r="Z558" s="172" t="n"/>
      <c r="AA558" s="172">
        <f>IF('Оперативный ввод'!U558="","",'Оперативный ввод'!U558)</f>
        <v/>
      </c>
      <c r="AB558" s="172">
        <f>IF('Оперативный ввод'!V558="","",'Оперативный ввод'!V558)</f>
        <v/>
      </c>
      <c r="AC558" s="172">
        <f>IF('Оперативный ввод'!W558="","",'Оперативный ввод'!W558)</f>
        <v/>
      </c>
      <c r="BB558" s="172" t="n"/>
      <c r="BC558" s="172" t="n"/>
      <c r="BD558" s="205">
        <f>IF(AND(A558="",B558=""),"",IF(AND(P558="ГОТОВО",R558&lt;&gt;"",T558&lt;&gt;"",U558&lt;&gt;"",AA558&lt;&gt;"",AB558&lt;&gt;"",AC558&lt;&gt;"",BB558&lt;&gt;"",BC558&lt;&gt;""),"ГОТОВО","НЕ ГОТОВО"))</f>
        <v/>
      </c>
      <c r="BE558" s="205">
        <f>IF(BD558&lt;&gt;"ГОТОВО","","Полное заключение: "&amp;A558&amp;", скв. "&amp;B558&amp;". МРП: "&amp;E558&amp;" сут. ГНО: "&amp;F558&amp;"; причина: "&amp;U558&amp;"; категория: "&amp;V558&amp;"; решение комиссии: "&amp;BB558&amp;".")</f>
        <v/>
      </c>
      <c r="BF558" s="173">
        <f>IF('Оперативный ввод'!X558="","",'Оперативный ввод'!X558)</f>
        <v/>
      </c>
    </row>
    <row r="559">
      <c r="A559" s="171">
        <f>IF('Оперативный ввод'!A559="","",'Оперативный ввод'!A559)</f>
        <v/>
      </c>
      <c r="B559" s="172">
        <f>IF('Оперативный ввод'!B559="","",'Оперативный ввод'!B559)</f>
        <v/>
      </c>
      <c r="C559" s="270">
        <f>IF('Оперативный ввод'!C559="","",'Оперативный ввод'!C559)</f>
        <v/>
      </c>
      <c r="D559" s="270">
        <f>IF('Оперативный ввод'!D559="","",'Оперативный ввод'!D559)</f>
        <v/>
      </c>
      <c r="E559" s="271">
        <f>IF(OR(C559="",D559=""),"",D559-C559)</f>
        <v/>
      </c>
      <c r="F559" s="172">
        <f>IF('Оперативный ввод'!F559="","",'Оперативный ввод'!F559)</f>
        <v/>
      </c>
      <c r="G559" s="172">
        <f>IF('Оперативный ввод'!G559="","",'Оперативный ввод'!G559)</f>
        <v/>
      </c>
      <c r="H559" s="172">
        <f>IF('Оперативный ввод'!H559="","",'Оперативный ввод'!H559)</f>
        <v/>
      </c>
      <c r="I559" s="172">
        <f>IF('Оперативный ввод'!I559="","",'Оперативный ввод'!I559)</f>
        <v/>
      </c>
      <c r="J559" s="172">
        <f>IF('Оперативный ввод'!J559="","",'Оперативный ввод'!J559)</f>
        <v/>
      </c>
      <c r="K559" s="172">
        <f>IF('Оперативный ввод'!K559="","",'Оперативный ввод'!K559)</f>
        <v/>
      </c>
      <c r="L559" s="172">
        <f>IF('Оперативный ввод'!L559="","",'Оперативный ввод'!L559)</f>
        <v/>
      </c>
      <c r="M559" s="172">
        <f>IF('Оперативный ввод'!M559="","",'Оперативный ввод'!M559)</f>
        <v/>
      </c>
      <c r="N559" s="172">
        <f>IF('Оперативный ввод'!N559="","",'Оперативный ввод'!N559)</f>
        <v/>
      </c>
      <c r="O559" s="172">
        <f>IF('Оперативный ввод'!O559="","",'Оперативный ввод'!O559)</f>
        <v/>
      </c>
      <c r="P559" s="205">
        <f>IF(AND(A559="",B559=""),"",IF(AND(A559&lt;&gt;"",B559&lt;&gt;"",C559&lt;&gt;"",D559&lt;&gt;"",F559&lt;&gt;"",G559&lt;&gt;"",H559&lt;&gt;"",ISERROR(SEARCH("по паспорту",G559)),ISERROR(SEARCH("по паспорту",H559)),I559&lt;&gt;"",J559&lt;&gt;"",K559&lt;&gt;"",L559&lt;&gt;"",M559&lt;&gt;""),"ГОТОВО","НЕ ГОТОВО"))</f>
        <v/>
      </c>
      <c r="Q559" s="205">
        <f>IF(P559&lt;&gt;"ГОТОВО","", "Предварительное заключение: "&amp;A559&amp;", скв. "&amp;B559&amp;". МРП: "&amp;E559&amp;" сут. ГНО: "&amp;F559&amp;", типоразмер "&amp;G559&amp;", марка "&amp;H559&amp;". Событие: "&amp;I559&amp;". Признак: "&amp;J559&amp;". Узел: "&amp;K559&amp;". Предварительная причина: "&amp;L559&amp;". Основное осложнение: "&amp;M559&amp;IF(N559&lt;&gt;"","; сопутствующее: "&amp;N559,"")&amp;IF(O559&lt;&gt;"","; дополнительно: "&amp;O559,"")&amp;".")</f>
        <v/>
      </c>
      <c r="R559" s="172">
        <f>IF('Оперативный ввод'!P559="","",'Оперативный ввод'!P559)</f>
        <v/>
      </c>
      <c r="S559" s="172">
        <f>IF('Оперативный ввод'!Q559="","",'Оперативный ввод'!Q559)</f>
        <v/>
      </c>
      <c r="T559" s="172">
        <f>IF('Оперативный ввод'!R559="","",'Оперативный ввод'!R559)</f>
        <v/>
      </c>
      <c r="U559" s="172">
        <f>IF('Оперативный ввод'!S559="","",'Оперативный ввод'!S559)</f>
        <v/>
      </c>
      <c r="V559" s="172">
        <f>IF('Оперативный ввод'!T559="","",'Оперативный ввод'!T559)</f>
        <v/>
      </c>
      <c r="W559" s="172" t="n"/>
      <c r="X559" s="172" t="n"/>
      <c r="Y559" s="172" t="n"/>
      <c r="Z559" s="172" t="n"/>
      <c r="AA559" s="172">
        <f>IF('Оперативный ввод'!U559="","",'Оперативный ввод'!U559)</f>
        <v/>
      </c>
      <c r="AB559" s="172">
        <f>IF('Оперативный ввод'!V559="","",'Оперативный ввод'!V559)</f>
        <v/>
      </c>
      <c r="AC559" s="172">
        <f>IF('Оперативный ввод'!W559="","",'Оперативный ввод'!W559)</f>
        <v/>
      </c>
      <c r="BB559" s="172" t="n"/>
      <c r="BC559" s="172" t="n"/>
      <c r="BD559" s="205">
        <f>IF(AND(A559="",B559=""),"",IF(AND(P559="ГОТОВО",R559&lt;&gt;"",T559&lt;&gt;"",U559&lt;&gt;"",AA559&lt;&gt;"",AB559&lt;&gt;"",AC559&lt;&gt;"",BB559&lt;&gt;"",BC559&lt;&gt;""),"ГОТОВО","НЕ ГОТОВО"))</f>
        <v/>
      </c>
      <c r="BE559" s="205">
        <f>IF(BD559&lt;&gt;"ГОТОВО","","Полное заключение: "&amp;A559&amp;", скв. "&amp;B559&amp;". МРП: "&amp;E559&amp;" сут. ГНО: "&amp;F559&amp;"; причина: "&amp;U559&amp;"; категория: "&amp;V559&amp;"; решение комиссии: "&amp;BB559&amp;".")</f>
        <v/>
      </c>
      <c r="BF559" s="173">
        <f>IF('Оперативный ввод'!X559="","",'Оперативный ввод'!X559)</f>
        <v/>
      </c>
    </row>
    <row r="560">
      <c r="A560" s="171">
        <f>IF('Оперативный ввод'!A560="","",'Оперативный ввод'!A560)</f>
        <v/>
      </c>
      <c r="B560" s="172">
        <f>IF('Оперативный ввод'!B560="","",'Оперативный ввод'!B560)</f>
        <v/>
      </c>
      <c r="C560" s="270">
        <f>IF('Оперативный ввод'!C560="","",'Оперативный ввод'!C560)</f>
        <v/>
      </c>
      <c r="D560" s="270">
        <f>IF('Оперативный ввод'!D560="","",'Оперативный ввод'!D560)</f>
        <v/>
      </c>
      <c r="E560" s="271">
        <f>IF(OR(C560="",D560=""),"",D560-C560)</f>
        <v/>
      </c>
      <c r="F560" s="172">
        <f>IF('Оперативный ввод'!F560="","",'Оперативный ввод'!F560)</f>
        <v/>
      </c>
      <c r="G560" s="172">
        <f>IF('Оперативный ввод'!G560="","",'Оперативный ввод'!G560)</f>
        <v/>
      </c>
      <c r="H560" s="172">
        <f>IF('Оперативный ввод'!H560="","",'Оперативный ввод'!H560)</f>
        <v/>
      </c>
      <c r="I560" s="172">
        <f>IF('Оперативный ввод'!I560="","",'Оперативный ввод'!I560)</f>
        <v/>
      </c>
      <c r="J560" s="172">
        <f>IF('Оперативный ввод'!J560="","",'Оперативный ввод'!J560)</f>
        <v/>
      </c>
      <c r="K560" s="172">
        <f>IF('Оперативный ввод'!K560="","",'Оперативный ввод'!K560)</f>
        <v/>
      </c>
      <c r="L560" s="172">
        <f>IF('Оперативный ввод'!L560="","",'Оперативный ввод'!L560)</f>
        <v/>
      </c>
      <c r="M560" s="172">
        <f>IF('Оперативный ввод'!M560="","",'Оперативный ввод'!M560)</f>
        <v/>
      </c>
      <c r="N560" s="172">
        <f>IF('Оперативный ввод'!N560="","",'Оперативный ввод'!N560)</f>
        <v/>
      </c>
      <c r="O560" s="172">
        <f>IF('Оперативный ввод'!O560="","",'Оперативный ввод'!O560)</f>
        <v/>
      </c>
      <c r="P560" s="205">
        <f>IF(AND(A560="",B560=""),"",IF(AND(A560&lt;&gt;"",B560&lt;&gt;"",C560&lt;&gt;"",D560&lt;&gt;"",F560&lt;&gt;"",G560&lt;&gt;"",H560&lt;&gt;"",ISERROR(SEARCH("по паспорту",G560)),ISERROR(SEARCH("по паспорту",H560)),I560&lt;&gt;"",J560&lt;&gt;"",K560&lt;&gt;"",L560&lt;&gt;"",M560&lt;&gt;""),"ГОТОВО","НЕ ГОТОВО"))</f>
        <v/>
      </c>
      <c r="Q560" s="205">
        <f>IF(P560&lt;&gt;"ГОТОВО","", "Предварительное заключение: "&amp;A560&amp;", скв. "&amp;B560&amp;". МРП: "&amp;E560&amp;" сут. ГНО: "&amp;F560&amp;", типоразмер "&amp;G560&amp;", марка "&amp;H560&amp;". Событие: "&amp;I560&amp;". Признак: "&amp;J560&amp;". Узел: "&amp;K560&amp;". Предварительная причина: "&amp;L560&amp;". Основное осложнение: "&amp;M560&amp;IF(N560&lt;&gt;"","; сопутствующее: "&amp;N560,"")&amp;IF(O560&lt;&gt;"","; дополнительно: "&amp;O560,"")&amp;".")</f>
        <v/>
      </c>
      <c r="R560" s="172">
        <f>IF('Оперативный ввод'!P560="","",'Оперативный ввод'!P560)</f>
        <v/>
      </c>
      <c r="S560" s="172">
        <f>IF('Оперативный ввод'!Q560="","",'Оперативный ввод'!Q560)</f>
        <v/>
      </c>
      <c r="T560" s="172">
        <f>IF('Оперативный ввод'!R560="","",'Оперативный ввод'!R560)</f>
        <v/>
      </c>
      <c r="U560" s="172">
        <f>IF('Оперативный ввод'!S560="","",'Оперативный ввод'!S560)</f>
        <v/>
      </c>
      <c r="V560" s="172">
        <f>IF('Оперативный ввод'!T560="","",'Оперативный ввод'!T560)</f>
        <v/>
      </c>
      <c r="W560" s="172" t="n"/>
      <c r="X560" s="172" t="n"/>
      <c r="Y560" s="172" t="n"/>
      <c r="Z560" s="172" t="n"/>
      <c r="AA560" s="172">
        <f>IF('Оперативный ввод'!U560="","",'Оперативный ввод'!U560)</f>
        <v/>
      </c>
      <c r="AB560" s="172">
        <f>IF('Оперативный ввод'!V560="","",'Оперативный ввод'!V560)</f>
        <v/>
      </c>
      <c r="AC560" s="172">
        <f>IF('Оперативный ввод'!W560="","",'Оперативный ввод'!W560)</f>
        <v/>
      </c>
      <c r="BB560" s="172" t="n"/>
      <c r="BC560" s="172" t="n"/>
      <c r="BD560" s="205">
        <f>IF(AND(A560="",B560=""),"",IF(AND(P560="ГОТОВО",R560&lt;&gt;"",T560&lt;&gt;"",U560&lt;&gt;"",AA560&lt;&gt;"",AB560&lt;&gt;"",AC560&lt;&gt;"",BB560&lt;&gt;"",BC560&lt;&gt;""),"ГОТОВО","НЕ ГОТОВО"))</f>
        <v/>
      </c>
      <c r="BE560" s="205">
        <f>IF(BD560&lt;&gt;"ГОТОВО","","Полное заключение: "&amp;A560&amp;", скв. "&amp;B560&amp;". МРП: "&amp;E560&amp;" сут. ГНО: "&amp;F560&amp;"; причина: "&amp;U560&amp;"; категория: "&amp;V560&amp;"; решение комиссии: "&amp;BB560&amp;".")</f>
        <v/>
      </c>
      <c r="BF560" s="173">
        <f>IF('Оперативный ввод'!X560="","",'Оперативный ввод'!X560)</f>
        <v/>
      </c>
    </row>
    <row r="561">
      <c r="A561" s="171">
        <f>IF('Оперативный ввод'!A561="","",'Оперативный ввод'!A561)</f>
        <v/>
      </c>
      <c r="B561" s="172">
        <f>IF('Оперативный ввод'!B561="","",'Оперативный ввод'!B561)</f>
        <v/>
      </c>
      <c r="C561" s="270">
        <f>IF('Оперативный ввод'!C561="","",'Оперативный ввод'!C561)</f>
        <v/>
      </c>
      <c r="D561" s="270">
        <f>IF('Оперативный ввод'!D561="","",'Оперативный ввод'!D561)</f>
        <v/>
      </c>
      <c r="E561" s="271">
        <f>IF(OR(C561="",D561=""),"",D561-C561)</f>
        <v/>
      </c>
      <c r="F561" s="172">
        <f>IF('Оперативный ввод'!F561="","",'Оперативный ввод'!F561)</f>
        <v/>
      </c>
      <c r="G561" s="172">
        <f>IF('Оперативный ввод'!G561="","",'Оперативный ввод'!G561)</f>
        <v/>
      </c>
      <c r="H561" s="172">
        <f>IF('Оперативный ввод'!H561="","",'Оперативный ввод'!H561)</f>
        <v/>
      </c>
      <c r="I561" s="172">
        <f>IF('Оперативный ввод'!I561="","",'Оперативный ввод'!I561)</f>
        <v/>
      </c>
      <c r="J561" s="172">
        <f>IF('Оперативный ввод'!J561="","",'Оперативный ввод'!J561)</f>
        <v/>
      </c>
      <c r="K561" s="172">
        <f>IF('Оперативный ввод'!K561="","",'Оперативный ввод'!K561)</f>
        <v/>
      </c>
      <c r="L561" s="172">
        <f>IF('Оперативный ввод'!L561="","",'Оперативный ввод'!L561)</f>
        <v/>
      </c>
      <c r="M561" s="172">
        <f>IF('Оперативный ввод'!M561="","",'Оперативный ввод'!M561)</f>
        <v/>
      </c>
      <c r="N561" s="172">
        <f>IF('Оперативный ввод'!N561="","",'Оперативный ввод'!N561)</f>
        <v/>
      </c>
      <c r="O561" s="172">
        <f>IF('Оперативный ввод'!O561="","",'Оперативный ввод'!O561)</f>
        <v/>
      </c>
      <c r="P561" s="205">
        <f>IF(AND(A561="",B561=""),"",IF(AND(A561&lt;&gt;"",B561&lt;&gt;"",C561&lt;&gt;"",D561&lt;&gt;"",F561&lt;&gt;"",G561&lt;&gt;"",H561&lt;&gt;"",ISERROR(SEARCH("по паспорту",G561)),ISERROR(SEARCH("по паспорту",H561)),I561&lt;&gt;"",J561&lt;&gt;"",K561&lt;&gt;"",L561&lt;&gt;"",M561&lt;&gt;""),"ГОТОВО","НЕ ГОТОВО"))</f>
        <v/>
      </c>
      <c r="Q561" s="205">
        <f>IF(P561&lt;&gt;"ГОТОВО","", "Предварительное заключение: "&amp;A561&amp;", скв. "&amp;B561&amp;". МРП: "&amp;E561&amp;" сут. ГНО: "&amp;F561&amp;", типоразмер "&amp;G561&amp;", марка "&amp;H561&amp;". Событие: "&amp;I561&amp;". Признак: "&amp;J561&amp;". Узел: "&amp;K561&amp;". Предварительная причина: "&amp;L561&amp;". Основное осложнение: "&amp;M561&amp;IF(N561&lt;&gt;"","; сопутствующее: "&amp;N561,"")&amp;IF(O561&lt;&gt;"","; дополнительно: "&amp;O561,"")&amp;".")</f>
        <v/>
      </c>
      <c r="R561" s="172">
        <f>IF('Оперативный ввод'!P561="","",'Оперативный ввод'!P561)</f>
        <v/>
      </c>
      <c r="S561" s="172">
        <f>IF('Оперативный ввод'!Q561="","",'Оперативный ввод'!Q561)</f>
        <v/>
      </c>
      <c r="T561" s="172">
        <f>IF('Оперативный ввод'!R561="","",'Оперативный ввод'!R561)</f>
        <v/>
      </c>
      <c r="U561" s="172">
        <f>IF('Оперативный ввод'!S561="","",'Оперативный ввод'!S561)</f>
        <v/>
      </c>
      <c r="V561" s="172">
        <f>IF('Оперативный ввод'!T561="","",'Оперативный ввод'!T561)</f>
        <v/>
      </c>
      <c r="W561" s="172" t="n"/>
      <c r="X561" s="172" t="n"/>
      <c r="Y561" s="172" t="n"/>
      <c r="Z561" s="172" t="n"/>
      <c r="AA561" s="172">
        <f>IF('Оперативный ввод'!U561="","",'Оперативный ввод'!U561)</f>
        <v/>
      </c>
      <c r="AB561" s="172">
        <f>IF('Оперативный ввод'!V561="","",'Оперативный ввод'!V561)</f>
        <v/>
      </c>
      <c r="AC561" s="172">
        <f>IF('Оперативный ввод'!W561="","",'Оперативный ввод'!W561)</f>
        <v/>
      </c>
      <c r="BB561" s="172" t="n"/>
      <c r="BC561" s="172" t="n"/>
      <c r="BD561" s="205">
        <f>IF(AND(A561="",B561=""),"",IF(AND(P561="ГОТОВО",R561&lt;&gt;"",T561&lt;&gt;"",U561&lt;&gt;"",AA561&lt;&gt;"",AB561&lt;&gt;"",AC561&lt;&gt;"",BB561&lt;&gt;"",BC561&lt;&gt;""),"ГОТОВО","НЕ ГОТОВО"))</f>
        <v/>
      </c>
      <c r="BE561" s="205">
        <f>IF(BD561&lt;&gt;"ГОТОВО","","Полное заключение: "&amp;A561&amp;", скв. "&amp;B561&amp;". МРП: "&amp;E561&amp;" сут. ГНО: "&amp;F561&amp;"; причина: "&amp;U561&amp;"; категория: "&amp;V561&amp;"; решение комиссии: "&amp;BB561&amp;".")</f>
        <v/>
      </c>
      <c r="BF561" s="173">
        <f>IF('Оперативный ввод'!X561="","",'Оперативный ввод'!X561)</f>
        <v/>
      </c>
    </row>
    <row r="562">
      <c r="A562" s="171">
        <f>IF('Оперативный ввод'!A562="","",'Оперативный ввод'!A562)</f>
        <v/>
      </c>
      <c r="B562" s="172">
        <f>IF('Оперативный ввод'!B562="","",'Оперативный ввод'!B562)</f>
        <v/>
      </c>
      <c r="C562" s="270">
        <f>IF('Оперативный ввод'!C562="","",'Оперативный ввод'!C562)</f>
        <v/>
      </c>
      <c r="D562" s="270">
        <f>IF('Оперативный ввод'!D562="","",'Оперативный ввод'!D562)</f>
        <v/>
      </c>
      <c r="E562" s="271">
        <f>IF(OR(C562="",D562=""),"",D562-C562)</f>
        <v/>
      </c>
      <c r="F562" s="172">
        <f>IF('Оперативный ввод'!F562="","",'Оперативный ввод'!F562)</f>
        <v/>
      </c>
      <c r="G562" s="172">
        <f>IF('Оперативный ввод'!G562="","",'Оперативный ввод'!G562)</f>
        <v/>
      </c>
      <c r="H562" s="172">
        <f>IF('Оперативный ввод'!H562="","",'Оперативный ввод'!H562)</f>
        <v/>
      </c>
      <c r="I562" s="172">
        <f>IF('Оперативный ввод'!I562="","",'Оперативный ввод'!I562)</f>
        <v/>
      </c>
      <c r="J562" s="172">
        <f>IF('Оперативный ввод'!J562="","",'Оперативный ввод'!J562)</f>
        <v/>
      </c>
      <c r="K562" s="172">
        <f>IF('Оперативный ввод'!K562="","",'Оперативный ввод'!K562)</f>
        <v/>
      </c>
      <c r="L562" s="172">
        <f>IF('Оперативный ввод'!L562="","",'Оперативный ввод'!L562)</f>
        <v/>
      </c>
      <c r="M562" s="172">
        <f>IF('Оперативный ввод'!M562="","",'Оперативный ввод'!M562)</f>
        <v/>
      </c>
      <c r="N562" s="172">
        <f>IF('Оперативный ввод'!N562="","",'Оперативный ввод'!N562)</f>
        <v/>
      </c>
      <c r="O562" s="172">
        <f>IF('Оперативный ввод'!O562="","",'Оперативный ввод'!O562)</f>
        <v/>
      </c>
      <c r="P562" s="205">
        <f>IF(AND(A562="",B562=""),"",IF(AND(A562&lt;&gt;"",B562&lt;&gt;"",C562&lt;&gt;"",D562&lt;&gt;"",F562&lt;&gt;"",G562&lt;&gt;"",H562&lt;&gt;"",ISERROR(SEARCH("по паспорту",G562)),ISERROR(SEARCH("по паспорту",H562)),I562&lt;&gt;"",J562&lt;&gt;"",K562&lt;&gt;"",L562&lt;&gt;"",M562&lt;&gt;""),"ГОТОВО","НЕ ГОТОВО"))</f>
        <v/>
      </c>
      <c r="Q562" s="205">
        <f>IF(P562&lt;&gt;"ГОТОВО","", "Предварительное заключение: "&amp;A562&amp;", скв. "&amp;B562&amp;". МРП: "&amp;E562&amp;" сут. ГНО: "&amp;F562&amp;", типоразмер "&amp;G562&amp;", марка "&amp;H562&amp;". Событие: "&amp;I562&amp;". Признак: "&amp;J562&amp;". Узел: "&amp;K562&amp;". Предварительная причина: "&amp;L562&amp;". Основное осложнение: "&amp;M562&amp;IF(N562&lt;&gt;"","; сопутствующее: "&amp;N562,"")&amp;IF(O562&lt;&gt;"","; дополнительно: "&amp;O562,"")&amp;".")</f>
        <v/>
      </c>
      <c r="R562" s="172">
        <f>IF('Оперативный ввод'!P562="","",'Оперативный ввод'!P562)</f>
        <v/>
      </c>
      <c r="S562" s="172">
        <f>IF('Оперативный ввод'!Q562="","",'Оперативный ввод'!Q562)</f>
        <v/>
      </c>
      <c r="T562" s="172">
        <f>IF('Оперативный ввод'!R562="","",'Оперативный ввод'!R562)</f>
        <v/>
      </c>
      <c r="U562" s="172">
        <f>IF('Оперативный ввод'!S562="","",'Оперативный ввод'!S562)</f>
        <v/>
      </c>
      <c r="V562" s="172">
        <f>IF('Оперативный ввод'!T562="","",'Оперативный ввод'!T562)</f>
        <v/>
      </c>
      <c r="W562" s="172" t="n"/>
      <c r="X562" s="172" t="n"/>
      <c r="Y562" s="172" t="n"/>
      <c r="Z562" s="172" t="n"/>
      <c r="AA562" s="172">
        <f>IF('Оперативный ввод'!U562="","",'Оперативный ввод'!U562)</f>
        <v/>
      </c>
      <c r="AB562" s="172">
        <f>IF('Оперативный ввод'!V562="","",'Оперативный ввод'!V562)</f>
        <v/>
      </c>
      <c r="AC562" s="172">
        <f>IF('Оперативный ввод'!W562="","",'Оперативный ввод'!W562)</f>
        <v/>
      </c>
      <c r="BB562" s="172" t="n"/>
      <c r="BC562" s="172" t="n"/>
      <c r="BD562" s="205">
        <f>IF(AND(A562="",B562=""),"",IF(AND(P562="ГОТОВО",R562&lt;&gt;"",T562&lt;&gt;"",U562&lt;&gt;"",AA562&lt;&gt;"",AB562&lt;&gt;"",AC562&lt;&gt;"",BB562&lt;&gt;"",BC562&lt;&gt;""),"ГОТОВО","НЕ ГОТОВО"))</f>
        <v/>
      </c>
      <c r="BE562" s="205">
        <f>IF(BD562&lt;&gt;"ГОТОВО","","Полное заключение: "&amp;A562&amp;", скв. "&amp;B562&amp;". МРП: "&amp;E562&amp;" сут. ГНО: "&amp;F562&amp;"; причина: "&amp;U562&amp;"; категория: "&amp;V562&amp;"; решение комиссии: "&amp;BB562&amp;".")</f>
        <v/>
      </c>
      <c r="BF562" s="173">
        <f>IF('Оперативный ввод'!X562="","",'Оперативный ввод'!X562)</f>
        <v/>
      </c>
    </row>
    <row r="563">
      <c r="A563" s="171">
        <f>IF('Оперативный ввод'!A563="","",'Оперативный ввод'!A563)</f>
        <v/>
      </c>
      <c r="B563" s="172">
        <f>IF('Оперативный ввод'!B563="","",'Оперативный ввод'!B563)</f>
        <v/>
      </c>
      <c r="C563" s="270">
        <f>IF('Оперативный ввод'!C563="","",'Оперативный ввод'!C563)</f>
        <v/>
      </c>
      <c r="D563" s="270">
        <f>IF('Оперативный ввод'!D563="","",'Оперативный ввод'!D563)</f>
        <v/>
      </c>
      <c r="E563" s="271">
        <f>IF(OR(C563="",D563=""),"",D563-C563)</f>
        <v/>
      </c>
      <c r="F563" s="172">
        <f>IF('Оперативный ввод'!F563="","",'Оперативный ввод'!F563)</f>
        <v/>
      </c>
      <c r="G563" s="172">
        <f>IF('Оперативный ввод'!G563="","",'Оперативный ввод'!G563)</f>
        <v/>
      </c>
      <c r="H563" s="172">
        <f>IF('Оперативный ввод'!H563="","",'Оперативный ввод'!H563)</f>
        <v/>
      </c>
      <c r="I563" s="172">
        <f>IF('Оперативный ввод'!I563="","",'Оперативный ввод'!I563)</f>
        <v/>
      </c>
      <c r="J563" s="172">
        <f>IF('Оперативный ввод'!J563="","",'Оперативный ввод'!J563)</f>
        <v/>
      </c>
      <c r="K563" s="172">
        <f>IF('Оперативный ввод'!K563="","",'Оперативный ввод'!K563)</f>
        <v/>
      </c>
      <c r="L563" s="172">
        <f>IF('Оперативный ввод'!L563="","",'Оперативный ввод'!L563)</f>
        <v/>
      </c>
      <c r="M563" s="172">
        <f>IF('Оперативный ввод'!M563="","",'Оперативный ввод'!M563)</f>
        <v/>
      </c>
      <c r="N563" s="172">
        <f>IF('Оперативный ввод'!N563="","",'Оперативный ввод'!N563)</f>
        <v/>
      </c>
      <c r="O563" s="172">
        <f>IF('Оперативный ввод'!O563="","",'Оперативный ввод'!O563)</f>
        <v/>
      </c>
      <c r="P563" s="205">
        <f>IF(AND(A563="",B563=""),"",IF(AND(A563&lt;&gt;"",B563&lt;&gt;"",C563&lt;&gt;"",D563&lt;&gt;"",F563&lt;&gt;"",G563&lt;&gt;"",H563&lt;&gt;"",ISERROR(SEARCH("по паспорту",G563)),ISERROR(SEARCH("по паспорту",H563)),I563&lt;&gt;"",J563&lt;&gt;"",K563&lt;&gt;"",L563&lt;&gt;"",M563&lt;&gt;""),"ГОТОВО","НЕ ГОТОВО"))</f>
        <v/>
      </c>
      <c r="Q563" s="205">
        <f>IF(P563&lt;&gt;"ГОТОВО","", "Предварительное заключение: "&amp;A563&amp;", скв. "&amp;B563&amp;". МРП: "&amp;E563&amp;" сут. ГНО: "&amp;F563&amp;", типоразмер "&amp;G563&amp;", марка "&amp;H563&amp;". Событие: "&amp;I563&amp;". Признак: "&amp;J563&amp;". Узел: "&amp;K563&amp;". Предварительная причина: "&amp;L563&amp;". Основное осложнение: "&amp;M563&amp;IF(N563&lt;&gt;"","; сопутствующее: "&amp;N563,"")&amp;IF(O563&lt;&gt;"","; дополнительно: "&amp;O563,"")&amp;".")</f>
        <v/>
      </c>
      <c r="R563" s="172">
        <f>IF('Оперативный ввод'!P563="","",'Оперативный ввод'!P563)</f>
        <v/>
      </c>
      <c r="S563" s="172">
        <f>IF('Оперативный ввод'!Q563="","",'Оперативный ввод'!Q563)</f>
        <v/>
      </c>
      <c r="T563" s="172">
        <f>IF('Оперативный ввод'!R563="","",'Оперативный ввод'!R563)</f>
        <v/>
      </c>
      <c r="U563" s="172">
        <f>IF('Оперативный ввод'!S563="","",'Оперативный ввод'!S563)</f>
        <v/>
      </c>
      <c r="V563" s="172">
        <f>IF('Оперативный ввод'!T563="","",'Оперативный ввод'!T563)</f>
        <v/>
      </c>
      <c r="W563" s="172" t="n"/>
      <c r="X563" s="172" t="n"/>
      <c r="Y563" s="172" t="n"/>
      <c r="Z563" s="172" t="n"/>
      <c r="AA563" s="172">
        <f>IF('Оперативный ввод'!U563="","",'Оперативный ввод'!U563)</f>
        <v/>
      </c>
      <c r="AB563" s="172">
        <f>IF('Оперативный ввод'!V563="","",'Оперативный ввод'!V563)</f>
        <v/>
      </c>
      <c r="AC563" s="172">
        <f>IF('Оперативный ввод'!W563="","",'Оперативный ввод'!W563)</f>
        <v/>
      </c>
      <c r="BB563" s="172" t="n"/>
      <c r="BC563" s="172" t="n"/>
      <c r="BD563" s="205">
        <f>IF(AND(A563="",B563=""),"",IF(AND(P563="ГОТОВО",R563&lt;&gt;"",T563&lt;&gt;"",U563&lt;&gt;"",AA563&lt;&gt;"",AB563&lt;&gt;"",AC563&lt;&gt;"",BB563&lt;&gt;"",BC563&lt;&gt;""),"ГОТОВО","НЕ ГОТОВО"))</f>
        <v/>
      </c>
      <c r="BE563" s="205">
        <f>IF(BD563&lt;&gt;"ГОТОВО","","Полное заключение: "&amp;A563&amp;", скв. "&amp;B563&amp;". МРП: "&amp;E563&amp;" сут. ГНО: "&amp;F563&amp;"; причина: "&amp;U563&amp;"; категория: "&amp;V563&amp;"; решение комиссии: "&amp;BB563&amp;".")</f>
        <v/>
      </c>
      <c r="BF563" s="173">
        <f>IF('Оперативный ввод'!X563="","",'Оперативный ввод'!X563)</f>
        <v/>
      </c>
    </row>
    <row r="564">
      <c r="A564" s="171">
        <f>IF('Оперативный ввод'!A564="","",'Оперативный ввод'!A564)</f>
        <v/>
      </c>
      <c r="B564" s="172">
        <f>IF('Оперативный ввод'!B564="","",'Оперативный ввод'!B564)</f>
        <v/>
      </c>
      <c r="C564" s="270">
        <f>IF('Оперативный ввод'!C564="","",'Оперативный ввод'!C564)</f>
        <v/>
      </c>
      <c r="D564" s="270">
        <f>IF('Оперативный ввод'!D564="","",'Оперативный ввод'!D564)</f>
        <v/>
      </c>
      <c r="E564" s="271">
        <f>IF(OR(C564="",D564=""),"",D564-C564)</f>
        <v/>
      </c>
      <c r="F564" s="172">
        <f>IF('Оперативный ввод'!F564="","",'Оперативный ввод'!F564)</f>
        <v/>
      </c>
      <c r="G564" s="172">
        <f>IF('Оперативный ввод'!G564="","",'Оперативный ввод'!G564)</f>
        <v/>
      </c>
      <c r="H564" s="172">
        <f>IF('Оперативный ввод'!H564="","",'Оперативный ввод'!H564)</f>
        <v/>
      </c>
      <c r="I564" s="172">
        <f>IF('Оперативный ввод'!I564="","",'Оперативный ввод'!I564)</f>
        <v/>
      </c>
      <c r="J564" s="172">
        <f>IF('Оперативный ввод'!J564="","",'Оперативный ввод'!J564)</f>
        <v/>
      </c>
      <c r="K564" s="172">
        <f>IF('Оперативный ввод'!K564="","",'Оперативный ввод'!K564)</f>
        <v/>
      </c>
      <c r="L564" s="172">
        <f>IF('Оперативный ввод'!L564="","",'Оперативный ввод'!L564)</f>
        <v/>
      </c>
      <c r="M564" s="172">
        <f>IF('Оперативный ввод'!M564="","",'Оперативный ввод'!M564)</f>
        <v/>
      </c>
      <c r="N564" s="172">
        <f>IF('Оперативный ввод'!N564="","",'Оперативный ввод'!N564)</f>
        <v/>
      </c>
      <c r="O564" s="172">
        <f>IF('Оперативный ввод'!O564="","",'Оперативный ввод'!O564)</f>
        <v/>
      </c>
      <c r="P564" s="205">
        <f>IF(AND(A564="",B564=""),"",IF(AND(A564&lt;&gt;"",B564&lt;&gt;"",C564&lt;&gt;"",D564&lt;&gt;"",F564&lt;&gt;"",G564&lt;&gt;"",H564&lt;&gt;"",ISERROR(SEARCH("по паспорту",G564)),ISERROR(SEARCH("по паспорту",H564)),I564&lt;&gt;"",J564&lt;&gt;"",K564&lt;&gt;"",L564&lt;&gt;"",M564&lt;&gt;""),"ГОТОВО","НЕ ГОТОВО"))</f>
        <v/>
      </c>
      <c r="Q564" s="205">
        <f>IF(P564&lt;&gt;"ГОТОВО","", "Предварительное заключение: "&amp;A564&amp;", скв. "&amp;B564&amp;". МРП: "&amp;E564&amp;" сут. ГНО: "&amp;F564&amp;", типоразмер "&amp;G564&amp;", марка "&amp;H564&amp;". Событие: "&amp;I564&amp;". Признак: "&amp;J564&amp;". Узел: "&amp;K564&amp;". Предварительная причина: "&amp;L564&amp;". Основное осложнение: "&amp;M564&amp;IF(N564&lt;&gt;"","; сопутствующее: "&amp;N564,"")&amp;IF(O564&lt;&gt;"","; дополнительно: "&amp;O564,"")&amp;".")</f>
        <v/>
      </c>
      <c r="R564" s="172">
        <f>IF('Оперативный ввод'!P564="","",'Оперативный ввод'!P564)</f>
        <v/>
      </c>
      <c r="S564" s="172">
        <f>IF('Оперативный ввод'!Q564="","",'Оперативный ввод'!Q564)</f>
        <v/>
      </c>
      <c r="T564" s="172">
        <f>IF('Оперативный ввод'!R564="","",'Оперативный ввод'!R564)</f>
        <v/>
      </c>
      <c r="U564" s="172">
        <f>IF('Оперативный ввод'!S564="","",'Оперативный ввод'!S564)</f>
        <v/>
      </c>
      <c r="V564" s="172">
        <f>IF('Оперативный ввод'!T564="","",'Оперативный ввод'!T564)</f>
        <v/>
      </c>
      <c r="W564" s="172" t="n"/>
      <c r="X564" s="172" t="n"/>
      <c r="Y564" s="172" t="n"/>
      <c r="Z564" s="172" t="n"/>
      <c r="AA564" s="172">
        <f>IF('Оперативный ввод'!U564="","",'Оперативный ввод'!U564)</f>
        <v/>
      </c>
      <c r="AB564" s="172">
        <f>IF('Оперативный ввод'!V564="","",'Оперативный ввод'!V564)</f>
        <v/>
      </c>
      <c r="AC564" s="172">
        <f>IF('Оперативный ввод'!W564="","",'Оперативный ввод'!W564)</f>
        <v/>
      </c>
      <c r="BB564" s="172" t="n"/>
      <c r="BC564" s="172" t="n"/>
      <c r="BD564" s="205">
        <f>IF(AND(A564="",B564=""),"",IF(AND(P564="ГОТОВО",R564&lt;&gt;"",T564&lt;&gt;"",U564&lt;&gt;"",AA564&lt;&gt;"",AB564&lt;&gt;"",AC564&lt;&gt;"",BB564&lt;&gt;"",BC564&lt;&gt;""),"ГОТОВО","НЕ ГОТОВО"))</f>
        <v/>
      </c>
      <c r="BE564" s="205">
        <f>IF(BD564&lt;&gt;"ГОТОВО","","Полное заключение: "&amp;A564&amp;", скв. "&amp;B564&amp;". МРП: "&amp;E564&amp;" сут. ГНО: "&amp;F564&amp;"; причина: "&amp;U564&amp;"; категория: "&amp;V564&amp;"; решение комиссии: "&amp;BB564&amp;".")</f>
        <v/>
      </c>
      <c r="BF564" s="173">
        <f>IF('Оперативный ввод'!X564="","",'Оперативный ввод'!X564)</f>
        <v/>
      </c>
    </row>
    <row r="565">
      <c r="A565" s="171">
        <f>IF('Оперативный ввод'!A565="","",'Оперативный ввод'!A565)</f>
        <v/>
      </c>
      <c r="B565" s="172">
        <f>IF('Оперативный ввод'!B565="","",'Оперативный ввод'!B565)</f>
        <v/>
      </c>
      <c r="C565" s="270">
        <f>IF('Оперативный ввод'!C565="","",'Оперативный ввод'!C565)</f>
        <v/>
      </c>
      <c r="D565" s="270">
        <f>IF('Оперативный ввод'!D565="","",'Оперативный ввод'!D565)</f>
        <v/>
      </c>
      <c r="E565" s="271">
        <f>IF(OR(C565="",D565=""),"",D565-C565)</f>
        <v/>
      </c>
      <c r="F565" s="172">
        <f>IF('Оперативный ввод'!F565="","",'Оперативный ввод'!F565)</f>
        <v/>
      </c>
      <c r="G565" s="172">
        <f>IF('Оперативный ввод'!G565="","",'Оперативный ввод'!G565)</f>
        <v/>
      </c>
      <c r="H565" s="172">
        <f>IF('Оперативный ввод'!H565="","",'Оперативный ввод'!H565)</f>
        <v/>
      </c>
      <c r="I565" s="172">
        <f>IF('Оперативный ввод'!I565="","",'Оперативный ввод'!I565)</f>
        <v/>
      </c>
      <c r="J565" s="172">
        <f>IF('Оперативный ввод'!J565="","",'Оперативный ввод'!J565)</f>
        <v/>
      </c>
      <c r="K565" s="172">
        <f>IF('Оперативный ввод'!K565="","",'Оперативный ввод'!K565)</f>
        <v/>
      </c>
      <c r="L565" s="172">
        <f>IF('Оперативный ввод'!L565="","",'Оперативный ввод'!L565)</f>
        <v/>
      </c>
      <c r="M565" s="172">
        <f>IF('Оперативный ввод'!M565="","",'Оперативный ввод'!M565)</f>
        <v/>
      </c>
      <c r="N565" s="172">
        <f>IF('Оперативный ввод'!N565="","",'Оперативный ввод'!N565)</f>
        <v/>
      </c>
      <c r="O565" s="172">
        <f>IF('Оперативный ввод'!O565="","",'Оперативный ввод'!O565)</f>
        <v/>
      </c>
      <c r="P565" s="205">
        <f>IF(AND(A565="",B565=""),"",IF(AND(A565&lt;&gt;"",B565&lt;&gt;"",C565&lt;&gt;"",D565&lt;&gt;"",F565&lt;&gt;"",G565&lt;&gt;"",H565&lt;&gt;"",ISERROR(SEARCH("по паспорту",G565)),ISERROR(SEARCH("по паспорту",H565)),I565&lt;&gt;"",J565&lt;&gt;"",K565&lt;&gt;"",L565&lt;&gt;"",M565&lt;&gt;""),"ГОТОВО","НЕ ГОТОВО"))</f>
        <v/>
      </c>
      <c r="Q565" s="205">
        <f>IF(P565&lt;&gt;"ГОТОВО","", "Предварительное заключение: "&amp;A565&amp;", скв. "&amp;B565&amp;". МРП: "&amp;E565&amp;" сут. ГНО: "&amp;F565&amp;", типоразмер "&amp;G565&amp;", марка "&amp;H565&amp;". Событие: "&amp;I565&amp;". Признак: "&amp;J565&amp;". Узел: "&amp;K565&amp;". Предварительная причина: "&amp;L565&amp;". Основное осложнение: "&amp;M565&amp;IF(N565&lt;&gt;"","; сопутствующее: "&amp;N565,"")&amp;IF(O565&lt;&gt;"","; дополнительно: "&amp;O565,"")&amp;".")</f>
        <v/>
      </c>
      <c r="R565" s="172">
        <f>IF('Оперативный ввод'!P565="","",'Оперативный ввод'!P565)</f>
        <v/>
      </c>
      <c r="S565" s="172">
        <f>IF('Оперативный ввод'!Q565="","",'Оперативный ввод'!Q565)</f>
        <v/>
      </c>
      <c r="T565" s="172">
        <f>IF('Оперативный ввод'!R565="","",'Оперативный ввод'!R565)</f>
        <v/>
      </c>
      <c r="U565" s="172">
        <f>IF('Оперативный ввод'!S565="","",'Оперативный ввод'!S565)</f>
        <v/>
      </c>
      <c r="V565" s="172">
        <f>IF('Оперативный ввод'!T565="","",'Оперативный ввод'!T565)</f>
        <v/>
      </c>
      <c r="W565" s="172" t="n"/>
      <c r="X565" s="172" t="n"/>
      <c r="Y565" s="172" t="n"/>
      <c r="Z565" s="172" t="n"/>
      <c r="AA565" s="172">
        <f>IF('Оперативный ввод'!U565="","",'Оперативный ввод'!U565)</f>
        <v/>
      </c>
      <c r="AB565" s="172">
        <f>IF('Оперативный ввод'!V565="","",'Оперативный ввод'!V565)</f>
        <v/>
      </c>
      <c r="AC565" s="172">
        <f>IF('Оперативный ввод'!W565="","",'Оперативный ввод'!W565)</f>
        <v/>
      </c>
      <c r="BB565" s="172" t="n"/>
      <c r="BC565" s="172" t="n"/>
      <c r="BD565" s="205">
        <f>IF(AND(A565="",B565=""),"",IF(AND(P565="ГОТОВО",R565&lt;&gt;"",T565&lt;&gt;"",U565&lt;&gt;"",AA565&lt;&gt;"",AB565&lt;&gt;"",AC565&lt;&gt;"",BB565&lt;&gt;"",BC565&lt;&gt;""),"ГОТОВО","НЕ ГОТОВО"))</f>
        <v/>
      </c>
      <c r="BE565" s="205">
        <f>IF(BD565&lt;&gt;"ГОТОВО","","Полное заключение: "&amp;A565&amp;", скв. "&amp;B565&amp;". МРП: "&amp;E565&amp;" сут. ГНО: "&amp;F565&amp;"; причина: "&amp;U565&amp;"; категория: "&amp;V565&amp;"; решение комиссии: "&amp;BB565&amp;".")</f>
        <v/>
      </c>
      <c r="BF565" s="173">
        <f>IF('Оперативный ввод'!X565="","",'Оперативный ввод'!X565)</f>
        <v/>
      </c>
    </row>
    <row r="566">
      <c r="A566" s="171">
        <f>IF('Оперативный ввод'!A566="","",'Оперативный ввод'!A566)</f>
        <v/>
      </c>
      <c r="B566" s="172">
        <f>IF('Оперативный ввод'!B566="","",'Оперативный ввод'!B566)</f>
        <v/>
      </c>
      <c r="C566" s="270">
        <f>IF('Оперативный ввод'!C566="","",'Оперативный ввод'!C566)</f>
        <v/>
      </c>
      <c r="D566" s="270">
        <f>IF('Оперативный ввод'!D566="","",'Оперативный ввод'!D566)</f>
        <v/>
      </c>
      <c r="E566" s="271">
        <f>IF(OR(C566="",D566=""),"",D566-C566)</f>
        <v/>
      </c>
      <c r="F566" s="172">
        <f>IF('Оперативный ввод'!F566="","",'Оперативный ввод'!F566)</f>
        <v/>
      </c>
      <c r="G566" s="172">
        <f>IF('Оперативный ввод'!G566="","",'Оперативный ввод'!G566)</f>
        <v/>
      </c>
      <c r="H566" s="172">
        <f>IF('Оперативный ввод'!H566="","",'Оперативный ввод'!H566)</f>
        <v/>
      </c>
      <c r="I566" s="172">
        <f>IF('Оперативный ввод'!I566="","",'Оперативный ввод'!I566)</f>
        <v/>
      </c>
      <c r="J566" s="172">
        <f>IF('Оперативный ввод'!J566="","",'Оперативный ввод'!J566)</f>
        <v/>
      </c>
      <c r="K566" s="172">
        <f>IF('Оперативный ввод'!K566="","",'Оперативный ввод'!K566)</f>
        <v/>
      </c>
      <c r="L566" s="172">
        <f>IF('Оперативный ввод'!L566="","",'Оперативный ввод'!L566)</f>
        <v/>
      </c>
      <c r="M566" s="172">
        <f>IF('Оперативный ввод'!M566="","",'Оперативный ввод'!M566)</f>
        <v/>
      </c>
      <c r="N566" s="172">
        <f>IF('Оперативный ввод'!N566="","",'Оперативный ввод'!N566)</f>
        <v/>
      </c>
      <c r="O566" s="172">
        <f>IF('Оперативный ввод'!O566="","",'Оперативный ввод'!O566)</f>
        <v/>
      </c>
      <c r="P566" s="205">
        <f>IF(AND(A566="",B566=""),"",IF(AND(A566&lt;&gt;"",B566&lt;&gt;"",C566&lt;&gt;"",D566&lt;&gt;"",F566&lt;&gt;"",G566&lt;&gt;"",H566&lt;&gt;"",ISERROR(SEARCH("по паспорту",G566)),ISERROR(SEARCH("по паспорту",H566)),I566&lt;&gt;"",J566&lt;&gt;"",K566&lt;&gt;"",L566&lt;&gt;"",M566&lt;&gt;""),"ГОТОВО","НЕ ГОТОВО"))</f>
        <v/>
      </c>
      <c r="Q566" s="205">
        <f>IF(P566&lt;&gt;"ГОТОВО","", "Предварительное заключение: "&amp;A566&amp;", скв. "&amp;B566&amp;". МРП: "&amp;E566&amp;" сут. ГНО: "&amp;F566&amp;", типоразмер "&amp;G566&amp;", марка "&amp;H566&amp;". Событие: "&amp;I566&amp;". Признак: "&amp;J566&amp;". Узел: "&amp;K566&amp;". Предварительная причина: "&amp;L566&amp;". Основное осложнение: "&amp;M566&amp;IF(N566&lt;&gt;"","; сопутствующее: "&amp;N566,"")&amp;IF(O566&lt;&gt;"","; дополнительно: "&amp;O566,"")&amp;".")</f>
        <v/>
      </c>
      <c r="R566" s="172">
        <f>IF('Оперативный ввод'!P566="","",'Оперативный ввод'!P566)</f>
        <v/>
      </c>
      <c r="S566" s="172">
        <f>IF('Оперативный ввод'!Q566="","",'Оперативный ввод'!Q566)</f>
        <v/>
      </c>
      <c r="T566" s="172">
        <f>IF('Оперативный ввод'!R566="","",'Оперативный ввод'!R566)</f>
        <v/>
      </c>
      <c r="U566" s="172">
        <f>IF('Оперативный ввод'!S566="","",'Оперативный ввод'!S566)</f>
        <v/>
      </c>
      <c r="V566" s="172">
        <f>IF('Оперативный ввод'!T566="","",'Оперативный ввод'!T566)</f>
        <v/>
      </c>
      <c r="W566" s="172" t="n"/>
      <c r="X566" s="172" t="n"/>
      <c r="Y566" s="172" t="n"/>
      <c r="Z566" s="172" t="n"/>
      <c r="AA566" s="172">
        <f>IF('Оперативный ввод'!U566="","",'Оперативный ввод'!U566)</f>
        <v/>
      </c>
      <c r="AB566" s="172">
        <f>IF('Оперативный ввод'!V566="","",'Оперативный ввод'!V566)</f>
        <v/>
      </c>
      <c r="AC566" s="172">
        <f>IF('Оперативный ввод'!W566="","",'Оперативный ввод'!W566)</f>
        <v/>
      </c>
      <c r="BB566" s="172" t="n"/>
      <c r="BC566" s="172" t="n"/>
      <c r="BD566" s="205">
        <f>IF(AND(A566="",B566=""),"",IF(AND(P566="ГОТОВО",R566&lt;&gt;"",T566&lt;&gt;"",U566&lt;&gt;"",AA566&lt;&gt;"",AB566&lt;&gt;"",AC566&lt;&gt;"",BB566&lt;&gt;"",BC566&lt;&gt;""),"ГОТОВО","НЕ ГОТОВО"))</f>
        <v/>
      </c>
      <c r="BE566" s="205">
        <f>IF(BD566&lt;&gt;"ГОТОВО","","Полное заключение: "&amp;A566&amp;", скв. "&amp;B566&amp;". МРП: "&amp;E566&amp;" сут. ГНО: "&amp;F566&amp;"; причина: "&amp;U566&amp;"; категория: "&amp;V566&amp;"; решение комиссии: "&amp;BB566&amp;".")</f>
        <v/>
      </c>
      <c r="BF566" s="173">
        <f>IF('Оперативный ввод'!X566="","",'Оперативный ввод'!X566)</f>
        <v/>
      </c>
    </row>
    <row r="567">
      <c r="A567" s="171">
        <f>IF('Оперативный ввод'!A567="","",'Оперативный ввод'!A567)</f>
        <v/>
      </c>
      <c r="B567" s="172">
        <f>IF('Оперативный ввод'!B567="","",'Оперативный ввод'!B567)</f>
        <v/>
      </c>
      <c r="C567" s="270">
        <f>IF('Оперативный ввод'!C567="","",'Оперативный ввод'!C567)</f>
        <v/>
      </c>
      <c r="D567" s="270">
        <f>IF('Оперативный ввод'!D567="","",'Оперативный ввод'!D567)</f>
        <v/>
      </c>
      <c r="E567" s="271">
        <f>IF(OR(C567="",D567=""),"",D567-C567)</f>
        <v/>
      </c>
      <c r="F567" s="172">
        <f>IF('Оперативный ввод'!F567="","",'Оперативный ввод'!F567)</f>
        <v/>
      </c>
      <c r="G567" s="172">
        <f>IF('Оперативный ввод'!G567="","",'Оперативный ввод'!G567)</f>
        <v/>
      </c>
      <c r="H567" s="172">
        <f>IF('Оперативный ввод'!H567="","",'Оперативный ввод'!H567)</f>
        <v/>
      </c>
      <c r="I567" s="172">
        <f>IF('Оперативный ввод'!I567="","",'Оперативный ввод'!I567)</f>
        <v/>
      </c>
      <c r="J567" s="172">
        <f>IF('Оперативный ввод'!J567="","",'Оперативный ввод'!J567)</f>
        <v/>
      </c>
      <c r="K567" s="172">
        <f>IF('Оперативный ввод'!K567="","",'Оперативный ввод'!K567)</f>
        <v/>
      </c>
      <c r="L567" s="172">
        <f>IF('Оперативный ввод'!L567="","",'Оперативный ввод'!L567)</f>
        <v/>
      </c>
      <c r="M567" s="172">
        <f>IF('Оперативный ввод'!M567="","",'Оперативный ввод'!M567)</f>
        <v/>
      </c>
      <c r="N567" s="172">
        <f>IF('Оперативный ввод'!N567="","",'Оперативный ввод'!N567)</f>
        <v/>
      </c>
      <c r="O567" s="172">
        <f>IF('Оперативный ввод'!O567="","",'Оперативный ввод'!O567)</f>
        <v/>
      </c>
      <c r="P567" s="205">
        <f>IF(AND(A567="",B567=""),"",IF(AND(A567&lt;&gt;"",B567&lt;&gt;"",C567&lt;&gt;"",D567&lt;&gt;"",F567&lt;&gt;"",G567&lt;&gt;"",H567&lt;&gt;"",ISERROR(SEARCH("по паспорту",G567)),ISERROR(SEARCH("по паспорту",H567)),I567&lt;&gt;"",J567&lt;&gt;"",K567&lt;&gt;"",L567&lt;&gt;"",M567&lt;&gt;""),"ГОТОВО","НЕ ГОТОВО"))</f>
        <v/>
      </c>
      <c r="Q567" s="205">
        <f>IF(P567&lt;&gt;"ГОТОВО","", "Предварительное заключение: "&amp;A567&amp;", скв. "&amp;B567&amp;". МРП: "&amp;E567&amp;" сут. ГНО: "&amp;F567&amp;", типоразмер "&amp;G567&amp;", марка "&amp;H567&amp;". Событие: "&amp;I567&amp;". Признак: "&amp;J567&amp;". Узел: "&amp;K567&amp;". Предварительная причина: "&amp;L567&amp;". Основное осложнение: "&amp;M567&amp;IF(N567&lt;&gt;"","; сопутствующее: "&amp;N567,"")&amp;IF(O567&lt;&gt;"","; дополнительно: "&amp;O567,"")&amp;".")</f>
        <v/>
      </c>
      <c r="R567" s="172">
        <f>IF('Оперативный ввод'!P567="","",'Оперативный ввод'!P567)</f>
        <v/>
      </c>
      <c r="S567" s="172">
        <f>IF('Оперативный ввод'!Q567="","",'Оперативный ввод'!Q567)</f>
        <v/>
      </c>
      <c r="T567" s="172">
        <f>IF('Оперативный ввод'!R567="","",'Оперативный ввод'!R567)</f>
        <v/>
      </c>
      <c r="U567" s="172">
        <f>IF('Оперативный ввод'!S567="","",'Оперативный ввод'!S567)</f>
        <v/>
      </c>
      <c r="V567" s="172">
        <f>IF('Оперативный ввод'!T567="","",'Оперативный ввод'!T567)</f>
        <v/>
      </c>
      <c r="W567" s="172" t="n"/>
      <c r="X567" s="172" t="n"/>
      <c r="Y567" s="172" t="n"/>
      <c r="Z567" s="172" t="n"/>
      <c r="AA567" s="172">
        <f>IF('Оперативный ввод'!U567="","",'Оперативный ввод'!U567)</f>
        <v/>
      </c>
      <c r="AB567" s="172">
        <f>IF('Оперативный ввод'!V567="","",'Оперативный ввод'!V567)</f>
        <v/>
      </c>
      <c r="AC567" s="172">
        <f>IF('Оперативный ввод'!W567="","",'Оперативный ввод'!W567)</f>
        <v/>
      </c>
      <c r="BB567" s="172" t="n"/>
      <c r="BC567" s="172" t="n"/>
      <c r="BD567" s="205">
        <f>IF(AND(A567="",B567=""),"",IF(AND(P567="ГОТОВО",R567&lt;&gt;"",T567&lt;&gt;"",U567&lt;&gt;"",AA567&lt;&gt;"",AB567&lt;&gt;"",AC567&lt;&gt;"",BB567&lt;&gt;"",BC567&lt;&gt;""),"ГОТОВО","НЕ ГОТОВО"))</f>
        <v/>
      </c>
      <c r="BE567" s="205">
        <f>IF(BD567&lt;&gt;"ГОТОВО","","Полное заключение: "&amp;A567&amp;", скв. "&amp;B567&amp;". МРП: "&amp;E567&amp;" сут. ГНО: "&amp;F567&amp;"; причина: "&amp;U567&amp;"; категория: "&amp;V567&amp;"; решение комиссии: "&amp;BB567&amp;".")</f>
        <v/>
      </c>
      <c r="BF567" s="173">
        <f>IF('Оперативный ввод'!X567="","",'Оперативный ввод'!X567)</f>
        <v/>
      </c>
    </row>
    <row r="568">
      <c r="A568" s="171">
        <f>IF('Оперативный ввод'!A568="","",'Оперативный ввод'!A568)</f>
        <v/>
      </c>
      <c r="B568" s="172">
        <f>IF('Оперативный ввод'!B568="","",'Оперативный ввод'!B568)</f>
        <v/>
      </c>
      <c r="C568" s="270">
        <f>IF('Оперативный ввод'!C568="","",'Оперативный ввод'!C568)</f>
        <v/>
      </c>
      <c r="D568" s="270">
        <f>IF('Оперативный ввод'!D568="","",'Оперативный ввод'!D568)</f>
        <v/>
      </c>
      <c r="E568" s="271">
        <f>IF(OR(C568="",D568=""),"",D568-C568)</f>
        <v/>
      </c>
      <c r="F568" s="172">
        <f>IF('Оперативный ввод'!F568="","",'Оперативный ввод'!F568)</f>
        <v/>
      </c>
      <c r="G568" s="172">
        <f>IF('Оперативный ввод'!G568="","",'Оперативный ввод'!G568)</f>
        <v/>
      </c>
      <c r="H568" s="172">
        <f>IF('Оперативный ввод'!H568="","",'Оперативный ввод'!H568)</f>
        <v/>
      </c>
      <c r="I568" s="172">
        <f>IF('Оперативный ввод'!I568="","",'Оперативный ввод'!I568)</f>
        <v/>
      </c>
      <c r="J568" s="172">
        <f>IF('Оперативный ввод'!J568="","",'Оперативный ввод'!J568)</f>
        <v/>
      </c>
      <c r="K568" s="172">
        <f>IF('Оперативный ввод'!K568="","",'Оперативный ввод'!K568)</f>
        <v/>
      </c>
      <c r="L568" s="172">
        <f>IF('Оперативный ввод'!L568="","",'Оперативный ввод'!L568)</f>
        <v/>
      </c>
      <c r="M568" s="172">
        <f>IF('Оперативный ввод'!M568="","",'Оперативный ввод'!M568)</f>
        <v/>
      </c>
      <c r="N568" s="172">
        <f>IF('Оперативный ввод'!N568="","",'Оперативный ввод'!N568)</f>
        <v/>
      </c>
      <c r="O568" s="172">
        <f>IF('Оперативный ввод'!O568="","",'Оперативный ввод'!O568)</f>
        <v/>
      </c>
      <c r="P568" s="205">
        <f>IF(AND(A568="",B568=""),"",IF(AND(A568&lt;&gt;"",B568&lt;&gt;"",C568&lt;&gt;"",D568&lt;&gt;"",F568&lt;&gt;"",G568&lt;&gt;"",H568&lt;&gt;"",ISERROR(SEARCH("по паспорту",G568)),ISERROR(SEARCH("по паспорту",H568)),I568&lt;&gt;"",J568&lt;&gt;"",K568&lt;&gt;"",L568&lt;&gt;"",M568&lt;&gt;""),"ГОТОВО","НЕ ГОТОВО"))</f>
        <v/>
      </c>
      <c r="Q568" s="205">
        <f>IF(P568&lt;&gt;"ГОТОВО","", "Предварительное заключение: "&amp;A568&amp;", скв. "&amp;B568&amp;". МРП: "&amp;E568&amp;" сут. ГНО: "&amp;F568&amp;", типоразмер "&amp;G568&amp;", марка "&amp;H568&amp;". Событие: "&amp;I568&amp;". Признак: "&amp;J568&amp;". Узел: "&amp;K568&amp;". Предварительная причина: "&amp;L568&amp;". Основное осложнение: "&amp;M568&amp;IF(N568&lt;&gt;"","; сопутствующее: "&amp;N568,"")&amp;IF(O568&lt;&gt;"","; дополнительно: "&amp;O568,"")&amp;".")</f>
        <v/>
      </c>
      <c r="R568" s="172">
        <f>IF('Оперативный ввод'!P568="","",'Оперативный ввод'!P568)</f>
        <v/>
      </c>
      <c r="S568" s="172">
        <f>IF('Оперативный ввод'!Q568="","",'Оперативный ввод'!Q568)</f>
        <v/>
      </c>
      <c r="T568" s="172">
        <f>IF('Оперативный ввод'!R568="","",'Оперативный ввод'!R568)</f>
        <v/>
      </c>
      <c r="U568" s="172">
        <f>IF('Оперативный ввод'!S568="","",'Оперативный ввод'!S568)</f>
        <v/>
      </c>
      <c r="V568" s="172">
        <f>IF('Оперативный ввод'!T568="","",'Оперативный ввод'!T568)</f>
        <v/>
      </c>
      <c r="W568" s="172" t="n"/>
      <c r="X568" s="172" t="n"/>
      <c r="Y568" s="172" t="n"/>
      <c r="Z568" s="172" t="n"/>
      <c r="AA568" s="172">
        <f>IF('Оперативный ввод'!U568="","",'Оперативный ввод'!U568)</f>
        <v/>
      </c>
      <c r="AB568" s="172">
        <f>IF('Оперативный ввод'!V568="","",'Оперативный ввод'!V568)</f>
        <v/>
      </c>
      <c r="AC568" s="172">
        <f>IF('Оперативный ввод'!W568="","",'Оперативный ввод'!W568)</f>
        <v/>
      </c>
      <c r="BB568" s="172" t="n"/>
      <c r="BC568" s="172" t="n"/>
      <c r="BD568" s="205">
        <f>IF(AND(A568="",B568=""),"",IF(AND(P568="ГОТОВО",R568&lt;&gt;"",T568&lt;&gt;"",U568&lt;&gt;"",AA568&lt;&gt;"",AB568&lt;&gt;"",AC568&lt;&gt;"",BB568&lt;&gt;"",BC568&lt;&gt;""),"ГОТОВО","НЕ ГОТОВО"))</f>
        <v/>
      </c>
      <c r="BE568" s="205">
        <f>IF(BD568&lt;&gt;"ГОТОВО","","Полное заключение: "&amp;A568&amp;", скв. "&amp;B568&amp;". МРП: "&amp;E568&amp;" сут. ГНО: "&amp;F568&amp;"; причина: "&amp;U568&amp;"; категория: "&amp;V568&amp;"; решение комиссии: "&amp;BB568&amp;".")</f>
        <v/>
      </c>
      <c r="BF568" s="173">
        <f>IF('Оперативный ввод'!X568="","",'Оперативный ввод'!X568)</f>
        <v/>
      </c>
    </row>
    <row r="569">
      <c r="A569" s="171">
        <f>IF('Оперативный ввод'!A569="","",'Оперативный ввод'!A569)</f>
        <v/>
      </c>
      <c r="B569" s="172">
        <f>IF('Оперативный ввод'!B569="","",'Оперативный ввод'!B569)</f>
        <v/>
      </c>
      <c r="C569" s="270">
        <f>IF('Оперативный ввод'!C569="","",'Оперативный ввод'!C569)</f>
        <v/>
      </c>
      <c r="D569" s="270">
        <f>IF('Оперативный ввод'!D569="","",'Оперативный ввод'!D569)</f>
        <v/>
      </c>
      <c r="E569" s="271">
        <f>IF(OR(C569="",D569=""),"",D569-C569)</f>
        <v/>
      </c>
      <c r="F569" s="172">
        <f>IF('Оперативный ввод'!F569="","",'Оперативный ввод'!F569)</f>
        <v/>
      </c>
      <c r="G569" s="172">
        <f>IF('Оперативный ввод'!G569="","",'Оперативный ввод'!G569)</f>
        <v/>
      </c>
      <c r="H569" s="172">
        <f>IF('Оперативный ввод'!H569="","",'Оперативный ввод'!H569)</f>
        <v/>
      </c>
      <c r="I569" s="172">
        <f>IF('Оперативный ввод'!I569="","",'Оперативный ввод'!I569)</f>
        <v/>
      </c>
      <c r="J569" s="172">
        <f>IF('Оперативный ввод'!J569="","",'Оперативный ввод'!J569)</f>
        <v/>
      </c>
      <c r="K569" s="172">
        <f>IF('Оперативный ввод'!K569="","",'Оперативный ввод'!K569)</f>
        <v/>
      </c>
      <c r="L569" s="172">
        <f>IF('Оперативный ввод'!L569="","",'Оперативный ввод'!L569)</f>
        <v/>
      </c>
      <c r="M569" s="172">
        <f>IF('Оперативный ввод'!M569="","",'Оперативный ввод'!M569)</f>
        <v/>
      </c>
      <c r="N569" s="172">
        <f>IF('Оперативный ввод'!N569="","",'Оперативный ввод'!N569)</f>
        <v/>
      </c>
      <c r="O569" s="172">
        <f>IF('Оперативный ввод'!O569="","",'Оперативный ввод'!O569)</f>
        <v/>
      </c>
      <c r="P569" s="205">
        <f>IF(AND(A569="",B569=""),"",IF(AND(A569&lt;&gt;"",B569&lt;&gt;"",C569&lt;&gt;"",D569&lt;&gt;"",F569&lt;&gt;"",G569&lt;&gt;"",H569&lt;&gt;"",ISERROR(SEARCH("по паспорту",G569)),ISERROR(SEARCH("по паспорту",H569)),I569&lt;&gt;"",J569&lt;&gt;"",K569&lt;&gt;"",L569&lt;&gt;"",M569&lt;&gt;""),"ГОТОВО","НЕ ГОТОВО"))</f>
        <v/>
      </c>
      <c r="Q569" s="205">
        <f>IF(P569&lt;&gt;"ГОТОВО","", "Предварительное заключение: "&amp;A569&amp;", скв. "&amp;B569&amp;". МРП: "&amp;E569&amp;" сут. ГНО: "&amp;F569&amp;", типоразмер "&amp;G569&amp;", марка "&amp;H569&amp;". Событие: "&amp;I569&amp;". Признак: "&amp;J569&amp;". Узел: "&amp;K569&amp;". Предварительная причина: "&amp;L569&amp;". Основное осложнение: "&amp;M569&amp;IF(N569&lt;&gt;"","; сопутствующее: "&amp;N569,"")&amp;IF(O569&lt;&gt;"","; дополнительно: "&amp;O569,"")&amp;".")</f>
        <v/>
      </c>
      <c r="R569" s="172">
        <f>IF('Оперативный ввод'!P569="","",'Оперативный ввод'!P569)</f>
        <v/>
      </c>
      <c r="S569" s="172">
        <f>IF('Оперативный ввод'!Q569="","",'Оперативный ввод'!Q569)</f>
        <v/>
      </c>
      <c r="T569" s="172">
        <f>IF('Оперативный ввод'!R569="","",'Оперативный ввод'!R569)</f>
        <v/>
      </c>
      <c r="U569" s="172">
        <f>IF('Оперативный ввод'!S569="","",'Оперативный ввод'!S569)</f>
        <v/>
      </c>
      <c r="V569" s="172">
        <f>IF('Оперативный ввод'!T569="","",'Оперативный ввод'!T569)</f>
        <v/>
      </c>
      <c r="W569" s="172" t="n"/>
      <c r="X569" s="172" t="n"/>
      <c r="Y569" s="172" t="n"/>
      <c r="Z569" s="172" t="n"/>
      <c r="AA569" s="172">
        <f>IF('Оперативный ввод'!U569="","",'Оперативный ввод'!U569)</f>
        <v/>
      </c>
      <c r="AB569" s="172">
        <f>IF('Оперативный ввод'!V569="","",'Оперативный ввод'!V569)</f>
        <v/>
      </c>
      <c r="AC569" s="172">
        <f>IF('Оперативный ввод'!W569="","",'Оперативный ввод'!W569)</f>
        <v/>
      </c>
      <c r="BB569" s="172" t="n"/>
      <c r="BC569" s="172" t="n"/>
      <c r="BD569" s="205">
        <f>IF(AND(A569="",B569=""),"",IF(AND(P569="ГОТОВО",R569&lt;&gt;"",T569&lt;&gt;"",U569&lt;&gt;"",AA569&lt;&gt;"",AB569&lt;&gt;"",AC569&lt;&gt;"",BB569&lt;&gt;"",BC569&lt;&gt;""),"ГОТОВО","НЕ ГОТОВО"))</f>
        <v/>
      </c>
      <c r="BE569" s="205">
        <f>IF(BD569&lt;&gt;"ГОТОВО","","Полное заключение: "&amp;A569&amp;", скв. "&amp;B569&amp;". МРП: "&amp;E569&amp;" сут. ГНО: "&amp;F569&amp;"; причина: "&amp;U569&amp;"; категория: "&amp;V569&amp;"; решение комиссии: "&amp;BB569&amp;".")</f>
        <v/>
      </c>
      <c r="BF569" s="173">
        <f>IF('Оперативный ввод'!X569="","",'Оперативный ввод'!X569)</f>
        <v/>
      </c>
    </row>
    <row r="570">
      <c r="A570" s="171">
        <f>IF('Оперативный ввод'!A570="","",'Оперативный ввод'!A570)</f>
        <v/>
      </c>
      <c r="B570" s="172">
        <f>IF('Оперативный ввод'!B570="","",'Оперативный ввод'!B570)</f>
        <v/>
      </c>
      <c r="C570" s="270">
        <f>IF('Оперативный ввод'!C570="","",'Оперативный ввод'!C570)</f>
        <v/>
      </c>
      <c r="D570" s="270">
        <f>IF('Оперативный ввод'!D570="","",'Оперативный ввод'!D570)</f>
        <v/>
      </c>
      <c r="E570" s="271">
        <f>IF(OR(C570="",D570=""),"",D570-C570)</f>
        <v/>
      </c>
      <c r="F570" s="172">
        <f>IF('Оперативный ввод'!F570="","",'Оперативный ввод'!F570)</f>
        <v/>
      </c>
      <c r="G570" s="172">
        <f>IF('Оперативный ввод'!G570="","",'Оперативный ввод'!G570)</f>
        <v/>
      </c>
      <c r="H570" s="172">
        <f>IF('Оперативный ввод'!H570="","",'Оперативный ввод'!H570)</f>
        <v/>
      </c>
      <c r="I570" s="172">
        <f>IF('Оперативный ввод'!I570="","",'Оперативный ввод'!I570)</f>
        <v/>
      </c>
      <c r="J570" s="172">
        <f>IF('Оперативный ввод'!J570="","",'Оперативный ввод'!J570)</f>
        <v/>
      </c>
      <c r="K570" s="172">
        <f>IF('Оперативный ввод'!K570="","",'Оперативный ввод'!K570)</f>
        <v/>
      </c>
      <c r="L570" s="172">
        <f>IF('Оперативный ввод'!L570="","",'Оперативный ввод'!L570)</f>
        <v/>
      </c>
      <c r="M570" s="172">
        <f>IF('Оперативный ввод'!M570="","",'Оперативный ввод'!M570)</f>
        <v/>
      </c>
      <c r="N570" s="172">
        <f>IF('Оперативный ввод'!N570="","",'Оперативный ввод'!N570)</f>
        <v/>
      </c>
      <c r="O570" s="172">
        <f>IF('Оперативный ввод'!O570="","",'Оперативный ввод'!O570)</f>
        <v/>
      </c>
      <c r="P570" s="205">
        <f>IF(AND(A570="",B570=""),"",IF(AND(A570&lt;&gt;"",B570&lt;&gt;"",C570&lt;&gt;"",D570&lt;&gt;"",F570&lt;&gt;"",G570&lt;&gt;"",H570&lt;&gt;"",ISERROR(SEARCH("по паспорту",G570)),ISERROR(SEARCH("по паспорту",H570)),I570&lt;&gt;"",J570&lt;&gt;"",K570&lt;&gt;"",L570&lt;&gt;"",M570&lt;&gt;""),"ГОТОВО","НЕ ГОТОВО"))</f>
        <v/>
      </c>
      <c r="Q570" s="205">
        <f>IF(P570&lt;&gt;"ГОТОВО","", "Предварительное заключение: "&amp;A570&amp;", скв. "&amp;B570&amp;". МРП: "&amp;E570&amp;" сут. ГНО: "&amp;F570&amp;", типоразмер "&amp;G570&amp;", марка "&amp;H570&amp;". Событие: "&amp;I570&amp;". Признак: "&amp;J570&amp;". Узел: "&amp;K570&amp;". Предварительная причина: "&amp;L570&amp;". Основное осложнение: "&amp;M570&amp;IF(N570&lt;&gt;"","; сопутствующее: "&amp;N570,"")&amp;IF(O570&lt;&gt;"","; дополнительно: "&amp;O570,"")&amp;".")</f>
        <v/>
      </c>
      <c r="R570" s="172">
        <f>IF('Оперативный ввод'!P570="","",'Оперативный ввод'!P570)</f>
        <v/>
      </c>
      <c r="S570" s="172">
        <f>IF('Оперативный ввод'!Q570="","",'Оперативный ввод'!Q570)</f>
        <v/>
      </c>
      <c r="T570" s="172">
        <f>IF('Оперативный ввод'!R570="","",'Оперативный ввод'!R570)</f>
        <v/>
      </c>
      <c r="U570" s="172">
        <f>IF('Оперативный ввод'!S570="","",'Оперативный ввод'!S570)</f>
        <v/>
      </c>
      <c r="V570" s="172">
        <f>IF('Оперативный ввод'!T570="","",'Оперативный ввод'!T570)</f>
        <v/>
      </c>
      <c r="W570" s="172" t="n"/>
      <c r="X570" s="172" t="n"/>
      <c r="Y570" s="172" t="n"/>
      <c r="Z570" s="172" t="n"/>
      <c r="AA570" s="172">
        <f>IF('Оперативный ввод'!U570="","",'Оперативный ввод'!U570)</f>
        <v/>
      </c>
      <c r="AB570" s="172">
        <f>IF('Оперативный ввод'!V570="","",'Оперативный ввод'!V570)</f>
        <v/>
      </c>
      <c r="AC570" s="172">
        <f>IF('Оперативный ввод'!W570="","",'Оперативный ввод'!W570)</f>
        <v/>
      </c>
      <c r="BB570" s="172" t="n"/>
      <c r="BC570" s="172" t="n"/>
      <c r="BD570" s="205">
        <f>IF(AND(A570="",B570=""),"",IF(AND(P570="ГОТОВО",R570&lt;&gt;"",T570&lt;&gt;"",U570&lt;&gt;"",AA570&lt;&gt;"",AB570&lt;&gt;"",AC570&lt;&gt;"",BB570&lt;&gt;"",BC570&lt;&gt;""),"ГОТОВО","НЕ ГОТОВО"))</f>
        <v/>
      </c>
      <c r="BE570" s="205">
        <f>IF(BD570&lt;&gt;"ГОТОВО","","Полное заключение: "&amp;A570&amp;", скв. "&amp;B570&amp;". МРП: "&amp;E570&amp;" сут. ГНО: "&amp;F570&amp;"; причина: "&amp;U570&amp;"; категория: "&amp;V570&amp;"; решение комиссии: "&amp;BB570&amp;".")</f>
        <v/>
      </c>
      <c r="BF570" s="173">
        <f>IF('Оперативный ввод'!X570="","",'Оперативный ввод'!X570)</f>
        <v/>
      </c>
    </row>
    <row r="571">
      <c r="A571" s="171">
        <f>IF('Оперативный ввод'!A571="","",'Оперативный ввод'!A571)</f>
        <v/>
      </c>
      <c r="B571" s="172">
        <f>IF('Оперативный ввод'!B571="","",'Оперативный ввод'!B571)</f>
        <v/>
      </c>
      <c r="C571" s="270">
        <f>IF('Оперативный ввод'!C571="","",'Оперативный ввод'!C571)</f>
        <v/>
      </c>
      <c r="D571" s="270">
        <f>IF('Оперативный ввод'!D571="","",'Оперативный ввод'!D571)</f>
        <v/>
      </c>
      <c r="E571" s="271">
        <f>IF(OR(C571="",D571=""),"",D571-C571)</f>
        <v/>
      </c>
      <c r="F571" s="172">
        <f>IF('Оперативный ввод'!F571="","",'Оперативный ввод'!F571)</f>
        <v/>
      </c>
      <c r="G571" s="172">
        <f>IF('Оперативный ввод'!G571="","",'Оперативный ввод'!G571)</f>
        <v/>
      </c>
      <c r="H571" s="172">
        <f>IF('Оперативный ввод'!H571="","",'Оперативный ввод'!H571)</f>
        <v/>
      </c>
      <c r="I571" s="172">
        <f>IF('Оперативный ввод'!I571="","",'Оперативный ввод'!I571)</f>
        <v/>
      </c>
      <c r="J571" s="172">
        <f>IF('Оперативный ввод'!J571="","",'Оперативный ввод'!J571)</f>
        <v/>
      </c>
      <c r="K571" s="172">
        <f>IF('Оперативный ввод'!K571="","",'Оперативный ввод'!K571)</f>
        <v/>
      </c>
      <c r="L571" s="172">
        <f>IF('Оперативный ввод'!L571="","",'Оперативный ввод'!L571)</f>
        <v/>
      </c>
      <c r="M571" s="172">
        <f>IF('Оперативный ввод'!M571="","",'Оперативный ввод'!M571)</f>
        <v/>
      </c>
      <c r="N571" s="172">
        <f>IF('Оперативный ввод'!N571="","",'Оперативный ввод'!N571)</f>
        <v/>
      </c>
      <c r="O571" s="172">
        <f>IF('Оперативный ввод'!O571="","",'Оперативный ввод'!O571)</f>
        <v/>
      </c>
      <c r="P571" s="205">
        <f>IF(AND(A571="",B571=""),"",IF(AND(A571&lt;&gt;"",B571&lt;&gt;"",C571&lt;&gt;"",D571&lt;&gt;"",F571&lt;&gt;"",G571&lt;&gt;"",H571&lt;&gt;"",ISERROR(SEARCH("по паспорту",G571)),ISERROR(SEARCH("по паспорту",H571)),I571&lt;&gt;"",J571&lt;&gt;"",K571&lt;&gt;"",L571&lt;&gt;"",M571&lt;&gt;""),"ГОТОВО","НЕ ГОТОВО"))</f>
        <v/>
      </c>
      <c r="Q571" s="205">
        <f>IF(P571&lt;&gt;"ГОТОВО","", "Предварительное заключение: "&amp;A571&amp;", скв. "&amp;B571&amp;". МРП: "&amp;E571&amp;" сут. ГНО: "&amp;F571&amp;", типоразмер "&amp;G571&amp;", марка "&amp;H571&amp;". Событие: "&amp;I571&amp;". Признак: "&amp;J571&amp;". Узел: "&amp;K571&amp;". Предварительная причина: "&amp;L571&amp;". Основное осложнение: "&amp;M571&amp;IF(N571&lt;&gt;"","; сопутствующее: "&amp;N571,"")&amp;IF(O571&lt;&gt;"","; дополнительно: "&amp;O571,"")&amp;".")</f>
        <v/>
      </c>
      <c r="R571" s="172">
        <f>IF('Оперативный ввод'!P571="","",'Оперативный ввод'!P571)</f>
        <v/>
      </c>
      <c r="S571" s="172">
        <f>IF('Оперативный ввод'!Q571="","",'Оперативный ввод'!Q571)</f>
        <v/>
      </c>
      <c r="T571" s="172">
        <f>IF('Оперативный ввод'!R571="","",'Оперативный ввод'!R571)</f>
        <v/>
      </c>
      <c r="U571" s="172">
        <f>IF('Оперативный ввод'!S571="","",'Оперативный ввод'!S571)</f>
        <v/>
      </c>
      <c r="V571" s="172">
        <f>IF('Оперативный ввод'!T571="","",'Оперативный ввод'!T571)</f>
        <v/>
      </c>
      <c r="W571" s="172" t="n"/>
      <c r="X571" s="172" t="n"/>
      <c r="Y571" s="172" t="n"/>
      <c r="Z571" s="172" t="n"/>
      <c r="AA571" s="172">
        <f>IF('Оперативный ввод'!U571="","",'Оперативный ввод'!U571)</f>
        <v/>
      </c>
      <c r="AB571" s="172">
        <f>IF('Оперативный ввод'!V571="","",'Оперативный ввод'!V571)</f>
        <v/>
      </c>
      <c r="AC571" s="172">
        <f>IF('Оперативный ввод'!W571="","",'Оперативный ввод'!W571)</f>
        <v/>
      </c>
      <c r="BB571" s="172" t="n"/>
      <c r="BC571" s="172" t="n"/>
      <c r="BD571" s="205">
        <f>IF(AND(A571="",B571=""),"",IF(AND(P571="ГОТОВО",R571&lt;&gt;"",T571&lt;&gt;"",U571&lt;&gt;"",AA571&lt;&gt;"",AB571&lt;&gt;"",AC571&lt;&gt;"",BB571&lt;&gt;"",BC571&lt;&gt;""),"ГОТОВО","НЕ ГОТОВО"))</f>
        <v/>
      </c>
      <c r="BE571" s="205">
        <f>IF(BD571&lt;&gt;"ГОТОВО","","Полное заключение: "&amp;A571&amp;", скв. "&amp;B571&amp;". МРП: "&amp;E571&amp;" сут. ГНО: "&amp;F571&amp;"; причина: "&amp;U571&amp;"; категория: "&amp;V571&amp;"; решение комиссии: "&amp;BB571&amp;".")</f>
        <v/>
      </c>
      <c r="BF571" s="173">
        <f>IF('Оперативный ввод'!X571="","",'Оперативный ввод'!X571)</f>
        <v/>
      </c>
    </row>
    <row r="572">
      <c r="A572" s="171">
        <f>IF('Оперативный ввод'!A572="","",'Оперативный ввод'!A572)</f>
        <v/>
      </c>
      <c r="B572" s="172">
        <f>IF('Оперативный ввод'!B572="","",'Оперативный ввод'!B572)</f>
        <v/>
      </c>
      <c r="C572" s="270">
        <f>IF('Оперативный ввод'!C572="","",'Оперативный ввод'!C572)</f>
        <v/>
      </c>
      <c r="D572" s="270">
        <f>IF('Оперативный ввод'!D572="","",'Оперативный ввод'!D572)</f>
        <v/>
      </c>
      <c r="E572" s="271">
        <f>IF(OR(C572="",D572=""),"",D572-C572)</f>
        <v/>
      </c>
      <c r="F572" s="172">
        <f>IF('Оперативный ввод'!F572="","",'Оперативный ввод'!F572)</f>
        <v/>
      </c>
      <c r="G572" s="172">
        <f>IF('Оперативный ввод'!G572="","",'Оперативный ввод'!G572)</f>
        <v/>
      </c>
      <c r="H572" s="172">
        <f>IF('Оперативный ввод'!H572="","",'Оперативный ввод'!H572)</f>
        <v/>
      </c>
      <c r="I572" s="172">
        <f>IF('Оперативный ввод'!I572="","",'Оперативный ввод'!I572)</f>
        <v/>
      </c>
      <c r="J572" s="172">
        <f>IF('Оперативный ввод'!J572="","",'Оперативный ввод'!J572)</f>
        <v/>
      </c>
      <c r="K572" s="172">
        <f>IF('Оперативный ввод'!K572="","",'Оперативный ввод'!K572)</f>
        <v/>
      </c>
      <c r="L572" s="172">
        <f>IF('Оперативный ввод'!L572="","",'Оперативный ввод'!L572)</f>
        <v/>
      </c>
      <c r="M572" s="172">
        <f>IF('Оперативный ввод'!M572="","",'Оперативный ввод'!M572)</f>
        <v/>
      </c>
      <c r="N572" s="172">
        <f>IF('Оперативный ввод'!N572="","",'Оперативный ввод'!N572)</f>
        <v/>
      </c>
      <c r="O572" s="172">
        <f>IF('Оперативный ввод'!O572="","",'Оперативный ввод'!O572)</f>
        <v/>
      </c>
      <c r="P572" s="205">
        <f>IF(AND(A572="",B572=""),"",IF(AND(A572&lt;&gt;"",B572&lt;&gt;"",C572&lt;&gt;"",D572&lt;&gt;"",F572&lt;&gt;"",G572&lt;&gt;"",H572&lt;&gt;"",ISERROR(SEARCH("по паспорту",G572)),ISERROR(SEARCH("по паспорту",H572)),I572&lt;&gt;"",J572&lt;&gt;"",K572&lt;&gt;"",L572&lt;&gt;"",M572&lt;&gt;""),"ГОТОВО","НЕ ГОТОВО"))</f>
        <v/>
      </c>
      <c r="Q572" s="205">
        <f>IF(P572&lt;&gt;"ГОТОВО","", "Предварительное заключение: "&amp;A572&amp;", скв. "&amp;B572&amp;". МРП: "&amp;E572&amp;" сут. ГНО: "&amp;F572&amp;", типоразмер "&amp;G572&amp;", марка "&amp;H572&amp;". Событие: "&amp;I572&amp;". Признак: "&amp;J572&amp;". Узел: "&amp;K572&amp;". Предварительная причина: "&amp;L572&amp;". Основное осложнение: "&amp;M572&amp;IF(N572&lt;&gt;"","; сопутствующее: "&amp;N572,"")&amp;IF(O572&lt;&gt;"","; дополнительно: "&amp;O572,"")&amp;".")</f>
        <v/>
      </c>
      <c r="R572" s="172">
        <f>IF('Оперативный ввод'!P572="","",'Оперативный ввод'!P572)</f>
        <v/>
      </c>
      <c r="S572" s="172">
        <f>IF('Оперативный ввод'!Q572="","",'Оперативный ввод'!Q572)</f>
        <v/>
      </c>
      <c r="T572" s="172">
        <f>IF('Оперативный ввод'!R572="","",'Оперативный ввод'!R572)</f>
        <v/>
      </c>
      <c r="U572" s="172">
        <f>IF('Оперативный ввод'!S572="","",'Оперативный ввод'!S572)</f>
        <v/>
      </c>
      <c r="V572" s="172">
        <f>IF('Оперативный ввод'!T572="","",'Оперативный ввод'!T572)</f>
        <v/>
      </c>
      <c r="W572" s="172" t="n"/>
      <c r="X572" s="172" t="n"/>
      <c r="Y572" s="172" t="n"/>
      <c r="Z572" s="172" t="n"/>
      <c r="AA572" s="172">
        <f>IF('Оперативный ввод'!U572="","",'Оперативный ввод'!U572)</f>
        <v/>
      </c>
      <c r="AB572" s="172">
        <f>IF('Оперативный ввод'!V572="","",'Оперативный ввод'!V572)</f>
        <v/>
      </c>
      <c r="AC572" s="172">
        <f>IF('Оперативный ввод'!W572="","",'Оперативный ввод'!W572)</f>
        <v/>
      </c>
      <c r="BB572" s="172" t="n"/>
      <c r="BC572" s="172" t="n"/>
      <c r="BD572" s="205">
        <f>IF(AND(A572="",B572=""),"",IF(AND(P572="ГОТОВО",R572&lt;&gt;"",T572&lt;&gt;"",U572&lt;&gt;"",AA572&lt;&gt;"",AB572&lt;&gt;"",AC572&lt;&gt;"",BB572&lt;&gt;"",BC572&lt;&gt;""),"ГОТОВО","НЕ ГОТОВО"))</f>
        <v/>
      </c>
      <c r="BE572" s="205">
        <f>IF(BD572&lt;&gt;"ГОТОВО","","Полное заключение: "&amp;A572&amp;", скв. "&amp;B572&amp;". МРП: "&amp;E572&amp;" сут. ГНО: "&amp;F572&amp;"; причина: "&amp;U572&amp;"; категория: "&amp;V572&amp;"; решение комиссии: "&amp;BB572&amp;".")</f>
        <v/>
      </c>
      <c r="BF572" s="173">
        <f>IF('Оперативный ввод'!X572="","",'Оперативный ввод'!X572)</f>
        <v/>
      </c>
    </row>
    <row r="573">
      <c r="A573" s="171">
        <f>IF('Оперативный ввод'!A573="","",'Оперативный ввод'!A573)</f>
        <v/>
      </c>
      <c r="B573" s="172">
        <f>IF('Оперативный ввод'!B573="","",'Оперативный ввод'!B573)</f>
        <v/>
      </c>
      <c r="C573" s="270">
        <f>IF('Оперативный ввод'!C573="","",'Оперативный ввод'!C573)</f>
        <v/>
      </c>
      <c r="D573" s="270">
        <f>IF('Оперативный ввод'!D573="","",'Оперативный ввод'!D573)</f>
        <v/>
      </c>
      <c r="E573" s="271">
        <f>IF(OR(C573="",D573=""),"",D573-C573)</f>
        <v/>
      </c>
      <c r="F573" s="172">
        <f>IF('Оперативный ввод'!F573="","",'Оперативный ввод'!F573)</f>
        <v/>
      </c>
      <c r="G573" s="172">
        <f>IF('Оперативный ввод'!G573="","",'Оперативный ввод'!G573)</f>
        <v/>
      </c>
      <c r="H573" s="172">
        <f>IF('Оперативный ввод'!H573="","",'Оперативный ввод'!H573)</f>
        <v/>
      </c>
      <c r="I573" s="172">
        <f>IF('Оперативный ввод'!I573="","",'Оперативный ввод'!I573)</f>
        <v/>
      </c>
      <c r="J573" s="172">
        <f>IF('Оперативный ввод'!J573="","",'Оперативный ввод'!J573)</f>
        <v/>
      </c>
      <c r="K573" s="172">
        <f>IF('Оперативный ввод'!K573="","",'Оперативный ввод'!K573)</f>
        <v/>
      </c>
      <c r="L573" s="172">
        <f>IF('Оперативный ввод'!L573="","",'Оперативный ввод'!L573)</f>
        <v/>
      </c>
      <c r="M573" s="172">
        <f>IF('Оперативный ввод'!M573="","",'Оперативный ввод'!M573)</f>
        <v/>
      </c>
      <c r="N573" s="172">
        <f>IF('Оперативный ввод'!N573="","",'Оперативный ввод'!N573)</f>
        <v/>
      </c>
      <c r="O573" s="172">
        <f>IF('Оперативный ввод'!O573="","",'Оперативный ввод'!O573)</f>
        <v/>
      </c>
      <c r="P573" s="205">
        <f>IF(AND(A573="",B573=""),"",IF(AND(A573&lt;&gt;"",B573&lt;&gt;"",C573&lt;&gt;"",D573&lt;&gt;"",F573&lt;&gt;"",G573&lt;&gt;"",H573&lt;&gt;"",ISERROR(SEARCH("по паспорту",G573)),ISERROR(SEARCH("по паспорту",H573)),I573&lt;&gt;"",J573&lt;&gt;"",K573&lt;&gt;"",L573&lt;&gt;"",M573&lt;&gt;""),"ГОТОВО","НЕ ГОТОВО"))</f>
        <v/>
      </c>
      <c r="Q573" s="205">
        <f>IF(P573&lt;&gt;"ГОТОВО","", "Предварительное заключение: "&amp;A573&amp;", скв. "&amp;B573&amp;". МРП: "&amp;E573&amp;" сут. ГНО: "&amp;F573&amp;", типоразмер "&amp;G573&amp;", марка "&amp;H573&amp;". Событие: "&amp;I573&amp;". Признак: "&amp;J573&amp;". Узел: "&amp;K573&amp;". Предварительная причина: "&amp;L573&amp;". Основное осложнение: "&amp;M573&amp;IF(N573&lt;&gt;"","; сопутствующее: "&amp;N573,"")&amp;IF(O573&lt;&gt;"","; дополнительно: "&amp;O573,"")&amp;".")</f>
        <v/>
      </c>
      <c r="R573" s="172">
        <f>IF('Оперативный ввод'!P573="","",'Оперативный ввод'!P573)</f>
        <v/>
      </c>
      <c r="S573" s="172">
        <f>IF('Оперативный ввод'!Q573="","",'Оперативный ввод'!Q573)</f>
        <v/>
      </c>
      <c r="T573" s="172">
        <f>IF('Оперативный ввод'!R573="","",'Оперативный ввод'!R573)</f>
        <v/>
      </c>
      <c r="U573" s="172">
        <f>IF('Оперативный ввод'!S573="","",'Оперативный ввод'!S573)</f>
        <v/>
      </c>
      <c r="V573" s="172">
        <f>IF('Оперативный ввод'!T573="","",'Оперативный ввод'!T573)</f>
        <v/>
      </c>
      <c r="W573" s="172" t="n"/>
      <c r="X573" s="172" t="n"/>
      <c r="Y573" s="172" t="n"/>
      <c r="Z573" s="172" t="n"/>
      <c r="AA573" s="172">
        <f>IF('Оперативный ввод'!U573="","",'Оперативный ввод'!U573)</f>
        <v/>
      </c>
      <c r="AB573" s="172">
        <f>IF('Оперативный ввод'!V573="","",'Оперативный ввод'!V573)</f>
        <v/>
      </c>
      <c r="AC573" s="172">
        <f>IF('Оперативный ввод'!W573="","",'Оперативный ввод'!W573)</f>
        <v/>
      </c>
      <c r="BB573" s="172" t="n"/>
      <c r="BC573" s="172" t="n"/>
      <c r="BD573" s="205">
        <f>IF(AND(A573="",B573=""),"",IF(AND(P573="ГОТОВО",R573&lt;&gt;"",T573&lt;&gt;"",U573&lt;&gt;"",AA573&lt;&gt;"",AB573&lt;&gt;"",AC573&lt;&gt;"",BB573&lt;&gt;"",BC573&lt;&gt;""),"ГОТОВО","НЕ ГОТОВО"))</f>
        <v/>
      </c>
      <c r="BE573" s="205">
        <f>IF(BD573&lt;&gt;"ГОТОВО","","Полное заключение: "&amp;A573&amp;", скв. "&amp;B573&amp;". МРП: "&amp;E573&amp;" сут. ГНО: "&amp;F573&amp;"; причина: "&amp;U573&amp;"; категория: "&amp;V573&amp;"; решение комиссии: "&amp;BB573&amp;".")</f>
        <v/>
      </c>
      <c r="BF573" s="173">
        <f>IF('Оперативный ввод'!X573="","",'Оперативный ввод'!X573)</f>
        <v/>
      </c>
    </row>
    <row r="574">
      <c r="A574" s="171">
        <f>IF('Оперативный ввод'!A574="","",'Оперативный ввод'!A574)</f>
        <v/>
      </c>
      <c r="B574" s="172">
        <f>IF('Оперативный ввод'!B574="","",'Оперативный ввод'!B574)</f>
        <v/>
      </c>
      <c r="C574" s="270">
        <f>IF('Оперативный ввод'!C574="","",'Оперативный ввод'!C574)</f>
        <v/>
      </c>
      <c r="D574" s="270">
        <f>IF('Оперативный ввод'!D574="","",'Оперативный ввод'!D574)</f>
        <v/>
      </c>
      <c r="E574" s="271">
        <f>IF(OR(C574="",D574=""),"",D574-C574)</f>
        <v/>
      </c>
      <c r="F574" s="172">
        <f>IF('Оперативный ввод'!F574="","",'Оперативный ввод'!F574)</f>
        <v/>
      </c>
      <c r="G574" s="172">
        <f>IF('Оперативный ввод'!G574="","",'Оперативный ввод'!G574)</f>
        <v/>
      </c>
      <c r="H574" s="172">
        <f>IF('Оперативный ввод'!H574="","",'Оперативный ввод'!H574)</f>
        <v/>
      </c>
      <c r="I574" s="172">
        <f>IF('Оперативный ввод'!I574="","",'Оперативный ввод'!I574)</f>
        <v/>
      </c>
      <c r="J574" s="172">
        <f>IF('Оперативный ввод'!J574="","",'Оперативный ввод'!J574)</f>
        <v/>
      </c>
      <c r="K574" s="172">
        <f>IF('Оперативный ввод'!K574="","",'Оперативный ввод'!K574)</f>
        <v/>
      </c>
      <c r="L574" s="172">
        <f>IF('Оперативный ввод'!L574="","",'Оперативный ввод'!L574)</f>
        <v/>
      </c>
      <c r="M574" s="172">
        <f>IF('Оперативный ввод'!M574="","",'Оперативный ввод'!M574)</f>
        <v/>
      </c>
      <c r="N574" s="172">
        <f>IF('Оперативный ввод'!N574="","",'Оперативный ввод'!N574)</f>
        <v/>
      </c>
      <c r="O574" s="172">
        <f>IF('Оперативный ввод'!O574="","",'Оперативный ввод'!O574)</f>
        <v/>
      </c>
      <c r="P574" s="205">
        <f>IF(AND(A574="",B574=""),"",IF(AND(A574&lt;&gt;"",B574&lt;&gt;"",C574&lt;&gt;"",D574&lt;&gt;"",F574&lt;&gt;"",G574&lt;&gt;"",H574&lt;&gt;"",ISERROR(SEARCH("по паспорту",G574)),ISERROR(SEARCH("по паспорту",H574)),I574&lt;&gt;"",J574&lt;&gt;"",K574&lt;&gt;"",L574&lt;&gt;"",M574&lt;&gt;""),"ГОТОВО","НЕ ГОТОВО"))</f>
        <v/>
      </c>
      <c r="Q574" s="205">
        <f>IF(P574&lt;&gt;"ГОТОВО","", "Предварительное заключение: "&amp;A574&amp;", скв. "&amp;B574&amp;". МРП: "&amp;E574&amp;" сут. ГНО: "&amp;F574&amp;", типоразмер "&amp;G574&amp;", марка "&amp;H574&amp;". Событие: "&amp;I574&amp;". Признак: "&amp;J574&amp;". Узел: "&amp;K574&amp;". Предварительная причина: "&amp;L574&amp;". Основное осложнение: "&amp;M574&amp;IF(N574&lt;&gt;"","; сопутствующее: "&amp;N574,"")&amp;IF(O574&lt;&gt;"","; дополнительно: "&amp;O574,"")&amp;".")</f>
        <v/>
      </c>
      <c r="R574" s="172">
        <f>IF('Оперативный ввод'!P574="","",'Оперативный ввод'!P574)</f>
        <v/>
      </c>
      <c r="S574" s="172">
        <f>IF('Оперативный ввод'!Q574="","",'Оперативный ввод'!Q574)</f>
        <v/>
      </c>
      <c r="T574" s="172">
        <f>IF('Оперативный ввод'!R574="","",'Оперативный ввод'!R574)</f>
        <v/>
      </c>
      <c r="U574" s="172">
        <f>IF('Оперативный ввод'!S574="","",'Оперативный ввод'!S574)</f>
        <v/>
      </c>
      <c r="V574" s="172">
        <f>IF('Оперативный ввод'!T574="","",'Оперативный ввод'!T574)</f>
        <v/>
      </c>
      <c r="W574" s="172" t="n"/>
      <c r="X574" s="172" t="n"/>
      <c r="Y574" s="172" t="n"/>
      <c r="Z574" s="172" t="n"/>
      <c r="AA574" s="172">
        <f>IF('Оперативный ввод'!U574="","",'Оперативный ввод'!U574)</f>
        <v/>
      </c>
      <c r="AB574" s="172">
        <f>IF('Оперативный ввод'!V574="","",'Оперативный ввод'!V574)</f>
        <v/>
      </c>
      <c r="AC574" s="172">
        <f>IF('Оперативный ввод'!W574="","",'Оперативный ввод'!W574)</f>
        <v/>
      </c>
      <c r="BB574" s="172" t="n"/>
      <c r="BC574" s="172" t="n"/>
      <c r="BD574" s="205">
        <f>IF(AND(A574="",B574=""),"",IF(AND(P574="ГОТОВО",R574&lt;&gt;"",T574&lt;&gt;"",U574&lt;&gt;"",AA574&lt;&gt;"",AB574&lt;&gt;"",AC574&lt;&gt;"",BB574&lt;&gt;"",BC574&lt;&gt;""),"ГОТОВО","НЕ ГОТОВО"))</f>
        <v/>
      </c>
      <c r="BE574" s="205">
        <f>IF(BD574&lt;&gt;"ГОТОВО","","Полное заключение: "&amp;A574&amp;", скв. "&amp;B574&amp;". МРП: "&amp;E574&amp;" сут. ГНО: "&amp;F574&amp;"; причина: "&amp;U574&amp;"; категория: "&amp;V574&amp;"; решение комиссии: "&amp;BB574&amp;".")</f>
        <v/>
      </c>
      <c r="BF574" s="173">
        <f>IF('Оперативный ввод'!X574="","",'Оперативный ввод'!X574)</f>
        <v/>
      </c>
    </row>
    <row r="575">
      <c r="A575" s="171">
        <f>IF('Оперативный ввод'!A575="","",'Оперативный ввод'!A575)</f>
        <v/>
      </c>
      <c r="B575" s="172">
        <f>IF('Оперативный ввод'!B575="","",'Оперативный ввод'!B575)</f>
        <v/>
      </c>
      <c r="C575" s="270">
        <f>IF('Оперативный ввод'!C575="","",'Оперативный ввод'!C575)</f>
        <v/>
      </c>
      <c r="D575" s="270">
        <f>IF('Оперативный ввод'!D575="","",'Оперативный ввод'!D575)</f>
        <v/>
      </c>
      <c r="E575" s="271">
        <f>IF(OR(C575="",D575=""),"",D575-C575)</f>
        <v/>
      </c>
      <c r="F575" s="172">
        <f>IF('Оперативный ввод'!F575="","",'Оперативный ввод'!F575)</f>
        <v/>
      </c>
      <c r="G575" s="172">
        <f>IF('Оперативный ввод'!G575="","",'Оперативный ввод'!G575)</f>
        <v/>
      </c>
      <c r="H575" s="172">
        <f>IF('Оперативный ввод'!H575="","",'Оперативный ввод'!H575)</f>
        <v/>
      </c>
      <c r="I575" s="172">
        <f>IF('Оперативный ввод'!I575="","",'Оперативный ввод'!I575)</f>
        <v/>
      </c>
      <c r="J575" s="172">
        <f>IF('Оперативный ввод'!J575="","",'Оперативный ввод'!J575)</f>
        <v/>
      </c>
      <c r="K575" s="172">
        <f>IF('Оперативный ввод'!K575="","",'Оперативный ввод'!K575)</f>
        <v/>
      </c>
      <c r="L575" s="172">
        <f>IF('Оперативный ввод'!L575="","",'Оперативный ввод'!L575)</f>
        <v/>
      </c>
      <c r="M575" s="172">
        <f>IF('Оперативный ввод'!M575="","",'Оперативный ввод'!M575)</f>
        <v/>
      </c>
      <c r="N575" s="172">
        <f>IF('Оперативный ввод'!N575="","",'Оперативный ввод'!N575)</f>
        <v/>
      </c>
      <c r="O575" s="172">
        <f>IF('Оперативный ввод'!O575="","",'Оперативный ввод'!O575)</f>
        <v/>
      </c>
      <c r="P575" s="205">
        <f>IF(AND(A575="",B575=""),"",IF(AND(A575&lt;&gt;"",B575&lt;&gt;"",C575&lt;&gt;"",D575&lt;&gt;"",F575&lt;&gt;"",G575&lt;&gt;"",H575&lt;&gt;"",ISERROR(SEARCH("по паспорту",G575)),ISERROR(SEARCH("по паспорту",H575)),I575&lt;&gt;"",J575&lt;&gt;"",K575&lt;&gt;"",L575&lt;&gt;"",M575&lt;&gt;""),"ГОТОВО","НЕ ГОТОВО"))</f>
        <v/>
      </c>
      <c r="Q575" s="205">
        <f>IF(P575&lt;&gt;"ГОТОВО","", "Предварительное заключение: "&amp;A575&amp;", скв. "&amp;B575&amp;". МРП: "&amp;E575&amp;" сут. ГНО: "&amp;F575&amp;", типоразмер "&amp;G575&amp;", марка "&amp;H575&amp;". Событие: "&amp;I575&amp;". Признак: "&amp;J575&amp;". Узел: "&amp;K575&amp;". Предварительная причина: "&amp;L575&amp;". Основное осложнение: "&amp;M575&amp;IF(N575&lt;&gt;"","; сопутствующее: "&amp;N575,"")&amp;IF(O575&lt;&gt;"","; дополнительно: "&amp;O575,"")&amp;".")</f>
        <v/>
      </c>
      <c r="R575" s="172">
        <f>IF('Оперативный ввод'!P575="","",'Оперативный ввод'!P575)</f>
        <v/>
      </c>
      <c r="S575" s="172">
        <f>IF('Оперативный ввод'!Q575="","",'Оперативный ввод'!Q575)</f>
        <v/>
      </c>
      <c r="T575" s="172">
        <f>IF('Оперативный ввод'!R575="","",'Оперативный ввод'!R575)</f>
        <v/>
      </c>
      <c r="U575" s="172">
        <f>IF('Оперативный ввод'!S575="","",'Оперативный ввод'!S575)</f>
        <v/>
      </c>
      <c r="V575" s="172">
        <f>IF('Оперативный ввод'!T575="","",'Оперативный ввод'!T575)</f>
        <v/>
      </c>
      <c r="W575" s="172" t="n"/>
      <c r="X575" s="172" t="n"/>
      <c r="Y575" s="172" t="n"/>
      <c r="Z575" s="172" t="n"/>
      <c r="AA575" s="172">
        <f>IF('Оперативный ввод'!U575="","",'Оперативный ввод'!U575)</f>
        <v/>
      </c>
      <c r="AB575" s="172">
        <f>IF('Оперативный ввод'!V575="","",'Оперативный ввод'!V575)</f>
        <v/>
      </c>
      <c r="AC575" s="172">
        <f>IF('Оперативный ввод'!W575="","",'Оперативный ввод'!W575)</f>
        <v/>
      </c>
      <c r="BB575" s="172" t="n"/>
      <c r="BC575" s="172" t="n"/>
      <c r="BD575" s="205">
        <f>IF(AND(A575="",B575=""),"",IF(AND(P575="ГОТОВО",R575&lt;&gt;"",T575&lt;&gt;"",U575&lt;&gt;"",AA575&lt;&gt;"",AB575&lt;&gt;"",AC575&lt;&gt;"",BB575&lt;&gt;"",BC575&lt;&gt;""),"ГОТОВО","НЕ ГОТОВО"))</f>
        <v/>
      </c>
      <c r="BE575" s="205">
        <f>IF(BD575&lt;&gt;"ГОТОВО","","Полное заключение: "&amp;A575&amp;", скв. "&amp;B575&amp;". МРП: "&amp;E575&amp;" сут. ГНО: "&amp;F575&amp;"; причина: "&amp;U575&amp;"; категория: "&amp;V575&amp;"; решение комиссии: "&amp;BB575&amp;".")</f>
        <v/>
      </c>
      <c r="BF575" s="173">
        <f>IF('Оперативный ввод'!X575="","",'Оперативный ввод'!X575)</f>
        <v/>
      </c>
    </row>
    <row r="576">
      <c r="A576" s="171">
        <f>IF('Оперативный ввод'!A576="","",'Оперативный ввод'!A576)</f>
        <v/>
      </c>
      <c r="B576" s="172">
        <f>IF('Оперативный ввод'!B576="","",'Оперативный ввод'!B576)</f>
        <v/>
      </c>
      <c r="C576" s="270">
        <f>IF('Оперативный ввод'!C576="","",'Оперативный ввод'!C576)</f>
        <v/>
      </c>
      <c r="D576" s="270">
        <f>IF('Оперативный ввод'!D576="","",'Оперативный ввод'!D576)</f>
        <v/>
      </c>
      <c r="E576" s="271">
        <f>IF(OR(C576="",D576=""),"",D576-C576)</f>
        <v/>
      </c>
      <c r="F576" s="172">
        <f>IF('Оперативный ввод'!F576="","",'Оперативный ввод'!F576)</f>
        <v/>
      </c>
      <c r="G576" s="172">
        <f>IF('Оперативный ввод'!G576="","",'Оперативный ввод'!G576)</f>
        <v/>
      </c>
      <c r="H576" s="172">
        <f>IF('Оперативный ввод'!H576="","",'Оперативный ввод'!H576)</f>
        <v/>
      </c>
      <c r="I576" s="172">
        <f>IF('Оперативный ввод'!I576="","",'Оперативный ввод'!I576)</f>
        <v/>
      </c>
      <c r="J576" s="172">
        <f>IF('Оперативный ввод'!J576="","",'Оперативный ввод'!J576)</f>
        <v/>
      </c>
      <c r="K576" s="172">
        <f>IF('Оперативный ввод'!K576="","",'Оперативный ввод'!K576)</f>
        <v/>
      </c>
      <c r="L576" s="172">
        <f>IF('Оперативный ввод'!L576="","",'Оперативный ввод'!L576)</f>
        <v/>
      </c>
      <c r="M576" s="172">
        <f>IF('Оперативный ввод'!M576="","",'Оперативный ввод'!M576)</f>
        <v/>
      </c>
      <c r="N576" s="172">
        <f>IF('Оперативный ввод'!N576="","",'Оперативный ввод'!N576)</f>
        <v/>
      </c>
      <c r="O576" s="172">
        <f>IF('Оперативный ввод'!O576="","",'Оперативный ввод'!O576)</f>
        <v/>
      </c>
      <c r="P576" s="205">
        <f>IF(AND(A576="",B576=""),"",IF(AND(A576&lt;&gt;"",B576&lt;&gt;"",C576&lt;&gt;"",D576&lt;&gt;"",F576&lt;&gt;"",G576&lt;&gt;"",H576&lt;&gt;"",ISERROR(SEARCH("по паспорту",G576)),ISERROR(SEARCH("по паспорту",H576)),I576&lt;&gt;"",J576&lt;&gt;"",K576&lt;&gt;"",L576&lt;&gt;"",M576&lt;&gt;""),"ГОТОВО","НЕ ГОТОВО"))</f>
        <v/>
      </c>
      <c r="Q576" s="205">
        <f>IF(P576&lt;&gt;"ГОТОВО","", "Предварительное заключение: "&amp;A576&amp;", скв. "&amp;B576&amp;". МРП: "&amp;E576&amp;" сут. ГНО: "&amp;F576&amp;", типоразмер "&amp;G576&amp;", марка "&amp;H576&amp;". Событие: "&amp;I576&amp;". Признак: "&amp;J576&amp;". Узел: "&amp;K576&amp;". Предварительная причина: "&amp;L576&amp;". Основное осложнение: "&amp;M576&amp;IF(N576&lt;&gt;"","; сопутствующее: "&amp;N576,"")&amp;IF(O576&lt;&gt;"","; дополнительно: "&amp;O576,"")&amp;".")</f>
        <v/>
      </c>
      <c r="R576" s="172">
        <f>IF('Оперативный ввод'!P576="","",'Оперативный ввод'!P576)</f>
        <v/>
      </c>
      <c r="S576" s="172">
        <f>IF('Оперативный ввод'!Q576="","",'Оперативный ввод'!Q576)</f>
        <v/>
      </c>
      <c r="T576" s="172">
        <f>IF('Оперативный ввод'!R576="","",'Оперативный ввод'!R576)</f>
        <v/>
      </c>
      <c r="U576" s="172">
        <f>IF('Оперативный ввод'!S576="","",'Оперативный ввод'!S576)</f>
        <v/>
      </c>
      <c r="V576" s="172">
        <f>IF('Оперативный ввод'!T576="","",'Оперативный ввод'!T576)</f>
        <v/>
      </c>
      <c r="W576" s="172" t="n"/>
      <c r="X576" s="172" t="n"/>
      <c r="Y576" s="172" t="n"/>
      <c r="Z576" s="172" t="n"/>
      <c r="AA576" s="172">
        <f>IF('Оперативный ввод'!U576="","",'Оперативный ввод'!U576)</f>
        <v/>
      </c>
      <c r="AB576" s="172">
        <f>IF('Оперативный ввод'!V576="","",'Оперативный ввод'!V576)</f>
        <v/>
      </c>
      <c r="AC576" s="172">
        <f>IF('Оперативный ввод'!W576="","",'Оперативный ввод'!W576)</f>
        <v/>
      </c>
      <c r="BB576" s="172" t="n"/>
      <c r="BC576" s="172" t="n"/>
      <c r="BD576" s="205">
        <f>IF(AND(A576="",B576=""),"",IF(AND(P576="ГОТОВО",R576&lt;&gt;"",T576&lt;&gt;"",U576&lt;&gt;"",AA576&lt;&gt;"",AB576&lt;&gt;"",AC576&lt;&gt;"",BB576&lt;&gt;"",BC576&lt;&gt;""),"ГОТОВО","НЕ ГОТОВО"))</f>
        <v/>
      </c>
      <c r="BE576" s="205">
        <f>IF(BD576&lt;&gt;"ГОТОВО","","Полное заключение: "&amp;A576&amp;", скв. "&amp;B576&amp;". МРП: "&amp;E576&amp;" сут. ГНО: "&amp;F576&amp;"; причина: "&amp;U576&amp;"; категория: "&amp;V576&amp;"; решение комиссии: "&amp;BB576&amp;".")</f>
        <v/>
      </c>
      <c r="BF576" s="173">
        <f>IF('Оперативный ввод'!X576="","",'Оперативный ввод'!X576)</f>
        <v/>
      </c>
    </row>
    <row r="577">
      <c r="A577" s="171">
        <f>IF('Оперативный ввод'!A577="","",'Оперативный ввод'!A577)</f>
        <v/>
      </c>
      <c r="B577" s="172">
        <f>IF('Оперативный ввод'!B577="","",'Оперативный ввод'!B577)</f>
        <v/>
      </c>
      <c r="C577" s="270">
        <f>IF('Оперативный ввод'!C577="","",'Оперативный ввод'!C577)</f>
        <v/>
      </c>
      <c r="D577" s="270">
        <f>IF('Оперативный ввод'!D577="","",'Оперативный ввод'!D577)</f>
        <v/>
      </c>
      <c r="E577" s="271">
        <f>IF(OR(C577="",D577=""),"",D577-C577)</f>
        <v/>
      </c>
      <c r="F577" s="172">
        <f>IF('Оперативный ввод'!F577="","",'Оперативный ввод'!F577)</f>
        <v/>
      </c>
      <c r="G577" s="172">
        <f>IF('Оперативный ввод'!G577="","",'Оперативный ввод'!G577)</f>
        <v/>
      </c>
      <c r="H577" s="172">
        <f>IF('Оперативный ввод'!H577="","",'Оперативный ввод'!H577)</f>
        <v/>
      </c>
      <c r="I577" s="172">
        <f>IF('Оперативный ввод'!I577="","",'Оперативный ввод'!I577)</f>
        <v/>
      </c>
      <c r="J577" s="172">
        <f>IF('Оперативный ввод'!J577="","",'Оперативный ввод'!J577)</f>
        <v/>
      </c>
      <c r="K577" s="172">
        <f>IF('Оперативный ввод'!K577="","",'Оперативный ввод'!K577)</f>
        <v/>
      </c>
      <c r="L577" s="172">
        <f>IF('Оперативный ввод'!L577="","",'Оперативный ввод'!L577)</f>
        <v/>
      </c>
      <c r="M577" s="172">
        <f>IF('Оперативный ввод'!M577="","",'Оперативный ввод'!M577)</f>
        <v/>
      </c>
      <c r="N577" s="172">
        <f>IF('Оперативный ввод'!N577="","",'Оперативный ввод'!N577)</f>
        <v/>
      </c>
      <c r="O577" s="172">
        <f>IF('Оперативный ввод'!O577="","",'Оперативный ввод'!O577)</f>
        <v/>
      </c>
      <c r="P577" s="205">
        <f>IF(AND(A577="",B577=""),"",IF(AND(A577&lt;&gt;"",B577&lt;&gt;"",C577&lt;&gt;"",D577&lt;&gt;"",F577&lt;&gt;"",G577&lt;&gt;"",H577&lt;&gt;"",ISERROR(SEARCH("по паспорту",G577)),ISERROR(SEARCH("по паспорту",H577)),I577&lt;&gt;"",J577&lt;&gt;"",K577&lt;&gt;"",L577&lt;&gt;"",M577&lt;&gt;""),"ГОТОВО","НЕ ГОТОВО"))</f>
        <v/>
      </c>
      <c r="Q577" s="205">
        <f>IF(P577&lt;&gt;"ГОТОВО","", "Предварительное заключение: "&amp;A577&amp;", скв. "&amp;B577&amp;". МРП: "&amp;E577&amp;" сут. ГНО: "&amp;F577&amp;", типоразмер "&amp;G577&amp;", марка "&amp;H577&amp;". Событие: "&amp;I577&amp;". Признак: "&amp;J577&amp;". Узел: "&amp;K577&amp;". Предварительная причина: "&amp;L577&amp;". Основное осложнение: "&amp;M577&amp;IF(N577&lt;&gt;"","; сопутствующее: "&amp;N577,"")&amp;IF(O577&lt;&gt;"","; дополнительно: "&amp;O577,"")&amp;".")</f>
        <v/>
      </c>
      <c r="R577" s="172">
        <f>IF('Оперативный ввод'!P577="","",'Оперативный ввод'!P577)</f>
        <v/>
      </c>
      <c r="S577" s="172">
        <f>IF('Оперативный ввод'!Q577="","",'Оперативный ввод'!Q577)</f>
        <v/>
      </c>
      <c r="T577" s="172">
        <f>IF('Оперативный ввод'!R577="","",'Оперативный ввод'!R577)</f>
        <v/>
      </c>
      <c r="U577" s="172">
        <f>IF('Оперативный ввод'!S577="","",'Оперативный ввод'!S577)</f>
        <v/>
      </c>
      <c r="V577" s="172">
        <f>IF('Оперативный ввод'!T577="","",'Оперативный ввод'!T577)</f>
        <v/>
      </c>
      <c r="W577" s="172" t="n"/>
      <c r="X577" s="172" t="n"/>
      <c r="Y577" s="172" t="n"/>
      <c r="Z577" s="172" t="n"/>
      <c r="AA577" s="172">
        <f>IF('Оперативный ввод'!U577="","",'Оперативный ввод'!U577)</f>
        <v/>
      </c>
      <c r="AB577" s="172">
        <f>IF('Оперативный ввод'!V577="","",'Оперативный ввод'!V577)</f>
        <v/>
      </c>
      <c r="AC577" s="172">
        <f>IF('Оперативный ввод'!W577="","",'Оперативный ввод'!W577)</f>
        <v/>
      </c>
      <c r="BB577" s="172" t="n"/>
      <c r="BC577" s="172" t="n"/>
      <c r="BD577" s="205">
        <f>IF(AND(A577="",B577=""),"",IF(AND(P577="ГОТОВО",R577&lt;&gt;"",T577&lt;&gt;"",U577&lt;&gt;"",AA577&lt;&gt;"",AB577&lt;&gt;"",AC577&lt;&gt;"",BB577&lt;&gt;"",BC577&lt;&gt;""),"ГОТОВО","НЕ ГОТОВО"))</f>
        <v/>
      </c>
      <c r="BE577" s="205">
        <f>IF(BD577&lt;&gt;"ГОТОВО","","Полное заключение: "&amp;A577&amp;", скв. "&amp;B577&amp;". МРП: "&amp;E577&amp;" сут. ГНО: "&amp;F577&amp;"; причина: "&amp;U577&amp;"; категория: "&amp;V577&amp;"; решение комиссии: "&amp;BB577&amp;".")</f>
        <v/>
      </c>
      <c r="BF577" s="173">
        <f>IF('Оперативный ввод'!X577="","",'Оперативный ввод'!X577)</f>
        <v/>
      </c>
    </row>
    <row r="578">
      <c r="A578" s="171">
        <f>IF('Оперативный ввод'!A578="","",'Оперативный ввод'!A578)</f>
        <v/>
      </c>
      <c r="B578" s="172">
        <f>IF('Оперативный ввод'!B578="","",'Оперативный ввод'!B578)</f>
        <v/>
      </c>
      <c r="C578" s="270">
        <f>IF('Оперативный ввод'!C578="","",'Оперативный ввод'!C578)</f>
        <v/>
      </c>
      <c r="D578" s="270">
        <f>IF('Оперативный ввод'!D578="","",'Оперативный ввод'!D578)</f>
        <v/>
      </c>
      <c r="E578" s="271">
        <f>IF(OR(C578="",D578=""),"",D578-C578)</f>
        <v/>
      </c>
      <c r="F578" s="172">
        <f>IF('Оперативный ввод'!F578="","",'Оперативный ввод'!F578)</f>
        <v/>
      </c>
      <c r="G578" s="172">
        <f>IF('Оперативный ввод'!G578="","",'Оперативный ввод'!G578)</f>
        <v/>
      </c>
      <c r="H578" s="172">
        <f>IF('Оперативный ввод'!H578="","",'Оперативный ввод'!H578)</f>
        <v/>
      </c>
      <c r="I578" s="172">
        <f>IF('Оперативный ввод'!I578="","",'Оперативный ввод'!I578)</f>
        <v/>
      </c>
      <c r="J578" s="172">
        <f>IF('Оперативный ввод'!J578="","",'Оперативный ввод'!J578)</f>
        <v/>
      </c>
      <c r="K578" s="172">
        <f>IF('Оперативный ввод'!K578="","",'Оперативный ввод'!K578)</f>
        <v/>
      </c>
      <c r="L578" s="172">
        <f>IF('Оперативный ввод'!L578="","",'Оперативный ввод'!L578)</f>
        <v/>
      </c>
      <c r="M578" s="172">
        <f>IF('Оперативный ввод'!M578="","",'Оперативный ввод'!M578)</f>
        <v/>
      </c>
      <c r="N578" s="172">
        <f>IF('Оперативный ввод'!N578="","",'Оперативный ввод'!N578)</f>
        <v/>
      </c>
      <c r="O578" s="172">
        <f>IF('Оперативный ввод'!O578="","",'Оперативный ввод'!O578)</f>
        <v/>
      </c>
      <c r="P578" s="205">
        <f>IF(AND(A578="",B578=""),"",IF(AND(A578&lt;&gt;"",B578&lt;&gt;"",C578&lt;&gt;"",D578&lt;&gt;"",F578&lt;&gt;"",G578&lt;&gt;"",H578&lt;&gt;"",ISERROR(SEARCH("по паспорту",G578)),ISERROR(SEARCH("по паспорту",H578)),I578&lt;&gt;"",J578&lt;&gt;"",K578&lt;&gt;"",L578&lt;&gt;"",M578&lt;&gt;""),"ГОТОВО","НЕ ГОТОВО"))</f>
        <v/>
      </c>
      <c r="Q578" s="205">
        <f>IF(P578&lt;&gt;"ГОТОВО","", "Предварительное заключение: "&amp;A578&amp;", скв. "&amp;B578&amp;". МРП: "&amp;E578&amp;" сут. ГНО: "&amp;F578&amp;", типоразмер "&amp;G578&amp;", марка "&amp;H578&amp;". Событие: "&amp;I578&amp;". Признак: "&amp;J578&amp;". Узел: "&amp;K578&amp;". Предварительная причина: "&amp;L578&amp;". Основное осложнение: "&amp;M578&amp;IF(N578&lt;&gt;"","; сопутствующее: "&amp;N578,"")&amp;IF(O578&lt;&gt;"","; дополнительно: "&amp;O578,"")&amp;".")</f>
        <v/>
      </c>
      <c r="R578" s="172">
        <f>IF('Оперативный ввод'!P578="","",'Оперативный ввод'!P578)</f>
        <v/>
      </c>
      <c r="S578" s="172">
        <f>IF('Оперативный ввод'!Q578="","",'Оперативный ввод'!Q578)</f>
        <v/>
      </c>
      <c r="T578" s="172">
        <f>IF('Оперативный ввод'!R578="","",'Оперативный ввод'!R578)</f>
        <v/>
      </c>
      <c r="U578" s="172">
        <f>IF('Оперативный ввод'!S578="","",'Оперативный ввод'!S578)</f>
        <v/>
      </c>
      <c r="V578" s="172">
        <f>IF('Оперативный ввод'!T578="","",'Оперативный ввод'!T578)</f>
        <v/>
      </c>
      <c r="W578" s="172" t="n"/>
      <c r="X578" s="172" t="n"/>
      <c r="Y578" s="172" t="n"/>
      <c r="Z578" s="172" t="n"/>
      <c r="AA578" s="172">
        <f>IF('Оперативный ввод'!U578="","",'Оперативный ввод'!U578)</f>
        <v/>
      </c>
      <c r="AB578" s="172">
        <f>IF('Оперативный ввод'!V578="","",'Оперативный ввод'!V578)</f>
        <v/>
      </c>
      <c r="AC578" s="172">
        <f>IF('Оперативный ввод'!W578="","",'Оперативный ввод'!W578)</f>
        <v/>
      </c>
      <c r="BB578" s="172" t="n"/>
      <c r="BC578" s="172" t="n"/>
      <c r="BD578" s="205">
        <f>IF(AND(A578="",B578=""),"",IF(AND(P578="ГОТОВО",R578&lt;&gt;"",T578&lt;&gt;"",U578&lt;&gt;"",AA578&lt;&gt;"",AB578&lt;&gt;"",AC578&lt;&gt;"",BB578&lt;&gt;"",BC578&lt;&gt;""),"ГОТОВО","НЕ ГОТОВО"))</f>
        <v/>
      </c>
      <c r="BE578" s="205">
        <f>IF(BD578&lt;&gt;"ГОТОВО","","Полное заключение: "&amp;A578&amp;", скв. "&amp;B578&amp;". МРП: "&amp;E578&amp;" сут. ГНО: "&amp;F578&amp;"; причина: "&amp;U578&amp;"; категория: "&amp;V578&amp;"; решение комиссии: "&amp;BB578&amp;".")</f>
        <v/>
      </c>
      <c r="BF578" s="173">
        <f>IF('Оперативный ввод'!X578="","",'Оперативный ввод'!X578)</f>
        <v/>
      </c>
    </row>
    <row r="579">
      <c r="A579" s="171">
        <f>IF('Оперативный ввод'!A579="","",'Оперативный ввод'!A579)</f>
        <v/>
      </c>
      <c r="B579" s="172">
        <f>IF('Оперативный ввод'!B579="","",'Оперативный ввод'!B579)</f>
        <v/>
      </c>
      <c r="C579" s="270">
        <f>IF('Оперативный ввод'!C579="","",'Оперативный ввод'!C579)</f>
        <v/>
      </c>
      <c r="D579" s="270">
        <f>IF('Оперативный ввод'!D579="","",'Оперативный ввод'!D579)</f>
        <v/>
      </c>
      <c r="E579" s="271">
        <f>IF(OR(C579="",D579=""),"",D579-C579)</f>
        <v/>
      </c>
      <c r="F579" s="172">
        <f>IF('Оперативный ввод'!F579="","",'Оперативный ввод'!F579)</f>
        <v/>
      </c>
      <c r="G579" s="172">
        <f>IF('Оперативный ввод'!G579="","",'Оперативный ввод'!G579)</f>
        <v/>
      </c>
      <c r="H579" s="172">
        <f>IF('Оперативный ввод'!H579="","",'Оперативный ввод'!H579)</f>
        <v/>
      </c>
      <c r="I579" s="172">
        <f>IF('Оперативный ввод'!I579="","",'Оперативный ввод'!I579)</f>
        <v/>
      </c>
      <c r="J579" s="172">
        <f>IF('Оперативный ввод'!J579="","",'Оперативный ввод'!J579)</f>
        <v/>
      </c>
      <c r="K579" s="172">
        <f>IF('Оперативный ввод'!K579="","",'Оперативный ввод'!K579)</f>
        <v/>
      </c>
      <c r="L579" s="172">
        <f>IF('Оперативный ввод'!L579="","",'Оперативный ввод'!L579)</f>
        <v/>
      </c>
      <c r="M579" s="172">
        <f>IF('Оперативный ввод'!M579="","",'Оперативный ввод'!M579)</f>
        <v/>
      </c>
      <c r="N579" s="172">
        <f>IF('Оперативный ввод'!N579="","",'Оперативный ввод'!N579)</f>
        <v/>
      </c>
      <c r="O579" s="172">
        <f>IF('Оперативный ввод'!O579="","",'Оперативный ввод'!O579)</f>
        <v/>
      </c>
      <c r="P579" s="205">
        <f>IF(AND(A579="",B579=""),"",IF(AND(A579&lt;&gt;"",B579&lt;&gt;"",C579&lt;&gt;"",D579&lt;&gt;"",F579&lt;&gt;"",G579&lt;&gt;"",H579&lt;&gt;"",ISERROR(SEARCH("по паспорту",G579)),ISERROR(SEARCH("по паспорту",H579)),I579&lt;&gt;"",J579&lt;&gt;"",K579&lt;&gt;"",L579&lt;&gt;"",M579&lt;&gt;""),"ГОТОВО","НЕ ГОТОВО"))</f>
        <v/>
      </c>
      <c r="Q579" s="205">
        <f>IF(P579&lt;&gt;"ГОТОВО","", "Предварительное заключение: "&amp;A579&amp;", скв. "&amp;B579&amp;". МРП: "&amp;E579&amp;" сут. ГНО: "&amp;F579&amp;", типоразмер "&amp;G579&amp;", марка "&amp;H579&amp;". Событие: "&amp;I579&amp;". Признак: "&amp;J579&amp;". Узел: "&amp;K579&amp;". Предварительная причина: "&amp;L579&amp;". Основное осложнение: "&amp;M579&amp;IF(N579&lt;&gt;"","; сопутствующее: "&amp;N579,"")&amp;IF(O579&lt;&gt;"","; дополнительно: "&amp;O579,"")&amp;".")</f>
        <v/>
      </c>
      <c r="R579" s="172">
        <f>IF('Оперативный ввод'!P579="","",'Оперативный ввод'!P579)</f>
        <v/>
      </c>
      <c r="S579" s="172">
        <f>IF('Оперативный ввод'!Q579="","",'Оперативный ввод'!Q579)</f>
        <v/>
      </c>
      <c r="T579" s="172">
        <f>IF('Оперативный ввод'!R579="","",'Оперативный ввод'!R579)</f>
        <v/>
      </c>
      <c r="U579" s="172">
        <f>IF('Оперативный ввод'!S579="","",'Оперативный ввод'!S579)</f>
        <v/>
      </c>
      <c r="V579" s="172">
        <f>IF('Оперативный ввод'!T579="","",'Оперативный ввод'!T579)</f>
        <v/>
      </c>
      <c r="W579" s="172" t="n"/>
      <c r="X579" s="172" t="n"/>
      <c r="Y579" s="172" t="n"/>
      <c r="Z579" s="172" t="n"/>
      <c r="AA579" s="172">
        <f>IF('Оперативный ввод'!U579="","",'Оперативный ввод'!U579)</f>
        <v/>
      </c>
      <c r="AB579" s="172">
        <f>IF('Оперативный ввод'!V579="","",'Оперативный ввод'!V579)</f>
        <v/>
      </c>
      <c r="AC579" s="172">
        <f>IF('Оперативный ввод'!W579="","",'Оперативный ввод'!W579)</f>
        <v/>
      </c>
      <c r="BB579" s="172" t="n"/>
      <c r="BC579" s="172" t="n"/>
      <c r="BD579" s="205">
        <f>IF(AND(A579="",B579=""),"",IF(AND(P579="ГОТОВО",R579&lt;&gt;"",T579&lt;&gt;"",U579&lt;&gt;"",AA579&lt;&gt;"",AB579&lt;&gt;"",AC579&lt;&gt;"",BB579&lt;&gt;"",BC579&lt;&gt;""),"ГОТОВО","НЕ ГОТОВО"))</f>
        <v/>
      </c>
      <c r="BE579" s="205">
        <f>IF(BD579&lt;&gt;"ГОТОВО","","Полное заключение: "&amp;A579&amp;", скв. "&amp;B579&amp;". МРП: "&amp;E579&amp;" сут. ГНО: "&amp;F579&amp;"; причина: "&amp;U579&amp;"; категория: "&amp;V579&amp;"; решение комиссии: "&amp;BB579&amp;".")</f>
        <v/>
      </c>
      <c r="BF579" s="173">
        <f>IF('Оперативный ввод'!X579="","",'Оперативный ввод'!X579)</f>
        <v/>
      </c>
    </row>
    <row r="580">
      <c r="A580" s="171">
        <f>IF('Оперативный ввод'!A580="","",'Оперативный ввод'!A580)</f>
        <v/>
      </c>
      <c r="B580" s="172">
        <f>IF('Оперативный ввод'!B580="","",'Оперативный ввод'!B580)</f>
        <v/>
      </c>
      <c r="C580" s="270">
        <f>IF('Оперативный ввод'!C580="","",'Оперативный ввод'!C580)</f>
        <v/>
      </c>
      <c r="D580" s="270">
        <f>IF('Оперативный ввод'!D580="","",'Оперативный ввод'!D580)</f>
        <v/>
      </c>
      <c r="E580" s="271">
        <f>IF(OR(C580="",D580=""),"",D580-C580)</f>
        <v/>
      </c>
      <c r="F580" s="172">
        <f>IF('Оперативный ввод'!F580="","",'Оперативный ввод'!F580)</f>
        <v/>
      </c>
      <c r="G580" s="172">
        <f>IF('Оперативный ввод'!G580="","",'Оперативный ввод'!G580)</f>
        <v/>
      </c>
      <c r="H580" s="172">
        <f>IF('Оперативный ввод'!H580="","",'Оперативный ввод'!H580)</f>
        <v/>
      </c>
      <c r="I580" s="172">
        <f>IF('Оперативный ввод'!I580="","",'Оперативный ввод'!I580)</f>
        <v/>
      </c>
      <c r="J580" s="172">
        <f>IF('Оперативный ввод'!J580="","",'Оперативный ввод'!J580)</f>
        <v/>
      </c>
      <c r="K580" s="172">
        <f>IF('Оперативный ввод'!K580="","",'Оперативный ввод'!K580)</f>
        <v/>
      </c>
      <c r="L580" s="172">
        <f>IF('Оперативный ввод'!L580="","",'Оперативный ввод'!L580)</f>
        <v/>
      </c>
      <c r="M580" s="172">
        <f>IF('Оперативный ввод'!M580="","",'Оперативный ввод'!M580)</f>
        <v/>
      </c>
      <c r="N580" s="172">
        <f>IF('Оперативный ввод'!N580="","",'Оперативный ввод'!N580)</f>
        <v/>
      </c>
      <c r="O580" s="172">
        <f>IF('Оперативный ввод'!O580="","",'Оперативный ввод'!O580)</f>
        <v/>
      </c>
      <c r="P580" s="205">
        <f>IF(AND(A580="",B580=""),"",IF(AND(A580&lt;&gt;"",B580&lt;&gt;"",C580&lt;&gt;"",D580&lt;&gt;"",F580&lt;&gt;"",G580&lt;&gt;"",H580&lt;&gt;"",ISERROR(SEARCH("по паспорту",G580)),ISERROR(SEARCH("по паспорту",H580)),I580&lt;&gt;"",J580&lt;&gt;"",K580&lt;&gt;"",L580&lt;&gt;"",M580&lt;&gt;""),"ГОТОВО","НЕ ГОТОВО"))</f>
        <v/>
      </c>
      <c r="Q580" s="205">
        <f>IF(P580&lt;&gt;"ГОТОВО","", "Предварительное заключение: "&amp;A580&amp;", скв. "&amp;B580&amp;". МРП: "&amp;E580&amp;" сут. ГНО: "&amp;F580&amp;", типоразмер "&amp;G580&amp;", марка "&amp;H580&amp;". Событие: "&amp;I580&amp;". Признак: "&amp;J580&amp;". Узел: "&amp;K580&amp;". Предварительная причина: "&amp;L580&amp;". Основное осложнение: "&amp;M580&amp;IF(N580&lt;&gt;"","; сопутствующее: "&amp;N580,"")&amp;IF(O580&lt;&gt;"","; дополнительно: "&amp;O580,"")&amp;".")</f>
        <v/>
      </c>
      <c r="R580" s="172">
        <f>IF('Оперативный ввод'!P580="","",'Оперативный ввод'!P580)</f>
        <v/>
      </c>
      <c r="S580" s="172">
        <f>IF('Оперативный ввод'!Q580="","",'Оперативный ввод'!Q580)</f>
        <v/>
      </c>
      <c r="T580" s="172">
        <f>IF('Оперативный ввод'!R580="","",'Оперативный ввод'!R580)</f>
        <v/>
      </c>
      <c r="U580" s="172">
        <f>IF('Оперативный ввод'!S580="","",'Оперативный ввод'!S580)</f>
        <v/>
      </c>
      <c r="V580" s="172">
        <f>IF('Оперативный ввод'!T580="","",'Оперативный ввод'!T580)</f>
        <v/>
      </c>
      <c r="W580" s="172" t="n"/>
      <c r="X580" s="172" t="n"/>
      <c r="Y580" s="172" t="n"/>
      <c r="Z580" s="172" t="n"/>
      <c r="AA580" s="172">
        <f>IF('Оперативный ввод'!U580="","",'Оперативный ввод'!U580)</f>
        <v/>
      </c>
      <c r="AB580" s="172">
        <f>IF('Оперативный ввод'!V580="","",'Оперативный ввод'!V580)</f>
        <v/>
      </c>
      <c r="AC580" s="172">
        <f>IF('Оперативный ввод'!W580="","",'Оперативный ввод'!W580)</f>
        <v/>
      </c>
      <c r="BB580" s="172" t="n"/>
      <c r="BC580" s="172" t="n"/>
      <c r="BD580" s="205">
        <f>IF(AND(A580="",B580=""),"",IF(AND(P580="ГОТОВО",R580&lt;&gt;"",T580&lt;&gt;"",U580&lt;&gt;"",AA580&lt;&gt;"",AB580&lt;&gt;"",AC580&lt;&gt;"",BB580&lt;&gt;"",BC580&lt;&gt;""),"ГОТОВО","НЕ ГОТОВО"))</f>
        <v/>
      </c>
      <c r="BE580" s="205">
        <f>IF(BD580&lt;&gt;"ГОТОВО","","Полное заключение: "&amp;A580&amp;", скв. "&amp;B580&amp;". МРП: "&amp;E580&amp;" сут. ГНО: "&amp;F580&amp;"; причина: "&amp;U580&amp;"; категория: "&amp;V580&amp;"; решение комиссии: "&amp;BB580&amp;".")</f>
        <v/>
      </c>
      <c r="BF580" s="173">
        <f>IF('Оперативный ввод'!X580="","",'Оперативный ввод'!X580)</f>
        <v/>
      </c>
    </row>
    <row r="581">
      <c r="A581" s="171">
        <f>IF('Оперативный ввод'!A581="","",'Оперативный ввод'!A581)</f>
        <v/>
      </c>
      <c r="B581" s="172">
        <f>IF('Оперативный ввод'!B581="","",'Оперативный ввод'!B581)</f>
        <v/>
      </c>
      <c r="C581" s="270">
        <f>IF('Оперативный ввод'!C581="","",'Оперативный ввод'!C581)</f>
        <v/>
      </c>
      <c r="D581" s="270">
        <f>IF('Оперативный ввод'!D581="","",'Оперативный ввод'!D581)</f>
        <v/>
      </c>
      <c r="E581" s="271">
        <f>IF(OR(C581="",D581=""),"",D581-C581)</f>
        <v/>
      </c>
      <c r="F581" s="172">
        <f>IF('Оперативный ввод'!F581="","",'Оперативный ввод'!F581)</f>
        <v/>
      </c>
      <c r="G581" s="172">
        <f>IF('Оперативный ввод'!G581="","",'Оперативный ввод'!G581)</f>
        <v/>
      </c>
      <c r="H581" s="172">
        <f>IF('Оперативный ввод'!H581="","",'Оперативный ввод'!H581)</f>
        <v/>
      </c>
      <c r="I581" s="172">
        <f>IF('Оперативный ввод'!I581="","",'Оперативный ввод'!I581)</f>
        <v/>
      </c>
      <c r="J581" s="172">
        <f>IF('Оперативный ввод'!J581="","",'Оперативный ввод'!J581)</f>
        <v/>
      </c>
      <c r="K581" s="172">
        <f>IF('Оперативный ввод'!K581="","",'Оперативный ввод'!K581)</f>
        <v/>
      </c>
      <c r="L581" s="172">
        <f>IF('Оперативный ввод'!L581="","",'Оперативный ввод'!L581)</f>
        <v/>
      </c>
      <c r="M581" s="172">
        <f>IF('Оперативный ввод'!M581="","",'Оперативный ввод'!M581)</f>
        <v/>
      </c>
      <c r="N581" s="172">
        <f>IF('Оперативный ввод'!N581="","",'Оперативный ввод'!N581)</f>
        <v/>
      </c>
      <c r="O581" s="172">
        <f>IF('Оперативный ввод'!O581="","",'Оперативный ввод'!O581)</f>
        <v/>
      </c>
      <c r="P581" s="205">
        <f>IF(AND(A581="",B581=""),"",IF(AND(A581&lt;&gt;"",B581&lt;&gt;"",C581&lt;&gt;"",D581&lt;&gt;"",F581&lt;&gt;"",G581&lt;&gt;"",H581&lt;&gt;"",ISERROR(SEARCH("по паспорту",G581)),ISERROR(SEARCH("по паспорту",H581)),I581&lt;&gt;"",J581&lt;&gt;"",K581&lt;&gt;"",L581&lt;&gt;"",M581&lt;&gt;""),"ГОТОВО","НЕ ГОТОВО"))</f>
        <v/>
      </c>
      <c r="Q581" s="205">
        <f>IF(P581&lt;&gt;"ГОТОВО","", "Предварительное заключение: "&amp;A581&amp;", скв. "&amp;B581&amp;". МРП: "&amp;E581&amp;" сут. ГНО: "&amp;F581&amp;", типоразмер "&amp;G581&amp;", марка "&amp;H581&amp;". Событие: "&amp;I581&amp;". Признак: "&amp;J581&amp;". Узел: "&amp;K581&amp;". Предварительная причина: "&amp;L581&amp;". Основное осложнение: "&amp;M581&amp;IF(N581&lt;&gt;"","; сопутствующее: "&amp;N581,"")&amp;IF(O581&lt;&gt;"","; дополнительно: "&amp;O581,"")&amp;".")</f>
        <v/>
      </c>
      <c r="R581" s="172">
        <f>IF('Оперативный ввод'!P581="","",'Оперативный ввод'!P581)</f>
        <v/>
      </c>
      <c r="S581" s="172">
        <f>IF('Оперативный ввод'!Q581="","",'Оперативный ввод'!Q581)</f>
        <v/>
      </c>
      <c r="T581" s="172">
        <f>IF('Оперативный ввод'!R581="","",'Оперативный ввод'!R581)</f>
        <v/>
      </c>
      <c r="U581" s="172">
        <f>IF('Оперативный ввод'!S581="","",'Оперативный ввод'!S581)</f>
        <v/>
      </c>
      <c r="V581" s="172">
        <f>IF('Оперативный ввод'!T581="","",'Оперативный ввод'!T581)</f>
        <v/>
      </c>
      <c r="W581" s="172" t="n"/>
      <c r="X581" s="172" t="n"/>
      <c r="Y581" s="172" t="n"/>
      <c r="Z581" s="172" t="n"/>
      <c r="AA581" s="172">
        <f>IF('Оперативный ввод'!U581="","",'Оперативный ввод'!U581)</f>
        <v/>
      </c>
      <c r="AB581" s="172">
        <f>IF('Оперативный ввод'!V581="","",'Оперативный ввод'!V581)</f>
        <v/>
      </c>
      <c r="AC581" s="172">
        <f>IF('Оперативный ввод'!W581="","",'Оперативный ввод'!W581)</f>
        <v/>
      </c>
      <c r="BB581" s="172" t="n"/>
      <c r="BC581" s="172" t="n"/>
      <c r="BD581" s="205">
        <f>IF(AND(A581="",B581=""),"",IF(AND(P581="ГОТОВО",R581&lt;&gt;"",T581&lt;&gt;"",U581&lt;&gt;"",AA581&lt;&gt;"",AB581&lt;&gt;"",AC581&lt;&gt;"",BB581&lt;&gt;"",BC581&lt;&gt;""),"ГОТОВО","НЕ ГОТОВО"))</f>
        <v/>
      </c>
      <c r="BE581" s="205">
        <f>IF(BD581&lt;&gt;"ГОТОВО","","Полное заключение: "&amp;A581&amp;", скв. "&amp;B581&amp;". МРП: "&amp;E581&amp;" сут. ГНО: "&amp;F581&amp;"; причина: "&amp;U581&amp;"; категория: "&amp;V581&amp;"; решение комиссии: "&amp;BB581&amp;".")</f>
        <v/>
      </c>
      <c r="BF581" s="173">
        <f>IF('Оперативный ввод'!X581="","",'Оперативный ввод'!X581)</f>
        <v/>
      </c>
    </row>
    <row r="582">
      <c r="A582" s="171">
        <f>IF('Оперативный ввод'!A582="","",'Оперативный ввод'!A582)</f>
        <v/>
      </c>
      <c r="B582" s="172">
        <f>IF('Оперативный ввод'!B582="","",'Оперативный ввод'!B582)</f>
        <v/>
      </c>
      <c r="C582" s="270">
        <f>IF('Оперативный ввод'!C582="","",'Оперативный ввод'!C582)</f>
        <v/>
      </c>
      <c r="D582" s="270">
        <f>IF('Оперативный ввод'!D582="","",'Оперативный ввод'!D582)</f>
        <v/>
      </c>
      <c r="E582" s="271">
        <f>IF(OR(C582="",D582=""),"",D582-C582)</f>
        <v/>
      </c>
      <c r="F582" s="172">
        <f>IF('Оперативный ввод'!F582="","",'Оперативный ввод'!F582)</f>
        <v/>
      </c>
      <c r="G582" s="172">
        <f>IF('Оперативный ввод'!G582="","",'Оперативный ввод'!G582)</f>
        <v/>
      </c>
      <c r="H582" s="172">
        <f>IF('Оперативный ввод'!H582="","",'Оперативный ввод'!H582)</f>
        <v/>
      </c>
      <c r="I582" s="172">
        <f>IF('Оперативный ввод'!I582="","",'Оперативный ввод'!I582)</f>
        <v/>
      </c>
      <c r="J582" s="172">
        <f>IF('Оперативный ввод'!J582="","",'Оперативный ввод'!J582)</f>
        <v/>
      </c>
      <c r="K582" s="172">
        <f>IF('Оперативный ввод'!K582="","",'Оперативный ввод'!K582)</f>
        <v/>
      </c>
      <c r="L582" s="172">
        <f>IF('Оперативный ввод'!L582="","",'Оперативный ввод'!L582)</f>
        <v/>
      </c>
      <c r="M582" s="172">
        <f>IF('Оперативный ввод'!M582="","",'Оперативный ввод'!M582)</f>
        <v/>
      </c>
      <c r="N582" s="172">
        <f>IF('Оперативный ввод'!N582="","",'Оперативный ввод'!N582)</f>
        <v/>
      </c>
      <c r="O582" s="172">
        <f>IF('Оперативный ввод'!O582="","",'Оперативный ввод'!O582)</f>
        <v/>
      </c>
      <c r="P582" s="205">
        <f>IF(AND(A582="",B582=""),"",IF(AND(A582&lt;&gt;"",B582&lt;&gt;"",C582&lt;&gt;"",D582&lt;&gt;"",F582&lt;&gt;"",G582&lt;&gt;"",H582&lt;&gt;"",ISERROR(SEARCH("по паспорту",G582)),ISERROR(SEARCH("по паспорту",H582)),I582&lt;&gt;"",J582&lt;&gt;"",K582&lt;&gt;"",L582&lt;&gt;"",M582&lt;&gt;""),"ГОТОВО","НЕ ГОТОВО"))</f>
        <v/>
      </c>
      <c r="Q582" s="205">
        <f>IF(P582&lt;&gt;"ГОТОВО","", "Предварительное заключение: "&amp;A582&amp;", скв. "&amp;B582&amp;". МРП: "&amp;E582&amp;" сут. ГНО: "&amp;F582&amp;", типоразмер "&amp;G582&amp;", марка "&amp;H582&amp;". Событие: "&amp;I582&amp;". Признак: "&amp;J582&amp;". Узел: "&amp;K582&amp;". Предварительная причина: "&amp;L582&amp;". Основное осложнение: "&amp;M582&amp;IF(N582&lt;&gt;"","; сопутствующее: "&amp;N582,"")&amp;IF(O582&lt;&gt;"","; дополнительно: "&amp;O582,"")&amp;".")</f>
        <v/>
      </c>
      <c r="R582" s="172">
        <f>IF('Оперативный ввод'!P582="","",'Оперативный ввод'!P582)</f>
        <v/>
      </c>
      <c r="S582" s="172">
        <f>IF('Оперативный ввод'!Q582="","",'Оперативный ввод'!Q582)</f>
        <v/>
      </c>
      <c r="T582" s="172">
        <f>IF('Оперативный ввод'!R582="","",'Оперативный ввод'!R582)</f>
        <v/>
      </c>
      <c r="U582" s="172">
        <f>IF('Оперативный ввод'!S582="","",'Оперативный ввод'!S582)</f>
        <v/>
      </c>
      <c r="V582" s="172">
        <f>IF('Оперативный ввод'!T582="","",'Оперативный ввод'!T582)</f>
        <v/>
      </c>
      <c r="W582" s="172" t="n"/>
      <c r="X582" s="172" t="n"/>
      <c r="Y582" s="172" t="n"/>
      <c r="Z582" s="172" t="n"/>
      <c r="AA582" s="172">
        <f>IF('Оперативный ввод'!U582="","",'Оперативный ввод'!U582)</f>
        <v/>
      </c>
      <c r="AB582" s="172">
        <f>IF('Оперативный ввод'!V582="","",'Оперативный ввод'!V582)</f>
        <v/>
      </c>
      <c r="AC582" s="172">
        <f>IF('Оперативный ввод'!W582="","",'Оперативный ввод'!W582)</f>
        <v/>
      </c>
      <c r="BB582" s="172" t="n"/>
      <c r="BC582" s="172" t="n"/>
      <c r="BD582" s="205">
        <f>IF(AND(A582="",B582=""),"",IF(AND(P582="ГОТОВО",R582&lt;&gt;"",T582&lt;&gt;"",U582&lt;&gt;"",AA582&lt;&gt;"",AB582&lt;&gt;"",AC582&lt;&gt;"",BB582&lt;&gt;"",BC582&lt;&gt;""),"ГОТОВО","НЕ ГОТОВО"))</f>
        <v/>
      </c>
      <c r="BE582" s="205">
        <f>IF(BD582&lt;&gt;"ГОТОВО","","Полное заключение: "&amp;A582&amp;", скв. "&amp;B582&amp;". МРП: "&amp;E582&amp;" сут. ГНО: "&amp;F582&amp;"; причина: "&amp;U582&amp;"; категория: "&amp;V582&amp;"; решение комиссии: "&amp;BB582&amp;".")</f>
        <v/>
      </c>
      <c r="BF582" s="173">
        <f>IF('Оперативный ввод'!X582="","",'Оперативный ввод'!X582)</f>
        <v/>
      </c>
    </row>
    <row r="583">
      <c r="A583" s="171">
        <f>IF('Оперативный ввод'!A583="","",'Оперативный ввод'!A583)</f>
        <v/>
      </c>
      <c r="B583" s="172">
        <f>IF('Оперативный ввод'!B583="","",'Оперативный ввод'!B583)</f>
        <v/>
      </c>
      <c r="C583" s="270">
        <f>IF('Оперативный ввод'!C583="","",'Оперативный ввод'!C583)</f>
        <v/>
      </c>
      <c r="D583" s="270">
        <f>IF('Оперативный ввод'!D583="","",'Оперативный ввод'!D583)</f>
        <v/>
      </c>
      <c r="E583" s="271">
        <f>IF(OR(C583="",D583=""),"",D583-C583)</f>
        <v/>
      </c>
      <c r="F583" s="172">
        <f>IF('Оперативный ввод'!F583="","",'Оперативный ввод'!F583)</f>
        <v/>
      </c>
      <c r="G583" s="172">
        <f>IF('Оперативный ввод'!G583="","",'Оперативный ввод'!G583)</f>
        <v/>
      </c>
      <c r="H583" s="172">
        <f>IF('Оперативный ввод'!H583="","",'Оперативный ввод'!H583)</f>
        <v/>
      </c>
      <c r="I583" s="172">
        <f>IF('Оперативный ввод'!I583="","",'Оперативный ввод'!I583)</f>
        <v/>
      </c>
      <c r="J583" s="172">
        <f>IF('Оперативный ввод'!J583="","",'Оперативный ввод'!J583)</f>
        <v/>
      </c>
      <c r="K583" s="172">
        <f>IF('Оперативный ввод'!K583="","",'Оперативный ввод'!K583)</f>
        <v/>
      </c>
      <c r="L583" s="172">
        <f>IF('Оперативный ввод'!L583="","",'Оперативный ввод'!L583)</f>
        <v/>
      </c>
      <c r="M583" s="172">
        <f>IF('Оперативный ввод'!M583="","",'Оперативный ввод'!M583)</f>
        <v/>
      </c>
      <c r="N583" s="172">
        <f>IF('Оперативный ввод'!N583="","",'Оперативный ввод'!N583)</f>
        <v/>
      </c>
      <c r="O583" s="172">
        <f>IF('Оперативный ввод'!O583="","",'Оперативный ввод'!O583)</f>
        <v/>
      </c>
      <c r="P583" s="205">
        <f>IF(AND(A583="",B583=""),"",IF(AND(A583&lt;&gt;"",B583&lt;&gt;"",C583&lt;&gt;"",D583&lt;&gt;"",F583&lt;&gt;"",G583&lt;&gt;"",H583&lt;&gt;"",ISERROR(SEARCH("по паспорту",G583)),ISERROR(SEARCH("по паспорту",H583)),I583&lt;&gt;"",J583&lt;&gt;"",K583&lt;&gt;"",L583&lt;&gt;"",M583&lt;&gt;""),"ГОТОВО","НЕ ГОТОВО"))</f>
        <v/>
      </c>
      <c r="Q583" s="205">
        <f>IF(P583&lt;&gt;"ГОТОВО","", "Предварительное заключение: "&amp;A583&amp;", скв. "&amp;B583&amp;". МРП: "&amp;E583&amp;" сут. ГНО: "&amp;F583&amp;", типоразмер "&amp;G583&amp;", марка "&amp;H583&amp;". Событие: "&amp;I583&amp;". Признак: "&amp;J583&amp;". Узел: "&amp;K583&amp;". Предварительная причина: "&amp;L583&amp;". Основное осложнение: "&amp;M583&amp;IF(N583&lt;&gt;"","; сопутствующее: "&amp;N583,"")&amp;IF(O583&lt;&gt;"","; дополнительно: "&amp;O583,"")&amp;".")</f>
        <v/>
      </c>
      <c r="R583" s="172">
        <f>IF('Оперативный ввод'!P583="","",'Оперативный ввод'!P583)</f>
        <v/>
      </c>
      <c r="S583" s="172">
        <f>IF('Оперативный ввод'!Q583="","",'Оперативный ввод'!Q583)</f>
        <v/>
      </c>
      <c r="T583" s="172">
        <f>IF('Оперативный ввод'!R583="","",'Оперативный ввод'!R583)</f>
        <v/>
      </c>
      <c r="U583" s="172">
        <f>IF('Оперативный ввод'!S583="","",'Оперативный ввод'!S583)</f>
        <v/>
      </c>
      <c r="V583" s="172">
        <f>IF('Оперативный ввод'!T583="","",'Оперативный ввод'!T583)</f>
        <v/>
      </c>
      <c r="W583" s="172" t="n"/>
      <c r="X583" s="172" t="n"/>
      <c r="Y583" s="172" t="n"/>
      <c r="Z583" s="172" t="n"/>
      <c r="AA583" s="172">
        <f>IF('Оперативный ввод'!U583="","",'Оперативный ввод'!U583)</f>
        <v/>
      </c>
      <c r="AB583" s="172">
        <f>IF('Оперативный ввод'!V583="","",'Оперативный ввод'!V583)</f>
        <v/>
      </c>
      <c r="AC583" s="172">
        <f>IF('Оперативный ввод'!W583="","",'Оперативный ввод'!W583)</f>
        <v/>
      </c>
      <c r="BB583" s="172" t="n"/>
      <c r="BC583" s="172" t="n"/>
      <c r="BD583" s="205">
        <f>IF(AND(A583="",B583=""),"",IF(AND(P583="ГОТОВО",R583&lt;&gt;"",T583&lt;&gt;"",U583&lt;&gt;"",AA583&lt;&gt;"",AB583&lt;&gt;"",AC583&lt;&gt;"",BB583&lt;&gt;"",BC583&lt;&gt;""),"ГОТОВО","НЕ ГОТОВО"))</f>
        <v/>
      </c>
      <c r="BE583" s="205">
        <f>IF(BD583&lt;&gt;"ГОТОВО","","Полное заключение: "&amp;A583&amp;", скв. "&amp;B583&amp;". МРП: "&amp;E583&amp;" сут. ГНО: "&amp;F583&amp;"; причина: "&amp;U583&amp;"; категория: "&amp;V583&amp;"; решение комиссии: "&amp;BB583&amp;".")</f>
        <v/>
      </c>
      <c r="BF583" s="173">
        <f>IF('Оперативный ввод'!X583="","",'Оперативный ввод'!X583)</f>
        <v/>
      </c>
    </row>
    <row r="584">
      <c r="A584" s="171">
        <f>IF('Оперативный ввод'!A584="","",'Оперативный ввод'!A584)</f>
        <v/>
      </c>
      <c r="B584" s="172">
        <f>IF('Оперативный ввод'!B584="","",'Оперативный ввод'!B584)</f>
        <v/>
      </c>
      <c r="C584" s="270">
        <f>IF('Оперативный ввод'!C584="","",'Оперативный ввод'!C584)</f>
        <v/>
      </c>
      <c r="D584" s="270">
        <f>IF('Оперативный ввод'!D584="","",'Оперативный ввод'!D584)</f>
        <v/>
      </c>
      <c r="E584" s="271">
        <f>IF(OR(C584="",D584=""),"",D584-C584)</f>
        <v/>
      </c>
      <c r="F584" s="172">
        <f>IF('Оперативный ввод'!F584="","",'Оперативный ввод'!F584)</f>
        <v/>
      </c>
      <c r="G584" s="172">
        <f>IF('Оперативный ввод'!G584="","",'Оперативный ввод'!G584)</f>
        <v/>
      </c>
      <c r="H584" s="172">
        <f>IF('Оперативный ввод'!H584="","",'Оперативный ввод'!H584)</f>
        <v/>
      </c>
      <c r="I584" s="172">
        <f>IF('Оперативный ввод'!I584="","",'Оперативный ввод'!I584)</f>
        <v/>
      </c>
      <c r="J584" s="172">
        <f>IF('Оперативный ввод'!J584="","",'Оперативный ввод'!J584)</f>
        <v/>
      </c>
      <c r="K584" s="172">
        <f>IF('Оперативный ввод'!K584="","",'Оперативный ввод'!K584)</f>
        <v/>
      </c>
      <c r="L584" s="172">
        <f>IF('Оперативный ввод'!L584="","",'Оперативный ввод'!L584)</f>
        <v/>
      </c>
      <c r="M584" s="172">
        <f>IF('Оперативный ввод'!M584="","",'Оперативный ввод'!M584)</f>
        <v/>
      </c>
      <c r="N584" s="172">
        <f>IF('Оперативный ввод'!N584="","",'Оперативный ввод'!N584)</f>
        <v/>
      </c>
      <c r="O584" s="172">
        <f>IF('Оперативный ввод'!O584="","",'Оперативный ввод'!O584)</f>
        <v/>
      </c>
      <c r="P584" s="205">
        <f>IF(AND(A584="",B584=""),"",IF(AND(A584&lt;&gt;"",B584&lt;&gt;"",C584&lt;&gt;"",D584&lt;&gt;"",F584&lt;&gt;"",G584&lt;&gt;"",H584&lt;&gt;"",ISERROR(SEARCH("по паспорту",G584)),ISERROR(SEARCH("по паспорту",H584)),I584&lt;&gt;"",J584&lt;&gt;"",K584&lt;&gt;"",L584&lt;&gt;"",M584&lt;&gt;""),"ГОТОВО","НЕ ГОТОВО"))</f>
        <v/>
      </c>
      <c r="Q584" s="205">
        <f>IF(P584&lt;&gt;"ГОТОВО","", "Предварительное заключение: "&amp;A584&amp;", скв. "&amp;B584&amp;". МРП: "&amp;E584&amp;" сут. ГНО: "&amp;F584&amp;", типоразмер "&amp;G584&amp;", марка "&amp;H584&amp;". Событие: "&amp;I584&amp;". Признак: "&amp;J584&amp;". Узел: "&amp;K584&amp;". Предварительная причина: "&amp;L584&amp;". Основное осложнение: "&amp;M584&amp;IF(N584&lt;&gt;"","; сопутствующее: "&amp;N584,"")&amp;IF(O584&lt;&gt;"","; дополнительно: "&amp;O584,"")&amp;".")</f>
        <v/>
      </c>
      <c r="R584" s="172">
        <f>IF('Оперативный ввод'!P584="","",'Оперативный ввод'!P584)</f>
        <v/>
      </c>
      <c r="S584" s="172">
        <f>IF('Оперативный ввод'!Q584="","",'Оперативный ввод'!Q584)</f>
        <v/>
      </c>
      <c r="T584" s="172">
        <f>IF('Оперативный ввод'!R584="","",'Оперативный ввод'!R584)</f>
        <v/>
      </c>
      <c r="U584" s="172">
        <f>IF('Оперативный ввод'!S584="","",'Оперативный ввод'!S584)</f>
        <v/>
      </c>
      <c r="V584" s="172">
        <f>IF('Оперативный ввод'!T584="","",'Оперативный ввод'!T584)</f>
        <v/>
      </c>
      <c r="W584" s="172" t="n"/>
      <c r="X584" s="172" t="n"/>
      <c r="Y584" s="172" t="n"/>
      <c r="Z584" s="172" t="n"/>
      <c r="AA584" s="172">
        <f>IF('Оперативный ввод'!U584="","",'Оперативный ввод'!U584)</f>
        <v/>
      </c>
      <c r="AB584" s="172">
        <f>IF('Оперативный ввод'!V584="","",'Оперативный ввод'!V584)</f>
        <v/>
      </c>
      <c r="AC584" s="172">
        <f>IF('Оперативный ввод'!W584="","",'Оперативный ввод'!W584)</f>
        <v/>
      </c>
      <c r="BB584" s="172" t="n"/>
      <c r="BC584" s="172" t="n"/>
      <c r="BD584" s="205">
        <f>IF(AND(A584="",B584=""),"",IF(AND(P584="ГОТОВО",R584&lt;&gt;"",T584&lt;&gt;"",U584&lt;&gt;"",AA584&lt;&gt;"",AB584&lt;&gt;"",AC584&lt;&gt;"",BB584&lt;&gt;"",BC584&lt;&gt;""),"ГОТОВО","НЕ ГОТОВО"))</f>
        <v/>
      </c>
      <c r="BE584" s="205">
        <f>IF(BD584&lt;&gt;"ГОТОВО","","Полное заключение: "&amp;A584&amp;", скв. "&amp;B584&amp;". МРП: "&amp;E584&amp;" сут. ГНО: "&amp;F584&amp;"; причина: "&amp;U584&amp;"; категория: "&amp;V584&amp;"; решение комиссии: "&amp;BB584&amp;".")</f>
        <v/>
      </c>
      <c r="BF584" s="173">
        <f>IF('Оперативный ввод'!X584="","",'Оперативный ввод'!X584)</f>
        <v/>
      </c>
    </row>
    <row r="585">
      <c r="A585" s="171">
        <f>IF('Оперативный ввод'!A585="","",'Оперативный ввод'!A585)</f>
        <v/>
      </c>
      <c r="B585" s="172">
        <f>IF('Оперативный ввод'!B585="","",'Оперативный ввод'!B585)</f>
        <v/>
      </c>
      <c r="C585" s="270">
        <f>IF('Оперативный ввод'!C585="","",'Оперативный ввод'!C585)</f>
        <v/>
      </c>
      <c r="D585" s="270">
        <f>IF('Оперативный ввод'!D585="","",'Оперативный ввод'!D585)</f>
        <v/>
      </c>
      <c r="E585" s="271">
        <f>IF(OR(C585="",D585=""),"",D585-C585)</f>
        <v/>
      </c>
      <c r="F585" s="172">
        <f>IF('Оперативный ввод'!F585="","",'Оперативный ввод'!F585)</f>
        <v/>
      </c>
      <c r="G585" s="172">
        <f>IF('Оперативный ввод'!G585="","",'Оперативный ввод'!G585)</f>
        <v/>
      </c>
      <c r="H585" s="172">
        <f>IF('Оперативный ввод'!H585="","",'Оперативный ввод'!H585)</f>
        <v/>
      </c>
      <c r="I585" s="172">
        <f>IF('Оперативный ввод'!I585="","",'Оперативный ввод'!I585)</f>
        <v/>
      </c>
      <c r="J585" s="172">
        <f>IF('Оперативный ввод'!J585="","",'Оперативный ввод'!J585)</f>
        <v/>
      </c>
      <c r="K585" s="172">
        <f>IF('Оперативный ввод'!K585="","",'Оперативный ввод'!K585)</f>
        <v/>
      </c>
      <c r="L585" s="172">
        <f>IF('Оперативный ввод'!L585="","",'Оперативный ввод'!L585)</f>
        <v/>
      </c>
      <c r="M585" s="172">
        <f>IF('Оперативный ввод'!M585="","",'Оперативный ввод'!M585)</f>
        <v/>
      </c>
      <c r="N585" s="172">
        <f>IF('Оперативный ввод'!N585="","",'Оперативный ввод'!N585)</f>
        <v/>
      </c>
      <c r="O585" s="172">
        <f>IF('Оперативный ввод'!O585="","",'Оперативный ввод'!O585)</f>
        <v/>
      </c>
      <c r="P585" s="205">
        <f>IF(AND(A585="",B585=""),"",IF(AND(A585&lt;&gt;"",B585&lt;&gt;"",C585&lt;&gt;"",D585&lt;&gt;"",F585&lt;&gt;"",G585&lt;&gt;"",H585&lt;&gt;"",ISERROR(SEARCH("по паспорту",G585)),ISERROR(SEARCH("по паспорту",H585)),I585&lt;&gt;"",J585&lt;&gt;"",K585&lt;&gt;"",L585&lt;&gt;"",M585&lt;&gt;""),"ГОТОВО","НЕ ГОТОВО"))</f>
        <v/>
      </c>
      <c r="Q585" s="205">
        <f>IF(P585&lt;&gt;"ГОТОВО","", "Предварительное заключение: "&amp;A585&amp;", скв. "&amp;B585&amp;". МРП: "&amp;E585&amp;" сут. ГНО: "&amp;F585&amp;", типоразмер "&amp;G585&amp;", марка "&amp;H585&amp;". Событие: "&amp;I585&amp;". Признак: "&amp;J585&amp;". Узел: "&amp;K585&amp;". Предварительная причина: "&amp;L585&amp;". Основное осложнение: "&amp;M585&amp;IF(N585&lt;&gt;"","; сопутствующее: "&amp;N585,"")&amp;IF(O585&lt;&gt;"","; дополнительно: "&amp;O585,"")&amp;".")</f>
        <v/>
      </c>
      <c r="R585" s="172">
        <f>IF('Оперативный ввод'!P585="","",'Оперативный ввод'!P585)</f>
        <v/>
      </c>
      <c r="S585" s="172">
        <f>IF('Оперативный ввод'!Q585="","",'Оперативный ввод'!Q585)</f>
        <v/>
      </c>
      <c r="T585" s="172">
        <f>IF('Оперативный ввод'!R585="","",'Оперативный ввод'!R585)</f>
        <v/>
      </c>
      <c r="U585" s="172">
        <f>IF('Оперативный ввод'!S585="","",'Оперативный ввод'!S585)</f>
        <v/>
      </c>
      <c r="V585" s="172">
        <f>IF('Оперативный ввод'!T585="","",'Оперативный ввод'!T585)</f>
        <v/>
      </c>
      <c r="W585" s="172" t="n"/>
      <c r="X585" s="172" t="n"/>
      <c r="Y585" s="172" t="n"/>
      <c r="Z585" s="172" t="n"/>
      <c r="AA585" s="172">
        <f>IF('Оперативный ввод'!U585="","",'Оперативный ввод'!U585)</f>
        <v/>
      </c>
      <c r="AB585" s="172">
        <f>IF('Оперативный ввод'!V585="","",'Оперативный ввод'!V585)</f>
        <v/>
      </c>
      <c r="AC585" s="172">
        <f>IF('Оперативный ввод'!W585="","",'Оперативный ввод'!W585)</f>
        <v/>
      </c>
      <c r="BB585" s="172" t="n"/>
      <c r="BC585" s="172" t="n"/>
      <c r="BD585" s="205">
        <f>IF(AND(A585="",B585=""),"",IF(AND(P585="ГОТОВО",R585&lt;&gt;"",T585&lt;&gt;"",U585&lt;&gt;"",AA585&lt;&gt;"",AB585&lt;&gt;"",AC585&lt;&gt;"",BB585&lt;&gt;"",BC585&lt;&gt;""),"ГОТОВО","НЕ ГОТОВО"))</f>
        <v/>
      </c>
      <c r="BE585" s="205">
        <f>IF(BD585&lt;&gt;"ГОТОВО","","Полное заключение: "&amp;A585&amp;", скв. "&amp;B585&amp;". МРП: "&amp;E585&amp;" сут. ГНО: "&amp;F585&amp;"; причина: "&amp;U585&amp;"; категория: "&amp;V585&amp;"; решение комиссии: "&amp;BB585&amp;".")</f>
        <v/>
      </c>
      <c r="BF585" s="173">
        <f>IF('Оперативный ввод'!X585="","",'Оперативный ввод'!X585)</f>
        <v/>
      </c>
    </row>
    <row r="586">
      <c r="A586" s="171">
        <f>IF('Оперативный ввод'!A586="","",'Оперативный ввод'!A586)</f>
        <v/>
      </c>
      <c r="B586" s="172">
        <f>IF('Оперативный ввод'!B586="","",'Оперативный ввод'!B586)</f>
        <v/>
      </c>
      <c r="C586" s="270">
        <f>IF('Оперативный ввод'!C586="","",'Оперативный ввод'!C586)</f>
        <v/>
      </c>
      <c r="D586" s="270">
        <f>IF('Оперативный ввод'!D586="","",'Оперативный ввод'!D586)</f>
        <v/>
      </c>
      <c r="E586" s="271">
        <f>IF(OR(C586="",D586=""),"",D586-C586)</f>
        <v/>
      </c>
      <c r="F586" s="172">
        <f>IF('Оперативный ввод'!F586="","",'Оперативный ввод'!F586)</f>
        <v/>
      </c>
      <c r="G586" s="172">
        <f>IF('Оперативный ввод'!G586="","",'Оперативный ввод'!G586)</f>
        <v/>
      </c>
      <c r="H586" s="172">
        <f>IF('Оперативный ввод'!H586="","",'Оперативный ввод'!H586)</f>
        <v/>
      </c>
      <c r="I586" s="172">
        <f>IF('Оперативный ввод'!I586="","",'Оперативный ввод'!I586)</f>
        <v/>
      </c>
      <c r="J586" s="172">
        <f>IF('Оперативный ввод'!J586="","",'Оперативный ввод'!J586)</f>
        <v/>
      </c>
      <c r="K586" s="172">
        <f>IF('Оперативный ввод'!K586="","",'Оперативный ввод'!K586)</f>
        <v/>
      </c>
      <c r="L586" s="172">
        <f>IF('Оперативный ввод'!L586="","",'Оперативный ввод'!L586)</f>
        <v/>
      </c>
      <c r="M586" s="172">
        <f>IF('Оперативный ввод'!M586="","",'Оперативный ввод'!M586)</f>
        <v/>
      </c>
      <c r="N586" s="172">
        <f>IF('Оперативный ввод'!N586="","",'Оперативный ввод'!N586)</f>
        <v/>
      </c>
      <c r="O586" s="172">
        <f>IF('Оперативный ввод'!O586="","",'Оперативный ввод'!O586)</f>
        <v/>
      </c>
      <c r="P586" s="205">
        <f>IF(AND(A586="",B586=""),"",IF(AND(A586&lt;&gt;"",B586&lt;&gt;"",C586&lt;&gt;"",D586&lt;&gt;"",F586&lt;&gt;"",G586&lt;&gt;"",H586&lt;&gt;"",ISERROR(SEARCH("по паспорту",G586)),ISERROR(SEARCH("по паспорту",H586)),I586&lt;&gt;"",J586&lt;&gt;"",K586&lt;&gt;"",L586&lt;&gt;"",M586&lt;&gt;""),"ГОТОВО","НЕ ГОТОВО"))</f>
        <v/>
      </c>
      <c r="Q586" s="205">
        <f>IF(P586&lt;&gt;"ГОТОВО","", "Предварительное заключение: "&amp;A586&amp;", скв. "&amp;B586&amp;". МРП: "&amp;E586&amp;" сут. ГНО: "&amp;F586&amp;", типоразмер "&amp;G586&amp;", марка "&amp;H586&amp;". Событие: "&amp;I586&amp;". Признак: "&amp;J586&amp;". Узел: "&amp;K586&amp;". Предварительная причина: "&amp;L586&amp;". Основное осложнение: "&amp;M586&amp;IF(N586&lt;&gt;"","; сопутствующее: "&amp;N586,"")&amp;IF(O586&lt;&gt;"","; дополнительно: "&amp;O586,"")&amp;".")</f>
        <v/>
      </c>
      <c r="R586" s="172">
        <f>IF('Оперативный ввод'!P586="","",'Оперативный ввод'!P586)</f>
        <v/>
      </c>
      <c r="S586" s="172">
        <f>IF('Оперативный ввод'!Q586="","",'Оперативный ввод'!Q586)</f>
        <v/>
      </c>
      <c r="T586" s="172">
        <f>IF('Оперативный ввод'!R586="","",'Оперативный ввод'!R586)</f>
        <v/>
      </c>
      <c r="U586" s="172">
        <f>IF('Оперативный ввод'!S586="","",'Оперативный ввод'!S586)</f>
        <v/>
      </c>
      <c r="V586" s="172">
        <f>IF('Оперативный ввод'!T586="","",'Оперативный ввод'!T586)</f>
        <v/>
      </c>
      <c r="W586" s="172" t="n"/>
      <c r="X586" s="172" t="n"/>
      <c r="Y586" s="172" t="n"/>
      <c r="Z586" s="172" t="n"/>
      <c r="AA586" s="172">
        <f>IF('Оперативный ввод'!U586="","",'Оперативный ввод'!U586)</f>
        <v/>
      </c>
      <c r="AB586" s="172">
        <f>IF('Оперативный ввод'!V586="","",'Оперативный ввод'!V586)</f>
        <v/>
      </c>
      <c r="AC586" s="172">
        <f>IF('Оперативный ввод'!W586="","",'Оперативный ввод'!W586)</f>
        <v/>
      </c>
      <c r="BB586" s="172" t="n"/>
      <c r="BC586" s="172" t="n"/>
      <c r="BD586" s="205">
        <f>IF(AND(A586="",B586=""),"",IF(AND(P586="ГОТОВО",R586&lt;&gt;"",T586&lt;&gt;"",U586&lt;&gt;"",AA586&lt;&gt;"",AB586&lt;&gt;"",AC586&lt;&gt;"",BB586&lt;&gt;"",BC586&lt;&gt;""),"ГОТОВО","НЕ ГОТОВО"))</f>
        <v/>
      </c>
      <c r="BE586" s="205">
        <f>IF(BD586&lt;&gt;"ГОТОВО","","Полное заключение: "&amp;A586&amp;", скв. "&amp;B586&amp;". МРП: "&amp;E586&amp;" сут. ГНО: "&amp;F586&amp;"; причина: "&amp;U586&amp;"; категория: "&amp;V586&amp;"; решение комиссии: "&amp;BB586&amp;".")</f>
        <v/>
      </c>
      <c r="BF586" s="173">
        <f>IF('Оперативный ввод'!X586="","",'Оперативный ввод'!X586)</f>
        <v/>
      </c>
    </row>
    <row r="587">
      <c r="A587" s="171">
        <f>IF('Оперативный ввод'!A587="","",'Оперативный ввод'!A587)</f>
        <v/>
      </c>
      <c r="B587" s="172">
        <f>IF('Оперативный ввод'!B587="","",'Оперативный ввод'!B587)</f>
        <v/>
      </c>
      <c r="C587" s="270">
        <f>IF('Оперативный ввод'!C587="","",'Оперативный ввод'!C587)</f>
        <v/>
      </c>
      <c r="D587" s="270">
        <f>IF('Оперативный ввод'!D587="","",'Оперативный ввод'!D587)</f>
        <v/>
      </c>
      <c r="E587" s="271">
        <f>IF(OR(C587="",D587=""),"",D587-C587)</f>
        <v/>
      </c>
      <c r="F587" s="172">
        <f>IF('Оперативный ввод'!F587="","",'Оперативный ввод'!F587)</f>
        <v/>
      </c>
      <c r="G587" s="172">
        <f>IF('Оперативный ввод'!G587="","",'Оперативный ввод'!G587)</f>
        <v/>
      </c>
      <c r="H587" s="172">
        <f>IF('Оперативный ввод'!H587="","",'Оперативный ввод'!H587)</f>
        <v/>
      </c>
      <c r="I587" s="172">
        <f>IF('Оперативный ввод'!I587="","",'Оперативный ввод'!I587)</f>
        <v/>
      </c>
      <c r="J587" s="172">
        <f>IF('Оперативный ввод'!J587="","",'Оперативный ввод'!J587)</f>
        <v/>
      </c>
      <c r="K587" s="172">
        <f>IF('Оперативный ввод'!K587="","",'Оперативный ввод'!K587)</f>
        <v/>
      </c>
      <c r="L587" s="172">
        <f>IF('Оперативный ввод'!L587="","",'Оперативный ввод'!L587)</f>
        <v/>
      </c>
      <c r="M587" s="172">
        <f>IF('Оперативный ввод'!M587="","",'Оперативный ввод'!M587)</f>
        <v/>
      </c>
      <c r="N587" s="172">
        <f>IF('Оперативный ввод'!N587="","",'Оперативный ввод'!N587)</f>
        <v/>
      </c>
      <c r="O587" s="172">
        <f>IF('Оперативный ввод'!O587="","",'Оперативный ввод'!O587)</f>
        <v/>
      </c>
      <c r="P587" s="205">
        <f>IF(AND(A587="",B587=""),"",IF(AND(A587&lt;&gt;"",B587&lt;&gt;"",C587&lt;&gt;"",D587&lt;&gt;"",F587&lt;&gt;"",G587&lt;&gt;"",H587&lt;&gt;"",ISERROR(SEARCH("по паспорту",G587)),ISERROR(SEARCH("по паспорту",H587)),I587&lt;&gt;"",J587&lt;&gt;"",K587&lt;&gt;"",L587&lt;&gt;"",M587&lt;&gt;""),"ГОТОВО","НЕ ГОТОВО"))</f>
        <v/>
      </c>
      <c r="Q587" s="205">
        <f>IF(P587&lt;&gt;"ГОТОВО","", "Предварительное заключение: "&amp;A587&amp;", скв. "&amp;B587&amp;". МРП: "&amp;E587&amp;" сут. ГНО: "&amp;F587&amp;", типоразмер "&amp;G587&amp;", марка "&amp;H587&amp;". Событие: "&amp;I587&amp;". Признак: "&amp;J587&amp;". Узел: "&amp;K587&amp;". Предварительная причина: "&amp;L587&amp;". Основное осложнение: "&amp;M587&amp;IF(N587&lt;&gt;"","; сопутствующее: "&amp;N587,"")&amp;IF(O587&lt;&gt;"","; дополнительно: "&amp;O587,"")&amp;".")</f>
        <v/>
      </c>
      <c r="R587" s="172">
        <f>IF('Оперативный ввод'!P587="","",'Оперативный ввод'!P587)</f>
        <v/>
      </c>
      <c r="S587" s="172">
        <f>IF('Оперативный ввод'!Q587="","",'Оперативный ввод'!Q587)</f>
        <v/>
      </c>
      <c r="T587" s="172">
        <f>IF('Оперативный ввод'!R587="","",'Оперативный ввод'!R587)</f>
        <v/>
      </c>
      <c r="U587" s="172">
        <f>IF('Оперативный ввод'!S587="","",'Оперативный ввод'!S587)</f>
        <v/>
      </c>
      <c r="V587" s="172">
        <f>IF('Оперативный ввод'!T587="","",'Оперативный ввод'!T587)</f>
        <v/>
      </c>
      <c r="W587" s="172" t="n"/>
      <c r="X587" s="172" t="n"/>
      <c r="Y587" s="172" t="n"/>
      <c r="Z587" s="172" t="n"/>
      <c r="AA587" s="172">
        <f>IF('Оперативный ввод'!U587="","",'Оперативный ввод'!U587)</f>
        <v/>
      </c>
      <c r="AB587" s="172">
        <f>IF('Оперативный ввод'!V587="","",'Оперативный ввод'!V587)</f>
        <v/>
      </c>
      <c r="AC587" s="172">
        <f>IF('Оперативный ввод'!W587="","",'Оперативный ввод'!W587)</f>
        <v/>
      </c>
      <c r="BB587" s="172" t="n"/>
      <c r="BC587" s="172" t="n"/>
      <c r="BD587" s="205">
        <f>IF(AND(A587="",B587=""),"",IF(AND(P587="ГОТОВО",R587&lt;&gt;"",T587&lt;&gt;"",U587&lt;&gt;"",AA587&lt;&gt;"",AB587&lt;&gt;"",AC587&lt;&gt;"",BB587&lt;&gt;"",BC587&lt;&gt;""),"ГОТОВО","НЕ ГОТОВО"))</f>
        <v/>
      </c>
      <c r="BE587" s="205">
        <f>IF(BD587&lt;&gt;"ГОТОВО","","Полное заключение: "&amp;A587&amp;", скв. "&amp;B587&amp;". МРП: "&amp;E587&amp;" сут. ГНО: "&amp;F587&amp;"; причина: "&amp;U587&amp;"; категория: "&amp;V587&amp;"; решение комиссии: "&amp;BB587&amp;".")</f>
        <v/>
      </c>
      <c r="BF587" s="173">
        <f>IF('Оперативный ввод'!X587="","",'Оперативный ввод'!X587)</f>
        <v/>
      </c>
    </row>
    <row r="588">
      <c r="A588" s="171">
        <f>IF('Оперативный ввод'!A588="","",'Оперативный ввод'!A588)</f>
        <v/>
      </c>
      <c r="B588" s="172">
        <f>IF('Оперативный ввод'!B588="","",'Оперативный ввод'!B588)</f>
        <v/>
      </c>
      <c r="C588" s="270">
        <f>IF('Оперативный ввод'!C588="","",'Оперативный ввод'!C588)</f>
        <v/>
      </c>
      <c r="D588" s="270">
        <f>IF('Оперативный ввод'!D588="","",'Оперативный ввод'!D588)</f>
        <v/>
      </c>
      <c r="E588" s="271">
        <f>IF(OR(C588="",D588=""),"",D588-C588)</f>
        <v/>
      </c>
      <c r="F588" s="172">
        <f>IF('Оперативный ввод'!F588="","",'Оперативный ввод'!F588)</f>
        <v/>
      </c>
      <c r="G588" s="172">
        <f>IF('Оперативный ввод'!G588="","",'Оперативный ввод'!G588)</f>
        <v/>
      </c>
      <c r="H588" s="172">
        <f>IF('Оперативный ввод'!H588="","",'Оперативный ввод'!H588)</f>
        <v/>
      </c>
      <c r="I588" s="172">
        <f>IF('Оперативный ввод'!I588="","",'Оперативный ввод'!I588)</f>
        <v/>
      </c>
      <c r="J588" s="172">
        <f>IF('Оперативный ввод'!J588="","",'Оперативный ввод'!J588)</f>
        <v/>
      </c>
      <c r="K588" s="172">
        <f>IF('Оперативный ввод'!K588="","",'Оперативный ввод'!K588)</f>
        <v/>
      </c>
      <c r="L588" s="172">
        <f>IF('Оперативный ввод'!L588="","",'Оперативный ввод'!L588)</f>
        <v/>
      </c>
      <c r="M588" s="172">
        <f>IF('Оперативный ввод'!M588="","",'Оперативный ввод'!M588)</f>
        <v/>
      </c>
      <c r="N588" s="172">
        <f>IF('Оперативный ввод'!N588="","",'Оперативный ввод'!N588)</f>
        <v/>
      </c>
      <c r="O588" s="172">
        <f>IF('Оперативный ввод'!O588="","",'Оперативный ввод'!O588)</f>
        <v/>
      </c>
      <c r="P588" s="205">
        <f>IF(AND(A588="",B588=""),"",IF(AND(A588&lt;&gt;"",B588&lt;&gt;"",C588&lt;&gt;"",D588&lt;&gt;"",F588&lt;&gt;"",G588&lt;&gt;"",H588&lt;&gt;"",ISERROR(SEARCH("по паспорту",G588)),ISERROR(SEARCH("по паспорту",H588)),I588&lt;&gt;"",J588&lt;&gt;"",K588&lt;&gt;"",L588&lt;&gt;"",M588&lt;&gt;""),"ГОТОВО","НЕ ГОТОВО"))</f>
        <v/>
      </c>
      <c r="Q588" s="205">
        <f>IF(P588&lt;&gt;"ГОТОВО","", "Предварительное заключение: "&amp;A588&amp;", скв. "&amp;B588&amp;". МРП: "&amp;E588&amp;" сут. ГНО: "&amp;F588&amp;", типоразмер "&amp;G588&amp;", марка "&amp;H588&amp;". Событие: "&amp;I588&amp;". Признак: "&amp;J588&amp;". Узел: "&amp;K588&amp;". Предварительная причина: "&amp;L588&amp;". Основное осложнение: "&amp;M588&amp;IF(N588&lt;&gt;"","; сопутствующее: "&amp;N588,"")&amp;IF(O588&lt;&gt;"","; дополнительно: "&amp;O588,"")&amp;".")</f>
        <v/>
      </c>
      <c r="R588" s="172">
        <f>IF('Оперативный ввод'!P588="","",'Оперативный ввод'!P588)</f>
        <v/>
      </c>
      <c r="S588" s="172">
        <f>IF('Оперативный ввод'!Q588="","",'Оперативный ввод'!Q588)</f>
        <v/>
      </c>
      <c r="T588" s="172">
        <f>IF('Оперативный ввод'!R588="","",'Оперативный ввод'!R588)</f>
        <v/>
      </c>
      <c r="U588" s="172">
        <f>IF('Оперативный ввод'!S588="","",'Оперативный ввод'!S588)</f>
        <v/>
      </c>
      <c r="V588" s="172">
        <f>IF('Оперативный ввод'!T588="","",'Оперативный ввод'!T588)</f>
        <v/>
      </c>
      <c r="W588" s="172" t="n"/>
      <c r="X588" s="172" t="n"/>
      <c r="Y588" s="172" t="n"/>
      <c r="Z588" s="172" t="n"/>
      <c r="AA588" s="172">
        <f>IF('Оперативный ввод'!U588="","",'Оперативный ввод'!U588)</f>
        <v/>
      </c>
      <c r="AB588" s="172">
        <f>IF('Оперативный ввод'!V588="","",'Оперативный ввод'!V588)</f>
        <v/>
      </c>
      <c r="AC588" s="172">
        <f>IF('Оперативный ввод'!W588="","",'Оперативный ввод'!W588)</f>
        <v/>
      </c>
      <c r="BB588" s="172" t="n"/>
      <c r="BC588" s="172" t="n"/>
      <c r="BD588" s="205">
        <f>IF(AND(A588="",B588=""),"",IF(AND(P588="ГОТОВО",R588&lt;&gt;"",T588&lt;&gt;"",U588&lt;&gt;"",AA588&lt;&gt;"",AB588&lt;&gt;"",AC588&lt;&gt;"",BB588&lt;&gt;"",BC588&lt;&gt;""),"ГОТОВО","НЕ ГОТОВО"))</f>
        <v/>
      </c>
      <c r="BE588" s="205">
        <f>IF(BD588&lt;&gt;"ГОТОВО","","Полное заключение: "&amp;A588&amp;", скв. "&amp;B588&amp;". МРП: "&amp;E588&amp;" сут. ГНО: "&amp;F588&amp;"; причина: "&amp;U588&amp;"; категория: "&amp;V588&amp;"; решение комиссии: "&amp;BB588&amp;".")</f>
        <v/>
      </c>
      <c r="BF588" s="173">
        <f>IF('Оперативный ввод'!X588="","",'Оперативный ввод'!X588)</f>
        <v/>
      </c>
    </row>
    <row r="589">
      <c r="A589" s="171">
        <f>IF('Оперативный ввод'!A589="","",'Оперативный ввод'!A589)</f>
        <v/>
      </c>
      <c r="B589" s="172">
        <f>IF('Оперативный ввод'!B589="","",'Оперативный ввод'!B589)</f>
        <v/>
      </c>
      <c r="C589" s="270">
        <f>IF('Оперативный ввод'!C589="","",'Оперативный ввод'!C589)</f>
        <v/>
      </c>
      <c r="D589" s="270">
        <f>IF('Оперативный ввод'!D589="","",'Оперативный ввод'!D589)</f>
        <v/>
      </c>
      <c r="E589" s="271">
        <f>IF(OR(C589="",D589=""),"",D589-C589)</f>
        <v/>
      </c>
      <c r="F589" s="172">
        <f>IF('Оперативный ввод'!F589="","",'Оперативный ввод'!F589)</f>
        <v/>
      </c>
      <c r="G589" s="172">
        <f>IF('Оперативный ввод'!G589="","",'Оперативный ввод'!G589)</f>
        <v/>
      </c>
      <c r="H589" s="172">
        <f>IF('Оперативный ввод'!H589="","",'Оперативный ввод'!H589)</f>
        <v/>
      </c>
      <c r="I589" s="172">
        <f>IF('Оперативный ввод'!I589="","",'Оперативный ввод'!I589)</f>
        <v/>
      </c>
      <c r="J589" s="172">
        <f>IF('Оперативный ввод'!J589="","",'Оперативный ввод'!J589)</f>
        <v/>
      </c>
      <c r="K589" s="172">
        <f>IF('Оперативный ввод'!K589="","",'Оперативный ввод'!K589)</f>
        <v/>
      </c>
      <c r="L589" s="172">
        <f>IF('Оперативный ввод'!L589="","",'Оперативный ввод'!L589)</f>
        <v/>
      </c>
      <c r="M589" s="172">
        <f>IF('Оперативный ввод'!M589="","",'Оперативный ввод'!M589)</f>
        <v/>
      </c>
      <c r="N589" s="172">
        <f>IF('Оперативный ввод'!N589="","",'Оперативный ввод'!N589)</f>
        <v/>
      </c>
      <c r="O589" s="172">
        <f>IF('Оперативный ввод'!O589="","",'Оперативный ввод'!O589)</f>
        <v/>
      </c>
      <c r="P589" s="205">
        <f>IF(AND(A589="",B589=""),"",IF(AND(A589&lt;&gt;"",B589&lt;&gt;"",C589&lt;&gt;"",D589&lt;&gt;"",F589&lt;&gt;"",G589&lt;&gt;"",H589&lt;&gt;"",ISERROR(SEARCH("по паспорту",G589)),ISERROR(SEARCH("по паспорту",H589)),I589&lt;&gt;"",J589&lt;&gt;"",K589&lt;&gt;"",L589&lt;&gt;"",M589&lt;&gt;""),"ГОТОВО","НЕ ГОТОВО"))</f>
        <v/>
      </c>
      <c r="Q589" s="205">
        <f>IF(P589&lt;&gt;"ГОТОВО","", "Предварительное заключение: "&amp;A589&amp;", скв. "&amp;B589&amp;". МРП: "&amp;E589&amp;" сут. ГНО: "&amp;F589&amp;", типоразмер "&amp;G589&amp;", марка "&amp;H589&amp;". Событие: "&amp;I589&amp;". Признак: "&amp;J589&amp;". Узел: "&amp;K589&amp;". Предварительная причина: "&amp;L589&amp;". Основное осложнение: "&amp;M589&amp;IF(N589&lt;&gt;"","; сопутствующее: "&amp;N589,"")&amp;IF(O589&lt;&gt;"","; дополнительно: "&amp;O589,"")&amp;".")</f>
        <v/>
      </c>
      <c r="R589" s="172">
        <f>IF('Оперативный ввод'!P589="","",'Оперативный ввод'!P589)</f>
        <v/>
      </c>
      <c r="S589" s="172">
        <f>IF('Оперативный ввод'!Q589="","",'Оперативный ввод'!Q589)</f>
        <v/>
      </c>
      <c r="T589" s="172">
        <f>IF('Оперативный ввод'!R589="","",'Оперативный ввод'!R589)</f>
        <v/>
      </c>
      <c r="U589" s="172">
        <f>IF('Оперативный ввод'!S589="","",'Оперативный ввод'!S589)</f>
        <v/>
      </c>
      <c r="V589" s="172">
        <f>IF('Оперативный ввод'!T589="","",'Оперативный ввод'!T589)</f>
        <v/>
      </c>
      <c r="W589" s="172" t="n"/>
      <c r="X589" s="172" t="n"/>
      <c r="Y589" s="172" t="n"/>
      <c r="Z589" s="172" t="n"/>
      <c r="AA589" s="172">
        <f>IF('Оперативный ввод'!U589="","",'Оперативный ввод'!U589)</f>
        <v/>
      </c>
      <c r="AB589" s="172">
        <f>IF('Оперативный ввод'!V589="","",'Оперативный ввод'!V589)</f>
        <v/>
      </c>
      <c r="AC589" s="172">
        <f>IF('Оперативный ввод'!W589="","",'Оперативный ввод'!W589)</f>
        <v/>
      </c>
      <c r="BB589" s="172" t="n"/>
      <c r="BC589" s="172" t="n"/>
      <c r="BD589" s="205">
        <f>IF(AND(A589="",B589=""),"",IF(AND(P589="ГОТОВО",R589&lt;&gt;"",T589&lt;&gt;"",U589&lt;&gt;"",AA589&lt;&gt;"",AB589&lt;&gt;"",AC589&lt;&gt;"",BB589&lt;&gt;"",BC589&lt;&gt;""),"ГОТОВО","НЕ ГОТОВО"))</f>
        <v/>
      </c>
      <c r="BE589" s="205">
        <f>IF(BD589&lt;&gt;"ГОТОВО","","Полное заключение: "&amp;A589&amp;", скв. "&amp;B589&amp;". МРП: "&amp;E589&amp;" сут. ГНО: "&amp;F589&amp;"; причина: "&amp;U589&amp;"; категория: "&amp;V589&amp;"; решение комиссии: "&amp;BB589&amp;".")</f>
        <v/>
      </c>
      <c r="BF589" s="173">
        <f>IF('Оперативный ввод'!X589="","",'Оперативный ввод'!X589)</f>
        <v/>
      </c>
    </row>
    <row r="590">
      <c r="A590" s="171">
        <f>IF('Оперативный ввод'!A590="","",'Оперативный ввод'!A590)</f>
        <v/>
      </c>
      <c r="B590" s="172">
        <f>IF('Оперативный ввод'!B590="","",'Оперативный ввод'!B590)</f>
        <v/>
      </c>
      <c r="C590" s="270">
        <f>IF('Оперативный ввод'!C590="","",'Оперативный ввод'!C590)</f>
        <v/>
      </c>
      <c r="D590" s="270">
        <f>IF('Оперативный ввод'!D590="","",'Оперативный ввод'!D590)</f>
        <v/>
      </c>
      <c r="E590" s="271">
        <f>IF(OR(C590="",D590=""),"",D590-C590)</f>
        <v/>
      </c>
      <c r="F590" s="172">
        <f>IF('Оперативный ввод'!F590="","",'Оперативный ввод'!F590)</f>
        <v/>
      </c>
      <c r="G590" s="172">
        <f>IF('Оперативный ввод'!G590="","",'Оперативный ввод'!G590)</f>
        <v/>
      </c>
      <c r="H590" s="172">
        <f>IF('Оперативный ввод'!H590="","",'Оперативный ввод'!H590)</f>
        <v/>
      </c>
      <c r="I590" s="172">
        <f>IF('Оперативный ввод'!I590="","",'Оперативный ввод'!I590)</f>
        <v/>
      </c>
      <c r="J590" s="172">
        <f>IF('Оперативный ввод'!J590="","",'Оперативный ввод'!J590)</f>
        <v/>
      </c>
      <c r="K590" s="172">
        <f>IF('Оперативный ввод'!K590="","",'Оперативный ввод'!K590)</f>
        <v/>
      </c>
      <c r="L590" s="172">
        <f>IF('Оперативный ввод'!L590="","",'Оперативный ввод'!L590)</f>
        <v/>
      </c>
      <c r="M590" s="172">
        <f>IF('Оперативный ввод'!M590="","",'Оперативный ввод'!M590)</f>
        <v/>
      </c>
      <c r="N590" s="172">
        <f>IF('Оперативный ввод'!N590="","",'Оперативный ввод'!N590)</f>
        <v/>
      </c>
      <c r="O590" s="172">
        <f>IF('Оперативный ввод'!O590="","",'Оперативный ввод'!O590)</f>
        <v/>
      </c>
      <c r="P590" s="205">
        <f>IF(AND(A590="",B590=""),"",IF(AND(A590&lt;&gt;"",B590&lt;&gt;"",C590&lt;&gt;"",D590&lt;&gt;"",F590&lt;&gt;"",G590&lt;&gt;"",H590&lt;&gt;"",ISERROR(SEARCH("по паспорту",G590)),ISERROR(SEARCH("по паспорту",H590)),I590&lt;&gt;"",J590&lt;&gt;"",K590&lt;&gt;"",L590&lt;&gt;"",M590&lt;&gt;""),"ГОТОВО","НЕ ГОТОВО"))</f>
        <v/>
      </c>
      <c r="Q590" s="205">
        <f>IF(P590&lt;&gt;"ГОТОВО","", "Предварительное заключение: "&amp;A590&amp;", скв. "&amp;B590&amp;". МРП: "&amp;E590&amp;" сут. ГНО: "&amp;F590&amp;", типоразмер "&amp;G590&amp;", марка "&amp;H590&amp;". Событие: "&amp;I590&amp;". Признак: "&amp;J590&amp;". Узел: "&amp;K590&amp;". Предварительная причина: "&amp;L590&amp;". Основное осложнение: "&amp;M590&amp;IF(N590&lt;&gt;"","; сопутствующее: "&amp;N590,"")&amp;IF(O590&lt;&gt;"","; дополнительно: "&amp;O590,"")&amp;".")</f>
        <v/>
      </c>
      <c r="R590" s="172">
        <f>IF('Оперативный ввод'!P590="","",'Оперативный ввод'!P590)</f>
        <v/>
      </c>
      <c r="S590" s="172">
        <f>IF('Оперативный ввод'!Q590="","",'Оперативный ввод'!Q590)</f>
        <v/>
      </c>
      <c r="T590" s="172">
        <f>IF('Оперативный ввод'!R590="","",'Оперативный ввод'!R590)</f>
        <v/>
      </c>
      <c r="U590" s="172">
        <f>IF('Оперативный ввод'!S590="","",'Оперативный ввод'!S590)</f>
        <v/>
      </c>
      <c r="V590" s="172">
        <f>IF('Оперативный ввод'!T590="","",'Оперативный ввод'!T590)</f>
        <v/>
      </c>
      <c r="W590" s="172" t="n"/>
      <c r="X590" s="172" t="n"/>
      <c r="Y590" s="172" t="n"/>
      <c r="Z590" s="172" t="n"/>
      <c r="AA590" s="172">
        <f>IF('Оперативный ввод'!U590="","",'Оперативный ввод'!U590)</f>
        <v/>
      </c>
      <c r="AB590" s="172">
        <f>IF('Оперативный ввод'!V590="","",'Оперативный ввод'!V590)</f>
        <v/>
      </c>
      <c r="AC590" s="172">
        <f>IF('Оперативный ввод'!W590="","",'Оперативный ввод'!W590)</f>
        <v/>
      </c>
      <c r="BB590" s="172" t="n"/>
      <c r="BC590" s="172" t="n"/>
      <c r="BD590" s="205">
        <f>IF(AND(A590="",B590=""),"",IF(AND(P590="ГОТОВО",R590&lt;&gt;"",T590&lt;&gt;"",U590&lt;&gt;"",AA590&lt;&gt;"",AB590&lt;&gt;"",AC590&lt;&gt;"",BB590&lt;&gt;"",BC590&lt;&gt;""),"ГОТОВО","НЕ ГОТОВО"))</f>
        <v/>
      </c>
      <c r="BE590" s="205">
        <f>IF(BD590&lt;&gt;"ГОТОВО","","Полное заключение: "&amp;A590&amp;", скв. "&amp;B590&amp;". МРП: "&amp;E590&amp;" сут. ГНО: "&amp;F590&amp;"; причина: "&amp;U590&amp;"; категория: "&amp;V590&amp;"; решение комиссии: "&amp;BB590&amp;".")</f>
        <v/>
      </c>
      <c r="BF590" s="173">
        <f>IF('Оперативный ввод'!X590="","",'Оперативный ввод'!X590)</f>
        <v/>
      </c>
    </row>
    <row r="591">
      <c r="A591" s="171">
        <f>IF('Оперативный ввод'!A591="","",'Оперативный ввод'!A591)</f>
        <v/>
      </c>
      <c r="B591" s="172">
        <f>IF('Оперативный ввод'!B591="","",'Оперативный ввод'!B591)</f>
        <v/>
      </c>
      <c r="C591" s="270">
        <f>IF('Оперативный ввод'!C591="","",'Оперативный ввод'!C591)</f>
        <v/>
      </c>
      <c r="D591" s="270">
        <f>IF('Оперативный ввод'!D591="","",'Оперативный ввод'!D591)</f>
        <v/>
      </c>
      <c r="E591" s="271">
        <f>IF(OR(C591="",D591=""),"",D591-C591)</f>
        <v/>
      </c>
      <c r="F591" s="172">
        <f>IF('Оперативный ввод'!F591="","",'Оперативный ввод'!F591)</f>
        <v/>
      </c>
      <c r="G591" s="172">
        <f>IF('Оперативный ввод'!G591="","",'Оперативный ввод'!G591)</f>
        <v/>
      </c>
      <c r="H591" s="172">
        <f>IF('Оперативный ввод'!H591="","",'Оперативный ввод'!H591)</f>
        <v/>
      </c>
      <c r="I591" s="172">
        <f>IF('Оперативный ввод'!I591="","",'Оперативный ввод'!I591)</f>
        <v/>
      </c>
      <c r="J591" s="172">
        <f>IF('Оперативный ввод'!J591="","",'Оперативный ввод'!J591)</f>
        <v/>
      </c>
      <c r="K591" s="172">
        <f>IF('Оперативный ввод'!K591="","",'Оперативный ввод'!K591)</f>
        <v/>
      </c>
      <c r="L591" s="172">
        <f>IF('Оперативный ввод'!L591="","",'Оперативный ввод'!L591)</f>
        <v/>
      </c>
      <c r="M591" s="172">
        <f>IF('Оперативный ввод'!M591="","",'Оперативный ввод'!M591)</f>
        <v/>
      </c>
      <c r="N591" s="172">
        <f>IF('Оперативный ввод'!N591="","",'Оперативный ввод'!N591)</f>
        <v/>
      </c>
      <c r="O591" s="172">
        <f>IF('Оперативный ввод'!O591="","",'Оперативный ввод'!O591)</f>
        <v/>
      </c>
      <c r="P591" s="205">
        <f>IF(AND(A591="",B591=""),"",IF(AND(A591&lt;&gt;"",B591&lt;&gt;"",C591&lt;&gt;"",D591&lt;&gt;"",F591&lt;&gt;"",G591&lt;&gt;"",H591&lt;&gt;"",ISERROR(SEARCH("по паспорту",G591)),ISERROR(SEARCH("по паспорту",H591)),I591&lt;&gt;"",J591&lt;&gt;"",K591&lt;&gt;"",L591&lt;&gt;"",M591&lt;&gt;""),"ГОТОВО","НЕ ГОТОВО"))</f>
        <v/>
      </c>
      <c r="Q591" s="205">
        <f>IF(P591&lt;&gt;"ГОТОВО","", "Предварительное заключение: "&amp;A591&amp;", скв. "&amp;B591&amp;". МРП: "&amp;E591&amp;" сут. ГНО: "&amp;F591&amp;", типоразмер "&amp;G591&amp;", марка "&amp;H591&amp;". Событие: "&amp;I591&amp;". Признак: "&amp;J591&amp;". Узел: "&amp;K591&amp;". Предварительная причина: "&amp;L591&amp;". Основное осложнение: "&amp;M591&amp;IF(N591&lt;&gt;"","; сопутствующее: "&amp;N591,"")&amp;IF(O591&lt;&gt;"","; дополнительно: "&amp;O591,"")&amp;".")</f>
        <v/>
      </c>
      <c r="R591" s="172">
        <f>IF('Оперативный ввод'!P591="","",'Оперативный ввод'!P591)</f>
        <v/>
      </c>
      <c r="S591" s="172">
        <f>IF('Оперативный ввод'!Q591="","",'Оперативный ввод'!Q591)</f>
        <v/>
      </c>
      <c r="T591" s="172">
        <f>IF('Оперативный ввод'!R591="","",'Оперативный ввод'!R591)</f>
        <v/>
      </c>
      <c r="U591" s="172">
        <f>IF('Оперативный ввод'!S591="","",'Оперативный ввод'!S591)</f>
        <v/>
      </c>
      <c r="V591" s="172">
        <f>IF('Оперативный ввод'!T591="","",'Оперативный ввод'!T591)</f>
        <v/>
      </c>
      <c r="W591" s="172" t="n"/>
      <c r="X591" s="172" t="n"/>
      <c r="Y591" s="172" t="n"/>
      <c r="Z591" s="172" t="n"/>
      <c r="AA591" s="172">
        <f>IF('Оперативный ввод'!U591="","",'Оперативный ввод'!U591)</f>
        <v/>
      </c>
      <c r="AB591" s="172">
        <f>IF('Оперативный ввод'!V591="","",'Оперативный ввод'!V591)</f>
        <v/>
      </c>
      <c r="AC591" s="172">
        <f>IF('Оперативный ввод'!W591="","",'Оперативный ввод'!W591)</f>
        <v/>
      </c>
      <c r="BB591" s="172" t="n"/>
      <c r="BC591" s="172" t="n"/>
      <c r="BD591" s="205">
        <f>IF(AND(A591="",B591=""),"",IF(AND(P591="ГОТОВО",R591&lt;&gt;"",T591&lt;&gt;"",U591&lt;&gt;"",AA591&lt;&gt;"",AB591&lt;&gt;"",AC591&lt;&gt;"",BB591&lt;&gt;"",BC591&lt;&gt;""),"ГОТОВО","НЕ ГОТОВО"))</f>
        <v/>
      </c>
      <c r="BE591" s="205">
        <f>IF(BD591&lt;&gt;"ГОТОВО","","Полное заключение: "&amp;A591&amp;", скв. "&amp;B591&amp;". МРП: "&amp;E591&amp;" сут. ГНО: "&amp;F591&amp;"; причина: "&amp;U591&amp;"; категория: "&amp;V591&amp;"; решение комиссии: "&amp;BB591&amp;".")</f>
        <v/>
      </c>
      <c r="BF591" s="173">
        <f>IF('Оперативный ввод'!X591="","",'Оперативный ввод'!X591)</f>
        <v/>
      </c>
    </row>
    <row r="592">
      <c r="A592" s="171">
        <f>IF('Оперативный ввод'!A592="","",'Оперативный ввод'!A592)</f>
        <v/>
      </c>
      <c r="B592" s="172">
        <f>IF('Оперативный ввод'!B592="","",'Оперативный ввод'!B592)</f>
        <v/>
      </c>
      <c r="C592" s="270">
        <f>IF('Оперативный ввод'!C592="","",'Оперативный ввод'!C592)</f>
        <v/>
      </c>
      <c r="D592" s="270">
        <f>IF('Оперативный ввод'!D592="","",'Оперативный ввод'!D592)</f>
        <v/>
      </c>
      <c r="E592" s="271">
        <f>IF(OR(C592="",D592=""),"",D592-C592)</f>
        <v/>
      </c>
      <c r="F592" s="172">
        <f>IF('Оперативный ввод'!F592="","",'Оперативный ввод'!F592)</f>
        <v/>
      </c>
      <c r="G592" s="172">
        <f>IF('Оперативный ввод'!G592="","",'Оперативный ввод'!G592)</f>
        <v/>
      </c>
      <c r="H592" s="172">
        <f>IF('Оперативный ввод'!H592="","",'Оперативный ввод'!H592)</f>
        <v/>
      </c>
      <c r="I592" s="172">
        <f>IF('Оперативный ввод'!I592="","",'Оперативный ввод'!I592)</f>
        <v/>
      </c>
      <c r="J592" s="172">
        <f>IF('Оперативный ввод'!J592="","",'Оперативный ввод'!J592)</f>
        <v/>
      </c>
      <c r="K592" s="172">
        <f>IF('Оперативный ввод'!K592="","",'Оперативный ввод'!K592)</f>
        <v/>
      </c>
      <c r="L592" s="172">
        <f>IF('Оперативный ввод'!L592="","",'Оперативный ввод'!L592)</f>
        <v/>
      </c>
      <c r="M592" s="172">
        <f>IF('Оперативный ввод'!M592="","",'Оперативный ввод'!M592)</f>
        <v/>
      </c>
      <c r="N592" s="172">
        <f>IF('Оперативный ввод'!N592="","",'Оперативный ввод'!N592)</f>
        <v/>
      </c>
      <c r="O592" s="172">
        <f>IF('Оперативный ввод'!O592="","",'Оперативный ввод'!O592)</f>
        <v/>
      </c>
      <c r="P592" s="205">
        <f>IF(AND(A592="",B592=""),"",IF(AND(A592&lt;&gt;"",B592&lt;&gt;"",C592&lt;&gt;"",D592&lt;&gt;"",F592&lt;&gt;"",G592&lt;&gt;"",H592&lt;&gt;"",ISERROR(SEARCH("по паспорту",G592)),ISERROR(SEARCH("по паспорту",H592)),I592&lt;&gt;"",J592&lt;&gt;"",K592&lt;&gt;"",L592&lt;&gt;"",M592&lt;&gt;""),"ГОТОВО","НЕ ГОТОВО"))</f>
        <v/>
      </c>
      <c r="Q592" s="205">
        <f>IF(P592&lt;&gt;"ГОТОВО","", "Предварительное заключение: "&amp;A592&amp;", скв. "&amp;B592&amp;". МРП: "&amp;E592&amp;" сут. ГНО: "&amp;F592&amp;", типоразмер "&amp;G592&amp;", марка "&amp;H592&amp;". Событие: "&amp;I592&amp;". Признак: "&amp;J592&amp;". Узел: "&amp;K592&amp;". Предварительная причина: "&amp;L592&amp;". Основное осложнение: "&amp;M592&amp;IF(N592&lt;&gt;"","; сопутствующее: "&amp;N592,"")&amp;IF(O592&lt;&gt;"","; дополнительно: "&amp;O592,"")&amp;".")</f>
        <v/>
      </c>
      <c r="R592" s="172">
        <f>IF('Оперативный ввод'!P592="","",'Оперативный ввод'!P592)</f>
        <v/>
      </c>
      <c r="S592" s="172">
        <f>IF('Оперативный ввод'!Q592="","",'Оперативный ввод'!Q592)</f>
        <v/>
      </c>
      <c r="T592" s="172">
        <f>IF('Оперативный ввод'!R592="","",'Оперативный ввод'!R592)</f>
        <v/>
      </c>
      <c r="U592" s="172">
        <f>IF('Оперативный ввод'!S592="","",'Оперативный ввод'!S592)</f>
        <v/>
      </c>
      <c r="V592" s="172">
        <f>IF('Оперативный ввод'!T592="","",'Оперативный ввод'!T592)</f>
        <v/>
      </c>
      <c r="W592" s="172" t="n"/>
      <c r="X592" s="172" t="n"/>
      <c r="Y592" s="172" t="n"/>
      <c r="Z592" s="172" t="n"/>
      <c r="AA592" s="172">
        <f>IF('Оперативный ввод'!U592="","",'Оперативный ввод'!U592)</f>
        <v/>
      </c>
      <c r="AB592" s="172">
        <f>IF('Оперативный ввод'!V592="","",'Оперативный ввод'!V592)</f>
        <v/>
      </c>
      <c r="AC592" s="172">
        <f>IF('Оперативный ввод'!W592="","",'Оперативный ввод'!W592)</f>
        <v/>
      </c>
      <c r="BB592" s="172" t="n"/>
      <c r="BC592" s="172" t="n"/>
      <c r="BD592" s="205">
        <f>IF(AND(A592="",B592=""),"",IF(AND(P592="ГОТОВО",R592&lt;&gt;"",T592&lt;&gt;"",U592&lt;&gt;"",AA592&lt;&gt;"",AB592&lt;&gt;"",AC592&lt;&gt;"",BB592&lt;&gt;"",BC592&lt;&gt;""),"ГОТОВО","НЕ ГОТОВО"))</f>
        <v/>
      </c>
      <c r="BE592" s="205">
        <f>IF(BD592&lt;&gt;"ГОТОВО","","Полное заключение: "&amp;A592&amp;", скв. "&amp;B592&amp;". МРП: "&amp;E592&amp;" сут. ГНО: "&amp;F592&amp;"; причина: "&amp;U592&amp;"; категория: "&amp;V592&amp;"; решение комиссии: "&amp;BB592&amp;".")</f>
        <v/>
      </c>
      <c r="BF592" s="173">
        <f>IF('Оперативный ввод'!X592="","",'Оперативный ввод'!X592)</f>
        <v/>
      </c>
    </row>
    <row r="593">
      <c r="A593" s="171">
        <f>IF('Оперативный ввод'!A593="","",'Оперативный ввод'!A593)</f>
        <v/>
      </c>
      <c r="B593" s="172">
        <f>IF('Оперативный ввод'!B593="","",'Оперативный ввод'!B593)</f>
        <v/>
      </c>
      <c r="C593" s="270">
        <f>IF('Оперативный ввод'!C593="","",'Оперативный ввод'!C593)</f>
        <v/>
      </c>
      <c r="D593" s="270">
        <f>IF('Оперативный ввод'!D593="","",'Оперативный ввод'!D593)</f>
        <v/>
      </c>
      <c r="E593" s="271">
        <f>IF(OR(C593="",D593=""),"",D593-C593)</f>
        <v/>
      </c>
      <c r="F593" s="172">
        <f>IF('Оперативный ввод'!F593="","",'Оперативный ввод'!F593)</f>
        <v/>
      </c>
      <c r="G593" s="172">
        <f>IF('Оперативный ввод'!G593="","",'Оперативный ввод'!G593)</f>
        <v/>
      </c>
      <c r="H593" s="172">
        <f>IF('Оперативный ввод'!H593="","",'Оперативный ввод'!H593)</f>
        <v/>
      </c>
      <c r="I593" s="172">
        <f>IF('Оперативный ввод'!I593="","",'Оперативный ввод'!I593)</f>
        <v/>
      </c>
      <c r="J593" s="172">
        <f>IF('Оперативный ввод'!J593="","",'Оперативный ввод'!J593)</f>
        <v/>
      </c>
      <c r="K593" s="172">
        <f>IF('Оперативный ввод'!K593="","",'Оперативный ввод'!K593)</f>
        <v/>
      </c>
      <c r="L593" s="172">
        <f>IF('Оперативный ввод'!L593="","",'Оперативный ввод'!L593)</f>
        <v/>
      </c>
      <c r="M593" s="172">
        <f>IF('Оперативный ввод'!M593="","",'Оперативный ввод'!M593)</f>
        <v/>
      </c>
      <c r="N593" s="172">
        <f>IF('Оперативный ввод'!N593="","",'Оперативный ввод'!N593)</f>
        <v/>
      </c>
      <c r="O593" s="172">
        <f>IF('Оперативный ввод'!O593="","",'Оперативный ввод'!O593)</f>
        <v/>
      </c>
      <c r="P593" s="205">
        <f>IF(AND(A593="",B593=""),"",IF(AND(A593&lt;&gt;"",B593&lt;&gt;"",C593&lt;&gt;"",D593&lt;&gt;"",F593&lt;&gt;"",G593&lt;&gt;"",H593&lt;&gt;"",ISERROR(SEARCH("по паспорту",G593)),ISERROR(SEARCH("по паспорту",H593)),I593&lt;&gt;"",J593&lt;&gt;"",K593&lt;&gt;"",L593&lt;&gt;"",M593&lt;&gt;""),"ГОТОВО","НЕ ГОТОВО"))</f>
        <v/>
      </c>
      <c r="Q593" s="205">
        <f>IF(P593&lt;&gt;"ГОТОВО","", "Предварительное заключение: "&amp;A593&amp;", скв. "&amp;B593&amp;". МРП: "&amp;E593&amp;" сут. ГНО: "&amp;F593&amp;", типоразмер "&amp;G593&amp;", марка "&amp;H593&amp;". Событие: "&amp;I593&amp;". Признак: "&amp;J593&amp;". Узел: "&amp;K593&amp;". Предварительная причина: "&amp;L593&amp;". Основное осложнение: "&amp;M593&amp;IF(N593&lt;&gt;"","; сопутствующее: "&amp;N593,"")&amp;IF(O593&lt;&gt;"","; дополнительно: "&amp;O593,"")&amp;".")</f>
        <v/>
      </c>
      <c r="R593" s="172">
        <f>IF('Оперативный ввод'!P593="","",'Оперативный ввод'!P593)</f>
        <v/>
      </c>
      <c r="S593" s="172">
        <f>IF('Оперативный ввод'!Q593="","",'Оперативный ввод'!Q593)</f>
        <v/>
      </c>
      <c r="T593" s="172">
        <f>IF('Оперативный ввод'!R593="","",'Оперативный ввод'!R593)</f>
        <v/>
      </c>
      <c r="U593" s="172">
        <f>IF('Оперативный ввод'!S593="","",'Оперативный ввод'!S593)</f>
        <v/>
      </c>
      <c r="V593" s="172">
        <f>IF('Оперативный ввод'!T593="","",'Оперативный ввод'!T593)</f>
        <v/>
      </c>
      <c r="W593" s="172" t="n"/>
      <c r="X593" s="172" t="n"/>
      <c r="Y593" s="172" t="n"/>
      <c r="Z593" s="172" t="n"/>
      <c r="AA593" s="172">
        <f>IF('Оперативный ввод'!U593="","",'Оперативный ввод'!U593)</f>
        <v/>
      </c>
      <c r="AB593" s="172">
        <f>IF('Оперативный ввод'!V593="","",'Оперативный ввод'!V593)</f>
        <v/>
      </c>
      <c r="AC593" s="172">
        <f>IF('Оперативный ввод'!W593="","",'Оперативный ввод'!W593)</f>
        <v/>
      </c>
      <c r="BB593" s="172" t="n"/>
      <c r="BC593" s="172" t="n"/>
      <c r="BD593" s="205">
        <f>IF(AND(A593="",B593=""),"",IF(AND(P593="ГОТОВО",R593&lt;&gt;"",T593&lt;&gt;"",U593&lt;&gt;"",AA593&lt;&gt;"",AB593&lt;&gt;"",AC593&lt;&gt;"",BB593&lt;&gt;"",BC593&lt;&gt;""),"ГОТОВО","НЕ ГОТОВО"))</f>
        <v/>
      </c>
      <c r="BE593" s="205">
        <f>IF(BD593&lt;&gt;"ГОТОВО","","Полное заключение: "&amp;A593&amp;", скв. "&amp;B593&amp;". МРП: "&amp;E593&amp;" сут. ГНО: "&amp;F593&amp;"; причина: "&amp;U593&amp;"; категория: "&amp;V593&amp;"; решение комиссии: "&amp;BB593&amp;".")</f>
        <v/>
      </c>
      <c r="BF593" s="173">
        <f>IF('Оперативный ввод'!X593="","",'Оперативный ввод'!X593)</f>
        <v/>
      </c>
    </row>
    <row r="594">
      <c r="A594" s="171">
        <f>IF('Оперативный ввод'!A594="","",'Оперативный ввод'!A594)</f>
        <v/>
      </c>
      <c r="B594" s="172">
        <f>IF('Оперативный ввод'!B594="","",'Оперативный ввод'!B594)</f>
        <v/>
      </c>
      <c r="C594" s="270">
        <f>IF('Оперативный ввод'!C594="","",'Оперативный ввод'!C594)</f>
        <v/>
      </c>
      <c r="D594" s="270">
        <f>IF('Оперативный ввод'!D594="","",'Оперативный ввод'!D594)</f>
        <v/>
      </c>
      <c r="E594" s="271">
        <f>IF(OR(C594="",D594=""),"",D594-C594)</f>
        <v/>
      </c>
      <c r="F594" s="172">
        <f>IF('Оперативный ввод'!F594="","",'Оперативный ввод'!F594)</f>
        <v/>
      </c>
      <c r="G594" s="172">
        <f>IF('Оперативный ввод'!G594="","",'Оперативный ввод'!G594)</f>
        <v/>
      </c>
      <c r="H594" s="172">
        <f>IF('Оперативный ввод'!H594="","",'Оперативный ввод'!H594)</f>
        <v/>
      </c>
      <c r="I594" s="172">
        <f>IF('Оперативный ввод'!I594="","",'Оперативный ввод'!I594)</f>
        <v/>
      </c>
      <c r="J594" s="172">
        <f>IF('Оперативный ввод'!J594="","",'Оперативный ввод'!J594)</f>
        <v/>
      </c>
      <c r="K594" s="172">
        <f>IF('Оперативный ввод'!K594="","",'Оперативный ввод'!K594)</f>
        <v/>
      </c>
      <c r="L594" s="172">
        <f>IF('Оперативный ввод'!L594="","",'Оперативный ввод'!L594)</f>
        <v/>
      </c>
      <c r="M594" s="172">
        <f>IF('Оперативный ввод'!M594="","",'Оперативный ввод'!M594)</f>
        <v/>
      </c>
      <c r="N594" s="172">
        <f>IF('Оперативный ввод'!N594="","",'Оперативный ввод'!N594)</f>
        <v/>
      </c>
      <c r="O594" s="172">
        <f>IF('Оперативный ввод'!O594="","",'Оперативный ввод'!O594)</f>
        <v/>
      </c>
      <c r="P594" s="205">
        <f>IF(AND(A594="",B594=""),"",IF(AND(A594&lt;&gt;"",B594&lt;&gt;"",C594&lt;&gt;"",D594&lt;&gt;"",F594&lt;&gt;"",G594&lt;&gt;"",H594&lt;&gt;"",ISERROR(SEARCH("по паспорту",G594)),ISERROR(SEARCH("по паспорту",H594)),I594&lt;&gt;"",J594&lt;&gt;"",K594&lt;&gt;"",L594&lt;&gt;"",M594&lt;&gt;""),"ГОТОВО","НЕ ГОТОВО"))</f>
        <v/>
      </c>
      <c r="Q594" s="205">
        <f>IF(P594&lt;&gt;"ГОТОВО","", "Предварительное заключение: "&amp;A594&amp;", скв. "&amp;B594&amp;". МРП: "&amp;E594&amp;" сут. ГНО: "&amp;F594&amp;", типоразмер "&amp;G594&amp;", марка "&amp;H594&amp;". Событие: "&amp;I594&amp;". Признак: "&amp;J594&amp;". Узел: "&amp;K594&amp;". Предварительная причина: "&amp;L594&amp;". Основное осложнение: "&amp;M594&amp;IF(N594&lt;&gt;"","; сопутствующее: "&amp;N594,"")&amp;IF(O594&lt;&gt;"","; дополнительно: "&amp;O594,"")&amp;".")</f>
        <v/>
      </c>
      <c r="R594" s="172">
        <f>IF('Оперативный ввод'!P594="","",'Оперативный ввод'!P594)</f>
        <v/>
      </c>
      <c r="S594" s="172">
        <f>IF('Оперативный ввод'!Q594="","",'Оперативный ввод'!Q594)</f>
        <v/>
      </c>
      <c r="T594" s="172">
        <f>IF('Оперативный ввод'!R594="","",'Оперативный ввод'!R594)</f>
        <v/>
      </c>
      <c r="U594" s="172">
        <f>IF('Оперативный ввод'!S594="","",'Оперативный ввод'!S594)</f>
        <v/>
      </c>
      <c r="V594" s="172">
        <f>IF('Оперативный ввод'!T594="","",'Оперативный ввод'!T594)</f>
        <v/>
      </c>
      <c r="W594" s="172" t="n"/>
      <c r="X594" s="172" t="n"/>
      <c r="Y594" s="172" t="n"/>
      <c r="Z594" s="172" t="n"/>
      <c r="AA594" s="172">
        <f>IF('Оперативный ввод'!U594="","",'Оперативный ввод'!U594)</f>
        <v/>
      </c>
      <c r="AB594" s="172">
        <f>IF('Оперативный ввод'!V594="","",'Оперативный ввод'!V594)</f>
        <v/>
      </c>
      <c r="AC594" s="172">
        <f>IF('Оперативный ввод'!W594="","",'Оперативный ввод'!W594)</f>
        <v/>
      </c>
      <c r="BB594" s="172" t="n"/>
      <c r="BC594" s="172" t="n"/>
      <c r="BD594" s="205">
        <f>IF(AND(A594="",B594=""),"",IF(AND(P594="ГОТОВО",R594&lt;&gt;"",T594&lt;&gt;"",U594&lt;&gt;"",AA594&lt;&gt;"",AB594&lt;&gt;"",AC594&lt;&gt;"",BB594&lt;&gt;"",BC594&lt;&gt;""),"ГОТОВО","НЕ ГОТОВО"))</f>
        <v/>
      </c>
      <c r="BE594" s="205">
        <f>IF(BD594&lt;&gt;"ГОТОВО","","Полное заключение: "&amp;A594&amp;", скв. "&amp;B594&amp;". МРП: "&amp;E594&amp;" сут. ГНО: "&amp;F594&amp;"; причина: "&amp;U594&amp;"; категория: "&amp;V594&amp;"; решение комиссии: "&amp;BB594&amp;".")</f>
        <v/>
      </c>
      <c r="BF594" s="173">
        <f>IF('Оперативный ввод'!X594="","",'Оперативный ввод'!X594)</f>
        <v/>
      </c>
    </row>
    <row r="595">
      <c r="A595" s="171">
        <f>IF('Оперативный ввод'!A595="","",'Оперативный ввод'!A595)</f>
        <v/>
      </c>
      <c r="B595" s="172">
        <f>IF('Оперативный ввод'!B595="","",'Оперативный ввод'!B595)</f>
        <v/>
      </c>
      <c r="C595" s="270">
        <f>IF('Оперативный ввод'!C595="","",'Оперативный ввод'!C595)</f>
        <v/>
      </c>
      <c r="D595" s="270">
        <f>IF('Оперативный ввод'!D595="","",'Оперативный ввод'!D595)</f>
        <v/>
      </c>
      <c r="E595" s="271">
        <f>IF(OR(C595="",D595=""),"",D595-C595)</f>
        <v/>
      </c>
      <c r="F595" s="172">
        <f>IF('Оперативный ввод'!F595="","",'Оперативный ввод'!F595)</f>
        <v/>
      </c>
      <c r="G595" s="172">
        <f>IF('Оперативный ввод'!G595="","",'Оперативный ввод'!G595)</f>
        <v/>
      </c>
      <c r="H595" s="172">
        <f>IF('Оперативный ввод'!H595="","",'Оперативный ввод'!H595)</f>
        <v/>
      </c>
      <c r="I595" s="172">
        <f>IF('Оперативный ввод'!I595="","",'Оперативный ввод'!I595)</f>
        <v/>
      </c>
      <c r="J595" s="172">
        <f>IF('Оперативный ввод'!J595="","",'Оперативный ввод'!J595)</f>
        <v/>
      </c>
      <c r="K595" s="172">
        <f>IF('Оперативный ввод'!K595="","",'Оперативный ввод'!K595)</f>
        <v/>
      </c>
      <c r="L595" s="172">
        <f>IF('Оперативный ввод'!L595="","",'Оперативный ввод'!L595)</f>
        <v/>
      </c>
      <c r="M595" s="172">
        <f>IF('Оперативный ввод'!M595="","",'Оперативный ввод'!M595)</f>
        <v/>
      </c>
      <c r="N595" s="172">
        <f>IF('Оперативный ввод'!N595="","",'Оперативный ввод'!N595)</f>
        <v/>
      </c>
      <c r="O595" s="172">
        <f>IF('Оперативный ввод'!O595="","",'Оперативный ввод'!O595)</f>
        <v/>
      </c>
      <c r="P595" s="205">
        <f>IF(AND(A595="",B595=""),"",IF(AND(A595&lt;&gt;"",B595&lt;&gt;"",C595&lt;&gt;"",D595&lt;&gt;"",F595&lt;&gt;"",G595&lt;&gt;"",H595&lt;&gt;"",ISERROR(SEARCH("по паспорту",G595)),ISERROR(SEARCH("по паспорту",H595)),I595&lt;&gt;"",J595&lt;&gt;"",K595&lt;&gt;"",L595&lt;&gt;"",M595&lt;&gt;""),"ГОТОВО","НЕ ГОТОВО"))</f>
        <v/>
      </c>
      <c r="Q595" s="205">
        <f>IF(P595&lt;&gt;"ГОТОВО","", "Предварительное заключение: "&amp;A595&amp;", скв. "&amp;B595&amp;". МРП: "&amp;E595&amp;" сут. ГНО: "&amp;F595&amp;", типоразмер "&amp;G595&amp;", марка "&amp;H595&amp;". Событие: "&amp;I595&amp;". Признак: "&amp;J595&amp;". Узел: "&amp;K595&amp;". Предварительная причина: "&amp;L595&amp;". Основное осложнение: "&amp;M595&amp;IF(N595&lt;&gt;"","; сопутствующее: "&amp;N595,"")&amp;IF(O595&lt;&gt;"","; дополнительно: "&amp;O595,"")&amp;".")</f>
        <v/>
      </c>
      <c r="R595" s="172">
        <f>IF('Оперативный ввод'!P595="","",'Оперативный ввод'!P595)</f>
        <v/>
      </c>
      <c r="S595" s="172">
        <f>IF('Оперативный ввод'!Q595="","",'Оперативный ввод'!Q595)</f>
        <v/>
      </c>
      <c r="T595" s="172">
        <f>IF('Оперативный ввод'!R595="","",'Оперативный ввод'!R595)</f>
        <v/>
      </c>
      <c r="U595" s="172">
        <f>IF('Оперативный ввод'!S595="","",'Оперативный ввод'!S595)</f>
        <v/>
      </c>
      <c r="V595" s="172">
        <f>IF('Оперативный ввод'!T595="","",'Оперативный ввод'!T595)</f>
        <v/>
      </c>
      <c r="W595" s="172" t="n"/>
      <c r="X595" s="172" t="n"/>
      <c r="Y595" s="172" t="n"/>
      <c r="Z595" s="172" t="n"/>
      <c r="AA595" s="172">
        <f>IF('Оперативный ввод'!U595="","",'Оперативный ввод'!U595)</f>
        <v/>
      </c>
      <c r="AB595" s="172">
        <f>IF('Оперативный ввод'!V595="","",'Оперативный ввод'!V595)</f>
        <v/>
      </c>
      <c r="AC595" s="172">
        <f>IF('Оперативный ввод'!W595="","",'Оперативный ввод'!W595)</f>
        <v/>
      </c>
      <c r="BB595" s="172" t="n"/>
      <c r="BC595" s="172" t="n"/>
      <c r="BD595" s="205">
        <f>IF(AND(A595="",B595=""),"",IF(AND(P595="ГОТОВО",R595&lt;&gt;"",T595&lt;&gt;"",U595&lt;&gt;"",AA595&lt;&gt;"",AB595&lt;&gt;"",AC595&lt;&gt;"",BB595&lt;&gt;"",BC595&lt;&gt;""),"ГОТОВО","НЕ ГОТОВО"))</f>
        <v/>
      </c>
      <c r="BE595" s="205">
        <f>IF(BD595&lt;&gt;"ГОТОВО","","Полное заключение: "&amp;A595&amp;", скв. "&amp;B595&amp;". МРП: "&amp;E595&amp;" сут. ГНО: "&amp;F595&amp;"; причина: "&amp;U595&amp;"; категория: "&amp;V595&amp;"; решение комиссии: "&amp;BB595&amp;".")</f>
        <v/>
      </c>
      <c r="BF595" s="173">
        <f>IF('Оперативный ввод'!X595="","",'Оперативный ввод'!X595)</f>
        <v/>
      </c>
    </row>
    <row r="596">
      <c r="A596" s="171">
        <f>IF('Оперативный ввод'!A596="","",'Оперативный ввод'!A596)</f>
        <v/>
      </c>
      <c r="B596" s="172">
        <f>IF('Оперативный ввод'!B596="","",'Оперативный ввод'!B596)</f>
        <v/>
      </c>
      <c r="C596" s="270">
        <f>IF('Оперативный ввод'!C596="","",'Оперативный ввод'!C596)</f>
        <v/>
      </c>
      <c r="D596" s="270">
        <f>IF('Оперативный ввод'!D596="","",'Оперативный ввод'!D596)</f>
        <v/>
      </c>
      <c r="E596" s="271">
        <f>IF(OR(C596="",D596=""),"",D596-C596)</f>
        <v/>
      </c>
      <c r="F596" s="172">
        <f>IF('Оперативный ввод'!F596="","",'Оперативный ввод'!F596)</f>
        <v/>
      </c>
      <c r="G596" s="172">
        <f>IF('Оперативный ввод'!G596="","",'Оперативный ввод'!G596)</f>
        <v/>
      </c>
      <c r="H596" s="172">
        <f>IF('Оперативный ввод'!H596="","",'Оперативный ввод'!H596)</f>
        <v/>
      </c>
      <c r="I596" s="172">
        <f>IF('Оперативный ввод'!I596="","",'Оперативный ввод'!I596)</f>
        <v/>
      </c>
      <c r="J596" s="172">
        <f>IF('Оперативный ввод'!J596="","",'Оперативный ввод'!J596)</f>
        <v/>
      </c>
      <c r="K596" s="172">
        <f>IF('Оперативный ввод'!K596="","",'Оперативный ввод'!K596)</f>
        <v/>
      </c>
      <c r="L596" s="172">
        <f>IF('Оперативный ввод'!L596="","",'Оперативный ввод'!L596)</f>
        <v/>
      </c>
      <c r="M596" s="172">
        <f>IF('Оперативный ввод'!M596="","",'Оперативный ввод'!M596)</f>
        <v/>
      </c>
      <c r="N596" s="172">
        <f>IF('Оперативный ввод'!N596="","",'Оперативный ввод'!N596)</f>
        <v/>
      </c>
      <c r="O596" s="172">
        <f>IF('Оперативный ввод'!O596="","",'Оперативный ввод'!O596)</f>
        <v/>
      </c>
      <c r="P596" s="205">
        <f>IF(AND(A596="",B596=""),"",IF(AND(A596&lt;&gt;"",B596&lt;&gt;"",C596&lt;&gt;"",D596&lt;&gt;"",F596&lt;&gt;"",G596&lt;&gt;"",H596&lt;&gt;"",ISERROR(SEARCH("по паспорту",G596)),ISERROR(SEARCH("по паспорту",H596)),I596&lt;&gt;"",J596&lt;&gt;"",K596&lt;&gt;"",L596&lt;&gt;"",M596&lt;&gt;""),"ГОТОВО","НЕ ГОТОВО"))</f>
        <v/>
      </c>
      <c r="Q596" s="205">
        <f>IF(P596&lt;&gt;"ГОТОВО","", "Предварительное заключение: "&amp;A596&amp;", скв. "&amp;B596&amp;". МРП: "&amp;E596&amp;" сут. ГНО: "&amp;F596&amp;", типоразмер "&amp;G596&amp;", марка "&amp;H596&amp;". Событие: "&amp;I596&amp;". Признак: "&amp;J596&amp;". Узел: "&amp;K596&amp;". Предварительная причина: "&amp;L596&amp;". Основное осложнение: "&amp;M596&amp;IF(N596&lt;&gt;"","; сопутствующее: "&amp;N596,"")&amp;IF(O596&lt;&gt;"","; дополнительно: "&amp;O596,"")&amp;".")</f>
        <v/>
      </c>
      <c r="R596" s="172">
        <f>IF('Оперативный ввод'!P596="","",'Оперативный ввод'!P596)</f>
        <v/>
      </c>
      <c r="S596" s="172">
        <f>IF('Оперативный ввод'!Q596="","",'Оперативный ввод'!Q596)</f>
        <v/>
      </c>
      <c r="T596" s="172">
        <f>IF('Оперативный ввод'!R596="","",'Оперативный ввод'!R596)</f>
        <v/>
      </c>
      <c r="U596" s="172">
        <f>IF('Оперативный ввод'!S596="","",'Оперативный ввод'!S596)</f>
        <v/>
      </c>
      <c r="V596" s="172">
        <f>IF('Оперативный ввод'!T596="","",'Оперативный ввод'!T596)</f>
        <v/>
      </c>
      <c r="W596" s="172" t="n"/>
      <c r="X596" s="172" t="n"/>
      <c r="Y596" s="172" t="n"/>
      <c r="Z596" s="172" t="n"/>
      <c r="AA596" s="172">
        <f>IF('Оперативный ввод'!U596="","",'Оперативный ввод'!U596)</f>
        <v/>
      </c>
      <c r="AB596" s="172">
        <f>IF('Оперативный ввод'!V596="","",'Оперативный ввод'!V596)</f>
        <v/>
      </c>
      <c r="AC596" s="172">
        <f>IF('Оперативный ввод'!W596="","",'Оперативный ввод'!W596)</f>
        <v/>
      </c>
      <c r="BB596" s="172" t="n"/>
      <c r="BC596" s="172" t="n"/>
      <c r="BD596" s="205">
        <f>IF(AND(A596="",B596=""),"",IF(AND(P596="ГОТОВО",R596&lt;&gt;"",T596&lt;&gt;"",U596&lt;&gt;"",AA596&lt;&gt;"",AB596&lt;&gt;"",AC596&lt;&gt;"",BB596&lt;&gt;"",BC596&lt;&gt;""),"ГОТОВО","НЕ ГОТОВО"))</f>
        <v/>
      </c>
      <c r="BE596" s="205">
        <f>IF(BD596&lt;&gt;"ГОТОВО","","Полное заключение: "&amp;A596&amp;", скв. "&amp;B596&amp;". МРП: "&amp;E596&amp;" сут. ГНО: "&amp;F596&amp;"; причина: "&amp;U596&amp;"; категория: "&amp;V596&amp;"; решение комиссии: "&amp;BB596&amp;".")</f>
        <v/>
      </c>
      <c r="BF596" s="173">
        <f>IF('Оперативный ввод'!X596="","",'Оперативный ввод'!X596)</f>
        <v/>
      </c>
    </row>
    <row r="597">
      <c r="A597" s="171">
        <f>IF('Оперативный ввод'!A597="","",'Оперативный ввод'!A597)</f>
        <v/>
      </c>
      <c r="B597" s="172">
        <f>IF('Оперативный ввод'!B597="","",'Оперативный ввод'!B597)</f>
        <v/>
      </c>
      <c r="C597" s="270">
        <f>IF('Оперативный ввод'!C597="","",'Оперативный ввод'!C597)</f>
        <v/>
      </c>
      <c r="D597" s="270">
        <f>IF('Оперативный ввод'!D597="","",'Оперативный ввод'!D597)</f>
        <v/>
      </c>
      <c r="E597" s="271">
        <f>IF(OR(C597="",D597=""),"",D597-C597)</f>
        <v/>
      </c>
      <c r="F597" s="172">
        <f>IF('Оперативный ввод'!F597="","",'Оперативный ввод'!F597)</f>
        <v/>
      </c>
      <c r="G597" s="172">
        <f>IF('Оперативный ввод'!G597="","",'Оперативный ввод'!G597)</f>
        <v/>
      </c>
      <c r="H597" s="172">
        <f>IF('Оперативный ввод'!H597="","",'Оперативный ввод'!H597)</f>
        <v/>
      </c>
      <c r="I597" s="172">
        <f>IF('Оперативный ввод'!I597="","",'Оперативный ввод'!I597)</f>
        <v/>
      </c>
      <c r="J597" s="172">
        <f>IF('Оперативный ввод'!J597="","",'Оперативный ввод'!J597)</f>
        <v/>
      </c>
      <c r="K597" s="172">
        <f>IF('Оперативный ввод'!K597="","",'Оперативный ввод'!K597)</f>
        <v/>
      </c>
      <c r="L597" s="172">
        <f>IF('Оперативный ввод'!L597="","",'Оперативный ввод'!L597)</f>
        <v/>
      </c>
      <c r="M597" s="172">
        <f>IF('Оперативный ввод'!M597="","",'Оперативный ввод'!M597)</f>
        <v/>
      </c>
      <c r="N597" s="172">
        <f>IF('Оперативный ввод'!N597="","",'Оперативный ввод'!N597)</f>
        <v/>
      </c>
      <c r="O597" s="172">
        <f>IF('Оперативный ввод'!O597="","",'Оперативный ввод'!O597)</f>
        <v/>
      </c>
      <c r="P597" s="205">
        <f>IF(AND(A597="",B597=""),"",IF(AND(A597&lt;&gt;"",B597&lt;&gt;"",C597&lt;&gt;"",D597&lt;&gt;"",F597&lt;&gt;"",G597&lt;&gt;"",H597&lt;&gt;"",ISERROR(SEARCH("по паспорту",G597)),ISERROR(SEARCH("по паспорту",H597)),I597&lt;&gt;"",J597&lt;&gt;"",K597&lt;&gt;"",L597&lt;&gt;"",M597&lt;&gt;""),"ГОТОВО","НЕ ГОТОВО"))</f>
        <v/>
      </c>
      <c r="Q597" s="205">
        <f>IF(P597&lt;&gt;"ГОТОВО","", "Предварительное заключение: "&amp;A597&amp;", скв. "&amp;B597&amp;". МРП: "&amp;E597&amp;" сут. ГНО: "&amp;F597&amp;", типоразмер "&amp;G597&amp;", марка "&amp;H597&amp;". Событие: "&amp;I597&amp;". Признак: "&amp;J597&amp;". Узел: "&amp;K597&amp;". Предварительная причина: "&amp;L597&amp;". Основное осложнение: "&amp;M597&amp;IF(N597&lt;&gt;"","; сопутствующее: "&amp;N597,"")&amp;IF(O597&lt;&gt;"","; дополнительно: "&amp;O597,"")&amp;".")</f>
        <v/>
      </c>
      <c r="R597" s="172">
        <f>IF('Оперативный ввод'!P597="","",'Оперативный ввод'!P597)</f>
        <v/>
      </c>
      <c r="S597" s="172">
        <f>IF('Оперативный ввод'!Q597="","",'Оперативный ввод'!Q597)</f>
        <v/>
      </c>
      <c r="T597" s="172">
        <f>IF('Оперативный ввод'!R597="","",'Оперативный ввод'!R597)</f>
        <v/>
      </c>
      <c r="U597" s="172">
        <f>IF('Оперативный ввод'!S597="","",'Оперативный ввод'!S597)</f>
        <v/>
      </c>
      <c r="V597" s="172">
        <f>IF('Оперативный ввод'!T597="","",'Оперативный ввод'!T597)</f>
        <v/>
      </c>
      <c r="W597" s="172" t="n"/>
      <c r="X597" s="172" t="n"/>
      <c r="Y597" s="172" t="n"/>
      <c r="Z597" s="172" t="n"/>
      <c r="AA597" s="172">
        <f>IF('Оперативный ввод'!U597="","",'Оперативный ввод'!U597)</f>
        <v/>
      </c>
      <c r="AB597" s="172">
        <f>IF('Оперативный ввод'!V597="","",'Оперативный ввод'!V597)</f>
        <v/>
      </c>
      <c r="AC597" s="172">
        <f>IF('Оперативный ввод'!W597="","",'Оперативный ввод'!W597)</f>
        <v/>
      </c>
      <c r="BB597" s="172" t="n"/>
      <c r="BC597" s="172" t="n"/>
      <c r="BD597" s="205">
        <f>IF(AND(A597="",B597=""),"",IF(AND(P597="ГОТОВО",R597&lt;&gt;"",T597&lt;&gt;"",U597&lt;&gt;"",AA597&lt;&gt;"",AB597&lt;&gt;"",AC597&lt;&gt;"",BB597&lt;&gt;"",BC597&lt;&gt;""),"ГОТОВО","НЕ ГОТОВО"))</f>
        <v/>
      </c>
      <c r="BE597" s="205">
        <f>IF(BD597&lt;&gt;"ГОТОВО","","Полное заключение: "&amp;A597&amp;", скв. "&amp;B597&amp;". МРП: "&amp;E597&amp;" сут. ГНО: "&amp;F597&amp;"; причина: "&amp;U597&amp;"; категория: "&amp;V597&amp;"; решение комиссии: "&amp;BB597&amp;".")</f>
        <v/>
      </c>
      <c r="BF597" s="173">
        <f>IF('Оперативный ввод'!X597="","",'Оперативный ввод'!X597)</f>
        <v/>
      </c>
    </row>
    <row r="598">
      <c r="A598" s="171">
        <f>IF('Оперативный ввод'!A598="","",'Оперативный ввод'!A598)</f>
        <v/>
      </c>
      <c r="B598" s="172">
        <f>IF('Оперативный ввод'!B598="","",'Оперативный ввод'!B598)</f>
        <v/>
      </c>
      <c r="C598" s="270">
        <f>IF('Оперативный ввод'!C598="","",'Оперативный ввод'!C598)</f>
        <v/>
      </c>
      <c r="D598" s="270">
        <f>IF('Оперативный ввод'!D598="","",'Оперативный ввод'!D598)</f>
        <v/>
      </c>
      <c r="E598" s="271">
        <f>IF(OR(C598="",D598=""),"",D598-C598)</f>
        <v/>
      </c>
      <c r="F598" s="172">
        <f>IF('Оперативный ввод'!F598="","",'Оперативный ввод'!F598)</f>
        <v/>
      </c>
      <c r="G598" s="172">
        <f>IF('Оперативный ввод'!G598="","",'Оперативный ввод'!G598)</f>
        <v/>
      </c>
      <c r="H598" s="172">
        <f>IF('Оперативный ввод'!H598="","",'Оперативный ввод'!H598)</f>
        <v/>
      </c>
      <c r="I598" s="172">
        <f>IF('Оперативный ввод'!I598="","",'Оперативный ввод'!I598)</f>
        <v/>
      </c>
      <c r="J598" s="172">
        <f>IF('Оперативный ввод'!J598="","",'Оперативный ввод'!J598)</f>
        <v/>
      </c>
      <c r="K598" s="172">
        <f>IF('Оперативный ввод'!K598="","",'Оперативный ввод'!K598)</f>
        <v/>
      </c>
      <c r="L598" s="172">
        <f>IF('Оперативный ввод'!L598="","",'Оперативный ввод'!L598)</f>
        <v/>
      </c>
      <c r="M598" s="172">
        <f>IF('Оперативный ввод'!M598="","",'Оперативный ввод'!M598)</f>
        <v/>
      </c>
      <c r="N598" s="172">
        <f>IF('Оперативный ввод'!N598="","",'Оперативный ввод'!N598)</f>
        <v/>
      </c>
      <c r="O598" s="172">
        <f>IF('Оперативный ввод'!O598="","",'Оперативный ввод'!O598)</f>
        <v/>
      </c>
      <c r="P598" s="205">
        <f>IF(AND(A598="",B598=""),"",IF(AND(A598&lt;&gt;"",B598&lt;&gt;"",C598&lt;&gt;"",D598&lt;&gt;"",F598&lt;&gt;"",G598&lt;&gt;"",H598&lt;&gt;"",ISERROR(SEARCH("по паспорту",G598)),ISERROR(SEARCH("по паспорту",H598)),I598&lt;&gt;"",J598&lt;&gt;"",K598&lt;&gt;"",L598&lt;&gt;"",M598&lt;&gt;""),"ГОТОВО","НЕ ГОТОВО"))</f>
        <v/>
      </c>
      <c r="Q598" s="205">
        <f>IF(P598&lt;&gt;"ГОТОВО","", "Предварительное заключение: "&amp;A598&amp;", скв. "&amp;B598&amp;". МРП: "&amp;E598&amp;" сут. ГНО: "&amp;F598&amp;", типоразмер "&amp;G598&amp;", марка "&amp;H598&amp;". Событие: "&amp;I598&amp;". Признак: "&amp;J598&amp;". Узел: "&amp;K598&amp;". Предварительная причина: "&amp;L598&amp;". Основное осложнение: "&amp;M598&amp;IF(N598&lt;&gt;"","; сопутствующее: "&amp;N598,"")&amp;IF(O598&lt;&gt;"","; дополнительно: "&amp;O598,"")&amp;".")</f>
        <v/>
      </c>
      <c r="R598" s="172">
        <f>IF('Оперативный ввод'!P598="","",'Оперативный ввод'!P598)</f>
        <v/>
      </c>
      <c r="S598" s="172">
        <f>IF('Оперативный ввод'!Q598="","",'Оперативный ввод'!Q598)</f>
        <v/>
      </c>
      <c r="T598" s="172">
        <f>IF('Оперативный ввод'!R598="","",'Оперативный ввод'!R598)</f>
        <v/>
      </c>
      <c r="U598" s="172">
        <f>IF('Оперативный ввод'!S598="","",'Оперативный ввод'!S598)</f>
        <v/>
      </c>
      <c r="V598" s="172">
        <f>IF('Оперативный ввод'!T598="","",'Оперативный ввод'!T598)</f>
        <v/>
      </c>
      <c r="W598" s="172" t="n"/>
      <c r="X598" s="172" t="n"/>
      <c r="Y598" s="172" t="n"/>
      <c r="Z598" s="172" t="n"/>
      <c r="AA598" s="172">
        <f>IF('Оперативный ввод'!U598="","",'Оперативный ввод'!U598)</f>
        <v/>
      </c>
      <c r="AB598" s="172">
        <f>IF('Оперативный ввод'!V598="","",'Оперативный ввод'!V598)</f>
        <v/>
      </c>
      <c r="AC598" s="172">
        <f>IF('Оперативный ввод'!W598="","",'Оперативный ввод'!W598)</f>
        <v/>
      </c>
      <c r="BB598" s="172" t="n"/>
      <c r="BC598" s="172" t="n"/>
      <c r="BD598" s="205">
        <f>IF(AND(A598="",B598=""),"",IF(AND(P598="ГОТОВО",R598&lt;&gt;"",T598&lt;&gt;"",U598&lt;&gt;"",AA598&lt;&gt;"",AB598&lt;&gt;"",AC598&lt;&gt;"",BB598&lt;&gt;"",BC598&lt;&gt;""),"ГОТОВО","НЕ ГОТОВО"))</f>
        <v/>
      </c>
      <c r="BE598" s="205">
        <f>IF(BD598&lt;&gt;"ГОТОВО","","Полное заключение: "&amp;A598&amp;", скв. "&amp;B598&amp;". МРП: "&amp;E598&amp;" сут. ГНО: "&amp;F598&amp;"; причина: "&amp;U598&amp;"; категория: "&amp;V598&amp;"; решение комиссии: "&amp;BB598&amp;".")</f>
        <v/>
      </c>
      <c r="BF598" s="173">
        <f>IF('Оперативный ввод'!X598="","",'Оперативный ввод'!X598)</f>
        <v/>
      </c>
    </row>
    <row r="599">
      <c r="A599" s="171">
        <f>IF('Оперативный ввод'!A599="","",'Оперативный ввод'!A599)</f>
        <v/>
      </c>
      <c r="B599" s="172">
        <f>IF('Оперативный ввод'!B599="","",'Оперативный ввод'!B599)</f>
        <v/>
      </c>
      <c r="C599" s="270">
        <f>IF('Оперативный ввод'!C599="","",'Оперативный ввод'!C599)</f>
        <v/>
      </c>
      <c r="D599" s="270">
        <f>IF('Оперативный ввод'!D599="","",'Оперативный ввод'!D599)</f>
        <v/>
      </c>
      <c r="E599" s="271">
        <f>IF(OR(C599="",D599=""),"",D599-C599)</f>
        <v/>
      </c>
      <c r="F599" s="172">
        <f>IF('Оперативный ввод'!F599="","",'Оперативный ввод'!F599)</f>
        <v/>
      </c>
      <c r="G599" s="172">
        <f>IF('Оперативный ввод'!G599="","",'Оперативный ввод'!G599)</f>
        <v/>
      </c>
      <c r="H599" s="172">
        <f>IF('Оперативный ввод'!H599="","",'Оперативный ввод'!H599)</f>
        <v/>
      </c>
      <c r="I599" s="172">
        <f>IF('Оперативный ввод'!I599="","",'Оперативный ввод'!I599)</f>
        <v/>
      </c>
      <c r="J599" s="172">
        <f>IF('Оперативный ввод'!J599="","",'Оперативный ввод'!J599)</f>
        <v/>
      </c>
      <c r="K599" s="172">
        <f>IF('Оперативный ввод'!K599="","",'Оперативный ввод'!K599)</f>
        <v/>
      </c>
      <c r="L599" s="172">
        <f>IF('Оперативный ввод'!L599="","",'Оперативный ввод'!L599)</f>
        <v/>
      </c>
      <c r="M599" s="172">
        <f>IF('Оперативный ввод'!M599="","",'Оперативный ввод'!M599)</f>
        <v/>
      </c>
      <c r="N599" s="172">
        <f>IF('Оперативный ввод'!N599="","",'Оперативный ввод'!N599)</f>
        <v/>
      </c>
      <c r="O599" s="172">
        <f>IF('Оперативный ввод'!O599="","",'Оперативный ввод'!O599)</f>
        <v/>
      </c>
      <c r="P599" s="205">
        <f>IF(AND(A599="",B599=""),"",IF(AND(A599&lt;&gt;"",B599&lt;&gt;"",C599&lt;&gt;"",D599&lt;&gt;"",F599&lt;&gt;"",G599&lt;&gt;"",H599&lt;&gt;"",ISERROR(SEARCH("по паспорту",G599)),ISERROR(SEARCH("по паспорту",H599)),I599&lt;&gt;"",J599&lt;&gt;"",K599&lt;&gt;"",L599&lt;&gt;"",M599&lt;&gt;""),"ГОТОВО","НЕ ГОТОВО"))</f>
        <v/>
      </c>
      <c r="Q599" s="205">
        <f>IF(P599&lt;&gt;"ГОТОВО","", "Предварительное заключение: "&amp;A599&amp;", скв. "&amp;B599&amp;". МРП: "&amp;E599&amp;" сут. ГНО: "&amp;F599&amp;", типоразмер "&amp;G599&amp;", марка "&amp;H599&amp;". Событие: "&amp;I599&amp;". Признак: "&amp;J599&amp;". Узел: "&amp;K599&amp;". Предварительная причина: "&amp;L599&amp;". Основное осложнение: "&amp;M599&amp;IF(N599&lt;&gt;"","; сопутствующее: "&amp;N599,"")&amp;IF(O599&lt;&gt;"","; дополнительно: "&amp;O599,"")&amp;".")</f>
        <v/>
      </c>
      <c r="R599" s="172">
        <f>IF('Оперативный ввод'!P599="","",'Оперативный ввод'!P599)</f>
        <v/>
      </c>
      <c r="S599" s="172">
        <f>IF('Оперативный ввод'!Q599="","",'Оперативный ввод'!Q599)</f>
        <v/>
      </c>
      <c r="T599" s="172">
        <f>IF('Оперативный ввод'!R599="","",'Оперативный ввод'!R599)</f>
        <v/>
      </c>
      <c r="U599" s="172">
        <f>IF('Оперативный ввод'!S599="","",'Оперативный ввод'!S599)</f>
        <v/>
      </c>
      <c r="V599" s="172">
        <f>IF('Оперативный ввод'!T599="","",'Оперативный ввод'!T599)</f>
        <v/>
      </c>
      <c r="W599" s="172" t="n"/>
      <c r="X599" s="172" t="n"/>
      <c r="Y599" s="172" t="n"/>
      <c r="Z599" s="172" t="n"/>
      <c r="AA599" s="172">
        <f>IF('Оперативный ввод'!U599="","",'Оперативный ввод'!U599)</f>
        <v/>
      </c>
      <c r="AB599" s="172">
        <f>IF('Оперативный ввод'!V599="","",'Оперативный ввод'!V599)</f>
        <v/>
      </c>
      <c r="AC599" s="172">
        <f>IF('Оперативный ввод'!W599="","",'Оперативный ввод'!W599)</f>
        <v/>
      </c>
      <c r="BB599" s="172" t="n"/>
      <c r="BC599" s="172" t="n"/>
      <c r="BD599" s="205">
        <f>IF(AND(A599="",B599=""),"",IF(AND(P599="ГОТОВО",R599&lt;&gt;"",T599&lt;&gt;"",U599&lt;&gt;"",AA599&lt;&gt;"",AB599&lt;&gt;"",AC599&lt;&gt;"",BB599&lt;&gt;"",BC599&lt;&gt;""),"ГОТОВО","НЕ ГОТОВО"))</f>
        <v/>
      </c>
      <c r="BE599" s="205">
        <f>IF(BD599&lt;&gt;"ГОТОВО","","Полное заключение: "&amp;A599&amp;", скв. "&amp;B599&amp;". МРП: "&amp;E599&amp;" сут. ГНО: "&amp;F599&amp;"; причина: "&amp;U599&amp;"; категория: "&amp;V599&amp;"; решение комиссии: "&amp;BB599&amp;".")</f>
        <v/>
      </c>
      <c r="BF599" s="173">
        <f>IF('Оперативный ввод'!X599="","",'Оперативный ввод'!X599)</f>
        <v/>
      </c>
    </row>
    <row r="600">
      <c r="A600" s="171">
        <f>IF('Оперативный ввод'!A600="","",'Оперативный ввод'!A600)</f>
        <v/>
      </c>
      <c r="B600" s="172">
        <f>IF('Оперативный ввод'!B600="","",'Оперативный ввод'!B600)</f>
        <v/>
      </c>
      <c r="C600" s="270">
        <f>IF('Оперативный ввод'!C600="","",'Оперативный ввод'!C600)</f>
        <v/>
      </c>
      <c r="D600" s="270">
        <f>IF('Оперативный ввод'!D600="","",'Оперативный ввод'!D600)</f>
        <v/>
      </c>
      <c r="E600" s="271">
        <f>IF(OR(C600="",D600=""),"",D600-C600)</f>
        <v/>
      </c>
      <c r="F600" s="172">
        <f>IF('Оперативный ввод'!F600="","",'Оперативный ввод'!F600)</f>
        <v/>
      </c>
      <c r="G600" s="172">
        <f>IF('Оперативный ввод'!G600="","",'Оперативный ввод'!G600)</f>
        <v/>
      </c>
      <c r="H600" s="172">
        <f>IF('Оперативный ввод'!H600="","",'Оперативный ввод'!H600)</f>
        <v/>
      </c>
      <c r="I600" s="172">
        <f>IF('Оперативный ввод'!I600="","",'Оперативный ввод'!I600)</f>
        <v/>
      </c>
      <c r="J600" s="172">
        <f>IF('Оперативный ввод'!J600="","",'Оперативный ввод'!J600)</f>
        <v/>
      </c>
      <c r="K600" s="172">
        <f>IF('Оперативный ввод'!K600="","",'Оперативный ввод'!K600)</f>
        <v/>
      </c>
      <c r="L600" s="172">
        <f>IF('Оперативный ввод'!L600="","",'Оперативный ввод'!L600)</f>
        <v/>
      </c>
      <c r="M600" s="172">
        <f>IF('Оперативный ввод'!M600="","",'Оперативный ввод'!M600)</f>
        <v/>
      </c>
      <c r="N600" s="172">
        <f>IF('Оперативный ввод'!N600="","",'Оперативный ввод'!N600)</f>
        <v/>
      </c>
      <c r="O600" s="172">
        <f>IF('Оперативный ввод'!O600="","",'Оперативный ввод'!O600)</f>
        <v/>
      </c>
      <c r="P600" s="205">
        <f>IF(AND(A600="",B600=""),"",IF(AND(A600&lt;&gt;"",B600&lt;&gt;"",C600&lt;&gt;"",D600&lt;&gt;"",F600&lt;&gt;"",G600&lt;&gt;"",H600&lt;&gt;"",ISERROR(SEARCH("по паспорту",G600)),ISERROR(SEARCH("по паспорту",H600)),I600&lt;&gt;"",J600&lt;&gt;"",K600&lt;&gt;"",L600&lt;&gt;"",M600&lt;&gt;""),"ГОТОВО","НЕ ГОТОВО"))</f>
        <v/>
      </c>
      <c r="Q600" s="205">
        <f>IF(P600&lt;&gt;"ГОТОВО","", "Предварительное заключение: "&amp;A600&amp;", скв. "&amp;B600&amp;". МРП: "&amp;E600&amp;" сут. ГНО: "&amp;F600&amp;", типоразмер "&amp;G600&amp;", марка "&amp;H600&amp;". Событие: "&amp;I600&amp;". Признак: "&amp;J600&amp;". Узел: "&amp;K600&amp;". Предварительная причина: "&amp;L600&amp;". Основное осложнение: "&amp;M600&amp;IF(N600&lt;&gt;"","; сопутствующее: "&amp;N600,"")&amp;IF(O600&lt;&gt;"","; дополнительно: "&amp;O600,"")&amp;".")</f>
        <v/>
      </c>
      <c r="R600" s="172">
        <f>IF('Оперативный ввод'!P600="","",'Оперативный ввод'!P600)</f>
        <v/>
      </c>
      <c r="S600" s="172">
        <f>IF('Оперативный ввод'!Q600="","",'Оперативный ввод'!Q600)</f>
        <v/>
      </c>
      <c r="T600" s="172">
        <f>IF('Оперативный ввод'!R600="","",'Оперативный ввод'!R600)</f>
        <v/>
      </c>
      <c r="U600" s="172">
        <f>IF('Оперативный ввод'!S600="","",'Оперативный ввод'!S600)</f>
        <v/>
      </c>
      <c r="V600" s="172">
        <f>IF('Оперативный ввод'!T600="","",'Оперативный ввод'!T600)</f>
        <v/>
      </c>
      <c r="W600" s="172" t="n"/>
      <c r="X600" s="172" t="n"/>
      <c r="Y600" s="172" t="n"/>
      <c r="Z600" s="172" t="n"/>
      <c r="AA600" s="172">
        <f>IF('Оперативный ввод'!U600="","",'Оперативный ввод'!U600)</f>
        <v/>
      </c>
      <c r="AB600" s="172">
        <f>IF('Оперативный ввод'!V600="","",'Оперативный ввод'!V600)</f>
        <v/>
      </c>
      <c r="AC600" s="172">
        <f>IF('Оперативный ввод'!W600="","",'Оперативный ввод'!W600)</f>
        <v/>
      </c>
      <c r="BB600" s="172" t="n"/>
      <c r="BC600" s="172" t="n"/>
      <c r="BD600" s="205">
        <f>IF(AND(A600="",B600=""),"",IF(AND(P600="ГОТОВО",R600&lt;&gt;"",T600&lt;&gt;"",U600&lt;&gt;"",AA600&lt;&gt;"",AB600&lt;&gt;"",AC600&lt;&gt;"",BB600&lt;&gt;"",BC600&lt;&gt;""),"ГОТОВО","НЕ ГОТОВО"))</f>
        <v/>
      </c>
      <c r="BE600" s="205">
        <f>IF(BD600&lt;&gt;"ГОТОВО","","Полное заключение: "&amp;A600&amp;", скв. "&amp;B600&amp;". МРП: "&amp;E600&amp;" сут. ГНО: "&amp;F600&amp;"; причина: "&amp;U600&amp;"; категория: "&amp;V600&amp;"; решение комиссии: "&amp;BB600&amp;".")</f>
        <v/>
      </c>
      <c r="BF600" s="173">
        <f>IF('Оперативный ввод'!X600="","",'Оперативный ввод'!X600)</f>
        <v/>
      </c>
    </row>
    <row r="601">
      <c r="A601" s="171">
        <f>IF('Оперативный ввод'!A601="","",'Оперативный ввод'!A601)</f>
        <v/>
      </c>
      <c r="B601" s="172">
        <f>IF('Оперативный ввод'!B601="","",'Оперативный ввод'!B601)</f>
        <v/>
      </c>
      <c r="C601" s="270">
        <f>IF('Оперативный ввод'!C601="","",'Оперативный ввод'!C601)</f>
        <v/>
      </c>
      <c r="D601" s="270">
        <f>IF('Оперативный ввод'!D601="","",'Оперативный ввод'!D601)</f>
        <v/>
      </c>
      <c r="E601" s="271">
        <f>IF(OR(C601="",D601=""),"",D601-C601)</f>
        <v/>
      </c>
      <c r="F601" s="172">
        <f>IF('Оперативный ввод'!F601="","",'Оперативный ввод'!F601)</f>
        <v/>
      </c>
      <c r="G601" s="172">
        <f>IF('Оперативный ввод'!G601="","",'Оперативный ввод'!G601)</f>
        <v/>
      </c>
      <c r="H601" s="172">
        <f>IF('Оперативный ввод'!H601="","",'Оперативный ввод'!H601)</f>
        <v/>
      </c>
      <c r="I601" s="172">
        <f>IF('Оперативный ввод'!I601="","",'Оперативный ввод'!I601)</f>
        <v/>
      </c>
      <c r="J601" s="172">
        <f>IF('Оперативный ввод'!J601="","",'Оперативный ввод'!J601)</f>
        <v/>
      </c>
      <c r="K601" s="172">
        <f>IF('Оперативный ввод'!K601="","",'Оперативный ввод'!K601)</f>
        <v/>
      </c>
      <c r="L601" s="172">
        <f>IF('Оперативный ввод'!L601="","",'Оперативный ввод'!L601)</f>
        <v/>
      </c>
      <c r="M601" s="172">
        <f>IF('Оперативный ввод'!M601="","",'Оперативный ввод'!M601)</f>
        <v/>
      </c>
      <c r="N601" s="172">
        <f>IF('Оперативный ввод'!N601="","",'Оперативный ввод'!N601)</f>
        <v/>
      </c>
      <c r="O601" s="172">
        <f>IF('Оперативный ввод'!O601="","",'Оперативный ввод'!O601)</f>
        <v/>
      </c>
      <c r="P601" s="205">
        <f>IF(AND(A601="",B601=""),"",IF(AND(A601&lt;&gt;"",B601&lt;&gt;"",C601&lt;&gt;"",D601&lt;&gt;"",F601&lt;&gt;"",G601&lt;&gt;"",H601&lt;&gt;"",ISERROR(SEARCH("по паспорту",G601)),ISERROR(SEARCH("по паспорту",H601)),I601&lt;&gt;"",J601&lt;&gt;"",K601&lt;&gt;"",L601&lt;&gt;"",M601&lt;&gt;""),"ГОТОВО","НЕ ГОТОВО"))</f>
        <v/>
      </c>
      <c r="Q601" s="205">
        <f>IF(P601&lt;&gt;"ГОТОВО","", "Предварительное заключение: "&amp;A601&amp;", скв. "&amp;B601&amp;". МРП: "&amp;E601&amp;" сут. ГНО: "&amp;F601&amp;", типоразмер "&amp;G601&amp;", марка "&amp;H601&amp;". Событие: "&amp;I601&amp;". Признак: "&amp;J601&amp;". Узел: "&amp;K601&amp;". Предварительная причина: "&amp;L601&amp;". Основное осложнение: "&amp;M601&amp;IF(N601&lt;&gt;"","; сопутствующее: "&amp;N601,"")&amp;IF(O601&lt;&gt;"","; дополнительно: "&amp;O601,"")&amp;".")</f>
        <v/>
      </c>
      <c r="R601" s="172">
        <f>IF('Оперативный ввод'!P601="","",'Оперативный ввод'!P601)</f>
        <v/>
      </c>
      <c r="S601" s="172">
        <f>IF('Оперативный ввод'!Q601="","",'Оперативный ввод'!Q601)</f>
        <v/>
      </c>
      <c r="T601" s="172">
        <f>IF('Оперативный ввод'!R601="","",'Оперативный ввод'!R601)</f>
        <v/>
      </c>
      <c r="U601" s="172">
        <f>IF('Оперативный ввод'!S601="","",'Оперативный ввод'!S601)</f>
        <v/>
      </c>
      <c r="V601" s="172">
        <f>IF('Оперативный ввод'!T601="","",'Оперативный ввод'!T601)</f>
        <v/>
      </c>
      <c r="W601" s="172" t="n"/>
      <c r="X601" s="172" t="n"/>
      <c r="Y601" s="172" t="n"/>
      <c r="Z601" s="172" t="n"/>
      <c r="AA601" s="172">
        <f>IF('Оперативный ввод'!U601="","",'Оперативный ввод'!U601)</f>
        <v/>
      </c>
      <c r="AB601" s="172">
        <f>IF('Оперативный ввод'!V601="","",'Оперативный ввод'!V601)</f>
        <v/>
      </c>
      <c r="AC601" s="172">
        <f>IF('Оперативный ввод'!W601="","",'Оперативный ввод'!W601)</f>
        <v/>
      </c>
      <c r="BB601" s="172" t="n"/>
      <c r="BC601" s="172" t="n"/>
      <c r="BD601" s="205">
        <f>IF(AND(A601="",B601=""),"",IF(AND(P601="ГОТОВО",R601&lt;&gt;"",T601&lt;&gt;"",U601&lt;&gt;"",AA601&lt;&gt;"",AB601&lt;&gt;"",AC601&lt;&gt;"",BB601&lt;&gt;"",BC601&lt;&gt;""),"ГОТОВО","НЕ ГОТОВО"))</f>
        <v/>
      </c>
      <c r="BE601" s="205">
        <f>IF(BD601&lt;&gt;"ГОТОВО","","Полное заключение: "&amp;A601&amp;", скв. "&amp;B601&amp;". МРП: "&amp;E601&amp;" сут. ГНО: "&amp;F601&amp;"; причина: "&amp;U601&amp;"; категория: "&amp;V601&amp;"; решение комиссии: "&amp;BB601&amp;".")</f>
        <v/>
      </c>
      <c r="BF601" s="173">
        <f>IF('Оперативный ввод'!X601="","",'Оперативный ввод'!X601)</f>
        <v/>
      </c>
    </row>
    <row r="602">
      <c r="A602" s="171">
        <f>IF('Оперативный ввод'!A602="","",'Оперативный ввод'!A602)</f>
        <v/>
      </c>
      <c r="B602" s="172">
        <f>IF('Оперативный ввод'!B602="","",'Оперативный ввод'!B602)</f>
        <v/>
      </c>
      <c r="C602" s="270">
        <f>IF('Оперативный ввод'!C602="","",'Оперативный ввод'!C602)</f>
        <v/>
      </c>
      <c r="D602" s="270">
        <f>IF('Оперативный ввод'!D602="","",'Оперативный ввод'!D602)</f>
        <v/>
      </c>
      <c r="E602" s="271">
        <f>IF(OR(C602="",D602=""),"",D602-C602)</f>
        <v/>
      </c>
      <c r="F602" s="172">
        <f>IF('Оперативный ввод'!F602="","",'Оперативный ввод'!F602)</f>
        <v/>
      </c>
      <c r="G602" s="172">
        <f>IF('Оперативный ввод'!G602="","",'Оперативный ввод'!G602)</f>
        <v/>
      </c>
      <c r="H602" s="172">
        <f>IF('Оперативный ввод'!H602="","",'Оперативный ввод'!H602)</f>
        <v/>
      </c>
      <c r="I602" s="172">
        <f>IF('Оперативный ввод'!I602="","",'Оперативный ввод'!I602)</f>
        <v/>
      </c>
      <c r="J602" s="172">
        <f>IF('Оперативный ввод'!J602="","",'Оперативный ввод'!J602)</f>
        <v/>
      </c>
      <c r="K602" s="172">
        <f>IF('Оперативный ввод'!K602="","",'Оперативный ввод'!K602)</f>
        <v/>
      </c>
      <c r="L602" s="172">
        <f>IF('Оперативный ввод'!L602="","",'Оперативный ввод'!L602)</f>
        <v/>
      </c>
      <c r="M602" s="172">
        <f>IF('Оперативный ввод'!M602="","",'Оперативный ввод'!M602)</f>
        <v/>
      </c>
      <c r="N602" s="172">
        <f>IF('Оперативный ввод'!N602="","",'Оперативный ввод'!N602)</f>
        <v/>
      </c>
      <c r="O602" s="172">
        <f>IF('Оперативный ввод'!O602="","",'Оперативный ввод'!O602)</f>
        <v/>
      </c>
      <c r="P602" s="205">
        <f>IF(AND(A602="",B602=""),"",IF(AND(A602&lt;&gt;"",B602&lt;&gt;"",C602&lt;&gt;"",D602&lt;&gt;"",F602&lt;&gt;"",G602&lt;&gt;"",H602&lt;&gt;"",ISERROR(SEARCH("по паспорту",G602)),ISERROR(SEARCH("по паспорту",H602)),I602&lt;&gt;"",J602&lt;&gt;"",K602&lt;&gt;"",L602&lt;&gt;"",M602&lt;&gt;""),"ГОТОВО","НЕ ГОТОВО"))</f>
        <v/>
      </c>
      <c r="Q602" s="205">
        <f>IF(P602&lt;&gt;"ГОТОВО","", "Предварительное заключение: "&amp;A602&amp;", скв. "&amp;B602&amp;". МРП: "&amp;E602&amp;" сут. ГНО: "&amp;F602&amp;", типоразмер "&amp;G602&amp;", марка "&amp;H602&amp;". Событие: "&amp;I602&amp;". Признак: "&amp;J602&amp;". Узел: "&amp;K602&amp;". Предварительная причина: "&amp;L602&amp;". Основное осложнение: "&amp;M602&amp;IF(N602&lt;&gt;"","; сопутствующее: "&amp;N602,"")&amp;IF(O602&lt;&gt;"","; дополнительно: "&amp;O602,"")&amp;".")</f>
        <v/>
      </c>
      <c r="R602" s="172">
        <f>IF('Оперативный ввод'!P602="","",'Оперативный ввод'!P602)</f>
        <v/>
      </c>
      <c r="S602" s="172">
        <f>IF('Оперативный ввод'!Q602="","",'Оперативный ввод'!Q602)</f>
        <v/>
      </c>
      <c r="T602" s="172">
        <f>IF('Оперативный ввод'!R602="","",'Оперативный ввод'!R602)</f>
        <v/>
      </c>
      <c r="U602" s="172">
        <f>IF('Оперативный ввод'!S602="","",'Оперативный ввод'!S602)</f>
        <v/>
      </c>
      <c r="V602" s="172">
        <f>IF('Оперативный ввод'!T602="","",'Оперативный ввод'!T602)</f>
        <v/>
      </c>
      <c r="W602" s="172" t="n"/>
      <c r="X602" s="172" t="n"/>
      <c r="Y602" s="172" t="n"/>
      <c r="Z602" s="172" t="n"/>
      <c r="AA602" s="172">
        <f>IF('Оперативный ввод'!U602="","",'Оперативный ввод'!U602)</f>
        <v/>
      </c>
      <c r="AB602" s="172">
        <f>IF('Оперативный ввод'!V602="","",'Оперативный ввод'!V602)</f>
        <v/>
      </c>
      <c r="AC602" s="172">
        <f>IF('Оперативный ввод'!W602="","",'Оперативный ввод'!W602)</f>
        <v/>
      </c>
      <c r="BB602" s="172" t="n"/>
      <c r="BC602" s="172" t="n"/>
      <c r="BD602" s="205">
        <f>IF(AND(A602="",B602=""),"",IF(AND(P602="ГОТОВО",R602&lt;&gt;"",T602&lt;&gt;"",U602&lt;&gt;"",AA602&lt;&gt;"",AB602&lt;&gt;"",AC602&lt;&gt;"",BB602&lt;&gt;"",BC602&lt;&gt;""),"ГОТОВО","НЕ ГОТОВО"))</f>
        <v/>
      </c>
      <c r="BE602" s="205">
        <f>IF(BD602&lt;&gt;"ГОТОВО","","Полное заключение: "&amp;A602&amp;", скв. "&amp;B602&amp;". МРП: "&amp;E602&amp;" сут. ГНО: "&amp;F602&amp;"; причина: "&amp;U602&amp;"; категория: "&amp;V602&amp;"; решение комиссии: "&amp;BB602&amp;".")</f>
        <v/>
      </c>
      <c r="BF602" s="173">
        <f>IF('Оперативный ввод'!X602="","",'Оперативный ввод'!X602)</f>
        <v/>
      </c>
    </row>
    <row r="603">
      <c r="A603" s="171">
        <f>IF('Оперативный ввод'!A603="","",'Оперативный ввод'!A603)</f>
        <v/>
      </c>
      <c r="B603" s="172">
        <f>IF('Оперативный ввод'!B603="","",'Оперативный ввод'!B603)</f>
        <v/>
      </c>
      <c r="C603" s="270">
        <f>IF('Оперативный ввод'!C603="","",'Оперативный ввод'!C603)</f>
        <v/>
      </c>
      <c r="D603" s="270">
        <f>IF('Оперативный ввод'!D603="","",'Оперативный ввод'!D603)</f>
        <v/>
      </c>
      <c r="E603" s="271">
        <f>IF(OR(C603="",D603=""),"",D603-C603)</f>
        <v/>
      </c>
      <c r="F603" s="172">
        <f>IF('Оперативный ввод'!F603="","",'Оперативный ввод'!F603)</f>
        <v/>
      </c>
      <c r="G603" s="172">
        <f>IF('Оперативный ввод'!G603="","",'Оперативный ввод'!G603)</f>
        <v/>
      </c>
      <c r="H603" s="172">
        <f>IF('Оперативный ввод'!H603="","",'Оперативный ввод'!H603)</f>
        <v/>
      </c>
      <c r="I603" s="172">
        <f>IF('Оперативный ввод'!I603="","",'Оперативный ввод'!I603)</f>
        <v/>
      </c>
      <c r="J603" s="172">
        <f>IF('Оперативный ввод'!J603="","",'Оперативный ввод'!J603)</f>
        <v/>
      </c>
      <c r="K603" s="172">
        <f>IF('Оперативный ввод'!K603="","",'Оперативный ввод'!K603)</f>
        <v/>
      </c>
      <c r="L603" s="172">
        <f>IF('Оперативный ввод'!L603="","",'Оперативный ввод'!L603)</f>
        <v/>
      </c>
      <c r="M603" s="172">
        <f>IF('Оперативный ввод'!M603="","",'Оперативный ввод'!M603)</f>
        <v/>
      </c>
      <c r="N603" s="172">
        <f>IF('Оперативный ввод'!N603="","",'Оперативный ввод'!N603)</f>
        <v/>
      </c>
      <c r="O603" s="172">
        <f>IF('Оперативный ввод'!O603="","",'Оперативный ввод'!O603)</f>
        <v/>
      </c>
      <c r="P603" s="205">
        <f>IF(AND(A603="",B603=""),"",IF(AND(A603&lt;&gt;"",B603&lt;&gt;"",C603&lt;&gt;"",D603&lt;&gt;"",F603&lt;&gt;"",G603&lt;&gt;"",H603&lt;&gt;"",ISERROR(SEARCH("по паспорту",G603)),ISERROR(SEARCH("по паспорту",H603)),I603&lt;&gt;"",J603&lt;&gt;"",K603&lt;&gt;"",L603&lt;&gt;"",M603&lt;&gt;""),"ГОТОВО","НЕ ГОТОВО"))</f>
        <v/>
      </c>
      <c r="Q603" s="205">
        <f>IF(P603&lt;&gt;"ГОТОВО","", "Предварительное заключение: "&amp;A603&amp;", скв. "&amp;B603&amp;". МРП: "&amp;E603&amp;" сут. ГНО: "&amp;F603&amp;", типоразмер "&amp;G603&amp;", марка "&amp;H603&amp;". Событие: "&amp;I603&amp;". Признак: "&amp;J603&amp;". Узел: "&amp;K603&amp;". Предварительная причина: "&amp;L603&amp;". Основное осложнение: "&amp;M603&amp;IF(N603&lt;&gt;"","; сопутствующее: "&amp;N603,"")&amp;IF(O603&lt;&gt;"","; дополнительно: "&amp;O603,"")&amp;".")</f>
        <v/>
      </c>
      <c r="R603" s="172">
        <f>IF('Оперативный ввод'!P603="","",'Оперативный ввод'!P603)</f>
        <v/>
      </c>
      <c r="S603" s="172">
        <f>IF('Оперативный ввод'!Q603="","",'Оперативный ввод'!Q603)</f>
        <v/>
      </c>
      <c r="T603" s="172">
        <f>IF('Оперативный ввод'!R603="","",'Оперативный ввод'!R603)</f>
        <v/>
      </c>
      <c r="U603" s="172">
        <f>IF('Оперативный ввод'!S603="","",'Оперативный ввод'!S603)</f>
        <v/>
      </c>
      <c r="V603" s="172">
        <f>IF('Оперативный ввод'!T603="","",'Оперативный ввод'!T603)</f>
        <v/>
      </c>
      <c r="W603" s="172" t="n"/>
      <c r="X603" s="172" t="n"/>
      <c r="Y603" s="172" t="n"/>
      <c r="Z603" s="172" t="n"/>
      <c r="AA603" s="172">
        <f>IF('Оперативный ввод'!U603="","",'Оперативный ввод'!U603)</f>
        <v/>
      </c>
      <c r="AB603" s="172">
        <f>IF('Оперативный ввод'!V603="","",'Оперативный ввод'!V603)</f>
        <v/>
      </c>
      <c r="AC603" s="172">
        <f>IF('Оперативный ввод'!W603="","",'Оперативный ввод'!W603)</f>
        <v/>
      </c>
      <c r="BB603" s="172" t="n"/>
      <c r="BC603" s="172" t="n"/>
      <c r="BD603" s="205">
        <f>IF(AND(A603="",B603=""),"",IF(AND(P603="ГОТОВО",R603&lt;&gt;"",T603&lt;&gt;"",U603&lt;&gt;"",AA603&lt;&gt;"",AB603&lt;&gt;"",AC603&lt;&gt;"",BB603&lt;&gt;"",BC603&lt;&gt;""),"ГОТОВО","НЕ ГОТОВО"))</f>
        <v/>
      </c>
      <c r="BE603" s="205">
        <f>IF(BD603&lt;&gt;"ГОТОВО","","Полное заключение: "&amp;A603&amp;", скв. "&amp;B603&amp;". МРП: "&amp;E603&amp;" сут. ГНО: "&amp;F603&amp;"; причина: "&amp;U603&amp;"; категория: "&amp;V603&amp;"; решение комиссии: "&amp;BB603&amp;".")</f>
        <v/>
      </c>
      <c r="BF603" s="173">
        <f>IF('Оперативный ввод'!X603="","",'Оперативный ввод'!X603)</f>
        <v/>
      </c>
    </row>
    <row r="604">
      <c r="A604" s="171">
        <f>IF('Оперативный ввод'!A604="","",'Оперативный ввод'!A604)</f>
        <v/>
      </c>
      <c r="B604" s="172">
        <f>IF('Оперативный ввод'!B604="","",'Оперативный ввод'!B604)</f>
        <v/>
      </c>
      <c r="C604" s="270">
        <f>IF('Оперативный ввод'!C604="","",'Оперативный ввод'!C604)</f>
        <v/>
      </c>
      <c r="D604" s="270">
        <f>IF('Оперативный ввод'!D604="","",'Оперативный ввод'!D604)</f>
        <v/>
      </c>
      <c r="E604" s="271">
        <f>IF(OR(C604="",D604=""),"",D604-C604)</f>
        <v/>
      </c>
      <c r="F604" s="172">
        <f>IF('Оперативный ввод'!F604="","",'Оперативный ввод'!F604)</f>
        <v/>
      </c>
      <c r="G604" s="172">
        <f>IF('Оперативный ввод'!G604="","",'Оперативный ввод'!G604)</f>
        <v/>
      </c>
      <c r="H604" s="172">
        <f>IF('Оперативный ввод'!H604="","",'Оперативный ввод'!H604)</f>
        <v/>
      </c>
      <c r="I604" s="172">
        <f>IF('Оперативный ввод'!I604="","",'Оперативный ввод'!I604)</f>
        <v/>
      </c>
      <c r="J604" s="172">
        <f>IF('Оперативный ввод'!J604="","",'Оперативный ввод'!J604)</f>
        <v/>
      </c>
      <c r="K604" s="172">
        <f>IF('Оперативный ввод'!K604="","",'Оперативный ввод'!K604)</f>
        <v/>
      </c>
      <c r="L604" s="172">
        <f>IF('Оперативный ввод'!L604="","",'Оперативный ввод'!L604)</f>
        <v/>
      </c>
      <c r="M604" s="172">
        <f>IF('Оперативный ввод'!M604="","",'Оперативный ввод'!M604)</f>
        <v/>
      </c>
      <c r="N604" s="172">
        <f>IF('Оперативный ввод'!N604="","",'Оперативный ввод'!N604)</f>
        <v/>
      </c>
      <c r="O604" s="172">
        <f>IF('Оперативный ввод'!O604="","",'Оперативный ввод'!O604)</f>
        <v/>
      </c>
      <c r="P604" s="205">
        <f>IF(AND(A604="",B604=""),"",IF(AND(A604&lt;&gt;"",B604&lt;&gt;"",C604&lt;&gt;"",D604&lt;&gt;"",F604&lt;&gt;"",G604&lt;&gt;"",H604&lt;&gt;"",ISERROR(SEARCH("по паспорту",G604)),ISERROR(SEARCH("по паспорту",H604)),I604&lt;&gt;"",J604&lt;&gt;"",K604&lt;&gt;"",L604&lt;&gt;"",M604&lt;&gt;""),"ГОТОВО","НЕ ГОТОВО"))</f>
        <v/>
      </c>
      <c r="Q604" s="205">
        <f>IF(P604&lt;&gt;"ГОТОВО","", "Предварительное заключение: "&amp;A604&amp;", скв. "&amp;B604&amp;". МРП: "&amp;E604&amp;" сут. ГНО: "&amp;F604&amp;", типоразмер "&amp;G604&amp;", марка "&amp;H604&amp;". Событие: "&amp;I604&amp;". Признак: "&amp;J604&amp;". Узел: "&amp;K604&amp;". Предварительная причина: "&amp;L604&amp;". Основное осложнение: "&amp;M604&amp;IF(N604&lt;&gt;"","; сопутствующее: "&amp;N604,"")&amp;IF(O604&lt;&gt;"","; дополнительно: "&amp;O604,"")&amp;".")</f>
        <v/>
      </c>
      <c r="R604" s="172">
        <f>IF('Оперативный ввод'!P604="","",'Оперативный ввод'!P604)</f>
        <v/>
      </c>
      <c r="S604" s="172">
        <f>IF('Оперативный ввод'!Q604="","",'Оперативный ввод'!Q604)</f>
        <v/>
      </c>
      <c r="T604" s="172">
        <f>IF('Оперативный ввод'!R604="","",'Оперативный ввод'!R604)</f>
        <v/>
      </c>
      <c r="U604" s="172">
        <f>IF('Оперативный ввод'!S604="","",'Оперативный ввод'!S604)</f>
        <v/>
      </c>
      <c r="V604" s="172">
        <f>IF('Оперативный ввод'!T604="","",'Оперативный ввод'!T604)</f>
        <v/>
      </c>
      <c r="W604" s="172" t="n"/>
      <c r="X604" s="172" t="n"/>
      <c r="Y604" s="172" t="n"/>
      <c r="Z604" s="172" t="n"/>
      <c r="AA604" s="172">
        <f>IF('Оперативный ввод'!U604="","",'Оперативный ввод'!U604)</f>
        <v/>
      </c>
      <c r="AB604" s="172">
        <f>IF('Оперативный ввод'!V604="","",'Оперативный ввод'!V604)</f>
        <v/>
      </c>
      <c r="AC604" s="172">
        <f>IF('Оперативный ввод'!W604="","",'Оперативный ввод'!W604)</f>
        <v/>
      </c>
      <c r="BB604" s="172" t="n"/>
      <c r="BC604" s="172" t="n"/>
      <c r="BD604" s="205">
        <f>IF(AND(A604="",B604=""),"",IF(AND(P604="ГОТОВО",R604&lt;&gt;"",T604&lt;&gt;"",U604&lt;&gt;"",AA604&lt;&gt;"",AB604&lt;&gt;"",AC604&lt;&gt;"",BB604&lt;&gt;"",BC604&lt;&gt;""),"ГОТОВО","НЕ ГОТОВО"))</f>
        <v/>
      </c>
      <c r="BE604" s="205">
        <f>IF(BD604&lt;&gt;"ГОТОВО","","Полное заключение: "&amp;A604&amp;", скв. "&amp;B604&amp;". МРП: "&amp;E604&amp;" сут. ГНО: "&amp;F604&amp;"; причина: "&amp;U604&amp;"; категория: "&amp;V604&amp;"; решение комиссии: "&amp;BB604&amp;".")</f>
        <v/>
      </c>
      <c r="BF604" s="173">
        <f>IF('Оперативный ввод'!X604="","",'Оперативный ввод'!X604)</f>
        <v/>
      </c>
    </row>
    <row r="605">
      <c r="A605" s="171">
        <f>IF('Оперативный ввод'!A605="","",'Оперативный ввод'!A605)</f>
        <v/>
      </c>
      <c r="B605" s="172">
        <f>IF('Оперативный ввод'!B605="","",'Оперативный ввод'!B605)</f>
        <v/>
      </c>
      <c r="C605" s="270">
        <f>IF('Оперативный ввод'!C605="","",'Оперативный ввод'!C605)</f>
        <v/>
      </c>
      <c r="D605" s="270">
        <f>IF('Оперативный ввод'!D605="","",'Оперативный ввод'!D605)</f>
        <v/>
      </c>
      <c r="E605" s="271">
        <f>IF(OR(C605="",D605=""),"",D605-C605)</f>
        <v/>
      </c>
      <c r="F605" s="172">
        <f>IF('Оперативный ввод'!F605="","",'Оперативный ввод'!F605)</f>
        <v/>
      </c>
      <c r="G605" s="172">
        <f>IF('Оперативный ввод'!G605="","",'Оперативный ввод'!G605)</f>
        <v/>
      </c>
      <c r="H605" s="172">
        <f>IF('Оперативный ввод'!H605="","",'Оперативный ввод'!H605)</f>
        <v/>
      </c>
      <c r="I605" s="172">
        <f>IF('Оперативный ввод'!I605="","",'Оперативный ввод'!I605)</f>
        <v/>
      </c>
      <c r="J605" s="172">
        <f>IF('Оперативный ввод'!J605="","",'Оперативный ввод'!J605)</f>
        <v/>
      </c>
      <c r="K605" s="172">
        <f>IF('Оперативный ввод'!K605="","",'Оперативный ввод'!K605)</f>
        <v/>
      </c>
      <c r="L605" s="172">
        <f>IF('Оперативный ввод'!L605="","",'Оперативный ввод'!L605)</f>
        <v/>
      </c>
      <c r="M605" s="172">
        <f>IF('Оперативный ввод'!M605="","",'Оперативный ввод'!M605)</f>
        <v/>
      </c>
      <c r="N605" s="172">
        <f>IF('Оперативный ввод'!N605="","",'Оперативный ввод'!N605)</f>
        <v/>
      </c>
      <c r="O605" s="172">
        <f>IF('Оперативный ввод'!O605="","",'Оперативный ввод'!O605)</f>
        <v/>
      </c>
      <c r="P605" s="205">
        <f>IF(AND(A605="",B605=""),"",IF(AND(A605&lt;&gt;"",B605&lt;&gt;"",C605&lt;&gt;"",D605&lt;&gt;"",F605&lt;&gt;"",G605&lt;&gt;"",H605&lt;&gt;"",ISERROR(SEARCH("по паспорту",G605)),ISERROR(SEARCH("по паспорту",H605)),I605&lt;&gt;"",J605&lt;&gt;"",K605&lt;&gt;"",L605&lt;&gt;"",M605&lt;&gt;""),"ГОТОВО","НЕ ГОТОВО"))</f>
        <v/>
      </c>
      <c r="Q605" s="205">
        <f>IF(P605&lt;&gt;"ГОТОВО","", "Предварительное заключение: "&amp;A605&amp;", скв. "&amp;B605&amp;". МРП: "&amp;E605&amp;" сут. ГНО: "&amp;F605&amp;", типоразмер "&amp;G605&amp;", марка "&amp;H605&amp;". Событие: "&amp;I605&amp;". Признак: "&amp;J605&amp;". Узел: "&amp;K605&amp;". Предварительная причина: "&amp;L605&amp;". Основное осложнение: "&amp;M605&amp;IF(N605&lt;&gt;"","; сопутствующее: "&amp;N605,"")&amp;IF(O605&lt;&gt;"","; дополнительно: "&amp;O605,"")&amp;".")</f>
        <v/>
      </c>
      <c r="R605" s="172">
        <f>IF('Оперативный ввод'!P605="","",'Оперативный ввод'!P605)</f>
        <v/>
      </c>
      <c r="S605" s="172">
        <f>IF('Оперативный ввод'!Q605="","",'Оперативный ввод'!Q605)</f>
        <v/>
      </c>
      <c r="T605" s="172">
        <f>IF('Оперативный ввод'!R605="","",'Оперативный ввод'!R605)</f>
        <v/>
      </c>
      <c r="U605" s="172">
        <f>IF('Оперативный ввод'!S605="","",'Оперативный ввод'!S605)</f>
        <v/>
      </c>
      <c r="V605" s="172">
        <f>IF('Оперативный ввод'!T605="","",'Оперативный ввод'!T605)</f>
        <v/>
      </c>
      <c r="W605" s="172" t="n"/>
      <c r="X605" s="172" t="n"/>
      <c r="Y605" s="172" t="n"/>
      <c r="Z605" s="172" t="n"/>
      <c r="AA605" s="172">
        <f>IF('Оперативный ввод'!U605="","",'Оперативный ввод'!U605)</f>
        <v/>
      </c>
      <c r="AB605" s="172">
        <f>IF('Оперативный ввод'!V605="","",'Оперативный ввод'!V605)</f>
        <v/>
      </c>
      <c r="AC605" s="172">
        <f>IF('Оперативный ввод'!W605="","",'Оперативный ввод'!W605)</f>
        <v/>
      </c>
      <c r="BB605" s="172" t="n"/>
      <c r="BC605" s="172" t="n"/>
      <c r="BD605" s="205">
        <f>IF(AND(A605="",B605=""),"",IF(AND(P605="ГОТОВО",R605&lt;&gt;"",T605&lt;&gt;"",U605&lt;&gt;"",AA605&lt;&gt;"",AB605&lt;&gt;"",AC605&lt;&gt;"",BB605&lt;&gt;"",BC605&lt;&gt;""),"ГОТОВО","НЕ ГОТОВО"))</f>
        <v/>
      </c>
      <c r="BE605" s="205">
        <f>IF(BD605&lt;&gt;"ГОТОВО","","Полное заключение: "&amp;A605&amp;", скв. "&amp;B605&amp;". МРП: "&amp;E605&amp;" сут. ГНО: "&amp;F605&amp;"; причина: "&amp;U605&amp;"; категория: "&amp;V605&amp;"; решение комиссии: "&amp;BB605&amp;".")</f>
        <v/>
      </c>
      <c r="BF605" s="173">
        <f>IF('Оперативный ввод'!X605="","",'Оперативный ввод'!X605)</f>
        <v/>
      </c>
    </row>
    <row r="606">
      <c r="A606" s="171">
        <f>IF('Оперативный ввод'!A606="","",'Оперативный ввод'!A606)</f>
        <v/>
      </c>
      <c r="B606" s="172">
        <f>IF('Оперативный ввод'!B606="","",'Оперативный ввод'!B606)</f>
        <v/>
      </c>
      <c r="C606" s="270">
        <f>IF('Оперативный ввод'!C606="","",'Оперативный ввод'!C606)</f>
        <v/>
      </c>
      <c r="D606" s="270">
        <f>IF('Оперативный ввод'!D606="","",'Оперативный ввод'!D606)</f>
        <v/>
      </c>
      <c r="E606" s="271">
        <f>IF(OR(C606="",D606=""),"",D606-C606)</f>
        <v/>
      </c>
      <c r="F606" s="172">
        <f>IF('Оперативный ввод'!F606="","",'Оперативный ввод'!F606)</f>
        <v/>
      </c>
      <c r="G606" s="172">
        <f>IF('Оперативный ввод'!G606="","",'Оперативный ввод'!G606)</f>
        <v/>
      </c>
      <c r="H606" s="172">
        <f>IF('Оперативный ввод'!H606="","",'Оперативный ввод'!H606)</f>
        <v/>
      </c>
      <c r="I606" s="172">
        <f>IF('Оперативный ввод'!I606="","",'Оперативный ввод'!I606)</f>
        <v/>
      </c>
      <c r="J606" s="172">
        <f>IF('Оперативный ввод'!J606="","",'Оперативный ввод'!J606)</f>
        <v/>
      </c>
      <c r="K606" s="172">
        <f>IF('Оперативный ввод'!K606="","",'Оперативный ввод'!K606)</f>
        <v/>
      </c>
      <c r="L606" s="172">
        <f>IF('Оперативный ввод'!L606="","",'Оперативный ввод'!L606)</f>
        <v/>
      </c>
      <c r="M606" s="172">
        <f>IF('Оперативный ввод'!M606="","",'Оперативный ввод'!M606)</f>
        <v/>
      </c>
      <c r="N606" s="172">
        <f>IF('Оперативный ввод'!N606="","",'Оперативный ввод'!N606)</f>
        <v/>
      </c>
      <c r="O606" s="172">
        <f>IF('Оперативный ввод'!O606="","",'Оперативный ввод'!O606)</f>
        <v/>
      </c>
      <c r="P606" s="205">
        <f>IF(AND(A606="",B606=""),"",IF(AND(A606&lt;&gt;"",B606&lt;&gt;"",C606&lt;&gt;"",D606&lt;&gt;"",F606&lt;&gt;"",G606&lt;&gt;"",H606&lt;&gt;"",ISERROR(SEARCH("по паспорту",G606)),ISERROR(SEARCH("по паспорту",H606)),I606&lt;&gt;"",J606&lt;&gt;"",K606&lt;&gt;"",L606&lt;&gt;"",M606&lt;&gt;""),"ГОТОВО","НЕ ГОТОВО"))</f>
        <v/>
      </c>
      <c r="Q606" s="205">
        <f>IF(P606&lt;&gt;"ГОТОВО","", "Предварительное заключение: "&amp;A606&amp;", скв. "&amp;B606&amp;". МРП: "&amp;E606&amp;" сут. ГНО: "&amp;F606&amp;", типоразмер "&amp;G606&amp;", марка "&amp;H606&amp;". Событие: "&amp;I606&amp;". Признак: "&amp;J606&amp;". Узел: "&amp;K606&amp;". Предварительная причина: "&amp;L606&amp;". Основное осложнение: "&amp;M606&amp;IF(N606&lt;&gt;"","; сопутствующее: "&amp;N606,"")&amp;IF(O606&lt;&gt;"","; дополнительно: "&amp;O606,"")&amp;".")</f>
        <v/>
      </c>
      <c r="R606" s="172">
        <f>IF('Оперативный ввод'!P606="","",'Оперативный ввод'!P606)</f>
        <v/>
      </c>
      <c r="S606" s="172">
        <f>IF('Оперативный ввод'!Q606="","",'Оперативный ввод'!Q606)</f>
        <v/>
      </c>
      <c r="T606" s="172">
        <f>IF('Оперативный ввод'!R606="","",'Оперативный ввод'!R606)</f>
        <v/>
      </c>
      <c r="U606" s="172">
        <f>IF('Оперативный ввод'!S606="","",'Оперативный ввод'!S606)</f>
        <v/>
      </c>
      <c r="V606" s="172">
        <f>IF('Оперативный ввод'!T606="","",'Оперативный ввод'!T606)</f>
        <v/>
      </c>
      <c r="W606" s="172" t="n"/>
      <c r="X606" s="172" t="n"/>
      <c r="Y606" s="172" t="n"/>
      <c r="Z606" s="172" t="n"/>
      <c r="AA606" s="172">
        <f>IF('Оперативный ввод'!U606="","",'Оперативный ввод'!U606)</f>
        <v/>
      </c>
      <c r="AB606" s="172">
        <f>IF('Оперативный ввод'!V606="","",'Оперативный ввод'!V606)</f>
        <v/>
      </c>
      <c r="AC606" s="172">
        <f>IF('Оперативный ввод'!W606="","",'Оперативный ввод'!W606)</f>
        <v/>
      </c>
      <c r="BB606" s="172" t="n"/>
      <c r="BC606" s="172" t="n"/>
      <c r="BD606" s="205">
        <f>IF(AND(A606="",B606=""),"",IF(AND(P606="ГОТОВО",R606&lt;&gt;"",T606&lt;&gt;"",U606&lt;&gt;"",AA606&lt;&gt;"",AB606&lt;&gt;"",AC606&lt;&gt;"",BB606&lt;&gt;"",BC606&lt;&gt;""),"ГОТОВО","НЕ ГОТОВО"))</f>
        <v/>
      </c>
      <c r="BE606" s="205">
        <f>IF(BD606&lt;&gt;"ГОТОВО","","Полное заключение: "&amp;A606&amp;", скв. "&amp;B606&amp;". МРП: "&amp;E606&amp;" сут. ГНО: "&amp;F606&amp;"; причина: "&amp;U606&amp;"; категория: "&amp;V606&amp;"; решение комиссии: "&amp;BB606&amp;".")</f>
        <v/>
      </c>
      <c r="BF606" s="173">
        <f>IF('Оперативный ввод'!X606="","",'Оперативный ввод'!X606)</f>
        <v/>
      </c>
    </row>
    <row r="607">
      <c r="A607" s="171">
        <f>IF('Оперативный ввод'!A607="","",'Оперативный ввод'!A607)</f>
        <v/>
      </c>
      <c r="B607" s="172">
        <f>IF('Оперативный ввод'!B607="","",'Оперативный ввод'!B607)</f>
        <v/>
      </c>
      <c r="C607" s="270">
        <f>IF('Оперативный ввод'!C607="","",'Оперативный ввод'!C607)</f>
        <v/>
      </c>
      <c r="D607" s="270">
        <f>IF('Оперативный ввод'!D607="","",'Оперативный ввод'!D607)</f>
        <v/>
      </c>
      <c r="E607" s="271">
        <f>IF(OR(C607="",D607=""),"",D607-C607)</f>
        <v/>
      </c>
      <c r="F607" s="172">
        <f>IF('Оперативный ввод'!F607="","",'Оперативный ввод'!F607)</f>
        <v/>
      </c>
      <c r="G607" s="172">
        <f>IF('Оперативный ввод'!G607="","",'Оперативный ввод'!G607)</f>
        <v/>
      </c>
      <c r="H607" s="172">
        <f>IF('Оперативный ввод'!H607="","",'Оперативный ввод'!H607)</f>
        <v/>
      </c>
      <c r="I607" s="172">
        <f>IF('Оперативный ввод'!I607="","",'Оперативный ввод'!I607)</f>
        <v/>
      </c>
      <c r="J607" s="172">
        <f>IF('Оперативный ввод'!J607="","",'Оперативный ввод'!J607)</f>
        <v/>
      </c>
      <c r="K607" s="172">
        <f>IF('Оперативный ввод'!K607="","",'Оперативный ввод'!K607)</f>
        <v/>
      </c>
      <c r="L607" s="172">
        <f>IF('Оперативный ввод'!L607="","",'Оперативный ввод'!L607)</f>
        <v/>
      </c>
      <c r="M607" s="172">
        <f>IF('Оперативный ввод'!M607="","",'Оперативный ввод'!M607)</f>
        <v/>
      </c>
      <c r="N607" s="172">
        <f>IF('Оперативный ввод'!N607="","",'Оперативный ввод'!N607)</f>
        <v/>
      </c>
      <c r="O607" s="172">
        <f>IF('Оперативный ввод'!O607="","",'Оперативный ввод'!O607)</f>
        <v/>
      </c>
      <c r="P607" s="205">
        <f>IF(AND(A607="",B607=""),"",IF(AND(A607&lt;&gt;"",B607&lt;&gt;"",C607&lt;&gt;"",D607&lt;&gt;"",F607&lt;&gt;"",G607&lt;&gt;"",H607&lt;&gt;"",ISERROR(SEARCH("по паспорту",G607)),ISERROR(SEARCH("по паспорту",H607)),I607&lt;&gt;"",J607&lt;&gt;"",K607&lt;&gt;"",L607&lt;&gt;"",M607&lt;&gt;""),"ГОТОВО","НЕ ГОТОВО"))</f>
        <v/>
      </c>
      <c r="Q607" s="205">
        <f>IF(P607&lt;&gt;"ГОТОВО","", "Предварительное заключение: "&amp;A607&amp;", скв. "&amp;B607&amp;". МРП: "&amp;E607&amp;" сут. ГНО: "&amp;F607&amp;", типоразмер "&amp;G607&amp;", марка "&amp;H607&amp;". Событие: "&amp;I607&amp;". Признак: "&amp;J607&amp;". Узел: "&amp;K607&amp;". Предварительная причина: "&amp;L607&amp;". Основное осложнение: "&amp;M607&amp;IF(N607&lt;&gt;"","; сопутствующее: "&amp;N607,"")&amp;IF(O607&lt;&gt;"","; дополнительно: "&amp;O607,"")&amp;".")</f>
        <v/>
      </c>
      <c r="R607" s="172">
        <f>IF('Оперативный ввод'!P607="","",'Оперативный ввод'!P607)</f>
        <v/>
      </c>
      <c r="S607" s="172">
        <f>IF('Оперативный ввод'!Q607="","",'Оперативный ввод'!Q607)</f>
        <v/>
      </c>
      <c r="T607" s="172">
        <f>IF('Оперативный ввод'!R607="","",'Оперативный ввод'!R607)</f>
        <v/>
      </c>
      <c r="U607" s="172">
        <f>IF('Оперативный ввод'!S607="","",'Оперативный ввод'!S607)</f>
        <v/>
      </c>
      <c r="V607" s="172">
        <f>IF('Оперативный ввод'!T607="","",'Оперативный ввод'!T607)</f>
        <v/>
      </c>
      <c r="W607" s="172" t="n"/>
      <c r="X607" s="172" t="n"/>
      <c r="Y607" s="172" t="n"/>
      <c r="Z607" s="172" t="n"/>
      <c r="AA607" s="172">
        <f>IF('Оперативный ввод'!U607="","",'Оперативный ввод'!U607)</f>
        <v/>
      </c>
      <c r="AB607" s="172">
        <f>IF('Оперативный ввод'!V607="","",'Оперативный ввод'!V607)</f>
        <v/>
      </c>
      <c r="AC607" s="172">
        <f>IF('Оперативный ввод'!W607="","",'Оперативный ввод'!W607)</f>
        <v/>
      </c>
      <c r="BB607" s="172" t="n"/>
      <c r="BC607" s="172" t="n"/>
      <c r="BD607" s="205">
        <f>IF(AND(A607="",B607=""),"",IF(AND(P607="ГОТОВО",R607&lt;&gt;"",T607&lt;&gt;"",U607&lt;&gt;"",AA607&lt;&gt;"",AB607&lt;&gt;"",AC607&lt;&gt;"",BB607&lt;&gt;"",BC607&lt;&gt;""),"ГОТОВО","НЕ ГОТОВО"))</f>
        <v/>
      </c>
      <c r="BE607" s="205">
        <f>IF(BD607&lt;&gt;"ГОТОВО","","Полное заключение: "&amp;A607&amp;", скв. "&amp;B607&amp;". МРП: "&amp;E607&amp;" сут. ГНО: "&amp;F607&amp;"; причина: "&amp;U607&amp;"; категория: "&amp;V607&amp;"; решение комиссии: "&amp;BB607&amp;".")</f>
        <v/>
      </c>
      <c r="BF607" s="173">
        <f>IF('Оперативный ввод'!X607="","",'Оперативный ввод'!X607)</f>
        <v/>
      </c>
    </row>
    <row r="608">
      <c r="A608" s="171">
        <f>IF('Оперативный ввод'!A608="","",'Оперативный ввод'!A608)</f>
        <v/>
      </c>
      <c r="B608" s="172">
        <f>IF('Оперативный ввод'!B608="","",'Оперативный ввод'!B608)</f>
        <v/>
      </c>
      <c r="C608" s="270">
        <f>IF('Оперативный ввод'!C608="","",'Оперативный ввод'!C608)</f>
        <v/>
      </c>
      <c r="D608" s="270">
        <f>IF('Оперативный ввод'!D608="","",'Оперативный ввод'!D608)</f>
        <v/>
      </c>
      <c r="E608" s="271">
        <f>IF(OR(C608="",D608=""),"",D608-C608)</f>
        <v/>
      </c>
      <c r="F608" s="172">
        <f>IF('Оперативный ввод'!F608="","",'Оперативный ввод'!F608)</f>
        <v/>
      </c>
      <c r="G608" s="172">
        <f>IF('Оперативный ввод'!G608="","",'Оперативный ввод'!G608)</f>
        <v/>
      </c>
      <c r="H608" s="172">
        <f>IF('Оперативный ввод'!H608="","",'Оперативный ввод'!H608)</f>
        <v/>
      </c>
      <c r="I608" s="172">
        <f>IF('Оперативный ввод'!I608="","",'Оперативный ввод'!I608)</f>
        <v/>
      </c>
      <c r="J608" s="172">
        <f>IF('Оперативный ввод'!J608="","",'Оперативный ввод'!J608)</f>
        <v/>
      </c>
      <c r="K608" s="172">
        <f>IF('Оперативный ввод'!K608="","",'Оперативный ввод'!K608)</f>
        <v/>
      </c>
      <c r="L608" s="172">
        <f>IF('Оперативный ввод'!L608="","",'Оперативный ввод'!L608)</f>
        <v/>
      </c>
      <c r="M608" s="172">
        <f>IF('Оперативный ввод'!M608="","",'Оперативный ввод'!M608)</f>
        <v/>
      </c>
      <c r="N608" s="172">
        <f>IF('Оперативный ввод'!N608="","",'Оперативный ввод'!N608)</f>
        <v/>
      </c>
      <c r="O608" s="172">
        <f>IF('Оперативный ввод'!O608="","",'Оперативный ввод'!O608)</f>
        <v/>
      </c>
      <c r="P608" s="205">
        <f>IF(AND(A608="",B608=""),"",IF(AND(A608&lt;&gt;"",B608&lt;&gt;"",C608&lt;&gt;"",D608&lt;&gt;"",F608&lt;&gt;"",G608&lt;&gt;"",H608&lt;&gt;"",ISERROR(SEARCH("по паспорту",G608)),ISERROR(SEARCH("по паспорту",H608)),I608&lt;&gt;"",J608&lt;&gt;"",K608&lt;&gt;"",L608&lt;&gt;"",M608&lt;&gt;""),"ГОТОВО","НЕ ГОТОВО"))</f>
        <v/>
      </c>
      <c r="Q608" s="205">
        <f>IF(P608&lt;&gt;"ГОТОВО","", "Предварительное заключение: "&amp;A608&amp;", скв. "&amp;B608&amp;". МРП: "&amp;E608&amp;" сут. ГНО: "&amp;F608&amp;", типоразмер "&amp;G608&amp;", марка "&amp;H608&amp;". Событие: "&amp;I608&amp;". Признак: "&amp;J608&amp;". Узел: "&amp;K608&amp;". Предварительная причина: "&amp;L608&amp;". Основное осложнение: "&amp;M608&amp;IF(N608&lt;&gt;"","; сопутствующее: "&amp;N608,"")&amp;IF(O608&lt;&gt;"","; дополнительно: "&amp;O608,"")&amp;".")</f>
        <v/>
      </c>
      <c r="R608" s="172">
        <f>IF('Оперативный ввод'!P608="","",'Оперативный ввод'!P608)</f>
        <v/>
      </c>
      <c r="S608" s="172">
        <f>IF('Оперативный ввод'!Q608="","",'Оперативный ввод'!Q608)</f>
        <v/>
      </c>
      <c r="T608" s="172">
        <f>IF('Оперативный ввод'!R608="","",'Оперативный ввод'!R608)</f>
        <v/>
      </c>
      <c r="U608" s="172">
        <f>IF('Оперативный ввод'!S608="","",'Оперативный ввод'!S608)</f>
        <v/>
      </c>
      <c r="V608" s="172">
        <f>IF('Оперативный ввод'!T608="","",'Оперативный ввод'!T608)</f>
        <v/>
      </c>
      <c r="W608" s="172" t="n"/>
      <c r="X608" s="172" t="n"/>
      <c r="Y608" s="172" t="n"/>
      <c r="Z608" s="172" t="n"/>
      <c r="AA608" s="172">
        <f>IF('Оперативный ввод'!U608="","",'Оперативный ввод'!U608)</f>
        <v/>
      </c>
      <c r="AB608" s="172">
        <f>IF('Оперативный ввод'!V608="","",'Оперативный ввод'!V608)</f>
        <v/>
      </c>
      <c r="AC608" s="172">
        <f>IF('Оперативный ввод'!W608="","",'Оперативный ввод'!W608)</f>
        <v/>
      </c>
      <c r="BB608" s="172" t="n"/>
      <c r="BC608" s="172" t="n"/>
      <c r="BD608" s="205">
        <f>IF(AND(A608="",B608=""),"",IF(AND(P608="ГОТОВО",R608&lt;&gt;"",T608&lt;&gt;"",U608&lt;&gt;"",AA608&lt;&gt;"",AB608&lt;&gt;"",AC608&lt;&gt;"",BB608&lt;&gt;"",BC608&lt;&gt;""),"ГОТОВО","НЕ ГОТОВО"))</f>
        <v/>
      </c>
      <c r="BE608" s="205">
        <f>IF(BD608&lt;&gt;"ГОТОВО","","Полное заключение: "&amp;A608&amp;", скв. "&amp;B608&amp;". МРП: "&amp;E608&amp;" сут. ГНО: "&amp;F608&amp;"; причина: "&amp;U608&amp;"; категория: "&amp;V608&amp;"; решение комиссии: "&amp;BB608&amp;".")</f>
        <v/>
      </c>
      <c r="BF608" s="173">
        <f>IF('Оперативный ввод'!X608="","",'Оперативный ввод'!X608)</f>
        <v/>
      </c>
    </row>
    <row r="609">
      <c r="A609" s="171">
        <f>IF('Оперативный ввод'!A609="","",'Оперативный ввод'!A609)</f>
        <v/>
      </c>
      <c r="B609" s="172">
        <f>IF('Оперативный ввод'!B609="","",'Оперативный ввод'!B609)</f>
        <v/>
      </c>
      <c r="C609" s="270">
        <f>IF('Оперативный ввод'!C609="","",'Оперативный ввод'!C609)</f>
        <v/>
      </c>
      <c r="D609" s="270">
        <f>IF('Оперативный ввод'!D609="","",'Оперативный ввод'!D609)</f>
        <v/>
      </c>
      <c r="E609" s="271">
        <f>IF(OR(C609="",D609=""),"",D609-C609)</f>
        <v/>
      </c>
      <c r="F609" s="172">
        <f>IF('Оперативный ввод'!F609="","",'Оперативный ввод'!F609)</f>
        <v/>
      </c>
      <c r="G609" s="172">
        <f>IF('Оперативный ввод'!G609="","",'Оперативный ввод'!G609)</f>
        <v/>
      </c>
      <c r="H609" s="172">
        <f>IF('Оперативный ввод'!H609="","",'Оперативный ввод'!H609)</f>
        <v/>
      </c>
      <c r="I609" s="172">
        <f>IF('Оперативный ввод'!I609="","",'Оперативный ввод'!I609)</f>
        <v/>
      </c>
      <c r="J609" s="172">
        <f>IF('Оперативный ввод'!J609="","",'Оперативный ввод'!J609)</f>
        <v/>
      </c>
      <c r="K609" s="172">
        <f>IF('Оперативный ввод'!K609="","",'Оперативный ввод'!K609)</f>
        <v/>
      </c>
      <c r="L609" s="172">
        <f>IF('Оперативный ввод'!L609="","",'Оперативный ввод'!L609)</f>
        <v/>
      </c>
      <c r="M609" s="172">
        <f>IF('Оперативный ввод'!M609="","",'Оперативный ввод'!M609)</f>
        <v/>
      </c>
      <c r="N609" s="172">
        <f>IF('Оперативный ввод'!N609="","",'Оперативный ввод'!N609)</f>
        <v/>
      </c>
      <c r="O609" s="172">
        <f>IF('Оперативный ввод'!O609="","",'Оперативный ввод'!O609)</f>
        <v/>
      </c>
      <c r="P609" s="205">
        <f>IF(AND(A609="",B609=""),"",IF(AND(A609&lt;&gt;"",B609&lt;&gt;"",C609&lt;&gt;"",D609&lt;&gt;"",F609&lt;&gt;"",G609&lt;&gt;"",H609&lt;&gt;"",ISERROR(SEARCH("по паспорту",G609)),ISERROR(SEARCH("по паспорту",H609)),I609&lt;&gt;"",J609&lt;&gt;"",K609&lt;&gt;"",L609&lt;&gt;"",M609&lt;&gt;""),"ГОТОВО","НЕ ГОТОВО"))</f>
        <v/>
      </c>
      <c r="Q609" s="205">
        <f>IF(P609&lt;&gt;"ГОТОВО","", "Предварительное заключение: "&amp;A609&amp;", скв. "&amp;B609&amp;". МРП: "&amp;E609&amp;" сут. ГНО: "&amp;F609&amp;", типоразмер "&amp;G609&amp;", марка "&amp;H609&amp;". Событие: "&amp;I609&amp;". Признак: "&amp;J609&amp;". Узел: "&amp;K609&amp;". Предварительная причина: "&amp;L609&amp;". Основное осложнение: "&amp;M609&amp;IF(N609&lt;&gt;"","; сопутствующее: "&amp;N609,"")&amp;IF(O609&lt;&gt;"","; дополнительно: "&amp;O609,"")&amp;".")</f>
        <v/>
      </c>
      <c r="R609" s="172">
        <f>IF('Оперативный ввод'!P609="","",'Оперативный ввод'!P609)</f>
        <v/>
      </c>
      <c r="S609" s="172">
        <f>IF('Оперативный ввод'!Q609="","",'Оперативный ввод'!Q609)</f>
        <v/>
      </c>
      <c r="T609" s="172">
        <f>IF('Оперативный ввод'!R609="","",'Оперативный ввод'!R609)</f>
        <v/>
      </c>
      <c r="U609" s="172">
        <f>IF('Оперативный ввод'!S609="","",'Оперативный ввод'!S609)</f>
        <v/>
      </c>
      <c r="V609" s="172">
        <f>IF('Оперативный ввод'!T609="","",'Оперативный ввод'!T609)</f>
        <v/>
      </c>
      <c r="W609" s="172" t="n"/>
      <c r="X609" s="172" t="n"/>
      <c r="Y609" s="172" t="n"/>
      <c r="Z609" s="172" t="n"/>
      <c r="AA609" s="172">
        <f>IF('Оперативный ввод'!U609="","",'Оперативный ввод'!U609)</f>
        <v/>
      </c>
      <c r="AB609" s="172">
        <f>IF('Оперативный ввод'!V609="","",'Оперативный ввод'!V609)</f>
        <v/>
      </c>
      <c r="AC609" s="172">
        <f>IF('Оперативный ввод'!W609="","",'Оперативный ввод'!W609)</f>
        <v/>
      </c>
      <c r="BB609" s="172" t="n"/>
      <c r="BC609" s="172" t="n"/>
      <c r="BD609" s="205">
        <f>IF(AND(A609="",B609=""),"",IF(AND(P609="ГОТОВО",R609&lt;&gt;"",T609&lt;&gt;"",U609&lt;&gt;"",AA609&lt;&gt;"",AB609&lt;&gt;"",AC609&lt;&gt;"",BB609&lt;&gt;"",BC609&lt;&gt;""),"ГОТОВО","НЕ ГОТОВО"))</f>
        <v/>
      </c>
      <c r="BE609" s="205">
        <f>IF(BD609&lt;&gt;"ГОТОВО","","Полное заключение: "&amp;A609&amp;", скв. "&amp;B609&amp;". МРП: "&amp;E609&amp;" сут. ГНО: "&amp;F609&amp;"; причина: "&amp;U609&amp;"; категория: "&amp;V609&amp;"; решение комиссии: "&amp;BB609&amp;".")</f>
        <v/>
      </c>
      <c r="BF609" s="173">
        <f>IF('Оперативный ввод'!X609="","",'Оперативный ввод'!X609)</f>
        <v/>
      </c>
    </row>
    <row r="610">
      <c r="A610" s="171">
        <f>IF('Оперативный ввод'!A610="","",'Оперативный ввод'!A610)</f>
        <v/>
      </c>
      <c r="B610" s="172">
        <f>IF('Оперативный ввод'!B610="","",'Оперативный ввод'!B610)</f>
        <v/>
      </c>
      <c r="C610" s="270">
        <f>IF('Оперативный ввод'!C610="","",'Оперативный ввод'!C610)</f>
        <v/>
      </c>
      <c r="D610" s="270">
        <f>IF('Оперативный ввод'!D610="","",'Оперативный ввод'!D610)</f>
        <v/>
      </c>
      <c r="E610" s="271">
        <f>IF(OR(C610="",D610=""),"",D610-C610)</f>
        <v/>
      </c>
      <c r="F610" s="172">
        <f>IF('Оперативный ввод'!F610="","",'Оперативный ввод'!F610)</f>
        <v/>
      </c>
      <c r="G610" s="172">
        <f>IF('Оперативный ввод'!G610="","",'Оперативный ввод'!G610)</f>
        <v/>
      </c>
      <c r="H610" s="172">
        <f>IF('Оперативный ввод'!H610="","",'Оперативный ввод'!H610)</f>
        <v/>
      </c>
      <c r="I610" s="172">
        <f>IF('Оперативный ввод'!I610="","",'Оперативный ввод'!I610)</f>
        <v/>
      </c>
      <c r="J610" s="172">
        <f>IF('Оперативный ввод'!J610="","",'Оперативный ввод'!J610)</f>
        <v/>
      </c>
      <c r="K610" s="172">
        <f>IF('Оперативный ввод'!K610="","",'Оперативный ввод'!K610)</f>
        <v/>
      </c>
      <c r="L610" s="172">
        <f>IF('Оперативный ввод'!L610="","",'Оперативный ввод'!L610)</f>
        <v/>
      </c>
      <c r="M610" s="172">
        <f>IF('Оперативный ввод'!M610="","",'Оперативный ввод'!M610)</f>
        <v/>
      </c>
      <c r="N610" s="172">
        <f>IF('Оперативный ввод'!N610="","",'Оперативный ввод'!N610)</f>
        <v/>
      </c>
      <c r="O610" s="172">
        <f>IF('Оперативный ввод'!O610="","",'Оперативный ввод'!O610)</f>
        <v/>
      </c>
      <c r="P610" s="205">
        <f>IF(AND(A610="",B610=""),"",IF(AND(A610&lt;&gt;"",B610&lt;&gt;"",C610&lt;&gt;"",D610&lt;&gt;"",F610&lt;&gt;"",G610&lt;&gt;"",H610&lt;&gt;"",ISERROR(SEARCH("по паспорту",G610)),ISERROR(SEARCH("по паспорту",H610)),I610&lt;&gt;"",J610&lt;&gt;"",K610&lt;&gt;"",L610&lt;&gt;"",M610&lt;&gt;""),"ГОТОВО","НЕ ГОТОВО"))</f>
        <v/>
      </c>
      <c r="Q610" s="205">
        <f>IF(P610&lt;&gt;"ГОТОВО","", "Предварительное заключение: "&amp;A610&amp;", скв. "&amp;B610&amp;". МРП: "&amp;E610&amp;" сут. ГНО: "&amp;F610&amp;", типоразмер "&amp;G610&amp;", марка "&amp;H610&amp;". Событие: "&amp;I610&amp;". Признак: "&amp;J610&amp;". Узел: "&amp;K610&amp;". Предварительная причина: "&amp;L610&amp;". Основное осложнение: "&amp;M610&amp;IF(N610&lt;&gt;"","; сопутствующее: "&amp;N610,"")&amp;IF(O610&lt;&gt;"","; дополнительно: "&amp;O610,"")&amp;".")</f>
        <v/>
      </c>
      <c r="R610" s="172">
        <f>IF('Оперативный ввод'!P610="","",'Оперативный ввод'!P610)</f>
        <v/>
      </c>
      <c r="S610" s="172">
        <f>IF('Оперативный ввод'!Q610="","",'Оперативный ввод'!Q610)</f>
        <v/>
      </c>
      <c r="T610" s="172">
        <f>IF('Оперативный ввод'!R610="","",'Оперативный ввод'!R610)</f>
        <v/>
      </c>
      <c r="U610" s="172">
        <f>IF('Оперативный ввод'!S610="","",'Оперативный ввод'!S610)</f>
        <v/>
      </c>
      <c r="V610" s="172">
        <f>IF('Оперативный ввод'!T610="","",'Оперативный ввод'!T610)</f>
        <v/>
      </c>
      <c r="W610" s="172" t="n"/>
      <c r="X610" s="172" t="n"/>
      <c r="Y610" s="172" t="n"/>
      <c r="Z610" s="172" t="n"/>
      <c r="AA610" s="172">
        <f>IF('Оперативный ввод'!U610="","",'Оперативный ввод'!U610)</f>
        <v/>
      </c>
      <c r="AB610" s="172">
        <f>IF('Оперативный ввод'!V610="","",'Оперативный ввод'!V610)</f>
        <v/>
      </c>
      <c r="AC610" s="172">
        <f>IF('Оперативный ввод'!W610="","",'Оперативный ввод'!W610)</f>
        <v/>
      </c>
      <c r="BB610" s="172" t="n"/>
      <c r="BC610" s="172" t="n"/>
      <c r="BD610" s="205">
        <f>IF(AND(A610="",B610=""),"",IF(AND(P610="ГОТОВО",R610&lt;&gt;"",T610&lt;&gt;"",U610&lt;&gt;"",AA610&lt;&gt;"",AB610&lt;&gt;"",AC610&lt;&gt;"",BB610&lt;&gt;"",BC610&lt;&gt;""),"ГОТОВО","НЕ ГОТОВО"))</f>
        <v/>
      </c>
      <c r="BE610" s="205">
        <f>IF(BD610&lt;&gt;"ГОТОВО","","Полное заключение: "&amp;A610&amp;", скв. "&amp;B610&amp;". МРП: "&amp;E610&amp;" сут. ГНО: "&amp;F610&amp;"; причина: "&amp;U610&amp;"; категория: "&amp;V610&amp;"; решение комиссии: "&amp;BB610&amp;".")</f>
        <v/>
      </c>
      <c r="BF610" s="173">
        <f>IF('Оперативный ввод'!X610="","",'Оперативный ввод'!X610)</f>
        <v/>
      </c>
    </row>
    <row r="611">
      <c r="A611" s="171">
        <f>IF('Оперативный ввод'!A611="","",'Оперативный ввод'!A611)</f>
        <v/>
      </c>
      <c r="B611" s="172">
        <f>IF('Оперативный ввод'!B611="","",'Оперативный ввод'!B611)</f>
        <v/>
      </c>
      <c r="C611" s="270">
        <f>IF('Оперативный ввод'!C611="","",'Оперативный ввод'!C611)</f>
        <v/>
      </c>
      <c r="D611" s="270">
        <f>IF('Оперативный ввод'!D611="","",'Оперативный ввод'!D611)</f>
        <v/>
      </c>
      <c r="E611" s="271">
        <f>IF(OR(C611="",D611=""),"",D611-C611)</f>
        <v/>
      </c>
      <c r="F611" s="172">
        <f>IF('Оперативный ввод'!F611="","",'Оперативный ввод'!F611)</f>
        <v/>
      </c>
      <c r="G611" s="172">
        <f>IF('Оперативный ввод'!G611="","",'Оперативный ввод'!G611)</f>
        <v/>
      </c>
      <c r="H611" s="172">
        <f>IF('Оперативный ввод'!H611="","",'Оперативный ввод'!H611)</f>
        <v/>
      </c>
      <c r="I611" s="172">
        <f>IF('Оперативный ввод'!I611="","",'Оперативный ввод'!I611)</f>
        <v/>
      </c>
      <c r="J611" s="172">
        <f>IF('Оперативный ввод'!J611="","",'Оперативный ввод'!J611)</f>
        <v/>
      </c>
      <c r="K611" s="172">
        <f>IF('Оперативный ввод'!K611="","",'Оперативный ввод'!K611)</f>
        <v/>
      </c>
      <c r="L611" s="172">
        <f>IF('Оперативный ввод'!L611="","",'Оперативный ввод'!L611)</f>
        <v/>
      </c>
      <c r="M611" s="172">
        <f>IF('Оперативный ввод'!M611="","",'Оперативный ввод'!M611)</f>
        <v/>
      </c>
      <c r="N611" s="172">
        <f>IF('Оперативный ввод'!N611="","",'Оперативный ввод'!N611)</f>
        <v/>
      </c>
      <c r="O611" s="172">
        <f>IF('Оперативный ввод'!O611="","",'Оперативный ввод'!O611)</f>
        <v/>
      </c>
      <c r="P611" s="205">
        <f>IF(AND(A611="",B611=""),"",IF(AND(A611&lt;&gt;"",B611&lt;&gt;"",C611&lt;&gt;"",D611&lt;&gt;"",F611&lt;&gt;"",G611&lt;&gt;"",H611&lt;&gt;"",ISERROR(SEARCH("по паспорту",G611)),ISERROR(SEARCH("по паспорту",H611)),I611&lt;&gt;"",J611&lt;&gt;"",K611&lt;&gt;"",L611&lt;&gt;"",M611&lt;&gt;""),"ГОТОВО","НЕ ГОТОВО"))</f>
        <v/>
      </c>
      <c r="Q611" s="205">
        <f>IF(P611&lt;&gt;"ГОТОВО","", "Предварительное заключение: "&amp;A611&amp;", скв. "&amp;B611&amp;". МРП: "&amp;E611&amp;" сут. ГНО: "&amp;F611&amp;", типоразмер "&amp;G611&amp;", марка "&amp;H611&amp;". Событие: "&amp;I611&amp;". Признак: "&amp;J611&amp;". Узел: "&amp;K611&amp;". Предварительная причина: "&amp;L611&amp;". Основное осложнение: "&amp;M611&amp;IF(N611&lt;&gt;"","; сопутствующее: "&amp;N611,"")&amp;IF(O611&lt;&gt;"","; дополнительно: "&amp;O611,"")&amp;".")</f>
        <v/>
      </c>
      <c r="R611" s="172">
        <f>IF('Оперативный ввод'!P611="","",'Оперативный ввод'!P611)</f>
        <v/>
      </c>
      <c r="S611" s="172">
        <f>IF('Оперативный ввод'!Q611="","",'Оперативный ввод'!Q611)</f>
        <v/>
      </c>
      <c r="T611" s="172">
        <f>IF('Оперативный ввод'!R611="","",'Оперативный ввод'!R611)</f>
        <v/>
      </c>
      <c r="U611" s="172">
        <f>IF('Оперативный ввод'!S611="","",'Оперативный ввод'!S611)</f>
        <v/>
      </c>
      <c r="V611" s="172">
        <f>IF('Оперативный ввод'!T611="","",'Оперативный ввод'!T611)</f>
        <v/>
      </c>
      <c r="W611" s="172" t="n"/>
      <c r="X611" s="172" t="n"/>
      <c r="Y611" s="172" t="n"/>
      <c r="Z611" s="172" t="n"/>
      <c r="AA611" s="172">
        <f>IF('Оперативный ввод'!U611="","",'Оперативный ввод'!U611)</f>
        <v/>
      </c>
      <c r="AB611" s="172">
        <f>IF('Оперативный ввод'!V611="","",'Оперативный ввод'!V611)</f>
        <v/>
      </c>
      <c r="AC611" s="172">
        <f>IF('Оперативный ввод'!W611="","",'Оперативный ввод'!W611)</f>
        <v/>
      </c>
      <c r="BB611" s="172" t="n"/>
      <c r="BC611" s="172" t="n"/>
      <c r="BD611" s="205">
        <f>IF(AND(A611="",B611=""),"",IF(AND(P611="ГОТОВО",R611&lt;&gt;"",T611&lt;&gt;"",U611&lt;&gt;"",AA611&lt;&gt;"",AB611&lt;&gt;"",AC611&lt;&gt;"",BB611&lt;&gt;"",BC611&lt;&gt;""),"ГОТОВО","НЕ ГОТОВО"))</f>
        <v/>
      </c>
      <c r="BE611" s="205">
        <f>IF(BD611&lt;&gt;"ГОТОВО","","Полное заключение: "&amp;A611&amp;", скв. "&amp;B611&amp;". МРП: "&amp;E611&amp;" сут. ГНО: "&amp;F611&amp;"; причина: "&amp;U611&amp;"; категория: "&amp;V611&amp;"; решение комиссии: "&amp;BB611&amp;".")</f>
        <v/>
      </c>
      <c r="BF611" s="173">
        <f>IF('Оперативный ввод'!X611="","",'Оперативный ввод'!X611)</f>
        <v/>
      </c>
    </row>
    <row r="612">
      <c r="A612" s="171">
        <f>IF('Оперативный ввод'!A612="","",'Оперативный ввод'!A612)</f>
        <v/>
      </c>
      <c r="B612" s="172">
        <f>IF('Оперативный ввод'!B612="","",'Оперативный ввод'!B612)</f>
        <v/>
      </c>
      <c r="C612" s="270">
        <f>IF('Оперативный ввод'!C612="","",'Оперативный ввод'!C612)</f>
        <v/>
      </c>
      <c r="D612" s="270">
        <f>IF('Оперативный ввод'!D612="","",'Оперативный ввод'!D612)</f>
        <v/>
      </c>
      <c r="E612" s="271">
        <f>IF(OR(C612="",D612=""),"",D612-C612)</f>
        <v/>
      </c>
      <c r="F612" s="172">
        <f>IF('Оперативный ввод'!F612="","",'Оперативный ввод'!F612)</f>
        <v/>
      </c>
      <c r="G612" s="172">
        <f>IF('Оперативный ввод'!G612="","",'Оперативный ввод'!G612)</f>
        <v/>
      </c>
      <c r="H612" s="172">
        <f>IF('Оперативный ввод'!H612="","",'Оперативный ввод'!H612)</f>
        <v/>
      </c>
      <c r="I612" s="172">
        <f>IF('Оперативный ввод'!I612="","",'Оперативный ввод'!I612)</f>
        <v/>
      </c>
      <c r="J612" s="172">
        <f>IF('Оперативный ввод'!J612="","",'Оперативный ввод'!J612)</f>
        <v/>
      </c>
      <c r="K612" s="172">
        <f>IF('Оперативный ввод'!K612="","",'Оперативный ввод'!K612)</f>
        <v/>
      </c>
      <c r="L612" s="172">
        <f>IF('Оперативный ввод'!L612="","",'Оперативный ввод'!L612)</f>
        <v/>
      </c>
      <c r="M612" s="172">
        <f>IF('Оперативный ввод'!M612="","",'Оперативный ввод'!M612)</f>
        <v/>
      </c>
      <c r="N612" s="172">
        <f>IF('Оперативный ввод'!N612="","",'Оперативный ввод'!N612)</f>
        <v/>
      </c>
      <c r="O612" s="172">
        <f>IF('Оперативный ввод'!O612="","",'Оперативный ввод'!O612)</f>
        <v/>
      </c>
      <c r="P612" s="205">
        <f>IF(AND(A612="",B612=""),"",IF(AND(A612&lt;&gt;"",B612&lt;&gt;"",C612&lt;&gt;"",D612&lt;&gt;"",F612&lt;&gt;"",G612&lt;&gt;"",H612&lt;&gt;"",ISERROR(SEARCH("по паспорту",G612)),ISERROR(SEARCH("по паспорту",H612)),I612&lt;&gt;"",J612&lt;&gt;"",K612&lt;&gt;"",L612&lt;&gt;"",M612&lt;&gt;""),"ГОТОВО","НЕ ГОТОВО"))</f>
        <v/>
      </c>
      <c r="Q612" s="205">
        <f>IF(P612&lt;&gt;"ГОТОВО","", "Предварительное заключение: "&amp;A612&amp;", скв. "&amp;B612&amp;". МРП: "&amp;E612&amp;" сут. ГНО: "&amp;F612&amp;", типоразмер "&amp;G612&amp;", марка "&amp;H612&amp;". Событие: "&amp;I612&amp;". Признак: "&amp;J612&amp;". Узел: "&amp;K612&amp;". Предварительная причина: "&amp;L612&amp;". Основное осложнение: "&amp;M612&amp;IF(N612&lt;&gt;"","; сопутствующее: "&amp;N612,"")&amp;IF(O612&lt;&gt;"","; дополнительно: "&amp;O612,"")&amp;".")</f>
        <v/>
      </c>
      <c r="R612" s="172">
        <f>IF('Оперативный ввод'!P612="","",'Оперативный ввод'!P612)</f>
        <v/>
      </c>
      <c r="S612" s="172">
        <f>IF('Оперативный ввод'!Q612="","",'Оперативный ввод'!Q612)</f>
        <v/>
      </c>
      <c r="T612" s="172">
        <f>IF('Оперативный ввод'!R612="","",'Оперативный ввод'!R612)</f>
        <v/>
      </c>
      <c r="U612" s="172">
        <f>IF('Оперативный ввод'!S612="","",'Оперативный ввод'!S612)</f>
        <v/>
      </c>
      <c r="V612" s="172">
        <f>IF('Оперативный ввод'!T612="","",'Оперативный ввод'!T612)</f>
        <v/>
      </c>
      <c r="W612" s="172" t="n"/>
      <c r="X612" s="172" t="n"/>
      <c r="Y612" s="172" t="n"/>
      <c r="Z612" s="172" t="n"/>
      <c r="AA612" s="172">
        <f>IF('Оперативный ввод'!U612="","",'Оперативный ввод'!U612)</f>
        <v/>
      </c>
      <c r="AB612" s="172">
        <f>IF('Оперативный ввод'!V612="","",'Оперативный ввод'!V612)</f>
        <v/>
      </c>
      <c r="AC612" s="172">
        <f>IF('Оперативный ввод'!W612="","",'Оперативный ввод'!W612)</f>
        <v/>
      </c>
      <c r="BB612" s="172" t="n"/>
      <c r="BC612" s="172" t="n"/>
      <c r="BD612" s="205">
        <f>IF(AND(A612="",B612=""),"",IF(AND(P612="ГОТОВО",R612&lt;&gt;"",T612&lt;&gt;"",U612&lt;&gt;"",AA612&lt;&gt;"",AB612&lt;&gt;"",AC612&lt;&gt;"",BB612&lt;&gt;"",BC612&lt;&gt;""),"ГОТОВО","НЕ ГОТОВО"))</f>
        <v/>
      </c>
      <c r="BE612" s="205">
        <f>IF(BD612&lt;&gt;"ГОТОВО","","Полное заключение: "&amp;A612&amp;", скв. "&amp;B612&amp;". МРП: "&amp;E612&amp;" сут. ГНО: "&amp;F612&amp;"; причина: "&amp;U612&amp;"; категория: "&amp;V612&amp;"; решение комиссии: "&amp;BB612&amp;".")</f>
        <v/>
      </c>
      <c r="BF612" s="173">
        <f>IF('Оперативный ввод'!X612="","",'Оперативный ввод'!X612)</f>
        <v/>
      </c>
    </row>
    <row r="613">
      <c r="A613" s="171">
        <f>IF('Оперативный ввод'!A613="","",'Оперативный ввод'!A613)</f>
        <v/>
      </c>
      <c r="B613" s="172">
        <f>IF('Оперативный ввод'!B613="","",'Оперативный ввод'!B613)</f>
        <v/>
      </c>
      <c r="C613" s="270">
        <f>IF('Оперативный ввод'!C613="","",'Оперативный ввод'!C613)</f>
        <v/>
      </c>
      <c r="D613" s="270">
        <f>IF('Оперативный ввод'!D613="","",'Оперативный ввод'!D613)</f>
        <v/>
      </c>
      <c r="E613" s="271">
        <f>IF(OR(C613="",D613=""),"",D613-C613)</f>
        <v/>
      </c>
      <c r="F613" s="172">
        <f>IF('Оперативный ввод'!F613="","",'Оперативный ввод'!F613)</f>
        <v/>
      </c>
      <c r="G613" s="172">
        <f>IF('Оперативный ввод'!G613="","",'Оперативный ввод'!G613)</f>
        <v/>
      </c>
      <c r="H613" s="172">
        <f>IF('Оперативный ввод'!H613="","",'Оперативный ввод'!H613)</f>
        <v/>
      </c>
      <c r="I613" s="172">
        <f>IF('Оперативный ввод'!I613="","",'Оперативный ввод'!I613)</f>
        <v/>
      </c>
      <c r="J613" s="172">
        <f>IF('Оперативный ввод'!J613="","",'Оперативный ввод'!J613)</f>
        <v/>
      </c>
      <c r="K613" s="172">
        <f>IF('Оперативный ввод'!K613="","",'Оперативный ввод'!K613)</f>
        <v/>
      </c>
      <c r="L613" s="172">
        <f>IF('Оперативный ввод'!L613="","",'Оперативный ввод'!L613)</f>
        <v/>
      </c>
      <c r="M613" s="172">
        <f>IF('Оперативный ввод'!M613="","",'Оперативный ввод'!M613)</f>
        <v/>
      </c>
      <c r="N613" s="172">
        <f>IF('Оперативный ввод'!N613="","",'Оперативный ввод'!N613)</f>
        <v/>
      </c>
      <c r="O613" s="172">
        <f>IF('Оперативный ввод'!O613="","",'Оперативный ввод'!O613)</f>
        <v/>
      </c>
      <c r="P613" s="205">
        <f>IF(AND(A613="",B613=""),"",IF(AND(A613&lt;&gt;"",B613&lt;&gt;"",C613&lt;&gt;"",D613&lt;&gt;"",F613&lt;&gt;"",G613&lt;&gt;"",H613&lt;&gt;"",ISERROR(SEARCH("по паспорту",G613)),ISERROR(SEARCH("по паспорту",H613)),I613&lt;&gt;"",J613&lt;&gt;"",K613&lt;&gt;"",L613&lt;&gt;"",M613&lt;&gt;""),"ГОТОВО","НЕ ГОТОВО"))</f>
        <v/>
      </c>
      <c r="Q613" s="205">
        <f>IF(P613&lt;&gt;"ГОТОВО","", "Предварительное заключение: "&amp;A613&amp;", скв. "&amp;B613&amp;". МРП: "&amp;E613&amp;" сут. ГНО: "&amp;F613&amp;", типоразмер "&amp;G613&amp;", марка "&amp;H613&amp;". Событие: "&amp;I613&amp;". Признак: "&amp;J613&amp;". Узел: "&amp;K613&amp;". Предварительная причина: "&amp;L613&amp;". Основное осложнение: "&amp;M613&amp;IF(N613&lt;&gt;"","; сопутствующее: "&amp;N613,"")&amp;IF(O613&lt;&gt;"","; дополнительно: "&amp;O613,"")&amp;".")</f>
        <v/>
      </c>
      <c r="R613" s="172">
        <f>IF('Оперативный ввод'!P613="","",'Оперативный ввод'!P613)</f>
        <v/>
      </c>
      <c r="S613" s="172">
        <f>IF('Оперативный ввод'!Q613="","",'Оперативный ввод'!Q613)</f>
        <v/>
      </c>
      <c r="T613" s="172">
        <f>IF('Оперативный ввод'!R613="","",'Оперативный ввод'!R613)</f>
        <v/>
      </c>
      <c r="U613" s="172">
        <f>IF('Оперативный ввод'!S613="","",'Оперативный ввод'!S613)</f>
        <v/>
      </c>
      <c r="V613" s="172">
        <f>IF('Оперативный ввод'!T613="","",'Оперативный ввод'!T613)</f>
        <v/>
      </c>
      <c r="W613" s="172" t="n"/>
      <c r="X613" s="172" t="n"/>
      <c r="Y613" s="172" t="n"/>
      <c r="Z613" s="172" t="n"/>
      <c r="AA613" s="172">
        <f>IF('Оперативный ввод'!U613="","",'Оперативный ввод'!U613)</f>
        <v/>
      </c>
      <c r="AB613" s="172">
        <f>IF('Оперативный ввод'!V613="","",'Оперативный ввод'!V613)</f>
        <v/>
      </c>
      <c r="AC613" s="172">
        <f>IF('Оперативный ввод'!W613="","",'Оперативный ввод'!W613)</f>
        <v/>
      </c>
      <c r="BB613" s="172" t="n"/>
      <c r="BC613" s="172" t="n"/>
      <c r="BD613" s="205">
        <f>IF(AND(A613="",B613=""),"",IF(AND(P613="ГОТОВО",R613&lt;&gt;"",T613&lt;&gt;"",U613&lt;&gt;"",AA613&lt;&gt;"",AB613&lt;&gt;"",AC613&lt;&gt;"",BB613&lt;&gt;"",BC613&lt;&gt;""),"ГОТОВО","НЕ ГОТОВО"))</f>
        <v/>
      </c>
      <c r="BE613" s="205">
        <f>IF(BD613&lt;&gt;"ГОТОВО","","Полное заключение: "&amp;A613&amp;", скв. "&amp;B613&amp;". МРП: "&amp;E613&amp;" сут. ГНО: "&amp;F613&amp;"; причина: "&amp;U613&amp;"; категория: "&amp;V613&amp;"; решение комиссии: "&amp;BB613&amp;".")</f>
        <v/>
      </c>
      <c r="BF613" s="173">
        <f>IF('Оперативный ввод'!X613="","",'Оперативный ввод'!X613)</f>
        <v/>
      </c>
    </row>
    <row r="614">
      <c r="A614" s="171">
        <f>IF('Оперативный ввод'!A614="","",'Оперативный ввод'!A614)</f>
        <v/>
      </c>
      <c r="B614" s="172">
        <f>IF('Оперативный ввод'!B614="","",'Оперативный ввод'!B614)</f>
        <v/>
      </c>
      <c r="C614" s="270">
        <f>IF('Оперативный ввод'!C614="","",'Оперативный ввод'!C614)</f>
        <v/>
      </c>
      <c r="D614" s="270">
        <f>IF('Оперативный ввод'!D614="","",'Оперативный ввод'!D614)</f>
        <v/>
      </c>
      <c r="E614" s="271">
        <f>IF(OR(C614="",D614=""),"",D614-C614)</f>
        <v/>
      </c>
      <c r="F614" s="172">
        <f>IF('Оперативный ввод'!F614="","",'Оперативный ввод'!F614)</f>
        <v/>
      </c>
      <c r="G614" s="172">
        <f>IF('Оперативный ввод'!G614="","",'Оперативный ввод'!G614)</f>
        <v/>
      </c>
      <c r="H614" s="172">
        <f>IF('Оперативный ввод'!H614="","",'Оперативный ввод'!H614)</f>
        <v/>
      </c>
      <c r="I614" s="172">
        <f>IF('Оперативный ввод'!I614="","",'Оперативный ввод'!I614)</f>
        <v/>
      </c>
      <c r="J614" s="172">
        <f>IF('Оперативный ввод'!J614="","",'Оперативный ввод'!J614)</f>
        <v/>
      </c>
      <c r="K614" s="172">
        <f>IF('Оперативный ввод'!K614="","",'Оперативный ввод'!K614)</f>
        <v/>
      </c>
      <c r="L614" s="172">
        <f>IF('Оперативный ввод'!L614="","",'Оперативный ввод'!L614)</f>
        <v/>
      </c>
      <c r="M614" s="172">
        <f>IF('Оперативный ввод'!M614="","",'Оперативный ввод'!M614)</f>
        <v/>
      </c>
      <c r="N614" s="172">
        <f>IF('Оперативный ввод'!N614="","",'Оперативный ввод'!N614)</f>
        <v/>
      </c>
      <c r="O614" s="172">
        <f>IF('Оперативный ввод'!O614="","",'Оперативный ввод'!O614)</f>
        <v/>
      </c>
      <c r="P614" s="205">
        <f>IF(AND(A614="",B614=""),"",IF(AND(A614&lt;&gt;"",B614&lt;&gt;"",C614&lt;&gt;"",D614&lt;&gt;"",F614&lt;&gt;"",G614&lt;&gt;"",H614&lt;&gt;"",ISERROR(SEARCH("по паспорту",G614)),ISERROR(SEARCH("по паспорту",H614)),I614&lt;&gt;"",J614&lt;&gt;"",K614&lt;&gt;"",L614&lt;&gt;"",M614&lt;&gt;""),"ГОТОВО","НЕ ГОТОВО"))</f>
        <v/>
      </c>
      <c r="Q614" s="205">
        <f>IF(P614&lt;&gt;"ГОТОВО","", "Предварительное заключение: "&amp;A614&amp;", скв. "&amp;B614&amp;". МРП: "&amp;E614&amp;" сут. ГНО: "&amp;F614&amp;", типоразмер "&amp;G614&amp;", марка "&amp;H614&amp;". Событие: "&amp;I614&amp;". Признак: "&amp;J614&amp;". Узел: "&amp;K614&amp;". Предварительная причина: "&amp;L614&amp;". Основное осложнение: "&amp;M614&amp;IF(N614&lt;&gt;"","; сопутствующее: "&amp;N614,"")&amp;IF(O614&lt;&gt;"","; дополнительно: "&amp;O614,"")&amp;".")</f>
        <v/>
      </c>
      <c r="R614" s="172">
        <f>IF('Оперативный ввод'!P614="","",'Оперативный ввод'!P614)</f>
        <v/>
      </c>
      <c r="S614" s="172">
        <f>IF('Оперативный ввод'!Q614="","",'Оперативный ввод'!Q614)</f>
        <v/>
      </c>
      <c r="T614" s="172">
        <f>IF('Оперативный ввод'!R614="","",'Оперативный ввод'!R614)</f>
        <v/>
      </c>
      <c r="U614" s="172">
        <f>IF('Оперативный ввод'!S614="","",'Оперативный ввод'!S614)</f>
        <v/>
      </c>
      <c r="V614" s="172">
        <f>IF('Оперативный ввод'!T614="","",'Оперативный ввод'!T614)</f>
        <v/>
      </c>
      <c r="W614" s="172" t="n"/>
      <c r="X614" s="172" t="n"/>
      <c r="Y614" s="172" t="n"/>
      <c r="Z614" s="172" t="n"/>
      <c r="AA614" s="172">
        <f>IF('Оперативный ввод'!U614="","",'Оперативный ввод'!U614)</f>
        <v/>
      </c>
      <c r="AB614" s="172">
        <f>IF('Оперативный ввод'!V614="","",'Оперативный ввод'!V614)</f>
        <v/>
      </c>
      <c r="AC614" s="172">
        <f>IF('Оперативный ввод'!W614="","",'Оперативный ввод'!W614)</f>
        <v/>
      </c>
      <c r="BB614" s="172" t="n"/>
      <c r="BC614" s="172" t="n"/>
      <c r="BD614" s="205">
        <f>IF(AND(A614="",B614=""),"",IF(AND(P614="ГОТОВО",R614&lt;&gt;"",T614&lt;&gt;"",U614&lt;&gt;"",AA614&lt;&gt;"",AB614&lt;&gt;"",AC614&lt;&gt;"",BB614&lt;&gt;"",BC614&lt;&gt;""),"ГОТОВО","НЕ ГОТОВО"))</f>
        <v/>
      </c>
      <c r="BE614" s="205">
        <f>IF(BD614&lt;&gt;"ГОТОВО","","Полное заключение: "&amp;A614&amp;", скв. "&amp;B614&amp;". МРП: "&amp;E614&amp;" сут. ГНО: "&amp;F614&amp;"; причина: "&amp;U614&amp;"; категория: "&amp;V614&amp;"; решение комиссии: "&amp;BB614&amp;".")</f>
        <v/>
      </c>
      <c r="BF614" s="173">
        <f>IF('Оперативный ввод'!X614="","",'Оперативный ввод'!X614)</f>
        <v/>
      </c>
    </row>
    <row r="615">
      <c r="A615" s="171">
        <f>IF('Оперативный ввод'!A615="","",'Оперативный ввод'!A615)</f>
        <v/>
      </c>
      <c r="B615" s="172">
        <f>IF('Оперативный ввод'!B615="","",'Оперативный ввод'!B615)</f>
        <v/>
      </c>
      <c r="C615" s="270">
        <f>IF('Оперативный ввод'!C615="","",'Оперативный ввод'!C615)</f>
        <v/>
      </c>
      <c r="D615" s="270">
        <f>IF('Оперативный ввод'!D615="","",'Оперативный ввод'!D615)</f>
        <v/>
      </c>
      <c r="E615" s="271">
        <f>IF(OR(C615="",D615=""),"",D615-C615)</f>
        <v/>
      </c>
      <c r="F615" s="172">
        <f>IF('Оперативный ввод'!F615="","",'Оперативный ввод'!F615)</f>
        <v/>
      </c>
      <c r="G615" s="172">
        <f>IF('Оперативный ввод'!G615="","",'Оперативный ввод'!G615)</f>
        <v/>
      </c>
      <c r="H615" s="172">
        <f>IF('Оперативный ввод'!H615="","",'Оперативный ввод'!H615)</f>
        <v/>
      </c>
      <c r="I615" s="172">
        <f>IF('Оперативный ввод'!I615="","",'Оперативный ввод'!I615)</f>
        <v/>
      </c>
      <c r="J615" s="172">
        <f>IF('Оперативный ввод'!J615="","",'Оперативный ввод'!J615)</f>
        <v/>
      </c>
      <c r="K615" s="172">
        <f>IF('Оперативный ввод'!K615="","",'Оперативный ввод'!K615)</f>
        <v/>
      </c>
      <c r="L615" s="172">
        <f>IF('Оперативный ввод'!L615="","",'Оперативный ввод'!L615)</f>
        <v/>
      </c>
      <c r="M615" s="172">
        <f>IF('Оперативный ввод'!M615="","",'Оперативный ввод'!M615)</f>
        <v/>
      </c>
      <c r="N615" s="172">
        <f>IF('Оперативный ввод'!N615="","",'Оперативный ввод'!N615)</f>
        <v/>
      </c>
      <c r="O615" s="172">
        <f>IF('Оперативный ввод'!O615="","",'Оперативный ввод'!O615)</f>
        <v/>
      </c>
      <c r="P615" s="205">
        <f>IF(AND(A615="",B615=""),"",IF(AND(A615&lt;&gt;"",B615&lt;&gt;"",C615&lt;&gt;"",D615&lt;&gt;"",F615&lt;&gt;"",G615&lt;&gt;"",H615&lt;&gt;"",ISERROR(SEARCH("по паспорту",G615)),ISERROR(SEARCH("по паспорту",H615)),I615&lt;&gt;"",J615&lt;&gt;"",K615&lt;&gt;"",L615&lt;&gt;"",M615&lt;&gt;""),"ГОТОВО","НЕ ГОТОВО"))</f>
        <v/>
      </c>
      <c r="Q615" s="205">
        <f>IF(P615&lt;&gt;"ГОТОВО","", "Предварительное заключение: "&amp;A615&amp;", скв. "&amp;B615&amp;". МРП: "&amp;E615&amp;" сут. ГНО: "&amp;F615&amp;", типоразмер "&amp;G615&amp;", марка "&amp;H615&amp;". Событие: "&amp;I615&amp;". Признак: "&amp;J615&amp;". Узел: "&amp;K615&amp;". Предварительная причина: "&amp;L615&amp;". Основное осложнение: "&amp;M615&amp;IF(N615&lt;&gt;"","; сопутствующее: "&amp;N615,"")&amp;IF(O615&lt;&gt;"","; дополнительно: "&amp;O615,"")&amp;".")</f>
        <v/>
      </c>
      <c r="R615" s="172">
        <f>IF('Оперативный ввод'!P615="","",'Оперативный ввод'!P615)</f>
        <v/>
      </c>
      <c r="S615" s="172">
        <f>IF('Оперативный ввод'!Q615="","",'Оперативный ввод'!Q615)</f>
        <v/>
      </c>
      <c r="T615" s="172">
        <f>IF('Оперативный ввод'!R615="","",'Оперативный ввод'!R615)</f>
        <v/>
      </c>
      <c r="U615" s="172">
        <f>IF('Оперативный ввод'!S615="","",'Оперативный ввод'!S615)</f>
        <v/>
      </c>
      <c r="V615" s="172">
        <f>IF('Оперативный ввод'!T615="","",'Оперативный ввод'!T615)</f>
        <v/>
      </c>
      <c r="W615" s="172" t="n"/>
      <c r="X615" s="172" t="n"/>
      <c r="Y615" s="172" t="n"/>
      <c r="Z615" s="172" t="n"/>
      <c r="AA615" s="172">
        <f>IF('Оперативный ввод'!U615="","",'Оперативный ввод'!U615)</f>
        <v/>
      </c>
      <c r="AB615" s="172">
        <f>IF('Оперативный ввод'!V615="","",'Оперативный ввод'!V615)</f>
        <v/>
      </c>
      <c r="AC615" s="172">
        <f>IF('Оперативный ввод'!W615="","",'Оперативный ввод'!W615)</f>
        <v/>
      </c>
      <c r="BB615" s="172" t="n"/>
      <c r="BC615" s="172" t="n"/>
      <c r="BD615" s="205">
        <f>IF(AND(A615="",B615=""),"",IF(AND(P615="ГОТОВО",R615&lt;&gt;"",T615&lt;&gt;"",U615&lt;&gt;"",AA615&lt;&gt;"",AB615&lt;&gt;"",AC615&lt;&gt;"",BB615&lt;&gt;"",BC615&lt;&gt;""),"ГОТОВО","НЕ ГОТОВО"))</f>
        <v/>
      </c>
      <c r="BE615" s="205">
        <f>IF(BD615&lt;&gt;"ГОТОВО","","Полное заключение: "&amp;A615&amp;", скв. "&amp;B615&amp;". МРП: "&amp;E615&amp;" сут. ГНО: "&amp;F615&amp;"; причина: "&amp;U615&amp;"; категория: "&amp;V615&amp;"; решение комиссии: "&amp;BB615&amp;".")</f>
        <v/>
      </c>
      <c r="BF615" s="173">
        <f>IF('Оперативный ввод'!X615="","",'Оперативный ввод'!X615)</f>
        <v/>
      </c>
    </row>
    <row r="616">
      <c r="A616" s="171">
        <f>IF('Оперативный ввод'!A616="","",'Оперативный ввод'!A616)</f>
        <v/>
      </c>
      <c r="B616" s="172">
        <f>IF('Оперативный ввод'!B616="","",'Оперативный ввод'!B616)</f>
        <v/>
      </c>
      <c r="C616" s="270">
        <f>IF('Оперативный ввод'!C616="","",'Оперативный ввод'!C616)</f>
        <v/>
      </c>
      <c r="D616" s="270">
        <f>IF('Оперативный ввод'!D616="","",'Оперативный ввод'!D616)</f>
        <v/>
      </c>
      <c r="E616" s="271">
        <f>IF(OR(C616="",D616=""),"",D616-C616)</f>
        <v/>
      </c>
      <c r="F616" s="172">
        <f>IF('Оперативный ввод'!F616="","",'Оперативный ввод'!F616)</f>
        <v/>
      </c>
      <c r="G616" s="172">
        <f>IF('Оперативный ввод'!G616="","",'Оперативный ввод'!G616)</f>
        <v/>
      </c>
      <c r="H616" s="172">
        <f>IF('Оперативный ввод'!H616="","",'Оперативный ввод'!H616)</f>
        <v/>
      </c>
      <c r="I616" s="172">
        <f>IF('Оперативный ввод'!I616="","",'Оперативный ввод'!I616)</f>
        <v/>
      </c>
      <c r="J616" s="172">
        <f>IF('Оперативный ввод'!J616="","",'Оперативный ввод'!J616)</f>
        <v/>
      </c>
      <c r="K616" s="172">
        <f>IF('Оперативный ввод'!K616="","",'Оперативный ввод'!K616)</f>
        <v/>
      </c>
      <c r="L616" s="172">
        <f>IF('Оперативный ввод'!L616="","",'Оперативный ввод'!L616)</f>
        <v/>
      </c>
      <c r="M616" s="172">
        <f>IF('Оперативный ввод'!M616="","",'Оперативный ввод'!M616)</f>
        <v/>
      </c>
      <c r="N616" s="172">
        <f>IF('Оперативный ввод'!N616="","",'Оперативный ввод'!N616)</f>
        <v/>
      </c>
      <c r="O616" s="172">
        <f>IF('Оперативный ввод'!O616="","",'Оперативный ввод'!O616)</f>
        <v/>
      </c>
      <c r="P616" s="205">
        <f>IF(AND(A616="",B616=""),"",IF(AND(A616&lt;&gt;"",B616&lt;&gt;"",C616&lt;&gt;"",D616&lt;&gt;"",F616&lt;&gt;"",G616&lt;&gt;"",H616&lt;&gt;"",ISERROR(SEARCH("по паспорту",G616)),ISERROR(SEARCH("по паспорту",H616)),I616&lt;&gt;"",J616&lt;&gt;"",K616&lt;&gt;"",L616&lt;&gt;"",M616&lt;&gt;""),"ГОТОВО","НЕ ГОТОВО"))</f>
        <v/>
      </c>
      <c r="Q616" s="205">
        <f>IF(P616&lt;&gt;"ГОТОВО","", "Предварительное заключение: "&amp;A616&amp;", скв. "&amp;B616&amp;". МРП: "&amp;E616&amp;" сут. ГНО: "&amp;F616&amp;", типоразмер "&amp;G616&amp;", марка "&amp;H616&amp;". Событие: "&amp;I616&amp;". Признак: "&amp;J616&amp;". Узел: "&amp;K616&amp;". Предварительная причина: "&amp;L616&amp;". Основное осложнение: "&amp;M616&amp;IF(N616&lt;&gt;"","; сопутствующее: "&amp;N616,"")&amp;IF(O616&lt;&gt;"","; дополнительно: "&amp;O616,"")&amp;".")</f>
        <v/>
      </c>
      <c r="R616" s="172">
        <f>IF('Оперативный ввод'!P616="","",'Оперативный ввод'!P616)</f>
        <v/>
      </c>
      <c r="S616" s="172">
        <f>IF('Оперативный ввод'!Q616="","",'Оперативный ввод'!Q616)</f>
        <v/>
      </c>
      <c r="T616" s="172">
        <f>IF('Оперативный ввод'!R616="","",'Оперативный ввод'!R616)</f>
        <v/>
      </c>
      <c r="U616" s="172">
        <f>IF('Оперативный ввод'!S616="","",'Оперативный ввод'!S616)</f>
        <v/>
      </c>
      <c r="V616" s="172">
        <f>IF('Оперативный ввод'!T616="","",'Оперативный ввод'!T616)</f>
        <v/>
      </c>
      <c r="W616" s="172" t="n"/>
      <c r="X616" s="172" t="n"/>
      <c r="Y616" s="172" t="n"/>
      <c r="Z616" s="172" t="n"/>
      <c r="AA616" s="172">
        <f>IF('Оперативный ввод'!U616="","",'Оперативный ввод'!U616)</f>
        <v/>
      </c>
      <c r="AB616" s="172">
        <f>IF('Оперативный ввод'!V616="","",'Оперативный ввод'!V616)</f>
        <v/>
      </c>
      <c r="AC616" s="172">
        <f>IF('Оперативный ввод'!W616="","",'Оперативный ввод'!W616)</f>
        <v/>
      </c>
      <c r="BB616" s="172" t="n"/>
      <c r="BC616" s="172" t="n"/>
      <c r="BD616" s="205">
        <f>IF(AND(A616="",B616=""),"",IF(AND(P616="ГОТОВО",R616&lt;&gt;"",T616&lt;&gt;"",U616&lt;&gt;"",AA616&lt;&gt;"",AB616&lt;&gt;"",AC616&lt;&gt;"",BB616&lt;&gt;"",BC616&lt;&gt;""),"ГОТОВО","НЕ ГОТОВО"))</f>
        <v/>
      </c>
      <c r="BE616" s="205">
        <f>IF(BD616&lt;&gt;"ГОТОВО","","Полное заключение: "&amp;A616&amp;", скв. "&amp;B616&amp;". МРП: "&amp;E616&amp;" сут. ГНО: "&amp;F616&amp;"; причина: "&amp;U616&amp;"; категория: "&amp;V616&amp;"; решение комиссии: "&amp;BB616&amp;".")</f>
        <v/>
      </c>
      <c r="BF616" s="173">
        <f>IF('Оперативный ввод'!X616="","",'Оперативный ввод'!X616)</f>
        <v/>
      </c>
    </row>
    <row r="617">
      <c r="A617" s="171">
        <f>IF('Оперативный ввод'!A617="","",'Оперативный ввод'!A617)</f>
        <v/>
      </c>
      <c r="B617" s="172">
        <f>IF('Оперативный ввод'!B617="","",'Оперативный ввод'!B617)</f>
        <v/>
      </c>
      <c r="C617" s="270">
        <f>IF('Оперативный ввод'!C617="","",'Оперативный ввод'!C617)</f>
        <v/>
      </c>
      <c r="D617" s="270">
        <f>IF('Оперативный ввод'!D617="","",'Оперативный ввод'!D617)</f>
        <v/>
      </c>
      <c r="E617" s="271">
        <f>IF(OR(C617="",D617=""),"",D617-C617)</f>
        <v/>
      </c>
      <c r="F617" s="172">
        <f>IF('Оперативный ввод'!F617="","",'Оперативный ввод'!F617)</f>
        <v/>
      </c>
      <c r="G617" s="172">
        <f>IF('Оперативный ввод'!G617="","",'Оперативный ввод'!G617)</f>
        <v/>
      </c>
      <c r="H617" s="172">
        <f>IF('Оперативный ввод'!H617="","",'Оперативный ввод'!H617)</f>
        <v/>
      </c>
      <c r="I617" s="172">
        <f>IF('Оперативный ввод'!I617="","",'Оперативный ввод'!I617)</f>
        <v/>
      </c>
      <c r="J617" s="172">
        <f>IF('Оперативный ввод'!J617="","",'Оперативный ввод'!J617)</f>
        <v/>
      </c>
      <c r="K617" s="172">
        <f>IF('Оперативный ввод'!K617="","",'Оперативный ввод'!K617)</f>
        <v/>
      </c>
      <c r="L617" s="172">
        <f>IF('Оперативный ввод'!L617="","",'Оперативный ввод'!L617)</f>
        <v/>
      </c>
      <c r="M617" s="172">
        <f>IF('Оперативный ввод'!M617="","",'Оперативный ввод'!M617)</f>
        <v/>
      </c>
      <c r="N617" s="172">
        <f>IF('Оперативный ввод'!N617="","",'Оперативный ввод'!N617)</f>
        <v/>
      </c>
      <c r="O617" s="172">
        <f>IF('Оперативный ввод'!O617="","",'Оперативный ввод'!O617)</f>
        <v/>
      </c>
      <c r="P617" s="205">
        <f>IF(AND(A617="",B617=""),"",IF(AND(A617&lt;&gt;"",B617&lt;&gt;"",C617&lt;&gt;"",D617&lt;&gt;"",F617&lt;&gt;"",G617&lt;&gt;"",H617&lt;&gt;"",ISERROR(SEARCH("по паспорту",G617)),ISERROR(SEARCH("по паспорту",H617)),I617&lt;&gt;"",J617&lt;&gt;"",K617&lt;&gt;"",L617&lt;&gt;"",M617&lt;&gt;""),"ГОТОВО","НЕ ГОТОВО"))</f>
        <v/>
      </c>
      <c r="Q617" s="205">
        <f>IF(P617&lt;&gt;"ГОТОВО","", "Предварительное заключение: "&amp;A617&amp;", скв. "&amp;B617&amp;". МРП: "&amp;E617&amp;" сут. ГНО: "&amp;F617&amp;", типоразмер "&amp;G617&amp;", марка "&amp;H617&amp;". Событие: "&amp;I617&amp;". Признак: "&amp;J617&amp;". Узел: "&amp;K617&amp;". Предварительная причина: "&amp;L617&amp;". Основное осложнение: "&amp;M617&amp;IF(N617&lt;&gt;"","; сопутствующее: "&amp;N617,"")&amp;IF(O617&lt;&gt;"","; дополнительно: "&amp;O617,"")&amp;".")</f>
        <v/>
      </c>
      <c r="R617" s="172">
        <f>IF('Оперативный ввод'!P617="","",'Оперативный ввод'!P617)</f>
        <v/>
      </c>
      <c r="S617" s="172">
        <f>IF('Оперативный ввод'!Q617="","",'Оперативный ввод'!Q617)</f>
        <v/>
      </c>
      <c r="T617" s="172">
        <f>IF('Оперативный ввод'!R617="","",'Оперативный ввод'!R617)</f>
        <v/>
      </c>
      <c r="U617" s="172">
        <f>IF('Оперативный ввод'!S617="","",'Оперативный ввод'!S617)</f>
        <v/>
      </c>
      <c r="V617" s="172">
        <f>IF('Оперативный ввод'!T617="","",'Оперативный ввод'!T617)</f>
        <v/>
      </c>
      <c r="W617" s="172" t="n"/>
      <c r="X617" s="172" t="n"/>
      <c r="Y617" s="172" t="n"/>
      <c r="Z617" s="172" t="n"/>
      <c r="AA617" s="172">
        <f>IF('Оперативный ввод'!U617="","",'Оперативный ввод'!U617)</f>
        <v/>
      </c>
      <c r="AB617" s="172">
        <f>IF('Оперативный ввод'!V617="","",'Оперативный ввод'!V617)</f>
        <v/>
      </c>
      <c r="AC617" s="172">
        <f>IF('Оперативный ввод'!W617="","",'Оперативный ввод'!W617)</f>
        <v/>
      </c>
      <c r="BB617" s="172" t="n"/>
      <c r="BC617" s="172" t="n"/>
      <c r="BD617" s="205">
        <f>IF(AND(A617="",B617=""),"",IF(AND(P617="ГОТОВО",R617&lt;&gt;"",T617&lt;&gt;"",U617&lt;&gt;"",AA617&lt;&gt;"",AB617&lt;&gt;"",AC617&lt;&gt;"",BB617&lt;&gt;"",BC617&lt;&gt;""),"ГОТОВО","НЕ ГОТОВО"))</f>
        <v/>
      </c>
      <c r="BE617" s="205">
        <f>IF(BD617&lt;&gt;"ГОТОВО","","Полное заключение: "&amp;A617&amp;", скв. "&amp;B617&amp;". МРП: "&amp;E617&amp;" сут. ГНО: "&amp;F617&amp;"; причина: "&amp;U617&amp;"; категория: "&amp;V617&amp;"; решение комиссии: "&amp;BB617&amp;".")</f>
        <v/>
      </c>
      <c r="BF617" s="173">
        <f>IF('Оперативный ввод'!X617="","",'Оперативный ввод'!X617)</f>
        <v/>
      </c>
    </row>
    <row r="618">
      <c r="A618" s="171">
        <f>IF('Оперативный ввод'!A618="","",'Оперативный ввод'!A618)</f>
        <v/>
      </c>
      <c r="B618" s="172">
        <f>IF('Оперативный ввод'!B618="","",'Оперативный ввод'!B618)</f>
        <v/>
      </c>
      <c r="C618" s="270">
        <f>IF('Оперативный ввод'!C618="","",'Оперативный ввод'!C618)</f>
        <v/>
      </c>
      <c r="D618" s="270">
        <f>IF('Оперативный ввод'!D618="","",'Оперативный ввод'!D618)</f>
        <v/>
      </c>
      <c r="E618" s="271">
        <f>IF(OR(C618="",D618=""),"",D618-C618)</f>
        <v/>
      </c>
      <c r="F618" s="172">
        <f>IF('Оперативный ввод'!F618="","",'Оперативный ввод'!F618)</f>
        <v/>
      </c>
      <c r="G618" s="172">
        <f>IF('Оперативный ввод'!G618="","",'Оперативный ввод'!G618)</f>
        <v/>
      </c>
      <c r="H618" s="172">
        <f>IF('Оперативный ввод'!H618="","",'Оперативный ввод'!H618)</f>
        <v/>
      </c>
      <c r="I618" s="172">
        <f>IF('Оперативный ввод'!I618="","",'Оперативный ввод'!I618)</f>
        <v/>
      </c>
      <c r="J618" s="172">
        <f>IF('Оперативный ввод'!J618="","",'Оперативный ввод'!J618)</f>
        <v/>
      </c>
      <c r="K618" s="172">
        <f>IF('Оперативный ввод'!K618="","",'Оперативный ввод'!K618)</f>
        <v/>
      </c>
      <c r="L618" s="172">
        <f>IF('Оперативный ввод'!L618="","",'Оперативный ввод'!L618)</f>
        <v/>
      </c>
      <c r="M618" s="172">
        <f>IF('Оперативный ввод'!M618="","",'Оперативный ввод'!M618)</f>
        <v/>
      </c>
      <c r="N618" s="172">
        <f>IF('Оперативный ввод'!N618="","",'Оперативный ввод'!N618)</f>
        <v/>
      </c>
      <c r="O618" s="172">
        <f>IF('Оперативный ввод'!O618="","",'Оперативный ввод'!O618)</f>
        <v/>
      </c>
      <c r="P618" s="205">
        <f>IF(AND(A618="",B618=""),"",IF(AND(A618&lt;&gt;"",B618&lt;&gt;"",C618&lt;&gt;"",D618&lt;&gt;"",F618&lt;&gt;"",G618&lt;&gt;"",H618&lt;&gt;"",ISERROR(SEARCH("по паспорту",G618)),ISERROR(SEARCH("по паспорту",H618)),I618&lt;&gt;"",J618&lt;&gt;"",K618&lt;&gt;"",L618&lt;&gt;"",M618&lt;&gt;""),"ГОТОВО","НЕ ГОТОВО"))</f>
        <v/>
      </c>
      <c r="Q618" s="205">
        <f>IF(P618&lt;&gt;"ГОТОВО","", "Предварительное заключение: "&amp;A618&amp;", скв. "&amp;B618&amp;". МРП: "&amp;E618&amp;" сут. ГНО: "&amp;F618&amp;", типоразмер "&amp;G618&amp;", марка "&amp;H618&amp;". Событие: "&amp;I618&amp;". Признак: "&amp;J618&amp;". Узел: "&amp;K618&amp;". Предварительная причина: "&amp;L618&amp;". Основное осложнение: "&amp;M618&amp;IF(N618&lt;&gt;"","; сопутствующее: "&amp;N618,"")&amp;IF(O618&lt;&gt;"","; дополнительно: "&amp;O618,"")&amp;".")</f>
        <v/>
      </c>
      <c r="R618" s="172">
        <f>IF('Оперативный ввод'!P618="","",'Оперативный ввод'!P618)</f>
        <v/>
      </c>
      <c r="S618" s="172">
        <f>IF('Оперативный ввод'!Q618="","",'Оперативный ввод'!Q618)</f>
        <v/>
      </c>
      <c r="T618" s="172">
        <f>IF('Оперативный ввод'!R618="","",'Оперативный ввод'!R618)</f>
        <v/>
      </c>
      <c r="U618" s="172">
        <f>IF('Оперативный ввод'!S618="","",'Оперативный ввод'!S618)</f>
        <v/>
      </c>
      <c r="V618" s="172">
        <f>IF('Оперативный ввод'!T618="","",'Оперативный ввод'!T618)</f>
        <v/>
      </c>
      <c r="W618" s="172" t="n"/>
      <c r="X618" s="172" t="n"/>
      <c r="Y618" s="172" t="n"/>
      <c r="Z618" s="172" t="n"/>
      <c r="AA618" s="172">
        <f>IF('Оперативный ввод'!U618="","",'Оперативный ввод'!U618)</f>
        <v/>
      </c>
      <c r="AB618" s="172">
        <f>IF('Оперативный ввод'!V618="","",'Оперативный ввод'!V618)</f>
        <v/>
      </c>
      <c r="AC618" s="172">
        <f>IF('Оперативный ввод'!W618="","",'Оперативный ввод'!W618)</f>
        <v/>
      </c>
      <c r="BB618" s="172" t="n"/>
      <c r="BC618" s="172" t="n"/>
      <c r="BD618" s="205">
        <f>IF(AND(A618="",B618=""),"",IF(AND(P618="ГОТОВО",R618&lt;&gt;"",T618&lt;&gt;"",U618&lt;&gt;"",AA618&lt;&gt;"",AB618&lt;&gt;"",AC618&lt;&gt;"",BB618&lt;&gt;"",BC618&lt;&gt;""),"ГОТОВО","НЕ ГОТОВО"))</f>
        <v/>
      </c>
      <c r="BE618" s="205">
        <f>IF(BD618&lt;&gt;"ГОТОВО","","Полное заключение: "&amp;A618&amp;", скв. "&amp;B618&amp;". МРП: "&amp;E618&amp;" сут. ГНО: "&amp;F618&amp;"; причина: "&amp;U618&amp;"; категория: "&amp;V618&amp;"; решение комиссии: "&amp;BB618&amp;".")</f>
        <v/>
      </c>
      <c r="BF618" s="173">
        <f>IF('Оперативный ввод'!X618="","",'Оперативный ввод'!X618)</f>
        <v/>
      </c>
    </row>
    <row r="619">
      <c r="A619" s="171">
        <f>IF('Оперативный ввод'!A619="","",'Оперативный ввод'!A619)</f>
        <v/>
      </c>
      <c r="B619" s="172">
        <f>IF('Оперативный ввод'!B619="","",'Оперативный ввод'!B619)</f>
        <v/>
      </c>
      <c r="C619" s="270">
        <f>IF('Оперативный ввод'!C619="","",'Оперативный ввод'!C619)</f>
        <v/>
      </c>
      <c r="D619" s="270">
        <f>IF('Оперативный ввод'!D619="","",'Оперативный ввод'!D619)</f>
        <v/>
      </c>
      <c r="E619" s="271">
        <f>IF(OR(C619="",D619=""),"",D619-C619)</f>
        <v/>
      </c>
      <c r="F619" s="172">
        <f>IF('Оперативный ввод'!F619="","",'Оперативный ввод'!F619)</f>
        <v/>
      </c>
      <c r="G619" s="172">
        <f>IF('Оперативный ввод'!G619="","",'Оперативный ввод'!G619)</f>
        <v/>
      </c>
      <c r="H619" s="172">
        <f>IF('Оперативный ввод'!H619="","",'Оперативный ввод'!H619)</f>
        <v/>
      </c>
      <c r="I619" s="172">
        <f>IF('Оперативный ввод'!I619="","",'Оперативный ввод'!I619)</f>
        <v/>
      </c>
      <c r="J619" s="172">
        <f>IF('Оперативный ввод'!J619="","",'Оперативный ввод'!J619)</f>
        <v/>
      </c>
      <c r="K619" s="172">
        <f>IF('Оперативный ввод'!K619="","",'Оперативный ввод'!K619)</f>
        <v/>
      </c>
      <c r="L619" s="172">
        <f>IF('Оперативный ввод'!L619="","",'Оперативный ввод'!L619)</f>
        <v/>
      </c>
      <c r="M619" s="172">
        <f>IF('Оперативный ввод'!M619="","",'Оперативный ввод'!M619)</f>
        <v/>
      </c>
      <c r="N619" s="172">
        <f>IF('Оперативный ввод'!N619="","",'Оперативный ввод'!N619)</f>
        <v/>
      </c>
      <c r="O619" s="172">
        <f>IF('Оперативный ввод'!O619="","",'Оперативный ввод'!O619)</f>
        <v/>
      </c>
      <c r="P619" s="205">
        <f>IF(AND(A619="",B619=""),"",IF(AND(A619&lt;&gt;"",B619&lt;&gt;"",C619&lt;&gt;"",D619&lt;&gt;"",F619&lt;&gt;"",G619&lt;&gt;"",H619&lt;&gt;"",ISERROR(SEARCH("по паспорту",G619)),ISERROR(SEARCH("по паспорту",H619)),I619&lt;&gt;"",J619&lt;&gt;"",K619&lt;&gt;"",L619&lt;&gt;"",M619&lt;&gt;""),"ГОТОВО","НЕ ГОТОВО"))</f>
        <v/>
      </c>
      <c r="Q619" s="205">
        <f>IF(P619&lt;&gt;"ГОТОВО","", "Предварительное заключение: "&amp;A619&amp;", скв. "&amp;B619&amp;". МРП: "&amp;E619&amp;" сут. ГНО: "&amp;F619&amp;", типоразмер "&amp;G619&amp;", марка "&amp;H619&amp;". Событие: "&amp;I619&amp;". Признак: "&amp;J619&amp;". Узел: "&amp;K619&amp;". Предварительная причина: "&amp;L619&amp;". Основное осложнение: "&amp;M619&amp;IF(N619&lt;&gt;"","; сопутствующее: "&amp;N619,"")&amp;IF(O619&lt;&gt;"","; дополнительно: "&amp;O619,"")&amp;".")</f>
        <v/>
      </c>
      <c r="R619" s="172">
        <f>IF('Оперативный ввод'!P619="","",'Оперативный ввод'!P619)</f>
        <v/>
      </c>
      <c r="S619" s="172">
        <f>IF('Оперативный ввод'!Q619="","",'Оперативный ввод'!Q619)</f>
        <v/>
      </c>
      <c r="T619" s="172">
        <f>IF('Оперативный ввод'!R619="","",'Оперативный ввод'!R619)</f>
        <v/>
      </c>
      <c r="U619" s="172">
        <f>IF('Оперативный ввод'!S619="","",'Оперативный ввод'!S619)</f>
        <v/>
      </c>
      <c r="V619" s="172">
        <f>IF('Оперативный ввод'!T619="","",'Оперативный ввод'!T619)</f>
        <v/>
      </c>
      <c r="W619" s="172" t="n"/>
      <c r="X619" s="172" t="n"/>
      <c r="Y619" s="172" t="n"/>
      <c r="Z619" s="172" t="n"/>
      <c r="AA619" s="172">
        <f>IF('Оперативный ввод'!U619="","",'Оперативный ввод'!U619)</f>
        <v/>
      </c>
      <c r="AB619" s="172">
        <f>IF('Оперативный ввод'!V619="","",'Оперативный ввод'!V619)</f>
        <v/>
      </c>
      <c r="AC619" s="172">
        <f>IF('Оперативный ввод'!W619="","",'Оперативный ввод'!W619)</f>
        <v/>
      </c>
      <c r="BB619" s="172" t="n"/>
      <c r="BC619" s="172" t="n"/>
      <c r="BD619" s="205">
        <f>IF(AND(A619="",B619=""),"",IF(AND(P619="ГОТОВО",R619&lt;&gt;"",T619&lt;&gt;"",U619&lt;&gt;"",AA619&lt;&gt;"",AB619&lt;&gt;"",AC619&lt;&gt;"",BB619&lt;&gt;"",BC619&lt;&gt;""),"ГОТОВО","НЕ ГОТОВО"))</f>
        <v/>
      </c>
      <c r="BE619" s="205">
        <f>IF(BD619&lt;&gt;"ГОТОВО","","Полное заключение: "&amp;A619&amp;", скв. "&amp;B619&amp;". МРП: "&amp;E619&amp;" сут. ГНО: "&amp;F619&amp;"; причина: "&amp;U619&amp;"; категория: "&amp;V619&amp;"; решение комиссии: "&amp;BB619&amp;".")</f>
        <v/>
      </c>
      <c r="BF619" s="173">
        <f>IF('Оперативный ввод'!X619="","",'Оперативный ввод'!X619)</f>
        <v/>
      </c>
    </row>
    <row r="620">
      <c r="A620" s="171">
        <f>IF('Оперативный ввод'!A620="","",'Оперативный ввод'!A620)</f>
        <v/>
      </c>
      <c r="B620" s="172">
        <f>IF('Оперативный ввод'!B620="","",'Оперативный ввод'!B620)</f>
        <v/>
      </c>
      <c r="C620" s="270">
        <f>IF('Оперативный ввод'!C620="","",'Оперативный ввод'!C620)</f>
        <v/>
      </c>
      <c r="D620" s="270">
        <f>IF('Оперативный ввод'!D620="","",'Оперативный ввод'!D620)</f>
        <v/>
      </c>
      <c r="E620" s="271">
        <f>IF(OR(C620="",D620=""),"",D620-C620)</f>
        <v/>
      </c>
      <c r="F620" s="172">
        <f>IF('Оперативный ввод'!F620="","",'Оперативный ввод'!F620)</f>
        <v/>
      </c>
      <c r="G620" s="172">
        <f>IF('Оперативный ввод'!G620="","",'Оперативный ввод'!G620)</f>
        <v/>
      </c>
      <c r="H620" s="172">
        <f>IF('Оперативный ввод'!H620="","",'Оперативный ввод'!H620)</f>
        <v/>
      </c>
      <c r="I620" s="172">
        <f>IF('Оперативный ввод'!I620="","",'Оперативный ввод'!I620)</f>
        <v/>
      </c>
      <c r="J620" s="172">
        <f>IF('Оперативный ввод'!J620="","",'Оперативный ввод'!J620)</f>
        <v/>
      </c>
      <c r="K620" s="172">
        <f>IF('Оперативный ввод'!K620="","",'Оперативный ввод'!K620)</f>
        <v/>
      </c>
      <c r="L620" s="172">
        <f>IF('Оперативный ввод'!L620="","",'Оперативный ввод'!L620)</f>
        <v/>
      </c>
      <c r="M620" s="172">
        <f>IF('Оперативный ввод'!M620="","",'Оперативный ввод'!M620)</f>
        <v/>
      </c>
      <c r="N620" s="172">
        <f>IF('Оперативный ввод'!N620="","",'Оперативный ввод'!N620)</f>
        <v/>
      </c>
      <c r="O620" s="172">
        <f>IF('Оперативный ввод'!O620="","",'Оперативный ввод'!O620)</f>
        <v/>
      </c>
      <c r="P620" s="205">
        <f>IF(AND(A620="",B620=""),"",IF(AND(A620&lt;&gt;"",B620&lt;&gt;"",C620&lt;&gt;"",D620&lt;&gt;"",F620&lt;&gt;"",G620&lt;&gt;"",H620&lt;&gt;"",ISERROR(SEARCH("по паспорту",G620)),ISERROR(SEARCH("по паспорту",H620)),I620&lt;&gt;"",J620&lt;&gt;"",K620&lt;&gt;"",L620&lt;&gt;"",M620&lt;&gt;""),"ГОТОВО","НЕ ГОТОВО"))</f>
        <v/>
      </c>
      <c r="Q620" s="205">
        <f>IF(P620&lt;&gt;"ГОТОВО","", "Предварительное заключение: "&amp;A620&amp;", скв. "&amp;B620&amp;". МРП: "&amp;E620&amp;" сут. ГНО: "&amp;F620&amp;", типоразмер "&amp;G620&amp;", марка "&amp;H620&amp;". Событие: "&amp;I620&amp;". Признак: "&amp;J620&amp;". Узел: "&amp;K620&amp;". Предварительная причина: "&amp;L620&amp;". Основное осложнение: "&amp;M620&amp;IF(N620&lt;&gt;"","; сопутствующее: "&amp;N620,"")&amp;IF(O620&lt;&gt;"","; дополнительно: "&amp;O620,"")&amp;".")</f>
        <v/>
      </c>
      <c r="R620" s="172">
        <f>IF('Оперативный ввод'!P620="","",'Оперативный ввод'!P620)</f>
        <v/>
      </c>
      <c r="S620" s="172">
        <f>IF('Оперативный ввод'!Q620="","",'Оперативный ввод'!Q620)</f>
        <v/>
      </c>
      <c r="T620" s="172">
        <f>IF('Оперативный ввод'!R620="","",'Оперативный ввод'!R620)</f>
        <v/>
      </c>
      <c r="U620" s="172">
        <f>IF('Оперативный ввод'!S620="","",'Оперативный ввод'!S620)</f>
        <v/>
      </c>
      <c r="V620" s="172">
        <f>IF('Оперативный ввод'!T620="","",'Оперативный ввод'!T620)</f>
        <v/>
      </c>
      <c r="W620" s="172" t="n"/>
      <c r="X620" s="172" t="n"/>
      <c r="Y620" s="172" t="n"/>
      <c r="Z620" s="172" t="n"/>
      <c r="AA620" s="172">
        <f>IF('Оперативный ввод'!U620="","",'Оперативный ввод'!U620)</f>
        <v/>
      </c>
      <c r="AB620" s="172">
        <f>IF('Оперативный ввод'!V620="","",'Оперативный ввод'!V620)</f>
        <v/>
      </c>
      <c r="AC620" s="172">
        <f>IF('Оперативный ввод'!W620="","",'Оперативный ввод'!W620)</f>
        <v/>
      </c>
      <c r="BB620" s="172" t="n"/>
      <c r="BC620" s="172" t="n"/>
      <c r="BD620" s="205">
        <f>IF(AND(A620="",B620=""),"",IF(AND(P620="ГОТОВО",R620&lt;&gt;"",T620&lt;&gt;"",U620&lt;&gt;"",AA620&lt;&gt;"",AB620&lt;&gt;"",AC620&lt;&gt;"",BB620&lt;&gt;"",BC620&lt;&gt;""),"ГОТОВО","НЕ ГОТОВО"))</f>
        <v/>
      </c>
      <c r="BE620" s="205">
        <f>IF(BD620&lt;&gt;"ГОТОВО","","Полное заключение: "&amp;A620&amp;", скв. "&amp;B620&amp;". МРП: "&amp;E620&amp;" сут. ГНО: "&amp;F620&amp;"; причина: "&amp;U620&amp;"; категория: "&amp;V620&amp;"; решение комиссии: "&amp;BB620&amp;".")</f>
        <v/>
      </c>
      <c r="BF620" s="173">
        <f>IF('Оперативный ввод'!X620="","",'Оперативный ввод'!X620)</f>
        <v/>
      </c>
    </row>
    <row r="621">
      <c r="A621" s="171">
        <f>IF('Оперативный ввод'!A621="","",'Оперативный ввод'!A621)</f>
        <v/>
      </c>
      <c r="B621" s="172">
        <f>IF('Оперативный ввод'!B621="","",'Оперативный ввод'!B621)</f>
        <v/>
      </c>
      <c r="C621" s="270">
        <f>IF('Оперативный ввод'!C621="","",'Оперативный ввод'!C621)</f>
        <v/>
      </c>
      <c r="D621" s="270">
        <f>IF('Оперативный ввод'!D621="","",'Оперативный ввод'!D621)</f>
        <v/>
      </c>
      <c r="E621" s="271">
        <f>IF(OR(C621="",D621=""),"",D621-C621)</f>
        <v/>
      </c>
      <c r="F621" s="172">
        <f>IF('Оперативный ввод'!F621="","",'Оперативный ввод'!F621)</f>
        <v/>
      </c>
      <c r="G621" s="172">
        <f>IF('Оперативный ввод'!G621="","",'Оперативный ввод'!G621)</f>
        <v/>
      </c>
      <c r="H621" s="172">
        <f>IF('Оперативный ввод'!H621="","",'Оперативный ввод'!H621)</f>
        <v/>
      </c>
      <c r="I621" s="172">
        <f>IF('Оперативный ввод'!I621="","",'Оперативный ввод'!I621)</f>
        <v/>
      </c>
      <c r="J621" s="172">
        <f>IF('Оперативный ввод'!J621="","",'Оперативный ввод'!J621)</f>
        <v/>
      </c>
      <c r="K621" s="172">
        <f>IF('Оперативный ввод'!K621="","",'Оперативный ввод'!K621)</f>
        <v/>
      </c>
      <c r="L621" s="172">
        <f>IF('Оперативный ввод'!L621="","",'Оперативный ввод'!L621)</f>
        <v/>
      </c>
      <c r="M621" s="172">
        <f>IF('Оперативный ввод'!M621="","",'Оперативный ввод'!M621)</f>
        <v/>
      </c>
      <c r="N621" s="172">
        <f>IF('Оперативный ввод'!N621="","",'Оперативный ввод'!N621)</f>
        <v/>
      </c>
      <c r="O621" s="172">
        <f>IF('Оперативный ввод'!O621="","",'Оперативный ввод'!O621)</f>
        <v/>
      </c>
      <c r="P621" s="205">
        <f>IF(AND(A621="",B621=""),"",IF(AND(A621&lt;&gt;"",B621&lt;&gt;"",C621&lt;&gt;"",D621&lt;&gt;"",F621&lt;&gt;"",G621&lt;&gt;"",H621&lt;&gt;"",ISERROR(SEARCH("по паспорту",G621)),ISERROR(SEARCH("по паспорту",H621)),I621&lt;&gt;"",J621&lt;&gt;"",K621&lt;&gt;"",L621&lt;&gt;"",M621&lt;&gt;""),"ГОТОВО","НЕ ГОТОВО"))</f>
        <v/>
      </c>
      <c r="Q621" s="205">
        <f>IF(P621&lt;&gt;"ГОТОВО","", "Предварительное заключение: "&amp;A621&amp;", скв. "&amp;B621&amp;". МРП: "&amp;E621&amp;" сут. ГНО: "&amp;F621&amp;", типоразмер "&amp;G621&amp;", марка "&amp;H621&amp;". Событие: "&amp;I621&amp;". Признак: "&amp;J621&amp;". Узел: "&amp;K621&amp;". Предварительная причина: "&amp;L621&amp;". Основное осложнение: "&amp;M621&amp;IF(N621&lt;&gt;"","; сопутствующее: "&amp;N621,"")&amp;IF(O621&lt;&gt;"","; дополнительно: "&amp;O621,"")&amp;".")</f>
        <v/>
      </c>
      <c r="R621" s="172">
        <f>IF('Оперативный ввод'!P621="","",'Оперативный ввод'!P621)</f>
        <v/>
      </c>
      <c r="S621" s="172">
        <f>IF('Оперативный ввод'!Q621="","",'Оперативный ввод'!Q621)</f>
        <v/>
      </c>
      <c r="T621" s="172">
        <f>IF('Оперативный ввод'!R621="","",'Оперативный ввод'!R621)</f>
        <v/>
      </c>
      <c r="U621" s="172">
        <f>IF('Оперативный ввод'!S621="","",'Оперативный ввод'!S621)</f>
        <v/>
      </c>
      <c r="V621" s="172">
        <f>IF('Оперативный ввод'!T621="","",'Оперативный ввод'!T621)</f>
        <v/>
      </c>
      <c r="W621" s="172" t="n"/>
      <c r="X621" s="172" t="n"/>
      <c r="Y621" s="172" t="n"/>
      <c r="Z621" s="172" t="n"/>
      <c r="AA621" s="172">
        <f>IF('Оперативный ввод'!U621="","",'Оперативный ввод'!U621)</f>
        <v/>
      </c>
      <c r="AB621" s="172">
        <f>IF('Оперативный ввод'!V621="","",'Оперативный ввод'!V621)</f>
        <v/>
      </c>
      <c r="AC621" s="172">
        <f>IF('Оперативный ввод'!W621="","",'Оперативный ввод'!W621)</f>
        <v/>
      </c>
      <c r="BB621" s="172" t="n"/>
      <c r="BC621" s="172" t="n"/>
      <c r="BD621" s="205">
        <f>IF(AND(A621="",B621=""),"",IF(AND(P621="ГОТОВО",R621&lt;&gt;"",T621&lt;&gt;"",U621&lt;&gt;"",AA621&lt;&gt;"",AB621&lt;&gt;"",AC621&lt;&gt;"",BB621&lt;&gt;"",BC621&lt;&gt;""),"ГОТОВО","НЕ ГОТОВО"))</f>
        <v/>
      </c>
      <c r="BE621" s="205">
        <f>IF(BD621&lt;&gt;"ГОТОВО","","Полное заключение: "&amp;A621&amp;", скв. "&amp;B621&amp;". МРП: "&amp;E621&amp;" сут. ГНО: "&amp;F621&amp;"; причина: "&amp;U621&amp;"; категория: "&amp;V621&amp;"; решение комиссии: "&amp;BB621&amp;".")</f>
        <v/>
      </c>
      <c r="BF621" s="173">
        <f>IF('Оперативный ввод'!X621="","",'Оперативный ввод'!X621)</f>
        <v/>
      </c>
    </row>
    <row r="622">
      <c r="A622" s="171">
        <f>IF('Оперативный ввод'!A622="","",'Оперативный ввод'!A622)</f>
        <v/>
      </c>
      <c r="B622" s="172">
        <f>IF('Оперативный ввод'!B622="","",'Оперативный ввод'!B622)</f>
        <v/>
      </c>
      <c r="C622" s="270">
        <f>IF('Оперативный ввод'!C622="","",'Оперативный ввод'!C622)</f>
        <v/>
      </c>
      <c r="D622" s="270">
        <f>IF('Оперативный ввод'!D622="","",'Оперативный ввод'!D622)</f>
        <v/>
      </c>
      <c r="E622" s="271">
        <f>IF(OR(C622="",D622=""),"",D622-C622)</f>
        <v/>
      </c>
      <c r="F622" s="172">
        <f>IF('Оперативный ввод'!F622="","",'Оперативный ввод'!F622)</f>
        <v/>
      </c>
      <c r="G622" s="172">
        <f>IF('Оперативный ввод'!G622="","",'Оперативный ввод'!G622)</f>
        <v/>
      </c>
      <c r="H622" s="172">
        <f>IF('Оперативный ввод'!H622="","",'Оперативный ввод'!H622)</f>
        <v/>
      </c>
      <c r="I622" s="172">
        <f>IF('Оперативный ввод'!I622="","",'Оперативный ввод'!I622)</f>
        <v/>
      </c>
      <c r="J622" s="172">
        <f>IF('Оперативный ввод'!J622="","",'Оперативный ввод'!J622)</f>
        <v/>
      </c>
      <c r="K622" s="172">
        <f>IF('Оперативный ввод'!K622="","",'Оперативный ввод'!K622)</f>
        <v/>
      </c>
      <c r="L622" s="172">
        <f>IF('Оперативный ввод'!L622="","",'Оперативный ввод'!L622)</f>
        <v/>
      </c>
      <c r="M622" s="172">
        <f>IF('Оперативный ввод'!M622="","",'Оперативный ввод'!M622)</f>
        <v/>
      </c>
      <c r="N622" s="172">
        <f>IF('Оперативный ввод'!N622="","",'Оперативный ввод'!N622)</f>
        <v/>
      </c>
      <c r="O622" s="172">
        <f>IF('Оперативный ввод'!O622="","",'Оперативный ввод'!O622)</f>
        <v/>
      </c>
      <c r="P622" s="205">
        <f>IF(AND(A622="",B622=""),"",IF(AND(A622&lt;&gt;"",B622&lt;&gt;"",C622&lt;&gt;"",D622&lt;&gt;"",F622&lt;&gt;"",G622&lt;&gt;"",H622&lt;&gt;"",ISERROR(SEARCH("по паспорту",G622)),ISERROR(SEARCH("по паспорту",H622)),I622&lt;&gt;"",J622&lt;&gt;"",K622&lt;&gt;"",L622&lt;&gt;"",M622&lt;&gt;""),"ГОТОВО","НЕ ГОТОВО"))</f>
        <v/>
      </c>
      <c r="Q622" s="205">
        <f>IF(P622&lt;&gt;"ГОТОВО","", "Предварительное заключение: "&amp;A622&amp;", скв. "&amp;B622&amp;". МРП: "&amp;E622&amp;" сут. ГНО: "&amp;F622&amp;", типоразмер "&amp;G622&amp;", марка "&amp;H622&amp;". Событие: "&amp;I622&amp;". Признак: "&amp;J622&amp;". Узел: "&amp;K622&amp;". Предварительная причина: "&amp;L622&amp;". Основное осложнение: "&amp;M622&amp;IF(N622&lt;&gt;"","; сопутствующее: "&amp;N622,"")&amp;IF(O622&lt;&gt;"","; дополнительно: "&amp;O622,"")&amp;".")</f>
        <v/>
      </c>
      <c r="R622" s="172">
        <f>IF('Оперативный ввод'!P622="","",'Оперативный ввод'!P622)</f>
        <v/>
      </c>
      <c r="S622" s="172">
        <f>IF('Оперативный ввод'!Q622="","",'Оперативный ввод'!Q622)</f>
        <v/>
      </c>
      <c r="T622" s="172">
        <f>IF('Оперативный ввод'!R622="","",'Оперативный ввод'!R622)</f>
        <v/>
      </c>
      <c r="U622" s="172">
        <f>IF('Оперативный ввод'!S622="","",'Оперативный ввод'!S622)</f>
        <v/>
      </c>
      <c r="V622" s="172">
        <f>IF('Оперативный ввод'!T622="","",'Оперативный ввод'!T622)</f>
        <v/>
      </c>
      <c r="W622" s="172" t="n"/>
      <c r="X622" s="172" t="n"/>
      <c r="Y622" s="172" t="n"/>
      <c r="Z622" s="172" t="n"/>
      <c r="AA622" s="172">
        <f>IF('Оперативный ввод'!U622="","",'Оперативный ввод'!U622)</f>
        <v/>
      </c>
      <c r="AB622" s="172">
        <f>IF('Оперативный ввод'!V622="","",'Оперативный ввод'!V622)</f>
        <v/>
      </c>
      <c r="AC622" s="172">
        <f>IF('Оперативный ввод'!W622="","",'Оперативный ввод'!W622)</f>
        <v/>
      </c>
      <c r="BB622" s="172" t="n"/>
      <c r="BC622" s="172" t="n"/>
      <c r="BD622" s="205">
        <f>IF(AND(A622="",B622=""),"",IF(AND(P622="ГОТОВО",R622&lt;&gt;"",T622&lt;&gt;"",U622&lt;&gt;"",AA622&lt;&gt;"",AB622&lt;&gt;"",AC622&lt;&gt;"",BB622&lt;&gt;"",BC622&lt;&gt;""),"ГОТОВО","НЕ ГОТОВО"))</f>
        <v/>
      </c>
      <c r="BE622" s="205">
        <f>IF(BD622&lt;&gt;"ГОТОВО","","Полное заключение: "&amp;A622&amp;", скв. "&amp;B622&amp;". МРП: "&amp;E622&amp;" сут. ГНО: "&amp;F622&amp;"; причина: "&amp;U622&amp;"; категория: "&amp;V622&amp;"; решение комиссии: "&amp;BB622&amp;".")</f>
        <v/>
      </c>
      <c r="BF622" s="173">
        <f>IF('Оперативный ввод'!X622="","",'Оперативный ввод'!X622)</f>
        <v/>
      </c>
    </row>
    <row r="623">
      <c r="A623" s="171">
        <f>IF('Оперативный ввод'!A623="","",'Оперативный ввод'!A623)</f>
        <v/>
      </c>
      <c r="B623" s="172">
        <f>IF('Оперативный ввод'!B623="","",'Оперативный ввод'!B623)</f>
        <v/>
      </c>
      <c r="C623" s="270">
        <f>IF('Оперативный ввод'!C623="","",'Оперативный ввод'!C623)</f>
        <v/>
      </c>
      <c r="D623" s="270">
        <f>IF('Оперативный ввод'!D623="","",'Оперативный ввод'!D623)</f>
        <v/>
      </c>
      <c r="E623" s="271">
        <f>IF(OR(C623="",D623=""),"",D623-C623)</f>
        <v/>
      </c>
      <c r="F623" s="172">
        <f>IF('Оперативный ввод'!F623="","",'Оперативный ввод'!F623)</f>
        <v/>
      </c>
      <c r="G623" s="172">
        <f>IF('Оперативный ввод'!G623="","",'Оперативный ввод'!G623)</f>
        <v/>
      </c>
      <c r="H623" s="172">
        <f>IF('Оперативный ввод'!H623="","",'Оперативный ввод'!H623)</f>
        <v/>
      </c>
      <c r="I623" s="172">
        <f>IF('Оперативный ввод'!I623="","",'Оперативный ввод'!I623)</f>
        <v/>
      </c>
      <c r="J623" s="172">
        <f>IF('Оперативный ввод'!J623="","",'Оперативный ввод'!J623)</f>
        <v/>
      </c>
      <c r="K623" s="172">
        <f>IF('Оперативный ввод'!K623="","",'Оперативный ввод'!K623)</f>
        <v/>
      </c>
      <c r="L623" s="172">
        <f>IF('Оперативный ввод'!L623="","",'Оперативный ввод'!L623)</f>
        <v/>
      </c>
      <c r="M623" s="172">
        <f>IF('Оперативный ввод'!M623="","",'Оперативный ввод'!M623)</f>
        <v/>
      </c>
      <c r="N623" s="172">
        <f>IF('Оперативный ввод'!N623="","",'Оперативный ввод'!N623)</f>
        <v/>
      </c>
      <c r="O623" s="172">
        <f>IF('Оперативный ввод'!O623="","",'Оперативный ввод'!O623)</f>
        <v/>
      </c>
      <c r="P623" s="205">
        <f>IF(AND(A623="",B623=""),"",IF(AND(A623&lt;&gt;"",B623&lt;&gt;"",C623&lt;&gt;"",D623&lt;&gt;"",F623&lt;&gt;"",G623&lt;&gt;"",H623&lt;&gt;"",ISERROR(SEARCH("по паспорту",G623)),ISERROR(SEARCH("по паспорту",H623)),I623&lt;&gt;"",J623&lt;&gt;"",K623&lt;&gt;"",L623&lt;&gt;"",M623&lt;&gt;""),"ГОТОВО","НЕ ГОТОВО"))</f>
        <v/>
      </c>
      <c r="Q623" s="205">
        <f>IF(P623&lt;&gt;"ГОТОВО","", "Предварительное заключение: "&amp;A623&amp;", скв. "&amp;B623&amp;". МРП: "&amp;E623&amp;" сут. ГНО: "&amp;F623&amp;", типоразмер "&amp;G623&amp;", марка "&amp;H623&amp;". Событие: "&amp;I623&amp;". Признак: "&amp;J623&amp;". Узел: "&amp;K623&amp;". Предварительная причина: "&amp;L623&amp;". Основное осложнение: "&amp;M623&amp;IF(N623&lt;&gt;"","; сопутствующее: "&amp;N623,"")&amp;IF(O623&lt;&gt;"","; дополнительно: "&amp;O623,"")&amp;".")</f>
        <v/>
      </c>
      <c r="R623" s="172">
        <f>IF('Оперативный ввод'!P623="","",'Оперативный ввод'!P623)</f>
        <v/>
      </c>
      <c r="S623" s="172">
        <f>IF('Оперативный ввод'!Q623="","",'Оперативный ввод'!Q623)</f>
        <v/>
      </c>
      <c r="T623" s="172">
        <f>IF('Оперативный ввод'!R623="","",'Оперативный ввод'!R623)</f>
        <v/>
      </c>
      <c r="U623" s="172">
        <f>IF('Оперативный ввод'!S623="","",'Оперативный ввод'!S623)</f>
        <v/>
      </c>
      <c r="V623" s="172">
        <f>IF('Оперативный ввод'!T623="","",'Оперативный ввод'!T623)</f>
        <v/>
      </c>
      <c r="W623" s="172" t="n"/>
      <c r="X623" s="172" t="n"/>
      <c r="Y623" s="172" t="n"/>
      <c r="Z623" s="172" t="n"/>
      <c r="AA623" s="172">
        <f>IF('Оперативный ввод'!U623="","",'Оперативный ввод'!U623)</f>
        <v/>
      </c>
      <c r="AB623" s="172">
        <f>IF('Оперативный ввод'!V623="","",'Оперативный ввод'!V623)</f>
        <v/>
      </c>
      <c r="AC623" s="172">
        <f>IF('Оперативный ввод'!W623="","",'Оперативный ввод'!W623)</f>
        <v/>
      </c>
      <c r="BB623" s="172" t="n"/>
      <c r="BC623" s="172" t="n"/>
      <c r="BD623" s="205">
        <f>IF(AND(A623="",B623=""),"",IF(AND(P623="ГОТОВО",R623&lt;&gt;"",T623&lt;&gt;"",U623&lt;&gt;"",AA623&lt;&gt;"",AB623&lt;&gt;"",AC623&lt;&gt;"",BB623&lt;&gt;"",BC623&lt;&gt;""),"ГОТОВО","НЕ ГОТОВО"))</f>
        <v/>
      </c>
      <c r="BE623" s="205">
        <f>IF(BD623&lt;&gt;"ГОТОВО","","Полное заключение: "&amp;A623&amp;", скв. "&amp;B623&amp;". МРП: "&amp;E623&amp;" сут. ГНО: "&amp;F623&amp;"; причина: "&amp;U623&amp;"; категория: "&amp;V623&amp;"; решение комиссии: "&amp;BB623&amp;".")</f>
        <v/>
      </c>
      <c r="BF623" s="173">
        <f>IF('Оперативный ввод'!X623="","",'Оперативный ввод'!X623)</f>
        <v/>
      </c>
    </row>
    <row r="624">
      <c r="A624" s="171">
        <f>IF('Оперативный ввод'!A624="","",'Оперативный ввод'!A624)</f>
        <v/>
      </c>
      <c r="B624" s="172">
        <f>IF('Оперативный ввод'!B624="","",'Оперативный ввод'!B624)</f>
        <v/>
      </c>
      <c r="C624" s="270">
        <f>IF('Оперативный ввод'!C624="","",'Оперативный ввод'!C624)</f>
        <v/>
      </c>
      <c r="D624" s="270">
        <f>IF('Оперативный ввод'!D624="","",'Оперативный ввод'!D624)</f>
        <v/>
      </c>
      <c r="E624" s="271">
        <f>IF(OR(C624="",D624=""),"",D624-C624)</f>
        <v/>
      </c>
      <c r="F624" s="172">
        <f>IF('Оперативный ввод'!F624="","",'Оперативный ввод'!F624)</f>
        <v/>
      </c>
      <c r="G624" s="172">
        <f>IF('Оперативный ввод'!G624="","",'Оперативный ввод'!G624)</f>
        <v/>
      </c>
      <c r="H624" s="172">
        <f>IF('Оперативный ввод'!H624="","",'Оперативный ввод'!H624)</f>
        <v/>
      </c>
      <c r="I624" s="172">
        <f>IF('Оперативный ввод'!I624="","",'Оперативный ввод'!I624)</f>
        <v/>
      </c>
      <c r="J624" s="172">
        <f>IF('Оперативный ввод'!J624="","",'Оперативный ввод'!J624)</f>
        <v/>
      </c>
      <c r="K624" s="172">
        <f>IF('Оперативный ввод'!K624="","",'Оперативный ввод'!K624)</f>
        <v/>
      </c>
      <c r="L624" s="172">
        <f>IF('Оперативный ввод'!L624="","",'Оперативный ввод'!L624)</f>
        <v/>
      </c>
      <c r="M624" s="172">
        <f>IF('Оперативный ввод'!M624="","",'Оперативный ввод'!M624)</f>
        <v/>
      </c>
      <c r="N624" s="172">
        <f>IF('Оперативный ввод'!N624="","",'Оперативный ввод'!N624)</f>
        <v/>
      </c>
      <c r="O624" s="172">
        <f>IF('Оперативный ввод'!O624="","",'Оперативный ввод'!O624)</f>
        <v/>
      </c>
      <c r="P624" s="205">
        <f>IF(AND(A624="",B624=""),"",IF(AND(A624&lt;&gt;"",B624&lt;&gt;"",C624&lt;&gt;"",D624&lt;&gt;"",F624&lt;&gt;"",G624&lt;&gt;"",H624&lt;&gt;"",ISERROR(SEARCH("по паспорту",G624)),ISERROR(SEARCH("по паспорту",H624)),I624&lt;&gt;"",J624&lt;&gt;"",K624&lt;&gt;"",L624&lt;&gt;"",M624&lt;&gt;""),"ГОТОВО","НЕ ГОТОВО"))</f>
        <v/>
      </c>
      <c r="Q624" s="205">
        <f>IF(P624&lt;&gt;"ГОТОВО","", "Предварительное заключение: "&amp;A624&amp;", скв. "&amp;B624&amp;". МРП: "&amp;E624&amp;" сут. ГНО: "&amp;F624&amp;", типоразмер "&amp;G624&amp;", марка "&amp;H624&amp;". Событие: "&amp;I624&amp;". Признак: "&amp;J624&amp;". Узел: "&amp;K624&amp;". Предварительная причина: "&amp;L624&amp;". Основное осложнение: "&amp;M624&amp;IF(N624&lt;&gt;"","; сопутствующее: "&amp;N624,"")&amp;IF(O624&lt;&gt;"","; дополнительно: "&amp;O624,"")&amp;".")</f>
        <v/>
      </c>
      <c r="R624" s="172">
        <f>IF('Оперативный ввод'!P624="","",'Оперативный ввод'!P624)</f>
        <v/>
      </c>
      <c r="S624" s="172">
        <f>IF('Оперативный ввод'!Q624="","",'Оперативный ввод'!Q624)</f>
        <v/>
      </c>
      <c r="T624" s="172">
        <f>IF('Оперативный ввод'!R624="","",'Оперативный ввод'!R624)</f>
        <v/>
      </c>
      <c r="U624" s="172">
        <f>IF('Оперативный ввод'!S624="","",'Оперативный ввод'!S624)</f>
        <v/>
      </c>
      <c r="V624" s="172">
        <f>IF('Оперативный ввод'!T624="","",'Оперативный ввод'!T624)</f>
        <v/>
      </c>
      <c r="W624" s="172" t="n"/>
      <c r="X624" s="172" t="n"/>
      <c r="Y624" s="172" t="n"/>
      <c r="Z624" s="172" t="n"/>
      <c r="AA624" s="172">
        <f>IF('Оперативный ввод'!U624="","",'Оперативный ввод'!U624)</f>
        <v/>
      </c>
      <c r="AB624" s="172">
        <f>IF('Оперативный ввод'!V624="","",'Оперативный ввод'!V624)</f>
        <v/>
      </c>
      <c r="AC624" s="172">
        <f>IF('Оперативный ввод'!W624="","",'Оперативный ввод'!W624)</f>
        <v/>
      </c>
      <c r="BB624" s="172" t="n"/>
      <c r="BC624" s="172" t="n"/>
      <c r="BD624" s="205">
        <f>IF(AND(A624="",B624=""),"",IF(AND(P624="ГОТОВО",R624&lt;&gt;"",T624&lt;&gt;"",U624&lt;&gt;"",AA624&lt;&gt;"",AB624&lt;&gt;"",AC624&lt;&gt;"",BB624&lt;&gt;"",BC624&lt;&gt;""),"ГОТОВО","НЕ ГОТОВО"))</f>
        <v/>
      </c>
      <c r="BE624" s="205">
        <f>IF(BD624&lt;&gt;"ГОТОВО","","Полное заключение: "&amp;A624&amp;", скв. "&amp;B624&amp;". МРП: "&amp;E624&amp;" сут. ГНО: "&amp;F624&amp;"; причина: "&amp;U624&amp;"; категория: "&amp;V624&amp;"; решение комиссии: "&amp;BB624&amp;".")</f>
        <v/>
      </c>
      <c r="BF624" s="173">
        <f>IF('Оперативный ввод'!X624="","",'Оперативный ввод'!X624)</f>
        <v/>
      </c>
    </row>
    <row r="625">
      <c r="A625" s="171">
        <f>IF('Оперативный ввод'!A625="","",'Оперативный ввод'!A625)</f>
        <v/>
      </c>
      <c r="B625" s="172">
        <f>IF('Оперативный ввод'!B625="","",'Оперативный ввод'!B625)</f>
        <v/>
      </c>
      <c r="C625" s="270">
        <f>IF('Оперативный ввод'!C625="","",'Оперативный ввод'!C625)</f>
        <v/>
      </c>
      <c r="D625" s="270">
        <f>IF('Оперативный ввод'!D625="","",'Оперативный ввод'!D625)</f>
        <v/>
      </c>
      <c r="E625" s="271">
        <f>IF(OR(C625="",D625=""),"",D625-C625)</f>
        <v/>
      </c>
      <c r="F625" s="172">
        <f>IF('Оперативный ввод'!F625="","",'Оперативный ввод'!F625)</f>
        <v/>
      </c>
      <c r="G625" s="172">
        <f>IF('Оперативный ввод'!G625="","",'Оперативный ввод'!G625)</f>
        <v/>
      </c>
      <c r="H625" s="172">
        <f>IF('Оперативный ввод'!H625="","",'Оперативный ввод'!H625)</f>
        <v/>
      </c>
      <c r="I625" s="172">
        <f>IF('Оперативный ввод'!I625="","",'Оперативный ввод'!I625)</f>
        <v/>
      </c>
      <c r="J625" s="172">
        <f>IF('Оперативный ввод'!J625="","",'Оперативный ввод'!J625)</f>
        <v/>
      </c>
      <c r="K625" s="172">
        <f>IF('Оперативный ввод'!K625="","",'Оперативный ввод'!K625)</f>
        <v/>
      </c>
      <c r="L625" s="172">
        <f>IF('Оперативный ввод'!L625="","",'Оперативный ввод'!L625)</f>
        <v/>
      </c>
      <c r="M625" s="172">
        <f>IF('Оперативный ввод'!M625="","",'Оперативный ввод'!M625)</f>
        <v/>
      </c>
      <c r="N625" s="172">
        <f>IF('Оперативный ввод'!N625="","",'Оперативный ввод'!N625)</f>
        <v/>
      </c>
      <c r="O625" s="172">
        <f>IF('Оперативный ввод'!O625="","",'Оперативный ввод'!O625)</f>
        <v/>
      </c>
      <c r="P625" s="205">
        <f>IF(AND(A625="",B625=""),"",IF(AND(A625&lt;&gt;"",B625&lt;&gt;"",C625&lt;&gt;"",D625&lt;&gt;"",F625&lt;&gt;"",G625&lt;&gt;"",H625&lt;&gt;"",ISERROR(SEARCH("по паспорту",G625)),ISERROR(SEARCH("по паспорту",H625)),I625&lt;&gt;"",J625&lt;&gt;"",K625&lt;&gt;"",L625&lt;&gt;"",M625&lt;&gt;""),"ГОТОВО","НЕ ГОТОВО"))</f>
        <v/>
      </c>
      <c r="Q625" s="205">
        <f>IF(P625&lt;&gt;"ГОТОВО","", "Предварительное заключение: "&amp;A625&amp;", скв. "&amp;B625&amp;". МРП: "&amp;E625&amp;" сут. ГНО: "&amp;F625&amp;", типоразмер "&amp;G625&amp;", марка "&amp;H625&amp;". Событие: "&amp;I625&amp;". Признак: "&amp;J625&amp;". Узел: "&amp;K625&amp;". Предварительная причина: "&amp;L625&amp;". Основное осложнение: "&amp;M625&amp;IF(N625&lt;&gt;"","; сопутствующее: "&amp;N625,"")&amp;IF(O625&lt;&gt;"","; дополнительно: "&amp;O625,"")&amp;".")</f>
        <v/>
      </c>
      <c r="R625" s="172">
        <f>IF('Оперативный ввод'!P625="","",'Оперативный ввод'!P625)</f>
        <v/>
      </c>
      <c r="S625" s="172">
        <f>IF('Оперативный ввод'!Q625="","",'Оперативный ввод'!Q625)</f>
        <v/>
      </c>
      <c r="T625" s="172">
        <f>IF('Оперативный ввод'!R625="","",'Оперативный ввод'!R625)</f>
        <v/>
      </c>
      <c r="U625" s="172">
        <f>IF('Оперативный ввод'!S625="","",'Оперативный ввод'!S625)</f>
        <v/>
      </c>
      <c r="V625" s="172">
        <f>IF('Оперативный ввод'!T625="","",'Оперативный ввод'!T625)</f>
        <v/>
      </c>
      <c r="W625" s="172" t="n"/>
      <c r="X625" s="172" t="n"/>
      <c r="Y625" s="172" t="n"/>
      <c r="Z625" s="172" t="n"/>
      <c r="AA625" s="172">
        <f>IF('Оперативный ввод'!U625="","",'Оперативный ввод'!U625)</f>
        <v/>
      </c>
      <c r="AB625" s="172">
        <f>IF('Оперативный ввод'!V625="","",'Оперативный ввод'!V625)</f>
        <v/>
      </c>
      <c r="AC625" s="172">
        <f>IF('Оперативный ввод'!W625="","",'Оперативный ввод'!W625)</f>
        <v/>
      </c>
      <c r="BB625" s="172" t="n"/>
      <c r="BC625" s="172" t="n"/>
      <c r="BD625" s="205">
        <f>IF(AND(A625="",B625=""),"",IF(AND(P625="ГОТОВО",R625&lt;&gt;"",T625&lt;&gt;"",U625&lt;&gt;"",AA625&lt;&gt;"",AB625&lt;&gt;"",AC625&lt;&gt;"",BB625&lt;&gt;"",BC625&lt;&gt;""),"ГОТОВО","НЕ ГОТОВО"))</f>
        <v/>
      </c>
      <c r="BE625" s="205">
        <f>IF(BD625&lt;&gt;"ГОТОВО","","Полное заключение: "&amp;A625&amp;", скв. "&amp;B625&amp;". МРП: "&amp;E625&amp;" сут. ГНО: "&amp;F625&amp;"; причина: "&amp;U625&amp;"; категория: "&amp;V625&amp;"; решение комиссии: "&amp;BB625&amp;".")</f>
        <v/>
      </c>
      <c r="BF625" s="173">
        <f>IF('Оперативный ввод'!X625="","",'Оперативный ввод'!X625)</f>
        <v/>
      </c>
    </row>
    <row r="626">
      <c r="A626" s="171">
        <f>IF('Оперативный ввод'!A626="","",'Оперативный ввод'!A626)</f>
        <v/>
      </c>
      <c r="B626" s="172">
        <f>IF('Оперативный ввод'!B626="","",'Оперативный ввод'!B626)</f>
        <v/>
      </c>
      <c r="C626" s="270">
        <f>IF('Оперативный ввод'!C626="","",'Оперативный ввод'!C626)</f>
        <v/>
      </c>
      <c r="D626" s="270">
        <f>IF('Оперативный ввод'!D626="","",'Оперативный ввод'!D626)</f>
        <v/>
      </c>
      <c r="E626" s="271">
        <f>IF(OR(C626="",D626=""),"",D626-C626)</f>
        <v/>
      </c>
      <c r="F626" s="172">
        <f>IF('Оперативный ввод'!F626="","",'Оперативный ввод'!F626)</f>
        <v/>
      </c>
      <c r="G626" s="172">
        <f>IF('Оперативный ввод'!G626="","",'Оперативный ввод'!G626)</f>
        <v/>
      </c>
      <c r="H626" s="172">
        <f>IF('Оперативный ввод'!H626="","",'Оперативный ввод'!H626)</f>
        <v/>
      </c>
      <c r="I626" s="172">
        <f>IF('Оперативный ввод'!I626="","",'Оперативный ввод'!I626)</f>
        <v/>
      </c>
      <c r="J626" s="172">
        <f>IF('Оперативный ввод'!J626="","",'Оперативный ввод'!J626)</f>
        <v/>
      </c>
      <c r="K626" s="172">
        <f>IF('Оперативный ввод'!K626="","",'Оперативный ввод'!K626)</f>
        <v/>
      </c>
      <c r="L626" s="172">
        <f>IF('Оперативный ввод'!L626="","",'Оперативный ввод'!L626)</f>
        <v/>
      </c>
      <c r="M626" s="172">
        <f>IF('Оперативный ввод'!M626="","",'Оперативный ввод'!M626)</f>
        <v/>
      </c>
      <c r="N626" s="172">
        <f>IF('Оперативный ввод'!N626="","",'Оперативный ввод'!N626)</f>
        <v/>
      </c>
      <c r="O626" s="172">
        <f>IF('Оперативный ввод'!O626="","",'Оперативный ввод'!O626)</f>
        <v/>
      </c>
      <c r="P626" s="205">
        <f>IF(AND(A626="",B626=""),"",IF(AND(A626&lt;&gt;"",B626&lt;&gt;"",C626&lt;&gt;"",D626&lt;&gt;"",F626&lt;&gt;"",G626&lt;&gt;"",H626&lt;&gt;"",ISERROR(SEARCH("по паспорту",G626)),ISERROR(SEARCH("по паспорту",H626)),I626&lt;&gt;"",J626&lt;&gt;"",K626&lt;&gt;"",L626&lt;&gt;"",M626&lt;&gt;""),"ГОТОВО","НЕ ГОТОВО"))</f>
        <v/>
      </c>
      <c r="Q626" s="205">
        <f>IF(P626&lt;&gt;"ГОТОВО","", "Предварительное заключение: "&amp;A626&amp;", скв. "&amp;B626&amp;". МРП: "&amp;E626&amp;" сут. ГНО: "&amp;F626&amp;", типоразмер "&amp;G626&amp;", марка "&amp;H626&amp;". Событие: "&amp;I626&amp;". Признак: "&amp;J626&amp;". Узел: "&amp;K626&amp;". Предварительная причина: "&amp;L626&amp;". Основное осложнение: "&amp;M626&amp;IF(N626&lt;&gt;"","; сопутствующее: "&amp;N626,"")&amp;IF(O626&lt;&gt;"","; дополнительно: "&amp;O626,"")&amp;".")</f>
        <v/>
      </c>
      <c r="R626" s="172">
        <f>IF('Оперативный ввод'!P626="","",'Оперативный ввод'!P626)</f>
        <v/>
      </c>
      <c r="S626" s="172">
        <f>IF('Оперативный ввод'!Q626="","",'Оперативный ввод'!Q626)</f>
        <v/>
      </c>
      <c r="T626" s="172">
        <f>IF('Оперативный ввод'!R626="","",'Оперативный ввод'!R626)</f>
        <v/>
      </c>
      <c r="U626" s="172">
        <f>IF('Оперативный ввод'!S626="","",'Оперативный ввод'!S626)</f>
        <v/>
      </c>
      <c r="V626" s="172">
        <f>IF('Оперативный ввод'!T626="","",'Оперативный ввод'!T626)</f>
        <v/>
      </c>
      <c r="W626" s="172" t="n"/>
      <c r="X626" s="172" t="n"/>
      <c r="Y626" s="172" t="n"/>
      <c r="Z626" s="172" t="n"/>
      <c r="AA626" s="172">
        <f>IF('Оперативный ввод'!U626="","",'Оперативный ввод'!U626)</f>
        <v/>
      </c>
      <c r="AB626" s="172">
        <f>IF('Оперативный ввод'!V626="","",'Оперативный ввод'!V626)</f>
        <v/>
      </c>
      <c r="AC626" s="172">
        <f>IF('Оперативный ввод'!W626="","",'Оперативный ввод'!W626)</f>
        <v/>
      </c>
      <c r="BB626" s="172" t="n"/>
      <c r="BC626" s="172" t="n"/>
      <c r="BD626" s="205">
        <f>IF(AND(A626="",B626=""),"",IF(AND(P626="ГОТОВО",R626&lt;&gt;"",T626&lt;&gt;"",U626&lt;&gt;"",AA626&lt;&gt;"",AB626&lt;&gt;"",AC626&lt;&gt;"",BB626&lt;&gt;"",BC626&lt;&gt;""),"ГОТОВО","НЕ ГОТОВО"))</f>
        <v/>
      </c>
      <c r="BE626" s="205">
        <f>IF(BD626&lt;&gt;"ГОТОВО","","Полное заключение: "&amp;A626&amp;", скв. "&amp;B626&amp;". МРП: "&amp;E626&amp;" сут. ГНО: "&amp;F626&amp;"; причина: "&amp;U626&amp;"; категория: "&amp;V626&amp;"; решение комиссии: "&amp;BB626&amp;".")</f>
        <v/>
      </c>
      <c r="BF626" s="173">
        <f>IF('Оперативный ввод'!X626="","",'Оперативный ввод'!X626)</f>
        <v/>
      </c>
    </row>
    <row r="627">
      <c r="A627" s="171">
        <f>IF('Оперативный ввод'!A627="","",'Оперативный ввод'!A627)</f>
        <v/>
      </c>
      <c r="B627" s="172">
        <f>IF('Оперативный ввод'!B627="","",'Оперативный ввод'!B627)</f>
        <v/>
      </c>
      <c r="C627" s="270">
        <f>IF('Оперативный ввод'!C627="","",'Оперативный ввод'!C627)</f>
        <v/>
      </c>
      <c r="D627" s="270">
        <f>IF('Оперативный ввод'!D627="","",'Оперативный ввод'!D627)</f>
        <v/>
      </c>
      <c r="E627" s="271">
        <f>IF(OR(C627="",D627=""),"",D627-C627)</f>
        <v/>
      </c>
      <c r="F627" s="172">
        <f>IF('Оперативный ввод'!F627="","",'Оперативный ввод'!F627)</f>
        <v/>
      </c>
      <c r="G627" s="172">
        <f>IF('Оперативный ввод'!G627="","",'Оперативный ввод'!G627)</f>
        <v/>
      </c>
      <c r="H627" s="172">
        <f>IF('Оперативный ввод'!H627="","",'Оперативный ввод'!H627)</f>
        <v/>
      </c>
      <c r="I627" s="172">
        <f>IF('Оперативный ввод'!I627="","",'Оперативный ввод'!I627)</f>
        <v/>
      </c>
      <c r="J627" s="172">
        <f>IF('Оперативный ввод'!J627="","",'Оперативный ввод'!J627)</f>
        <v/>
      </c>
      <c r="K627" s="172">
        <f>IF('Оперативный ввод'!K627="","",'Оперативный ввод'!K627)</f>
        <v/>
      </c>
      <c r="L627" s="172">
        <f>IF('Оперативный ввод'!L627="","",'Оперативный ввод'!L627)</f>
        <v/>
      </c>
      <c r="M627" s="172">
        <f>IF('Оперативный ввод'!M627="","",'Оперативный ввод'!M627)</f>
        <v/>
      </c>
      <c r="N627" s="172">
        <f>IF('Оперативный ввод'!N627="","",'Оперативный ввод'!N627)</f>
        <v/>
      </c>
      <c r="O627" s="172">
        <f>IF('Оперативный ввод'!O627="","",'Оперативный ввод'!O627)</f>
        <v/>
      </c>
      <c r="P627" s="205">
        <f>IF(AND(A627="",B627=""),"",IF(AND(A627&lt;&gt;"",B627&lt;&gt;"",C627&lt;&gt;"",D627&lt;&gt;"",F627&lt;&gt;"",G627&lt;&gt;"",H627&lt;&gt;"",ISERROR(SEARCH("по паспорту",G627)),ISERROR(SEARCH("по паспорту",H627)),I627&lt;&gt;"",J627&lt;&gt;"",K627&lt;&gt;"",L627&lt;&gt;"",M627&lt;&gt;""),"ГОТОВО","НЕ ГОТОВО"))</f>
        <v/>
      </c>
      <c r="Q627" s="205">
        <f>IF(P627&lt;&gt;"ГОТОВО","", "Предварительное заключение: "&amp;A627&amp;", скв. "&amp;B627&amp;". МРП: "&amp;E627&amp;" сут. ГНО: "&amp;F627&amp;", типоразмер "&amp;G627&amp;", марка "&amp;H627&amp;". Событие: "&amp;I627&amp;". Признак: "&amp;J627&amp;". Узел: "&amp;K627&amp;". Предварительная причина: "&amp;L627&amp;". Основное осложнение: "&amp;M627&amp;IF(N627&lt;&gt;"","; сопутствующее: "&amp;N627,"")&amp;IF(O627&lt;&gt;"","; дополнительно: "&amp;O627,"")&amp;".")</f>
        <v/>
      </c>
      <c r="R627" s="172">
        <f>IF('Оперативный ввод'!P627="","",'Оперативный ввод'!P627)</f>
        <v/>
      </c>
      <c r="S627" s="172">
        <f>IF('Оперативный ввод'!Q627="","",'Оперативный ввод'!Q627)</f>
        <v/>
      </c>
      <c r="T627" s="172">
        <f>IF('Оперативный ввод'!R627="","",'Оперативный ввод'!R627)</f>
        <v/>
      </c>
      <c r="U627" s="172">
        <f>IF('Оперативный ввод'!S627="","",'Оперативный ввод'!S627)</f>
        <v/>
      </c>
      <c r="V627" s="172">
        <f>IF('Оперативный ввод'!T627="","",'Оперативный ввод'!T627)</f>
        <v/>
      </c>
      <c r="W627" s="172" t="n"/>
      <c r="X627" s="172" t="n"/>
      <c r="Y627" s="172" t="n"/>
      <c r="Z627" s="172" t="n"/>
      <c r="AA627" s="172">
        <f>IF('Оперативный ввод'!U627="","",'Оперативный ввод'!U627)</f>
        <v/>
      </c>
      <c r="AB627" s="172">
        <f>IF('Оперативный ввод'!V627="","",'Оперативный ввод'!V627)</f>
        <v/>
      </c>
      <c r="AC627" s="172">
        <f>IF('Оперативный ввод'!W627="","",'Оперативный ввод'!W627)</f>
        <v/>
      </c>
      <c r="BB627" s="172" t="n"/>
      <c r="BC627" s="172" t="n"/>
      <c r="BD627" s="205">
        <f>IF(AND(A627="",B627=""),"",IF(AND(P627="ГОТОВО",R627&lt;&gt;"",T627&lt;&gt;"",U627&lt;&gt;"",AA627&lt;&gt;"",AB627&lt;&gt;"",AC627&lt;&gt;"",BB627&lt;&gt;"",BC627&lt;&gt;""),"ГОТОВО","НЕ ГОТОВО"))</f>
        <v/>
      </c>
      <c r="BE627" s="205">
        <f>IF(BD627&lt;&gt;"ГОТОВО","","Полное заключение: "&amp;A627&amp;", скв. "&amp;B627&amp;". МРП: "&amp;E627&amp;" сут. ГНО: "&amp;F627&amp;"; причина: "&amp;U627&amp;"; категория: "&amp;V627&amp;"; решение комиссии: "&amp;BB627&amp;".")</f>
        <v/>
      </c>
      <c r="BF627" s="173">
        <f>IF('Оперативный ввод'!X627="","",'Оперативный ввод'!X627)</f>
        <v/>
      </c>
    </row>
    <row r="628">
      <c r="A628" s="171">
        <f>IF('Оперативный ввод'!A628="","",'Оперативный ввод'!A628)</f>
        <v/>
      </c>
      <c r="B628" s="172">
        <f>IF('Оперативный ввод'!B628="","",'Оперативный ввод'!B628)</f>
        <v/>
      </c>
      <c r="C628" s="270">
        <f>IF('Оперативный ввод'!C628="","",'Оперативный ввод'!C628)</f>
        <v/>
      </c>
      <c r="D628" s="270">
        <f>IF('Оперативный ввод'!D628="","",'Оперативный ввод'!D628)</f>
        <v/>
      </c>
      <c r="E628" s="271">
        <f>IF(OR(C628="",D628=""),"",D628-C628)</f>
        <v/>
      </c>
      <c r="F628" s="172">
        <f>IF('Оперативный ввод'!F628="","",'Оперативный ввод'!F628)</f>
        <v/>
      </c>
      <c r="G628" s="172">
        <f>IF('Оперативный ввод'!G628="","",'Оперативный ввод'!G628)</f>
        <v/>
      </c>
      <c r="H628" s="172">
        <f>IF('Оперативный ввод'!H628="","",'Оперативный ввод'!H628)</f>
        <v/>
      </c>
      <c r="I628" s="172">
        <f>IF('Оперативный ввод'!I628="","",'Оперативный ввод'!I628)</f>
        <v/>
      </c>
      <c r="J628" s="172">
        <f>IF('Оперативный ввод'!J628="","",'Оперативный ввод'!J628)</f>
        <v/>
      </c>
      <c r="K628" s="172">
        <f>IF('Оперативный ввод'!K628="","",'Оперативный ввод'!K628)</f>
        <v/>
      </c>
      <c r="L628" s="172">
        <f>IF('Оперативный ввод'!L628="","",'Оперативный ввод'!L628)</f>
        <v/>
      </c>
      <c r="M628" s="172">
        <f>IF('Оперативный ввод'!M628="","",'Оперативный ввод'!M628)</f>
        <v/>
      </c>
      <c r="N628" s="172">
        <f>IF('Оперативный ввод'!N628="","",'Оперативный ввод'!N628)</f>
        <v/>
      </c>
      <c r="O628" s="172">
        <f>IF('Оперативный ввод'!O628="","",'Оперативный ввод'!O628)</f>
        <v/>
      </c>
      <c r="P628" s="205">
        <f>IF(AND(A628="",B628=""),"",IF(AND(A628&lt;&gt;"",B628&lt;&gt;"",C628&lt;&gt;"",D628&lt;&gt;"",F628&lt;&gt;"",G628&lt;&gt;"",H628&lt;&gt;"",ISERROR(SEARCH("по паспорту",G628)),ISERROR(SEARCH("по паспорту",H628)),I628&lt;&gt;"",J628&lt;&gt;"",K628&lt;&gt;"",L628&lt;&gt;"",M628&lt;&gt;""),"ГОТОВО","НЕ ГОТОВО"))</f>
        <v/>
      </c>
      <c r="Q628" s="205">
        <f>IF(P628&lt;&gt;"ГОТОВО","", "Предварительное заключение: "&amp;A628&amp;", скв. "&amp;B628&amp;". МРП: "&amp;E628&amp;" сут. ГНО: "&amp;F628&amp;", типоразмер "&amp;G628&amp;", марка "&amp;H628&amp;". Событие: "&amp;I628&amp;". Признак: "&amp;J628&amp;". Узел: "&amp;K628&amp;". Предварительная причина: "&amp;L628&amp;". Основное осложнение: "&amp;M628&amp;IF(N628&lt;&gt;"","; сопутствующее: "&amp;N628,"")&amp;IF(O628&lt;&gt;"","; дополнительно: "&amp;O628,"")&amp;".")</f>
        <v/>
      </c>
      <c r="R628" s="172">
        <f>IF('Оперативный ввод'!P628="","",'Оперативный ввод'!P628)</f>
        <v/>
      </c>
      <c r="S628" s="172">
        <f>IF('Оперативный ввод'!Q628="","",'Оперативный ввод'!Q628)</f>
        <v/>
      </c>
      <c r="T628" s="172">
        <f>IF('Оперативный ввод'!R628="","",'Оперативный ввод'!R628)</f>
        <v/>
      </c>
      <c r="U628" s="172">
        <f>IF('Оперативный ввод'!S628="","",'Оперативный ввод'!S628)</f>
        <v/>
      </c>
      <c r="V628" s="172">
        <f>IF('Оперативный ввод'!T628="","",'Оперативный ввод'!T628)</f>
        <v/>
      </c>
      <c r="W628" s="172" t="n"/>
      <c r="X628" s="172" t="n"/>
      <c r="Y628" s="172" t="n"/>
      <c r="Z628" s="172" t="n"/>
      <c r="AA628" s="172">
        <f>IF('Оперативный ввод'!U628="","",'Оперативный ввод'!U628)</f>
        <v/>
      </c>
      <c r="AB628" s="172">
        <f>IF('Оперативный ввод'!V628="","",'Оперативный ввод'!V628)</f>
        <v/>
      </c>
      <c r="AC628" s="172">
        <f>IF('Оперативный ввод'!W628="","",'Оперативный ввод'!W628)</f>
        <v/>
      </c>
      <c r="BB628" s="172" t="n"/>
      <c r="BC628" s="172" t="n"/>
      <c r="BD628" s="205">
        <f>IF(AND(A628="",B628=""),"",IF(AND(P628="ГОТОВО",R628&lt;&gt;"",T628&lt;&gt;"",U628&lt;&gt;"",AA628&lt;&gt;"",AB628&lt;&gt;"",AC628&lt;&gt;"",BB628&lt;&gt;"",BC628&lt;&gt;""),"ГОТОВО","НЕ ГОТОВО"))</f>
        <v/>
      </c>
      <c r="BE628" s="205">
        <f>IF(BD628&lt;&gt;"ГОТОВО","","Полное заключение: "&amp;A628&amp;", скв. "&amp;B628&amp;". МРП: "&amp;E628&amp;" сут. ГНО: "&amp;F628&amp;"; причина: "&amp;U628&amp;"; категория: "&amp;V628&amp;"; решение комиссии: "&amp;BB628&amp;".")</f>
        <v/>
      </c>
      <c r="BF628" s="173">
        <f>IF('Оперативный ввод'!X628="","",'Оперативный ввод'!X628)</f>
        <v/>
      </c>
    </row>
    <row r="629">
      <c r="A629" s="171">
        <f>IF('Оперативный ввод'!A629="","",'Оперативный ввод'!A629)</f>
        <v/>
      </c>
      <c r="B629" s="172">
        <f>IF('Оперативный ввод'!B629="","",'Оперативный ввод'!B629)</f>
        <v/>
      </c>
      <c r="C629" s="270">
        <f>IF('Оперативный ввод'!C629="","",'Оперативный ввод'!C629)</f>
        <v/>
      </c>
      <c r="D629" s="270">
        <f>IF('Оперативный ввод'!D629="","",'Оперативный ввод'!D629)</f>
        <v/>
      </c>
      <c r="E629" s="271">
        <f>IF(OR(C629="",D629=""),"",D629-C629)</f>
        <v/>
      </c>
      <c r="F629" s="172">
        <f>IF('Оперативный ввод'!F629="","",'Оперативный ввод'!F629)</f>
        <v/>
      </c>
      <c r="G629" s="172">
        <f>IF('Оперативный ввод'!G629="","",'Оперативный ввод'!G629)</f>
        <v/>
      </c>
      <c r="H629" s="172">
        <f>IF('Оперативный ввод'!H629="","",'Оперативный ввод'!H629)</f>
        <v/>
      </c>
      <c r="I629" s="172">
        <f>IF('Оперативный ввод'!I629="","",'Оперативный ввод'!I629)</f>
        <v/>
      </c>
      <c r="J629" s="172">
        <f>IF('Оперативный ввод'!J629="","",'Оперативный ввод'!J629)</f>
        <v/>
      </c>
      <c r="K629" s="172">
        <f>IF('Оперативный ввод'!K629="","",'Оперативный ввод'!K629)</f>
        <v/>
      </c>
      <c r="L629" s="172">
        <f>IF('Оперативный ввод'!L629="","",'Оперативный ввод'!L629)</f>
        <v/>
      </c>
      <c r="M629" s="172">
        <f>IF('Оперативный ввод'!M629="","",'Оперативный ввод'!M629)</f>
        <v/>
      </c>
      <c r="N629" s="172">
        <f>IF('Оперативный ввод'!N629="","",'Оперативный ввод'!N629)</f>
        <v/>
      </c>
      <c r="O629" s="172">
        <f>IF('Оперативный ввод'!O629="","",'Оперативный ввод'!O629)</f>
        <v/>
      </c>
      <c r="P629" s="205">
        <f>IF(AND(A629="",B629=""),"",IF(AND(A629&lt;&gt;"",B629&lt;&gt;"",C629&lt;&gt;"",D629&lt;&gt;"",F629&lt;&gt;"",G629&lt;&gt;"",H629&lt;&gt;"",ISERROR(SEARCH("по паспорту",G629)),ISERROR(SEARCH("по паспорту",H629)),I629&lt;&gt;"",J629&lt;&gt;"",K629&lt;&gt;"",L629&lt;&gt;"",M629&lt;&gt;""),"ГОТОВО","НЕ ГОТОВО"))</f>
        <v/>
      </c>
      <c r="Q629" s="205">
        <f>IF(P629&lt;&gt;"ГОТОВО","", "Предварительное заключение: "&amp;A629&amp;", скв. "&amp;B629&amp;". МРП: "&amp;E629&amp;" сут. ГНО: "&amp;F629&amp;", типоразмер "&amp;G629&amp;", марка "&amp;H629&amp;". Событие: "&amp;I629&amp;". Признак: "&amp;J629&amp;". Узел: "&amp;K629&amp;". Предварительная причина: "&amp;L629&amp;". Основное осложнение: "&amp;M629&amp;IF(N629&lt;&gt;"","; сопутствующее: "&amp;N629,"")&amp;IF(O629&lt;&gt;"","; дополнительно: "&amp;O629,"")&amp;".")</f>
        <v/>
      </c>
      <c r="R629" s="172">
        <f>IF('Оперативный ввод'!P629="","",'Оперативный ввод'!P629)</f>
        <v/>
      </c>
      <c r="S629" s="172">
        <f>IF('Оперативный ввод'!Q629="","",'Оперативный ввод'!Q629)</f>
        <v/>
      </c>
      <c r="T629" s="172">
        <f>IF('Оперативный ввод'!R629="","",'Оперативный ввод'!R629)</f>
        <v/>
      </c>
      <c r="U629" s="172">
        <f>IF('Оперативный ввод'!S629="","",'Оперативный ввод'!S629)</f>
        <v/>
      </c>
      <c r="V629" s="172">
        <f>IF('Оперативный ввод'!T629="","",'Оперативный ввод'!T629)</f>
        <v/>
      </c>
      <c r="W629" s="172" t="n"/>
      <c r="X629" s="172" t="n"/>
      <c r="Y629" s="172" t="n"/>
      <c r="Z629" s="172" t="n"/>
      <c r="AA629" s="172">
        <f>IF('Оперативный ввод'!U629="","",'Оперативный ввод'!U629)</f>
        <v/>
      </c>
      <c r="AB629" s="172">
        <f>IF('Оперативный ввод'!V629="","",'Оперативный ввод'!V629)</f>
        <v/>
      </c>
      <c r="AC629" s="172">
        <f>IF('Оперативный ввод'!W629="","",'Оперативный ввод'!W629)</f>
        <v/>
      </c>
      <c r="BB629" s="172" t="n"/>
      <c r="BC629" s="172" t="n"/>
      <c r="BD629" s="205">
        <f>IF(AND(A629="",B629=""),"",IF(AND(P629="ГОТОВО",R629&lt;&gt;"",T629&lt;&gt;"",U629&lt;&gt;"",AA629&lt;&gt;"",AB629&lt;&gt;"",AC629&lt;&gt;"",BB629&lt;&gt;"",BC629&lt;&gt;""),"ГОТОВО","НЕ ГОТОВО"))</f>
        <v/>
      </c>
      <c r="BE629" s="205">
        <f>IF(BD629&lt;&gt;"ГОТОВО","","Полное заключение: "&amp;A629&amp;", скв. "&amp;B629&amp;". МРП: "&amp;E629&amp;" сут. ГНО: "&amp;F629&amp;"; причина: "&amp;U629&amp;"; категория: "&amp;V629&amp;"; решение комиссии: "&amp;BB629&amp;".")</f>
        <v/>
      </c>
      <c r="BF629" s="173">
        <f>IF('Оперативный ввод'!X629="","",'Оперативный ввод'!X629)</f>
        <v/>
      </c>
    </row>
    <row r="630">
      <c r="A630" s="171">
        <f>IF('Оперативный ввод'!A630="","",'Оперативный ввод'!A630)</f>
        <v/>
      </c>
      <c r="B630" s="172">
        <f>IF('Оперативный ввод'!B630="","",'Оперативный ввод'!B630)</f>
        <v/>
      </c>
      <c r="C630" s="270">
        <f>IF('Оперативный ввод'!C630="","",'Оперативный ввод'!C630)</f>
        <v/>
      </c>
      <c r="D630" s="270">
        <f>IF('Оперативный ввод'!D630="","",'Оперативный ввод'!D630)</f>
        <v/>
      </c>
      <c r="E630" s="271">
        <f>IF(OR(C630="",D630=""),"",D630-C630)</f>
        <v/>
      </c>
      <c r="F630" s="172">
        <f>IF('Оперативный ввод'!F630="","",'Оперативный ввод'!F630)</f>
        <v/>
      </c>
      <c r="G630" s="172">
        <f>IF('Оперативный ввод'!G630="","",'Оперативный ввод'!G630)</f>
        <v/>
      </c>
      <c r="H630" s="172">
        <f>IF('Оперативный ввод'!H630="","",'Оперативный ввод'!H630)</f>
        <v/>
      </c>
      <c r="I630" s="172">
        <f>IF('Оперативный ввод'!I630="","",'Оперативный ввод'!I630)</f>
        <v/>
      </c>
      <c r="J630" s="172">
        <f>IF('Оперативный ввод'!J630="","",'Оперативный ввод'!J630)</f>
        <v/>
      </c>
      <c r="K630" s="172">
        <f>IF('Оперативный ввод'!K630="","",'Оперативный ввод'!K630)</f>
        <v/>
      </c>
      <c r="L630" s="172">
        <f>IF('Оперативный ввод'!L630="","",'Оперативный ввод'!L630)</f>
        <v/>
      </c>
      <c r="M630" s="172">
        <f>IF('Оперативный ввод'!M630="","",'Оперативный ввод'!M630)</f>
        <v/>
      </c>
      <c r="N630" s="172">
        <f>IF('Оперативный ввод'!N630="","",'Оперативный ввод'!N630)</f>
        <v/>
      </c>
      <c r="O630" s="172">
        <f>IF('Оперативный ввод'!O630="","",'Оперативный ввод'!O630)</f>
        <v/>
      </c>
      <c r="P630" s="205">
        <f>IF(AND(A630="",B630=""),"",IF(AND(A630&lt;&gt;"",B630&lt;&gt;"",C630&lt;&gt;"",D630&lt;&gt;"",F630&lt;&gt;"",G630&lt;&gt;"",H630&lt;&gt;"",ISERROR(SEARCH("по паспорту",G630)),ISERROR(SEARCH("по паспорту",H630)),I630&lt;&gt;"",J630&lt;&gt;"",K630&lt;&gt;"",L630&lt;&gt;"",M630&lt;&gt;""),"ГОТОВО","НЕ ГОТОВО"))</f>
        <v/>
      </c>
      <c r="Q630" s="205">
        <f>IF(P630&lt;&gt;"ГОТОВО","", "Предварительное заключение: "&amp;A630&amp;", скв. "&amp;B630&amp;". МРП: "&amp;E630&amp;" сут. ГНО: "&amp;F630&amp;", типоразмер "&amp;G630&amp;", марка "&amp;H630&amp;". Событие: "&amp;I630&amp;". Признак: "&amp;J630&amp;". Узел: "&amp;K630&amp;". Предварительная причина: "&amp;L630&amp;". Основное осложнение: "&amp;M630&amp;IF(N630&lt;&gt;"","; сопутствующее: "&amp;N630,"")&amp;IF(O630&lt;&gt;"","; дополнительно: "&amp;O630,"")&amp;".")</f>
        <v/>
      </c>
      <c r="R630" s="172">
        <f>IF('Оперативный ввод'!P630="","",'Оперативный ввод'!P630)</f>
        <v/>
      </c>
      <c r="S630" s="172">
        <f>IF('Оперативный ввод'!Q630="","",'Оперативный ввод'!Q630)</f>
        <v/>
      </c>
      <c r="T630" s="172">
        <f>IF('Оперативный ввод'!R630="","",'Оперативный ввод'!R630)</f>
        <v/>
      </c>
      <c r="U630" s="172">
        <f>IF('Оперативный ввод'!S630="","",'Оперативный ввод'!S630)</f>
        <v/>
      </c>
      <c r="V630" s="172">
        <f>IF('Оперативный ввод'!T630="","",'Оперативный ввод'!T630)</f>
        <v/>
      </c>
      <c r="W630" s="172" t="n"/>
      <c r="X630" s="172" t="n"/>
      <c r="Y630" s="172" t="n"/>
      <c r="Z630" s="172" t="n"/>
      <c r="AA630" s="172">
        <f>IF('Оперативный ввод'!U630="","",'Оперативный ввод'!U630)</f>
        <v/>
      </c>
      <c r="AB630" s="172">
        <f>IF('Оперативный ввод'!V630="","",'Оперативный ввод'!V630)</f>
        <v/>
      </c>
      <c r="AC630" s="172">
        <f>IF('Оперативный ввод'!W630="","",'Оперативный ввод'!W630)</f>
        <v/>
      </c>
      <c r="BB630" s="172" t="n"/>
      <c r="BC630" s="172" t="n"/>
      <c r="BD630" s="205">
        <f>IF(AND(A630="",B630=""),"",IF(AND(P630="ГОТОВО",R630&lt;&gt;"",T630&lt;&gt;"",U630&lt;&gt;"",AA630&lt;&gt;"",AB630&lt;&gt;"",AC630&lt;&gt;"",BB630&lt;&gt;"",BC630&lt;&gt;""),"ГОТОВО","НЕ ГОТОВО"))</f>
        <v/>
      </c>
      <c r="BE630" s="205">
        <f>IF(BD630&lt;&gt;"ГОТОВО","","Полное заключение: "&amp;A630&amp;", скв. "&amp;B630&amp;". МРП: "&amp;E630&amp;" сут. ГНО: "&amp;F630&amp;"; причина: "&amp;U630&amp;"; категория: "&amp;V630&amp;"; решение комиссии: "&amp;BB630&amp;".")</f>
        <v/>
      </c>
      <c r="BF630" s="173">
        <f>IF('Оперативный ввод'!X630="","",'Оперативный ввод'!X630)</f>
        <v/>
      </c>
    </row>
    <row r="631">
      <c r="A631" s="171">
        <f>IF('Оперативный ввод'!A631="","",'Оперативный ввод'!A631)</f>
        <v/>
      </c>
      <c r="B631" s="172">
        <f>IF('Оперативный ввод'!B631="","",'Оперативный ввод'!B631)</f>
        <v/>
      </c>
      <c r="C631" s="270">
        <f>IF('Оперативный ввод'!C631="","",'Оперативный ввод'!C631)</f>
        <v/>
      </c>
      <c r="D631" s="270">
        <f>IF('Оперативный ввод'!D631="","",'Оперативный ввод'!D631)</f>
        <v/>
      </c>
      <c r="E631" s="271">
        <f>IF(OR(C631="",D631=""),"",D631-C631)</f>
        <v/>
      </c>
      <c r="F631" s="172">
        <f>IF('Оперативный ввод'!F631="","",'Оперативный ввод'!F631)</f>
        <v/>
      </c>
      <c r="G631" s="172">
        <f>IF('Оперативный ввод'!G631="","",'Оперативный ввод'!G631)</f>
        <v/>
      </c>
      <c r="H631" s="172">
        <f>IF('Оперативный ввод'!H631="","",'Оперативный ввод'!H631)</f>
        <v/>
      </c>
      <c r="I631" s="172">
        <f>IF('Оперативный ввод'!I631="","",'Оперативный ввод'!I631)</f>
        <v/>
      </c>
      <c r="J631" s="172">
        <f>IF('Оперативный ввод'!J631="","",'Оперативный ввод'!J631)</f>
        <v/>
      </c>
      <c r="K631" s="172">
        <f>IF('Оперативный ввод'!K631="","",'Оперативный ввод'!K631)</f>
        <v/>
      </c>
      <c r="L631" s="172">
        <f>IF('Оперативный ввод'!L631="","",'Оперативный ввод'!L631)</f>
        <v/>
      </c>
      <c r="M631" s="172">
        <f>IF('Оперативный ввод'!M631="","",'Оперативный ввод'!M631)</f>
        <v/>
      </c>
      <c r="N631" s="172">
        <f>IF('Оперативный ввод'!N631="","",'Оперативный ввод'!N631)</f>
        <v/>
      </c>
      <c r="O631" s="172">
        <f>IF('Оперативный ввод'!O631="","",'Оперативный ввод'!O631)</f>
        <v/>
      </c>
      <c r="P631" s="205">
        <f>IF(AND(A631="",B631=""),"",IF(AND(A631&lt;&gt;"",B631&lt;&gt;"",C631&lt;&gt;"",D631&lt;&gt;"",F631&lt;&gt;"",G631&lt;&gt;"",H631&lt;&gt;"",ISERROR(SEARCH("по паспорту",G631)),ISERROR(SEARCH("по паспорту",H631)),I631&lt;&gt;"",J631&lt;&gt;"",K631&lt;&gt;"",L631&lt;&gt;"",M631&lt;&gt;""),"ГОТОВО","НЕ ГОТОВО"))</f>
        <v/>
      </c>
      <c r="Q631" s="205">
        <f>IF(P631&lt;&gt;"ГОТОВО","", "Предварительное заключение: "&amp;A631&amp;", скв. "&amp;B631&amp;". МРП: "&amp;E631&amp;" сут. ГНО: "&amp;F631&amp;", типоразмер "&amp;G631&amp;", марка "&amp;H631&amp;". Событие: "&amp;I631&amp;". Признак: "&amp;J631&amp;". Узел: "&amp;K631&amp;". Предварительная причина: "&amp;L631&amp;". Основное осложнение: "&amp;M631&amp;IF(N631&lt;&gt;"","; сопутствующее: "&amp;N631,"")&amp;IF(O631&lt;&gt;"","; дополнительно: "&amp;O631,"")&amp;".")</f>
        <v/>
      </c>
      <c r="R631" s="172">
        <f>IF('Оперативный ввод'!P631="","",'Оперативный ввод'!P631)</f>
        <v/>
      </c>
      <c r="S631" s="172">
        <f>IF('Оперативный ввод'!Q631="","",'Оперативный ввод'!Q631)</f>
        <v/>
      </c>
      <c r="T631" s="172">
        <f>IF('Оперативный ввод'!R631="","",'Оперативный ввод'!R631)</f>
        <v/>
      </c>
      <c r="U631" s="172">
        <f>IF('Оперативный ввод'!S631="","",'Оперативный ввод'!S631)</f>
        <v/>
      </c>
      <c r="V631" s="172">
        <f>IF('Оперативный ввод'!T631="","",'Оперативный ввод'!T631)</f>
        <v/>
      </c>
      <c r="W631" s="172" t="n"/>
      <c r="X631" s="172" t="n"/>
      <c r="Y631" s="172" t="n"/>
      <c r="Z631" s="172" t="n"/>
      <c r="AA631" s="172">
        <f>IF('Оперативный ввод'!U631="","",'Оперативный ввод'!U631)</f>
        <v/>
      </c>
      <c r="AB631" s="172">
        <f>IF('Оперативный ввод'!V631="","",'Оперативный ввод'!V631)</f>
        <v/>
      </c>
      <c r="AC631" s="172">
        <f>IF('Оперативный ввод'!W631="","",'Оперативный ввод'!W631)</f>
        <v/>
      </c>
      <c r="BB631" s="172" t="n"/>
      <c r="BC631" s="172" t="n"/>
      <c r="BD631" s="205">
        <f>IF(AND(A631="",B631=""),"",IF(AND(P631="ГОТОВО",R631&lt;&gt;"",T631&lt;&gt;"",U631&lt;&gt;"",AA631&lt;&gt;"",AB631&lt;&gt;"",AC631&lt;&gt;"",BB631&lt;&gt;"",BC631&lt;&gt;""),"ГОТОВО","НЕ ГОТОВО"))</f>
        <v/>
      </c>
      <c r="BE631" s="205">
        <f>IF(BD631&lt;&gt;"ГОТОВО","","Полное заключение: "&amp;A631&amp;", скв. "&amp;B631&amp;". МРП: "&amp;E631&amp;" сут. ГНО: "&amp;F631&amp;"; причина: "&amp;U631&amp;"; категория: "&amp;V631&amp;"; решение комиссии: "&amp;BB631&amp;".")</f>
        <v/>
      </c>
      <c r="BF631" s="173">
        <f>IF('Оперативный ввод'!X631="","",'Оперативный ввод'!X631)</f>
        <v/>
      </c>
    </row>
    <row r="632">
      <c r="A632" s="171">
        <f>IF('Оперативный ввод'!A632="","",'Оперативный ввод'!A632)</f>
        <v/>
      </c>
      <c r="B632" s="172">
        <f>IF('Оперативный ввод'!B632="","",'Оперативный ввод'!B632)</f>
        <v/>
      </c>
      <c r="C632" s="270">
        <f>IF('Оперативный ввод'!C632="","",'Оперативный ввод'!C632)</f>
        <v/>
      </c>
      <c r="D632" s="270">
        <f>IF('Оперативный ввод'!D632="","",'Оперативный ввод'!D632)</f>
        <v/>
      </c>
      <c r="E632" s="271">
        <f>IF(OR(C632="",D632=""),"",D632-C632)</f>
        <v/>
      </c>
      <c r="F632" s="172">
        <f>IF('Оперативный ввод'!F632="","",'Оперативный ввод'!F632)</f>
        <v/>
      </c>
      <c r="G632" s="172">
        <f>IF('Оперативный ввод'!G632="","",'Оперативный ввод'!G632)</f>
        <v/>
      </c>
      <c r="H632" s="172">
        <f>IF('Оперативный ввод'!H632="","",'Оперативный ввод'!H632)</f>
        <v/>
      </c>
      <c r="I632" s="172">
        <f>IF('Оперативный ввод'!I632="","",'Оперативный ввод'!I632)</f>
        <v/>
      </c>
      <c r="J632" s="172">
        <f>IF('Оперативный ввод'!J632="","",'Оперативный ввод'!J632)</f>
        <v/>
      </c>
      <c r="K632" s="172">
        <f>IF('Оперативный ввод'!K632="","",'Оперативный ввод'!K632)</f>
        <v/>
      </c>
      <c r="L632" s="172">
        <f>IF('Оперативный ввод'!L632="","",'Оперативный ввод'!L632)</f>
        <v/>
      </c>
      <c r="M632" s="172">
        <f>IF('Оперативный ввод'!M632="","",'Оперативный ввод'!M632)</f>
        <v/>
      </c>
      <c r="N632" s="172">
        <f>IF('Оперативный ввод'!N632="","",'Оперативный ввод'!N632)</f>
        <v/>
      </c>
      <c r="O632" s="172">
        <f>IF('Оперативный ввод'!O632="","",'Оперативный ввод'!O632)</f>
        <v/>
      </c>
      <c r="P632" s="205">
        <f>IF(AND(A632="",B632=""),"",IF(AND(A632&lt;&gt;"",B632&lt;&gt;"",C632&lt;&gt;"",D632&lt;&gt;"",F632&lt;&gt;"",G632&lt;&gt;"",H632&lt;&gt;"",ISERROR(SEARCH("по паспорту",G632)),ISERROR(SEARCH("по паспорту",H632)),I632&lt;&gt;"",J632&lt;&gt;"",K632&lt;&gt;"",L632&lt;&gt;"",M632&lt;&gt;""),"ГОТОВО","НЕ ГОТОВО"))</f>
        <v/>
      </c>
      <c r="Q632" s="205">
        <f>IF(P632&lt;&gt;"ГОТОВО","", "Предварительное заключение: "&amp;A632&amp;", скв. "&amp;B632&amp;". МРП: "&amp;E632&amp;" сут. ГНО: "&amp;F632&amp;", типоразмер "&amp;G632&amp;", марка "&amp;H632&amp;". Событие: "&amp;I632&amp;". Признак: "&amp;J632&amp;". Узел: "&amp;K632&amp;". Предварительная причина: "&amp;L632&amp;". Основное осложнение: "&amp;M632&amp;IF(N632&lt;&gt;"","; сопутствующее: "&amp;N632,"")&amp;IF(O632&lt;&gt;"","; дополнительно: "&amp;O632,"")&amp;".")</f>
        <v/>
      </c>
      <c r="R632" s="172">
        <f>IF('Оперативный ввод'!P632="","",'Оперативный ввод'!P632)</f>
        <v/>
      </c>
      <c r="S632" s="172">
        <f>IF('Оперативный ввод'!Q632="","",'Оперативный ввод'!Q632)</f>
        <v/>
      </c>
      <c r="T632" s="172">
        <f>IF('Оперативный ввод'!R632="","",'Оперативный ввод'!R632)</f>
        <v/>
      </c>
      <c r="U632" s="172">
        <f>IF('Оперативный ввод'!S632="","",'Оперативный ввод'!S632)</f>
        <v/>
      </c>
      <c r="V632" s="172">
        <f>IF('Оперативный ввод'!T632="","",'Оперативный ввод'!T632)</f>
        <v/>
      </c>
      <c r="W632" s="172" t="n"/>
      <c r="X632" s="172" t="n"/>
      <c r="Y632" s="172" t="n"/>
      <c r="Z632" s="172" t="n"/>
      <c r="AA632" s="172">
        <f>IF('Оперативный ввод'!U632="","",'Оперативный ввод'!U632)</f>
        <v/>
      </c>
      <c r="AB632" s="172">
        <f>IF('Оперативный ввод'!V632="","",'Оперативный ввод'!V632)</f>
        <v/>
      </c>
      <c r="AC632" s="172">
        <f>IF('Оперативный ввод'!W632="","",'Оперативный ввод'!W632)</f>
        <v/>
      </c>
      <c r="BB632" s="172" t="n"/>
      <c r="BC632" s="172" t="n"/>
      <c r="BD632" s="205">
        <f>IF(AND(A632="",B632=""),"",IF(AND(P632="ГОТОВО",R632&lt;&gt;"",T632&lt;&gt;"",U632&lt;&gt;"",AA632&lt;&gt;"",AB632&lt;&gt;"",AC632&lt;&gt;"",BB632&lt;&gt;"",BC632&lt;&gt;""),"ГОТОВО","НЕ ГОТОВО"))</f>
        <v/>
      </c>
      <c r="BE632" s="205">
        <f>IF(BD632&lt;&gt;"ГОТОВО","","Полное заключение: "&amp;A632&amp;", скв. "&amp;B632&amp;". МРП: "&amp;E632&amp;" сут. ГНО: "&amp;F632&amp;"; причина: "&amp;U632&amp;"; категория: "&amp;V632&amp;"; решение комиссии: "&amp;BB632&amp;".")</f>
        <v/>
      </c>
      <c r="BF632" s="173">
        <f>IF('Оперативный ввод'!X632="","",'Оперативный ввод'!X632)</f>
        <v/>
      </c>
    </row>
    <row r="633">
      <c r="A633" s="171">
        <f>IF('Оперативный ввод'!A633="","",'Оперативный ввод'!A633)</f>
        <v/>
      </c>
      <c r="B633" s="172">
        <f>IF('Оперативный ввод'!B633="","",'Оперативный ввод'!B633)</f>
        <v/>
      </c>
      <c r="C633" s="270">
        <f>IF('Оперативный ввод'!C633="","",'Оперативный ввод'!C633)</f>
        <v/>
      </c>
      <c r="D633" s="270">
        <f>IF('Оперативный ввод'!D633="","",'Оперативный ввод'!D633)</f>
        <v/>
      </c>
      <c r="E633" s="271">
        <f>IF(OR(C633="",D633=""),"",D633-C633)</f>
        <v/>
      </c>
      <c r="F633" s="172">
        <f>IF('Оперативный ввод'!F633="","",'Оперативный ввод'!F633)</f>
        <v/>
      </c>
      <c r="G633" s="172">
        <f>IF('Оперативный ввод'!G633="","",'Оперативный ввод'!G633)</f>
        <v/>
      </c>
      <c r="H633" s="172">
        <f>IF('Оперативный ввод'!H633="","",'Оперативный ввод'!H633)</f>
        <v/>
      </c>
      <c r="I633" s="172">
        <f>IF('Оперативный ввод'!I633="","",'Оперативный ввод'!I633)</f>
        <v/>
      </c>
      <c r="J633" s="172">
        <f>IF('Оперативный ввод'!J633="","",'Оперативный ввод'!J633)</f>
        <v/>
      </c>
      <c r="K633" s="172">
        <f>IF('Оперативный ввод'!K633="","",'Оперативный ввод'!K633)</f>
        <v/>
      </c>
      <c r="L633" s="172">
        <f>IF('Оперативный ввод'!L633="","",'Оперативный ввод'!L633)</f>
        <v/>
      </c>
      <c r="M633" s="172">
        <f>IF('Оперативный ввод'!M633="","",'Оперативный ввод'!M633)</f>
        <v/>
      </c>
      <c r="N633" s="172">
        <f>IF('Оперативный ввод'!N633="","",'Оперативный ввод'!N633)</f>
        <v/>
      </c>
      <c r="O633" s="172">
        <f>IF('Оперативный ввод'!O633="","",'Оперативный ввод'!O633)</f>
        <v/>
      </c>
      <c r="P633" s="205">
        <f>IF(AND(A633="",B633=""),"",IF(AND(A633&lt;&gt;"",B633&lt;&gt;"",C633&lt;&gt;"",D633&lt;&gt;"",F633&lt;&gt;"",G633&lt;&gt;"",H633&lt;&gt;"",ISERROR(SEARCH("по паспорту",G633)),ISERROR(SEARCH("по паспорту",H633)),I633&lt;&gt;"",J633&lt;&gt;"",K633&lt;&gt;"",L633&lt;&gt;"",M633&lt;&gt;""),"ГОТОВО","НЕ ГОТОВО"))</f>
        <v/>
      </c>
      <c r="Q633" s="205">
        <f>IF(P633&lt;&gt;"ГОТОВО","", "Предварительное заключение: "&amp;A633&amp;", скв. "&amp;B633&amp;". МРП: "&amp;E633&amp;" сут. ГНО: "&amp;F633&amp;", типоразмер "&amp;G633&amp;", марка "&amp;H633&amp;". Событие: "&amp;I633&amp;". Признак: "&amp;J633&amp;". Узел: "&amp;K633&amp;". Предварительная причина: "&amp;L633&amp;". Основное осложнение: "&amp;M633&amp;IF(N633&lt;&gt;"","; сопутствующее: "&amp;N633,"")&amp;IF(O633&lt;&gt;"","; дополнительно: "&amp;O633,"")&amp;".")</f>
        <v/>
      </c>
      <c r="R633" s="172">
        <f>IF('Оперативный ввод'!P633="","",'Оперативный ввод'!P633)</f>
        <v/>
      </c>
      <c r="S633" s="172">
        <f>IF('Оперативный ввод'!Q633="","",'Оперативный ввод'!Q633)</f>
        <v/>
      </c>
      <c r="T633" s="172">
        <f>IF('Оперативный ввод'!R633="","",'Оперативный ввод'!R633)</f>
        <v/>
      </c>
      <c r="U633" s="172">
        <f>IF('Оперативный ввод'!S633="","",'Оперативный ввод'!S633)</f>
        <v/>
      </c>
      <c r="V633" s="172">
        <f>IF('Оперативный ввод'!T633="","",'Оперативный ввод'!T633)</f>
        <v/>
      </c>
      <c r="W633" s="172" t="n"/>
      <c r="X633" s="172" t="n"/>
      <c r="Y633" s="172" t="n"/>
      <c r="Z633" s="172" t="n"/>
      <c r="AA633" s="172">
        <f>IF('Оперативный ввод'!U633="","",'Оперативный ввод'!U633)</f>
        <v/>
      </c>
      <c r="AB633" s="172">
        <f>IF('Оперативный ввод'!V633="","",'Оперативный ввод'!V633)</f>
        <v/>
      </c>
      <c r="AC633" s="172">
        <f>IF('Оперативный ввод'!W633="","",'Оперативный ввод'!W633)</f>
        <v/>
      </c>
      <c r="BB633" s="172" t="n"/>
      <c r="BC633" s="172" t="n"/>
      <c r="BD633" s="205">
        <f>IF(AND(A633="",B633=""),"",IF(AND(P633="ГОТОВО",R633&lt;&gt;"",T633&lt;&gt;"",U633&lt;&gt;"",AA633&lt;&gt;"",AB633&lt;&gt;"",AC633&lt;&gt;"",BB633&lt;&gt;"",BC633&lt;&gt;""),"ГОТОВО","НЕ ГОТОВО"))</f>
        <v/>
      </c>
      <c r="BE633" s="205">
        <f>IF(BD633&lt;&gt;"ГОТОВО","","Полное заключение: "&amp;A633&amp;", скв. "&amp;B633&amp;". МРП: "&amp;E633&amp;" сут. ГНО: "&amp;F633&amp;"; причина: "&amp;U633&amp;"; категория: "&amp;V633&amp;"; решение комиссии: "&amp;BB633&amp;".")</f>
        <v/>
      </c>
      <c r="BF633" s="173">
        <f>IF('Оперативный ввод'!X633="","",'Оперативный ввод'!X633)</f>
        <v/>
      </c>
    </row>
    <row r="634">
      <c r="A634" s="171">
        <f>IF('Оперативный ввод'!A634="","",'Оперативный ввод'!A634)</f>
        <v/>
      </c>
      <c r="B634" s="172">
        <f>IF('Оперативный ввод'!B634="","",'Оперативный ввод'!B634)</f>
        <v/>
      </c>
      <c r="C634" s="270">
        <f>IF('Оперативный ввод'!C634="","",'Оперативный ввод'!C634)</f>
        <v/>
      </c>
      <c r="D634" s="270">
        <f>IF('Оперативный ввод'!D634="","",'Оперативный ввод'!D634)</f>
        <v/>
      </c>
      <c r="E634" s="271">
        <f>IF(OR(C634="",D634=""),"",D634-C634)</f>
        <v/>
      </c>
      <c r="F634" s="172">
        <f>IF('Оперативный ввод'!F634="","",'Оперативный ввод'!F634)</f>
        <v/>
      </c>
      <c r="G634" s="172">
        <f>IF('Оперативный ввод'!G634="","",'Оперативный ввод'!G634)</f>
        <v/>
      </c>
      <c r="H634" s="172">
        <f>IF('Оперативный ввод'!H634="","",'Оперативный ввод'!H634)</f>
        <v/>
      </c>
      <c r="I634" s="172">
        <f>IF('Оперативный ввод'!I634="","",'Оперативный ввод'!I634)</f>
        <v/>
      </c>
      <c r="J634" s="172">
        <f>IF('Оперативный ввод'!J634="","",'Оперативный ввод'!J634)</f>
        <v/>
      </c>
      <c r="K634" s="172">
        <f>IF('Оперативный ввод'!K634="","",'Оперативный ввод'!K634)</f>
        <v/>
      </c>
      <c r="L634" s="172">
        <f>IF('Оперативный ввод'!L634="","",'Оперативный ввод'!L634)</f>
        <v/>
      </c>
      <c r="M634" s="172">
        <f>IF('Оперативный ввод'!M634="","",'Оперативный ввод'!M634)</f>
        <v/>
      </c>
      <c r="N634" s="172">
        <f>IF('Оперативный ввод'!N634="","",'Оперативный ввод'!N634)</f>
        <v/>
      </c>
      <c r="O634" s="172">
        <f>IF('Оперативный ввод'!O634="","",'Оперативный ввод'!O634)</f>
        <v/>
      </c>
      <c r="P634" s="205">
        <f>IF(AND(A634="",B634=""),"",IF(AND(A634&lt;&gt;"",B634&lt;&gt;"",C634&lt;&gt;"",D634&lt;&gt;"",F634&lt;&gt;"",G634&lt;&gt;"",H634&lt;&gt;"",ISERROR(SEARCH("по паспорту",G634)),ISERROR(SEARCH("по паспорту",H634)),I634&lt;&gt;"",J634&lt;&gt;"",K634&lt;&gt;"",L634&lt;&gt;"",M634&lt;&gt;""),"ГОТОВО","НЕ ГОТОВО"))</f>
        <v/>
      </c>
      <c r="Q634" s="205">
        <f>IF(P634&lt;&gt;"ГОТОВО","", "Предварительное заключение: "&amp;A634&amp;", скв. "&amp;B634&amp;". МРП: "&amp;E634&amp;" сут. ГНО: "&amp;F634&amp;", типоразмер "&amp;G634&amp;", марка "&amp;H634&amp;". Событие: "&amp;I634&amp;". Признак: "&amp;J634&amp;". Узел: "&amp;K634&amp;". Предварительная причина: "&amp;L634&amp;". Основное осложнение: "&amp;M634&amp;IF(N634&lt;&gt;"","; сопутствующее: "&amp;N634,"")&amp;IF(O634&lt;&gt;"","; дополнительно: "&amp;O634,"")&amp;".")</f>
        <v/>
      </c>
      <c r="R634" s="172">
        <f>IF('Оперативный ввод'!P634="","",'Оперативный ввод'!P634)</f>
        <v/>
      </c>
      <c r="S634" s="172">
        <f>IF('Оперативный ввод'!Q634="","",'Оперативный ввод'!Q634)</f>
        <v/>
      </c>
      <c r="T634" s="172">
        <f>IF('Оперативный ввод'!R634="","",'Оперативный ввод'!R634)</f>
        <v/>
      </c>
      <c r="U634" s="172">
        <f>IF('Оперативный ввод'!S634="","",'Оперативный ввод'!S634)</f>
        <v/>
      </c>
      <c r="V634" s="172">
        <f>IF('Оперативный ввод'!T634="","",'Оперативный ввод'!T634)</f>
        <v/>
      </c>
      <c r="W634" s="172" t="n"/>
      <c r="X634" s="172" t="n"/>
      <c r="Y634" s="172" t="n"/>
      <c r="Z634" s="172" t="n"/>
      <c r="AA634" s="172">
        <f>IF('Оперативный ввод'!U634="","",'Оперативный ввод'!U634)</f>
        <v/>
      </c>
      <c r="AB634" s="172">
        <f>IF('Оперативный ввод'!V634="","",'Оперативный ввод'!V634)</f>
        <v/>
      </c>
      <c r="AC634" s="172">
        <f>IF('Оперативный ввод'!W634="","",'Оперативный ввод'!W634)</f>
        <v/>
      </c>
      <c r="BB634" s="172" t="n"/>
      <c r="BC634" s="172" t="n"/>
      <c r="BD634" s="205">
        <f>IF(AND(A634="",B634=""),"",IF(AND(P634="ГОТОВО",R634&lt;&gt;"",T634&lt;&gt;"",U634&lt;&gt;"",AA634&lt;&gt;"",AB634&lt;&gt;"",AC634&lt;&gt;"",BB634&lt;&gt;"",BC634&lt;&gt;""),"ГОТОВО","НЕ ГОТОВО"))</f>
        <v/>
      </c>
      <c r="BE634" s="205">
        <f>IF(BD634&lt;&gt;"ГОТОВО","","Полное заключение: "&amp;A634&amp;", скв. "&amp;B634&amp;". МРП: "&amp;E634&amp;" сут. ГНО: "&amp;F634&amp;"; причина: "&amp;U634&amp;"; категория: "&amp;V634&amp;"; решение комиссии: "&amp;BB634&amp;".")</f>
        <v/>
      </c>
      <c r="BF634" s="173">
        <f>IF('Оперативный ввод'!X634="","",'Оперативный ввод'!X634)</f>
        <v/>
      </c>
    </row>
    <row r="635">
      <c r="A635" s="171">
        <f>IF('Оперативный ввод'!A635="","",'Оперативный ввод'!A635)</f>
        <v/>
      </c>
      <c r="B635" s="172">
        <f>IF('Оперативный ввод'!B635="","",'Оперативный ввод'!B635)</f>
        <v/>
      </c>
      <c r="C635" s="270">
        <f>IF('Оперативный ввод'!C635="","",'Оперативный ввод'!C635)</f>
        <v/>
      </c>
      <c r="D635" s="270">
        <f>IF('Оперативный ввод'!D635="","",'Оперативный ввод'!D635)</f>
        <v/>
      </c>
      <c r="E635" s="271">
        <f>IF(OR(C635="",D635=""),"",D635-C635)</f>
        <v/>
      </c>
      <c r="F635" s="172">
        <f>IF('Оперативный ввод'!F635="","",'Оперативный ввод'!F635)</f>
        <v/>
      </c>
      <c r="G635" s="172">
        <f>IF('Оперативный ввод'!G635="","",'Оперативный ввод'!G635)</f>
        <v/>
      </c>
      <c r="H635" s="172">
        <f>IF('Оперативный ввод'!H635="","",'Оперативный ввод'!H635)</f>
        <v/>
      </c>
      <c r="I635" s="172">
        <f>IF('Оперативный ввод'!I635="","",'Оперативный ввод'!I635)</f>
        <v/>
      </c>
      <c r="J635" s="172">
        <f>IF('Оперативный ввод'!J635="","",'Оперативный ввод'!J635)</f>
        <v/>
      </c>
      <c r="K635" s="172">
        <f>IF('Оперативный ввод'!K635="","",'Оперативный ввод'!K635)</f>
        <v/>
      </c>
      <c r="L635" s="172">
        <f>IF('Оперативный ввод'!L635="","",'Оперативный ввод'!L635)</f>
        <v/>
      </c>
      <c r="M635" s="172">
        <f>IF('Оперативный ввод'!M635="","",'Оперативный ввод'!M635)</f>
        <v/>
      </c>
      <c r="N635" s="172">
        <f>IF('Оперативный ввод'!N635="","",'Оперативный ввод'!N635)</f>
        <v/>
      </c>
      <c r="O635" s="172">
        <f>IF('Оперативный ввод'!O635="","",'Оперативный ввод'!O635)</f>
        <v/>
      </c>
      <c r="P635" s="205">
        <f>IF(AND(A635="",B635=""),"",IF(AND(A635&lt;&gt;"",B635&lt;&gt;"",C635&lt;&gt;"",D635&lt;&gt;"",F635&lt;&gt;"",G635&lt;&gt;"",H635&lt;&gt;"",ISERROR(SEARCH("по паспорту",G635)),ISERROR(SEARCH("по паспорту",H635)),I635&lt;&gt;"",J635&lt;&gt;"",K635&lt;&gt;"",L635&lt;&gt;"",M635&lt;&gt;""),"ГОТОВО","НЕ ГОТОВО"))</f>
        <v/>
      </c>
      <c r="Q635" s="205">
        <f>IF(P635&lt;&gt;"ГОТОВО","", "Предварительное заключение: "&amp;A635&amp;", скв. "&amp;B635&amp;". МРП: "&amp;E635&amp;" сут. ГНО: "&amp;F635&amp;", типоразмер "&amp;G635&amp;", марка "&amp;H635&amp;". Событие: "&amp;I635&amp;". Признак: "&amp;J635&amp;". Узел: "&amp;K635&amp;". Предварительная причина: "&amp;L635&amp;". Основное осложнение: "&amp;M635&amp;IF(N635&lt;&gt;"","; сопутствующее: "&amp;N635,"")&amp;IF(O635&lt;&gt;"","; дополнительно: "&amp;O635,"")&amp;".")</f>
        <v/>
      </c>
      <c r="R635" s="172">
        <f>IF('Оперативный ввод'!P635="","",'Оперативный ввод'!P635)</f>
        <v/>
      </c>
      <c r="S635" s="172">
        <f>IF('Оперативный ввод'!Q635="","",'Оперативный ввод'!Q635)</f>
        <v/>
      </c>
      <c r="T635" s="172">
        <f>IF('Оперативный ввод'!R635="","",'Оперативный ввод'!R635)</f>
        <v/>
      </c>
      <c r="U635" s="172">
        <f>IF('Оперативный ввод'!S635="","",'Оперативный ввод'!S635)</f>
        <v/>
      </c>
      <c r="V635" s="172">
        <f>IF('Оперативный ввод'!T635="","",'Оперативный ввод'!T635)</f>
        <v/>
      </c>
      <c r="W635" s="172" t="n"/>
      <c r="X635" s="172" t="n"/>
      <c r="Y635" s="172" t="n"/>
      <c r="Z635" s="172" t="n"/>
      <c r="AA635" s="172">
        <f>IF('Оперативный ввод'!U635="","",'Оперативный ввод'!U635)</f>
        <v/>
      </c>
      <c r="AB635" s="172">
        <f>IF('Оперативный ввод'!V635="","",'Оперативный ввод'!V635)</f>
        <v/>
      </c>
      <c r="AC635" s="172">
        <f>IF('Оперативный ввод'!W635="","",'Оперативный ввод'!W635)</f>
        <v/>
      </c>
      <c r="BB635" s="172" t="n"/>
      <c r="BC635" s="172" t="n"/>
      <c r="BD635" s="205">
        <f>IF(AND(A635="",B635=""),"",IF(AND(P635="ГОТОВО",R635&lt;&gt;"",T635&lt;&gt;"",U635&lt;&gt;"",AA635&lt;&gt;"",AB635&lt;&gt;"",AC635&lt;&gt;"",BB635&lt;&gt;"",BC635&lt;&gt;""),"ГОТОВО","НЕ ГОТОВО"))</f>
        <v/>
      </c>
      <c r="BE635" s="205">
        <f>IF(BD635&lt;&gt;"ГОТОВО","","Полное заключение: "&amp;A635&amp;", скв. "&amp;B635&amp;". МРП: "&amp;E635&amp;" сут. ГНО: "&amp;F635&amp;"; причина: "&amp;U635&amp;"; категория: "&amp;V635&amp;"; решение комиссии: "&amp;BB635&amp;".")</f>
        <v/>
      </c>
      <c r="BF635" s="173">
        <f>IF('Оперативный ввод'!X635="","",'Оперативный ввод'!X635)</f>
        <v/>
      </c>
    </row>
    <row r="636">
      <c r="A636" s="171">
        <f>IF('Оперативный ввод'!A636="","",'Оперативный ввод'!A636)</f>
        <v/>
      </c>
      <c r="B636" s="172">
        <f>IF('Оперативный ввод'!B636="","",'Оперативный ввод'!B636)</f>
        <v/>
      </c>
      <c r="C636" s="270">
        <f>IF('Оперативный ввод'!C636="","",'Оперативный ввод'!C636)</f>
        <v/>
      </c>
      <c r="D636" s="270">
        <f>IF('Оперативный ввод'!D636="","",'Оперативный ввод'!D636)</f>
        <v/>
      </c>
      <c r="E636" s="271">
        <f>IF(OR(C636="",D636=""),"",D636-C636)</f>
        <v/>
      </c>
      <c r="F636" s="172">
        <f>IF('Оперативный ввод'!F636="","",'Оперативный ввод'!F636)</f>
        <v/>
      </c>
      <c r="G636" s="172">
        <f>IF('Оперативный ввод'!G636="","",'Оперативный ввод'!G636)</f>
        <v/>
      </c>
      <c r="H636" s="172">
        <f>IF('Оперативный ввод'!H636="","",'Оперативный ввод'!H636)</f>
        <v/>
      </c>
      <c r="I636" s="172">
        <f>IF('Оперативный ввод'!I636="","",'Оперативный ввод'!I636)</f>
        <v/>
      </c>
      <c r="J636" s="172">
        <f>IF('Оперативный ввод'!J636="","",'Оперативный ввод'!J636)</f>
        <v/>
      </c>
      <c r="K636" s="172">
        <f>IF('Оперативный ввод'!K636="","",'Оперативный ввод'!K636)</f>
        <v/>
      </c>
      <c r="L636" s="172">
        <f>IF('Оперативный ввод'!L636="","",'Оперативный ввод'!L636)</f>
        <v/>
      </c>
      <c r="M636" s="172">
        <f>IF('Оперативный ввод'!M636="","",'Оперативный ввод'!M636)</f>
        <v/>
      </c>
      <c r="N636" s="172">
        <f>IF('Оперативный ввод'!N636="","",'Оперативный ввод'!N636)</f>
        <v/>
      </c>
      <c r="O636" s="172">
        <f>IF('Оперативный ввод'!O636="","",'Оперативный ввод'!O636)</f>
        <v/>
      </c>
      <c r="P636" s="205">
        <f>IF(AND(A636="",B636=""),"",IF(AND(A636&lt;&gt;"",B636&lt;&gt;"",C636&lt;&gt;"",D636&lt;&gt;"",F636&lt;&gt;"",G636&lt;&gt;"",H636&lt;&gt;"",ISERROR(SEARCH("по паспорту",G636)),ISERROR(SEARCH("по паспорту",H636)),I636&lt;&gt;"",J636&lt;&gt;"",K636&lt;&gt;"",L636&lt;&gt;"",M636&lt;&gt;""),"ГОТОВО","НЕ ГОТОВО"))</f>
        <v/>
      </c>
      <c r="Q636" s="205">
        <f>IF(P636&lt;&gt;"ГОТОВО","", "Предварительное заключение: "&amp;A636&amp;", скв. "&amp;B636&amp;". МРП: "&amp;E636&amp;" сут. ГНО: "&amp;F636&amp;", типоразмер "&amp;G636&amp;", марка "&amp;H636&amp;". Событие: "&amp;I636&amp;". Признак: "&amp;J636&amp;". Узел: "&amp;K636&amp;". Предварительная причина: "&amp;L636&amp;". Основное осложнение: "&amp;M636&amp;IF(N636&lt;&gt;"","; сопутствующее: "&amp;N636,"")&amp;IF(O636&lt;&gt;"","; дополнительно: "&amp;O636,"")&amp;".")</f>
        <v/>
      </c>
      <c r="R636" s="172">
        <f>IF('Оперативный ввод'!P636="","",'Оперативный ввод'!P636)</f>
        <v/>
      </c>
      <c r="S636" s="172">
        <f>IF('Оперативный ввод'!Q636="","",'Оперативный ввод'!Q636)</f>
        <v/>
      </c>
      <c r="T636" s="172">
        <f>IF('Оперативный ввод'!R636="","",'Оперативный ввод'!R636)</f>
        <v/>
      </c>
      <c r="U636" s="172">
        <f>IF('Оперативный ввод'!S636="","",'Оперативный ввод'!S636)</f>
        <v/>
      </c>
      <c r="V636" s="172">
        <f>IF('Оперативный ввод'!T636="","",'Оперативный ввод'!T636)</f>
        <v/>
      </c>
      <c r="W636" s="172" t="n"/>
      <c r="X636" s="172" t="n"/>
      <c r="Y636" s="172" t="n"/>
      <c r="Z636" s="172" t="n"/>
      <c r="AA636" s="172">
        <f>IF('Оперативный ввод'!U636="","",'Оперативный ввод'!U636)</f>
        <v/>
      </c>
      <c r="AB636" s="172">
        <f>IF('Оперативный ввод'!V636="","",'Оперативный ввод'!V636)</f>
        <v/>
      </c>
      <c r="AC636" s="172">
        <f>IF('Оперативный ввод'!W636="","",'Оперативный ввод'!W636)</f>
        <v/>
      </c>
      <c r="BB636" s="172" t="n"/>
      <c r="BC636" s="172" t="n"/>
      <c r="BD636" s="205">
        <f>IF(AND(A636="",B636=""),"",IF(AND(P636="ГОТОВО",R636&lt;&gt;"",T636&lt;&gt;"",U636&lt;&gt;"",AA636&lt;&gt;"",AB636&lt;&gt;"",AC636&lt;&gt;"",BB636&lt;&gt;"",BC636&lt;&gt;""),"ГОТОВО","НЕ ГОТОВО"))</f>
        <v/>
      </c>
      <c r="BE636" s="205">
        <f>IF(BD636&lt;&gt;"ГОТОВО","","Полное заключение: "&amp;A636&amp;", скв. "&amp;B636&amp;". МРП: "&amp;E636&amp;" сут. ГНО: "&amp;F636&amp;"; причина: "&amp;U636&amp;"; категория: "&amp;V636&amp;"; решение комиссии: "&amp;BB636&amp;".")</f>
        <v/>
      </c>
      <c r="BF636" s="173">
        <f>IF('Оперативный ввод'!X636="","",'Оперативный ввод'!X636)</f>
        <v/>
      </c>
    </row>
    <row r="637">
      <c r="A637" s="171">
        <f>IF('Оперативный ввод'!A637="","",'Оперативный ввод'!A637)</f>
        <v/>
      </c>
      <c r="B637" s="172">
        <f>IF('Оперативный ввод'!B637="","",'Оперативный ввод'!B637)</f>
        <v/>
      </c>
      <c r="C637" s="270">
        <f>IF('Оперативный ввод'!C637="","",'Оперативный ввод'!C637)</f>
        <v/>
      </c>
      <c r="D637" s="270">
        <f>IF('Оперативный ввод'!D637="","",'Оперативный ввод'!D637)</f>
        <v/>
      </c>
      <c r="E637" s="271">
        <f>IF(OR(C637="",D637=""),"",D637-C637)</f>
        <v/>
      </c>
      <c r="F637" s="172">
        <f>IF('Оперативный ввод'!F637="","",'Оперативный ввод'!F637)</f>
        <v/>
      </c>
      <c r="G637" s="172">
        <f>IF('Оперативный ввод'!G637="","",'Оперативный ввод'!G637)</f>
        <v/>
      </c>
      <c r="H637" s="172">
        <f>IF('Оперативный ввод'!H637="","",'Оперативный ввод'!H637)</f>
        <v/>
      </c>
      <c r="I637" s="172">
        <f>IF('Оперативный ввод'!I637="","",'Оперативный ввод'!I637)</f>
        <v/>
      </c>
      <c r="J637" s="172">
        <f>IF('Оперативный ввод'!J637="","",'Оперативный ввод'!J637)</f>
        <v/>
      </c>
      <c r="K637" s="172">
        <f>IF('Оперативный ввод'!K637="","",'Оперативный ввод'!K637)</f>
        <v/>
      </c>
      <c r="L637" s="172">
        <f>IF('Оперативный ввод'!L637="","",'Оперативный ввод'!L637)</f>
        <v/>
      </c>
      <c r="M637" s="172">
        <f>IF('Оперативный ввод'!M637="","",'Оперативный ввод'!M637)</f>
        <v/>
      </c>
      <c r="N637" s="172">
        <f>IF('Оперативный ввод'!N637="","",'Оперативный ввод'!N637)</f>
        <v/>
      </c>
      <c r="O637" s="172">
        <f>IF('Оперативный ввод'!O637="","",'Оперативный ввод'!O637)</f>
        <v/>
      </c>
      <c r="P637" s="205">
        <f>IF(AND(A637="",B637=""),"",IF(AND(A637&lt;&gt;"",B637&lt;&gt;"",C637&lt;&gt;"",D637&lt;&gt;"",F637&lt;&gt;"",G637&lt;&gt;"",H637&lt;&gt;"",ISERROR(SEARCH("по паспорту",G637)),ISERROR(SEARCH("по паспорту",H637)),I637&lt;&gt;"",J637&lt;&gt;"",K637&lt;&gt;"",L637&lt;&gt;"",M637&lt;&gt;""),"ГОТОВО","НЕ ГОТОВО"))</f>
        <v/>
      </c>
      <c r="Q637" s="205">
        <f>IF(P637&lt;&gt;"ГОТОВО","", "Предварительное заключение: "&amp;A637&amp;", скв. "&amp;B637&amp;". МРП: "&amp;E637&amp;" сут. ГНО: "&amp;F637&amp;", типоразмер "&amp;G637&amp;", марка "&amp;H637&amp;". Событие: "&amp;I637&amp;". Признак: "&amp;J637&amp;". Узел: "&amp;K637&amp;". Предварительная причина: "&amp;L637&amp;". Основное осложнение: "&amp;M637&amp;IF(N637&lt;&gt;"","; сопутствующее: "&amp;N637,"")&amp;IF(O637&lt;&gt;"","; дополнительно: "&amp;O637,"")&amp;".")</f>
        <v/>
      </c>
      <c r="R637" s="172">
        <f>IF('Оперативный ввод'!P637="","",'Оперативный ввод'!P637)</f>
        <v/>
      </c>
      <c r="S637" s="172">
        <f>IF('Оперативный ввод'!Q637="","",'Оперативный ввод'!Q637)</f>
        <v/>
      </c>
      <c r="T637" s="172">
        <f>IF('Оперативный ввод'!R637="","",'Оперативный ввод'!R637)</f>
        <v/>
      </c>
      <c r="U637" s="172">
        <f>IF('Оперативный ввод'!S637="","",'Оперативный ввод'!S637)</f>
        <v/>
      </c>
      <c r="V637" s="172">
        <f>IF('Оперативный ввод'!T637="","",'Оперативный ввод'!T637)</f>
        <v/>
      </c>
      <c r="W637" s="172" t="n"/>
      <c r="X637" s="172" t="n"/>
      <c r="Y637" s="172" t="n"/>
      <c r="Z637" s="172" t="n"/>
      <c r="AA637" s="172">
        <f>IF('Оперативный ввод'!U637="","",'Оперативный ввод'!U637)</f>
        <v/>
      </c>
      <c r="AB637" s="172">
        <f>IF('Оперативный ввод'!V637="","",'Оперативный ввод'!V637)</f>
        <v/>
      </c>
      <c r="AC637" s="172">
        <f>IF('Оперативный ввод'!W637="","",'Оперативный ввод'!W637)</f>
        <v/>
      </c>
      <c r="BB637" s="172" t="n"/>
      <c r="BC637" s="172" t="n"/>
      <c r="BD637" s="205">
        <f>IF(AND(A637="",B637=""),"",IF(AND(P637="ГОТОВО",R637&lt;&gt;"",T637&lt;&gt;"",U637&lt;&gt;"",AA637&lt;&gt;"",AB637&lt;&gt;"",AC637&lt;&gt;"",BB637&lt;&gt;"",BC637&lt;&gt;""),"ГОТОВО","НЕ ГОТОВО"))</f>
        <v/>
      </c>
      <c r="BE637" s="205">
        <f>IF(BD637&lt;&gt;"ГОТОВО","","Полное заключение: "&amp;A637&amp;", скв. "&amp;B637&amp;". МРП: "&amp;E637&amp;" сут. ГНО: "&amp;F637&amp;"; причина: "&amp;U637&amp;"; категория: "&amp;V637&amp;"; решение комиссии: "&amp;BB637&amp;".")</f>
        <v/>
      </c>
      <c r="BF637" s="173">
        <f>IF('Оперативный ввод'!X637="","",'Оперативный ввод'!X637)</f>
        <v/>
      </c>
    </row>
    <row r="638">
      <c r="A638" s="171">
        <f>IF('Оперативный ввод'!A638="","",'Оперативный ввод'!A638)</f>
        <v/>
      </c>
      <c r="B638" s="172">
        <f>IF('Оперативный ввод'!B638="","",'Оперативный ввод'!B638)</f>
        <v/>
      </c>
      <c r="C638" s="270">
        <f>IF('Оперативный ввод'!C638="","",'Оперативный ввод'!C638)</f>
        <v/>
      </c>
      <c r="D638" s="270">
        <f>IF('Оперативный ввод'!D638="","",'Оперативный ввод'!D638)</f>
        <v/>
      </c>
      <c r="E638" s="271">
        <f>IF(OR(C638="",D638=""),"",D638-C638)</f>
        <v/>
      </c>
      <c r="F638" s="172">
        <f>IF('Оперативный ввод'!F638="","",'Оперативный ввод'!F638)</f>
        <v/>
      </c>
      <c r="G638" s="172">
        <f>IF('Оперативный ввод'!G638="","",'Оперативный ввод'!G638)</f>
        <v/>
      </c>
      <c r="H638" s="172">
        <f>IF('Оперативный ввод'!H638="","",'Оперативный ввод'!H638)</f>
        <v/>
      </c>
      <c r="I638" s="172">
        <f>IF('Оперативный ввод'!I638="","",'Оперативный ввод'!I638)</f>
        <v/>
      </c>
      <c r="J638" s="172">
        <f>IF('Оперативный ввод'!J638="","",'Оперативный ввод'!J638)</f>
        <v/>
      </c>
      <c r="K638" s="172">
        <f>IF('Оперативный ввод'!K638="","",'Оперативный ввод'!K638)</f>
        <v/>
      </c>
      <c r="L638" s="172">
        <f>IF('Оперативный ввод'!L638="","",'Оперативный ввод'!L638)</f>
        <v/>
      </c>
      <c r="M638" s="172">
        <f>IF('Оперативный ввод'!M638="","",'Оперативный ввод'!M638)</f>
        <v/>
      </c>
      <c r="N638" s="172">
        <f>IF('Оперативный ввод'!N638="","",'Оперативный ввод'!N638)</f>
        <v/>
      </c>
      <c r="O638" s="172">
        <f>IF('Оперативный ввод'!O638="","",'Оперативный ввод'!O638)</f>
        <v/>
      </c>
      <c r="P638" s="205">
        <f>IF(AND(A638="",B638=""),"",IF(AND(A638&lt;&gt;"",B638&lt;&gt;"",C638&lt;&gt;"",D638&lt;&gt;"",F638&lt;&gt;"",G638&lt;&gt;"",H638&lt;&gt;"",ISERROR(SEARCH("по паспорту",G638)),ISERROR(SEARCH("по паспорту",H638)),I638&lt;&gt;"",J638&lt;&gt;"",K638&lt;&gt;"",L638&lt;&gt;"",M638&lt;&gt;""),"ГОТОВО","НЕ ГОТОВО"))</f>
        <v/>
      </c>
      <c r="Q638" s="205">
        <f>IF(P638&lt;&gt;"ГОТОВО","", "Предварительное заключение: "&amp;A638&amp;", скв. "&amp;B638&amp;". МРП: "&amp;E638&amp;" сут. ГНО: "&amp;F638&amp;", типоразмер "&amp;G638&amp;", марка "&amp;H638&amp;". Событие: "&amp;I638&amp;". Признак: "&amp;J638&amp;". Узел: "&amp;K638&amp;". Предварительная причина: "&amp;L638&amp;". Основное осложнение: "&amp;M638&amp;IF(N638&lt;&gt;"","; сопутствующее: "&amp;N638,"")&amp;IF(O638&lt;&gt;"","; дополнительно: "&amp;O638,"")&amp;".")</f>
        <v/>
      </c>
      <c r="R638" s="172">
        <f>IF('Оперативный ввод'!P638="","",'Оперативный ввод'!P638)</f>
        <v/>
      </c>
      <c r="S638" s="172">
        <f>IF('Оперативный ввод'!Q638="","",'Оперативный ввод'!Q638)</f>
        <v/>
      </c>
      <c r="T638" s="172">
        <f>IF('Оперативный ввод'!R638="","",'Оперативный ввод'!R638)</f>
        <v/>
      </c>
      <c r="U638" s="172">
        <f>IF('Оперативный ввод'!S638="","",'Оперативный ввод'!S638)</f>
        <v/>
      </c>
      <c r="V638" s="172">
        <f>IF('Оперативный ввод'!T638="","",'Оперативный ввод'!T638)</f>
        <v/>
      </c>
      <c r="W638" s="172" t="n"/>
      <c r="X638" s="172" t="n"/>
      <c r="Y638" s="172" t="n"/>
      <c r="Z638" s="172" t="n"/>
      <c r="AA638" s="172">
        <f>IF('Оперативный ввод'!U638="","",'Оперативный ввод'!U638)</f>
        <v/>
      </c>
      <c r="AB638" s="172">
        <f>IF('Оперативный ввод'!V638="","",'Оперативный ввод'!V638)</f>
        <v/>
      </c>
      <c r="AC638" s="172">
        <f>IF('Оперативный ввод'!W638="","",'Оперативный ввод'!W638)</f>
        <v/>
      </c>
      <c r="BB638" s="172" t="n"/>
      <c r="BC638" s="172" t="n"/>
      <c r="BD638" s="205">
        <f>IF(AND(A638="",B638=""),"",IF(AND(P638="ГОТОВО",R638&lt;&gt;"",T638&lt;&gt;"",U638&lt;&gt;"",AA638&lt;&gt;"",AB638&lt;&gt;"",AC638&lt;&gt;"",BB638&lt;&gt;"",BC638&lt;&gt;""),"ГОТОВО","НЕ ГОТОВО"))</f>
        <v/>
      </c>
      <c r="BE638" s="205">
        <f>IF(BD638&lt;&gt;"ГОТОВО","","Полное заключение: "&amp;A638&amp;", скв. "&amp;B638&amp;". МРП: "&amp;E638&amp;" сут. ГНО: "&amp;F638&amp;"; причина: "&amp;U638&amp;"; категория: "&amp;V638&amp;"; решение комиссии: "&amp;BB638&amp;".")</f>
        <v/>
      </c>
      <c r="BF638" s="173">
        <f>IF('Оперативный ввод'!X638="","",'Оперативный ввод'!X638)</f>
        <v/>
      </c>
    </row>
    <row r="639">
      <c r="A639" s="171">
        <f>IF('Оперативный ввод'!A639="","",'Оперативный ввод'!A639)</f>
        <v/>
      </c>
      <c r="B639" s="172">
        <f>IF('Оперативный ввод'!B639="","",'Оперативный ввод'!B639)</f>
        <v/>
      </c>
      <c r="C639" s="270">
        <f>IF('Оперативный ввод'!C639="","",'Оперативный ввод'!C639)</f>
        <v/>
      </c>
      <c r="D639" s="270">
        <f>IF('Оперативный ввод'!D639="","",'Оперативный ввод'!D639)</f>
        <v/>
      </c>
      <c r="E639" s="271">
        <f>IF(OR(C639="",D639=""),"",D639-C639)</f>
        <v/>
      </c>
      <c r="F639" s="172">
        <f>IF('Оперативный ввод'!F639="","",'Оперативный ввод'!F639)</f>
        <v/>
      </c>
      <c r="G639" s="172">
        <f>IF('Оперативный ввод'!G639="","",'Оперативный ввод'!G639)</f>
        <v/>
      </c>
      <c r="H639" s="172">
        <f>IF('Оперативный ввод'!H639="","",'Оперативный ввод'!H639)</f>
        <v/>
      </c>
      <c r="I639" s="172">
        <f>IF('Оперативный ввод'!I639="","",'Оперативный ввод'!I639)</f>
        <v/>
      </c>
      <c r="J639" s="172">
        <f>IF('Оперативный ввод'!J639="","",'Оперативный ввод'!J639)</f>
        <v/>
      </c>
      <c r="K639" s="172">
        <f>IF('Оперативный ввод'!K639="","",'Оперативный ввод'!K639)</f>
        <v/>
      </c>
      <c r="L639" s="172">
        <f>IF('Оперативный ввод'!L639="","",'Оперативный ввод'!L639)</f>
        <v/>
      </c>
      <c r="M639" s="172">
        <f>IF('Оперативный ввод'!M639="","",'Оперативный ввод'!M639)</f>
        <v/>
      </c>
      <c r="N639" s="172">
        <f>IF('Оперативный ввод'!N639="","",'Оперативный ввод'!N639)</f>
        <v/>
      </c>
      <c r="O639" s="172">
        <f>IF('Оперативный ввод'!O639="","",'Оперативный ввод'!O639)</f>
        <v/>
      </c>
      <c r="P639" s="205">
        <f>IF(AND(A639="",B639=""),"",IF(AND(A639&lt;&gt;"",B639&lt;&gt;"",C639&lt;&gt;"",D639&lt;&gt;"",F639&lt;&gt;"",G639&lt;&gt;"",H639&lt;&gt;"",ISERROR(SEARCH("по паспорту",G639)),ISERROR(SEARCH("по паспорту",H639)),I639&lt;&gt;"",J639&lt;&gt;"",K639&lt;&gt;"",L639&lt;&gt;"",M639&lt;&gt;""),"ГОТОВО","НЕ ГОТОВО"))</f>
        <v/>
      </c>
      <c r="Q639" s="205">
        <f>IF(P639&lt;&gt;"ГОТОВО","", "Предварительное заключение: "&amp;A639&amp;", скв. "&amp;B639&amp;". МРП: "&amp;E639&amp;" сут. ГНО: "&amp;F639&amp;", типоразмер "&amp;G639&amp;", марка "&amp;H639&amp;". Событие: "&amp;I639&amp;". Признак: "&amp;J639&amp;". Узел: "&amp;K639&amp;". Предварительная причина: "&amp;L639&amp;". Основное осложнение: "&amp;M639&amp;IF(N639&lt;&gt;"","; сопутствующее: "&amp;N639,"")&amp;IF(O639&lt;&gt;"","; дополнительно: "&amp;O639,"")&amp;".")</f>
        <v/>
      </c>
      <c r="R639" s="172">
        <f>IF('Оперативный ввод'!P639="","",'Оперативный ввод'!P639)</f>
        <v/>
      </c>
      <c r="S639" s="172">
        <f>IF('Оперативный ввод'!Q639="","",'Оперативный ввод'!Q639)</f>
        <v/>
      </c>
      <c r="T639" s="172">
        <f>IF('Оперативный ввод'!R639="","",'Оперативный ввод'!R639)</f>
        <v/>
      </c>
      <c r="U639" s="172">
        <f>IF('Оперативный ввод'!S639="","",'Оперативный ввод'!S639)</f>
        <v/>
      </c>
      <c r="V639" s="172">
        <f>IF('Оперативный ввод'!T639="","",'Оперативный ввод'!T639)</f>
        <v/>
      </c>
      <c r="W639" s="172" t="n"/>
      <c r="X639" s="172" t="n"/>
      <c r="Y639" s="172" t="n"/>
      <c r="Z639" s="172" t="n"/>
      <c r="AA639" s="172">
        <f>IF('Оперативный ввод'!U639="","",'Оперативный ввод'!U639)</f>
        <v/>
      </c>
      <c r="AB639" s="172">
        <f>IF('Оперативный ввод'!V639="","",'Оперативный ввод'!V639)</f>
        <v/>
      </c>
      <c r="AC639" s="172">
        <f>IF('Оперативный ввод'!W639="","",'Оперативный ввод'!W639)</f>
        <v/>
      </c>
      <c r="BB639" s="172" t="n"/>
      <c r="BC639" s="172" t="n"/>
      <c r="BD639" s="205">
        <f>IF(AND(A639="",B639=""),"",IF(AND(P639="ГОТОВО",R639&lt;&gt;"",T639&lt;&gt;"",U639&lt;&gt;"",AA639&lt;&gt;"",AB639&lt;&gt;"",AC639&lt;&gt;"",BB639&lt;&gt;"",BC639&lt;&gt;""),"ГОТОВО","НЕ ГОТОВО"))</f>
        <v/>
      </c>
      <c r="BE639" s="205">
        <f>IF(BD639&lt;&gt;"ГОТОВО","","Полное заключение: "&amp;A639&amp;", скв. "&amp;B639&amp;". МРП: "&amp;E639&amp;" сут. ГНО: "&amp;F639&amp;"; причина: "&amp;U639&amp;"; категория: "&amp;V639&amp;"; решение комиссии: "&amp;BB639&amp;".")</f>
        <v/>
      </c>
      <c r="BF639" s="173">
        <f>IF('Оперативный ввод'!X639="","",'Оперативный ввод'!X639)</f>
        <v/>
      </c>
    </row>
    <row r="640">
      <c r="A640" s="171">
        <f>IF('Оперативный ввод'!A640="","",'Оперативный ввод'!A640)</f>
        <v/>
      </c>
      <c r="B640" s="172">
        <f>IF('Оперативный ввод'!B640="","",'Оперативный ввод'!B640)</f>
        <v/>
      </c>
      <c r="C640" s="270">
        <f>IF('Оперативный ввод'!C640="","",'Оперативный ввод'!C640)</f>
        <v/>
      </c>
      <c r="D640" s="270">
        <f>IF('Оперативный ввод'!D640="","",'Оперативный ввод'!D640)</f>
        <v/>
      </c>
      <c r="E640" s="271">
        <f>IF(OR(C640="",D640=""),"",D640-C640)</f>
        <v/>
      </c>
      <c r="F640" s="172">
        <f>IF('Оперативный ввод'!F640="","",'Оперативный ввод'!F640)</f>
        <v/>
      </c>
      <c r="G640" s="172">
        <f>IF('Оперативный ввод'!G640="","",'Оперативный ввод'!G640)</f>
        <v/>
      </c>
      <c r="H640" s="172">
        <f>IF('Оперативный ввод'!H640="","",'Оперативный ввод'!H640)</f>
        <v/>
      </c>
      <c r="I640" s="172">
        <f>IF('Оперативный ввод'!I640="","",'Оперативный ввод'!I640)</f>
        <v/>
      </c>
      <c r="J640" s="172">
        <f>IF('Оперативный ввод'!J640="","",'Оперативный ввод'!J640)</f>
        <v/>
      </c>
      <c r="K640" s="172">
        <f>IF('Оперативный ввод'!K640="","",'Оперативный ввод'!K640)</f>
        <v/>
      </c>
      <c r="L640" s="172">
        <f>IF('Оперативный ввод'!L640="","",'Оперативный ввод'!L640)</f>
        <v/>
      </c>
      <c r="M640" s="172">
        <f>IF('Оперативный ввод'!M640="","",'Оперативный ввод'!M640)</f>
        <v/>
      </c>
      <c r="N640" s="172">
        <f>IF('Оперативный ввод'!N640="","",'Оперативный ввод'!N640)</f>
        <v/>
      </c>
      <c r="O640" s="172">
        <f>IF('Оперативный ввод'!O640="","",'Оперативный ввод'!O640)</f>
        <v/>
      </c>
      <c r="P640" s="205">
        <f>IF(AND(A640="",B640=""),"",IF(AND(A640&lt;&gt;"",B640&lt;&gt;"",C640&lt;&gt;"",D640&lt;&gt;"",F640&lt;&gt;"",G640&lt;&gt;"",H640&lt;&gt;"",ISERROR(SEARCH("по паспорту",G640)),ISERROR(SEARCH("по паспорту",H640)),I640&lt;&gt;"",J640&lt;&gt;"",K640&lt;&gt;"",L640&lt;&gt;"",M640&lt;&gt;""),"ГОТОВО","НЕ ГОТОВО"))</f>
        <v/>
      </c>
      <c r="Q640" s="205">
        <f>IF(P640&lt;&gt;"ГОТОВО","", "Предварительное заключение: "&amp;A640&amp;", скв. "&amp;B640&amp;". МРП: "&amp;E640&amp;" сут. ГНО: "&amp;F640&amp;", типоразмер "&amp;G640&amp;", марка "&amp;H640&amp;". Событие: "&amp;I640&amp;". Признак: "&amp;J640&amp;". Узел: "&amp;K640&amp;". Предварительная причина: "&amp;L640&amp;". Основное осложнение: "&amp;M640&amp;IF(N640&lt;&gt;"","; сопутствующее: "&amp;N640,"")&amp;IF(O640&lt;&gt;"","; дополнительно: "&amp;O640,"")&amp;".")</f>
        <v/>
      </c>
      <c r="R640" s="172">
        <f>IF('Оперативный ввод'!P640="","",'Оперативный ввод'!P640)</f>
        <v/>
      </c>
      <c r="S640" s="172">
        <f>IF('Оперативный ввод'!Q640="","",'Оперативный ввод'!Q640)</f>
        <v/>
      </c>
      <c r="T640" s="172">
        <f>IF('Оперативный ввод'!R640="","",'Оперативный ввод'!R640)</f>
        <v/>
      </c>
      <c r="U640" s="172">
        <f>IF('Оперативный ввод'!S640="","",'Оперативный ввод'!S640)</f>
        <v/>
      </c>
      <c r="V640" s="172">
        <f>IF('Оперативный ввод'!T640="","",'Оперативный ввод'!T640)</f>
        <v/>
      </c>
      <c r="W640" s="172" t="n"/>
      <c r="X640" s="172" t="n"/>
      <c r="Y640" s="172" t="n"/>
      <c r="Z640" s="172" t="n"/>
      <c r="AA640" s="172">
        <f>IF('Оперативный ввод'!U640="","",'Оперативный ввод'!U640)</f>
        <v/>
      </c>
      <c r="AB640" s="172">
        <f>IF('Оперативный ввод'!V640="","",'Оперативный ввод'!V640)</f>
        <v/>
      </c>
      <c r="AC640" s="172">
        <f>IF('Оперативный ввод'!W640="","",'Оперативный ввод'!W640)</f>
        <v/>
      </c>
      <c r="BB640" s="172" t="n"/>
      <c r="BC640" s="172" t="n"/>
      <c r="BD640" s="205">
        <f>IF(AND(A640="",B640=""),"",IF(AND(P640="ГОТОВО",R640&lt;&gt;"",T640&lt;&gt;"",U640&lt;&gt;"",AA640&lt;&gt;"",AB640&lt;&gt;"",AC640&lt;&gt;"",BB640&lt;&gt;"",BC640&lt;&gt;""),"ГОТОВО","НЕ ГОТОВО"))</f>
        <v/>
      </c>
      <c r="BE640" s="205">
        <f>IF(BD640&lt;&gt;"ГОТОВО","","Полное заключение: "&amp;A640&amp;", скв. "&amp;B640&amp;". МРП: "&amp;E640&amp;" сут. ГНО: "&amp;F640&amp;"; причина: "&amp;U640&amp;"; категория: "&amp;V640&amp;"; решение комиссии: "&amp;BB640&amp;".")</f>
        <v/>
      </c>
      <c r="BF640" s="173">
        <f>IF('Оперативный ввод'!X640="","",'Оперативный ввод'!X640)</f>
        <v/>
      </c>
    </row>
    <row r="641">
      <c r="A641" s="171">
        <f>IF('Оперативный ввод'!A641="","",'Оперативный ввод'!A641)</f>
        <v/>
      </c>
      <c r="B641" s="172">
        <f>IF('Оперативный ввод'!B641="","",'Оперативный ввод'!B641)</f>
        <v/>
      </c>
      <c r="C641" s="270">
        <f>IF('Оперативный ввод'!C641="","",'Оперативный ввод'!C641)</f>
        <v/>
      </c>
      <c r="D641" s="270">
        <f>IF('Оперативный ввод'!D641="","",'Оперативный ввод'!D641)</f>
        <v/>
      </c>
      <c r="E641" s="271">
        <f>IF(OR(C641="",D641=""),"",D641-C641)</f>
        <v/>
      </c>
      <c r="F641" s="172">
        <f>IF('Оперативный ввод'!F641="","",'Оперативный ввод'!F641)</f>
        <v/>
      </c>
      <c r="G641" s="172">
        <f>IF('Оперативный ввод'!G641="","",'Оперативный ввод'!G641)</f>
        <v/>
      </c>
      <c r="H641" s="172">
        <f>IF('Оперативный ввод'!H641="","",'Оперативный ввод'!H641)</f>
        <v/>
      </c>
      <c r="I641" s="172">
        <f>IF('Оперативный ввод'!I641="","",'Оперативный ввод'!I641)</f>
        <v/>
      </c>
      <c r="J641" s="172">
        <f>IF('Оперативный ввод'!J641="","",'Оперативный ввод'!J641)</f>
        <v/>
      </c>
      <c r="K641" s="172">
        <f>IF('Оперативный ввод'!K641="","",'Оперативный ввод'!K641)</f>
        <v/>
      </c>
      <c r="L641" s="172">
        <f>IF('Оперативный ввод'!L641="","",'Оперативный ввод'!L641)</f>
        <v/>
      </c>
      <c r="M641" s="172">
        <f>IF('Оперативный ввод'!M641="","",'Оперативный ввод'!M641)</f>
        <v/>
      </c>
      <c r="N641" s="172">
        <f>IF('Оперативный ввод'!N641="","",'Оперативный ввод'!N641)</f>
        <v/>
      </c>
      <c r="O641" s="172">
        <f>IF('Оперативный ввод'!O641="","",'Оперативный ввод'!O641)</f>
        <v/>
      </c>
      <c r="P641" s="205">
        <f>IF(AND(A641="",B641=""),"",IF(AND(A641&lt;&gt;"",B641&lt;&gt;"",C641&lt;&gt;"",D641&lt;&gt;"",F641&lt;&gt;"",G641&lt;&gt;"",H641&lt;&gt;"",ISERROR(SEARCH("по паспорту",G641)),ISERROR(SEARCH("по паспорту",H641)),I641&lt;&gt;"",J641&lt;&gt;"",K641&lt;&gt;"",L641&lt;&gt;"",M641&lt;&gt;""),"ГОТОВО","НЕ ГОТОВО"))</f>
        <v/>
      </c>
      <c r="Q641" s="205">
        <f>IF(P641&lt;&gt;"ГОТОВО","", "Предварительное заключение: "&amp;A641&amp;", скв. "&amp;B641&amp;". МРП: "&amp;E641&amp;" сут. ГНО: "&amp;F641&amp;", типоразмер "&amp;G641&amp;", марка "&amp;H641&amp;". Событие: "&amp;I641&amp;". Признак: "&amp;J641&amp;". Узел: "&amp;K641&amp;". Предварительная причина: "&amp;L641&amp;". Основное осложнение: "&amp;M641&amp;IF(N641&lt;&gt;"","; сопутствующее: "&amp;N641,"")&amp;IF(O641&lt;&gt;"","; дополнительно: "&amp;O641,"")&amp;".")</f>
        <v/>
      </c>
      <c r="R641" s="172">
        <f>IF('Оперативный ввод'!P641="","",'Оперативный ввод'!P641)</f>
        <v/>
      </c>
      <c r="S641" s="172">
        <f>IF('Оперативный ввод'!Q641="","",'Оперативный ввод'!Q641)</f>
        <v/>
      </c>
      <c r="T641" s="172">
        <f>IF('Оперативный ввод'!R641="","",'Оперативный ввод'!R641)</f>
        <v/>
      </c>
      <c r="U641" s="172">
        <f>IF('Оперативный ввод'!S641="","",'Оперативный ввод'!S641)</f>
        <v/>
      </c>
      <c r="V641" s="172">
        <f>IF('Оперативный ввод'!T641="","",'Оперативный ввод'!T641)</f>
        <v/>
      </c>
      <c r="W641" s="172" t="n"/>
      <c r="X641" s="172" t="n"/>
      <c r="Y641" s="172" t="n"/>
      <c r="Z641" s="172" t="n"/>
      <c r="AA641" s="172">
        <f>IF('Оперативный ввод'!U641="","",'Оперативный ввод'!U641)</f>
        <v/>
      </c>
      <c r="AB641" s="172">
        <f>IF('Оперативный ввод'!V641="","",'Оперативный ввод'!V641)</f>
        <v/>
      </c>
      <c r="AC641" s="172">
        <f>IF('Оперативный ввод'!W641="","",'Оперативный ввод'!W641)</f>
        <v/>
      </c>
      <c r="BB641" s="172" t="n"/>
      <c r="BC641" s="172" t="n"/>
      <c r="BD641" s="205">
        <f>IF(AND(A641="",B641=""),"",IF(AND(P641="ГОТОВО",R641&lt;&gt;"",T641&lt;&gt;"",U641&lt;&gt;"",AA641&lt;&gt;"",AB641&lt;&gt;"",AC641&lt;&gt;"",BB641&lt;&gt;"",BC641&lt;&gt;""),"ГОТОВО","НЕ ГОТОВО"))</f>
        <v/>
      </c>
      <c r="BE641" s="205">
        <f>IF(BD641&lt;&gt;"ГОТОВО","","Полное заключение: "&amp;A641&amp;", скв. "&amp;B641&amp;". МРП: "&amp;E641&amp;" сут. ГНО: "&amp;F641&amp;"; причина: "&amp;U641&amp;"; категория: "&amp;V641&amp;"; решение комиссии: "&amp;BB641&amp;".")</f>
        <v/>
      </c>
      <c r="BF641" s="173">
        <f>IF('Оперативный ввод'!X641="","",'Оперативный ввод'!X641)</f>
        <v/>
      </c>
    </row>
    <row r="642">
      <c r="A642" s="171">
        <f>IF('Оперативный ввод'!A642="","",'Оперативный ввод'!A642)</f>
        <v/>
      </c>
      <c r="B642" s="172">
        <f>IF('Оперативный ввод'!B642="","",'Оперативный ввод'!B642)</f>
        <v/>
      </c>
      <c r="C642" s="270">
        <f>IF('Оперативный ввод'!C642="","",'Оперативный ввод'!C642)</f>
        <v/>
      </c>
      <c r="D642" s="270">
        <f>IF('Оперативный ввод'!D642="","",'Оперативный ввод'!D642)</f>
        <v/>
      </c>
      <c r="E642" s="271">
        <f>IF(OR(C642="",D642=""),"",D642-C642)</f>
        <v/>
      </c>
      <c r="F642" s="172">
        <f>IF('Оперативный ввод'!F642="","",'Оперативный ввод'!F642)</f>
        <v/>
      </c>
      <c r="G642" s="172">
        <f>IF('Оперативный ввод'!G642="","",'Оперативный ввод'!G642)</f>
        <v/>
      </c>
      <c r="H642" s="172">
        <f>IF('Оперативный ввод'!H642="","",'Оперативный ввод'!H642)</f>
        <v/>
      </c>
      <c r="I642" s="172">
        <f>IF('Оперативный ввод'!I642="","",'Оперативный ввод'!I642)</f>
        <v/>
      </c>
      <c r="J642" s="172">
        <f>IF('Оперативный ввод'!J642="","",'Оперативный ввод'!J642)</f>
        <v/>
      </c>
      <c r="K642" s="172">
        <f>IF('Оперативный ввод'!K642="","",'Оперативный ввод'!K642)</f>
        <v/>
      </c>
      <c r="L642" s="172">
        <f>IF('Оперативный ввод'!L642="","",'Оперативный ввод'!L642)</f>
        <v/>
      </c>
      <c r="M642" s="172">
        <f>IF('Оперативный ввод'!M642="","",'Оперативный ввод'!M642)</f>
        <v/>
      </c>
      <c r="N642" s="172">
        <f>IF('Оперативный ввод'!N642="","",'Оперативный ввод'!N642)</f>
        <v/>
      </c>
      <c r="O642" s="172">
        <f>IF('Оперативный ввод'!O642="","",'Оперативный ввод'!O642)</f>
        <v/>
      </c>
      <c r="P642" s="205">
        <f>IF(AND(A642="",B642=""),"",IF(AND(A642&lt;&gt;"",B642&lt;&gt;"",C642&lt;&gt;"",D642&lt;&gt;"",F642&lt;&gt;"",G642&lt;&gt;"",H642&lt;&gt;"",ISERROR(SEARCH("по паспорту",G642)),ISERROR(SEARCH("по паспорту",H642)),I642&lt;&gt;"",J642&lt;&gt;"",K642&lt;&gt;"",L642&lt;&gt;"",M642&lt;&gt;""),"ГОТОВО","НЕ ГОТОВО"))</f>
        <v/>
      </c>
      <c r="Q642" s="205">
        <f>IF(P642&lt;&gt;"ГОТОВО","", "Предварительное заключение: "&amp;A642&amp;", скв. "&amp;B642&amp;". МРП: "&amp;E642&amp;" сут. ГНО: "&amp;F642&amp;", типоразмер "&amp;G642&amp;", марка "&amp;H642&amp;". Событие: "&amp;I642&amp;". Признак: "&amp;J642&amp;". Узел: "&amp;K642&amp;". Предварительная причина: "&amp;L642&amp;". Основное осложнение: "&amp;M642&amp;IF(N642&lt;&gt;"","; сопутствующее: "&amp;N642,"")&amp;IF(O642&lt;&gt;"","; дополнительно: "&amp;O642,"")&amp;".")</f>
        <v/>
      </c>
      <c r="R642" s="172">
        <f>IF('Оперативный ввод'!P642="","",'Оперативный ввод'!P642)</f>
        <v/>
      </c>
      <c r="S642" s="172">
        <f>IF('Оперативный ввод'!Q642="","",'Оперативный ввод'!Q642)</f>
        <v/>
      </c>
      <c r="T642" s="172">
        <f>IF('Оперативный ввод'!R642="","",'Оперативный ввод'!R642)</f>
        <v/>
      </c>
      <c r="U642" s="172">
        <f>IF('Оперативный ввод'!S642="","",'Оперативный ввод'!S642)</f>
        <v/>
      </c>
      <c r="V642" s="172">
        <f>IF('Оперативный ввод'!T642="","",'Оперативный ввод'!T642)</f>
        <v/>
      </c>
      <c r="W642" s="172" t="n"/>
      <c r="X642" s="172" t="n"/>
      <c r="Y642" s="172" t="n"/>
      <c r="Z642" s="172" t="n"/>
      <c r="AA642" s="172">
        <f>IF('Оперативный ввод'!U642="","",'Оперативный ввод'!U642)</f>
        <v/>
      </c>
      <c r="AB642" s="172">
        <f>IF('Оперативный ввод'!V642="","",'Оперативный ввод'!V642)</f>
        <v/>
      </c>
      <c r="AC642" s="172">
        <f>IF('Оперативный ввод'!W642="","",'Оперативный ввод'!W642)</f>
        <v/>
      </c>
      <c r="BB642" s="172" t="n"/>
      <c r="BC642" s="172" t="n"/>
      <c r="BD642" s="205">
        <f>IF(AND(A642="",B642=""),"",IF(AND(P642="ГОТОВО",R642&lt;&gt;"",T642&lt;&gt;"",U642&lt;&gt;"",AA642&lt;&gt;"",AB642&lt;&gt;"",AC642&lt;&gt;"",BB642&lt;&gt;"",BC642&lt;&gt;""),"ГОТОВО","НЕ ГОТОВО"))</f>
        <v/>
      </c>
      <c r="BE642" s="205">
        <f>IF(BD642&lt;&gt;"ГОТОВО","","Полное заключение: "&amp;A642&amp;", скв. "&amp;B642&amp;". МРП: "&amp;E642&amp;" сут. ГНО: "&amp;F642&amp;"; причина: "&amp;U642&amp;"; категория: "&amp;V642&amp;"; решение комиссии: "&amp;BB642&amp;".")</f>
        <v/>
      </c>
      <c r="BF642" s="173">
        <f>IF('Оперативный ввод'!X642="","",'Оперативный ввод'!X642)</f>
        <v/>
      </c>
    </row>
    <row r="643">
      <c r="A643" s="171">
        <f>IF('Оперативный ввод'!A643="","",'Оперативный ввод'!A643)</f>
        <v/>
      </c>
      <c r="B643" s="172">
        <f>IF('Оперативный ввод'!B643="","",'Оперативный ввод'!B643)</f>
        <v/>
      </c>
      <c r="C643" s="270">
        <f>IF('Оперативный ввод'!C643="","",'Оперативный ввод'!C643)</f>
        <v/>
      </c>
      <c r="D643" s="270">
        <f>IF('Оперативный ввод'!D643="","",'Оперативный ввод'!D643)</f>
        <v/>
      </c>
      <c r="E643" s="271">
        <f>IF(OR(C643="",D643=""),"",D643-C643)</f>
        <v/>
      </c>
      <c r="F643" s="172">
        <f>IF('Оперативный ввод'!F643="","",'Оперативный ввод'!F643)</f>
        <v/>
      </c>
      <c r="G643" s="172">
        <f>IF('Оперативный ввод'!G643="","",'Оперативный ввод'!G643)</f>
        <v/>
      </c>
      <c r="H643" s="172">
        <f>IF('Оперативный ввод'!H643="","",'Оперативный ввод'!H643)</f>
        <v/>
      </c>
      <c r="I643" s="172">
        <f>IF('Оперативный ввод'!I643="","",'Оперативный ввод'!I643)</f>
        <v/>
      </c>
      <c r="J643" s="172">
        <f>IF('Оперативный ввод'!J643="","",'Оперативный ввод'!J643)</f>
        <v/>
      </c>
      <c r="K643" s="172">
        <f>IF('Оперативный ввод'!K643="","",'Оперативный ввод'!K643)</f>
        <v/>
      </c>
      <c r="L643" s="172">
        <f>IF('Оперативный ввод'!L643="","",'Оперативный ввод'!L643)</f>
        <v/>
      </c>
      <c r="M643" s="172">
        <f>IF('Оперативный ввод'!M643="","",'Оперативный ввод'!M643)</f>
        <v/>
      </c>
      <c r="N643" s="172">
        <f>IF('Оперативный ввод'!N643="","",'Оперативный ввод'!N643)</f>
        <v/>
      </c>
      <c r="O643" s="172">
        <f>IF('Оперативный ввод'!O643="","",'Оперативный ввод'!O643)</f>
        <v/>
      </c>
      <c r="P643" s="205">
        <f>IF(AND(A643="",B643=""),"",IF(AND(A643&lt;&gt;"",B643&lt;&gt;"",C643&lt;&gt;"",D643&lt;&gt;"",F643&lt;&gt;"",G643&lt;&gt;"",H643&lt;&gt;"",ISERROR(SEARCH("по паспорту",G643)),ISERROR(SEARCH("по паспорту",H643)),I643&lt;&gt;"",J643&lt;&gt;"",K643&lt;&gt;"",L643&lt;&gt;"",M643&lt;&gt;""),"ГОТОВО","НЕ ГОТОВО"))</f>
        <v/>
      </c>
      <c r="Q643" s="205">
        <f>IF(P643&lt;&gt;"ГОТОВО","", "Предварительное заключение: "&amp;A643&amp;", скв. "&amp;B643&amp;". МРП: "&amp;E643&amp;" сут. ГНО: "&amp;F643&amp;", типоразмер "&amp;G643&amp;", марка "&amp;H643&amp;". Событие: "&amp;I643&amp;". Признак: "&amp;J643&amp;". Узел: "&amp;K643&amp;". Предварительная причина: "&amp;L643&amp;". Основное осложнение: "&amp;M643&amp;IF(N643&lt;&gt;"","; сопутствующее: "&amp;N643,"")&amp;IF(O643&lt;&gt;"","; дополнительно: "&amp;O643,"")&amp;".")</f>
        <v/>
      </c>
      <c r="R643" s="172">
        <f>IF('Оперативный ввод'!P643="","",'Оперативный ввод'!P643)</f>
        <v/>
      </c>
      <c r="S643" s="172">
        <f>IF('Оперативный ввод'!Q643="","",'Оперативный ввод'!Q643)</f>
        <v/>
      </c>
      <c r="T643" s="172">
        <f>IF('Оперативный ввод'!R643="","",'Оперативный ввод'!R643)</f>
        <v/>
      </c>
      <c r="U643" s="172">
        <f>IF('Оперативный ввод'!S643="","",'Оперативный ввод'!S643)</f>
        <v/>
      </c>
      <c r="V643" s="172">
        <f>IF('Оперативный ввод'!T643="","",'Оперативный ввод'!T643)</f>
        <v/>
      </c>
      <c r="W643" s="172" t="n"/>
      <c r="X643" s="172" t="n"/>
      <c r="Y643" s="172" t="n"/>
      <c r="Z643" s="172" t="n"/>
      <c r="AA643" s="172">
        <f>IF('Оперативный ввод'!U643="","",'Оперативный ввод'!U643)</f>
        <v/>
      </c>
      <c r="AB643" s="172">
        <f>IF('Оперативный ввод'!V643="","",'Оперативный ввод'!V643)</f>
        <v/>
      </c>
      <c r="AC643" s="172">
        <f>IF('Оперативный ввод'!W643="","",'Оперативный ввод'!W643)</f>
        <v/>
      </c>
      <c r="BB643" s="172" t="n"/>
      <c r="BC643" s="172" t="n"/>
      <c r="BD643" s="205">
        <f>IF(AND(A643="",B643=""),"",IF(AND(P643="ГОТОВО",R643&lt;&gt;"",T643&lt;&gt;"",U643&lt;&gt;"",AA643&lt;&gt;"",AB643&lt;&gt;"",AC643&lt;&gt;"",BB643&lt;&gt;"",BC643&lt;&gt;""),"ГОТОВО","НЕ ГОТОВО"))</f>
        <v/>
      </c>
      <c r="BE643" s="205">
        <f>IF(BD643&lt;&gt;"ГОТОВО","","Полное заключение: "&amp;A643&amp;", скв. "&amp;B643&amp;". МРП: "&amp;E643&amp;" сут. ГНО: "&amp;F643&amp;"; причина: "&amp;U643&amp;"; категория: "&amp;V643&amp;"; решение комиссии: "&amp;BB643&amp;".")</f>
        <v/>
      </c>
      <c r="BF643" s="173">
        <f>IF('Оперативный ввод'!X643="","",'Оперативный ввод'!X643)</f>
        <v/>
      </c>
    </row>
    <row r="644">
      <c r="A644" s="171">
        <f>IF('Оперативный ввод'!A644="","",'Оперативный ввод'!A644)</f>
        <v/>
      </c>
      <c r="B644" s="172">
        <f>IF('Оперативный ввод'!B644="","",'Оперативный ввод'!B644)</f>
        <v/>
      </c>
      <c r="C644" s="270">
        <f>IF('Оперативный ввод'!C644="","",'Оперативный ввод'!C644)</f>
        <v/>
      </c>
      <c r="D644" s="270">
        <f>IF('Оперативный ввод'!D644="","",'Оперативный ввод'!D644)</f>
        <v/>
      </c>
      <c r="E644" s="271">
        <f>IF(OR(C644="",D644=""),"",D644-C644)</f>
        <v/>
      </c>
      <c r="F644" s="172">
        <f>IF('Оперативный ввод'!F644="","",'Оперативный ввод'!F644)</f>
        <v/>
      </c>
      <c r="G644" s="172">
        <f>IF('Оперативный ввод'!G644="","",'Оперативный ввод'!G644)</f>
        <v/>
      </c>
      <c r="H644" s="172">
        <f>IF('Оперативный ввод'!H644="","",'Оперативный ввод'!H644)</f>
        <v/>
      </c>
      <c r="I644" s="172">
        <f>IF('Оперативный ввод'!I644="","",'Оперативный ввод'!I644)</f>
        <v/>
      </c>
      <c r="J644" s="172">
        <f>IF('Оперативный ввод'!J644="","",'Оперативный ввод'!J644)</f>
        <v/>
      </c>
      <c r="K644" s="172">
        <f>IF('Оперативный ввод'!K644="","",'Оперативный ввод'!K644)</f>
        <v/>
      </c>
      <c r="L644" s="172">
        <f>IF('Оперативный ввод'!L644="","",'Оперативный ввод'!L644)</f>
        <v/>
      </c>
      <c r="M644" s="172">
        <f>IF('Оперативный ввод'!M644="","",'Оперативный ввод'!M644)</f>
        <v/>
      </c>
      <c r="N644" s="172">
        <f>IF('Оперативный ввод'!N644="","",'Оперативный ввод'!N644)</f>
        <v/>
      </c>
      <c r="O644" s="172">
        <f>IF('Оперативный ввод'!O644="","",'Оперативный ввод'!O644)</f>
        <v/>
      </c>
      <c r="P644" s="205">
        <f>IF(AND(A644="",B644=""),"",IF(AND(A644&lt;&gt;"",B644&lt;&gt;"",C644&lt;&gt;"",D644&lt;&gt;"",F644&lt;&gt;"",G644&lt;&gt;"",H644&lt;&gt;"",ISERROR(SEARCH("по паспорту",G644)),ISERROR(SEARCH("по паспорту",H644)),I644&lt;&gt;"",J644&lt;&gt;"",K644&lt;&gt;"",L644&lt;&gt;"",M644&lt;&gt;""),"ГОТОВО","НЕ ГОТОВО"))</f>
        <v/>
      </c>
      <c r="Q644" s="205">
        <f>IF(P644&lt;&gt;"ГОТОВО","", "Предварительное заключение: "&amp;A644&amp;", скв. "&amp;B644&amp;". МРП: "&amp;E644&amp;" сут. ГНО: "&amp;F644&amp;", типоразмер "&amp;G644&amp;", марка "&amp;H644&amp;". Событие: "&amp;I644&amp;". Признак: "&amp;J644&amp;". Узел: "&amp;K644&amp;". Предварительная причина: "&amp;L644&amp;". Основное осложнение: "&amp;M644&amp;IF(N644&lt;&gt;"","; сопутствующее: "&amp;N644,"")&amp;IF(O644&lt;&gt;"","; дополнительно: "&amp;O644,"")&amp;".")</f>
        <v/>
      </c>
      <c r="R644" s="172">
        <f>IF('Оперативный ввод'!P644="","",'Оперативный ввод'!P644)</f>
        <v/>
      </c>
      <c r="S644" s="172">
        <f>IF('Оперативный ввод'!Q644="","",'Оперативный ввод'!Q644)</f>
        <v/>
      </c>
      <c r="T644" s="172">
        <f>IF('Оперативный ввод'!R644="","",'Оперативный ввод'!R644)</f>
        <v/>
      </c>
      <c r="U644" s="172">
        <f>IF('Оперативный ввод'!S644="","",'Оперативный ввод'!S644)</f>
        <v/>
      </c>
      <c r="V644" s="172">
        <f>IF('Оперативный ввод'!T644="","",'Оперативный ввод'!T644)</f>
        <v/>
      </c>
      <c r="W644" s="172" t="n"/>
      <c r="X644" s="172" t="n"/>
      <c r="Y644" s="172" t="n"/>
      <c r="Z644" s="172" t="n"/>
      <c r="AA644" s="172">
        <f>IF('Оперативный ввод'!U644="","",'Оперативный ввод'!U644)</f>
        <v/>
      </c>
      <c r="AB644" s="172">
        <f>IF('Оперативный ввод'!V644="","",'Оперативный ввод'!V644)</f>
        <v/>
      </c>
      <c r="AC644" s="172">
        <f>IF('Оперативный ввод'!W644="","",'Оперативный ввод'!W644)</f>
        <v/>
      </c>
      <c r="BB644" s="172" t="n"/>
      <c r="BC644" s="172" t="n"/>
      <c r="BD644" s="205">
        <f>IF(AND(A644="",B644=""),"",IF(AND(P644="ГОТОВО",R644&lt;&gt;"",T644&lt;&gt;"",U644&lt;&gt;"",AA644&lt;&gt;"",AB644&lt;&gt;"",AC644&lt;&gt;"",BB644&lt;&gt;"",BC644&lt;&gt;""),"ГОТОВО","НЕ ГОТОВО"))</f>
        <v/>
      </c>
      <c r="BE644" s="205">
        <f>IF(BD644&lt;&gt;"ГОТОВО","","Полное заключение: "&amp;A644&amp;", скв. "&amp;B644&amp;". МРП: "&amp;E644&amp;" сут. ГНО: "&amp;F644&amp;"; причина: "&amp;U644&amp;"; категория: "&amp;V644&amp;"; решение комиссии: "&amp;BB644&amp;".")</f>
        <v/>
      </c>
      <c r="BF644" s="173">
        <f>IF('Оперативный ввод'!X644="","",'Оперативный ввод'!X644)</f>
        <v/>
      </c>
    </row>
    <row r="645">
      <c r="A645" s="171">
        <f>IF('Оперативный ввод'!A645="","",'Оперативный ввод'!A645)</f>
        <v/>
      </c>
      <c r="B645" s="172">
        <f>IF('Оперативный ввод'!B645="","",'Оперативный ввод'!B645)</f>
        <v/>
      </c>
      <c r="C645" s="270">
        <f>IF('Оперативный ввод'!C645="","",'Оперативный ввод'!C645)</f>
        <v/>
      </c>
      <c r="D645" s="270">
        <f>IF('Оперативный ввод'!D645="","",'Оперативный ввод'!D645)</f>
        <v/>
      </c>
      <c r="E645" s="271">
        <f>IF(OR(C645="",D645=""),"",D645-C645)</f>
        <v/>
      </c>
      <c r="F645" s="172">
        <f>IF('Оперативный ввод'!F645="","",'Оперативный ввод'!F645)</f>
        <v/>
      </c>
      <c r="G645" s="172">
        <f>IF('Оперативный ввод'!G645="","",'Оперативный ввод'!G645)</f>
        <v/>
      </c>
      <c r="H645" s="172">
        <f>IF('Оперативный ввод'!H645="","",'Оперативный ввод'!H645)</f>
        <v/>
      </c>
      <c r="I645" s="172">
        <f>IF('Оперативный ввод'!I645="","",'Оперативный ввод'!I645)</f>
        <v/>
      </c>
      <c r="J645" s="172">
        <f>IF('Оперативный ввод'!J645="","",'Оперативный ввод'!J645)</f>
        <v/>
      </c>
      <c r="K645" s="172">
        <f>IF('Оперативный ввод'!K645="","",'Оперативный ввод'!K645)</f>
        <v/>
      </c>
      <c r="L645" s="172">
        <f>IF('Оперативный ввод'!L645="","",'Оперативный ввод'!L645)</f>
        <v/>
      </c>
      <c r="M645" s="172">
        <f>IF('Оперативный ввод'!M645="","",'Оперативный ввод'!M645)</f>
        <v/>
      </c>
      <c r="N645" s="172">
        <f>IF('Оперативный ввод'!N645="","",'Оперативный ввод'!N645)</f>
        <v/>
      </c>
      <c r="O645" s="172">
        <f>IF('Оперативный ввод'!O645="","",'Оперативный ввод'!O645)</f>
        <v/>
      </c>
      <c r="P645" s="205">
        <f>IF(AND(A645="",B645=""),"",IF(AND(A645&lt;&gt;"",B645&lt;&gt;"",C645&lt;&gt;"",D645&lt;&gt;"",F645&lt;&gt;"",G645&lt;&gt;"",H645&lt;&gt;"",ISERROR(SEARCH("по паспорту",G645)),ISERROR(SEARCH("по паспорту",H645)),I645&lt;&gt;"",J645&lt;&gt;"",K645&lt;&gt;"",L645&lt;&gt;"",M645&lt;&gt;""),"ГОТОВО","НЕ ГОТОВО"))</f>
        <v/>
      </c>
      <c r="Q645" s="205">
        <f>IF(P645&lt;&gt;"ГОТОВО","", "Предварительное заключение: "&amp;A645&amp;", скв. "&amp;B645&amp;". МРП: "&amp;E645&amp;" сут. ГНО: "&amp;F645&amp;", типоразмер "&amp;G645&amp;", марка "&amp;H645&amp;". Событие: "&amp;I645&amp;". Признак: "&amp;J645&amp;". Узел: "&amp;K645&amp;". Предварительная причина: "&amp;L645&amp;". Основное осложнение: "&amp;M645&amp;IF(N645&lt;&gt;"","; сопутствующее: "&amp;N645,"")&amp;IF(O645&lt;&gt;"","; дополнительно: "&amp;O645,"")&amp;".")</f>
        <v/>
      </c>
      <c r="R645" s="172">
        <f>IF('Оперативный ввод'!P645="","",'Оперативный ввод'!P645)</f>
        <v/>
      </c>
      <c r="S645" s="172">
        <f>IF('Оперативный ввод'!Q645="","",'Оперативный ввод'!Q645)</f>
        <v/>
      </c>
      <c r="T645" s="172">
        <f>IF('Оперативный ввод'!R645="","",'Оперативный ввод'!R645)</f>
        <v/>
      </c>
      <c r="U645" s="172">
        <f>IF('Оперативный ввод'!S645="","",'Оперативный ввод'!S645)</f>
        <v/>
      </c>
      <c r="V645" s="172">
        <f>IF('Оперативный ввод'!T645="","",'Оперативный ввод'!T645)</f>
        <v/>
      </c>
      <c r="W645" s="172" t="n"/>
      <c r="X645" s="172" t="n"/>
      <c r="Y645" s="172" t="n"/>
      <c r="Z645" s="172" t="n"/>
      <c r="AA645" s="172">
        <f>IF('Оперативный ввод'!U645="","",'Оперативный ввод'!U645)</f>
        <v/>
      </c>
      <c r="AB645" s="172">
        <f>IF('Оперативный ввод'!V645="","",'Оперативный ввод'!V645)</f>
        <v/>
      </c>
      <c r="AC645" s="172">
        <f>IF('Оперативный ввод'!W645="","",'Оперативный ввод'!W645)</f>
        <v/>
      </c>
      <c r="BB645" s="172" t="n"/>
      <c r="BC645" s="172" t="n"/>
      <c r="BD645" s="205">
        <f>IF(AND(A645="",B645=""),"",IF(AND(P645="ГОТОВО",R645&lt;&gt;"",T645&lt;&gt;"",U645&lt;&gt;"",AA645&lt;&gt;"",AB645&lt;&gt;"",AC645&lt;&gt;"",BB645&lt;&gt;"",BC645&lt;&gt;""),"ГОТОВО","НЕ ГОТОВО"))</f>
        <v/>
      </c>
      <c r="BE645" s="205">
        <f>IF(BD645&lt;&gt;"ГОТОВО","","Полное заключение: "&amp;A645&amp;", скв. "&amp;B645&amp;". МРП: "&amp;E645&amp;" сут. ГНО: "&amp;F645&amp;"; причина: "&amp;U645&amp;"; категория: "&amp;V645&amp;"; решение комиссии: "&amp;BB645&amp;".")</f>
        <v/>
      </c>
      <c r="BF645" s="173">
        <f>IF('Оперативный ввод'!X645="","",'Оперативный ввод'!X645)</f>
        <v/>
      </c>
    </row>
    <row r="646">
      <c r="A646" s="171">
        <f>IF('Оперативный ввод'!A646="","",'Оперативный ввод'!A646)</f>
        <v/>
      </c>
      <c r="B646" s="172">
        <f>IF('Оперативный ввод'!B646="","",'Оперативный ввод'!B646)</f>
        <v/>
      </c>
      <c r="C646" s="270">
        <f>IF('Оперативный ввод'!C646="","",'Оперативный ввод'!C646)</f>
        <v/>
      </c>
      <c r="D646" s="270">
        <f>IF('Оперативный ввод'!D646="","",'Оперативный ввод'!D646)</f>
        <v/>
      </c>
      <c r="E646" s="271">
        <f>IF(OR(C646="",D646=""),"",D646-C646)</f>
        <v/>
      </c>
      <c r="F646" s="172">
        <f>IF('Оперативный ввод'!F646="","",'Оперативный ввод'!F646)</f>
        <v/>
      </c>
      <c r="G646" s="172">
        <f>IF('Оперативный ввод'!G646="","",'Оперативный ввод'!G646)</f>
        <v/>
      </c>
      <c r="H646" s="172">
        <f>IF('Оперативный ввод'!H646="","",'Оперативный ввод'!H646)</f>
        <v/>
      </c>
      <c r="I646" s="172">
        <f>IF('Оперативный ввод'!I646="","",'Оперативный ввод'!I646)</f>
        <v/>
      </c>
      <c r="J646" s="172">
        <f>IF('Оперативный ввод'!J646="","",'Оперативный ввод'!J646)</f>
        <v/>
      </c>
      <c r="K646" s="172">
        <f>IF('Оперативный ввод'!K646="","",'Оперативный ввод'!K646)</f>
        <v/>
      </c>
      <c r="L646" s="172">
        <f>IF('Оперативный ввод'!L646="","",'Оперативный ввод'!L646)</f>
        <v/>
      </c>
      <c r="M646" s="172">
        <f>IF('Оперативный ввод'!M646="","",'Оперативный ввод'!M646)</f>
        <v/>
      </c>
      <c r="N646" s="172">
        <f>IF('Оперативный ввод'!N646="","",'Оперативный ввод'!N646)</f>
        <v/>
      </c>
      <c r="O646" s="172">
        <f>IF('Оперативный ввод'!O646="","",'Оперативный ввод'!O646)</f>
        <v/>
      </c>
      <c r="P646" s="205">
        <f>IF(AND(A646="",B646=""),"",IF(AND(A646&lt;&gt;"",B646&lt;&gt;"",C646&lt;&gt;"",D646&lt;&gt;"",F646&lt;&gt;"",G646&lt;&gt;"",H646&lt;&gt;"",ISERROR(SEARCH("по паспорту",G646)),ISERROR(SEARCH("по паспорту",H646)),I646&lt;&gt;"",J646&lt;&gt;"",K646&lt;&gt;"",L646&lt;&gt;"",M646&lt;&gt;""),"ГОТОВО","НЕ ГОТОВО"))</f>
        <v/>
      </c>
      <c r="Q646" s="205">
        <f>IF(P646&lt;&gt;"ГОТОВО","", "Предварительное заключение: "&amp;A646&amp;", скв. "&amp;B646&amp;". МРП: "&amp;E646&amp;" сут. ГНО: "&amp;F646&amp;", типоразмер "&amp;G646&amp;", марка "&amp;H646&amp;". Событие: "&amp;I646&amp;". Признак: "&amp;J646&amp;". Узел: "&amp;K646&amp;". Предварительная причина: "&amp;L646&amp;". Основное осложнение: "&amp;M646&amp;IF(N646&lt;&gt;"","; сопутствующее: "&amp;N646,"")&amp;IF(O646&lt;&gt;"","; дополнительно: "&amp;O646,"")&amp;".")</f>
        <v/>
      </c>
      <c r="R646" s="172">
        <f>IF('Оперативный ввод'!P646="","",'Оперативный ввод'!P646)</f>
        <v/>
      </c>
      <c r="S646" s="172">
        <f>IF('Оперативный ввод'!Q646="","",'Оперативный ввод'!Q646)</f>
        <v/>
      </c>
      <c r="T646" s="172">
        <f>IF('Оперативный ввод'!R646="","",'Оперативный ввод'!R646)</f>
        <v/>
      </c>
      <c r="U646" s="172">
        <f>IF('Оперативный ввод'!S646="","",'Оперативный ввод'!S646)</f>
        <v/>
      </c>
      <c r="V646" s="172">
        <f>IF('Оперативный ввод'!T646="","",'Оперативный ввод'!T646)</f>
        <v/>
      </c>
      <c r="W646" s="172" t="n"/>
      <c r="X646" s="172" t="n"/>
      <c r="Y646" s="172" t="n"/>
      <c r="Z646" s="172" t="n"/>
      <c r="AA646" s="172">
        <f>IF('Оперативный ввод'!U646="","",'Оперативный ввод'!U646)</f>
        <v/>
      </c>
      <c r="AB646" s="172">
        <f>IF('Оперативный ввод'!V646="","",'Оперативный ввод'!V646)</f>
        <v/>
      </c>
      <c r="AC646" s="172">
        <f>IF('Оперативный ввод'!W646="","",'Оперативный ввод'!W646)</f>
        <v/>
      </c>
      <c r="BB646" s="172" t="n"/>
      <c r="BC646" s="172" t="n"/>
      <c r="BD646" s="205">
        <f>IF(AND(A646="",B646=""),"",IF(AND(P646="ГОТОВО",R646&lt;&gt;"",T646&lt;&gt;"",U646&lt;&gt;"",AA646&lt;&gt;"",AB646&lt;&gt;"",AC646&lt;&gt;"",BB646&lt;&gt;"",BC646&lt;&gt;""),"ГОТОВО","НЕ ГОТОВО"))</f>
        <v/>
      </c>
      <c r="BE646" s="205">
        <f>IF(BD646&lt;&gt;"ГОТОВО","","Полное заключение: "&amp;A646&amp;", скв. "&amp;B646&amp;". МРП: "&amp;E646&amp;" сут. ГНО: "&amp;F646&amp;"; причина: "&amp;U646&amp;"; категория: "&amp;V646&amp;"; решение комиссии: "&amp;BB646&amp;".")</f>
        <v/>
      </c>
      <c r="BF646" s="173">
        <f>IF('Оперативный ввод'!X646="","",'Оперативный ввод'!X646)</f>
        <v/>
      </c>
    </row>
    <row r="647">
      <c r="A647" s="171">
        <f>IF('Оперативный ввод'!A647="","",'Оперативный ввод'!A647)</f>
        <v/>
      </c>
      <c r="B647" s="172">
        <f>IF('Оперативный ввод'!B647="","",'Оперативный ввод'!B647)</f>
        <v/>
      </c>
      <c r="C647" s="270">
        <f>IF('Оперативный ввод'!C647="","",'Оперативный ввод'!C647)</f>
        <v/>
      </c>
      <c r="D647" s="270">
        <f>IF('Оперативный ввод'!D647="","",'Оперативный ввод'!D647)</f>
        <v/>
      </c>
      <c r="E647" s="271">
        <f>IF(OR(C647="",D647=""),"",D647-C647)</f>
        <v/>
      </c>
      <c r="F647" s="172">
        <f>IF('Оперативный ввод'!F647="","",'Оперативный ввод'!F647)</f>
        <v/>
      </c>
      <c r="G647" s="172">
        <f>IF('Оперативный ввод'!G647="","",'Оперативный ввод'!G647)</f>
        <v/>
      </c>
      <c r="H647" s="172">
        <f>IF('Оперативный ввод'!H647="","",'Оперативный ввод'!H647)</f>
        <v/>
      </c>
      <c r="I647" s="172">
        <f>IF('Оперативный ввод'!I647="","",'Оперативный ввод'!I647)</f>
        <v/>
      </c>
      <c r="J647" s="172">
        <f>IF('Оперативный ввод'!J647="","",'Оперативный ввод'!J647)</f>
        <v/>
      </c>
      <c r="K647" s="172">
        <f>IF('Оперативный ввод'!K647="","",'Оперативный ввод'!K647)</f>
        <v/>
      </c>
      <c r="L647" s="172">
        <f>IF('Оперативный ввод'!L647="","",'Оперативный ввод'!L647)</f>
        <v/>
      </c>
      <c r="M647" s="172">
        <f>IF('Оперативный ввод'!M647="","",'Оперативный ввод'!M647)</f>
        <v/>
      </c>
      <c r="N647" s="172">
        <f>IF('Оперативный ввод'!N647="","",'Оперативный ввод'!N647)</f>
        <v/>
      </c>
      <c r="O647" s="172">
        <f>IF('Оперативный ввод'!O647="","",'Оперативный ввод'!O647)</f>
        <v/>
      </c>
      <c r="P647" s="205">
        <f>IF(AND(A647="",B647=""),"",IF(AND(A647&lt;&gt;"",B647&lt;&gt;"",C647&lt;&gt;"",D647&lt;&gt;"",F647&lt;&gt;"",G647&lt;&gt;"",H647&lt;&gt;"",ISERROR(SEARCH("по паспорту",G647)),ISERROR(SEARCH("по паспорту",H647)),I647&lt;&gt;"",J647&lt;&gt;"",K647&lt;&gt;"",L647&lt;&gt;"",M647&lt;&gt;""),"ГОТОВО","НЕ ГОТОВО"))</f>
        <v/>
      </c>
      <c r="Q647" s="205">
        <f>IF(P647&lt;&gt;"ГОТОВО","", "Предварительное заключение: "&amp;A647&amp;", скв. "&amp;B647&amp;". МРП: "&amp;E647&amp;" сут. ГНО: "&amp;F647&amp;", типоразмер "&amp;G647&amp;", марка "&amp;H647&amp;". Событие: "&amp;I647&amp;". Признак: "&amp;J647&amp;". Узел: "&amp;K647&amp;". Предварительная причина: "&amp;L647&amp;". Основное осложнение: "&amp;M647&amp;IF(N647&lt;&gt;"","; сопутствующее: "&amp;N647,"")&amp;IF(O647&lt;&gt;"","; дополнительно: "&amp;O647,"")&amp;".")</f>
        <v/>
      </c>
      <c r="R647" s="172">
        <f>IF('Оперативный ввод'!P647="","",'Оперативный ввод'!P647)</f>
        <v/>
      </c>
      <c r="S647" s="172">
        <f>IF('Оперативный ввод'!Q647="","",'Оперативный ввод'!Q647)</f>
        <v/>
      </c>
      <c r="T647" s="172">
        <f>IF('Оперативный ввод'!R647="","",'Оперативный ввод'!R647)</f>
        <v/>
      </c>
      <c r="U647" s="172">
        <f>IF('Оперативный ввод'!S647="","",'Оперативный ввод'!S647)</f>
        <v/>
      </c>
      <c r="V647" s="172">
        <f>IF('Оперативный ввод'!T647="","",'Оперативный ввод'!T647)</f>
        <v/>
      </c>
      <c r="W647" s="172" t="n"/>
      <c r="X647" s="172" t="n"/>
      <c r="Y647" s="172" t="n"/>
      <c r="Z647" s="172" t="n"/>
      <c r="AA647" s="172">
        <f>IF('Оперативный ввод'!U647="","",'Оперативный ввод'!U647)</f>
        <v/>
      </c>
      <c r="AB647" s="172">
        <f>IF('Оперативный ввод'!V647="","",'Оперативный ввод'!V647)</f>
        <v/>
      </c>
      <c r="AC647" s="172">
        <f>IF('Оперативный ввод'!W647="","",'Оперативный ввод'!W647)</f>
        <v/>
      </c>
      <c r="BB647" s="172" t="n"/>
      <c r="BC647" s="172" t="n"/>
      <c r="BD647" s="205">
        <f>IF(AND(A647="",B647=""),"",IF(AND(P647="ГОТОВО",R647&lt;&gt;"",T647&lt;&gt;"",U647&lt;&gt;"",AA647&lt;&gt;"",AB647&lt;&gt;"",AC647&lt;&gt;"",BB647&lt;&gt;"",BC647&lt;&gt;""),"ГОТОВО","НЕ ГОТОВО"))</f>
        <v/>
      </c>
      <c r="BE647" s="205">
        <f>IF(BD647&lt;&gt;"ГОТОВО","","Полное заключение: "&amp;A647&amp;", скв. "&amp;B647&amp;". МРП: "&amp;E647&amp;" сут. ГНО: "&amp;F647&amp;"; причина: "&amp;U647&amp;"; категория: "&amp;V647&amp;"; решение комиссии: "&amp;BB647&amp;".")</f>
        <v/>
      </c>
      <c r="BF647" s="173">
        <f>IF('Оперативный ввод'!X647="","",'Оперативный ввод'!X647)</f>
        <v/>
      </c>
    </row>
    <row r="648">
      <c r="A648" s="171">
        <f>IF('Оперативный ввод'!A648="","",'Оперативный ввод'!A648)</f>
        <v/>
      </c>
      <c r="B648" s="172">
        <f>IF('Оперативный ввод'!B648="","",'Оперативный ввод'!B648)</f>
        <v/>
      </c>
      <c r="C648" s="270">
        <f>IF('Оперативный ввод'!C648="","",'Оперативный ввод'!C648)</f>
        <v/>
      </c>
      <c r="D648" s="270">
        <f>IF('Оперативный ввод'!D648="","",'Оперативный ввод'!D648)</f>
        <v/>
      </c>
      <c r="E648" s="271">
        <f>IF(OR(C648="",D648=""),"",D648-C648)</f>
        <v/>
      </c>
      <c r="F648" s="172">
        <f>IF('Оперативный ввод'!F648="","",'Оперативный ввод'!F648)</f>
        <v/>
      </c>
      <c r="G648" s="172">
        <f>IF('Оперативный ввод'!G648="","",'Оперативный ввод'!G648)</f>
        <v/>
      </c>
      <c r="H648" s="172">
        <f>IF('Оперативный ввод'!H648="","",'Оперативный ввод'!H648)</f>
        <v/>
      </c>
      <c r="I648" s="172">
        <f>IF('Оперативный ввод'!I648="","",'Оперативный ввод'!I648)</f>
        <v/>
      </c>
      <c r="J648" s="172">
        <f>IF('Оперативный ввод'!J648="","",'Оперативный ввод'!J648)</f>
        <v/>
      </c>
      <c r="K648" s="172">
        <f>IF('Оперативный ввод'!K648="","",'Оперативный ввод'!K648)</f>
        <v/>
      </c>
      <c r="L648" s="172">
        <f>IF('Оперативный ввод'!L648="","",'Оперативный ввод'!L648)</f>
        <v/>
      </c>
      <c r="M648" s="172">
        <f>IF('Оперативный ввод'!M648="","",'Оперативный ввод'!M648)</f>
        <v/>
      </c>
      <c r="N648" s="172">
        <f>IF('Оперативный ввод'!N648="","",'Оперативный ввод'!N648)</f>
        <v/>
      </c>
      <c r="O648" s="172">
        <f>IF('Оперативный ввод'!O648="","",'Оперативный ввод'!O648)</f>
        <v/>
      </c>
      <c r="P648" s="205">
        <f>IF(AND(A648="",B648=""),"",IF(AND(A648&lt;&gt;"",B648&lt;&gt;"",C648&lt;&gt;"",D648&lt;&gt;"",F648&lt;&gt;"",G648&lt;&gt;"",H648&lt;&gt;"",ISERROR(SEARCH("по паспорту",G648)),ISERROR(SEARCH("по паспорту",H648)),I648&lt;&gt;"",J648&lt;&gt;"",K648&lt;&gt;"",L648&lt;&gt;"",M648&lt;&gt;""),"ГОТОВО","НЕ ГОТОВО"))</f>
        <v/>
      </c>
      <c r="Q648" s="205">
        <f>IF(P648&lt;&gt;"ГОТОВО","", "Предварительное заключение: "&amp;A648&amp;", скв. "&amp;B648&amp;". МРП: "&amp;E648&amp;" сут. ГНО: "&amp;F648&amp;", типоразмер "&amp;G648&amp;", марка "&amp;H648&amp;". Событие: "&amp;I648&amp;". Признак: "&amp;J648&amp;". Узел: "&amp;K648&amp;". Предварительная причина: "&amp;L648&amp;". Основное осложнение: "&amp;M648&amp;IF(N648&lt;&gt;"","; сопутствующее: "&amp;N648,"")&amp;IF(O648&lt;&gt;"","; дополнительно: "&amp;O648,"")&amp;".")</f>
        <v/>
      </c>
      <c r="R648" s="172">
        <f>IF('Оперативный ввод'!P648="","",'Оперативный ввод'!P648)</f>
        <v/>
      </c>
      <c r="S648" s="172">
        <f>IF('Оперативный ввод'!Q648="","",'Оперативный ввод'!Q648)</f>
        <v/>
      </c>
      <c r="T648" s="172">
        <f>IF('Оперативный ввод'!R648="","",'Оперативный ввод'!R648)</f>
        <v/>
      </c>
      <c r="U648" s="172">
        <f>IF('Оперативный ввод'!S648="","",'Оперативный ввод'!S648)</f>
        <v/>
      </c>
      <c r="V648" s="172">
        <f>IF('Оперативный ввод'!T648="","",'Оперативный ввод'!T648)</f>
        <v/>
      </c>
      <c r="W648" s="172" t="n"/>
      <c r="X648" s="172" t="n"/>
      <c r="Y648" s="172" t="n"/>
      <c r="Z648" s="172" t="n"/>
      <c r="AA648" s="172">
        <f>IF('Оперативный ввод'!U648="","",'Оперативный ввод'!U648)</f>
        <v/>
      </c>
      <c r="AB648" s="172">
        <f>IF('Оперативный ввод'!V648="","",'Оперативный ввод'!V648)</f>
        <v/>
      </c>
      <c r="AC648" s="172">
        <f>IF('Оперативный ввод'!W648="","",'Оперативный ввод'!W648)</f>
        <v/>
      </c>
      <c r="BB648" s="172" t="n"/>
      <c r="BC648" s="172" t="n"/>
      <c r="BD648" s="205">
        <f>IF(AND(A648="",B648=""),"",IF(AND(P648="ГОТОВО",R648&lt;&gt;"",T648&lt;&gt;"",U648&lt;&gt;"",AA648&lt;&gt;"",AB648&lt;&gt;"",AC648&lt;&gt;"",BB648&lt;&gt;"",BC648&lt;&gt;""),"ГОТОВО","НЕ ГОТОВО"))</f>
        <v/>
      </c>
      <c r="BE648" s="205">
        <f>IF(BD648&lt;&gt;"ГОТОВО","","Полное заключение: "&amp;A648&amp;", скв. "&amp;B648&amp;". МРП: "&amp;E648&amp;" сут. ГНО: "&amp;F648&amp;"; причина: "&amp;U648&amp;"; категория: "&amp;V648&amp;"; решение комиссии: "&amp;BB648&amp;".")</f>
        <v/>
      </c>
      <c r="BF648" s="173">
        <f>IF('Оперативный ввод'!X648="","",'Оперативный ввод'!X648)</f>
        <v/>
      </c>
    </row>
    <row r="649">
      <c r="A649" s="171">
        <f>IF('Оперативный ввод'!A649="","",'Оперативный ввод'!A649)</f>
        <v/>
      </c>
      <c r="B649" s="172">
        <f>IF('Оперативный ввод'!B649="","",'Оперативный ввод'!B649)</f>
        <v/>
      </c>
      <c r="C649" s="270">
        <f>IF('Оперативный ввод'!C649="","",'Оперативный ввод'!C649)</f>
        <v/>
      </c>
      <c r="D649" s="270">
        <f>IF('Оперативный ввод'!D649="","",'Оперативный ввод'!D649)</f>
        <v/>
      </c>
      <c r="E649" s="271">
        <f>IF(OR(C649="",D649=""),"",D649-C649)</f>
        <v/>
      </c>
      <c r="F649" s="172">
        <f>IF('Оперативный ввод'!F649="","",'Оперативный ввод'!F649)</f>
        <v/>
      </c>
      <c r="G649" s="172">
        <f>IF('Оперативный ввод'!G649="","",'Оперативный ввод'!G649)</f>
        <v/>
      </c>
      <c r="H649" s="172">
        <f>IF('Оперативный ввод'!H649="","",'Оперативный ввод'!H649)</f>
        <v/>
      </c>
      <c r="I649" s="172">
        <f>IF('Оперативный ввод'!I649="","",'Оперативный ввод'!I649)</f>
        <v/>
      </c>
      <c r="J649" s="172">
        <f>IF('Оперативный ввод'!J649="","",'Оперативный ввод'!J649)</f>
        <v/>
      </c>
      <c r="K649" s="172">
        <f>IF('Оперативный ввод'!K649="","",'Оперативный ввод'!K649)</f>
        <v/>
      </c>
      <c r="L649" s="172">
        <f>IF('Оперативный ввод'!L649="","",'Оперативный ввод'!L649)</f>
        <v/>
      </c>
      <c r="M649" s="172">
        <f>IF('Оперативный ввод'!M649="","",'Оперативный ввод'!M649)</f>
        <v/>
      </c>
      <c r="N649" s="172">
        <f>IF('Оперативный ввод'!N649="","",'Оперативный ввод'!N649)</f>
        <v/>
      </c>
      <c r="O649" s="172">
        <f>IF('Оперативный ввод'!O649="","",'Оперативный ввод'!O649)</f>
        <v/>
      </c>
      <c r="P649" s="205">
        <f>IF(AND(A649="",B649=""),"",IF(AND(A649&lt;&gt;"",B649&lt;&gt;"",C649&lt;&gt;"",D649&lt;&gt;"",F649&lt;&gt;"",G649&lt;&gt;"",H649&lt;&gt;"",ISERROR(SEARCH("по паспорту",G649)),ISERROR(SEARCH("по паспорту",H649)),I649&lt;&gt;"",J649&lt;&gt;"",K649&lt;&gt;"",L649&lt;&gt;"",M649&lt;&gt;""),"ГОТОВО","НЕ ГОТОВО"))</f>
        <v/>
      </c>
      <c r="Q649" s="205">
        <f>IF(P649&lt;&gt;"ГОТОВО","", "Предварительное заключение: "&amp;A649&amp;", скв. "&amp;B649&amp;". МРП: "&amp;E649&amp;" сут. ГНО: "&amp;F649&amp;", типоразмер "&amp;G649&amp;", марка "&amp;H649&amp;". Событие: "&amp;I649&amp;". Признак: "&amp;J649&amp;". Узел: "&amp;K649&amp;". Предварительная причина: "&amp;L649&amp;". Основное осложнение: "&amp;M649&amp;IF(N649&lt;&gt;"","; сопутствующее: "&amp;N649,"")&amp;IF(O649&lt;&gt;"","; дополнительно: "&amp;O649,"")&amp;".")</f>
        <v/>
      </c>
      <c r="R649" s="172">
        <f>IF('Оперативный ввод'!P649="","",'Оперативный ввод'!P649)</f>
        <v/>
      </c>
      <c r="S649" s="172">
        <f>IF('Оперативный ввод'!Q649="","",'Оперативный ввод'!Q649)</f>
        <v/>
      </c>
      <c r="T649" s="172">
        <f>IF('Оперативный ввод'!R649="","",'Оперативный ввод'!R649)</f>
        <v/>
      </c>
      <c r="U649" s="172">
        <f>IF('Оперативный ввод'!S649="","",'Оперативный ввод'!S649)</f>
        <v/>
      </c>
      <c r="V649" s="172">
        <f>IF('Оперативный ввод'!T649="","",'Оперативный ввод'!T649)</f>
        <v/>
      </c>
      <c r="W649" s="172" t="n"/>
      <c r="X649" s="172" t="n"/>
      <c r="Y649" s="172" t="n"/>
      <c r="Z649" s="172" t="n"/>
      <c r="AA649" s="172">
        <f>IF('Оперативный ввод'!U649="","",'Оперативный ввод'!U649)</f>
        <v/>
      </c>
      <c r="AB649" s="172">
        <f>IF('Оперативный ввод'!V649="","",'Оперативный ввод'!V649)</f>
        <v/>
      </c>
      <c r="AC649" s="172">
        <f>IF('Оперативный ввод'!W649="","",'Оперативный ввод'!W649)</f>
        <v/>
      </c>
      <c r="BB649" s="172" t="n"/>
      <c r="BC649" s="172" t="n"/>
      <c r="BD649" s="205">
        <f>IF(AND(A649="",B649=""),"",IF(AND(P649="ГОТОВО",R649&lt;&gt;"",T649&lt;&gt;"",U649&lt;&gt;"",AA649&lt;&gt;"",AB649&lt;&gt;"",AC649&lt;&gt;"",BB649&lt;&gt;"",BC649&lt;&gt;""),"ГОТОВО","НЕ ГОТОВО"))</f>
        <v/>
      </c>
      <c r="BE649" s="205">
        <f>IF(BD649&lt;&gt;"ГОТОВО","","Полное заключение: "&amp;A649&amp;", скв. "&amp;B649&amp;". МРП: "&amp;E649&amp;" сут. ГНО: "&amp;F649&amp;"; причина: "&amp;U649&amp;"; категория: "&amp;V649&amp;"; решение комиссии: "&amp;BB649&amp;".")</f>
        <v/>
      </c>
      <c r="BF649" s="173">
        <f>IF('Оперативный ввод'!X649="","",'Оперативный ввод'!X649)</f>
        <v/>
      </c>
    </row>
    <row r="650">
      <c r="A650" s="171">
        <f>IF('Оперативный ввод'!A650="","",'Оперативный ввод'!A650)</f>
        <v/>
      </c>
      <c r="B650" s="172">
        <f>IF('Оперативный ввод'!B650="","",'Оперативный ввод'!B650)</f>
        <v/>
      </c>
      <c r="C650" s="270">
        <f>IF('Оперативный ввод'!C650="","",'Оперативный ввод'!C650)</f>
        <v/>
      </c>
      <c r="D650" s="270">
        <f>IF('Оперативный ввод'!D650="","",'Оперативный ввод'!D650)</f>
        <v/>
      </c>
      <c r="E650" s="271">
        <f>IF(OR(C650="",D650=""),"",D650-C650)</f>
        <v/>
      </c>
      <c r="F650" s="172">
        <f>IF('Оперативный ввод'!F650="","",'Оперативный ввод'!F650)</f>
        <v/>
      </c>
      <c r="G650" s="172">
        <f>IF('Оперативный ввод'!G650="","",'Оперативный ввод'!G650)</f>
        <v/>
      </c>
      <c r="H650" s="172">
        <f>IF('Оперативный ввод'!H650="","",'Оперативный ввод'!H650)</f>
        <v/>
      </c>
      <c r="I650" s="172">
        <f>IF('Оперативный ввод'!I650="","",'Оперативный ввод'!I650)</f>
        <v/>
      </c>
      <c r="J650" s="172">
        <f>IF('Оперативный ввод'!J650="","",'Оперативный ввод'!J650)</f>
        <v/>
      </c>
      <c r="K650" s="172">
        <f>IF('Оперативный ввод'!K650="","",'Оперативный ввод'!K650)</f>
        <v/>
      </c>
      <c r="L650" s="172">
        <f>IF('Оперативный ввод'!L650="","",'Оперативный ввод'!L650)</f>
        <v/>
      </c>
      <c r="M650" s="172">
        <f>IF('Оперативный ввод'!M650="","",'Оперативный ввод'!M650)</f>
        <v/>
      </c>
      <c r="N650" s="172">
        <f>IF('Оперативный ввод'!N650="","",'Оперативный ввод'!N650)</f>
        <v/>
      </c>
      <c r="O650" s="172">
        <f>IF('Оперативный ввод'!O650="","",'Оперативный ввод'!O650)</f>
        <v/>
      </c>
      <c r="P650" s="205">
        <f>IF(AND(A650="",B650=""),"",IF(AND(A650&lt;&gt;"",B650&lt;&gt;"",C650&lt;&gt;"",D650&lt;&gt;"",F650&lt;&gt;"",G650&lt;&gt;"",H650&lt;&gt;"",ISERROR(SEARCH("по паспорту",G650)),ISERROR(SEARCH("по паспорту",H650)),I650&lt;&gt;"",J650&lt;&gt;"",K650&lt;&gt;"",L650&lt;&gt;"",M650&lt;&gt;""),"ГОТОВО","НЕ ГОТОВО"))</f>
        <v/>
      </c>
      <c r="Q650" s="205">
        <f>IF(P650&lt;&gt;"ГОТОВО","", "Предварительное заключение: "&amp;A650&amp;", скв. "&amp;B650&amp;". МРП: "&amp;E650&amp;" сут. ГНО: "&amp;F650&amp;", типоразмер "&amp;G650&amp;", марка "&amp;H650&amp;". Событие: "&amp;I650&amp;". Признак: "&amp;J650&amp;". Узел: "&amp;K650&amp;". Предварительная причина: "&amp;L650&amp;". Основное осложнение: "&amp;M650&amp;IF(N650&lt;&gt;"","; сопутствующее: "&amp;N650,"")&amp;IF(O650&lt;&gt;"","; дополнительно: "&amp;O650,"")&amp;".")</f>
        <v/>
      </c>
      <c r="R650" s="172">
        <f>IF('Оперативный ввод'!P650="","",'Оперативный ввод'!P650)</f>
        <v/>
      </c>
      <c r="S650" s="172">
        <f>IF('Оперативный ввод'!Q650="","",'Оперативный ввод'!Q650)</f>
        <v/>
      </c>
      <c r="T650" s="172">
        <f>IF('Оперативный ввод'!R650="","",'Оперативный ввод'!R650)</f>
        <v/>
      </c>
      <c r="U650" s="172">
        <f>IF('Оперативный ввод'!S650="","",'Оперативный ввод'!S650)</f>
        <v/>
      </c>
      <c r="V650" s="172">
        <f>IF('Оперативный ввод'!T650="","",'Оперативный ввод'!T650)</f>
        <v/>
      </c>
      <c r="W650" s="172" t="n"/>
      <c r="X650" s="172" t="n"/>
      <c r="Y650" s="172" t="n"/>
      <c r="Z650" s="172" t="n"/>
      <c r="AA650" s="172">
        <f>IF('Оперативный ввод'!U650="","",'Оперативный ввод'!U650)</f>
        <v/>
      </c>
      <c r="AB650" s="172">
        <f>IF('Оперативный ввод'!V650="","",'Оперативный ввод'!V650)</f>
        <v/>
      </c>
      <c r="AC650" s="172">
        <f>IF('Оперативный ввод'!W650="","",'Оперативный ввод'!W650)</f>
        <v/>
      </c>
      <c r="BB650" s="172" t="n"/>
      <c r="BC650" s="172" t="n"/>
      <c r="BD650" s="205">
        <f>IF(AND(A650="",B650=""),"",IF(AND(P650="ГОТОВО",R650&lt;&gt;"",T650&lt;&gt;"",U650&lt;&gt;"",AA650&lt;&gt;"",AB650&lt;&gt;"",AC650&lt;&gt;"",BB650&lt;&gt;"",BC650&lt;&gt;""),"ГОТОВО","НЕ ГОТОВО"))</f>
        <v/>
      </c>
      <c r="BE650" s="205">
        <f>IF(BD650&lt;&gt;"ГОТОВО","","Полное заключение: "&amp;A650&amp;", скв. "&amp;B650&amp;". МРП: "&amp;E650&amp;" сут. ГНО: "&amp;F650&amp;"; причина: "&amp;U650&amp;"; категория: "&amp;V650&amp;"; решение комиссии: "&amp;BB650&amp;".")</f>
        <v/>
      </c>
      <c r="BF650" s="173">
        <f>IF('Оперативный ввод'!X650="","",'Оперативный ввод'!X650)</f>
        <v/>
      </c>
    </row>
    <row r="651">
      <c r="A651" s="171">
        <f>IF('Оперативный ввод'!A651="","",'Оперативный ввод'!A651)</f>
        <v/>
      </c>
      <c r="B651" s="172">
        <f>IF('Оперативный ввод'!B651="","",'Оперативный ввод'!B651)</f>
        <v/>
      </c>
      <c r="C651" s="270">
        <f>IF('Оперативный ввод'!C651="","",'Оперативный ввод'!C651)</f>
        <v/>
      </c>
      <c r="D651" s="270">
        <f>IF('Оперативный ввод'!D651="","",'Оперативный ввод'!D651)</f>
        <v/>
      </c>
      <c r="E651" s="271">
        <f>IF(OR(C651="",D651=""),"",D651-C651)</f>
        <v/>
      </c>
      <c r="F651" s="172">
        <f>IF('Оперативный ввод'!F651="","",'Оперативный ввод'!F651)</f>
        <v/>
      </c>
      <c r="G651" s="172">
        <f>IF('Оперативный ввод'!G651="","",'Оперативный ввод'!G651)</f>
        <v/>
      </c>
      <c r="H651" s="172">
        <f>IF('Оперативный ввод'!H651="","",'Оперативный ввод'!H651)</f>
        <v/>
      </c>
      <c r="I651" s="172">
        <f>IF('Оперативный ввод'!I651="","",'Оперативный ввод'!I651)</f>
        <v/>
      </c>
      <c r="J651" s="172">
        <f>IF('Оперативный ввод'!J651="","",'Оперативный ввод'!J651)</f>
        <v/>
      </c>
      <c r="K651" s="172">
        <f>IF('Оперативный ввод'!K651="","",'Оперативный ввод'!K651)</f>
        <v/>
      </c>
      <c r="L651" s="172">
        <f>IF('Оперативный ввод'!L651="","",'Оперативный ввод'!L651)</f>
        <v/>
      </c>
      <c r="M651" s="172">
        <f>IF('Оперативный ввод'!M651="","",'Оперативный ввод'!M651)</f>
        <v/>
      </c>
      <c r="N651" s="172">
        <f>IF('Оперативный ввод'!N651="","",'Оперативный ввод'!N651)</f>
        <v/>
      </c>
      <c r="O651" s="172">
        <f>IF('Оперативный ввод'!O651="","",'Оперативный ввод'!O651)</f>
        <v/>
      </c>
      <c r="P651" s="205">
        <f>IF(AND(A651="",B651=""),"",IF(AND(A651&lt;&gt;"",B651&lt;&gt;"",C651&lt;&gt;"",D651&lt;&gt;"",F651&lt;&gt;"",G651&lt;&gt;"",H651&lt;&gt;"",ISERROR(SEARCH("по паспорту",G651)),ISERROR(SEARCH("по паспорту",H651)),I651&lt;&gt;"",J651&lt;&gt;"",K651&lt;&gt;"",L651&lt;&gt;"",M651&lt;&gt;""),"ГОТОВО","НЕ ГОТОВО"))</f>
        <v/>
      </c>
      <c r="Q651" s="205">
        <f>IF(P651&lt;&gt;"ГОТОВО","", "Предварительное заключение: "&amp;A651&amp;", скв. "&amp;B651&amp;". МРП: "&amp;E651&amp;" сут. ГНО: "&amp;F651&amp;", типоразмер "&amp;G651&amp;", марка "&amp;H651&amp;". Событие: "&amp;I651&amp;". Признак: "&amp;J651&amp;". Узел: "&amp;K651&amp;". Предварительная причина: "&amp;L651&amp;". Основное осложнение: "&amp;M651&amp;IF(N651&lt;&gt;"","; сопутствующее: "&amp;N651,"")&amp;IF(O651&lt;&gt;"","; дополнительно: "&amp;O651,"")&amp;".")</f>
        <v/>
      </c>
      <c r="R651" s="172">
        <f>IF('Оперативный ввод'!P651="","",'Оперативный ввод'!P651)</f>
        <v/>
      </c>
      <c r="S651" s="172">
        <f>IF('Оперативный ввод'!Q651="","",'Оперативный ввод'!Q651)</f>
        <v/>
      </c>
      <c r="T651" s="172">
        <f>IF('Оперативный ввод'!R651="","",'Оперативный ввод'!R651)</f>
        <v/>
      </c>
      <c r="U651" s="172">
        <f>IF('Оперативный ввод'!S651="","",'Оперативный ввод'!S651)</f>
        <v/>
      </c>
      <c r="V651" s="172">
        <f>IF('Оперативный ввод'!T651="","",'Оперативный ввод'!T651)</f>
        <v/>
      </c>
      <c r="W651" s="172" t="n"/>
      <c r="X651" s="172" t="n"/>
      <c r="Y651" s="172" t="n"/>
      <c r="Z651" s="172" t="n"/>
      <c r="AA651" s="172">
        <f>IF('Оперативный ввод'!U651="","",'Оперативный ввод'!U651)</f>
        <v/>
      </c>
      <c r="AB651" s="172">
        <f>IF('Оперативный ввод'!V651="","",'Оперативный ввод'!V651)</f>
        <v/>
      </c>
      <c r="AC651" s="172">
        <f>IF('Оперативный ввод'!W651="","",'Оперативный ввод'!W651)</f>
        <v/>
      </c>
      <c r="BB651" s="172" t="n"/>
      <c r="BC651" s="172" t="n"/>
      <c r="BD651" s="205">
        <f>IF(AND(A651="",B651=""),"",IF(AND(P651="ГОТОВО",R651&lt;&gt;"",T651&lt;&gt;"",U651&lt;&gt;"",AA651&lt;&gt;"",AB651&lt;&gt;"",AC651&lt;&gt;"",BB651&lt;&gt;"",BC651&lt;&gt;""),"ГОТОВО","НЕ ГОТОВО"))</f>
        <v/>
      </c>
      <c r="BE651" s="205">
        <f>IF(BD651&lt;&gt;"ГОТОВО","","Полное заключение: "&amp;A651&amp;", скв. "&amp;B651&amp;". МРП: "&amp;E651&amp;" сут. ГНО: "&amp;F651&amp;"; причина: "&amp;U651&amp;"; категория: "&amp;V651&amp;"; решение комиссии: "&amp;BB651&amp;".")</f>
        <v/>
      </c>
      <c r="BF651" s="173">
        <f>IF('Оперативный ввод'!X651="","",'Оперативный ввод'!X651)</f>
        <v/>
      </c>
    </row>
    <row r="652">
      <c r="A652" s="171">
        <f>IF('Оперативный ввод'!A652="","",'Оперативный ввод'!A652)</f>
        <v/>
      </c>
      <c r="B652" s="172">
        <f>IF('Оперативный ввод'!B652="","",'Оперативный ввод'!B652)</f>
        <v/>
      </c>
      <c r="C652" s="270">
        <f>IF('Оперативный ввод'!C652="","",'Оперативный ввод'!C652)</f>
        <v/>
      </c>
      <c r="D652" s="270">
        <f>IF('Оперативный ввод'!D652="","",'Оперативный ввод'!D652)</f>
        <v/>
      </c>
      <c r="E652" s="271">
        <f>IF(OR(C652="",D652=""),"",D652-C652)</f>
        <v/>
      </c>
      <c r="F652" s="172">
        <f>IF('Оперативный ввод'!F652="","",'Оперативный ввод'!F652)</f>
        <v/>
      </c>
      <c r="G652" s="172">
        <f>IF('Оперативный ввод'!G652="","",'Оперативный ввод'!G652)</f>
        <v/>
      </c>
      <c r="H652" s="172">
        <f>IF('Оперативный ввод'!H652="","",'Оперативный ввод'!H652)</f>
        <v/>
      </c>
      <c r="I652" s="172">
        <f>IF('Оперативный ввод'!I652="","",'Оперативный ввод'!I652)</f>
        <v/>
      </c>
      <c r="J652" s="172">
        <f>IF('Оперативный ввод'!J652="","",'Оперативный ввод'!J652)</f>
        <v/>
      </c>
      <c r="K652" s="172">
        <f>IF('Оперативный ввод'!K652="","",'Оперативный ввод'!K652)</f>
        <v/>
      </c>
      <c r="L652" s="172">
        <f>IF('Оперативный ввод'!L652="","",'Оперативный ввод'!L652)</f>
        <v/>
      </c>
      <c r="M652" s="172">
        <f>IF('Оперативный ввод'!M652="","",'Оперативный ввод'!M652)</f>
        <v/>
      </c>
      <c r="N652" s="172">
        <f>IF('Оперативный ввод'!N652="","",'Оперативный ввод'!N652)</f>
        <v/>
      </c>
      <c r="O652" s="172">
        <f>IF('Оперативный ввод'!O652="","",'Оперативный ввод'!O652)</f>
        <v/>
      </c>
      <c r="P652" s="205">
        <f>IF(AND(A652="",B652=""),"",IF(AND(A652&lt;&gt;"",B652&lt;&gt;"",C652&lt;&gt;"",D652&lt;&gt;"",F652&lt;&gt;"",G652&lt;&gt;"",H652&lt;&gt;"",ISERROR(SEARCH("по паспорту",G652)),ISERROR(SEARCH("по паспорту",H652)),I652&lt;&gt;"",J652&lt;&gt;"",K652&lt;&gt;"",L652&lt;&gt;"",M652&lt;&gt;""),"ГОТОВО","НЕ ГОТОВО"))</f>
        <v/>
      </c>
      <c r="Q652" s="205">
        <f>IF(P652&lt;&gt;"ГОТОВО","", "Предварительное заключение: "&amp;A652&amp;", скв. "&amp;B652&amp;". МРП: "&amp;E652&amp;" сут. ГНО: "&amp;F652&amp;", типоразмер "&amp;G652&amp;", марка "&amp;H652&amp;". Событие: "&amp;I652&amp;". Признак: "&amp;J652&amp;". Узел: "&amp;K652&amp;". Предварительная причина: "&amp;L652&amp;". Основное осложнение: "&amp;M652&amp;IF(N652&lt;&gt;"","; сопутствующее: "&amp;N652,"")&amp;IF(O652&lt;&gt;"","; дополнительно: "&amp;O652,"")&amp;".")</f>
        <v/>
      </c>
      <c r="R652" s="172">
        <f>IF('Оперативный ввод'!P652="","",'Оперативный ввод'!P652)</f>
        <v/>
      </c>
      <c r="S652" s="172">
        <f>IF('Оперативный ввод'!Q652="","",'Оперативный ввод'!Q652)</f>
        <v/>
      </c>
      <c r="T652" s="172">
        <f>IF('Оперативный ввод'!R652="","",'Оперативный ввод'!R652)</f>
        <v/>
      </c>
      <c r="U652" s="172">
        <f>IF('Оперативный ввод'!S652="","",'Оперативный ввод'!S652)</f>
        <v/>
      </c>
      <c r="V652" s="172">
        <f>IF('Оперативный ввод'!T652="","",'Оперативный ввод'!T652)</f>
        <v/>
      </c>
      <c r="W652" s="172" t="n"/>
      <c r="X652" s="172" t="n"/>
      <c r="Y652" s="172" t="n"/>
      <c r="Z652" s="172" t="n"/>
      <c r="AA652" s="172">
        <f>IF('Оперативный ввод'!U652="","",'Оперативный ввод'!U652)</f>
        <v/>
      </c>
      <c r="AB652" s="172">
        <f>IF('Оперативный ввод'!V652="","",'Оперативный ввод'!V652)</f>
        <v/>
      </c>
      <c r="AC652" s="172">
        <f>IF('Оперативный ввод'!W652="","",'Оперативный ввод'!W652)</f>
        <v/>
      </c>
      <c r="BB652" s="172" t="n"/>
      <c r="BC652" s="172" t="n"/>
      <c r="BD652" s="205">
        <f>IF(AND(A652="",B652=""),"",IF(AND(P652="ГОТОВО",R652&lt;&gt;"",T652&lt;&gt;"",U652&lt;&gt;"",AA652&lt;&gt;"",AB652&lt;&gt;"",AC652&lt;&gt;"",BB652&lt;&gt;"",BC652&lt;&gt;""),"ГОТОВО","НЕ ГОТОВО"))</f>
        <v/>
      </c>
      <c r="BE652" s="205">
        <f>IF(BD652&lt;&gt;"ГОТОВО","","Полное заключение: "&amp;A652&amp;", скв. "&amp;B652&amp;". МРП: "&amp;E652&amp;" сут. ГНО: "&amp;F652&amp;"; причина: "&amp;U652&amp;"; категория: "&amp;V652&amp;"; решение комиссии: "&amp;BB652&amp;".")</f>
        <v/>
      </c>
      <c r="BF652" s="173">
        <f>IF('Оперативный ввод'!X652="","",'Оперативный ввод'!X652)</f>
        <v/>
      </c>
    </row>
    <row r="653">
      <c r="A653" s="171">
        <f>IF('Оперативный ввод'!A653="","",'Оперативный ввод'!A653)</f>
        <v/>
      </c>
      <c r="B653" s="172">
        <f>IF('Оперативный ввод'!B653="","",'Оперативный ввод'!B653)</f>
        <v/>
      </c>
      <c r="C653" s="270">
        <f>IF('Оперативный ввод'!C653="","",'Оперативный ввод'!C653)</f>
        <v/>
      </c>
      <c r="D653" s="270">
        <f>IF('Оперативный ввод'!D653="","",'Оперативный ввод'!D653)</f>
        <v/>
      </c>
      <c r="E653" s="271">
        <f>IF(OR(C653="",D653=""),"",D653-C653)</f>
        <v/>
      </c>
      <c r="F653" s="172">
        <f>IF('Оперативный ввод'!F653="","",'Оперативный ввод'!F653)</f>
        <v/>
      </c>
      <c r="G653" s="172">
        <f>IF('Оперативный ввод'!G653="","",'Оперативный ввод'!G653)</f>
        <v/>
      </c>
      <c r="H653" s="172">
        <f>IF('Оперативный ввод'!H653="","",'Оперативный ввод'!H653)</f>
        <v/>
      </c>
      <c r="I653" s="172">
        <f>IF('Оперативный ввод'!I653="","",'Оперативный ввод'!I653)</f>
        <v/>
      </c>
      <c r="J653" s="172">
        <f>IF('Оперативный ввод'!J653="","",'Оперативный ввод'!J653)</f>
        <v/>
      </c>
      <c r="K653" s="172">
        <f>IF('Оперативный ввод'!K653="","",'Оперативный ввод'!K653)</f>
        <v/>
      </c>
      <c r="L653" s="172">
        <f>IF('Оперативный ввод'!L653="","",'Оперативный ввод'!L653)</f>
        <v/>
      </c>
      <c r="M653" s="172">
        <f>IF('Оперативный ввод'!M653="","",'Оперативный ввод'!M653)</f>
        <v/>
      </c>
      <c r="N653" s="172">
        <f>IF('Оперативный ввод'!N653="","",'Оперативный ввод'!N653)</f>
        <v/>
      </c>
      <c r="O653" s="172">
        <f>IF('Оперативный ввод'!O653="","",'Оперативный ввод'!O653)</f>
        <v/>
      </c>
      <c r="P653" s="205">
        <f>IF(AND(A653="",B653=""),"",IF(AND(A653&lt;&gt;"",B653&lt;&gt;"",C653&lt;&gt;"",D653&lt;&gt;"",F653&lt;&gt;"",G653&lt;&gt;"",H653&lt;&gt;"",ISERROR(SEARCH("по паспорту",G653)),ISERROR(SEARCH("по паспорту",H653)),I653&lt;&gt;"",J653&lt;&gt;"",K653&lt;&gt;"",L653&lt;&gt;"",M653&lt;&gt;""),"ГОТОВО","НЕ ГОТОВО"))</f>
        <v/>
      </c>
      <c r="Q653" s="205">
        <f>IF(P653&lt;&gt;"ГОТОВО","", "Предварительное заключение: "&amp;A653&amp;", скв. "&amp;B653&amp;". МРП: "&amp;E653&amp;" сут. ГНО: "&amp;F653&amp;", типоразмер "&amp;G653&amp;", марка "&amp;H653&amp;". Событие: "&amp;I653&amp;". Признак: "&amp;J653&amp;". Узел: "&amp;K653&amp;". Предварительная причина: "&amp;L653&amp;". Основное осложнение: "&amp;M653&amp;IF(N653&lt;&gt;"","; сопутствующее: "&amp;N653,"")&amp;IF(O653&lt;&gt;"","; дополнительно: "&amp;O653,"")&amp;".")</f>
        <v/>
      </c>
      <c r="R653" s="172">
        <f>IF('Оперативный ввод'!P653="","",'Оперативный ввод'!P653)</f>
        <v/>
      </c>
      <c r="S653" s="172">
        <f>IF('Оперативный ввод'!Q653="","",'Оперативный ввод'!Q653)</f>
        <v/>
      </c>
      <c r="T653" s="172">
        <f>IF('Оперативный ввод'!R653="","",'Оперативный ввод'!R653)</f>
        <v/>
      </c>
      <c r="U653" s="172">
        <f>IF('Оперативный ввод'!S653="","",'Оперативный ввод'!S653)</f>
        <v/>
      </c>
      <c r="V653" s="172">
        <f>IF('Оперативный ввод'!T653="","",'Оперативный ввод'!T653)</f>
        <v/>
      </c>
      <c r="W653" s="172" t="n"/>
      <c r="X653" s="172" t="n"/>
      <c r="Y653" s="172" t="n"/>
      <c r="Z653" s="172" t="n"/>
      <c r="AA653" s="172">
        <f>IF('Оперативный ввод'!U653="","",'Оперативный ввод'!U653)</f>
        <v/>
      </c>
      <c r="AB653" s="172">
        <f>IF('Оперативный ввод'!V653="","",'Оперативный ввод'!V653)</f>
        <v/>
      </c>
      <c r="AC653" s="172">
        <f>IF('Оперативный ввод'!W653="","",'Оперативный ввод'!W653)</f>
        <v/>
      </c>
      <c r="BB653" s="172" t="n"/>
      <c r="BC653" s="172" t="n"/>
      <c r="BD653" s="205">
        <f>IF(AND(A653="",B653=""),"",IF(AND(P653="ГОТОВО",R653&lt;&gt;"",T653&lt;&gt;"",U653&lt;&gt;"",AA653&lt;&gt;"",AB653&lt;&gt;"",AC653&lt;&gt;"",BB653&lt;&gt;"",BC653&lt;&gt;""),"ГОТОВО","НЕ ГОТОВО"))</f>
        <v/>
      </c>
      <c r="BE653" s="205">
        <f>IF(BD653&lt;&gt;"ГОТОВО","","Полное заключение: "&amp;A653&amp;", скв. "&amp;B653&amp;". МРП: "&amp;E653&amp;" сут. ГНО: "&amp;F653&amp;"; причина: "&amp;U653&amp;"; категория: "&amp;V653&amp;"; решение комиссии: "&amp;BB653&amp;".")</f>
        <v/>
      </c>
      <c r="BF653" s="173">
        <f>IF('Оперативный ввод'!X653="","",'Оперативный ввод'!X653)</f>
        <v/>
      </c>
    </row>
    <row r="654">
      <c r="A654" s="171">
        <f>IF('Оперативный ввод'!A654="","",'Оперативный ввод'!A654)</f>
        <v/>
      </c>
      <c r="B654" s="172">
        <f>IF('Оперативный ввод'!B654="","",'Оперативный ввод'!B654)</f>
        <v/>
      </c>
      <c r="C654" s="270">
        <f>IF('Оперативный ввод'!C654="","",'Оперативный ввод'!C654)</f>
        <v/>
      </c>
      <c r="D654" s="270">
        <f>IF('Оперативный ввод'!D654="","",'Оперативный ввод'!D654)</f>
        <v/>
      </c>
      <c r="E654" s="271">
        <f>IF(OR(C654="",D654=""),"",D654-C654)</f>
        <v/>
      </c>
      <c r="F654" s="172">
        <f>IF('Оперативный ввод'!F654="","",'Оперативный ввод'!F654)</f>
        <v/>
      </c>
      <c r="G654" s="172">
        <f>IF('Оперативный ввод'!G654="","",'Оперативный ввод'!G654)</f>
        <v/>
      </c>
      <c r="H654" s="172">
        <f>IF('Оперативный ввод'!H654="","",'Оперативный ввод'!H654)</f>
        <v/>
      </c>
      <c r="I654" s="172">
        <f>IF('Оперативный ввод'!I654="","",'Оперативный ввод'!I654)</f>
        <v/>
      </c>
      <c r="J654" s="172">
        <f>IF('Оперативный ввод'!J654="","",'Оперативный ввод'!J654)</f>
        <v/>
      </c>
      <c r="K654" s="172">
        <f>IF('Оперативный ввод'!K654="","",'Оперативный ввод'!K654)</f>
        <v/>
      </c>
      <c r="L654" s="172">
        <f>IF('Оперативный ввод'!L654="","",'Оперативный ввод'!L654)</f>
        <v/>
      </c>
      <c r="M654" s="172">
        <f>IF('Оперативный ввод'!M654="","",'Оперативный ввод'!M654)</f>
        <v/>
      </c>
      <c r="N654" s="172">
        <f>IF('Оперативный ввод'!N654="","",'Оперативный ввод'!N654)</f>
        <v/>
      </c>
      <c r="O654" s="172">
        <f>IF('Оперативный ввод'!O654="","",'Оперативный ввод'!O654)</f>
        <v/>
      </c>
      <c r="P654" s="205">
        <f>IF(AND(A654="",B654=""),"",IF(AND(A654&lt;&gt;"",B654&lt;&gt;"",C654&lt;&gt;"",D654&lt;&gt;"",F654&lt;&gt;"",G654&lt;&gt;"",H654&lt;&gt;"",ISERROR(SEARCH("по паспорту",G654)),ISERROR(SEARCH("по паспорту",H654)),I654&lt;&gt;"",J654&lt;&gt;"",K654&lt;&gt;"",L654&lt;&gt;"",M654&lt;&gt;""),"ГОТОВО","НЕ ГОТОВО"))</f>
        <v/>
      </c>
      <c r="Q654" s="205">
        <f>IF(P654&lt;&gt;"ГОТОВО","", "Предварительное заключение: "&amp;A654&amp;", скв. "&amp;B654&amp;". МРП: "&amp;E654&amp;" сут. ГНО: "&amp;F654&amp;", типоразмер "&amp;G654&amp;", марка "&amp;H654&amp;". Событие: "&amp;I654&amp;". Признак: "&amp;J654&amp;". Узел: "&amp;K654&amp;". Предварительная причина: "&amp;L654&amp;". Основное осложнение: "&amp;M654&amp;IF(N654&lt;&gt;"","; сопутствующее: "&amp;N654,"")&amp;IF(O654&lt;&gt;"","; дополнительно: "&amp;O654,"")&amp;".")</f>
        <v/>
      </c>
      <c r="R654" s="172">
        <f>IF('Оперативный ввод'!P654="","",'Оперативный ввод'!P654)</f>
        <v/>
      </c>
      <c r="S654" s="172">
        <f>IF('Оперативный ввод'!Q654="","",'Оперативный ввод'!Q654)</f>
        <v/>
      </c>
      <c r="T654" s="172">
        <f>IF('Оперативный ввод'!R654="","",'Оперативный ввод'!R654)</f>
        <v/>
      </c>
      <c r="U654" s="172">
        <f>IF('Оперативный ввод'!S654="","",'Оперативный ввод'!S654)</f>
        <v/>
      </c>
      <c r="V654" s="172">
        <f>IF('Оперативный ввод'!T654="","",'Оперативный ввод'!T654)</f>
        <v/>
      </c>
      <c r="W654" s="172" t="n"/>
      <c r="X654" s="172" t="n"/>
      <c r="Y654" s="172" t="n"/>
      <c r="Z654" s="172" t="n"/>
      <c r="AA654" s="172">
        <f>IF('Оперативный ввод'!U654="","",'Оперативный ввод'!U654)</f>
        <v/>
      </c>
      <c r="AB654" s="172">
        <f>IF('Оперативный ввод'!V654="","",'Оперативный ввод'!V654)</f>
        <v/>
      </c>
      <c r="AC654" s="172">
        <f>IF('Оперативный ввод'!W654="","",'Оперативный ввод'!W654)</f>
        <v/>
      </c>
      <c r="BB654" s="172" t="n"/>
      <c r="BC654" s="172" t="n"/>
      <c r="BD654" s="205">
        <f>IF(AND(A654="",B654=""),"",IF(AND(P654="ГОТОВО",R654&lt;&gt;"",T654&lt;&gt;"",U654&lt;&gt;"",AA654&lt;&gt;"",AB654&lt;&gt;"",AC654&lt;&gt;"",BB654&lt;&gt;"",BC654&lt;&gt;""),"ГОТОВО","НЕ ГОТОВО"))</f>
        <v/>
      </c>
      <c r="BE654" s="205">
        <f>IF(BD654&lt;&gt;"ГОТОВО","","Полное заключение: "&amp;A654&amp;", скв. "&amp;B654&amp;". МРП: "&amp;E654&amp;" сут. ГНО: "&amp;F654&amp;"; причина: "&amp;U654&amp;"; категория: "&amp;V654&amp;"; решение комиссии: "&amp;BB654&amp;".")</f>
        <v/>
      </c>
      <c r="BF654" s="173">
        <f>IF('Оперативный ввод'!X654="","",'Оперативный ввод'!X654)</f>
        <v/>
      </c>
    </row>
    <row r="655">
      <c r="A655" s="171">
        <f>IF('Оперативный ввод'!A655="","",'Оперативный ввод'!A655)</f>
        <v/>
      </c>
      <c r="B655" s="172">
        <f>IF('Оперативный ввод'!B655="","",'Оперативный ввод'!B655)</f>
        <v/>
      </c>
      <c r="C655" s="270">
        <f>IF('Оперативный ввод'!C655="","",'Оперативный ввод'!C655)</f>
        <v/>
      </c>
      <c r="D655" s="270">
        <f>IF('Оперативный ввод'!D655="","",'Оперативный ввод'!D655)</f>
        <v/>
      </c>
      <c r="E655" s="271">
        <f>IF(OR(C655="",D655=""),"",D655-C655)</f>
        <v/>
      </c>
      <c r="F655" s="172">
        <f>IF('Оперативный ввод'!F655="","",'Оперативный ввод'!F655)</f>
        <v/>
      </c>
      <c r="G655" s="172">
        <f>IF('Оперативный ввод'!G655="","",'Оперативный ввод'!G655)</f>
        <v/>
      </c>
      <c r="H655" s="172">
        <f>IF('Оперативный ввод'!H655="","",'Оперативный ввод'!H655)</f>
        <v/>
      </c>
      <c r="I655" s="172">
        <f>IF('Оперативный ввод'!I655="","",'Оперативный ввод'!I655)</f>
        <v/>
      </c>
      <c r="J655" s="172">
        <f>IF('Оперативный ввод'!J655="","",'Оперативный ввод'!J655)</f>
        <v/>
      </c>
      <c r="K655" s="172">
        <f>IF('Оперативный ввод'!K655="","",'Оперативный ввод'!K655)</f>
        <v/>
      </c>
      <c r="L655" s="172">
        <f>IF('Оперативный ввод'!L655="","",'Оперативный ввод'!L655)</f>
        <v/>
      </c>
      <c r="M655" s="172">
        <f>IF('Оперативный ввод'!M655="","",'Оперативный ввод'!M655)</f>
        <v/>
      </c>
      <c r="N655" s="172">
        <f>IF('Оперативный ввод'!N655="","",'Оперативный ввод'!N655)</f>
        <v/>
      </c>
      <c r="O655" s="172">
        <f>IF('Оперативный ввод'!O655="","",'Оперативный ввод'!O655)</f>
        <v/>
      </c>
      <c r="P655" s="205">
        <f>IF(AND(A655="",B655=""),"",IF(AND(A655&lt;&gt;"",B655&lt;&gt;"",C655&lt;&gt;"",D655&lt;&gt;"",F655&lt;&gt;"",G655&lt;&gt;"",H655&lt;&gt;"",ISERROR(SEARCH("по паспорту",G655)),ISERROR(SEARCH("по паспорту",H655)),I655&lt;&gt;"",J655&lt;&gt;"",K655&lt;&gt;"",L655&lt;&gt;"",M655&lt;&gt;""),"ГОТОВО","НЕ ГОТОВО"))</f>
        <v/>
      </c>
      <c r="Q655" s="205">
        <f>IF(P655&lt;&gt;"ГОТОВО","", "Предварительное заключение: "&amp;A655&amp;", скв. "&amp;B655&amp;". МРП: "&amp;E655&amp;" сут. ГНО: "&amp;F655&amp;", типоразмер "&amp;G655&amp;", марка "&amp;H655&amp;". Событие: "&amp;I655&amp;". Признак: "&amp;J655&amp;". Узел: "&amp;K655&amp;". Предварительная причина: "&amp;L655&amp;". Основное осложнение: "&amp;M655&amp;IF(N655&lt;&gt;"","; сопутствующее: "&amp;N655,"")&amp;IF(O655&lt;&gt;"","; дополнительно: "&amp;O655,"")&amp;".")</f>
        <v/>
      </c>
      <c r="R655" s="172">
        <f>IF('Оперативный ввод'!P655="","",'Оперативный ввод'!P655)</f>
        <v/>
      </c>
      <c r="S655" s="172">
        <f>IF('Оперативный ввод'!Q655="","",'Оперативный ввод'!Q655)</f>
        <v/>
      </c>
      <c r="T655" s="172">
        <f>IF('Оперативный ввод'!R655="","",'Оперативный ввод'!R655)</f>
        <v/>
      </c>
      <c r="U655" s="172">
        <f>IF('Оперативный ввод'!S655="","",'Оперативный ввод'!S655)</f>
        <v/>
      </c>
      <c r="V655" s="172">
        <f>IF('Оперативный ввод'!T655="","",'Оперативный ввод'!T655)</f>
        <v/>
      </c>
      <c r="W655" s="172" t="n"/>
      <c r="X655" s="172" t="n"/>
      <c r="Y655" s="172" t="n"/>
      <c r="Z655" s="172" t="n"/>
      <c r="AA655" s="172">
        <f>IF('Оперативный ввод'!U655="","",'Оперативный ввод'!U655)</f>
        <v/>
      </c>
      <c r="AB655" s="172">
        <f>IF('Оперативный ввод'!V655="","",'Оперативный ввод'!V655)</f>
        <v/>
      </c>
      <c r="AC655" s="172">
        <f>IF('Оперативный ввод'!W655="","",'Оперативный ввод'!W655)</f>
        <v/>
      </c>
      <c r="BB655" s="172" t="n"/>
      <c r="BC655" s="172" t="n"/>
      <c r="BD655" s="205">
        <f>IF(AND(A655="",B655=""),"",IF(AND(P655="ГОТОВО",R655&lt;&gt;"",T655&lt;&gt;"",U655&lt;&gt;"",AA655&lt;&gt;"",AB655&lt;&gt;"",AC655&lt;&gt;"",BB655&lt;&gt;"",BC655&lt;&gt;""),"ГОТОВО","НЕ ГОТОВО"))</f>
        <v/>
      </c>
      <c r="BE655" s="205">
        <f>IF(BD655&lt;&gt;"ГОТОВО","","Полное заключение: "&amp;A655&amp;", скв. "&amp;B655&amp;". МРП: "&amp;E655&amp;" сут. ГНО: "&amp;F655&amp;"; причина: "&amp;U655&amp;"; категория: "&amp;V655&amp;"; решение комиссии: "&amp;BB655&amp;".")</f>
        <v/>
      </c>
      <c r="BF655" s="173">
        <f>IF('Оперативный ввод'!X655="","",'Оперативный ввод'!X655)</f>
        <v/>
      </c>
    </row>
    <row r="656">
      <c r="A656" s="171">
        <f>IF('Оперативный ввод'!A656="","",'Оперативный ввод'!A656)</f>
        <v/>
      </c>
      <c r="B656" s="172">
        <f>IF('Оперативный ввод'!B656="","",'Оперативный ввод'!B656)</f>
        <v/>
      </c>
      <c r="C656" s="270">
        <f>IF('Оперативный ввод'!C656="","",'Оперативный ввод'!C656)</f>
        <v/>
      </c>
      <c r="D656" s="270">
        <f>IF('Оперативный ввод'!D656="","",'Оперативный ввод'!D656)</f>
        <v/>
      </c>
      <c r="E656" s="271">
        <f>IF(OR(C656="",D656=""),"",D656-C656)</f>
        <v/>
      </c>
      <c r="F656" s="172">
        <f>IF('Оперативный ввод'!F656="","",'Оперативный ввод'!F656)</f>
        <v/>
      </c>
      <c r="G656" s="172">
        <f>IF('Оперативный ввод'!G656="","",'Оперативный ввод'!G656)</f>
        <v/>
      </c>
      <c r="H656" s="172">
        <f>IF('Оперативный ввод'!H656="","",'Оперативный ввод'!H656)</f>
        <v/>
      </c>
      <c r="I656" s="172">
        <f>IF('Оперативный ввод'!I656="","",'Оперативный ввод'!I656)</f>
        <v/>
      </c>
      <c r="J656" s="172">
        <f>IF('Оперативный ввод'!J656="","",'Оперативный ввод'!J656)</f>
        <v/>
      </c>
      <c r="K656" s="172">
        <f>IF('Оперативный ввод'!K656="","",'Оперативный ввод'!K656)</f>
        <v/>
      </c>
      <c r="L656" s="172">
        <f>IF('Оперативный ввод'!L656="","",'Оперативный ввод'!L656)</f>
        <v/>
      </c>
      <c r="M656" s="172">
        <f>IF('Оперативный ввод'!M656="","",'Оперативный ввод'!M656)</f>
        <v/>
      </c>
      <c r="N656" s="172">
        <f>IF('Оперативный ввод'!N656="","",'Оперативный ввод'!N656)</f>
        <v/>
      </c>
      <c r="O656" s="172">
        <f>IF('Оперативный ввод'!O656="","",'Оперативный ввод'!O656)</f>
        <v/>
      </c>
      <c r="P656" s="205">
        <f>IF(AND(A656="",B656=""),"",IF(AND(A656&lt;&gt;"",B656&lt;&gt;"",C656&lt;&gt;"",D656&lt;&gt;"",F656&lt;&gt;"",G656&lt;&gt;"",H656&lt;&gt;"",ISERROR(SEARCH("по паспорту",G656)),ISERROR(SEARCH("по паспорту",H656)),I656&lt;&gt;"",J656&lt;&gt;"",K656&lt;&gt;"",L656&lt;&gt;"",M656&lt;&gt;""),"ГОТОВО","НЕ ГОТОВО"))</f>
        <v/>
      </c>
      <c r="Q656" s="205">
        <f>IF(P656&lt;&gt;"ГОТОВО","", "Предварительное заключение: "&amp;A656&amp;", скв. "&amp;B656&amp;". МРП: "&amp;E656&amp;" сут. ГНО: "&amp;F656&amp;", типоразмер "&amp;G656&amp;", марка "&amp;H656&amp;". Событие: "&amp;I656&amp;". Признак: "&amp;J656&amp;". Узел: "&amp;K656&amp;". Предварительная причина: "&amp;L656&amp;". Основное осложнение: "&amp;M656&amp;IF(N656&lt;&gt;"","; сопутствующее: "&amp;N656,"")&amp;IF(O656&lt;&gt;"","; дополнительно: "&amp;O656,"")&amp;".")</f>
        <v/>
      </c>
      <c r="R656" s="172">
        <f>IF('Оперативный ввод'!P656="","",'Оперативный ввод'!P656)</f>
        <v/>
      </c>
      <c r="S656" s="172">
        <f>IF('Оперативный ввод'!Q656="","",'Оперативный ввод'!Q656)</f>
        <v/>
      </c>
      <c r="T656" s="172">
        <f>IF('Оперативный ввод'!R656="","",'Оперативный ввод'!R656)</f>
        <v/>
      </c>
      <c r="U656" s="172">
        <f>IF('Оперативный ввод'!S656="","",'Оперативный ввод'!S656)</f>
        <v/>
      </c>
      <c r="V656" s="172">
        <f>IF('Оперативный ввод'!T656="","",'Оперативный ввод'!T656)</f>
        <v/>
      </c>
      <c r="W656" s="172" t="n"/>
      <c r="X656" s="172" t="n"/>
      <c r="Y656" s="172" t="n"/>
      <c r="Z656" s="172" t="n"/>
      <c r="AA656" s="172">
        <f>IF('Оперативный ввод'!U656="","",'Оперативный ввод'!U656)</f>
        <v/>
      </c>
      <c r="AB656" s="172">
        <f>IF('Оперативный ввод'!V656="","",'Оперативный ввод'!V656)</f>
        <v/>
      </c>
      <c r="AC656" s="172">
        <f>IF('Оперативный ввод'!W656="","",'Оперативный ввод'!W656)</f>
        <v/>
      </c>
      <c r="BB656" s="172" t="n"/>
      <c r="BC656" s="172" t="n"/>
      <c r="BD656" s="205">
        <f>IF(AND(A656="",B656=""),"",IF(AND(P656="ГОТОВО",R656&lt;&gt;"",T656&lt;&gt;"",U656&lt;&gt;"",AA656&lt;&gt;"",AB656&lt;&gt;"",AC656&lt;&gt;"",BB656&lt;&gt;"",BC656&lt;&gt;""),"ГОТОВО","НЕ ГОТОВО"))</f>
        <v/>
      </c>
      <c r="BE656" s="205">
        <f>IF(BD656&lt;&gt;"ГОТОВО","","Полное заключение: "&amp;A656&amp;", скв. "&amp;B656&amp;". МРП: "&amp;E656&amp;" сут. ГНО: "&amp;F656&amp;"; причина: "&amp;U656&amp;"; категория: "&amp;V656&amp;"; решение комиссии: "&amp;BB656&amp;".")</f>
        <v/>
      </c>
      <c r="BF656" s="173">
        <f>IF('Оперативный ввод'!X656="","",'Оперативный ввод'!X656)</f>
        <v/>
      </c>
    </row>
    <row r="657">
      <c r="A657" s="171">
        <f>IF('Оперативный ввод'!A657="","",'Оперативный ввод'!A657)</f>
        <v/>
      </c>
      <c r="B657" s="172">
        <f>IF('Оперативный ввод'!B657="","",'Оперативный ввод'!B657)</f>
        <v/>
      </c>
      <c r="C657" s="270">
        <f>IF('Оперативный ввод'!C657="","",'Оперативный ввод'!C657)</f>
        <v/>
      </c>
      <c r="D657" s="270">
        <f>IF('Оперативный ввод'!D657="","",'Оперативный ввод'!D657)</f>
        <v/>
      </c>
      <c r="E657" s="271">
        <f>IF(OR(C657="",D657=""),"",D657-C657)</f>
        <v/>
      </c>
      <c r="F657" s="172">
        <f>IF('Оперативный ввод'!F657="","",'Оперативный ввод'!F657)</f>
        <v/>
      </c>
      <c r="G657" s="172">
        <f>IF('Оперативный ввод'!G657="","",'Оперативный ввод'!G657)</f>
        <v/>
      </c>
      <c r="H657" s="172">
        <f>IF('Оперативный ввод'!H657="","",'Оперативный ввод'!H657)</f>
        <v/>
      </c>
      <c r="I657" s="172">
        <f>IF('Оперативный ввод'!I657="","",'Оперативный ввод'!I657)</f>
        <v/>
      </c>
      <c r="J657" s="172">
        <f>IF('Оперативный ввод'!J657="","",'Оперативный ввод'!J657)</f>
        <v/>
      </c>
      <c r="K657" s="172">
        <f>IF('Оперативный ввод'!K657="","",'Оперативный ввод'!K657)</f>
        <v/>
      </c>
      <c r="L657" s="172">
        <f>IF('Оперативный ввод'!L657="","",'Оперативный ввод'!L657)</f>
        <v/>
      </c>
      <c r="M657" s="172">
        <f>IF('Оперативный ввод'!M657="","",'Оперативный ввод'!M657)</f>
        <v/>
      </c>
      <c r="N657" s="172">
        <f>IF('Оперативный ввод'!N657="","",'Оперативный ввод'!N657)</f>
        <v/>
      </c>
      <c r="O657" s="172">
        <f>IF('Оперативный ввод'!O657="","",'Оперативный ввод'!O657)</f>
        <v/>
      </c>
      <c r="P657" s="205">
        <f>IF(AND(A657="",B657=""),"",IF(AND(A657&lt;&gt;"",B657&lt;&gt;"",C657&lt;&gt;"",D657&lt;&gt;"",F657&lt;&gt;"",G657&lt;&gt;"",H657&lt;&gt;"",ISERROR(SEARCH("по паспорту",G657)),ISERROR(SEARCH("по паспорту",H657)),I657&lt;&gt;"",J657&lt;&gt;"",K657&lt;&gt;"",L657&lt;&gt;"",M657&lt;&gt;""),"ГОТОВО","НЕ ГОТОВО"))</f>
        <v/>
      </c>
      <c r="Q657" s="205">
        <f>IF(P657&lt;&gt;"ГОТОВО","", "Предварительное заключение: "&amp;A657&amp;", скв. "&amp;B657&amp;". МРП: "&amp;E657&amp;" сут. ГНО: "&amp;F657&amp;", типоразмер "&amp;G657&amp;", марка "&amp;H657&amp;". Событие: "&amp;I657&amp;". Признак: "&amp;J657&amp;". Узел: "&amp;K657&amp;". Предварительная причина: "&amp;L657&amp;". Основное осложнение: "&amp;M657&amp;IF(N657&lt;&gt;"","; сопутствующее: "&amp;N657,"")&amp;IF(O657&lt;&gt;"","; дополнительно: "&amp;O657,"")&amp;".")</f>
        <v/>
      </c>
      <c r="R657" s="172">
        <f>IF('Оперативный ввод'!P657="","",'Оперативный ввод'!P657)</f>
        <v/>
      </c>
      <c r="S657" s="172">
        <f>IF('Оперативный ввод'!Q657="","",'Оперативный ввод'!Q657)</f>
        <v/>
      </c>
      <c r="T657" s="172">
        <f>IF('Оперативный ввод'!R657="","",'Оперативный ввод'!R657)</f>
        <v/>
      </c>
      <c r="U657" s="172">
        <f>IF('Оперативный ввод'!S657="","",'Оперативный ввод'!S657)</f>
        <v/>
      </c>
      <c r="V657" s="172">
        <f>IF('Оперативный ввод'!T657="","",'Оперативный ввод'!T657)</f>
        <v/>
      </c>
      <c r="W657" s="172" t="n"/>
      <c r="X657" s="172" t="n"/>
      <c r="Y657" s="172" t="n"/>
      <c r="Z657" s="172" t="n"/>
      <c r="AA657" s="172">
        <f>IF('Оперативный ввод'!U657="","",'Оперативный ввод'!U657)</f>
        <v/>
      </c>
      <c r="AB657" s="172">
        <f>IF('Оперативный ввод'!V657="","",'Оперативный ввод'!V657)</f>
        <v/>
      </c>
      <c r="AC657" s="172">
        <f>IF('Оперативный ввод'!W657="","",'Оперативный ввод'!W657)</f>
        <v/>
      </c>
      <c r="BB657" s="172" t="n"/>
      <c r="BC657" s="172" t="n"/>
      <c r="BD657" s="205">
        <f>IF(AND(A657="",B657=""),"",IF(AND(P657="ГОТОВО",R657&lt;&gt;"",T657&lt;&gt;"",U657&lt;&gt;"",AA657&lt;&gt;"",AB657&lt;&gt;"",AC657&lt;&gt;"",BB657&lt;&gt;"",BC657&lt;&gt;""),"ГОТОВО","НЕ ГОТОВО"))</f>
        <v/>
      </c>
      <c r="BE657" s="205">
        <f>IF(BD657&lt;&gt;"ГОТОВО","","Полное заключение: "&amp;A657&amp;", скв. "&amp;B657&amp;". МРП: "&amp;E657&amp;" сут. ГНО: "&amp;F657&amp;"; причина: "&amp;U657&amp;"; категория: "&amp;V657&amp;"; решение комиссии: "&amp;BB657&amp;".")</f>
        <v/>
      </c>
      <c r="BF657" s="173">
        <f>IF('Оперативный ввод'!X657="","",'Оперативный ввод'!X657)</f>
        <v/>
      </c>
    </row>
    <row r="658">
      <c r="A658" s="171">
        <f>IF('Оперативный ввод'!A658="","",'Оперативный ввод'!A658)</f>
        <v/>
      </c>
      <c r="B658" s="172">
        <f>IF('Оперативный ввод'!B658="","",'Оперативный ввод'!B658)</f>
        <v/>
      </c>
      <c r="C658" s="270">
        <f>IF('Оперативный ввод'!C658="","",'Оперативный ввод'!C658)</f>
        <v/>
      </c>
      <c r="D658" s="270">
        <f>IF('Оперативный ввод'!D658="","",'Оперативный ввод'!D658)</f>
        <v/>
      </c>
      <c r="E658" s="271">
        <f>IF(OR(C658="",D658=""),"",D658-C658)</f>
        <v/>
      </c>
      <c r="F658" s="172">
        <f>IF('Оперативный ввод'!F658="","",'Оперативный ввод'!F658)</f>
        <v/>
      </c>
      <c r="G658" s="172">
        <f>IF('Оперативный ввод'!G658="","",'Оперативный ввод'!G658)</f>
        <v/>
      </c>
      <c r="H658" s="172">
        <f>IF('Оперативный ввод'!H658="","",'Оперативный ввод'!H658)</f>
        <v/>
      </c>
      <c r="I658" s="172">
        <f>IF('Оперативный ввод'!I658="","",'Оперативный ввод'!I658)</f>
        <v/>
      </c>
      <c r="J658" s="172">
        <f>IF('Оперативный ввод'!J658="","",'Оперативный ввод'!J658)</f>
        <v/>
      </c>
      <c r="K658" s="172">
        <f>IF('Оперативный ввод'!K658="","",'Оперативный ввод'!K658)</f>
        <v/>
      </c>
      <c r="L658" s="172">
        <f>IF('Оперативный ввод'!L658="","",'Оперативный ввод'!L658)</f>
        <v/>
      </c>
      <c r="M658" s="172">
        <f>IF('Оперативный ввод'!M658="","",'Оперативный ввод'!M658)</f>
        <v/>
      </c>
      <c r="N658" s="172">
        <f>IF('Оперативный ввод'!N658="","",'Оперативный ввод'!N658)</f>
        <v/>
      </c>
      <c r="O658" s="172">
        <f>IF('Оперативный ввод'!O658="","",'Оперативный ввод'!O658)</f>
        <v/>
      </c>
      <c r="P658" s="205">
        <f>IF(AND(A658="",B658=""),"",IF(AND(A658&lt;&gt;"",B658&lt;&gt;"",C658&lt;&gt;"",D658&lt;&gt;"",F658&lt;&gt;"",G658&lt;&gt;"",H658&lt;&gt;"",ISERROR(SEARCH("по паспорту",G658)),ISERROR(SEARCH("по паспорту",H658)),I658&lt;&gt;"",J658&lt;&gt;"",K658&lt;&gt;"",L658&lt;&gt;"",M658&lt;&gt;""),"ГОТОВО","НЕ ГОТОВО"))</f>
        <v/>
      </c>
      <c r="Q658" s="205">
        <f>IF(P658&lt;&gt;"ГОТОВО","", "Предварительное заключение: "&amp;A658&amp;", скв. "&amp;B658&amp;". МРП: "&amp;E658&amp;" сут. ГНО: "&amp;F658&amp;", типоразмер "&amp;G658&amp;", марка "&amp;H658&amp;". Событие: "&amp;I658&amp;". Признак: "&amp;J658&amp;". Узел: "&amp;K658&amp;". Предварительная причина: "&amp;L658&amp;". Основное осложнение: "&amp;M658&amp;IF(N658&lt;&gt;"","; сопутствующее: "&amp;N658,"")&amp;IF(O658&lt;&gt;"","; дополнительно: "&amp;O658,"")&amp;".")</f>
        <v/>
      </c>
      <c r="R658" s="172">
        <f>IF('Оперативный ввод'!P658="","",'Оперативный ввод'!P658)</f>
        <v/>
      </c>
      <c r="S658" s="172">
        <f>IF('Оперативный ввод'!Q658="","",'Оперативный ввод'!Q658)</f>
        <v/>
      </c>
      <c r="T658" s="172">
        <f>IF('Оперативный ввод'!R658="","",'Оперативный ввод'!R658)</f>
        <v/>
      </c>
      <c r="U658" s="172">
        <f>IF('Оперативный ввод'!S658="","",'Оперативный ввод'!S658)</f>
        <v/>
      </c>
      <c r="V658" s="172">
        <f>IF('Оперативный ввод'!T658="","",'Оперативный ввод'!T658)</f>
        <v/>
      </c>
      <c r="W658" s="172" t="n"/>
      <c r="X658" s="172" t="n"/>
      <c r="Y658" s="172" t="n"/>
      <c r="Z658" s="172" t="n"/>
      <c r="AA658" s="172">
        <f>IF('Оперативный ввод'!U658="","",'Оперативный ввод'!U658)</f>
        <v/>
      </c>
      <c r="AB658" s="172">
        <f>IF('Оперативный ввод'!V658="","",'Оперативный ввод'!V658)</f>
        <v/>
      </c>
      <c r="AC658" s="172">
        <f>IF('Оперативный ввод'!W658="","",'Оперативный ввод'!W658)</f>
        <v/>
      </c>
      <c r="BB658" s="172" t="n"/>
      <c r="BC658" s="172" t="n"/>
      <c r="BD658" s="205">
        <f>IF(AND(A658="",B658=""),"",IF(AND(P658="ГОТОВО",R658&lt;&gt;"",T658&lt;&gt;"",U658&lt;&gt;"",AA658&lt;&gt;"",AB658&lt;&gt;"",AC658&lt;&gt;"",BB658&lt;&gt;"",BC658&lt;&gt;""),"ГОТОВО","НЕ ГОТОВО"))</f>
        <v/>
      </c>
      <c r="BE658" s="205">
        <f>IF(BD658&lt;&gt;"ГОТОВО","","Полное заключение: "&amp;A658&amp;", скв. "&amp;B658&amp;". МРП: "&amp;E658&amp;" сут. ГНО: "&amp;F658&amp;"; причина: "&amp;U658&amp;"; категория: "&amp;V658&amp;"; решение комиссии: "&amp;BB658&amp;".")</f>
        <v/>
      </c>
      <c r="BF658" s="173">
        <f>IF('Оперативный ввод'!X658="","",'Оперативный ввод'!X658)</f>
        <v/>
      </c>
    </row>
    <row r="659">
      <c r="A659" s="171">
        <f>IF('Оперативный ввод'!A659="","",'Оперативный ввод'!A659)</f>
        <v/>
      </c>
      <c r="B659" s="172">
        <f>IF('Оперативный ввод'!B659="","",'Оперативный ввод'!B659)</f>
        <v/>
      </c>
      <c r="C659" s="270">
        <f>IF('Оперативный ввод'!C659="","",'Оперативный ввод'!C659)</f>
        <v/>
      </c>
      <c r="D659" s="270">
        <f>IF('Оперативный ввод'!D659="","",'Оперативный ввод'!D659)</f>
        <v/>
      </c>
      <c r="E659" s="271">
        <f>IF(OR(C659="",D659=""),"",D659-C659)</f>
        <v/>
      </c>
      <c r="F659" s="172">
        <f>IF('Оперативный ввод'!F659="","",'Оперативный ввод'!F659)</f>
        <v/>
      </c>
      <c r="G659" s="172">
        <f>IF('Оперативный ввод'!G659="","",'Оперативный ввод'!G659)</f>
        <v/>
      </c>
      <c r="H659" s="172">
        <f>IF('Оперативный ввод'!H659="","",'Оперативный ввод'!H659)</f>
        <v/>
      </c>
      <c r="I659" s="172">
        <f>IF('Оперативный ввод'!I659="","",'Оперативный ввод'!I659)</f>
        <v/>
      </c>
      <c r="J659" s="172">
        <f>IF('Оперативный ввод'!J659="","",'Оперативный ввод'!J659)</f>
        <v/>
      </c>
      <c r="K659" s="172">
        <f>IF('Оперативный ввод'!K659="","",'Оперативный ввод'!K659)</f>
        <v/>
      </c>
      <c r="L659" s="172">
        <f>IF('Оперативный ввод'!L659="","",'Оперативный ввод'!L659)</f>
        <v/>
      </c>
      <c r="M659" s="172">
        <f>IF('Оперативный ввод'!M659="","",'Оперативный ввод'!M659)</f>
        <v/>
      </c>
      <c r="N659" s="172">
        <f>IF('Оперативный ввод'!N659="","",'Оперативный ввод'!N659)</f>
        <v/>
      </c>
      <c r="O659" s="172">
        <f>IF('Оперативный ввод'!O659="","",'Оперативный ввод'!O659)</f>
        <v/>
      </c>
      <c r="P659" s="205">
        <f>IF(AND(A659="",B659=""),"",IF(AND(A659&lt;&gt;"",B659&lt;&gt;"",C659&lt;&gt;"",D659&lt;&gt;"",F659&lt;&gt;"",G659&lt;&gt;"",H659&lt;&gt;"",ISERROR(SEARCH("по паспорту",G659)),ISERROR(SEARCH("по паспорту",H659)),I659&lt;&gt;"",J659&lt;&gt;"",K659&lt;&gt;"",L659&lt;&gt;"",M659&lt;&gt;""),"ГОТОВО","НЕ ГОТОВО"))</f>
        <v/>
      </c>
      <c r="Q659" s="205">
        <f>IF(P659&lt;&gt;"ГОТОВО","", "Предварительное заключение: "&amp;A659&amp;", скв. "&amp;B659&amp;". МРП: "&amp;E659&amp;" сут. ГНО: "&amp;F659&amp;", типоразмер "&amp;G659&amp;", марка "&amp;H659&amp;". Событие: "&amp;I659&amp;". Признак: "&amp;J659&amp;". Узел: "&amp;K659&amp;". Предварительная причина: "&amp;L659&amp;". Основное осложнение: "&amp;M659&amp;IF(N659&lt;&gt;"","; сопутствующее: "&amp;N659,"")&amp;IF(O659&lt;&gt;"","; дополнительно: "&amp;O659,"")&amp;".")</f>
        <v/>
      </c>
      <c r="R659" s="172">
        <f>IF('Оперативный ввод'!P659="","",'Оперативный ввод'!P659)</f>
        <v/>
      </c>
      <c r="S659" s="172">
        <f>IF('Оперативный ввод'!Q659="","",'Оперативный ввод'!Q659)</f>
        <v/>
      </c>
      <c r="T659" s="172">
        <f>IF('Оперативный ввод'!R659="","",'Оперативный ввод'!R659)</f>
        <v/>
      </c>
      <c r="U659" s="172">
        <f>IF('Оперативный ввод'!S659="","",'Оперативный ввод'!S659)</f>
        <v/>
      </c>
      <c r="V659" s="172">
        <f>IF('Оперативный ввод'!T659="","",'Оперативный ввод'!T659)</f>
        <v/>
      </c>
      <c r="W659" s="172" t="n"/>
      <c r="X659" s="172" t="n"/>
      <c r="Y659" s="172" t="n"/>
      <c r="Z659" s="172" t="n"/>
      <c r="AA659" s="172">
        <f>IF('Оперативный ввод'!U659="","",'Оперативный ввод'!U659)</f>
        <v/>
      </c>
      <c r="AB659" s="172">
        <f>IF('Оперативный ввод'!V659="","",'Оперативный ввод'!V659)</f>
        <v/>
      </c>
      <c r="AC659" s="172">
        <f>IF('Оперативный ввод'!W659="","",'Оперативный ввод'!W659)</f>
        <v/>
      </c>
      <c r="BB659" s="172" t="n"/>
      <c r="BC659" s="172" t="n"/>
      <c r="BD659" s="205">
        <f>IF(AND(A659="",B659=""),"",IF(AND(P659="ГОТОВО",R659&lt;&gt;"",T659&lt;&gt;"",U659&lt;&gt;"",AA659&lt;&gt;"",AB659&lt;&gt;"",AC659&lt;&gt;"",BB659&lt;&gt;"",BC659&lt;&gt;""),"ГОТОВО","НЕ ГОТОВО"))</f>
        <v/>
      </c>
      <c r="BE659" s="205">
        <f>IF(BD659&lt;&gt;"ГОТОВО","","Полное заключение: "&amp;A659&amp;", скв. "&amp;B659&amp;". МРП: "&amp;E659&amp;" сут. ГНО: "&amp;F659&amp;"; причина: "&amp;U659&amp;"; категория: "&amp;V659&amp;"; решение комиссии: "&amp;BB659&amp;".")</f>
        <v/>
      </c>
      <c r="BF659" s="173">
        <f>IF('Оперативный ввод'!X659="","",'Оперативный ввод'!X659)</f>
        <v/>
      </c>
    </row>
    <row r="660">
      <c r="A660" s="171">
        <f>IF('Оперативный ввод'!A660="","",'Оперативный ввод'!A660)</f>
        <v/>
      </c>
      <c r="B660" s="172">
        <f>IF('Оперативный ввод'!B660="","",'Оперативный ввод'!B660)</f>
        <v/>
      </c>
      <c r="C660" s="270">
        <f>IF('Оперативный ввод'!C660="","",'Оперативный ввод'!C660)</f>
        <v/>
      </c>
      <c r="D660" s="270">
        <f>IF('Оперативный ввод'!D660="","",'Оперативный ввод'!D660)</f>
        <v/>
      </c>
      <c r="E660" s="271">
        <f>IF(OR(C660="",D660=""),"",D660-C660)</f>
        <v/>
      </c>
      <c r="F660" s="172">
        <f>IF('Оперативный ввод'!F660="","",'Оперативный ввод'!F660)</f>
        <v/>
      </c>
      <c r="G660" s="172">
        <f>IF('Оперативный ввод'!G660="","",'Оперативный ввод'!G660)</f>
        <v/>
      </c>
      <c r="H660" s="172">
        <f>IF('Оперативный ввод'!H660="","",'Оперативный ввод'!H660)</f>
        <v/>
      </c>
      <c r="I660" s="172">
        <f>IF('Оперативный ввод'!I660="","",'Оперативный ввод'!I660)</f>
        <v/>
      </c>
      <c r="J660" s="172">
        <f>IF('Оперативный ввод'!J660="","",'Оперативный ввод'!J660)</f>
        <v/>
      </c>
      <c r="K660" s="172">
        <f>IF('Оперативный ввод'!K660="","",'Оперативный ввод'!K660)</f>
        <v/>
      </c>
      <c r="L660" s="172">
        <f>IF('Оперативный ввод'!L660="","",'Оперативный ввод'!L660)</f>
        <v/>
      </c>
      <c r="M660" s="172">
        <f>IF('Оперативный ввод'!M660="","",'Оперативный ввод'!M660)</f>
        <v/>
      </c>
      <c r="N660" s="172">
        <f>IF('Оперативный ввод'!N660="","",'Оперативный ввод'!N660)</f>
        <v/>
      </c>
      <c r="O660" s="172">
        <f>IF('Оперативный ввод'!O660="","",'Оперативный ввод'!O660)</f>
        <v/>
      </c>
      <c r="P660" s="205">
        <f>IF(AND(A660="",B660=""),"",IF(AND(A660&lt;&gt;"",B660&lt;&gt;"",C660&lt;&gt;"",D660&lt;&gt;"",F660&lt;&gt;"",G660&lt;&gt;"",H660&lt;&gt;"",ISERROR(SEARCH("по паспорту",G660)),ISERROR(SEARCH("по паспорту",H660)),I660&lt;&gt;"",J660&lt;&gt;"",K660&lt;&gt;"",L660&lt;&gt;"",M660&lt;&gt;""),"ГОТОВО","НЕ ГОТОВО"))</f>
        <v/>
      </c>
      <c r="Q660" s="205">
        <f>IF(P660&lt;&gt;"ГОТОВО","", "Предварительное заключение: "&amp;A660&amp;", скв. "&amp;B660&amp;". МРП: "&amp;E660&amp;" сут. ГНО: "&amp;F660&amp;", типоразмер "&amp;G660&amp;", марка "&amp;H660&amp;". Событие: "&amp;I660&amp;". Признак: "&amp;J660&amp;". Узел: "&amp;K660&amp;". Предварительная причина: "&amp;L660&amp;". Основное осложнение: "&amp;M660&amp;IF(N660&lt;&gt;"","; сопутствующее: "&amp;N660,"")&amp;IF(O660&lt;&gt;"","; дополнительно: "&amp;O660,"")&amp;".")</f>
        <v/>
      </c>
      <c r="R660" s="172">
        <f>IF('Оперативный ввод'!P660="","",'Оперативный ввод'!P660)</f>
        <v/>
      </c>
      <c r="S660" s="172">
        <f>IF('Оперативный ввод'!Q660="","",'Оперативный ввод'!Q660)</f>
        <v/>
      </c>
      <c r="T660" s="172">
        <f>IF('Оперативный ввод'!R660="","",'Оперативный ввод'!R660)</f>
        <v/>
      </c>
      <c r="U660" s="172">
        <f>IF('Оперативный ввод'!S660="","",'Оперативный ввод'!S660)</f>
        <v/>
      </c>
      <c r="V660" s="172">
        <f>IF('Оперативный ввод'!T660="","",'Оперативный ввод'!T660)</f>
        <v/>
      </c>
      <c r="W660" s="172" t="n"/>
      <c r="X660" s="172" t="n"/>
      <c r="Y660" s="172" t="n"/>
      <c r="Z660" s="172" t="n"/>
      <c r="AA660" s="172">
        <f>IF('Оперативный ввод'!U660="","",'Оперативный ввод'!U660)</f>
        <v/>
      </c>
      <c r="AB660" s="172">
        <f>IF('Оперативный ввод'!V660="","",'Оперативный ввод'!V660)</f>
        <v/>
      </c>
      <c r="AC660" s="172">
        <f>IF('Оперативный ввод'!W660="","",'Оперативный ввод'!W660)</f>
        <v/>
      </c>
      <c r="BB660" s="172" t="n"/>
      <c r="BC660" s="172" t="n"/>
      <c r="BD660" s="205">
        <f>IF(AND(A660="",B660=""),"",IF(AND(P660="ГОТОВО",R660&lt;&gt;"",T660&lt;&gt;"",U660&lt;&gt;"",AA660&lt;&gt;"",AB660&lt;&gt;"",AC660&lt;&gt;"",BB660&lt;&gt;"",BC660&lt;&gt;""),"ГОТОВО","НЕ ГОТОВО"))</f>
        <v/>
      </c>
      <c r="BE660" s="205">
        <f>IF(BD660&lt;&gt;"ГОТОВО","","Полное заключение: "&amp;A660&amp;", скв. "&amp;B660&amp;". МРП: "&amp;E660&amp;" сут. ГНО: "&amp;F660&amp;"; причина: "&amp;U660&amp;"; категория: "&amp;V660&amp;"; решение комиссии: "&amp;BB660&amp;".")</f>
        <v/>
      </c>
      <c r="BF660" s="173">
        <f>IF('Оперативный ввод'!X660="","",'Оперативный ввод'!X660)</f>
        <v/>
      </c>
    </row>
    <row r="661">
      <c r="A661" s="171">
        <f>IF('Оперативный ввод'!A661="","",'Оперативный ввод'!A661)</f>
        <v/>
      </c>
      <c r="B661" s="172">
        <f>IF('Оперативный ввод'!B661="","",'Оперативный ввод'!B661)</f>
        <v/>
      </c>
      <c r="C661" s="270">
        <f>IF('Оперативный ввод'!C661="","",'Оперативный ввод'!C661)</f>
        <v/>
      </c>
      <c r="D661" s="270">
        <f>IF('Оперативный ввод'!D661="","",'Оперативный ввод'!D661)</f>
        <v/>
      </c>
      <c r="E661" s="271">
        <f>IF(OR(C661="",D661=""),"",D661-C661)</f>
        <v/>
      </c>
      <c r="F661" s="172">
        <f>IF('Оперативный ввод'!F661="","",'Оперативный ввод'!F661)</f>
        <v/>
      </c>
      <c r="G661" s="172">
        <f>IF('Оперативный ввод'!G661="","",'Оперативный ввод'!G661)</f>
        <v/>
      </c>
      <c r="H661" s="172">
        <f>IF('Оперативный ввод'!H661="","",'Оперативный ввод'!H661)</f>
        <v/>
      </c>
      <c r="I661" s="172">
        <f>IF('Оперативный ввод'!I661="","",'Оперативный ввод'!I661)</f>
        <v/>
      </c>
      <c r="J661" s="172">
        <f>IF('Оперативный ввод'!J661="","",'Оперативный ввод'!J661)</f>
        <v/>
      </c>
      <c r="K661" s="172">
        <f>IF('Оперативный ввод'!K661="","",'Оперативный ввод'!K661)</f>
        <v/>
      </c>
      <c r="L661" s="172">
        <f>IF('Оперативный ввод'!L661="","",'Оперативный ввод'!L661)</f>
        <v/>
      </c>
      <c r="M661" s="172">
        <f>IF('Оперативный ввод'!M661="","",'Оперативный ввод'!M661)</f>
        <v/>
      </c>
      <c r="N661" s="172">
        <f>IF('Оперативный ввод'!N661="","",'Оперативный ввод'!N661)</f>
        <v/>
      </c>
      <c r="O661" s="172">
        <f>IF('Оперативный ввод'!O661="","",'Оперативный ввод'!O661)</f>
        <v/>
      </c>
      <c r="P661" s="205">
        <f>IF(AND(A661="",B661=""),"",IF(AND(A661&lt;&gt;"",B661&lt;&gt;"",C661&lt;&gt;"",D661&lt;&gt;"",F661&lt;&gt;"",G661&lt;&gt;"",H661&lt;&gt;"",ISERROR(SEARCH("по паспорту",G661)),ISERROR(SEARCH("по паспорту",H661)),I661&lt;&gt;"",J661&lt;&gt;"",K661&lt;&gt;"",L661&lt;&gt;"",M661&lt;&gt;""),"ГОТОВО","НЕ ГОТОВО"))</f>
        <v/>
      </c>
      <c r="Q661" s="205">
        <f>IF(P661&lt;&gt;"ГОТОВО","", "Предварительное заключение: "&amp;A661&amp;", скв. "&amp;B661&amp;". МРП: "&amp;E661&amp;" сут. ГНО: "&amp;F661&amp;", типоразмер "&amp;G661&amp;", марка "&amp;H661&amp;". Событие: "&amp;I661&amp;". Признак: "&amp;J661&amp;". Узел: "&amp;K661&amp;". Предварительная причина: "&amp;L661&amp;". Основное осложнение: "&amp;M661&amp;IF(N661&lt;&gt;"","; сопутствующее: "&amp;N661,"")&amp;IF(O661&lt;&gt;"","; дополнительно: "&amp;O661,"")&amp;".")</f>
        <v/>
      </c>
      <c r="R661" s="172">
        <f>IF('Оперативный ввод'!P661="","",'Оперативный ввод'!P661)</f>
        <v/>
      </c>
      <c r="S661" s="172">
        <f>IF('Оперативный ввод'!Q661="","",'Оперативный ввод'!Q661)</f>
        <v/>
      </c>
      <c r="T661" s="172">
        <f>IF('Оперативный ввод'!R661="","",'Оперативный ввод'!R661)</f>
        <v/>
      </c>
      <c r="U661" s="172">
        <f>IF('Оперативный ввод'!S661="","",'Оперативный ввод'!S661)</f>
        <v/>
      </c>
      <c r="V661" s="172">
        <f>IF('Оперативный ввод'!T661="","",'Оперативный ввод'!T661)</f>
        <v/>
      </c>
      <c r="W661" s="172" t="n"/>
      <c r="X661" s="172" t="n"/>
      <c r="Y661" s="172" t="n"/>
      <c r="Z661" s="172" t="n"/>
      <c r="AA661" s="172">
        <f>IF('Оперативный ввод'!U661="","",'Оперативный ввод'!U661)</f>
        <v/>
      </c>
      <c r="AB661" s="172">
        <f>IF('Оперативный ввод'!V661="","",'Оперативный ввод'!V661)</f>
        <v/>
      </c>
      <c r="AC661" s="172">
        <f>IF('Оперативный ввод'!W661="","",'Оперативный ввод'!W661)</f>
        <v/>
      </c>
      <c r="BB661" s="172" t="n"/>
      <c r="BC661" s="172" t="n"/>
      <c r="BD661" s="205">
        <f>IF(AND(A661="",B661=""),"",IF(AND(P661="ГОТОВО",R661&lt;&gt;"",T661&lt;&gt;"",U661&lt;&gt;"",AA661&lt;&gt;"",AB661&lt;&gt;"",AC661&lt;&gt;"",BB661&lt;&gt;"",BC661&lt;&gt;""),"ГОТОВО","НЕ ГОТОВО"))</f>
        <v/>
      </c>
      <c r="BE661" s="205">
        <f>IF(BD661&lt;&gt;"ГОТОВО","","Полное заключение: "&amp;A661&amp;", скв. "&amp;B661&amp;". МРП: "&amp;E661&amp;" сут. ГНО: "&amp;F661&amp;"; причина: "&amp;U661&amp;"; категория: "&amp;V661&amp;"; решение комиссии: "&amp;BB661&amp;".")</f>
        <v/>
      </c>
      <c r="BF661" s="173">
        <f>IF('Оперативный ввод'!X661="","",'Оперативный ввод'!X661)</f>
        <v/>
      </c>
    </row>
    <row r="662">
      <c r="A662" s="171">
        <f>IF('Оперативный ввод'!A662="","",'Оперативный ввод'!A662)</f>
        <v/>
      </c>
      <c r="B662" s="172">
        <f>IF('Оперативный ввод'!B662="","",'Оперативный ввод'!B662)</f>
        <v/>
      </c>
      <c r="C662" s="270">
        <f>IF('Оперативный ввод'!C662="","",'Оперативный ввод'!C662)</f>
        <v/>
      </c>
      <c r="D662" s="270">
        <f>IF('Оперативный ввод'!D662="","",'Оперативный ввод'!D662)</f>
        <v/>
      </c>
      <c r="E662" s="271">
        <f>IF(OR(C662="",D662=""),"",D662-C662)</f>
        <v/>
      </c>
      <c r="F662" s="172">
        <f>IF('Оперативный ввод'!F662="","",'Оперативный ввод'!F662)</f>
        <v/>
      </c>
      <c r="G662" s="172">
        <f>IF('Оперативный ввод'!G662="","",'Оперативный ввод'!G662)</f>
        <v/>
      </c>
      <c r="H662" s="172">
        <f>IF('Оперативный ввод'!H662="","",'Оперативный ввод'!H662)</f>
        <v/>
      </c>
      <c r="I662" s="172">
        <f>IF('Оперативный ввод'!I662="","",'Оперативный ввод'!I662)</f>
        <v/>
      </c>
      <c r="J662" s="172">
        <f>IF('Оперативный ввод'!J662="","",'Оперативный ввод'!J662)</f>
        <v/>
      </c>
      <c r="K662" s="172">
        <f>IF('Оперативный ввод'!K662="","",'Оперативный ввод'!K662)</f>
        <v/>
      </c>
      <c r="L662" s="172">
        <f>IF('Оперативный ввод'!L662="","",'Оперативный ввод'!L662)</f>
        <v/>
      </c>
      <c r="M662" s="172">
        <f>IF('Оперативный ввод'!M662="","",'Оперативный ввод'!M662)</f>
        <v/>
      </c>
      <c r="N662" s="172">
        <f>IF('Оперативный ввод'!N662="","",'Оперативный ввод'!N662)</f>
        <v/>
      </c>
      <c r="O662" s="172">
        <f>IF('Оперативный ввод'!O662="","",'Оперативный ввод'!O662)</f>
        <v/>
      </c>
      <c r="P662" s="205">
        <f>IF(AND(A662="",B662=""),"",IF(AND(A662&lt;&gt;"",B662&lt;&gt;"",C662&lt;&gt;"",D662&lt;&gt;"",F662&lt;&gt;"",G662&lt;&gt;"",H662&lt;&gt;"",ISERROR(SEARCH("по паспорту",G662)),ISERROR(SEARCH("по паспорту",H662)),I662&lt;&gt;"",J662&lt;&gt;"",K662&lt;&gt;"",L662&lt;&gt;"",M662&lt;&gt;""),"ГОТОВО","НЕ ГОТОВО"))</f>
        <v/>
      </c>
      <c r="Q662" s="205">
        <f>IF(P662&lt;&gt;"ГОТОВО","", "Предварительное заключение: "&amp;A662&amp;", скв. "&amp;B662&amp;". МРП: "&amp;E662&amp;" сут. ГНО: "&amp;F662&amp;", типоразмер "&amp;G662&amp;", марка "&amp;H662&amp;". Событие: "&amp;I662&amp;". Признак: "&amp;J662&amp;". Узел: "&amp;K662&amp;". Предварительная причина: "&amp;L662&amp;". Основное осложнение: "&amp;M662&amp;IF(N662&lt;&gt;"","; сопутствующее: "&amp;N662,"")&amp;IF(O662&lt;&gt;"","; дополнительно: "&amp;O662,"")&amp;".")</f>
        <v/>
      </c>
      <c r="R662" s="172">
        <f>IF('Оперативный ввод'!P662="","",'Оперативный ввод'!P662)</f>
        <v/>
      </c>
      <c r="S662" s="172">
        <f>IF('Оперативный ввод'!Q662="","",'Оперативный ввод'!Q662)</f>
        <v/>
      </c>
      <c r="T662" s="172">
        <f>IF('Оперативный ввод'!R662="","",'Оперативный ввод'!R662)</f>
        <v/>
      </c>
      <c r="U662" s="172">
        <f>IF('Оперативный ввод'!S662="","",'Оперативный ввод'!S662)</f>
        <v/>
      </c>
      <c r="V662" s="172">
        <f>IF('Оперативный ввод'!T662="","",'Оперативный ввод'!T662)</f>
        <v/>
      </c>
      <c r="W662" s="172" t="n"/>
      <c r="X662" s="172" t="n"/>
      <c r="Y662" s="172" t="n"/>
      <c r="Z662" s="172" t="n"/>
      <c r="AA662" s="172">
        <f>IF('Оперативный ввод'!U662="","",'Оперативный ввод'!U662)</f>
        <v/>
      </c>
      <c r="AB662" s="172">
        <f>IF('Оперативный ввод'!V662="","",'Оперативный ввод'!V662)</f>
        <v/>
      </c>
      <c r="AC662" s="172">
        <f>IF('Оперативный ввод'!W662="","",'Оперативный ввод'!W662)</f>
        <v/>
      </c>
      <c r="BB662" s="172" t="n"/>
      <c r="BC662" s="172" t="n"/>
      <c r="BD662" s="205">
        <f>IF(AND(A662="",B662=""),"",IF(AND(P662="ГОТОВО",R662&lt;&gt;"",T662&lt;&gt;"",U662&lt;&gt;"",AA662&lt;&gt;"",AB662&lt;&gt;"",AC662&lt;&gt;"",BB662&lt;&gt;"",BC662&lt;&gt;""),"ГОТОВО","НЕ ГОТОВО"))</f>
        <v/>
      </c>
      <c r="BE662" s="205">
        <f>IF(BD662&lt;&gt;"ГОТОВО","","Полное заключение: "&amp;A662&amp;", скв. "&amp;B662&amp;". МРП: "&amp;E662&amp;" сут. ГНО: "&amp;F662&amp;"; причина: "&amp;U662&amp;"; категория: "&amp;V662&amp;"; решение комиссии: "&amp;BB662&amp;".")</f>
        <v/>
      </c>
      <c r="BF662" s="173">
        <f>IF('Оперативный ввод'!X662="","",'Оперативный ввод'!X662)</f>
        <v/>
      </c>
    </row>
    <row r="663">
      <c r="A663" s="171">
        <f>IF('Оперативный ввод'!A663="","",'Оперативный ввод'!A663)</f>
        <v/>
      </c>
      <c r="B663" s="172">
        <f>IF('Оперативный ввод'!B663="","",'Оперативный ввод'!B663)</f>
        <v/>
      </c>
      <c r="C663" s="270">
        <f>IF('Оперативный ввод'!C663="","",'Оперативный ввод'!C663)</f>
        <v/>
      </c>
      <c r="D663" s="270">
        <f>IF('Оперативный ввод'!D663="","",'Оперативный ввод'!D663)</f>
        <v/>
      </c>
      <c r="E663" s="271">
        <f>IF(OR(C663="",D663=""),"",D663-C663)</f>
        <v/>
      </c>
      <c r="F663" s="172">
        <f>IF('Оперативный ввод'!F663="","",'Оперативный ввод'!F663)</f>
        <v/>
      </c>
      <c r="G663" s="172">
        <f>IF('Оперативный ввод'!G663="","",'Оперативный ввод'!G663)</f>
        <v/>
      </c>
      <c r="H663" s="172">
        <f>IF('Оперативный ввод'!H663="","",'Оперативный ввод'!H663)</f>
        <v/>
      </c>
      <c r="I663" s="172">
        <f>IF('Оперативный ввод'!I663="","",'Оперативный ввод'!I663)</f>
        <v/>
      </c>
      <c r="J663" s="172">
        <f>IF('Оперативный ввод'!J663="","",'Оперативный ввод'!J663)</f>
        <v/>
      </c>
      <c r="K663" s="172">
        <f>IF('Оперативный ввод'!K663="","",'Оперативный ввод'!K663)</f>
        <v/>
      </c>
      <c r="L663" s="172">
        <f>IF('Оперативный ввод'!L663="","",'Оперативный ввод'!L663)</f>
        <v/>
      </c>
      <c r="M663" s="172">
        <f>IF('Оперативный ввод'!M663="","",'Оперативный ввод'!M663)</f>
        <v/>
      </c>
      <c r="N663" s="172">
        <f>IF('Оперативный ввод'!N663="","",'Оперативный ввод'!N663)</f>
        <v/>
      </c>
      <c r="O663" s="172">
        <f>IF('Оперативный ввод'!O663="","",'Оперативный ввод'!O663)</f>
        <v/>
      </c>
      <c r="P663" s="205">
        <f>IF(AND(A663="",B663=""),"",IF(AND(A663&lt;&gt;"",B663&lt;&gt;"",C663&lt;&gt;"",D663&lt;&gt;"",F663&lt;&gt;"",G663&lt;&gt;"",H663&lt;&gt;"",ISERROR(SEARCH("по паспорту",G663)),ISERROR(SEARCH("по паспорту",H663)),I663&lt;&gt;"",J663&lt;&gt;"",K663&lt;&gt;"",L663&lt;&gt;"",M663&lt;&gt;""),"ГОТОВО","НЕ ГОТОВО"))</f>
        <v/>
      </c>
      <c r="Q663" s="205">
        <f>IF(P663&lt;&gt;"ГОТОВО","", "Предварительное заключение: "&amp;A663&amp;", скв. "&amp;B663&amp;". МРП: "&amp;E663&amp;" сут. ГНО: "&amp;F663&amp;", типоразмер "&amp;G663&amp;", марка "&amp;H663&amp;". Событие: "&amp;I663&amp;". Признак: "&amp;J663&amp;". Узел: "&amp;K663&amp;". Предварительная причина: "&amp;L663&amp;". Основное осложнение: "&amp;M663&amp;IF(N663&lt;&gt;"","; сопутствующее: "&amp;N663,"")&amp;IF(O663&lt;&gt;"","; дополнительно: "&amp;O663,"")&amp;".")</f>
        <v/>
      </c>
      <c r="R663" s="172">
        <f>IF('Оперативный ввод'!P663="","",'Оперативный ввод'!P663)</f>
        <v/>
      </c>
      <c r="S663" s="172">
        <f>IF('Оперативный ввод'!Q663="","",'Оперативный ввод'!Q663)</f>
        <v/>
      </c>
      <c r="T663" s="172">
        <f>IF('Оперативный ввод'!R663="","",'Оперативный ввод'!R663)</f>
        <v/>
      </c>
      <c r="U663" s="172">
        <f>IF('Оперативный ввод'!S663="","",'Оперативный ввод'!S663)</f>
        <v/>
      </c>
      <c r="V663" s="172">
        <f>IF('Оперативный ввод'!T663="","",'Оперативный ввод'!T663)</f>
        <v/>
      </c>
      <c r="W663" s="172" t="n"/>
      <c r="X663" s="172" t="n"/>
      <c r="Y663" s="172" t="n"/>
      <c r="Z663" s="172" t="n"/>
      <c r="AA663" s="172">
        <f>IF('Оперативный ввод'!U663="","",'Оперативный ввод'!U663)</f>
        <v/>
      </c>
      <c r="AB663" s="172">
        <f>IF('Оперативный ввод'!V663="","",'Оперативный ввод'!V663)</f>
        <v/>
      </c>
      <c r="AC663" s="172">
        <f>IF('Оперативный ввод'!W663="","",'Оперативный ввод'!W663)</f>
        <v/>
      </c>
      <c r="BB663" s="172" t="n"/>
      <c r="BC663" s="172" t="n"/>
      <c r="BD663" s="205">
        <f>IF(AND(A663="",B663=""),"",IF(AND(P663="ГОТОВО",R663&lt;&gt;"",T663&lt;&gt;"",U663&lt;&gt;"",AA663&lt;&gt;"",AB663&lt;&gt;"",AC663&lt;&gt;"",BB663&lt;&gt;"",BC663&lt;&gt;""),"ГОТОВО","НЕ ГОТОВО"))</f>
        <v/>
      </c>
      <c r="BE663" s="205">
        <f>IF(BD663&lt;&gt;"ГОТОВО","","Полное заключение: "&amp;A663&amp;", скв. "&amp;B663&amp;". МРП: "&amp;E663&amp;" сут. ГНО: "&amp;F663&amp;"; причина: "&amp;U663&amp;"; категория: "&amp;V663&amp;"; решение комиссии: "&amp;BB663&amp;".")</f>
        <v/>
      </c>
      <c r="BF663" s="173">
        <f>IF('Оперативный ввод'!X663="","",'Оперативный ввод'!X663)</f>
        <v/>
      </c>
    </row>
    <row r="664">
      <c r="A664" s="171">
        <f>IF('Оперативный ввод'!A664="","",'Оперативный ввод'!A664)</f>
        <v/>
      </c>
      <c r="B664" s="172">
        <f>IF('Оперативный ввод'!B664="","",'Оперативный ввод'!B664)</f>
        <v/>
      </c>
      <c r="C664" s="270">
        <f>IF('Оперативный ввод'!C664="","",'Оперативный ввод'!C664)</f>
        <v/>
      </c>
      <c r="D664" s="270">
        <f>IF('Оперативный ввод'!D664="","",'Оперативный ввод'!D664)</f>
        <v/>
      </c>
      <c r="E664" s="271">
        <f>IF(OR(C664="",D664=""),"",D664-C664)</f>
        <v/>
      </c>
      <c r="F664" s="172">
        <f>IF('Оперативный ввод'!F664="","",'Оперативный ввод'!F664)</f>
        <v/>
      </c>
      <c r="G664" s="172">
        <f>IF('Оперативный ввод'!G664="","",'Оперативный ввод'!G664)</f>
        <v/>
      </c>
      <c r="H664" s="172">
        <f>IF('Оперативный ввод'!H664="","",'Оперативный ввод'!H664)</f>
        <v/>
      </c>
      <c r="I664" s="172">
        <f>IF('Оперативный ввод'!I664="","",'Оперативный ввод'!I664)</f>
        <v/>
      </c>
      <c r="J664" s="172">
        <f>IF('Оперативный ввод'!J664="","",'Оперативный ввод'!J664)</f>
        <v/>
      </c>
      <c r="K664" s="172">
        <f>IF('Оперативный ввод'!K664="","",'Оперативный ввод'!K664)</f>
        <v/>
      </c>
      <c r="L664" s="172">
        <f>IF('Оперативный ввод'!L664="","",'Оперативный ввод'!L664)</f>
        <v/>
      </c>
      <c r="M664" s="172">
        <f>IF('Оперативный ввод'!M664="","",'Оперативный ввод'!M664)</f>
        <v/>
      </c>
      <c r="N664" s="172">
        <f>IF('Оперативный ввод'!N664="","",'Оперативный ввод'!N664)</f>
        <v/>
      </c>
      <c r="O664" s="172">
        <f>IF('Оперативный ввод'!O664="","",'Оперативный ввод'!O664)</f>
        <v/>
      </c>
      <c r="P664" s="205">
        <f>IF(AND(A664="",B664=""),"",IF(AND(A664&lt;&gt;"",B664&lt;&gt;"",C664&lt;&gt;"",D664&lt;&gt;"",F664&lt;&gt;"",G664&lt;&gt;"",H664&lt;&gt;"",ISERROR(SEARCH("по паспорту",G664)),ISERROR(SEARCH("по паспорту",H664)),I664&lt;&gt;"",J664&lt;&gt;"",K664&lt;&gt;"",L664&lt;&gt;"",M664&lt;&gt;""),"ГОТОВО","НЕ ГОТОВО"))</f>
        <v/>
      </c>
      <c r="Q664" s="205">
        <f>IF(P664&lt;&gt;"ГОТОВО","", "Предварительное заключение: "&amp;A664&amp;", скв. "&amp;B664&amp;". МРП: "&amp;E664&amp;" сут. ГНО: "&amp;F664&amp;", типоразмер "&amp;G664&amp;", марка "&amp;H664&amp;". Событие: "&amp;I664&amp;". Признак: "&amp;J664&amp;". Узел: "&amp;K664&amp;". Предварительная причина: "&amp;L664&amp;". Основное осложнение: "&amp;M664&amp;IF(N664&lt;&gt;"","; сопутствующее: "&amp;N664,"")&amp;IF(O664&lt;&gt;"","; дополнительно: "&amp;O664,"")&amp;".")</f>
        <v/>
      </c>
      <c r="R664" s="172">
        <f>IF('Оперативный ввод'!P664="","",'Оперативный ввод'!P664)</f>
        <v/>
      </c>
      <c r="S664" s="172">
        <f>IF('Оперативный ввод'!Q664="","",'Оперативный ввод'!Q664)</f>
        <v/>
      </c>
      <c r="T664" s="172">
        <f>IF('Оперативный ввод'!R664="","",'Оперативный ввод'!R664)</f>
        <v/>
      </c>
      <c r="U664" s="172">
        <f>IF('Оперативный ввод'!S664="","",'Оперативный ввод'!S664)</f>
        <v/>
      </c>
      <c r="V664" s="172">
        <f>IF('Оперативный ввод'!T664="","",'Оперативный ввод'!T664)</f>
        <v/>
      </c>
      <c r="W664" s="172" t="n"/>
      <c r="X664" s="172" t="n"/>
      <c r="Y664" s="172" t="n"/>
      <c r="Z664" s="172" t="n"/>
      <c r="AA664" s="172">
        <f>IF('Оперативный ввод'!U664="","",'Оперативный ввод'!U664)</f>
        <v/>
      </c>
      <c r="AB664" s="172">
        <f>IF('Оперативный ввод'!V664="","",'Оперативный ввод'!V664)</f>
        <v/>
      </c>
      <c r="AC664" s="172">
        <f>IF('Оперативный ввод'!W664="","",'Оперативный ввод'!W664)</f>
        <v/>
      </c>
      <c r="BB664" s="172" t="n"/>
      <c r="BC664" s="172" t="n"/>
      <c r="BD664" s="205">
        <f>IF(AND(A664="",B664=""),"",IF(AND(P664="ГОТОВО",R664&lt;&gt;"",T664&lt;&gt;"",U664&lt;&gt;"",AA664&lt;&gt;"",AB664&lt;&gt;"",AC664&lt;&gt;"",BB664&lt;&gt;"",BC664&lt;&gt;""),"ГОТОВО","НЕ ГОТОВО"))</f>
        <v/>
      </c>
      <c r="BE664" s="205">
        <f>IF(BD664&lt;&gt;"ГОТОВО","","Полное заключение: "&amp;A664&amp;", скв. "&amp;B664&amp;". МРП: "&amp;E664&amp;" сут. ГНО: "&amp;F664&amp;"; причина: "&amp;U664&amp;"; категория: "&amp;V664&amp;"; решение комиссии: "&amp;BB664&amp;".")</f>
        <v/>
      </c>
      <c r="BF664" s="173">
        <f>IF('Оперативный ввод'!X664="","",'Оперативный ввод'!X664)</f>
        <v/>
      </c>
    </row>
    <row r="665">
      <c r="A665" s="171">
        <f>IF('Оперативный ввод'!A665="","",'Оперативный ввод'!A665)</f>
        <v/>
      </c>
      <c r="B665" s="172">
        <f>IF('Оперативный ввод'!B665="","",'Оперативный ввод'!B665)</f>
        <v/>
      </c>
      <c r="C665" s="270">
        <f>IF('Оперативный ввод'!C665="","",'Оперативный ввод'!C665)</f>
        <v/>
      </c>
      <c r="D665" s="270">
        <f>IF('Оперативный ввод'!D665="","",'Оперативный ввод'!D665)</f>
        <v/>
      </c>
      <c r="E665" s="271">
        <f>IF(OR(C665="",D665=""),"",D665-C665)</f>
        <v/>
      </c>
      <c r="F665" s="172">
        <f>IF('Оперативный ввод'!F665="","",'Оперативный ввод'!F665)</f>
        <v/>
      </c>
      <c r="G665" s="172">
        <f>IF('Оперативный ввод'!G665="","",'Оперативный ввод'!G665)</f>
        <v/>
      </c>
      <c r="H665" s="172">
        <f>IF('Оперативный ввод'!H665="","",'Оперативный ввод'!H665)</f>
        <v/>
      </c>
      <c r="I665" s="172">
        <f>IF('Оперативный ввод'!I665="","",'Оперативный ввод'!I665)</f>
        <v/>
      </c>
      <c r="J665" s="172">
        <f>IF('Оперативный ввод'!J665="","",'Оперативный ввод'!J665)</f>
        <v/>
      </c>
      <c r="K665" s="172">
        <f>IF('Оперативный ввод'!K665="","",'Оперативный ввод'!K665)</f>
        <v/>
      </c>
      <c r="L665" s="172">
        <f>IF('Оперативный ввод'!L665="","",'Оперативный ввод'!L665)</f>
        <v/>
      </c>
      <c r="M665" s="172">
        <f>IF('Оперативный ввод'!M665="","",'Оперативный ввод'!M665)</f>
        <v/>
      </c>
      <c r="N665" s="172">
        <f>IF('Оперативный ввод'!N665="","",'Оперативный ввод'!N665)</f>
        <v/>
      </c>
      <c r="O665" s="172">
        <f>IF('Оперативный ввод'!O665="","",'Оперативный ввод'!O665)</f>
        <v/>
      </c>
      <c r="P665" s="205">
        <f>IF(AND(A665="",B665=""),"",IF(AND(A665&lt;&gt;"",B665&lt;&gt;"",C665&lt;&gt;"",D665&lt;&gt;"",F665&lt;&gt;"",G665&lt;&gt;"",H665&lt;&gt;"",ISERROR(SEARCH("по паспорту",G665)),ISERROR(SEARCH("по паспорту",H665)),I665&lt;&gt;"",J665&lt;&gt;"",K665&lt;&gt;"",L665&lt;&gt;"",M665&lt;&gt;""),"ГОТОВО","НЕ ГОТОВО"))</f>
        <v/>
      </c>
      <c r="Q665" s="205">
        <f>IF(P665&lt;&gt;"ГОТОВО","", "Предварительное заключение: "&amp;A665&amp;", скв. "&amp;B665&amp;". МРП: "&amp;E665&amp;" сут. ГНО: "&amp;F665&amp;", типоразмер "&amp;G665&amp;", марка "&amp;H665&amp;". Событие: "&amp;I665&amp;". Признак: "&amp;J665&amp;". Узел: "&amp;K665&amp;". Предварительная причина: "&amp;L665&amp;". Основное осложнение: "&amp;M665&amp;IF(N665&lt;&gt;"","; сопутствующее: "&amp;N665,"")&amp;IF(O665&lt;&gt;"","; дополнительно: "&amp;O665,"")&amp;".")</f>
        <v/>
      </c>
      <c r="R665" s="172">
        <f>IF('Оперативный ввод'!P665="","",'Оперативный ввод'!P665)</f>
        <v/>
      </c>
      <c r="S665" s="172">
        <f>IF('Оперативный ввод'!Q665="","",'Оперативный ввод'!Q665)</f>
        <v/>
      </c>
      <c r="T665" s="172">
        <f>IF('Оперативный ввод'!R665="","",'Оперативный ввод'!R665)</f>
        <v/>
      </c>
      <c r="U665" s="172">
        <f>IF('Оперативный ввод'!S665="","",'Оперативный ввод'!S665)</f>
        <v/>
      </c>
      <c r="V665" s="172">
        <f>IF('Оперативный ввод'!T665="","",'Оперативный ввод'!T665)</f>
        <v/>
      </c>
      <c r="W665" s="172" t="n"/>
      <c r="X665" s="172" t="n"/>
      <c r="Y665" s="172" t="n"/>
      <c r="Z665" s="172" t="n"/>
      <c r="AA665" s="172">
        <f>IF('Оперативный ввод'!U665="","",'Оперативный ввод'!U665)</f>
        <v/>
      </c>
      <c r="AB665" s="172">
        <f>IF('Оперативный ввод'!V665="","",'Оперативный ввод'!V665)</f>
        <v/>
      </c>
      <c r="AC665" s="172">
        <f>IF('Оперативный ввод'!W665="","",'Оперативный ввод'!W665)</f>
        <v/>
      </c>
      <c r="BB665" s="172" t="n"/>
      <c r="BC665" s="172" t="n"/>
      <c r="BD665" s="205">
        <f>IF(AND(A665="",B665=""),"",IF(AND(P665="ГОТОВО",R665&lt;&gt;"",T665&lt;&gt;"",U665&lt;&gt;"",AA665&lt;&gt;"",AB665&lt;&gt;"",AC665&lt;&gt;"",BB665&lt;&gt;"",BC665&lt;&gt;""),"ГОТОВО","НЕ ГОТОВО"))</f>
        <v/>
      </c>
      <c r="BE665" s="205">
        <f>IF(BD665&lt;&gt;"ГОТОВО","","Полное заключение: "&amp;A665&amp;", скв. "&amp;B665&amp;". МРП: "&amp;E665&amp;" сут. ГНО: "&amp;F665&amp;"; причина: "&amp;U665&amp;"; категория: "&amp;V665&amp;"; решение комиссии: "&amp;BB665&amp;".")</f>
        <v/>
      </c>
      <c r="BF665" s="173">
        <f>IF('Оперативный ввод'!X665="","",'Оперативный ввод'!X665)</f>
        <v/>
      </c>
    </row>
    <row r="666">
      <c r="A666" s="171">
        <f>IF('Оперативный ввод'!A666="","",'Оперативный ввод'!A666)</f>
        <v/>
      </c>
      <c r="B666" s="172">
        <f>IF('Оперативный ввод'!B666="","",'Оперативный ввод'!B666)</f>
        <v/>
      </c>
      <c r="C666" s="270">
        <f>IF('Оперативный ввод'!C666="","",'Оперативный ввод'!C666)</f>
        <v/>
      </c>
      <c r="D666" s="270">
        <f>IF('Оперативный ввод'!D666="","",'Оперативный ввод'!D666)</f>
        <v/>
      </c>
      <c r="E666" s="271">
        <f>IF(OR(C666="",D666=""),"",D666-C666)</f>
        <v/>
      </c>
      <c r="F666" s="172">
        <f>IF('Оперативный ввод'!F666="","",'Оперативный ввод'!F666)</f>
        <v/>
      </c>
      <c r="G666" s="172">
        <f>IF('Оперативный ввод'!G666="","",'Оперативный ввод'!G666)</f>
        <v/>
      </c>
      <c r="H666" s="172">
        <f>IF('Оперативный ввод'!H666="","",'Оперативный ввод'!H666)</f>
        <v/>
      </c>
      <c r="I666" s="172">
        <f>IF('Оперативный ввод'!I666="","",'Оперативный ввод'!I666)</f>
        <v/>
      </c>
      <c r="J666" s="172">
        <f>IF('Оперативный ввод'!J666="","",'Оперативный ввод'!J666)</f>
        <v/>
      </c>
      <c r="K666" s="172">
        <f>IF('Оперативный ввод'!K666="","",'Оперативный ввод'!K666)</f>
        <v/>
      </c>
      <c r="L666" s="172">
        <f>IF('Оперативный ввод'!L666="","",'Оперативный ввод'!L666)</f>
        <v/>
      </c>
      <c r="M666" s="172">
        <f>IF('Оперативный ввод'!M666="","",'Оперативный ввод'!M666)</f>
        <v/>
      </c>
      <c r="N666" s="172">
        <f>IF('Оперативный ввод'!N666="","",'Оперативный ввод'!N666)</f>
        <v/>
      </c>
      <c r="O666" s="172">
        <f>IF('Оперативный ввод'!O666="","",'Оперативный ввод'!O666)</f>
        <v/>
      </c>
      <c r="P666" s="205">
        <f>IF(AND(A666="",B666=""),"",IF(AND(A666&lt;&gt;"",B666&lt;&gt;"",C666&lt;&gt;"",D666&lt;&gt;"",F666&lt;&gt;"",G666&lt;&gt;"",H666&lt;&gt;"",ISERROR(SEARCH("по паспорту",G666)),ISERROR(SEARCH("по паспорту",H666)),I666&lt;&gt;"",J666&lt;&gt;"",K666&lt;&gt;"",L666&lt;&gt;"",M666&lt;&gt;""),"ГОТОВО","НЕ ГОТОВО"))</f>
        <v/>
      </c>
      <c r="Q666" s="205">
        <f>IF(P666&lt;&gt;"ГОТОВО","", "Предварительное заключение: "&amp;A666&amp;", скв. "&amp;B666&amp;". МРП: "&amp;E666&amp;" сут. ГНО: "&amp;F666&amp;", типоразмер "&amp;G666&amp;", марка "&amp;H666&amp;". Событие: "&amp;I666&amp;". Признак: "&amp;J666&amp;". Узел: "&amp;K666&amp;". Предварительная причина: "&amp;L666&amp;". Основное осложнение: "&amp;M666&amp;IF(N666&lt;&gt;"","; сопутствующее: "&amp;N666,"")&amp;IF(O666&lt;&gt;"","; дополнительно: "&amp;O666,"")&amp;".")</f>
        <v/>
      </c>
      <c r="R666" s="172">
        <f>IF('Оперативный ввод'!P666="","",'Оперативный ввод'!P666)</f>
        <v/>
      </c>
      <c r="S666" s="172">
        <f>IF('Оперативный ввод'!Q666="","",'Оперативный ввод'!Q666)</f>
        <v/>
      </c>
      <c r="T666" s="172">
        <f>IF('Оперативный ввод'!R666="","",'Оперативный ввод'!R666)</f>
        <v/>
      </c>
      <c r="U666" s="172">
        <f>IF('Оперативный ввод'!S666="","",'Оперативный ввод'!S666)</f>
        <v/>
      </c>
      <c r="V666" s="172">
        <f>IF('Оперативный ввод'!T666="","",'Оперативный ввод'!T666)</f>
        <v/>
      </c>
      <c r="W666" s="172" t="n"/>
      <c r="X666" s="172" t="n"/>
      <c r="Y666" s="172" t="n"/>
      <c r="Z666" s="172" t="n"/>
      <c r="AA666" s="172">
        <f>IF('Оперативный ввод'!U666="","",'Оперативный ввод'!U666)</f>
        <v/>
      </c>
      <c r="AB666" s="172">
        <f>IF('Оперативный ввод'!V666="","",'Оперативный ввод'!V666)</f>
        <v/>
      </c>
      <c r="AC666" s="172">
        <f>IF('Оперативный ввод'!W666="","",'Оперативный ввод'!W666)</f>
        <v/>
      </c>
      <c r="BB666" s="172" t="n"/>
      <c r="BC666" s="172" t="n"/>
      <c r="BD666" s="205">
        <f>IF(AND(A666="",B666=""),"",IF(AND(P666="ГОТОВО",R666&lt;&gt;"",T666&lt;&gt;"",U666&lt;&gt;"",AA666&lt;&gt;"",AB666&lt;&gt;"",AC666&lt;&gt;"",BB666&lt;&gt;"",BC666&lt;&gt;""),"ГОТОВО","НЕ ГОТОВО"))</f>
        <v/>
      </c>
      <c r="BE666" s="205">
        <f>IF(BD666&lt;&gt;"ГОТОВО","","Полное заключение: "&amp;A666&amp;", скв. "&amp;B666&amp;". МРП: "&amp;E666&amp;" сут. ГНО: "&amp;F666&amp;"; причина: "&amp;U666&amp;"; категория: "&amp;V666&amp;"; решение комиссии: "&amp;BB666&amp;".")</f>
        <v/>
      </c>
      <c r="BF666" s="173">
        <f>IF('Оперативный ввод'!X666="","",'Оперативный ввод'!X666)</f>
        <v/>
      </c>
    </row>
    <row r="667">
      <c r="A667" s="171">
        <f>IF('Оперативный ввод'!A667="","",'Оперативный ввод'!A667)</f>
        <v/>
      </c>
      <c r="B667" s="172">
        <f>IF('Оперативный ввод'!B667="","",'Оперативный ввод'!B667)</f>
        <v/>
      </c>
      <c r="C667" s="270">
        <f>IF('Оперативный ввод'!C667="","",'Оперативный ввод'!C667)</f>
        <v/>
      </c>
      <c r="D667" s="270">
        <f>IF('Оперативный ввод'!D667="","",'Оперативный ввод'!D667)</f>
        <v/>
      </c>
      <c r="E667" s="271">
        <f>IF(OR(C667="",D667=""),"",D667-C667)</f>
        <v/>
      </c>
      <c r="F667" s="172">
        <f>IF('Оперативный ввод'!F667="","",'Оперативный ввод'!F667)</f>
        <v/>
      </c>
      <c r="G667" s="172">
        <f>IF('Оперативный ввод'!G667="","",'Оперативный ввод'!G667)</f>
        <v/>
      </c>
      <c r="H667" s="172">
        <f>IF('Оперативный ввод'!H667="","",'Оперативный ввод'!H667)</f>
        <v/>
      </c>
      <c r="I667" s="172">
        <f>IF('Оперативный ввод'!I667="","",'Оперативный ввод'!I667)</f>
        <v/>
      </c>
      <c r="J667" s="172">
        <f>IF('Оперативный ввод'!J667="","",'Оперативный ввод'!J667)</f>
        <v/>
      </c>
      <c r="K667" s="172">
        <f>IF('Оперативный ввод'!K667="","",'Оперативный ввод'!K667)</f>
        <v/>
      </c>
      <c r="L667" s="172">
        <f>IF('Оперативный ввод'!L667="","",'Оперативный ввод'!L667)</f>
        <v/>
      </c>
      <c r="M667" s="172">
        <f>IF('Оперативный ввод'!M667="","",'Оперативный ввод'!M667)</f>
        <v/>
      </c>
      <c r="N667" s="172">
        <f>IF('Оперативный ввод'!N667="","",'Оперативный ввод'!N667)</f>
        <v/>
      </c>
      <c r="O667" s="172">
        <f>IF('Оперативный ввод'!O667="","",'Оперативный ввод'!O667)</f>
        <v/>
      </c>
      <c r="P667" s="205">
        <f>IF(AND(A667="",B667=""),"",IF(AND(A667&lt;&gt;"",B667&lt;&gt;"",C667&lt;&gt;"",D667&lt;&gt;"",F667&lt;&gt;"",G667&lt;&gt;"",H667&lt;&gt;"",ISERROR(SEARCH("по паспорту",G667)),ISERROR(SEARCH("по паспорту",H667)),I667&lt;&gt;"",J667&lt;&gt;"",K667&lt;&gt;"",L667&lt;&gt;"",M667&lt;&gt;""),"ГОТОВО","НЕ ГОТОВО"))</f>
        <v/>
      </c>
      <c r="Q667" s="205">
        <f>IF(P667&lt;&gt;"ГОТОВО","", "Предварительное заключение: "&amp;A667&amp;", скв. "&amp;B667&amp;". МРП: "&amp;E667&amp;" сут. ГНО: "&amp;F667&amp;", типоразмер "&amp;G667&amp;", марка "&amp;H667&amp;". Событие: "&amp;I667&amp;". Признак: "&amp;J667&amp;". Узел: "&amp;K667&amp;". Предварительная причина: "&amp;L667&amp;". Основное осложнение: "&amp;M667&amp;IF(N667&lt;&gt;"","; сопутствующее: "&amp;N667,"")&amp;IF(O667&lt;&gt;"","; дополнительно: "&amp;O667,"")&amp;".")</f>
        <v/>
      </c>
      <c r="R667" s="172">
        <f>IF('Оперативный ввод'!P667="","",'Оперативный ввод'!P667)</f>
        <v/>
      </c>
      <c r="S667" s="172">
        <f>IF('Оперативный ввод'!Q667="","",'Оперативный ввод'!Q667)</f>
        <v/>
      </c>
      <c r="T667" s="172">
        <f>IF('Оперативный ввод'!R667="","",'Оперативный ввод'!R667)</f>
        <v/>
      </c>
      <c r="U667" s="172">
        <f>IF('Оперативный ввод'!S667="","",'Оперативный ввод'!S667)</f>
        <v/>
      </c>
      <c r="V667" s="172">
        <f>IF('Оперативный ввод'!T667="","",'Оперативный ввод'!T667)</f>
        <v/>
      </c>
      <c r="W667" s="172" t="n"/>
      <c r="X667" s="172" t="n"/>
      <c r="Y667" s="172" t="n"/>
      <c r="Z667" s="172" t="n"/>
      <c r="AA667" s="172">
        <f>IF('Оперативный ввод'!U667="","",'Оперативный ввод'!U667)</f>
        <v/>
      </c>
      <c r="AB667" s="172">
        <f>IF('Оперативный ввод'!V667="","",'Оперативный ввод'!V667)</f>
        <v/>
      </c>
      <c r="AC667" s="172">
        <f>IF('Оперативный ввод'!W667="","",'Оперативный ввод'!W667)</f>
        <v/>
      </c>
      <c r="BB667" s="172" t="n"/>
      <c r="BC667" s="172" t="n"/>
      <c r="BD667" s="205">
        <f>IF(AND(A667="",B667=""),"",IF(AND(P667="ГОТОВО",R667&lt;&gt;"",T667&lt;&gt;"",U667&lt;&gt;"",AA667&lt;&gt;"",AB667&lt;&gt;"",AC667&lt;&gt;"",BB667&lt;&gt;"",BC667&lt;&gt;""),"ГОТОВО","НЕ ГОТОВО"))</f>
        <v/>
      </c>
      <c r="BE667" s="205">
        <f>IF(BD667&lt;&gt;"ГОТОВО","","Полное заключение: "&amp;A667&amp;", скв. "&amp;B667&amp;". МРП: "&amp;E667&amp;" сут. ГНО: "&amp;F667&amp;"; причина: "&amp;U667&amp;"; категория: "&amp;V667&amp;"; решение комиссии: "&amp;BB667&amp;".")</f>
        <v/>
      </c>
      <c r="BF667" s="173">
        <f>IF('Оперативный ввод'!X667="","",'Оперативный ввод'!X667)</f>
        <v/>
      </c>
    </row>
    <row r="668">
      <c r="A668" s="171">
        <f>IF('Оперативный ввод'!A668="","",'Оперативный ввод'!A668)</f>
        <v/>
      </c>
      <c r="B668" s="172">
        <f>IF('Оперативный ввод'!B668="","",'Оперативный ввод'!B668)</f>
        <v/>
      </c>
      <c r="C668" s="270">
        <f>IF('Оперативный ввод'!C668="","",'Оперативный ввод'!C668)</f>
        <v/>
      </c>
      <c r="D668" s="270">
        <f>IF('Оперативный ввод'!D668="","",'Оперативный ввод'!D668)</f>
        <v/>
      </c>
      <c r="E668" s="271">
        <f>IF(OR(C668="",D668=""),"",D668-C668)</f>
        <v/>
      </c>
      <c r="F668" s="172">
        <f>IF('Оперативный ввод'!F668="","",'Оперативный ввод'!F668)</f>
        <v/>
      </c>
      <c r="G668" s="172">
        <f>IF('Оперативный ввод'!G668="","",'Оперативный ввод'!G668)</f>
        <v/>
      </c>
      <c r="H668" s="172">
        <f>IF('Оперативный ввод'!H668="","",'Оперативный ввод'!H668)</f>
        <v/>
      </c>
      <c r="I668" s="172">
        <f>IF('Оперативный ввод'!I668="","",'Оперативный ввод'!I668)</f>
        <v/>
      </c>
      <c r="J668" s="172">
        <f>IF('Оперативный ввод'!J668="","",'Оперативный ввод'!J668)</f>
        <v/>
      </c>
      <c r="K668" s="172">
        <f>IF('Оперативный ввод'!K668="","",'Оперативный ввод'!K668)</f>
        <v/>
      </c>
      <c r="L668" s="172">
        <f>IF('Оперативный ввод'!L668="","",'Оперативный ввод'!L668)</f>
        <v/>
      </c>
      <c r="M668" s="172">
        <f>IF('Оперативный ввод'!M668="","",'Оперативный ввод'!M668)</f>
        <v/>
      </c>
      <c r="N668" s="172">
        <f>IF('Оперативный ввод'!N668="","",'Оперативный ввод'!N668)</f>
        <v/>
      </c>
      <c r="O668" s="172">
        <f>IF('Оперативный ввод'!O668="","",'Оперативный ввод'!O668)</f>
        <v/>
      </c>
      <c r="P668" s="205">
        <f>IF(AND(A668="",B668=""),"",IF(AND(A668&lt;&gt;"",B668&lt;&gt;"",C668&lt;&gt;"",D668&lt;&gt;"",F668&lt;&gt;"",G668&lt;&gt;"",H668&lt;&gt;"",ISERROR(SEARCH("по паспорту",G668)),ISERROR(SEARCH("по паспорту",H668)),I668&lt;&gt;"",J668&lt;&gt;"",K668&lt;&gt;"",L668&lt;&gt;"",M668&lt;&gt;""),"ГОТОВО","НЕ ГОТОВО"))</f>
        <v/>
      </c>
      <c r="Q668" s="205">
        <f>IF(P668&lt;&gt;"ГОТОВО","", "Предварительное заключение: "&amp;A668&amp;", скв. "&amp;B668&amp;". МРП: "&amp;E668&amp;" сут. ГНО: "&amp;F668&amp;", типоразмер "&amp;G668&amp;", марка "&amp;H668&amp;". Событие: "&amp;I668&amp;". Признак: "&amp;J668&amp;". Узел: "&amp;K668&amp;". Предварительная причина: "&amp;L668&amp;". Основное осложнение: "&amp;M668&amp;IF(N668&lt;&gt;"","; сопутствующее: "&amp;N668,"")&amp;IF(O668&lt;&gt;"","; дополнительно: "&amp;O668,"")&amp;".")</f>
        <v/>
      </c>
      <c r="R668" s="172">
        <f>IF('Оперативный ввод'!P668="","",'Оперативный ввод'!P668)</f>
        <v/>
      </c>
      <c r="S668" s="172">
        <f>IF('Оперативный ввод'!Q668="","",'Оперативный ввод'!Q668)</f>
        <v/>
      </c>
      <c r="T668" s="172">
        <f>IF('Оперативный ввод'!R668="","",'Оперативный ввод'!R668)</f>
        <v/>
      </c>
      <c r="U668" s="172">
        <f>IF('Оперативный ввод'!S668="","",'Оперативный ввод'!S668)</f>
        <v/>
      </c>
      <c r="V668" s="172">
        <f>IF('Оперативный ввод'!T668="","",'Оперативный ввод'!T668)</f>
        <v/>
      </c>
      <c r="W668" s="172" t="n"/>
      <c r="X668" s="172" t="n"/>
      <c r="Y668" s="172" t="n"/>
      <c r="Z668" s="172" t="n"/>
      <c r="AA668" s="172">
        <f>IF('Оперативный ввод'!U668="","",'Оперативный ввод'!U668)</f>
        <v/>
      </c>
      <c r="AB668" s="172">
        <f>IF('Оперативный ввод'!V668="","",'Оперативный ввод'!V668)</f>
        <v/>
      </c>
      <c r="AC668" s="172">
        <f>IF('Оперативный ввод'!W668="","",'Оперативный ввод'!W668)</f>
        <v/>
      </c>
      <c r="BB668" s="172" t="n"/>
      <c r="BC668" s="172" t="n"/>
      <c r="BD668" s="205">
        <f>IF(AND(A668="",B668=""),"",IF(AND(P668="ГОТОВО",R668&lt;&gt;"",T668&lt;&gt;"",U668&lt;&gt;"",AA668&lt;&gt;"",AB668&lt;&gt;"",AC668&lt;&gt;"",BB668&lt;&gt;"",BC668&lt;&gt;""),"ГОТОВО","НЕ ГОТОВО"))</f>
        <v/>
      </c>
      <c r="BE668" s="205">
        <f>IF(BD668&lt;&gt;"ГОТОВО","","Полное заключение: "&amp;A668&amp;", скв. "&amp;B668&amp;". МРП: "&amp;E668&amp;" сут. ГНО: "&amp;F668&amp;"; причина: "&amp;U668&amp;"; категория: "&amp;V668&amp;"; решение комиссии: "&amp;BB668&amp;".")</f>
        <v/>
      </c>
      <c r="BF668" s="173">
        <f>IF('Оперативный ввод'!X668="","",'Оперативный ввод'!X668)</f>
        <v/>
      </c>
    </row>
    <row r="669">
      <c r="A669" s="171">
        <f>IF('Оперативный ввод'!A669="","",'Оперативный ввод'!A669)</f>
        <v/>
      </c>
      <c r="B669" s="172">
        <f>IF('Оперативный ввод'!B669="","",'Оперативный ввод'!B669)</f>
        <v/>
      </c>
      <c r="C669" s="270">
        <f>IF('Оперативный ввод'!C669="","",'Оперативный ввод'!C669)</f>
        <v/>
      </c>
      <c r="D669" s="270">
        <f>IF('Оперативный ввод'!D669="","",'Оперативный ввод'!D669)</f>
        <v/>
      </c>
      <c r="E669" s="271">
        <f>IF(OR(C669="",D669=""),"",D669-C669)</f>
        <v/>
      </c>
      <c r="F669" s="172">
        <f>IF('Оперативный ввод'!F669="","",'Оперативный ввод'!F669)</f>
        <v/>
      </c>
      <c r="G669" s="172">
        <f>IF('Оперативный ввод'!G669="","",'Оперативный ввод'!G669)</f>
        <v/>
      </c>
      <c r="H669" s="172">
        <f>IF('Оперативный ввод'!H669="","",'Оперативный ввод'!H669)</f>
        <v/>
      </c>
      <c r="I669" s="172">
        <f>IF('Оперативный ввод'!I669="","",'Оперативный ввод'!I669)</f>
        <v/>
      </c>
      <c r="J669" s="172">
        <f>IF('Оперативный ввод'!J669="","",'Оперативный ввод'!J669)</f>
        <v/>
      </c>
      <c r="K669" s="172">
        <f>IF('Оперативный ввод'!K669="","",'Оперативный ввод'!K669)</f>
        <v/>
      </c>
      <c r="L669" s="172">
        <f>IF('Оперативный ввод'!L669="","",'Оперативный ввод'!L669)</f>
        <v/>
      </c>
      <c r="M669" s="172">
        <f>IF('Оперативный ввод'!M669="","",'Оперативный ввод'!M669)</f>
        <v/>
      </c>
      <c r="N669" s="172">
        <f>IF('Оперативный ввод'!N669="","",'Оперативный ввод'!N669)</f>
        <v/>
      </c>
      <c r="O669" s="172">
        <f>IF('Оперативный ввод'!O669="","",'Оперативный ввод'!O669)</f>
        <v/>
      </c>
      <c r="P669" s="205">
        <f>IF(AND(A669="",B669=""),"",IF(AND(A669&lt;&gt;"",B669&lt;&gt;"",C669&lt;&gt;"",D669&lt;&gt;"",F669&lt;&gt;"",G669&lt;&gt;"",H669&lt;&gt;"",ISERROR(SEARCH("по паспорту",G669)),ISERROR(SEARCH("по паспорту",H669)),I669&lt;&gt;"",J669&lt;&gt;"",K669&lt;&gt;"",L669&lt;&gt;"",M669&lt;&gt;""),"ГОТОВО","НЕ ГОТОВО"))</f>
        <v/>
      </c>
      <c r="Q669" s="205">
        <f>IF(P669&lt;&gt;"ГОТОВО","", "Предварительное заключение: "&amp;A669&amp;", скв. "&amp;B669&amp;". МРП: "&amp;E669&amp;" сут. ГНО: "&amp;F669&amp;", типоразмер "&amp;G669&amp;", марка "&amp;H669&amp;". Событие: "&amp;I669&amp;". Признак: "&amp;J669&amp;". Узел: "&amp;K669&amp;". Предварительная причина: "&amp;L669&amp;". Основное осложнение: "&amp;M669&amp;IF(N669&lt;&gt;"","; сопутствующее: "&amp;N669,"")&amp;IF(O669&lt;&gt;"","; дополнительно: "&amp;O669,"")&amp;".")</f>
        <v/>
      </c>
      <c r="R669" s="172">
        <f>IF('Оперативный ввод'!P669="","",'Оперативный ввод'!P669)</f>
        <v/>
      </c>
      <c r="S669" s="172">
        <f>IF('Оперативный ввод'!Q669="","",'Оперативный ввод'!Q669)</f>
        <v/>
      </c>
      <c r="T669" s="172">
        <f>IF('Оперативный ввод'!R669="","",'Оперативный ввод'!R669)</f>
        <v/>
      </c>
      <c r="U669" s="172">
        <f>IF('Оперативный ввод'!S669="","",'Оперативный ввод'!S669)</f>
        <v/>
      </c>
      <c r="V669" s="172">
        <f>IF('Оперативный ввод'!T669="","",'Оперативный ввод'!T669)</f>
        <v/>
      </c>
      <c r="W669" s="172" t="n"/>
      <c r="X669" s="172" t="n"/>
      <c r="Y669" s="172" t="n"/>
      <c r="Z669" s="172" t="n"/>
      <c r="AA669" s="172">
        <f>IF('Оперативный ввод'!U669="","",'Оперативный ввод'!U669)</f>
        <v/>
      </c>
      <c r="AB669" s="172">
        <f>IF('Оперативный ввод'!V669="","",'Оперативный ввод'!V669)</f>
        <v/>
      </c>
      <c r="AC669" s="172">
        <f>IF('Оперативный ввод'!W669="","",'Оперативный ввод'!W669)</f>
        <v/>
      </c>
      <c r="BB669" s="172" t="n"/>
      <c r="BC669" s="172" t="n"/>
      <c r="BD669" s="205">
        <f>IF(AND(A669="",B669=""),"",IF(AND(P669="ГОТОВО",R669&lt;&gt;"",T669&lt;&gt;"",U669&lt;&gt;"",AA669&lt;&gt;"",AB669&lt;&gt;"",AC669&lt;&gt;"",BB669&lt;&gt;"",BC669&lt;&gt;""),"ГОТОВО","НЕ ГОТОВО"))</f>
        <v/>
      </c>
      <c r="BE669" s="205">
        <f>IF(BD669&lt;&gt;"ГОТОВО","","Полное заключение: "&amp;A669&amp;", скв. "&amp;B669&amp;". МРП: "&amp;E669&amp;" сут. ГНО: "&amp;F669&amp;"; причина: "&amp;U669&amp;"; категория: "&amp;V669&amp;"; решение комиссии: "&amp;BB669&amp;".")</f>
        <v/>
      </c>
      <c r="BF669" s="173">
        <f>IF('Оперативный ввод'!X669="","",'Оперативный ввод'!X669)</f>
        <v/>
      </c>
    </row>
    <row r="670">
      <c r="A670" s="171">
        <f>IF('Оперативный ввод'!A670="","",'Оперативный ввод'!A670)</f>
        <v/>
      </c>
      <c r="B670" s="172">
        <f>IF('Оперативный ввод'!B670="","",'Оперативный ввод'!B670)</f>
        <v/>
      </c>
      <c r="C670" s="270">
        <f>IF('Оперативный ввод'!C670="","",'Оперативный ввод'!C670)</f>
        <v/>
      </c>
      <c r="D670" s="270">
        <f>IF('Оперативный ввод'!D670="","",'Оперативный ввод'!D670)</f>
        <v/>
      </c>
      <c r="E670" s="271">
        <f>IF(OR(C670="",D670=""),"",D670-C670)</f>
        <v/>
      </c>
      <c r="F670" s="172">
        <f>IF('Оперативный ввод'!F670="","",'Оперативный ввод'!F670)</f>
        <v/>
      </c>
      <c r="G670" s="172">
        <f>IF('Оперативный ввод'!G670="","",'Оперативный ввод'!G670)</f>
        <v/>
      </c>
      <c r="H670" s="172">
        <f>IF('Оперативный ввод'!H670="","",'Оперативный ввод'!H670)</f>
        <v/>
      </c>
      <c r="I670" s="172">
        <f>IF('Оперативный ввод'!I670="","",'Оперативный ввод'!I670)</f>
        <v/>
      </c>
      <c r="J670" s="172">
        <f>IF('Оперативный ввод'!J670="","",'Оперативный ввод'!J670)</f>
        <v/>
      </c>
      <c r="K670" s="172">
        <f>IF('Оперативный ввод'!K670="","",'Оперативный ввод'!K670)</f>
        <v/>
      </c>
      <c r="L670" s="172">
        <f>IF('Оперативный ввод'!L670="","",'Оперативный ввод'!L670)</f>
        <v/>
      </c>
      <c r="M670" s="172">
        <f>IF('Оперативный ввод'!M670="","",'Оперативный ввод'!M670)</f>
        <v/>
      </c>
      <c r="N670" s="172">
        <f>IF('Оперативный ввод'!N670="","",'Оперативный ввод'!N670)</f>
        <v/>
      </c>
      <c r="O670" s="172">
        <f>IF('Оперативный ввод'!O670="","",'Оперативный ввод'!O670)</f>
        <v/>
      </c>
      <c r="P670" s="205">
        <f>IF(AND(A670="",B670=""),"",IF(AND(A670&lt;&gt;"",B670&lt;&gt;"",C670&lt;&gt;"",D670&lt;&gt;"",F670&lt;&gt;"",G670&lt;&gt;"",H670&lt;&gt;"",ISERROR(SEARCH("по паспорту",G670)),ISERROR(SEARCH("по паспорту",H670)),I670&lt;&gt;"",J670&lt;&gt;"",K670&lt;&gt;"",L670&lt;&gt;"",M670&lt;&gt;""),"ГОТОВО","НЕ ГОТОВО"))</f>
        <v/>
      </c>
      <c r="Q670" s="205">
        <f>IF(P670&lt;&gt;"ГОТОВО","", "Предварительное заключение: "&amp;A670&amp;", скв. "&amp;B670&amp;". МРП: "&amp;E670&amp;" сут. ГНО: "&amp;F670&amp;", типоразмер "&amp;G670&amp;", марка "&amp;H670&amp;". Событие: "&amp;I670&amp;". Признак: "&amp;J670&amp;". Узел: "&amp;K670&amp;". Предварительная причина: "&amp;L670&amp;". Основное осложнение: "&amp;M670&amp;IF(N670&lt;&gt;"","; сопутствующее: "&amp;N670,"")&amp;IF(O670&lt;&gt;"","; дополнительно: "&amp;O670,"")&amp;".")</f>
        <v/>
      </c>
      <c r="R670" s="172">
        <f>IF('Оперативный ввод'!P670="","",'Оперативный ввод'!P670)</f>
        <v/>
      </c>
      <c r="S670" s="172">
        <f>IF('Оперативный ввод'!Q670="","",'Оперативный ввод'!Q670)</f>
        <v/>
      </c>
      <c r="T670" s="172">
        <f>IF('Оперативный ввод'!R670="","",'Оперативный ввод'!R670)</f>
        <v/>
      </c>
      <c r="U670" s="172">
        <f>IF('Оперативный ввод'!S670="","",'Оперативный ввод'!S670)</f>
        <v/>
      </c>
      <c r="V670" s="172">
        <f>IF('Оперативный ввод'!T670="","",'Оперативный ввод'!T670)</f>
        <v/>
      </c>
      <c r="W670" s="172" t="n"/>
      <c r="X670" s="172" t="n"/>
      <c r="Y670" s="172" t="n"/>
      <c r="Z670" s="172" t="n"/>
      <c r="AA670" s="172">
        <f>IF('Оперативный ввод'!U670="","",'Оперативный ввод'!U670)</f>
        <v/>
      </c>
      <c r="AB670" s="172">
        <f>IF('Оперативный ввод'!V670="","",'Оперативный ввод'!V670)</f>
        <v/>
      </c>
      <c r="AC670" s="172">
        <f>IF('Оперативный ввод'!W670="","",'Оперативный ввод'!W670)</f>
        <v/>
      </c>
      <c r="BB670" s="172" t="n"/>
      <c r="BC670" s="172" t="n"/>
      <c r="BD670" s="205">
        <f>IF(AND(A670="",B670=""),"",IF(AND(P670="ГОТОВО",R670&lt;&gt;"",T670&lt;&gt;"",U670&lt;&gt;"",AA670&lt;&gt;"",AB670&lt;&gt;"",AC670&lt;&gt;"",BB670&lt;&gt;"",BC670&lt;&gt;""),"ГОТОВО","НЕ ГОТОВО"))</f>
        <v/>
      </c>
      <c r="BE670" s="205">
        <f>IF(BD670&lt;&gt;"ГОТОВО","","Полное заключение: "&amp;A670&amp;", скв. "&amp;B670&amp;". МРП: "&amp;E670&amp;" сут. ГНО: "&amp;F670&amp;"; причина: "&amp;U670&amp;"; категория: "&amp;V670&amp;"; решение комиссии: "&amp;BB670&amp;".")</f>
        <v/>
      </c>
      <c r="BF670" s="173">
        <f>IF('Оперативный ввод'!X670="","",'Оперативный ввод'!X670)</f>
        <v/>
      </c>
    </row>
    <row r="671">
      <c r="A671" s="171">
        <f>IF('Оперативный ввод'!A671="","",'Оперативный ввод'!A671)</f>
        <v/>
      </c>
      <c r="B671" s="172">
        <f>IF('Оперативный ввод'!B671="","",'Оперативный ввод'!B671)</f>
        <v/>
      </c>
      <c r="C671" s="270">
        <f>IF('Оперативный ввод'!C671="","",'Оперативный ввод'!C671)</f>
        <v/>
      </c>
      <c r="D671" s="270">
        <f>IF('Оперативный ввод'!D671="","",'Оперативный ввод'!D671)</f>
        <v/>
      </c>
      <c r="E671" s="271">
        <f>IF(OR(C671="",D671=""),"",D671-C671)</f>
        <v/>
      </c>
      <c r="F671" s="172">
        <f>IF('Оперативный ввод'!F671="","",'Оперативный ввод'!F671)</f>
        <v/>
      </c>
      <c r="G671" s="172">
        <f>IF('Оперативный ввод'!G671="","",'Оперативный ввод'!G671)</f>
        <v/>
      </c>
      <c r="H671" s="172">
        <f>IF('Оперативный ввод'!H671="","",'Оперативный ввод'!H671)</f>
        <v/>
      </c>
      <c r="I671" s="172">
        <f>IF('Оперативный ввод'!I671="","",'Оперативный ввод'!I671)</f>
        <v/>
      </c>
      <c r="J671" s="172">
        <f>IF('Оперативный ввод'!J671="","",'Оперативный ввод'!J671)</f>
        <v/>
      </c>
      <c r="K671" s="172">
        <f>IF('Оперативный ввод'!K671="","",'Оперативный ввод'!K671)</f>
        <v/>
      </c>
      <c r="L671" s="172">
        <f>IF('Оперативный ввод'!L671="","",'Оперативный ввод'!L671)</f>
        <v/>
      </c>
      <c r="M671" s="172">
        <f>IF('Оперативный ввод'!M671="","",'Оперативный ввод'!M671)</f>
        <v/>
      </c>
      <c r="N671" s="172">
        <f>IF('Оперативный ввод'!N671="","",'Оперативный ввод'!N671)</f>
        <v/>
      </c>
      <c r="O671" s="172">
        <f>IF('Оперативный ввод'!O671="","",'Оперативный ввод'!O671)</f>
        <v/>
      </c>
      <c r="P671" s="205">
        <f>IF(AND(A671="",B671=""),"",IF(AND(A671&lt;&gt;"",B671&lt;&gt;"",C671&lt;&gt;"",D671&lt;&gt;"",F671&lt;&gt;"",G671&lt;&gt;"",H671&lt;&gt;"",ISERROR(SEARCH("по паспорту",G671)),ISERROR(SEARCH("по паспорту",H671)),I671&lt;&gt;"",J671&lt;&gt;"",K671&lt;&gt;"",L671&lt;&gt;"",M671&lt;&gt;""),"ГОТОВО","НЕ ГОТОВО"))</f>
        <v/>
      </c>
      <c r="Q671" s="205">
        <f>IF(P671&lt;&gt;"ГОТОВО","", "Предварительное заключение: "&amp;A671&amp;", скв. "&amp;B671&amp;". МРП: "&amp;E671&amp;" сут. ГНО: "&amp;F671&amp;", типоразмер "&amp;G671&amp;", марка "&amp;H671&amp;". Событие: "&amp;I671&amp;". Признак: "&amp;J671&amp;". Узел: "&amp;K671&amp;". Предварительная причина: "&amp;L671&amp;". Основное осложнение: "&amp;M671&amp;IF(N671&lt;&gt;"","; сопутствующее: "&amp;N671,"")&amp;IF(O671&lt;&gt;"","; дополнительно: "&amp;O671,"")&amp;".")</f>
        <v/>
      </c>
      <c r="R671" s="172">
        <f>IF('Оперативный ввод'!P671="","",'Оперативный ввод'!P671)</f>
        <v/>
      </c>
      <c r="S671" s="172">
        <f>IF('Оперативный ввод'!Q671="","",'Оперативный ввод'!Q671)</f>
        <v/>
      </c>
      <c r="T671" s="172">
        <f>IF('Оперативный ввод'!R671="","",'Оперативный ввод'!R671)</f>
        <v/>
      </c>
      <c r="U671" s="172">
        <f>IF('Оперативный ввод'!S671="","",'Оперативный ввод'!S671)</f>
        <v/>
      </c>
      <c r="V671" s="172">
        <f>IF('Оперативный ввод'!T671="","",'Оперативный ввод'!T671)</f>
        <v/>
      </c>
      <c r="W671" s="172" t="n"/>
      <c r="X671" s="172" t="n"/>
      <c r="Y671" s="172" t="n"/>
      <c r="Z671" s="172" t="n"/>
      <c r="AA671" s="172">
        <f>IF('Оперативный ввод'!U671="","",'Оперативный ввод'!U671)</f>
        <v/>
      </c>
      <c r="AB671" s="172">
        <f>IF('Оперативный ввод'!V671="","",'Оперативный ввод'!V671)</f>
        <v/>
      </c>
      <c r="AC671" s="172">
        <f>IF('Оперативный ввод'!W671="","",'Оперативный ввод'!W671)</f>
        <v/>
      </c>
      <c r="BB671" s="172" t="n"/>
      <c r="BC671" s="172" t="n"/>
      <c r="BD671" s="205">
        <f>IF(AND(A671="",B671=""),"",IF(AND(P671="ГОТОВО",R671&lt;&gt;"",T671&lt;&gt;"",U671&lt;&gt;"",AA671&lt;&gt;"",AB671&lt;&gt;"",AC671&lt;&gt;"",BB671&lt;&gt;"",BC671&lt;&gt;""),"ГОТОВО","НЕ ГОТОВО"))</f>
        <v/>
      </c>
      <c r="BE671" s="205">
        <f>IF(BD671&lt;&gt;"ГОТОВО","","Полное заключение: "&amp;A671&amp;", скв. "&amp;B671&amp;". МРП: "&amp;E671&amp;" сут. ГНО: "&amp;F671&amp;"; причина: "&amp;U671&amp;"; категория: "&amp;V671&amp;"; решение комиссии: "&amp;BB671&amp;".")</f>
        <v/>
      </c>
      <c r="BF671" s="173">
        <f>IF('Оперативный ввод'!X671="","",'Оперативный ввод'!X671)</f>
        <v/>
      </c>
    </row>
    <row r="672">
      <c r="A672" s="171">
        <f>IF('Оперативный ввод'!A672="","",'Оперативный ввод'!A672)</f>
        <v/>
      </c>
      <c r="B672" s="172">
        <f>IF('Оперативный ввод'!B672="","",'Оперативный ввод'!B672)</f>
        <v/>
      </c>
      <c r="C672" s="270">
        <f>IF('Оперативный ввод'!C672="","",'Оперативный ввод'!C672)</f>
        <v/>
      </c>
      <c r="D672" s="270">
        <f>IF('Оперативный ввод'!D672="","",'Оперативный ввод'!D672)</f>
        <v/>
      </c>
      <c r="E672" s="271">
        <f>IF(OR(C672="",D672=""),"",D672-C672)</f>
        <v/>
      </c>
      <c r="F672" s="172">
        <f>IF('Оперативный ввод'!F672="","",'Оперативный ввод'!F672)</f>
        <v/>
      </c>
      <c r="G672" s="172">
        <f>IF('Оперативный ввод'!G672="","",'Оперативный ввод'!G672)</f>
        <v/>
      </c>
      <c r="H672" s="172">
        <f>IF('Оперативный ввод'!H672="","",'Оперативный ввод'!H672)</f>
        <v/>
      </c>
      <c r="I672" s="172">
        <f>IF('Оперативный ввод'!I672="","",'Оперативный ввод'!I672)</f>
        <v/>
      </c>
      <c r="J672" s="172">
        <f>IF('Оперативный ввод'!J672="","",'Оперативный ввод'!J672)</f>
        <v/>
      </c>
      <c r="K672" s="172">
        <f>IF('Оперативный ввод'!K672="","",'Оперативный ввод'!K672)</f>
        <v/>
      </c>
      <c r="L672" s="172">
        <f>IF('Оперативный ввод'!L672="","",'Оперативный ввод'!L672)</f>
        <v/>
      </c>
      <c r="M672" s="172">
        <f>IF('Оперативный ввод'!M672="","",'Оперативный ввод'!M672)</f>
        <v/>
      </c>
      <c r="N672" s="172">
        <f>IF('Оперативный ввод'!N672="","",'Оперативный ввод'!N672)</f>
        <v/>
      </c>
      <c r="O672" s="172">
        <f>IF('Оперативный ввод'!O672="","",'Оперативный ввод'!O672)</f>
        <v/>
      </c>
      <c r="P672" s="205">
        <f>IF(AND(A672="",B672=""),"",IF(AND(A672&lt;&gt;"",B672&lt;&gt;"",C672&lt;&gt;"",D672&lt;&gt;"",F672&lt;&gt;"",G672&lt;&gt;"",H672&lt;&gt;"",ISERROR(SEARCH("по паспорту",G672)),ISERROR(SEARCH("по паспорту",H672)),I672&lt;&gt;"",J672&lt;&gt;"",K672&lt;&gt;"",L672&lt;&gt;"",M672&lt;&gt;""),"ГОТОВО","НЕ ГОТОВО"))</f>
        <v/>
      </c>
      <c r="Q672" s="205">
        <f>IF(P672&lt;&gt;"ГОТОВО","", "Предварительное заключение: "&amp;A672&amp;", скв. "&amp;B672&amp;". МРП: "&amp;E672&amp;" сут. ГНО: "&amp;F672&amp;", типоразмер "&amp;G672&amp;", марка "&amp;H672&amp;". Событие: "&amp;I672&amp;". Признак: "&amp;J672&amp;". Узел: "&amp;K672&amp;". Предварительная причина: "&amp;L672&amp;". Основное осложнение: "&amp;M672&amp;IF(N672&lt;&gt;"","; сопутствующее: "&amp;N672,"")&amp;IF(O672&lt;&gt;"","; дополнительно: "&amp;O672,"")&amp;".")</f>
        <v/>
      </c>
      <c r="R672" s="172">
        <f>IF('Оперативный ввод'!P672="","",'Оперативный ввод'!P672)</f>
        <v/>
      </c>
      <c r="S672" s="172">
        <f>IF('Оперативный ввод'!Q672="","",'Оперативный ввод'!Q672)</f>
        <v/>
      </c>
      <c r="T672" s="172">
        <f>IF('Оперативный ввод'!R672="","",'Оперативный ввод'!R672)</f>
        <v/>
      </c>
      <c r="U672" s="172">
        <f>IF('Оперативный ввод'!S672="","",'Оперативный ввод'!S672)</f>
        <v/>
      </c>
      <c r="V672" s="172">
        <f>IF('Оперативный ввод'!T672="","",'Оперативный ввод'!T672)</f>
        <v/>
      </c>
      <c r="W672" s="172" t="n"/>
      <c r="X672" s="172" t="n"/>
      <c r="Y672" s="172" t="n"/>
      <c r="Z672" s="172" t="n"/>
      <c r="AA672" s="172">
        <f>IF('Оперативный ввод'!U672="","",'Оперативный ввод'!U672)</f>
        <v/>
      </c>
      <c r="AB672" s="172">
        <f>IF('Оперативный ввод'!V672="","",'Оперативный ввод'!V672)</f>
        <v/>
      </c>
      <c r="AC672" s="172">
        <f>IF('Оперативный ввод'!W672="","",'Оперативный ввод'!W672)</f>
        <v/>
      </c>
      <c r="BB672" s="172" t="n"/>
      <c r="BC672" s="172" t="n"/>
      <c r="BD672" s="205">
        <f>IF(AND(A672="",B672=""),"",IF(AND(P672="ГОТОВО",R672&lt;&gt;"",T672&lt;&gt;"",U672&lt;&gt;"",AA672&lt;&gt;"",AB672&lt;&gt;"",AC672&lt;&gt;"",BB672&lt;&gt;"",BC672&lt;&gt;""),"ГОТОВО","НЕ ГОТОВО"))</f>
        <v/>
      </c>
      <c r="BE672" s="205">
        <f>IF(BD672&lt;&gt;"ГОТОВО","","Полное заключение: "&amp;A672&amp;", скв. "&amp;B672&amp;". МРП: "&amp;E672&amp;" сут. ГНО: "&amp;F672&amp;"; причина: "&amp;U672&amp;"; категория: "&amp;V672&amp;"; решение комиссии: "&amp;BB672&amp;".")</f>
        <v/>
      </c>
      <c r="BF672" s="173">
        <f>IF('Оперативный ввод'!X672="","",'Оперативный ввод'!X672)</f>
        <v/>
      </c>
    </row>
    <row r="673">
      <c r="A673" s="171">
        <f>IF('Оперативный ввод'!A673="","",'Оперативный ввод'!A673)</f>
        <v/>
      </c>
      <c r="B673" s="172">
        <f>IF('Оперативный ввод'!B673="","",'Оперативный ввод'!B673)</f>
        <v/>
      </c>
      <c r="C673" s="270">
        <f>IF('Оперативный ввод'!C673="","",'Оперативный ввод'!C673)</f>
        <v/>
      </c>
      <c r="D673" s="270">
        <f>IF('Оперативный ввод'!D673="","",'Оперативный ввод'!D673)</f>
        <v/>
      </c>
      <c r="E673" s="271">
        <f>IF(OR(C673="",D673=""),"",D673-C673)</f>
        <v/>
      </c>
      <c r="F673" s="172">
        <f>IF('Оперативный ввод'!F673="","",'Оперативный ввод'!F673)</f>
        <v/>
      </c>
      <c r="G673" s="172">
        <f>IF('Оперативный ввод'!G673="","",'Оперативный ввод'!G673)</f>
        <v/>
      </c>
      <c r="H673" s="172">
        <f>IF('Оперативный ввод'!H673="","",'Оперативный ввод'!H673)</f>
        <v/>
      </c>
      <c r="I673" s="172">
        <f>IF('Оперативный ввод'!I673="","",'Оперативный ввод'!I673)</f>
        <v/>
      </c>
      <c r="J673" s="172">
        <f>IF('Оперативный ввод'!J673="","",'Оперативный ввод'!J673)</f>
        <v/>
      </c>
      <c r="K673" s="172">
        <f>IF('Оперативный ввод'!K673="","",'Оперативный ввод'!K673)</f>
        <v/>
      </c>
      <c r="L673" s="172">
        <f>IF('Оперативный ввод'!L673="","",'Оперативный ввод'!L673)</f>
        <v/>
      </c>
      <c r="M673" s="172">
        <f>IF('Оперативный ввод'!M673="","",'Оперативный ввод'!M673)</f>
        <v/>
      </c>
      <c r="N673" s="172">
        <f>IF('Оперативный ввод'!N673="","",'Оперативный ввод'!N673)</f>
        <v/>
      </c>
      <c r="O673" s="172">
        <f>IF('Оперативный ввод'!O673="","",'Оперативный ввод'!O673)</f>
        <v/>
      </c>
      <c r="P673" s="205">
        <f>IF(AND(A673="",B673=""),"",IF(AND(A673&lt;&gt;"",B673&lt;&gt;"",C673&lt;&gt;"",D673&lt;&gt;"",F673&lt;&gt;"",G673&lt;&gt;"",H673&lt;&gt;"",ISERROR(SEARCH("по паспорту",G673)),ISERROR(SEARCH("по паспорту",H673)),I673&lt;&gt;"",J673&lt;&gt;"",K673&lt;&gt;"",L673&lt;&gt;"",M673&lt;&gt;""),"ГОТОВО","НЕ ГОТОВО"))</f>
        <v/>
      </c>
      <c r="Q673" s="205">
        <f>IF(P673&lt;&gt;"ГОТОВО","", "Предварительное заключение: "&amp;A673&amp;", скв. "&amp;B673&amp;". МРП: "&amp;E673&amp;" сут. ГНО: "&amp;F673&amp;", типоразмер "&amp;G673&amp;", марка "&amp;H673&amp;". Событие: "&amp;I673&amp;". Признак: "&amp;J673&amp;". Узел: "&amp;K673&amp;". Предварительная причина: "&amp;L673&amp;". Основное осложнение: "&amp;M673&amp;IF(N673&lt;&gt;"","; сопутствующее: "&amp;N673,"")&amp;IF(O673&lt;&gt;"","; дополнительно: "&amp;O673,"")&amp;".")</f>
        <v/>
      </c>
      <c r="R673" s="172">
        <f>IF('Оперативный ввод'!P673="","",'Оперативный ввод'!P673)</f>
        <v/>
      </c>
      <c r="S673" s="172">
        <f>IF('Оперативный ввод'!Q673="","",'Оперативный ввод'!Q673)</f>
        <v/>
      </c>
      <c r="T673" s="172">
        <f>IF('Оперативный ввод'!R673="","",'Оперативный ввод'!R673)</f>
        <v/>
      </c>
      <c r="U673" s="172">
        <f>IF('Оперативный ввод'!S673="","",'Оперативный ввод'!S673)</f>
        <v/>
      </c>
      <c r="V673" s="172">
        <f>IF('Оперативный ввод'!T673="","",'Оперативный ввод'!T673)</f>
        <v/>
      </c>
      <c r="W673" s="172" t="n"/>
      <c r="X673" s="172" t="n"/>
      <c r="Y673" s="172" t="n"/>
      <c r="Z673" s="172" t="n"/>
      <c r="AA673" s="172">
        <f>IF('Оперативный ввод'!U673="","",'Оперативный ввод'!U673)</f>
        <v/>
      </c>
      <c r="AB673" s="172">
        <f>IF('Оперативный ввод'!V673="","",'Оперативный ввод'!V673)</f>
        <v/>
      </c>
      <c r="AC673" s="172">
        <f>IF('Оперативный ввод'!W673="","",'Оперативный ввод'!W673)</f>
        <v/>
      </c>
      <c r="BB673" s="172" t="n"/>
      <c r="BC673" s="172" t="n"/>
      <c r="BD673" s="205">
        <f>IF(AND(A673="",B673=""),"",IF(AND(P673="ГОТОВО",R673&lt;&gt;"",T673&lt;&gt;"",U673&lt;&gt;"",AA673&lt;&gt;"",AB673&lt;&gt;"",AC673&lt;&gt;"",BB673&lt;&gt;"",BC673&lt;&gt;""),"ГОТОВО","НЕ ГОТОВО"))</f>
        <v/>
      </c>
      <c r="BE673" s="205">
        <f>IF(BD673&lt;&gt;"ГОТОВО","","Полное заключение: "&amp;A673&amp;", скв. "&amp;B673&amp;". МРП: "&amp;E673&amp;" сут. ГНО: "&amp;F673&amp;"; причина: "&amp;U673&amp;"; категория: "&amp;V673&amp;"; решение комиссии: "&amp;BB673&amp;".")</f>
        <v/>
      </c>
      <c r="BF673" s="173">
        <f>IF('Оперативный ввод'!X673="","",'Оперативный ввод'!X673)</f>
        <v/>
      </c>
    </row>
    <row r="674">
      <c r="A674" s="171">
        <f>IF('Оперативный ввод'!A674="","",'Оперативный ввод'!A674)</f>
        <v/>
      </c>
      <c r="B674" s="172">
        <f>IF('Оперативный ввод'!B674="","",'Оперативный ввод'!B674)</f>
        <v/>
      </c>
      <c r="C674" s="270">
        <f>IF('Оперативный ввод'!C674="","",'Оперативный ввод'!C674)</f>
        <v/>
      </c>
      <c r="D674" s="270">
        <f>IF('Оперативный ввод'!D674="","",'Оперативный ввод'!D674)</f>
        <v/>
      </c>
      <c r="E674" s="271">
        <f>IF(OR(C674="",D674=""),"",D674-C674)</f>
        <v/>
      </c>
      <c r="F674" s="172">
        <f>IF('Оперативный ввод'!F674="","",'Оперативный ввод'!F674)</f>
        <v/>
      </c>
      <c r="G674" s="172">
        <f>IF('Оперативный ввод'!G674="","",'Оперативный ввод'!G674)</f>
        <v/>
      </c>
      <c r="H674" s="172">
        <f>IF('Оперативный ввод'!H674="","",'Оперативный ввод'!H674)</f>
        <v/>
      </c>
      <c r="I674" s="172">
        <f>IF('Оперативный ввод'!I674="","",'Оперативный ввод'!I674)</f>
        <v/>
      </c>
      <c r="J674" s="172">
        <f>IF('Оперативный ввод'!J674="","",'Оперативный ввод'!J674)</f>
        <v/>
      </c>
      <c r="K674" s="172">
        <f>IF('Оперативный ввод'!K674="","",'Оперативный ввод'!K674)</f>
        <v/>
      </c>
      <c r="L674" s="172">
        <f>IF('Оперативный ввод'!L674="","",'Оперативный ввод'!L674)</f>
        <v/>
      </c>
      <c r="M674" s="172">
        <f>IF('Оперативный ввод'!M674="","",'Оперативный ввод'!M674)</f>
        <v/>
      </c>
      <c r="N674" s="172">
        <f>IF('Оперативный ввод'!N674="","",'Оперативный ввод'!N674)</f>
        <v/>
      </c>
      <c r="O674" s="172">
        <f>IF('Оперативный ввод'!O674="","",'Оперативный ввод'!O674)</f>
        <v/>
      </c>
      <c r="P674" s="205">
        <f>IF(AND(A674="",B674=""),"",IF(AND(A674&lt;&gt;"",B674&lt;&gt;"",C674&lt;&gt;"",D674&lt;&gt;"",F674&lt;&gt;"",G674&lt;&gt;"",H674&lt;&gt;"",ISERROR(SEARCH("по паспорту",G674)),ISERROR(SEARCH("по паспорту",H674)),I674&lt;&gt;"",J674&lt;&gt;"",K674&lt;&gt;"",L674&lt;&gt;"",M674&lt;&gt;""),"ГОТОВО","НЕ ГОТОВО"))</f>
        <v/>
      </c>
      <c r="Q674" s="205">
        <f>IF(P674&lt;&gt;"ГОТОВО","", "Предварительное заключение: "&amp;A674&amp;", скв. "&amp;B674&amp;". МРП: "&amp;E674&amp;" сут. ГНО: "&amp;F674&amp;", типоразмер "&amp;G674&amp;", марка "&amp;H674&amp;". Событие: "&amp;I674&amp;". Признак: "&amp;J674&amp;". Узел: "&amp;K674&amp;". Предварительная причина: "&amp;L674&amp;". Основное осложнение: "&amp;M674&amp;IF(N674&lt;&gt;"","; сопутствующее: "&amp;N674,"")&amp;IF(O674&lt;&gt;"","; дополнительно: "&amp;O674,"")&amp;".")</f>
        <v/>
      </c>
      <c r="R674" s="172">
        <f>IF('Оперативный ввод'!P674="","",'Оперативный ввод'!P674)</f>
        <v/>
      </c>
      <c r="S674" s="172">
        <f>IF('Оперативный ввод'!Q674="","",'Оперативный ввод'!Q674)</f>
        <v/>
      </c>
      <c r="T674" s="172">
        <f>IF('Оперативный ввод'!R674="","",'Оперативный ввод'!R674)</f>
        <v/>
      </c>
      <c r="U674" s="172">
        <f>IF('Оперативный ввод'!S674="","",'Оперативный ввод'!S674)</f>
        <v/>
      </c>
      <c r="V674" s="172">
        <f>IF('Оперативный ввод'!T674="","",'Оперативный ввод'!T674)</f>
        <v/>
      </c>
      <c r="W674" s="172" t="n"/>
      <c r="X674" s="172" t="n"/>
      <c r="Y674" s="172" t="n"/>
      <c r="Z674" s="172" t="n"/>
      <c r="AA674" s="172">
        <f>IF('Оперативный ввод'!U674="","",'Оперативный ввод'!U674)</f>
        <v/>
      </c>
      <c r="AB674" s="172">
        <f>IF('Оперативный ввод'!V674="","",'Оперативный ввод'!V674)</f>
        <v/>
      </c>
      <c r="AC674" s="172">
        <f>IF('Оперативный ввод'!W674="","",'Оперативный ввод'!W674)</f>
        <v/>
      </c>
      <c r="BB674" s="172" t="n"/>
      <c r="BC674" s="172" t="n"/>
      <c r="BD674" s="205">
        <f>IF(AND(A674="",B674=""),"",IF(AND(P674="ГОТОВО",R674&lt;&gt;"",T674&lt;&gt;"",U674&lt;&gt;"",AA674&lt;&gt;"",AB674&lt;&gt;"",AC674&lt;&gt;"",BB674&lt;&gt;"",BC674&lt;&gt;""),"ГОТОВО","НЕ ГОТОВО"))</f>
        <v/>
      </c>
      <c r="BE674" s="205">
        <f>IF(BD674&lt;&gt;"ГОТОВО","","Полное заключение: "&amp;A674&amp;", скв. "&amp;B674&amp;". МРП: "&amp;E674&amp;" сут. ГНО: "&amp;F674&amp;"; причина: "&amp;U674&amp;"; категория: "&amp;V674&amp;"; решение комиссии: "&amp;BB674&amp;".")</f>
        <v/>
      </c>
      <c r="BF674" s="173">
        <f>IF('Оперативный ввод'!X674="","",'Оперативный ввод'!X674)</f>
        <v/>
      </c>
    </row>
    <row r="675">
      <c r="A675" s="171">
        <f>IF('Оперативный ввод'!A675="","",'Оперативный ввод'!A675)</f>
        <v/>
      </c>
      <c r="B675" s="172">
        <f>IF('Оперативный ввод'!B675="","",'Оперативный ввод'!B675)</f>
        <v/>
      </c>
      <c r="C675" s="270">
        <f>IF('Оперативный ввод'!C675="","",'Оперативный ввод'!C675)</f>
        <v/>
      </c>
      <c r="D675" s="270">
        <f>IF('Оперативный ввод'!D675="","",'Оперативный ввод'!D675)</f>
        <v/>
      </c>
      <c r="E675" s="271">
        <f>IF(OR(C675="",D675=""),"",D675-C675)</f>
        <v/>
      </c>
      <c r="F675" s="172">
        <f>IF('Оперативный ввод'!F675="","",'Оперативный ввод'!F675)</f>
        <v/>
      </c>
      <c r="G675" s="172">
        <f>IF('Оперативный ввод'!G675="","",'Оперативный ввод'!G675)</f>
        <v/>
      </c>
      <c r="H675" s="172">
        <f>IF('Оперативный ввод'!H675="","",'Оперативный ввод'!H675)</f>
        <v/>
      </c>
      <c r="I675" s="172">
        <f>IF('Оперативный ввод'!I675="","",'Оперативный ввод'!I675)</f>
        <v/>
      </c>
      <c r="J675" s="172">
        <f>IF('Оперативный ввод'!J675="","",'Оперативный ввод'!J675)</f>
        <v/>
      </c>
      <c r="K675" s="172">
        <f>IF('Оперативный ввод'!K675="","",'Оперативный ввод'!K675)</f>
        <v/>
      </c>
      <c r="L675" s="172">
        <f>IF('Оперативный ввод'!L675="","",'Оперативный ввод'!L675)</f>
        <v/>
      </c>
      <c r="M675" s="172">
        <f>IF('Оперативный ввод'!M675="","",'Оперативный ввод'!M675)</f>
        <v/>
      </c>
      <c r="N675" s="172">
        <f>IF('Оперативный ввод'!N675="","",'Оперативный ввод'!N675)</f>
        <v/>
      </c>
      <c r="O675" s="172">
        <f>IF('Оперативный ввод'!O675="","",'Оперативный ввод'!O675)</f>
        <v/>
      </c>
      <c r="P675" s="205">
        <f>IF(AND(A675="",B675=""),"",IF(AND(A675&lt;&gt;"",B675&lt;&gt;"",C675&lt;&gt;"",D675&lt;&gt;"",F675&lt;&gt;"",G675&lt;&gt;"",H675&lt;&gt;"",ISERROR(SEARCH("по паспорту",G675)),ISERROR(SEARCH("по паспорту",H675)),I675&lt;&gt;"",J675&lt;&gt;"",K675&lt;&gt;"",L675&lt;&gt;"",M675&lt;&gt;""),"ГОТОВО","НЕ ГОТОВО"))</f>
        <v/>
      </c>
      <c r="Q675" s="205">
        <f>IF(P675&lt;&gt;"ГОТОВО","", "Предварительное заключение: "&amp;A675&amp;", скв. "&amp;B675&amp;". МРП: "&amp;E675&amp;" сут. ГНО: "&amp;F675&amp;", типоразмер "&amp;G675&amp;", марка "&amp;H675&amp;". Событие: "&amp;I675&amp;". Признак: "&amp;J675&amp;". Узел: "&amp;K675&amp;". Предварительная причина: "&amp;L675&amp;". Основное осложнение: "&amp;M675&amp;IF(N675&lt;&gt;"","; сопутствующее: "&amp;N675,"")&amp;IF(O675&lt;&gt;"","; дополнительно: "&amp;O675,"")&amp;".")</f>
        <v/>
      </c>
      <c r="R675" s="172">
        <f>IF('Оперативный ввод'!P675="","",'Оперативный ввод'!P675)</f>
        <v/>
      </c>
      <c r="S675" s="172">
        <f>IF('Оперативный ввод'!Q675="","",'Оперативный ввод'!Q675)</f>
        <v/>
      </c>
      <c r="T675" s="172">
        <f>IF('Оперативный ввод'!R675="","",'Оперативный ввод'!R675)</f>
        <v/>
      </c>
      <c r="U675" s="172">
        <f>IF('Оперативный ввод'!S675="","",'Оперативный ввод'!S675)</f>
        <v/>
      </c>
      <c r="V675" s="172">
        <f>IF('Оперативный ввод'!T675="","",'Оперативный ввод'!T675)</f>
        <v/>
      </c>
      <c r="W675" s="172" t="n"/>
      <c r="X675" s="172" t="n"/>
      <c r="Y675" s="172" t="n"/>
      <c r="Z675" s="172" t="n"/>
      <c r="AA675" s="172">
        <f>IF('Оперативный ввод'!U675="","",'Оперативный ввод'!U675)</f>
        <v/>
      </c>
      <c r="AB675" s="172">
        <f>IF('Оперативный ввод'!V675="","",'Оперативный ввод'!V675)</f>
        <v/>
      </c>
      <c r="AC675" s="172">
        <f>IF('Оперативный ввод'!W675="","",'Оперативный ввод'!W675)</f>
        <v/>
      </c>
      <c r="BB675" s="172" t="n"/>
      <c r="BC675" s="172" t="n"/>
      <c r="BD675" s="205">
        <f>IF(AND(A675="",B675=""),"",IF(AND(P675="ГОТОВО",R675&lt;&gt;"",T675&lt;&gt;"",U675&lt;&gt;"",AA675&lt;&gt;"",AB675&lt;&gt;"",AC675&lt;&gt;"",BB675&lt;&gt;"",BC675&lt;&gt;""),"ГОТОВО","НЕ ГОТОВО"))</f>
        <v/>
      </c>
      <c r="BE675" s="205">
        <f>IF(BD675&lt;&gt;"ГОТОВО","","Полное заключение: "&amp;A675&amp;", скв. "&amp;B675&amp;". МРП: "&amp;E675&amp;" сут. ГНО: "&amp;F675&amp;"; причина: "&amp;U675&amp;"; категория: "&amp;V675&amp;"; решение комиссии: "&amp;BB675&amp;".")</f>
        <v/>
      </c>
      <c r="BF675" s="173">
        <f>IF('Оперативный ввод'!X675="","",'Оперативный ввод'!X675)</f>
        <v/>
      </c>
    </row>
    <row r="676">
      <c r="A676" s="171">
        <f>IF('Оперативный ввод'!A676="","",'Оперативный ввод'!A676)</f>
        <v/>
      </c>
      <c r="B676" s="172">
        <f>IF('Оперативный ввод'!B676="","",'Оперативный ввод'!B676)</f>
        <v/>
      </c>
      <c r="C676" s="270">
        <f>IF('Оперативный ввод'!C676="","",'Оперативный ввод'!C676)</f>
        <v/>
      </c>
      <c r="D676" s="270">
        <f>IF('Оперативный ввод'!D676="","",'Оперативный ввод'!D676)</f>
        <v/>
      </c>
      <c r="E676" s="271">
        <f>IF(OR(C676="",D676=""),"",D676-C676)</f>
        <v/>
      </c>
      <c r="F676" s="172">
        <f>IF('Оперативный ввод'!F676="","",'Оперативный ввод'!F676)</f>
        <v/>
      </c>
      <c r="G676" s="172">
        <f>IF('Оперативный ввод'!G676="","",'Оперативный ввод'!G676)</f>
        <v/>
      </c>
      <c r="H676" s="172">
        <f>IF('Оперативный ввод'!H676="","",'Оперативный ввод'!H676)</f>
        <v/>
      </c>
      <c r="I676" s="172">
        <f>IF('Оперативный ввод'!I676="","",'Оперативный ввод'!I676)</f>
        <v/>
      </c>
      <c r="J676" s="172">
        <f>IF('Оперативный ввод'!J676="","",'Оперативный ввод'!J676)</f>
        <v/>
      </c>
      <c r="K676" s="172">
        <f>IF('Оперативный ввод'!K676="","",'Оперативный ввод'!K676)</f>
        <v/>
      </c>
      <c r="L676" s="172">
        <f>IF('Оперативный ввод'!L676="","",'Оперативный ввод'!L676)</f>
        <v/>
      </c>
      <c r="M676" s="172">
        <f>IF('Оперативный ввод'!M676="","",'Оперативный ввод'!M676)</f>
        <v/>
      </c>
      <c r="N676" s="172">
        <f>IF('Оперативный ввод'!N676="","",'Оперативный ввод'!N676)</f>
        <v/>
      </c>
      <c r="O676" s="172">
        <f>IF('Оперативный ввод'!O676="","",'Оперативный ввод'!O676)</f>
        <v/>
      </c>
      <c r="P676" s="205">
        <f>IF(AND(A676="",B676=""),"",IF(AND(A676&lt;&gt;"",B676&lt;&gt;"",C676&lt;&gt;"",D676&lt;&gt;"",F676&lt;&gt;"",G676&lt;&gt;"",H676&lt;&gt;"",ISERROR(SEARCH("по паспорту",G676)),ISERROR(SEARCH("по паспорту",H676)),I676&lt;&gt;"",J676&lt;&gt;"",K676&lt;&gt;"",L676&lt;&gt;"",M676&lt;&gt;""),"ГОТОВО","НЕ ГОТОВО"))</f>
        <v/>
      </c>
      <c r="Q676" s="205">
        <f>IF(P676&lt;&gt;"ГОТОВО","", "Предварительное заключение: "&amp;A676&amp;", скв. "&amp;B676&amp;". МРП: "&amp;E676&amp;" сут. ГНО: "&amp;F676&amp;", типоразмер "&amp;G676&amp;", марка "&amp;H676&amp;". Событие: "&amp;I676&amp;". Признак: "&amp;J676&amp;". Узел: "&amp;K676&amp;". Предварительная причина: "&amp;L676&amp;". Основное осложнение: "&amp;M676&amp;IF(N676&lt;&gt;"","; сопутствующее: "&amp;N676,"")&amp;IF(O676&lt;&gt;"","; дополнительно: "&amp;O676,"")&amp;".")</f>
        <v/>
      </c>
      <c r="R676" s="172">
        <f>IF('Оперативный ввод'!P676="","",'Оперативный ввод'!P676)</f>
        <v/>
      </c>
      <c r="S676" s="172">
        <f>IF('Оперативный ввод'!Q676="","",'Оперативный ввод'!Q676)</f>
        <v/>
      </c>
      <c r="T676" s="172">
        <f>IF('Оперативный ввод'!R676="","",'Оперативный ввод'!R676)</f>
        <v/>
      </c>
      <c r="U676" s="172">
        <f>IF('Оперативный ввод'!S676="","",'Оперативный ввод'!S676)</f>
        <v/>
      </c>
      <c r="V676" s="172">
        <f>IF('Оперативный ввод'!T676="","",'Оперативный ввод'!T676)</f>
        <v/>
      </c>
      <c r="W676" s="172" t="n"/>
      <c r="X676" s="172" t="n"/>
      <c r="Y676" s="172" t="n"/>
      <c r="Z676" s="172" t="n"/>
      <c r="AA676" s="172">
        <f>IF('Оперативный ввод'!U676="","",'Оперативный ввод'!U676)</f>
        <v/>
      </c>
      <c r="AB676" s="172">
        <f>IF('Оперативный ввод'!V676="","",'Оперативный ввод'!V676)</f>
        <v/>
      </c>
      <c r="AC676" s="172">
        <f>IF('Оперативный ввод'!W676="","",'Оперативный ввод'!W676)</f>
        <v/>
      </c>
      <c r="BB676" s="172" t="n"/>
      <c r="BC676" s="172" t="n"/>
      <c r="BD676" s="205">
        <f>IF(AND(A676="",B676=""),"",IF(AND(P676="ГОТОВО",R676&lt;&gt;"",T676&lt;&gt;"",U676&lt;&gt;"",AA676&lt;&gt;"",AB676&lt;&gt;"",AC676&lt;&gt;"",BB676&lt;&gt;"",BC676&lt;&gt;""),"ГОТОВО","НЕ ГОТОВО"))</f>
        <v/>
      </c>
      <c r="BE676" s="205">
        <f>IF(BD676&lt;&gt;"ГОТОВО","","Полное заключение: "&amp;A676&amp;", скв. "&amp;B676&amp;". МРП: "&amp;E676&amp;" сут. ГНО: "&amp;F676&amp;"; причина: "&amp;U676&amp;"; категория: "&amp;V676&amp;"; решение комиссии: "&amp;BB676&amp;".")</f>
        <v/>
      </c>
      <c r="BF676" s="173">
        <f>IF('Оперативный ввод'!X676="","",'Оперативный ввод'!X676)</f>
        <v/>
      </c>
    </row>
    <row r="677">
      <c r="A677" s="171">
        <f>IF('Оперативный ввод'!A677="","",'Оперативный ввод'!A677)</f>
        <v/>
      </c>
      <c r="B677" s="172">
        <f>IF('Оперативный ввод'!B677="","",'Оперативный ввод'!B677)</f>
        <v/>
      </c>
      <c r="C677" s="270">
        <f>IF('Оперативный ввод'!C677="","",'Оперативный ввод'!C677)</f>
        <v/>
      </c>
      <c r="D677" s="270">
        <f>IF('Оперативный ввод'!D677="","",'Оперативный ввод'!D677)</f>
        <v/>
      </c>
      <c r="E677" s="271">
        <f>IF(OR(C677="",D677=""),"",D677-C677)</f>
        <v/>
      </c>
      <c r="F677" s="172">
        <f>IF('Оперативный ввод'!F677="","",'Оперативный ввод'!F677)</f>
        <v/>
      </c>
      <c r="G677" s="172">
        <f>IF('Оперативный ввод'!G677="","",'Оперативный ввод'!G677)</f>
        <v/>
      </c>
      <c r="H677" s="172">
        <f>IF('Оперативный ввод'!H677="","",'Оперативный ввод'!H677)</f>
        <v/>
      </c>
      <c r="I677" s="172">
        <f>IF('Оперативный ввод'!I677="","",'Оперативный ввод'!I677)</f>
        <v/>
      </c>
      <c r="J677" s="172">
        <f>IF('Оперативный ввод'!J677="","",'Оперативный ввод'!J677)</f>
        <v/>
      </c>
      <c r="K677" s="172">
        <f>IF('Оперативный ввод'!K677="","",'Оперативный ввод'!K677)</f>
        <v/>
      </c>
      <c r="L677" s="172">
        <f>IF('Оперативный ввод'!L677="","",'Оперативный ввод'!L677)</f>
        <v/>
      </c>
      <c r="M677" s="172">
        <f>IF('Оперативный ввод'!M677="","",'Оперативный ввод'!M677)</f>
        <v/>
      </c>
      <c r="N677" s="172">
        <f>IF('Оперативный ввод'!N677="","",'Оперативный ввод'!N677)</f>
        <v/>
      </c>
      <c r="O677" s="172">
        <f>IF('Оперативный ввод'!O677="","",'Оперативный ввод'!O677)</f>
        <v/>
      </c>
      <c r="P677" s="205">
        <f>IF(AND(A677="",B677=""),"",IF(AND(A677&lt;&gt;"",B677&lt;&gt;"",C677&lt;&gt;"",D677&lt;&gt;"",F677&lt;&gt;"",G677&lt;&gt;"",H677&lt;&gt;"",ISERROR(SEARCH("по паспорту",G677)),ISERROR(SEARCH("по паспорту",H677)),I677&lt;&gt;"",J677&lt;&gt;"",K677&lt;&gt;"",L677&lt;&gt;"",M677&lt;&gt;""),"ГОТОВО","НЕ ГОТОВО"))</f>
        <v/>
      </c>
      <c r="Q677" s="205">
        <f>IF(P677&lt;&gt;"ГОТОВО","", "Предварительное заключение: "&amp;A677&amp;", скв. "&amp;B677&amp;". МРП: "&amp;E677&amp;" сут. ГНО: "&amp;F677&amp;", типоразмер "&amp;G677&amp;", марка "&amp;H677&amp;". Событие: "&amp;I677&amp;". Признак: "&amp;J677&amp;". Узел: "&amp;K677&amp;". Предварительная причина: "&amp;L677&amp;". Основное осложнение: "&amp;M677&amp;IF(N677&lt;&gt;"","; сопутствующее: "&amp;N677,"")&amp;IF(O677&lt;&gt;"","; дополнительно: "&amp;O677,"")&amp;".")</f>
        <v/>
      </c>
      <c r="R677" s="172">
        <f>IF('Оперативный ввод'!P677="","",'Оперативный ввод'!P677)</f>
        <v/>
      </c>
      <c r="S677" s="172">
        <f>IF('Оперативный ввод'!Q677="","",'Оперативный ввод'!Q677)</f>
        <v/>
      </c>
      <c r="T677" s="172">
        <f>IF('Оперативный ввод'!R677="","",'Оперативный ввод'!R677)</f>
        <v/>
      </c>
      <c r="U677" s="172">
        <f>IF('Оперативный ввод'!S677="","",'Оперативный ввод'!S677)</f>
        <v/>
      </c>
      <c r="V677" s="172">
        <f>IF('Оперативный ввод'!T677="","",'Оперативный ввод'!T677)</f>
        <v/>
      </c>
      <c r="W677" s="172" t="n"/>
      <c r="X677" s="172" t="n"/>
      <c r="Y677" s="172" t="n"/>
      <c r="Z677" s="172" t="n"/>
      <c r="AA677" s="172">
        <f>IF('Оперативный ввод'!U677="","",'Оперативный ввод'!U677)</f>
        <v/>
      </c>
      <c r="AB677" s="172">
        <f>IF('Оперативный ввод'!V677="","",'Оперативный ввод'!V677)</f>
        <v/>
      </c>
      <c r="AC677" s="172">
        <f>IF('Оперативный ввод'!W677="","",'Оперативный ввод'!W677)</f>
        <v/>
      </c>
      <c r="BB677" s="172" t="n"/>
      <c r="BC677" s="172" t="n"/>
      <c r="BD677" s="205">
        <f>IF(AND(A677="",B677=""),"",IF(AND(P677="ГОТОВО",R677&lt;&gt;"",T677&lt;&gt;"",U677&lt;&gt;"",AA677&lt;&gt;"",AB677&lt;&gt;"",AC677&lt;&gt;"",BB677&lt;&gt;"",BC677&lt;&gt;""),"ГОТОВО","НЕ ГОТОВО"))</f>
        <v/>
      </c>
      <c r="BE677" s="205">
        <f>IF(BD677&lt;&gt;"ГОТОВО","","Полное заключение: "&amp;A677&amp;", скв. "&amp;B677&amp;". МРП: "&amp;E677&amp;" сут. ГНО: "&amp;F677&amp;"; причина: "&amp;U677&amp;"; категория: "&amp;V677&amp;"; решение комиссии: "&amp;BB677&amp;".")</f>
        <v/>
      </c>
      <c r="BF677" s="173">
        <f>IF('Оперативный ввод'!X677="","",'Оперативный ввод'!X677)</f>
        <v/>
      </c>
    </row>
    <row r="678">
      <c r="A678" s="171">
        <f>IF('Оперативный ввод'!A678="","",'Оперативный ввод'!A678)</f>
        <v/>
      </c>
      <c r="B678" s="172">
        <f>IF('Оперативный ввод'!B678="","",'Оперативный ввод'!B678)</f>
        <v/>
      </c>
      <c r="C678" s="270">
        <f>IF('Оперативный ввод'!C678="","",'Оперативный ввод'!C678)</f>
        <v/>
      </c>
      <c r="D678" s="270">
        <f>IF('Оперативный ввод'!D678="","",'Оперативный ввод'!D678)</f>
        <v/>
      </c>
      <c r="E678" s="271">
        <f>IF(OR(C678="",D678=""),"",D678-C678)</f>
        <v/>
      </c>
      <c r="F678" s="172">
        <f>IF('Оперативный ввод'!F678="","",'Оперативный ввод'!F678)</f>
        <v/>
      </c>
      <c r="G678" s="172">
        <f>IF('Оперативный ввод'!G678="","",'Оперативный ввод'!G678)</f>
        <v/>
      </c>
      <c r="H678" s="172">
        <f>IF('Оперативный ввод'!H678="","",'Оперативный ввод'!H678)</f>
        <v/>
      </c>
      <c r="I678" s="172">
        <f>IF('Оперативный ввод'!I678="","",'Оперативный ввод'!I678)</f>
        <v/>
      </c>
      <c r="J678" s="172">
        <f>IF('Оперативный ввод'!J678="","",'Оперативный ввод'!J678)</f>
        <v/>
      </c>
      <c r="K678" s="172">
        <f>IF('Оперативный ввод'!K678="","",'Оперативный ввод'!K678)</f>
        <v/>
      </c>
      <c r="L678" s="172">
        <f>IF('Оперативный ввод'!L678="","",'Оперативный ввод'!L678)</f>
        <v/>
      </c>
      <c r="M678" s="172">
        <f>IF('Оперативный ввод'!M678="","",'Оперативный ввод'!M678)</f>
        <v/>
      </c>
      <c r="N678" s="172">
        <f>IF('Оперативный ввод'!N678="","",'Оперативный ввод'!N678)</f>
        <v/>
      </c>
      <c r="O678" s="172">
        <f>IF('Оперативный ввод'!O678="","",'Оперативный ввод'!O678)</f>
        <v/>
      </c>
      <c r="P678" s="205">
        <f>IF(AND(A678="",B678=""),"",IF(AND(A678&lt;&gt;"",B678&lt;&gt;"",C678&lt;&gt;"",D678&lt;&gt;"",F678&lt;&gt;"",G678&lt;&gt;"",H678&lt;&gt;"",ISERROR(SEARCH("по паспорту",G678)),ISERROR(SEARCH("по паспорту",H678)),I678&lt;&gt;"",J678&lt;&gt;"",K678&lt;&gt;"",L678&lt;&gt;"",M678&lt;&gt;""),"ГОТОВО","НЕ ГОТОВО"))</f>
        <v/>
      </c>
      <c r="Q678" s="205">
        <f>IF(P678&lt;&gt;"ГОТОВО","", "Предварительное заключение: "&amp;A678&amp;", скв. "&amp;B678&amp;". МРП: "&amp;E678&amp;" сут. ГНО: "&amp;F678&amp;", типоразмер "&amp;G678&amp;", марка "&amp;H678&amp;". Событие: "&amp;I678&amp;". Признак: "&amp;J678&amp;". Узел: "&amp;K678&amp;". Предварительная причина: "&amp;L678&amp;". Основное осложнение: "&amp;M678&amp;IF(N678&lt;&gt;"","; сопутствующее: "&amp;N678,"")&amp;IF(O678&lt;&gt;"","; дополнительно: "&amp;O678,"")&amp;".")</f>
        <v/>
      </c>
      <c r="R678" s="172">
        <f>IF('Оперативный ввод'!P678="","",'Оперативный ввод'!P678)</f>
        <v/>
      </c>
      <c r="S678" s="172">
        <f>IF('Оперативный ввод'!Q678="","",'Оперативный ввод'!Q678)</f>
        <v/>
      </c>
      <c r="T678" s="172">
        <f>IF('Оперативный ввод'!R678="","",'Оперативный ввод'!R678)</f>
        <v/>
      </c>
      <c r="U678" s="172">
        <f>IF('Оперативный ввод'!S678="","",'Оперативный ввод'!S678)</f>
        <v/>
      </c>
      <c r="V678" s="172">
        <f>IF('Оперативный ввод'!T678="","",'Оперативный ввод'!T678)</f>
        <v/>
      </c>
      <c r="W678" s="172" t="n"/>
      <c r="X678" s="172" t="n"/>
      <c r="Y678" s="172" t="n"/>
      <c r="Z678" s="172" t="n"/>
      <c r="AA678" s="172">
        <f>IF('Оперативный ввод'!U678="","",'Оперативный ввод'!U678)</f>
        <v/>
      </c>
      <c r="AB678" s="172">
        <f>IF('Оперативный ввод'!V678="","",'Оперативный ввод'!V678)</f>
        <v/>
      </c>
      <c r="AC678" s="172">
        <f>IF('Оперативный ввод'!W678="","",'Оперативный ввод'!W678)</f>
        <v/>
      </c>
      <c r="BB678" s="172" t="n"/>
      <c r="BC678" s="172" t="n"/>
      <c r="BD678" s="205">
        <f>IF(AND(A678="",B678=""),"",IF(AND(P678="ГОТОВО",R678&lt;&gt;"",T678&lt;&gt;"",U678&lt;&gt;"",AA678&lt;&gt;"",AB678&lt;&gt;"",AC678&lt;&gt;"",BB678&lt;&gt;"",BC678&lt;&gt;""),"ГОТОВО","НЕ ГОТОВО"))</f>
        <v/>
      </c>
      <c r="BE678" s="205">
        <f>IF(BD678&lt;&gt;"ГОТОВО","","Полное заключение: "&amp;A678&amp;", скв. "&amp;B678&amp;". МРП: "&amp;E678&amp;" сут. ГНО: "&amp;F678&amp;"; причина: "&amp;U678&amp;"; категория: "&amp;V678&amp;"; решение комиссии: "&amp;BB678&amp;".")</f>
        <v/>
      </c>
      <c r="BF678" s="173">
        <f>IF('Оперативный ввод'!X678="","",'Оперативный ввод'!X678)</f>
        <v/>
      </c>
    </row>
    <row r="679">
      <c r="A679" s="171">
        <f>IF('Оперативный ввод'!A679="","",'Оперативный ввод'!A679)</f>
        <v/>
      </c>
      <c r="B679" s="172">
        <f>IF('Оперативный ввод'!B679="","",'Оперативный ввод'!B679)</f>
        <v/>
      </c>
      <c r="C679" s="270">
        <f>IF('Оперативный ввод'!C679="","",'Оперативный ввод'!C679)</f>
        <v/>
      </c>
      <c r="D679" s="270">
        <f>IF('Оперативный ввод'!D679="","",'Оперативный ввод'!D679)</f>
        <v/>
      </c>
      <c r="E679" s="271">
        <f>IF(OR(C679="",D679=""),"",D679-C679)</f>
        <v/>
      </c>
      <c r="F679" s="172">
        <f>IF('Оперативный ввод'!F679="","",'Оперативный ввод'!F679)</f>
        <v/>
      </c>
      <c r="G679" s="172">
        <f>IF('Оперативный ввод'!G679="","",'Оперативный ввод'!G679)</f>
        <v/>
      </c>
      <c r="H679" s="172">
        <f>IF('Оперативный ввод'!H679="","",'Оперативный ввод'!H679)</f>
        <v/>
      </c>
      <c r="I679" s="172">
        <f>IF('Оперативный ввод'!I679="","",'Оперативный ввод'!I679)</f>
        <v/>
      </c>
      <c r="J679" s="172">
        <f>IF('Оперативный ввод'!J679="","",'Оперативный ввод'!J679)</f>
        <v/>
      </c>
      <c r="K679" s="172">
        <f>IF('Оперативный ввод'!K679="","",'Оперативный ввод'!K679)</f>
        <v/>
      </c>
      <c r="L679" s="172">
        <f>IF('Оперативный ввод'!L679="","",'Оперативный ввод'!L679)</f>
        <v/>
      </c>
      <c r="M679" s="172">
        <f>IF('Оперативный ввод'!M679="","",'Оперативный ввод'!M679)</f>
        <v/>
      </c>
      <c r="N679" s="172">
        <f>IF('Оперативный ввод'!N679="","",'Оперативный ввод'!N679)</f>
        <v/>
      </c>
      <c r="O679" s="172">
        <f>IF('Оперативный ввод'!O679="","",'Оперативный ввод'!O679)</f>
        <v/>
      </c>
      <c r="P679" s="205">
        <f>IF(AND(A679="",B679=""),"",IF(AND(A679&lt;&gt;"",B679&lt;&gt;"",C679&lt;&gt;"",D679&lt;&gt;"",F679&lt;&gt;"",G679&lt;&gt;"",H679&lt;&gt;"",ISERROR(SEARCH("по паспорту",G679)),ISERROR(SEARCH("по паспорту",H679)),I679&lt;&gt;"",J679&lt;&gt;"",K679&lt;&gt;"",L679&lt;&gt;"",M679&lt;&gt;""),"ГОТОВО","НЕ ГОТОВО"))</f>
        <v/>
      </c>
      <c r="Q679" s="205">
        <f>IF(P679&lt;&gt;"ГОТОВО","", "Предварительное заключение: "&amp;A679&amp;", скв. "&amp;B679&amp;". МРП: "&amp;E679&amp;" сут. ГНО: "&amp;F679&amp;", типоразмер "&amp;G679&amp;", марка "&amp;H679&amp;". Событие: "&amp;I679&amp;". Признак: "&amp;J679&amp;". Узел: "&amp;K679&amp;". Предварительная причина: "&amp;L679&amp;". Основное осложнение: "&amp;M679&amp;IF(N679&lt;&gt;"","; сопутствующее: "&amp;N679,"")&amp;IF(O679&lt;&gt;"","; дополнительно: "&amp;O679,"")&amp;".")</f>
        <v/>
      </c>
      <c r="R679" s="172">
        <f>IF('Оперативный ввод'!P679="","",'Оперативный ввод'!P679)</f>
        <v/>
      </c>
      <c r="S679" s="172">
        <f>IF('Оперативный ввод'!Q679="","",'Оперативный ввод'!Q679)</f>
        <v/>
      </c>
      <c r="T679" s="172">
        <f>IF('Оперативный ввод'!R679="","",'Оперативный ввод'!R679)</f>
        <v/>
      </c>
      <c r="U679" s="172">
        <f>IF('Оперативный ввод'!S679="","",'Оперативный ввод'!S679)</f>
        <v/>
      </c>
      <c r="V679" s="172">
        <f>IF('Оперативный ввод'!T679="","",'Оперативный ввод'!T679)</f>
        <v/>
      </c>
      <c r="W679" s="172" t="n"/>
      <c r="X679" s="172" t="n"/>
      <c r="Y679" s="172" t="n"/>
      <c r="Z679" s="172" t="n"/>
      <c r="AA679" s="172">
        <f>IF('Оперативный ввод'!U679="","",'Оперативный ввод'!U679)</f>
        <v/>
      </c>
      <c r="AB679" s="172">
        <f>IF('Оперативный ввод'!V679="","",'Оперативный ввод'!V679)</f>
        <v/>
      </c>
      <c r="AC679" s="172">
        <f>IF('Оперативный ввод'!W679="","",'Оперативный ввод'!W679)</f>
        <v/>
      </c>
      <c r="BB679" s="172" t="n"/>
      <c r="BC679" s="172" t="n"/>
      <c r="BD679" s="205">
        <f>IF(AND(A679="",B679=""),"",IF(AND(P679="ГОТОВО",R679&lt;&gt;"",T679&lt;&gt;"",U679&lt;&gt;"",AA679&lt;&gt;"",AB679&lt;&gt;"",AC679&lt;&gt;"",BB679&lt;&gt;"",BC679&lt;&gt;""),"ГОТОВО","НЕ ГОТОВО"))</f>
        <v/>
      </c>
      <c r="BE679" s="205">
        <f>IF(BD679&lt;&gt;"ГОТОВО","","Полное заключение: "&amp;A679&amp;", скв. "&amp;B679&amp;". МРП: "&amp;E679&amp;" сут. ГНО: "&amp;F679&amp;"; причина: "&amp;U679&amp;"; категория: "&amp;V679&amp;"; решение комиссии: "&amp;BB679&amp;".")</f>
        <v/>
      </c>
      <c r="BF679" s="173">
        <f>IF('Оперативный ввод'!X679="","",'Оперативный ввод'!X679)</f>
        <v/>
      </c>
    </row>
    <row r="680">
      <c r="A680" s="171">
        <f>IF('Оперативный ввод'!A680="","",'Оперативный ввод'!A680)</f>
        <v/>
      </c>
      <c r="B680" s="172">
        <f>IF('Оперативный ввод'!B680="","",'Оперативный ввод'!B680)</f>
        <v/>
      </c>
      <c r="C680" s="270">
        <f>IF('Оперативный ввод'!C680="","",'Оперативный ввод'!C680)</f>
        <v/>
      </c>
      <c r="D680" s="270">
        <f>IF('Оперативный ввод'!D680="","",'Оперативный ввод'!D680)</f>
        <v/>
      </c>
      <c r="E680" s="271">
        <f>IF(OR(C680="",D680=""),"",D680-C680)</f>
        <v/>
      </c>
      <c r="F680" s="172">
        <f>IF('Оперативный ввод'!F680="","",'Оперативный ввод'!F680)</f>
        <v/>
      </c>
      <c r="G680" s="172">
        <f>IF('Оперативный ввод'!G680="","",'Оперативный ввод'!G680)</f>
        <v/>
      </c>
      <c r="H680" s="172">
        <f>IF('Оперативный ввод'!H680="","",'Оперативный ввод'!H680)</f>
        <v/>
      </c>
      <c r="I680" s="172">
        <f>IF('Оперативный ввод'!I680="","",'Оперативный ввод'!I680)</f>
        <v/>
      </c>
      <c r="J680" s="172">
        <f>IF('Оперативный ввод'!J680="","",'Оперативный ввод'!J680)</f>
        <v/>
      </c>
      <c r="K680" s="172">
        <f>IF('Оперативный ввод'!K680="","",'Оперативный ввод'!K680)</f>
        <v/>
      </c>
      <c r="L680" s="172">
        <f>IF('Оперативный ввод'!L680="","",'Оперативный ввод'!L680)</f>
        <v/>
      </c>
      <c r="M680" s="172">
        <f>IF('Оперативный ввод'!M680="","",'Оперативный ввод'!M680)</f>
        <v/>
      </c>
      <c r="N680" s="172">
        <f>IF('Оперативный ввод'!N680="","",'Оперативный ввод'!N680)</f>
        <v/>
      </c>
      <c r="O680" s="172">
        <f>IF('Оперативный ввод'!O680="","",'Оперативный ввод'!O680)</f>
        <v/>
      </c>
      <c r="P680" s="205">
        <f>IF(AND(A680="",B680=""),"",IF(AND(A680&lt;&gt;"",B680&lt;&gt;"",C680&lt;&gt;"",D680&lt;&gt;"",F680&lt;&gt;"",G680&lt;&gt;"",H680&lt;&gt;"",ISERROR(SEARCH("по паспорту",G680)),ISERROR(SEARCH("по паспорту",H680)),I680&lt;&gt;"",J680&lt;&gt;"",K680&lt;&gt;"",L680&lt;&gt;"",M680&lt;&gt;""),"ГОТОВО","НЕ ГОТОВО"))</f>
        <v/>
      </c>
      <c r="Q680" s="205">
        <f>IF(P680&lt;&gt;"ГОТОВО","", "Предварительное заключение: "&amp;A680&amp;", скв. "&amp;B680&amp;". МРП: "&amp;E680&amp;" сут. ГНО: "&amp;F680&amp;", типоразмер "&amp;G680&amp;", марка "&amp;H680&amp;". Событие: "&amp;I680&amp;". Признак: "&amp;J680&amp;". Узел: "&amp;K680&amp;". Предварительная причина: "&amp;L680&amp;". Основное осложнение: "&amp;M680&amp;IF(N680&lt;&gt;"","; сопутствующее: "&amp;N680,"")&amp;IF(O680&lt;&gt;"","; дополнительно: "&amp;O680,"")&amp;".")</f>
        <v/>
      </c>
      <c r="R680" s="172">
        <f>IF('Оперативный ввод'!P680="","",'Оперативный ввод'!P680)</f>
        <v/>
      </c>
      <c r="S680" s="172">
        <f>IF('Оперативный ввод'!Q680="","",'Оперативный ввод'!Q680)</f>
        <v/>
      </c>
      <c r="T680" s="172">
        <f>IF('Оперативный ввод'!R680="","",'Оперативный ввод'!R680)</f>
        <v/>
      </c>
      <c r="U680" s="172">
        <f>IF('Оперативный ввод'!S680="","",'Оперативный ввод'!S680)</f>
        <v/>
      </c>
      <c r="V680" s="172">
        <f>IF('Оперативный ввод'!T680="","",'Оперативный ввод'!T680)</f>
        <v/>
      </c>
      <c r="W680" s="172" t="n"/>
      <c r="X680" s="172" t="n"/>
      <c r="Y680" s="172" t="n"/>
      <c r="Z680" s="172" t="n"/>
      <c r="AA680" s="172">
        <f>IF('Оперативный ввод'!U680="","",'Оперативный ввод'!U680)</f>
        <v/>
      </c>
      <c r="AB680" s="172">
        <f>IF('Оперативный ввод'!V680="","",'Оперативный ввод'!V680)</f>
        <v/>
      </c>
      <c r="AC680" s="172">
        <f>IF('Оперативный ввод'!W680="","",'Оперативный ввод'!W680)</f>
        <v/>
      </c>
      <c r="BB680" s="172" t="n"/>
      <c r="BC680" s="172" t="n"/>
      <c r="BD680" s="205">
        <f>IF(AND(A680="",B680=""),"",IF(AND(P680="ГОТОВО",R680&lt;&gt;"",T680&lt;&gt;"",U680&lt;&gt;"",AA680&lt;&gt;"",AB680&lt;&gt;"",AC680&lt;&gt;"",BB680&lt;&gt;"",BC680&lt;&gt;""),"ГОТОВО","НЕ ГОТОВО"))</f>
        <v/>
      </c>
      <c r="BE680" s="205">
        <f>IF(BD680&lt;&gt;"ГОТОВО","","Полное заключение: "&amp;A680&amp;", скв. "&amp;B680&amp;". МРП: "&amp;E680&amp;" сут. ГНО: "&amp;F680&amp;"; причина: "&amp;U680&amp;"; категория: "&amp;V680&amp;"; решение комиссии: "&amp;BB680&amp;".")</f>
        <v/>
      </c>
      <c r="BF680" s="173">
        <f>IF('Оперативный ввод'!X680="","",'Оперативный ввод'!X680)</f>
        <v/>
      </c>
    </row>
    <row r="681">
      <c r="A681" s="171">
        <f>IF('Оперативный ввод'!A681="","",'Оперативный ввод'!A681)</f>
        <v/>
      </c>
      <c r="B681" s="172">
        <f>IF('Оперативный ввод'!B681="","",'Оперативный ввод'!B681)</f>
        <v/>
      </c>
      <c r="C681" s="270">
        <f>IF('Оперативный ввод'!C681="","",'Оперативный ввод'!C681)</f>
        <v/>
      </c>
      <c r="D681" s="270">
        <f>IF('Оперативный ввод'!D681="","",'Оперативный ввод'!D681)</f>
        <v/>
      </c>
      <c r="E681" s="271">
        <f>IF(OR(C681="",D681=""),"",D681-C681)</f>
        <v/>
      </c>
      <c r="F681" s="172">
        <f>IF('Оперативный ввод'!F681="","",'Оперативный ввод'!F681)</f>
        <v/>
      </c>
      <c r="G681" s="172">
        <f>IF('Оперативный ввод'!G681="","",'Оперативный ввод'!G681)</f>
        <v/>
      </c>
      <c r="H681" s="172">
        <f>IF('Оперативный ввод'!H681="","",'Оперативный ввод'!H681)</f>
        <v/>
      </c>
      <c r="I681" s="172">
        <f>IF('Оперативный ввод'!I681="","",'Оперативный ввод'!I681)</f>
        <v/>
      </c>
      <c r="J681" s="172">
        <f>IF('Оперативный ввод'!J681="","",'Оперативный ввод'!J681)</f>
        <v/>
      </c>
      <c r="K681" s="172">
        <f>IF('Оперативный ввод'!K681="","",'Оперативный ввод'!K681)</f>
        <v/>
      </c>
      <c r="L681" s="172">
        <f>IF('Оперативный ввод'!L681="","",'Оперативный ввод'!L681)</f>
        <v/>
      </c>
      <c r="M681" s="172">
        <f>IF('Оперативный ввод'!M681="","",'Оперативный ввод'!M681)</f>
        <v/>
      </c>
      <c r="N681" s="172">
        <f>IF('Оперативный ввод'!N681="","",'Оперативный ввод'!N681)</f>
        <v/>
      </c>
      <c r="O681" s="172">
        <f>IF('Оперативный ввод'!O681="","",'Оперативный ввод'!O681)</f>
        <v/>
      </c>
      <c r="P681" s="205">
        <f>IF(AND(A681="",B681=""),"",IF(AND(A681&lt;&gt;"",B681&lt;&gt;"",C681&lt;&gt;"",D681&lt;&gt;"",F681&lt;&gt;"",G681&lt;&gt;"",H681&lt;&gt;"",ISERROR(SEARCH("по паспорту",G681)),ISERROR(SEARCH("по паспорту",H681)),I681&lt;&gt;"",J681&lt;&gt;"",K681&lt;&gt;"",L681&lt;&gt;"",M681&lt;&gt;""),"ГОТОВО","НЕ ГОТОВО"))</f>
        <v/>
      </c>
      <c r="Q681" s="205">
        <f>IF(P681&lt;&gt;"ГОТОВО","", "Предварительное заключение: "&amp;A681&amp;", скв. "&amp;B681&amp;". МРП: "&amp;E681&amp;" сут. ГНО: "&amp;F681&amp;", типоразмер "&amp;G681&amp;", марка "&amp;H681&amp;". Событие: "&amp;I681&amp;". Признак: "&amp;J681&amp;". Узел: "&amp;K681&amp;". Предварительная причина: "&amp;L681&amp;". Основное осложнение: "&amp;M681&amp;IF(N681&lt;&gt;"","; сопутствующее: "&amp;N681,"")&amp;IF(O681&lt;&gt;"","; дополнительно: "&amp;O681,"")&amp;".")</f>
        <v/>
      </c>
      <c r="R681" s="172">
        <f>IF('Оперативный ввод'!P681="","",'Оперативный ввод'!P681)</f>
        <v/>
      </c>
      <c r="S681" s="172">
        <f>IF('Оперативный ввод'!Q681="","",'Оперативный ввод'!Q681)</f>
        <v/>
      </c>
      <c r="T681" s="172">
        <f>IF('Оперативный ввод'!R681="","",'Оперативный ввод'!R681)</f>
        <v/>
      </c>
      <c r="U681" s="172">
        <f>IF('Оперативный ввод'!S681="","",'Оперативный ввод'!S681)</f>
        <v/>
      </c>
      <c r="V681" s="172">
        <f>IF('Оперативный ввод'!T681="","",'Оперативный ввод'!T681)</f>
        <v/>
      </c>
      <c r="W681" s="172" t="n"/>
      <c r="X681" s="172" t="n"/>
      <c r="Y681" s="172" t="n"/>
      <c r="Z681" s="172" t="n"/>
      <c r="AA681" s="172">
        <f>IF('Оперативный ввод'!U681="","",'Оперативный ввод'!U681)</f>
        <v/>
      </c>
      <c r="AB681" s="172">
        <f>IF('Оперативный ввод'!V681="","",'Оперативный ввод'!V681)</f>
        <v/>
      </c>
      <c r="AC681" s="172">
        <f>IF('Оперативный ввод'!W681="","",'Оперативный ввод'!W681)</f>
        <v/>
      </c>
      <c r="BB681" s="172" t="n"/>
      <c r="BC681" s="172" t="n"/>
      <c r="BD681" s="205">
        <f>IF(AND(A681="",B681=""),"",IF(AND(P681="ГОТОВО",R681&lt;&gt;"",T681&lt;&gt;"",U681&lt;&gt;"",AA681&lt;&gt;"",AB681&lt;&gt;"",AC681&lt;&gt;"",BB681&lt;&gt;"",BC681&lt;&gt;""),"ГОТОВО","НЕ ГОТОВО"))</f>
        <v/>
      </c>
      <c r="BE681" s="205">
        <f>IF(BD681&lt;&gt;"ГОТОВО","","Полное заключение: "&amp;A681&amp;", скв. "&amp;B681&amp;". МРП: "&amp;E681&amp;" сут. ГНО: "&amp;F681&amp;"; причина: "&amp;U681&amp;"; категория: "&amp;V681&amp;"; решение комиссии: "&amp;BB681&amp;".")</f>
        <v/>
      </c>
      <c r="BF681" s="173">
        <f>IF('Оперативный ввод'!X681="","",'Оперативный ввод'!X681)</f>
        <v/>
      </c>
    </row>
    <row r="682">
      <c r="A682" s="171">
        <f>IF('Оперативный ввод'!A682="","",'Оперативный ввод'!A682)</f>
        <v/>
      </c>
      <c r="B682" s="172">
        <f>IF('Оперативный ввод'!B682="","",'Оперативный ввод'!B682)</f>
        <v/>
      </c>
      <c r="C682" s="270">
        <f>IF('Оперативный ввод'!C682="","",'Оперативный ввод'!C682)</f>
        <v/>
      </c>
      <c r="D682" s="270">
        <f>IF('Оперативный ввод'!D682="","",'Оперативный ввод'!D682)</f>
        <v/>
      </c>
      <c r="E682" s="271">
        <f>IF(OR(C682="",D682=""),"",D682-C682)</f>
        <v/>
      </c>
      <c r="F682" s="172">
        <f>IF('Оперативный ввод'!F682="","",'Оперативный ввод'!F682)</f>
        <v/>
      </c>
      <c r="G682" s="172">
        <f>IF('Оперативный ввод'!G682="","",'Оперативный ввод'!G682)</f>
        <v/>
      </c>
      <c r="H682" s="172">
        <f>IF('Оперативный ввод'!H682="","",'Оперативный ввод'!H682)</f>
        <v/>
      </c>
      <c r="I682" s="172">
        <f>IF('Оперативный ввод'!I682="","",'Оперативный ввод'!I682)</f>
        <v/>
      </c>
      <c r="J682" s="172">
        <f>IF('Оперативный ввод'!J682="","",'Оперативный ввод'!J682)</f>
        <v/>
      </c>
      <c r="K682" s="172">
        <f>IF('Оперативный ввод'!K682="","",'Оперативный ввод'!K682)</f>
        <v/>
      </c>
      <c r="L682" s="172">
        <f>IF('Оперативный ввод'!L682="","",'Оперативный ввод'!L682)</f>
        <v/>
      </c>
      <c r="M682" s="172">
        <f>IF('Оперативный ввод'!M682="","",'Оперативный ввод'!M682)</f>
        <v/>
      </c>
      <c r="N682" s="172">
        <f>IF('Оперативный ввод'!N682="","",'Оперативный ввод'!N682)</f>
        <v/>
      </c>
      <c r="O682" s="172">
        <f>IF('Оперативный ввод'!O682="","",'Оперативный ввод'!O682)</f>
        <v/>
      </c>
      <c r="P682" s="205">
        <f>IF(AND(A682="",B682=""),"",IF(AND(A682&lt;&gt;"",B682&lt;&gt;"",C682&lt;&gt;"",D682&lt;&gt;"",F682&lt;&gt;"",G682&lt;&gt;"",H682&lt;&gt;"",ISERROR(SEARCH("по паспорту",G682)),ISERROR(SEARCH("по паспорту",H682)),I682&lt;&gt;"",J682&lt;&gt;"",K682&lt;&gt;"",L682&lt;&gt;"",M682&lt;&gt;""),"ГОТОВО","НЕ ГОТОВО"))</f>
        <v/>
      </c>
      <c r="Q682" s="205">
        <f>IF(P682&lt;&gt;"ГОТОВО","", "Предварительное заключение: "&amp;A682&amp;", скв. "&amp;B682&amp;". МРП: "&amp;E682&amp;" сут. ГНО: "&amp;F682&amp;", типоразмер "&amp;G682&amp;", марка "&amp;H682&amp;". Событие: "&amp;I682&amp;". Признак: "&amp;J682&amp;". Узел: "&amp;K682&amp;". Предварительная причина: "&amp;L682&amp;". Основное осложнение: "&amp;M682&amp;IF(N682&lt;&gt;"","; сопутствующее: "&amp;N682,"")&amp;IF(O682&lt;&gt;"","; дополнительно: "&amp;O682,"")&amp;".")</f>
        <v/>
      </c>
      <c r="R682" s="172">
        <f>IF('Оперативный ввод'!P682="","",'Оперативный ввод'!P682)</f>
        <v/>
      </c>
      <c r="S682" s="172">
        <f>IF('Оперативный ввод'!Q682="","",'Оперативный ввод'!Q682)</f>
        <v/>
      </c>
      <c r="T682" s="172">
        <f>IF('Оперативный ввод'!R682="","",'Оперативный ввод'!R682)</f>
        <v/>
      </c>
      <c r="U682" s="172">
        <f>IF('Оперативный ввод'!S682="","",'Оперативный ввод'!S682)</f>
        <v/>
      </c>
      <c r="V682" s="172">
        <f>IF('Оперативный ввод'!T682="","",'Оперативный ввод'!T682)</f>
        <v/>
      </c>
      <c r="W682" s="172" t="n"/>
      <c r="X682" s="172" t="n"/>
      <c r="Y682" s="172" t="n"/>
      <c r="Z682" s="172" t="n"/>
      <c r="AA682" s="172">
        <f>IF('Оперативный ввод'!U682="","",'Оперативный ввод'!U682)</f>
        <v/>
      </c>
      <c r="AB682" s="172">
        <f>IF('Оперативный ввод'!V682="","",'Оперативный ввод'!V682)</f>
        <v/>
      </c>
      <c r="AC682" s="172">
        <f>IF('Оперативный ввод'!W682="","",'Оперативный ввод'!W682)</f>
        <v/>
      </c>
      <c r="BB682" s="172" t="n"/>
      <c r="BC682" s="172" t="n"/>
      <c r="BD682" s="205">
        <f>IF(AND(A682="",B682=""),"",IF(AND(P682="ГОТОВО",R682&lt;&gt;"",T682&lt;&gt;"",U682&lt;&gt;"",AA682&lt;&gt;"",AB682&lt;&gt;"",AC682&lt;&gt;"",BB682&lt;&gt;"",BC682&lt;&gt;""),"ГОТОВО","НЕ ГОТОВО"))</f>
        <v/>
      </c>
      <c r="BE682" s="205">
        <f>IF(BD682&lt;&gt;"ГОТОВО","","Полное заключение: "&amp;A682&amp;", скв. "&amp;B682&amp;". МРП: "&amp;E682&amp;" сут. ГНО: "&amp;F682&amp;"; причина: "&amp;U682&amp;"; категория: "&amp;V682&amp;"; решение комиссии: "&amp;BB682&amp;".")</f>
        <v/>
      </c>
      <c r="BF682" s="173">
        <f>IF('Оперативный ввод'!X682="","",'Оперативный ввод'!X682)</f>
        <v/>
      </c>
    </row>
    <row r="683">
      <c r="A683" s="171">
        <f>IF('Оперативный ввод'!A683="","",'Оперативный ввод'!A683)</f>
        <v/>
      </c>
      <c r="B683" s="172">
        <f>IF('Оперативный ввод'!B683="","",'Оперативный ввод'!B683)</f>
        <v/>
      </c>
      <c r="C683" s="270">
        <f>IF('Оперативный ввод'!C683="","",'Оперативный ввод'!C683)</f>
        <v/>
      </c>
      <c r="D683" s="270">
        <f>IF('Оперативный ввод'!D683="","",'Оперативный ввод'!D683)</f>
        <v/>
      </c>
      <c r="E683" s="271">
        <f>IF(OR(C683="",D683=""),"",D683-C683)</f>
        <v/>
      </c>
      <c r="F683" s="172">
        <f>IF('Оперативный ввод'!F683="","",'Оперативный ввод'!F683)</f>
        <v/>
      </c>
      <c r="G683" s="172">
        <f>IF('Оперативный ввод'!G683="","",'Оперативный ввод'!G683)</f>
        <v/>
      </c>
      <c r="H683" s="172">
        <f>IF('Оперативный ввод'!H683="","",'Оперативный ввод'!H683)</f>
        <v/>
      </c>
      <c r="I683" s="172">
        <f>IF('Оперативный ввод'!I683="","",'Оперативный ввод'!I683)</f>
        <v/>
      </c>
      <c r="J683" s="172">
        <f>IF('Оперативный ввод'!J683="","",'Оперативный ввод'!J683)</f>
        <v/>
      </c>
      <c r="K683" s="172">
        <f>IF('Оперативный ввод'!K683="","",'Оперативный ввод'!K683)</f>
        <v/>
      </c>
      <c r="L683" s="172">
        <f>IF('Оперативный ввод'!L683="","",'Оперативный ввод'!L683)</f>
        <v/>
      </c>
      <c r="M683" s="172">
        <f>IF('Оперативный ввод'!M683="","",'Оперативный ввод'!M683)</f>
        <v/>
      </c>
      <c r="N683" s="172">
        <f>IF('Оперативный ввод'!N683="","",'Оперативный ввод'!N683)</f>
        <v/>
      </c>
      <c r="O683" s="172">
        <f>IF('Оперативный ввод'!O683="","",'Оперативный ввод'!O683)</f>
        <v/>
      </c>
      <c r="P683" s="205">
        <f>IF(AND(A683="",B683=""),"",IF(AND(A683&lt;&gt;"",B683&lt;&gt;"",C683&lt;&gt;"",D683&lt;&gt;"",F683&lt;&gt;"",G683&lt;&gt;"",H683&lt;&gt;"",ISERROR(SEARCH("по паспорту",G683)),ISERROR(SEARCH("по паспорту",H683)),I683&lt;&gt;"",J683&lt;&gt;"",K683&lt;&gt;"",L683&lt;&gt;"",M683&lt;&gt;""),"ГОТОВО","НЕ ГОТОВО"))</f>
        <v/>
      </c>
      <c r="Q683" s="205">
        <f>IF(P683&lt;&gt;"ГОТОВО","", "Предварительное заключение: "&amp;A683&amp;", скв. "&amp;B683&amp;". МРП: "&amp;E683&amp;" сут. ГНО: "&amp;F683&amp;", типоразмер "&amp;G683&amp;", марка "&amp;H683&amp;". Событие: "&amp;I683&amp;". Признак: "&amp;J683&amp;". Узел: "&amp;K683&amp;". Предварительная причина: "&amp;L683&amp;". Основное осложнение: "&amp;M683&amp;IF(N683&lt;&gt;"","; сопутствующее: "&amp;N683,"")&amp;IF(O683&lt;&gt;"","; дополнительно: "&amp;O683,"")&amp;".")</f>
        <v/>
      </c>
      <c r="R683" s="172">
        <f>IF('Оперативный ввод'!P683="","",'Оперативный ввод'!P683)</f>
        <v/>
      </c>
      <c r="S683" s="172">
        <f>IF('Оперативный ввод'!Q683="","",'Оперативный ввод'!Q683)</f>
        <v/>
      </c>
      <c r="T683" s="172">
        <f>IF('Оперативный ввод'!R683="","",'Оперативный ввод'!R683)</f>
        <v/>
      </c>
      <c r="U683" s="172">
        <f>IF('Оперативный ввод'!S683="","",'Оперативный ввод'!S683)</f>
        <v/>
      </c>
      <c r="V683" s="172">
        <f>IF('Оперативный ввод'!T683="","",'Оперативный ввод'!T683)</f>
        <v/>
      </c>
      <c r="W683" s="172" t="n"/>
      <c r="X683" s="172" t="n"/>
      <c r="Y683" s="172" t="n"/>
      <c r="Z683" s="172" t="n"/>
      <c r="AA683" s="172">
        <f>IF('Оперативный ввод'!U683="","",'Оперативный ввод'!U683)</f>
        <v/>
      </c>
      <c r="AB683" s="172">
        <f>IF('Оперативный ввод'!V683="","",'Оперативный ввод'!V683)</f>
        <v/>
      </c>
      <c r="AC683" s="172">
        <f>IF('Оперативный ввод'!W683="","",'Оперативный ввод'!W683)</f>
        <v/>
      </c>
      <c r="BB683" s="172" t="n"/>
      <c r="BC683" s="172" t="n"/>
      <c r="BD683" s="205">
        <f>IF(AND(A683="",B683=""),"",IF(AND(P683="ГОТОВО",R683&lt;&gt;"",T683&lt;&gt;"",U683&lt;&gt;"",AA683&lt;&gt;"",AB683&lt;&gt;"",AC683&lt;&gt;"",BB683&lt;&gt;"",BC683&lt;&gt;""),"ГОТОВО","НЕ ГОТОВО"))</f>
        <v/>
      </c>
      <c r="BE683" s="205">
        <f>IF(BD683&lt;&gt;"ГОТОВО","","Полное заключение: "&amp;A683&amp;", скв. "&amp;B683&amp;". МРП: "&amp;E683&amp;" сут. ГНО: "&amp;F683&amp;"; причина: "&amp;U683&amp;"; категория: "&amp;V683&amp;"; решение комиссии: "&amp;BB683&amp;".")</f>
        <v/>
      </c>
      <c r="BF683" s="173">
        <f>IF('Оперативный ввод'!X683="","",'Оперативный ввод'!X683)</f>
        <v/>
      </c>
    </row>
    <row r="684">
      <c r="A684" s="171">
        <f>IF('Оперативный ввод'!A684="","",'Оперативный ввод'!A684)</f>
        <v/>
      </c>
      <c r="B684" s="172">
        <f>IF('Оперативный ввод'!B684="","",'Оперативный ввод'!B684)</f>
        <v/>
      </c>
      <c r="C684" s="270">
        <f>IF('Оперативный ввод'!C684="","",'Оперативный ввод'!C684)</f>
        <v/>
      </c>
      <c r="D684" s="270">
        <f>IF('Оперативный ввод'!D684="","",'Оперативный ввод'!D684)</f>
        <v/>
      </c>
      <c r="E684" s="271">
        <f>IF(OR(C684="",D684=""),"",D684-C684)</f>
        <v/>
      </c>
      <c r="F684" s="172">
        <f>IF('Оперативный ввод'!F684="","",'Оперативный ввод'!F684)</f>
        <v/>
      </c>
      <c r="G684" s="172">
        <f>IF('Оперативный ввод'!G684="","",'Оперативный ввод'!G684)</f>
        <v/>
      </c>
      <c r="H684" s="172">
        <f>IF('Оперативный ввод'!H684="","",'Оперативный ввод'!H684)</f>
        <v/>
      </c>
      <c r="I684" s="172">
        <f>IF('Оперативный ввод'!I684="","",'Оперативный ввод'!I684)</f>
        <v/>
      </c>
      <c r="J684" s="172">
        <f>IF('Оперативный ввод'!J684="","",'Оперативный ввод'!J684)</f>
        <v/>
      </c>
      <c r="K684" s="172">
        <f>IF('Оперативный ввод'!K684="","",'Оперативный ввод'!K684)</f>
        <v/>
      </c>
      <c r="L684" s="172">
        <f>IF('Оперативный ввод'!L684="","",'Оперативный ввод'!L684)</f>
        <v/>
      </c>
      <c r="M684" s="172">
        <f>IF('Оперативный ввод'!M684="","",'Оперативный ввод'!M684)</f>
        <v/>
      </c>
      <c r="N684" s="172">
        <f>IF('Оперативный ввод'!N684="","",'Оперативный ввод'!N684)</f>
        <v/>
      </c>
      <c r="O684" s="172">
        <f>IF('Оперативный ввод'!O684="","",'Оперативный ввод'!O684)</f>
        <v/>
      </c>
      <c r="P684" s="205">
        <f>IF(AND(A684="",B684=""),"",IF(AND(A684&lt;&gt;"",B684&lt;&gt;"",C684&lt;&gt;"",D684&lt;&gt;"",F684&lt;&gt;"",G684&lt;&gt;"",H684&lt;&gt;"",ISERROR(SEARCH("по паспорту",G684)),ISERROR(SEARCH("по паспорту",H684)),I684&lt;&gt;"",J684&lt;&gt;"",K684&lt;&gt;"",L684&lt;&gt;"",M684&lt;&gt;""),"ГОТОВО","НЕ ГОТОВО"))</f>
        <v/>
      </c>
      <c r="Q684" s="205">
        <f>IF(P684&lt;&gt;"ГОТОВО","", "Предварительное заключение: "&amp;A684&amp;", скв. "&amp;B684&amp;". МРП: "&amp;E684&amp;" сут. ГНО: "&amp;F684&amp;", типоразмер "&amp;G684&amp;", марка "&amp;H684&amp;". Событие: "&amp;I684&amp;". Признак: "&amp;J684&amp;". Узел: "&amp;K684&amp;". Предварительная причина: "&amp;L684&amp;". Основное осложнение: "&amp;M684&amp;IF(N684&lt;&gt;"","; сопутствующее: "&amp;N684,"")&amp;IF(O684&lt;&gt;"","; дополнительно: "&amp;O684,"")&amp;".")</f>
        <v/>
      </c>
      <c r="R684" s="172">
        <f>IF('Оперативный ввод'!P684="","",'Оперативный ввод'!P684)</f>
        <v/>
      </c>
      <c r="S684" s="172">
        <f>IF('Оперативный ввод'!Q684="","",'Оперативный ввод'!Q684)</f>
        <v/>
      </c>
      <c r="T684" s="172">
        <f>IF('Оперативный ввод'!R684="","",'Оперативный ввод'!R684)</f>
        <v/>
      </c>
      <c r="U684" s="172">
        <f>IF('Оперативный ввод'!S684="","",'Оперативный ввод'!S684)</f>
        <v/>
      </c>
      <c r="V684" s="172">
        <f>IF('Оперативный ввод'!T684="","",'Оперативный ввод'!T684)</f>
        <v/>
      </c>
      <c r="W684" s="172" t="n"/>
      <c r="X684" s="172" t="n"/>
      <c r="Y684" s="172" t="n"/>
      <c r="Z684" s="172" t="n"/>
      <c r="AA684" s="172">
        <f>IF('Оперативный ввод'!U684="","",'Оперативный ввод'!U684)</f>
        <v/>
      </c>
      <c r="AB684" s="172">
        <f>IF('Оперативный ввод'!V684="","",'Оперативный ввод'!V684)</f>
        <v/>
      </c>
      <c r="AC684" s="172">
        <f>IF('Оперативный ввод'!W684="","",'Оперативный ввод'!W684)</f>
        <v/>
      </c>
      <c r="BB684" s="172" t="n"/>
      <c r="BC684" s="172" t="n"/>
      <c r="BD684" s="205">
        <f>IF(AND(A684="",B684=""),"",IF(AND(P684="ГОТОВО",R684&lt;&gt;"",T684&lt;&gt;"",U684&lt;&gt;"",AA684&lt;&gt;"",AB684&lt;&gt;"",AC684&lt;&gt;"",BB684&lt;&gt;"",BC684&lt;&gt;""),"ГОТОВО","НЕ ГОТОВО"))</f>
        <v/>
      </c>
      <c r="BE684" s="205">
        <f>IF(BD684&lt;&gt;"ГОТОВО","","Полное заключение: "&amp;A684&amp;", скв. "&amp;B684&amp;". МРП: "&amp;E684&amp;" сут. ГНО: "&amp;F684&amp;"; причина: "&amp;U684&amp;"; категория: "&amp;V684&amp;"; решение комиссии: "&amp;BB684&amp;".")</f>
        <v/>
      </c>
      <c r="BF684" s="173">
        <f>IF('Оперативный ввод'!X684="","",'Оперативный ввод'!X684)</f>
        <v/>
      </c>
    </row>
    <row r="685">
      <c r="A685" s="171">
        <f>IF('Оперативный ввод'!A685="","",'Оперативный ввод'!A685)</f>
        <v/>
      </c>
      <c r="B685" s="172">
        <f>IF('Оперативный ввод'!B685="","",'Оперативный ввод'!B685)</f>
        <v/>
      </c>
      <c r="C685" s="270">
        <f>IF('Оперативный ввод'!C685="","",'Оперативный ввод'!C685)</f>
        <v/>
      </c>
      <c r="D685" s="270">
        <f>IF('Оперативный ввод'!D685="","",'Оперативный ввод'!D685)</f>
        <v/>
      </c>
      <c r="E685" s="271">
        <f>IF(OR(C685="",D685=""),"",D685-C685)</f>
        <v/>
      </c>
      <c r="F685" s="172">
        <f>IF('Оперативный ввод'!F685="","",'Оперативный ввод'!F685)</f>
        <v/>
      </c>
      <c r="G685" s="172">
        <f>IF('Оперативный ввод'!G685="","",'Оперативный ввод'!G685)</f>
        <v/>
      </c>
      <c r="H685" s="172">
        <f>IF('Оперативный ввод'!H685="","",'Оперативный ввод'!H685)</f>
        <v/>
      </c>
      <c r="I685" s="172">
        <f>IF('Оперативный ввод'!I685="","",'Оперативный ввод'!I685)</f>
        <v/>
      </c>
      <c r="J685" s="172">
        <f>IF('Оперативный ввод'!J685="","",'Оперативный ввод'!J685)</f>
        <v/>
      </c>
      <c r="K685" s="172">
        <f>IF('Оперативный ввод'!K685="","",'Оперативный ввод'!K685)</f>
        <v/>
      </c>
      <c r="L685" s="172">
        <f>IF('Оперативный ввод'!L685="","",'Оперативный ввод'!L685)</f>
        <v/>
      </c>
      <c r="M685" s="172">
        <f>IF('Оперативный ввод'!M685="","",'Оперативный ввод'!M685)</f>
        <v/>
      </c>
      <c r="N685" s="172">
        <f>IF('Оперативный ввод'!N685="","",'Оперативный ввод'!N685)</f>
        <v/>
      </c>
      <c r="O685" s="172">
        <f>IF('Оперативный ввод'!O685="","",'Оперативный ввод'!O685)</f>
        <v/>
      </c>
      <c r="P685" s="205">
        <f>IF(AND(A685="",B685=""),"",IF(AND(A685&lt;&gt;"",B685&lt;&gt;"",C685&lt;&gt;"",D685&lt;&gt;"",F685&lt;&gt;"",G685&lt;&gt;"",H685&lt;&gt;"",ISERROR(SEARCH("по паспорту",G685)),ISERROR(SEARCH("по паспорту",H685)),I685&lt;&gt;"",J685&lt;&gt;"",K685&lt;&gt;"",L685&lt;&gt;"",M685&lt;&gt;""),"ГОТОВО","НЕ ГОТОВО"))</f>
        <v/>
      </c>
      <c r="Q685" s="205">
        <f>IF(P685&lt;&gt;"ГОТОВО","", "Предварительное заключение: "&amp;A685&amp;", скв. "&amp;B685&amp;". МРП: "&amp;E685&amp;" сут. ГНО: "&amp;F685&amp;", типоразмер "&amp;G685&amp;", марка "&amp;H685&amp;". Событие: "&amp;I685&amp;". Признак: "&amp;J685&amp;". Узел: "&amp;K685&amp;". Предварительная причина: "&amp;L685&amp;". Основное осложнение: "&amp;M685&amp;IF(N685&lt;&gt;"","; сопутствующее: "&amp;N685,"")&amp;IF(O685&lt;&gt;"","; дополнительно: "&amp;O685,"")&amp;".")</f>
        <v/>
      </c>
      <c r="R685" s="172">
        <f>IF('Оперативный ввод'!P685="","",'Оперативный ввод'!P685)</f>
        <v/>
      </c>
      <c r="S685" s="172">
        <f>IF('Оперативный ввод'!Q685="","",'Оперативный ввод'!Q685)</f>
        <v/>
      </c>
      <c r="T685" s="172">
        <f>IF('Оперативный ввод'!R685="","",'Оперативный ввод'!R685)</f>
        <v/>
      </c>
      <c r="U685" s="172">
        <f>IF('Оперативный ввод'!S685="","",'Оперативный ввод'!S685)</f>
        <v/>
      </c>
      <c r="V685" s="172">
        <f>IF('Оперативный ввод'!T685="","",'Оперативный ввод'!T685)</f>
        <v/>
      </c>
      <c r="W685" s="172" t="n"/>
      <c r="X685" s="172" t="n"/>
      <c r="Y685" s="172" t="n"/>
      <c r="Z685" s="172" t="n"/>
      <c r="AA685" s="172">
        <f>IF('Оперативный ввод'!U685="","",'Оперативный ввод'!U685)</f>
        <v/>
      </c>
      <c r="AB685" s="172">
        <f>IF('Оперативный ввод'!V685="","",'Оперативный ввод'!V685)</f>
        <v/>
      </c>
      <c r="AC685" s="172">
        <f>IF('Оперативный ввод'!W685="","",'Оперативный ввод'!W685)</f>
        <v/>
      </c>
      <c r="BB685" s="172" t="n"/>
      <c r="BC685" s="172" t="n"/>
      <c r="BD685" s="205">
        <f>IF(AND(A685="",B685=""),"",IF(AND(P685="ГОТОВО",R685&lt;&gt;"",T685&lt;&gt;"",U685&lt;&gt;"",AA685&lt;&gt;"",AB685&lt;&gt;"",AC685&lt;&gt;"",BB685&lt;&gt;"",BC685&lt;&gt;""),"ГОТОВО","НЕ ГОТОВО"))</f>
        <v/>
      </c>
      <c r="BE685" s="205">
        <f>IF(BD685&lt;&gt;"ГОТОВО","","Полное заключение: "&amp;A685&amp;", скв. "&amp;B685&amp;". МРП: "&amp;E685&amp;" сут. ГНО: "&amp;F685&amp;"; причина: "&amp;U685&amp;"; категория: "&amp;V685&amp;"; решение комиссии: "&amp;BB685&amp;".")</f>
        <v/>
      </c>
      <c r="BF685" s="173">
        <f>IF('Оперативный ввод'!X685="","",'Оперативный ввод'!X685)</f>
        <v/>
      </c>
    </row>
    <row r="686">
      <c r="A686" s="171">
        <f>IF('Оперативный ввод'!A686="","",'Оперативный ввод'!A686)</f>
        <v/>
      </c>
      <c r="B686" s="172">
        <f>IF('Оперативный ввод'!B686="","",'Оперативный ввод'!B686)</f>
        <v/>
      </c>
      <c r="C686" s="270">
        <f>IF('Оперативный ввод'!C686="","",'Оперативный ввод'!C686)</f>
        <v/>
      </c>
      <c r="D686" s="270">
        <f>IF('Оперативный ввод'!D686="","",'Оперативный ввод'!D686)</f>
        <v/>
      </c>
      <c r="E686" s="271">
        <f>IF(OR(C686="",D686=""),"",D686-C686)</f>
        <v/>
      </c>
      <c r="F686" s="172">
        <f>IF('Оперативный ввод'!F686="","",'Оперативный ввод'!F686)</f>
        <v/>
      </c>
      <c r="G686" s="172">
        <f>IF('Оперативный ввод'!G686="","",'Оперативный ввод'!G686)</f>
        <v/>
      </c>
      <c r="H686" s="172">
        <f>IF('Оперативный ввод'!H686="","",'Оперативный ввод'!H686)</f>
        <v/>
      </c>
      <c r="I686" s="172">
        <f>IF('Оперативный ввод'!I686="","",'Оперативный ввод'!I686)</f>
        <v/>
      </c>
      <c r="J686" s="172">
        <f>IF('Оперативный ввод'!J686="","",'Оперативный ввод'!J686)</f>
        <v/>
      </c>
      <c r="K686" s="172">
        <f>IF('Оперативный ввод'!K686="","",'Оперативный ввод'!K686)</f>
        <v/>
      </c>
      <c r="L686" s="172">
        <f>IF('Оперативный ввод'!L686="","",'Оперативный ввод'!L686)</f>
        <v/>
      </c>
      <c r="M686" s="172">
        <f>IF('Оперативный ввод'!M686="","",'Оперативный ввод'!M686)</f>
        <v/>
      </c>
      <c r="N686" s="172">
        <f>IF('Оперативный ввод'!N686="","",'Оперативный ввод'!N686)</f>
        <v/>
      </c>
      <c r="O686" s="172">
        <f>IF('Оперативный ввод'!O686="","",'Оперативный ввод'!O686)</f>
        <v/>
      </c>
      <c r="P686" s="205">
        <f>IF(AND(A686="",B686=""),"",IF(AND(A686&lt;&gt;"",B686&lt;&gt;"",C686&lt;&gt;"",D686&lt;&gt;"",F686&lt;&gt;"",G686&lt;&gt;"",H686&lt;&gt;"",ISERROR(SEARCH("по паспорту",G686)),ISERROR(SEARCH("по паспорту",H686)),I686&lt;&gt;"",J686&lt;&gt;"",K686&lt;&gt;"",L686&lt;&gt;"",M686&lt;&gt;""),"ГОТОВО","НЕ ГОТОВО"))</f>
        <v/>
      </c>
      <c r="Q686" s="205">
        <f>IF(P686&lt;&gt;"ГОТОВО","", "Предварительное заключение: "&amp;A686&amp;", скв. "&amp;B686&amp;". МРП: "&amp;E686&amp;" сут. ГНО: "&amp;F686&amp;", типоразмер "&amp;G686&amp;", марка "&amp;H686&amp;". Событие: "&amp;I686&amp;". Признак: "&amp;J686&amp;". Узел: "&amp;K686&amp;". Предварительная причина: "&amp;L686&amp;". Основное осложнение: "&amp;M686&amp;IF(N686&lt;&gt;"","; сопутствующее: "&amp;N686,"")&amp;IF(O686&lt;&gt;"","; дополнительно: "&amp;O686,"")&amp;".")</f>
        <v/>
      </c>
      <c r="R686" s="172">
        <f>IF('Оперативный ввод'!P686="","",'Оперативный ввод'!P686)</f>
        <v/>
      </c>
      <c r="S686" s="172">
        <f>IF('Оперативный ввод'!Q686="","",'Оперативный ввод'!Q686)</f>
        <v/>
      </c>
      <c r="T686" s="172">
        <f>IF('Оперативный ввод'!R686="","",'Оперативный ввод'!R686)</f>
        <v/>
      </c>
      <c r="U686" s="172">
        <f>IF('Оперативный ввод'!S686="","",'Оперативный ввод'!S686)</f>
        <v/>
      </c>
      <c r="V686" s="172">
        <f>IF('Оперативный ввод'!T686="","",'Оперативный ввод'!T686)</f>
        <v/>
      </c>
      <c r="W686" s="172" t="n"/>
      <c r="X686" s="172" t="n"/>
      <c r="Y686" s="172" t="n"/>
      <c r="Z686" s="172" t="n"/>
      <c r="AA686" s="172">
        <f>IF('Оперативный ввод'!U686="","",'Оперативный ввод'!U686)</f>
        <v/>
      </c>
      <c r="AB686" s="172">
        <f>IF('Оперативный ввод'!V686="","",'Оперативный ввод'!V686)</f>
        <v/>
      </c>
      <c r="AC686" s="172">
        <f>IF('Оперативный ввод'!W686="","",'Оперативный ввод'!W686)</f>
        <v/>
      </c>
      <c r="BB686" s="172" t="n"/>
      <c r="BC686" s="172" t="n"/>
      <c r="BD686" s="205">
        <f>IF(AND(A686="",B686=""),"",IF(AND(P686="ГОТОВО",R686&lt;&gt;"",T686&lt;&gt;"",U686&lt;&gt;"",AA686&lt;&gt;"",AB686&lt;&gt;"",AC686&lt;&gt;"",BB686&lt;&gt;"",BC686&lt;&gt;""),"ГОТОВО","НЕ ГОТОВО"))</f>
        <v/>
      </c>
      <c r="BE686" s="205">
        <f>IF(BD686&lt;&gt;"ГОТОВО","","Полное заключение: "&amp;A686&amp;", скв. "&amp;B686&amp;". МРП: "&amp;E686&amp;" сут. ГНО: "&amp;F686&amp;"; причина: "&amp;U686&amp;"; категория: "&amp;V686&amp;"; решение комиссии: "&amp;BB686&amp;".")</f>
        <v/>
      </c>
      <c r="BF686" s="173">
        <f>IF('Оперативный ввод'!X686="","",'Оперативный ввод'!X686)</f>
        <v/>
      </c>
    </row>
    <row r="687">
      <c r="A687" s="171">
        <f>IF('Оперативный ввод'!A687="","",'Оперативный ввод'!A687)</f>
        <v/>
      </c>
      <c r="B687" s="172">
        <f>IF('Оперативный ввод'!B687="","",'Оперативный ввод'!B687)</f>
        <v/>
      </c>
      <c r="C687" s="270">
        <f>IF('Оперативный ввод'!C687="","",'Оперативный ввод'!C687)</f>
        <v/>
      </c>
      <c r="D687" s="270">
        <f>IF('Оперативный ввод'!D687="","",'Оперативный ввод'!D687)</f>
        <v/>
      </c>
      <c r="E687" s="271">
        <f>IF(OR(C687="",D687=""),"",D687-C687)</f>
        <v/>
      </c>
      <c r="F687" s="172">
        <f>IF('Оперативный ввод'!F687="","",'Оперативный ввод'!F687)</f>
        <v/>
      </c>
      <c r="G687" s="172">
        <f>IF('Оперативный ввод'!G687="","",'Оперативный ввод'!G687)</f>
        <v/>
      </c>
      <c r="H687" s="172">
        <f>IF('Оперативный ввод'!H687="","",'Оперативный ввод'!H687)</f>
        <v/>
      </c>
      <c r="I687" s="172">
        <f>IF('Оперативный ввод'!I687="","",'Оперативный ввод'!I687)</f>
        <v/>
      </c>
      <c r="J687" s="172">
        <f>IF('Оперативный ввод'!J687="","",'Оперативный ввод'!J687)</f>
        <v/>
      </c>
      <c r="K687" s="172">
        <f>IF('Оперативный ввод'!K687="","",'Оперативный ввод'!K687)</f>
        <v/>
      </c>
      <c r="L687" s="172">
        <f>IF('Оперативный ввод'!L687="","",'Оперативный ввод'!L687)</f>
        <v/>
      </c>
      <c r="M687" s="172">
        <f>IF('Оперативный ввод'!M687="","",'Оперативный ввод'!M687)</f>
        <v/>
      </c>
      <c r="N687" s="172">
        <f>IF('Оперативный ввод'!N687="","",'Оперативный ввод'!N687)</f>
        <v/>
      </c>
      <c r="O687" s="172">
        <f>IF('Оперативный ввод'!O687="","",'Оперативный ввод'!O687)</f>
        <v/>
      </c>
      <c r="P687" s="205">
        <f>IF(AND(A687="",B687=""),"",IF(AND(A687&lt;&gt;"",B687&lt;&gt;"",C687&lt;&gt;"",D687&lt;&gt;"",F687&lt;&gt;"",G687&lt;&gt;"",H687&lt;&gt;"",ISERROR(SEARCH("по паспорту",G687)),ISERROR(SEARCH("по паспорту",H687)),I687&lt;&gt;"",J687&lt;&gt;"",K687&lt;&gt;"",L687&lt;&gt;"",M687&lt;&gt;""),"ГОТОВО","НЕ ГОТОВО"))</f>
        <v/>
      </c>
      <c r="Q687" s="205">
        <f>IF(P687&lt;&gt;"ГОТОВО","", "Предварительное заключение: "&amp;A687&amp;", скв. "&amp;B687&amp;". МРП: "&amp;E687&amp;" сут. ГНО: "&amp;F687&amp;", типоразмер "&amp;G687&amp;", марка "&amp;H687&amp;". Событие: "&amp;I687&amp;". Признак: "&amp;J687&amp;". Узел: "&amp;K687&amp;". Предварительная причина: "&amp;L687&amp;". Основное осложнение: "&amp;M687&amp;IF(N687&lt;&gt;"","; сопутствующее: "&amp;N687,"")&amp;IF(O687&lt;&gt;"","; дополнительно: "&amp;O687,"")&amp;".")</f>
        <v/>
      </c>
      <c r="R687" s="172">
        <f>IF('Оперативный ввод'!P687="","",'Оперативный ввод'!P687)</f>
        <v/>
      </c>
      <c r="S687" s="172">
        <f>IF('Оперативный ввод'!Q687="","",'Оперативный ввод'!Q687)</f>
        <v/>
      </c>
      <c r="T687" s="172">
        <f>IF('Оперативный ввод'!R687="","",'Оперативный ввод'!R687)</f>
        <v/>
      </c>
      <c r="U687" s="172">
        <f>IF('Оперативный ввод'!S687="","",'Оперативный ввод'!S687)</f>
        <v/>
      </c>
      <c r="V687" s="172">
        <f>IF('Оперативный ввод'!T687="","",'Оперативный ввод'!T687)</f>
        <v/>
      </c>
      <c r="W687" s="172" t="n"/>
      <c r="X687" s="172" t="n"/>
      <c r="Y687" s="172" t="n"/>
      <c r="Z687" s="172" t="n"/>
      <c r="AA687" s="172">
        <f>IF('Оперативный ввод'!U687="","",'Оперативный ввод'!U687)</f>
        <v/>
      </c>
      <c r="AB687" s="172">
        <f>IF('Оперативный ввод'!V687="","",'Оперативный ввод'!V687)</f>
        <v/>
      </c>
      <c r="AC687" s="172">
        <f>IF('Оперативный ввод'!W687="","",'Оперативный ввод'!W687)</f>
        <v/>
      </c>
      <c r="BB687" s="172" t="n"/>
      <c r="BC687" s="172" t="n"/>
      <c r="BD687" s="205">
        <f>IF(AND(A687="",B687=""),"",IF(AND(P687="ГОТОВО",R687&lt;&gt;"",T687&lt;&gt;"",U687&lt;&gt;"",AA687&lt;&gt;"",AB687&lt;&gt;"",AC687&lt;&gt;"",BB687&lt;&gt;"",BC687&lt;&gt;""),"ГОТОВО","НЕ ГОТОВО"))</f>
        <v/>
      </c>
      <c r="BE687" s="205">
        <f>IF(BD687&lt;&gt;"ГОТОВО","","Полное заключение: "&amp;A687&amp;", скв. "&amp;B687&amp;". МРП: "&amp;E687&amp;" сут. ГНО: "&amp;F687&amp;"; причина: "&amp;U687&amp;"; категория: "&amp;V687&amp;"; решение комиссии: "&amp;BB687&amp;".")</f>
        <v/>
      </c>
      <c r="BF687" s="173">
        <f>IF('Оперативный ввод'!X687="","",'Оперативный ввод'!X687)</f>
        <v/>
      </c>
    </row>
    <row r="688">
      <c r="A688" s="171">
        <f>IF('Оперативный ввод'!A688="","",'Оперативный ввод'!A688)</f>
        <v/>
      </c>
      <c r="B688" s="172">
        <f>IF('Оперативный ввод'!B688="","",'Оперативный ввод'!B688)</f>
        <v/>
      </c>
      <c r="C688" s="270">
        <f>IF('Оперативный ввод'!C688="","",'Оперативный ввод'!C688)</f>
        <v/>
      </c>
      <c r="D688" s="270">
        <f>IF('Оперативный ввод'!D688="","",'Оперативный ввод'!D688)</f>
        <v/>
      </c>
      <c r="E688" s="271">
        <f>IF(OR(C688="",D688=""),"",D688-C688)</f>
        <v/>
      </c>
      <c r="F688" s="172">
        <f>IF('Оперативный ввод'!F688="","",'Оперативный ввод'!F688)</f>
        <v/>
      </c>
      <c r="G688" s="172">
        <f>IF('Оперативный ввод'!G688="","",'Оперативный ввод'!G688)</f>
        <v/>
      </c>
      <c r="H688" s="172">
        <f>IF('Оперативный ввод'!H688="","",'Оперативный ввод'!H688)</f>
        <v/>
      </c>
      <c r="I688" s="172">
        <f>IF('Оперативный ввод'!I688="","",'Оперативный ввод'!I688)</f>
        <v/>
      </c>
      <c r="J688" s="172">
        <f>IF('Оперативный ввод'!J688="","",'Оперативный ввод'!J688)</f>
        <v/>
      </c>
      <c r="K688" s="172">
        <f>IF('Оперативный ввод'!K688="","",'Оперативный ввод'!K688)</f>
        <v/>
      </c>
      <c r="L688" s="172">
        <f>IF('Оперативный ввод'!L688="","",'Оперативный ввод'!L688)</f>
        <v/>
      </c>
      <c r="M688" s="172">
        <f>IF('Оперативный ввод'!M688="","",'Оперативный ввод'!M688)</f>
        <v/>
      </c>
      <c r="N688" s="172">
        <f>IF('Оперативный ввод'!N688="","",'Оперативный ввод'!N688)</f>
        <v/>
      </c>
      <c r="O688" s="172">
        <f>IF('Оперативный ввод'!O688="","",'Оперативный ввод'!O688)</f>
        <v/>
      </c>
      <c r="P688" s="205">
        <f>IF(AND(A688="",B688=""),"",IF(AND(A688&lt;&gt;"",B688&lt;&gt;"",C688&lt;&gt;"",D688&lt;&gt;"",F688&lt;&gt;"",G688&lt;&gt;"",H688&lt;&gt;"",ISERROR(SEARCH("по паспорту",G688)),ISERROR(SEARCH("по паспорту",H688)),I688&lt;&gt;"",J688&lt;&gt;"",K688&lt;&gt;"",L688&lt;&gt;"",M688&lt;&gt;""),"ГОТОВО","НЕ ГОТОВО"))</f>
        <v/>
      </c>
      <c r="Q688" s="205">
        <f>IF(P688&lt;&gt;"ГОТОВО","", "Предварительное заключение: "&amp;A688&amp;", скв. "&amp;B688&amp;". МРП: "&amp;E688&amp;" сут. ГНО: "&amp;F688&amp;", типоразмер "&amp;G688&amp;", марка "&amp;H688&amp;". Событие: "&amp;I688&amp;". Признак: "&amp;J688&amp;". Узел: "&amp;K688&amp;". Предварительная причина: "&amp;L688&amp;". Основное осложнение: "&amp;M688&amp;IF(N688&lt;&gt;"","; сопутствующее: "&amp;N688,"")&amp;IF(O688&lt;&gt;"","; дополнительно: "&amp;O688,"")&amp;".")</f>
        <v/>
      </c>
      <c r="R688" s="172">
        <f>IF('Оперативный ввод'!P688="","",'Оперативный ввод'!P688)</f>
        <v/>
      </c>
      <c r="S688" s="172">
        <f>IF('Оперативный ввод'!Q688="","",'Оперативный ввод'!Q688)</f>
        <v/>
      </c>
      <c r="T688" s="172">
        <f>IF('Оперативный ввод'!R688="","",'Оперативный ввод'!R688)</f>
        <v/>
      </c>
      <c r="U688" s="172">
        <f>IF('Оперативный ввод'!S688="","",'Оперативный ввод'!S688)</f>
        <v/>
      </c>
      <c r="V688" s="172">
        <f>IF('Оперативный ввод'!T688="","",'Оперативный ввод'!T688)</f>
        <v/>
      </c>
      <c r="W688" s="172" t="n"/>
      <c r="X688" s="172" t="n"/>
      <c r="Y688" s="172" t="n"/>
      <c r="Z688" s="172" t="n"/>
      <c r="AA688" s="172">
        <f>IF('Оперативный ввод'!U688="","",'Оперативный ввод'!U688)</f>
        <v/>
      </c>
      <c r="AB688" s="172">
        <f>IF('Оперативный ввод'!V688="","",'Оперативный ввод'!V688)</f>
        <v/>
      </c>
      <c r="AC688" s="172">
        <f>IF('Оперативный ввод'!W688="","",'Оперативный ввод'!W688)</f>
        <v/>
      </c>
      <c r="BB688" s="172" t="n"/>
      <c r="BC688" s="172" t="n"/>
      <c r="BD688" s="205">
        <f>IF(AND(A688="",B688=""),"",IF(AND(P688="ГОТОВО",R688&lt;&gt;"",T688&lt;&gt;"",U688&lt;&gt;"",AA688&lt;&gt;"",AB688&lt;&gt;"",AC688&lt;&gt;"",BB688&lt;&gt;"",BC688&lt;&gt;""),"ГОТОВО","НЕ ГОТОВО"))</f>
        <v/>
      </c>
      <c r="BE688" s="205">
        <f>IF(BD688&lt;&gt;"ГОТОВО","","Полное заключение: "&amp;A688&amp;", скв. "&amp;B688&amp;". МРП: "&amp;E688&amp;" сут. ГНО: "&amp;F688&amp;"; причина: "&amp;U688&amp;"; категория: "&amp;V688&amp;"; решение комиссии: "&amp;BB688&amp;".")</f>
        <v/>
      </c>
      <c r="BF688" s="173">
        <f>IF('Оперативный ввод'!X688="","",'Оперативный ввод'!X688)</f>
        <v/>
      </c>
    </row>
    <row r="689">
      <c r="A689" s="171">
        <f>IF('Оперативный ввод'!A689="","",'Оперативный ввод'!A689)</f>
        <v/>
      </c>
      <c r="B689" s="172">
        <f>IF('Оперативный ввод'!B689="","",'Оперативный ввод'!B689)</f>
        <v/>
      </c>
      <c r="C689" s="270">
        <f>IF('Оперативный ввод'!C689="","",'Оперативный ввод'!C689)</f>
        <v/>
      </c>
      <c r="D689" s="270">
        <f>IF('Оперативный ввод'!D689="","",'Оперативный ввод'!D689)</f>
        <v/>
      </c>
      <c r="E689" s="271">
        <f>IF(OR(C689="",D689=""),"",D689-C689)</f>
        <v/>
      </c>
      <c r="F689" s="172">
        <f>IF('Оперативный ввод'!F689="","",'Оперативный ввод'!F689)</f>
        <v/>
      </c>
      <c r="G689" s="172">
        <f>IF('Оперативный ввод'!G689="","",'Оперативный ввод'!G689)</f>
        <v/>
      </c>
      <c r="H689" s="172">
        <f>IF('Оперативный ввод'!H689="","",'Оперативный ввод'!H689)</f>
        <v/>
      </c>
      <c r="I689" s="172">
        <f>IF('Оперативный ввод'!I689="","",'Оперативный ввод'!I689)</f>
        <v/>
      </c>
      <c r="J689" s="172">
        <f>IF('Оперативный ввод'!J689="","",'Оперативный ввод'!J689)</f>
        <v/>
      </c>
      <c r="K689" s="172">
        <f>IF('Оперативный ввод'!K689="","",'Оперативный ввод'!K689)</f>
        <v/>
      </c>
      <c r="L689" s="172">
        <f>IF('Оперативный ввод'!L689="","",'Оперативный ввод'!L689)</f>
        <v/>
      </c>
      <c r="M689" s="172">
        <f>IF('Оперативный ввод'!M689="","",'Оперативный ввод'!M689)</f>
        <v/>
      </c>
      <c r="N689" s="172">
        <f>IF('Оперативный ввод'!N689="","",'Оперативный ввод'!N689)</f>
        <v/>
      </c>
      <c r="O689" s="172">
        <f>IF('Оперативный ввод'!O689="","",'Оперативный ввод'!O689)</f>
        <v/>
      </c>
      <c r="P689" s="205">
        <f>IF(AND(A689="",B689=""),"",IF(AND(A689&lt;&gt;"",B689&lt;&gt;"",C689&lt;&gt;"",D689&lt;&gt;"",F689&lt;&gt;"",G689&lt;&gt;"",H689&lt;&gt;"",ISERROR(SEARCH("по паспорту",G689)),ISERROR(SEARCH("по паспорту",H689)),I689&lt;&gt;"",J689&lt;&gt;"",K689&lt;&gt;"",L689&lt;&gt;"",M689&lt;&gt;""),"ГОТОВО","НЕ ГОТОВО"))</f>
        <v/>
      </c>
      <c r="Q689" s="205">
        <f>IF(P689&lt;&gt;"ГОТОВО","", "Предварительное заключение: "&amp;A689&amp;", скв. "&amp;B689&amp;". МРП: "&amp;E689&amp;" сут. ГНО: "&amp;F689&amp;", типоразмер "&amp;G689&amp;", марка "&amp;H689&amp;". Событие: "&amp;I689&amp;". Признак: "&amp;J689&amp;". Узел: "&amp;K689&amp;". Предварительная причина: "&amp;L689&amp;". Основное осложнение: "&amp;M689&amp;IF(N689&lt;&gt;"","; сопутствующее: "&amp;N689,"")&amp;IF(O689&lt;&gt;"","; дополнительно: "&amp;O689,"")&amp;".")</f>
        <v/>
      </c>
      <c r="R689" s="172">
        <f>IF('Оперативный ввод'!P689="","",'Оперативный ввод'!P689)</f>
        <v/>
      </c>
      <c r="S689" s="172">
        <f>IF('Оперативный ввод'!Q689="","",'Оперативный ввод'!Q689)</f>
        <v/>
      </c>
      <c r="T689" s="172">
        <f>IF('Оперативный ввод'!R689="","",'Оперативный ввод'!R689)</f>
        <v/>
      </c>
      <c r="U689" s="172">
        <f>IF('Оперативный ввод'!S689="","",'Оперативный ввод'!S689)</f>
        <v/>
      </c>
      <c r="V689" s="172">
        <f>IF('Оперативный ввод'!T689="","",'Оперативный ввод'!T689)</f>
        <v/>
      </c>
      <c r="W689" s="172" t="n"/>
      <c r="X689" s="172" t="n"/>
      <c r="Y689" s="172" t="n"/>
      <c r="Z689" s="172" t="n"/>
      <c r="AA689" s="172">
        <f>IF('Оперативный ввод'!U689="","",'Оперативный ввод'!U689)</f>
        <v/>
      </c>
      <c r="AB689" s="172">
        <f>IF('Оперативный ввод'!V689="","",'Оперативный ввод'!V689)</f>
        <v/>
      </c>
      <c r="AC689" s="172">
        <f>IF('Оперативный ввод'!W689="","",'Оперативный ввод'!W689)</f>
        <v/>
      </c>
      <c r="BB689" s="172" t="n"/>
      <c r="BC689" s="172" t="n"/>
      <c r="BD689" s="205">
        <f>IF(AND(A689="",B689=""),"",IF(AND(P689="ГОТОВО",R689&lt;&gt;"",T689&lt;&gt;"",U689&lt;&gt;"",AA689&lt;&gt;"",AB689&lt;&gt;"",AC689&lt;&gt;"",BB689&lt;&gt;"",BC689&lt;&gt;""),"ГОТОВО","НЕ ГОТОВО"))</f>
        <v/>
      </c>
      <c r="BE689" s="205">
        <f>IF(BD689&lt;&gt;"ГОТОВО","","Полное заключение: "&amp;A689&amp;", скв. "&amp;B689&amp;". МРП: "&amp;E689&amp;" сут. ГНО: "&amp;F689&amp;"; причина: "&amp;U689&amp;"; категория: "&amp;V689&amp;"; решение комиссии: "&amp;BB689&amp;".")</f>
        <v/>
      </c>
      <c r="BF689" s="173">
        <f>IF('Оперативный ввод'!X689="","",'Оперативный ввод'!X689)</f>
        <v/>
      </c>
    </row>
    <row r="690">
      <c r="A690" s="171">
        <f>IF('Оперативный ввод'!A690="","",'Оперативный ввод'!A690)</f>
        <v/>
      </c>
      <c r="B690" s="172">
        <f>IF('Оперативный ввод'!B690="","",'Оперативный ввод'!B690)</f>
        <v/>
      </c>
      <c r="C690" s="270">
        <f>IF('Оперативный ввод'!C690="","",'Оперативный ввод'!C690)</f>
        <v/>
      </c>
      <c r="D690" s="270">
        <f>IF('Оперативный ввод'!D690="","",'Оперативный ввод'!D690)</f>
        <v/>
      </c>
      <c r="E690" s="271">
        <f>IF(OR(C690="",D690=""),"",D690-C690)</f>
        <v/>
      </c>
      <c r="F690" s="172">
        <f>IF('Оперативный ввод'!F690="","",'Оперативный ввод'!F690)</f>
        <v/>
      </c>
      <c r="G690" s="172">
        <f>IF('Оперативный ввод'!G690="","",'Оперативный ввод'!G690)</f>
        <v/>
      </c>
      <c r="H690" s="172">
        <f>IF('Оперативный ввод'!H690="","",'Оперативный ввод'!H690)</f>
        <v/>
      </c>
      <c r="I690" s="172">
        <f>IF('Оперативный ввод'!I690="","",'Оперативный ввод'!I690)</f>
        <v/>
      </c>
      <c r="J690" s="172">
        <f>IF('Оперативный ввод'!J690="","",'Оперативный ввод'!J690)</f>
        <v/>
      </c>
      <c r="K690" s="172">
        <f>IF('Оперативный ввод'!K690="","",'Оперативный ввод'!K690)</f>
        <v/>
      </c>
      <c r="L690" s="172">
        <f>IF('Оперативный ввод'!L690="","",'Оперативный ввод'!L690)</f>
        <v/>
      </c>
      <c r="M690" s="172">
        <f>IF('Оперативный ввод'!M690="","",'Оперативный ввод'!M690)</f>
        <v/>
      </c>
      <c r="N690" s="172">
        <f>IF('Оперативный ввод'!N690="","",'Оперативный ввод'!N690)</f>
        <v/>
      </c>
      <c r="O690" s="172">
        <f>IF('Оперативный ввод'!O690="","",'Оперативный ввод'!O690)</f>
        <v/>
      </c>
      <c r="P690" s="205">
        <f>IF(AND(A690="",B690=""),"",IF(AND(A690&lt;&gt;"",B690&lt;&gt;"",C690&lt;&gt;"",D690&lt;&gt;"",F690&lt;&gt;"",G690&lt;&gt;"",H690&lt;&gt;"",ISERROR(SEARCH("по паспорту",G690)),ISERROR(SEARCH("по паспорту",H690)),I690&lt;&gt;"",J690&lt;&gt;"",K690&lt;&gt;"",L690&lt;&gt;"",M690&lt;&gt;""),"ГОТОВО","НЕ ГОТОВО"))</f>
        <v/>
      </c>
      <c r="Q690" s="205">
        <f>IF(P690&lt;&gt;"ГОТОВО","", "Предварительное заключение: "&amp;A690&amp;", скв. "&amp;B690&amp;". МРП: "&amp;E690&amp;" сут. ГНО: "&amp;F690&amp;", типоразмер "&amp;G690&amp;", марка "&amp;H690&amp;". Событие: "&amp;I690&amp;". Признак: "&amp;J690&amp;". Узел: "&amp;K690&amp;". Предварительная причина: "&amp;L690&amp;". Основное осложнение: "&amp;M690&amp;IF(N690&lt;&gt;"","; сопутствующее: "&amp;N690,"")&amp;IF(O690&lt;&gt;"","; дополнительно: "&amp;O690,"")&amp;".")</f>
        <v/>
      </c>
      <c r="R690" s="172">
        <f>IF('Оперативный ввод'!P690="","",'Оперативный ввод'!P690)</f>
        <v/>
      </c>
      <c r="S690" s="172">
        <f>IF('Оперативный ввод'!Q690="","",'Оперативный ввод'!Q690)</f>
        <v/>
      </c>
      <c r="T690" s="172">
        <f>IF('Оперативный ввод'!R690="","",'Оперативный ввод'!R690)</f>
        <v/>
      </c>
      <c r="U690" s="172">
        <f>IF('Оперативный ввод'!S690="","",'Оперативный ввод'!S690)</f>
        <v/>
      </c>
      <c r="V690" s="172">
        <f>IF('Оперативный ввод'!T690="","",'Оперативный ввод'!T690)</f>
        <v/>
      </c>
      <c r="W690" s="172" t="n"/>
      <c r="X690" s="172" t="n"/>
      <c r="Y690" s="172" t="n"/>
      <c r="Z690" s="172" t="n"/>
      <c r="AA690" s="172">
        <f>IF('Оперативный ввод'!U690="","",'Оперативный ввод'!U690)</f>
        <v/>
      </c>
      <c r="AB690" s="172">
        <f>IF('Оперативный ввод'!V690="","",'Оперативный ввод'!V690)</f>
        <v/>
      </c>
      <c r="AC690" s="172">
        <f>IF('Оперативный ввод'!W690="","",'Оперативный ввод'!W690)</f>
        <v/>
      </c>
      <c r="BB690" s="172" t="n"/>
      <c r="BC690" s="172" t="n"/>
      <c r="BD690" s="205">
        <f>IF(AND(A690="",B690=""),"",IF(AND(P690="ГОТОВО",R690&lt;&gt;"",T690&lt;&gt;"",U690&lt;&gt;"",AA690&lt;&gt;"",AB690&lt;&gt;"",AC690&lt;&gt;"",BB690&lt;&gt;"",BC690&lt;&gt;""),"ГОТОВО","НЕ ГОТОВО"))</f>
        <v/>
      </c>
      <c r="BE690" s="205">
        <f>IF(BD690&lt;&gt;"ГОТОВО","","Полное заключение: "&amp;A690&amp;", скв. "&amp;B690&amp;". МРП: "&amp;E690&amp;" сут. ГНО: "&amp;F690&amp;"; причина: "&amp;U690&amp;"; категория: "&amp;V690&amp;"; решение комиссии: "&amp;BB690&amp;".")</f>
        <v/>
      </c>
      <c r="BF690" s="173">
        <f>IF('Оперативный ввод'!X690="","",'Оперативный ввод'!X690)</f>
        <v/>
      </c>
    </row>
    <row r="691">
      <c r="A691" s="171">
        <f>IF('Оперативный ввод'!A691="","",'Оперативный ввод'!A691)</f>
        <v/>
      </c>
      <c r="B691" s="172">
        <f>IF('Оперативный ввод'!B691="","",'Оперативный ввод'!B691)</f>
        <v/>
      </c>
      <c r="C691" s="270">
        <f>IF('Оперативный ввод'!C691="","",'Оперативный ввод'!C691)</f>
        <v/>
      </c>
      <c r="D691" s="270">
        <f>IF('Оперативный ввод'!D691="","",'Оперативный ввод'!D691)</f>
        <v/>
      </c>
      <c r="E691" s="271">
        <f>IF(OR(C691="",D691=""),"",D691-C691)</f>
        <v/>
      </c>
      <c r="F691" s="172">
        <f>IF('Оперативный ввод'!F691="","",'Оперативный ввод'!F691)</f>
        <v/>
      </c>
      <c r="G691" s="172">
        <f>IF('Оперативный ввод'!G691="","",'Оперативный ввод'!G691)</f>
        <v/>
      </c>
      <c r="H691" s="172">
        <f>IF('Оперативный ввод'!H691="","",'Оперативный ввод'!H691)</f>
        <v/>
      </c>
      <c r="I691" s="172">
        <f>IF('Оперативный ввод'!I691="","",'Оперативный ввод'!I691)</f>
        <v/>
      </c>
      <c r="J691" s="172">
        <f>IF('Оперативный ввод'!J691="","",'Оперативный ввод'!J691)</f>
        <v/>
      </c>
      <c r="K691" s="172">
        <f>IF('Оперативный ввод'!K691="","",'Оперативный ввод'!K691)</f>
        <v/>
      </c>
      <c r="L691" s="172">
        <f>IF('Оперативный ввод'!L691="","",'Оперативный ввод'!L691)</f>
        <v/>
      </c>
      <c r="M691" s="172">
        <f>IF('Оперативный ввод'!M691="","",'Оперативный ввод'!M691)</f>
        <v/>
      </c>
      <c r="N691" s="172">
        <f>IF('Оперативный ввод'!N691="","",'Оперативный ввод'!N691)</f>
        <v/>
      </c>
      <c r="O691" s="172">
        <f>IF('Оперативный ввод'!O691="","",'Оперативный ввод'!O691)</f>
        <v/>
      </c>
      <c r="P691" s="205">
        <f>IF(AND(A691="",B691=""),"",IF(AND(A691&lt;&gt;"",B691&lt;&gt;"",C691&lt;&gt;"",D691&lt;&gt;"",F691&lt;&gt;"",G691&lt;&gt;"",H691&lt;&gt;"",ISERROR(SEARCH("по паспорту",G691)),ISERROR(SEARCH("по паспорту",H691)),I691&lt;&gt;"",J691&lt;&gt;"",K691&lt;&gt;"",L691&lt;&gt;"",M691&lt;&gt;""),"ГОТОВО","НЕ ГОТОВО"))</f>
        <v/>
      </c>
      <c r="Q691" s="205">
        <f>IF(P691&lt;&gt;"ГОТОВО","", "Предварительное заключение: "&amp;A691&amp;", скв. "&amp;B691&amp;". МРП: "&amp;E691&amp;" сут. ГНО: "&amp;F691&amp;", типоразмер "&amp;G691&amp;", марка "&amp;H691&amp;". Событие: "&amp;I691&amp;". Признак: "&amp;J691&amp;". Узел: "&amp;K691&amp;". Предварительная причина: "&amp;L691&amp;". Основное осложнение: "&amp;M691&amp;IF(N691&lt;&gt;"","; сопутствующее: "&amp;N691,"")&amp;IF(O691&lt;&gt;"","; дополнительно: "&amp;O691,"")&amp;".")</f>
        <v/>
      </c>
      <c r="R691" s="172">
        <f>IF('Оперативный ввод'!P691="","",'Оперативный ввод'!P691)</f>
        <v/>
      </c>
      <c r="S691" s="172">
        <f>IF('Оперативный ввод'!Q691="","",'Оперативный ввод'!Q691)</f>
        <v/>
      </c>
      <c r="T691" s="172">
        <f>IF('Оперативный ввод'!R691="","",'Оперативный ввод'!R691)</f>
        <v/>
      </c>
      <c r="U691" s="172">
        <f>IF('Оперативный ввод'!S691="","",'Оперативный ввод'!S691)</f>
        <v/>
      </c>
      <c r="V691" s="172">
        <f>IF('Оперативный ввод'!T691="","",'Оперативный ввод'!T691)</f>
        <v/>
      </c>
      <c r="W691" s="172" t="n"/>
      <c r="X691" s="172" t="n"/>
      <c r="Y691" s="172" t="n"/>
      <c r="Z691" s="172" t="n"/>
      <c r="AA691" s="172">
        <f>IF('Оперативный ввод'!U691="","",'Оперативный ввод'!U691)</f>
        <v/>
      </c>
      <c r="AB691" s="172">
        <f>IF('Оперативный ввод'!V691="","",'Оперативный ввод'!V691)</f>
        <v/>
      </c>
      <c r="AC691" s="172">
        <f>IF('Оперативный ввод'!W691="","",'Оперативный ввод'!W691)</f>
        <v/>
      </c>
      <c r="BB691" s="172" t="n"/>
      <c r="BC691" s="172" t="n"/>
      <c r="BD691" s="205">
        <f>IF(AND(A691="",B691=""),"",IF(AND(P691="ГОТОВО",R691&lt;&gt;"",T691&lt;&gt;"",U691&lt;&gt;"",AA691&lt;&gt;"",AB691&lt;&gt;"",AC691&lt;&gt;"",BB691&lt;&gt;"",BC691&lt;&gt;""),"ГОТОВО","НЕ ГОТОВО"))</f>
        <v/>
      </c>
      <c r="BE691" s="205">
        <f>IF(BD691&lt;&gt;"ГОТОВО","","Полное заключение: "&amp;A691&amp;", скв. "&amp;B691&amp;". МРП: "&amp;E691&amp;" сут. ГНО: "&amp;F691&amp;"; причина: "&amp;U691&amp;"; категория: "&amp;V691&amp;"; решение комиссии: "&amp;BB691&amp;".")</f>
        <v/>
      </c>
      <c r="BF691" s="173">
        <f>IF('Оперативный ввод'!X691="","",'Оперативный ввод'!X691)</f>
        <v/>
      </c>
    </row>
    <row r="692">
      <c r="A692" s="171">
        <f>IF('Оперативный ввод'!A692="","",'Оперативный ввод'!A692)</f>
        <v/>
      </c>
      <c r="B692" s="172">
        <f>IF('Оперативный ввод'!B692="","",'Оперативный ввод'!B692)</f>
        <v/>
      </c>
      <c r="C692" s="270">
        <f>IF('Оперативный ввод'!C692="","",'Оперативный ввод'!C692)</f>
        <v/>
      </c>
      <c r="D692" s="270">
        <f>IF('Оперативный ввод'!D692="","",'Оперативный ввод'!D692)</f>
        <v/>
      </c>
      <c r="E692" s="271">
        <f>IF(OR(C692="",D692=""),"",D692-C692)</f>
        <v/>
      </c>
      <c r="F692" s="172">
        <f>IF('Оперативный ввод'!F692="","",'Оперативный ввод'!F692)</f>
        <v/>
      </c>
      <c r="G692" s="172">
        <f>IF('Оперативный ввод'!G692="","",'Оперативный ввод'!G692)</f>
        <v/>
      </c>
      <c r="H692" s="172">
        <f>IF('Оперативный ввод'!H692="","",'Оперативный ввод'!H692)</f>
        <v/>
      </c>
      <c r="I692" s="172">
        <f>IF('Оперативный ввод'!I692="","",'Оперативный ввод'!I692)</f>
        <v/>
      </c>
      <c r="J692" s="172">
        <f>IF('Оперативный ввод'!J692="","",'Оперативный ввод'!J692)</f>
        <v/>
      </c>
      <c r="K692" s="172">
        <f>IF('Оперативный ввод'!K692="","",'Оперативный ввод'!K692)</f>
        <v/>
      </c>
      <c r="L692" s="172">
        <f>IF('Оперативный ввод'!L692="","",'Оперативный ввод'!L692)</f>
        <v/>
      </c>
      <c r="M692" s="172">
        <f>IF('Оперативный ввод'!M692="","",'Оперативный ввод'!M692)</f>
        <v/>
      </c>
      <c r="N692" s="172">
        <f>IF('Оперативный ввод'!N692="","",'Оперативный ввод'!N692)</f>
        <v/>
      </c>
      <c r="O692" s="172">
        <f>IF('Оперативный ввод'!O692="","",'Оперативный ввод'!O692)</f>
        <v/>
      </c>
      <c r="P692" s="205">
        <f>IF(AND(A692="",B692=""),"",IF(AND(A692&lt;&gt;"",B692&lt;&gt;"",C692&lt;&gt;"",D692&lt;&gt;"",F692&lt;&gt;"",G692&lt;&gt;"",H692&lt;&gt;"",ISERROR(SEARCH("по паспорту",G692)),ISERROR(SEARCH("по паспорту",H692)),I692&lt;&gt;"",J692&lt;&gt;"",K692&lt;&gt;"",L692&lt;&gt;"",M692&lt;&gt;""),"ГОТОВО","НЕ ГОТОВО"))</f>
        <v/>
      </c>
      <c r="Q692" s="205">
        <f>IF(P692&lt;&gt;"ГОТОВО","", "Предварительное заключение: "&amp;A692&amp;", скв. "&amp;B692&amp;". МРП: "&amp;E692&amp;" сут. ГНО: "&amp;F692&amp;", типоразмер "&amp;G692&amp;", марка "&amp;H692&amp;". Событие: "&amp;I692&amp;". Признак: "&amp;J692&amp;". Узел: "&amp;K692&amp;". Предварительная причина: "&amp;L692&amp;". Основное осложнение: "&amp;M692&amp;IF(N692&lt;&gt;"","; сопутствующее: "&amp;N692,"")&amp;IF(O692&lt;&gt;"","; дополнительно: "&amp;O692,"")&amp;".")</f>
        <v/>
      </c>
      <c r="R692" s="172">
        <f>IF('Оперативный ввод'!P692="","",'Оперативный ввод'!P692)</f>
        <v/>
      </c>
      <c r="S692" s="172">
        <f>IF('Оперативный ввод'!Q692="","",'Оперативный ввод'!Q692)</f>
        <v/>
      </c>
      <c r="T692" s="172">
        <f>IF('Оперативный ввод'!R692="","",'Оперативный ввод'!R692)</f>
        <v/>
      </c>
      <c r="U692" s="172">
        <f>IF('Оперативный ввод'!S692="","",'Оперативный ввод'!S692)</f>
        <v/>
      </c>
      <c r="V692" s="172">
        <f>IF('Оперативный ввод'!T692="","",'Оперативный ввод'!T692)</f>
        <v/>
      </c>
      <c r="W692" s="172" t="n"/>
      <c r="X692" s="172" t="n"/>
      <c r="Y692" s="172" t="n"/>
      <c r="Z692" s="172" t="n"/>
      <c r="AA692" s="172">
        <f>IF('Оперативный ввод'!U692="","",'Оперативный ввод'!U692)</f>
        <v/>
      </c>
      <c r="AB692" s="172">
        <f>IF('Оперативный ввод'!V692="","",'Оперативный ввод'!V692)</f>
        <v/>
      </c>
      <c r="AC692" s="172">
        <f>IF('Оперативный ввод'!W692="","",'Оперативный ввод'!W692)</f>
        <v/>
      </c>
      <c r="BB692" s="172" t="n"/>
      <c r="BC692" s="172" t="n"/>
      <c r="BD692" s="205">
        <f>IF(AND(A692="",B692=""),"",IF(AND(P692="ГОТОВО",R692&lt;&gt;"",T692&lt;&gt;"",U692&lt;&gt;"",AA692&lt;&gt;"",AB692&lt;&gt;"",AC692&lt;&gt;"",BB692&lt;&gt;"",BC692&lt;&gt;""),"ГОТОВО","НЕ ГОТОВО"))</f>
        <v/>
      </c>
      <c r="BE692" s="205">
        <f>IF(BD692&lt;&gt;"ГОТОВО","","Полное заключение: "&amp;A692&amp;", скв. "&amp;B692&amp;". МРП: "&amp;E692&amp;" сут. ГНО: "&amp;F692&amp;"; причина: "&amp;U692&amp;"; категория: "&amp;V692&amp;"; решение комиссии: "&amp;BB692&amp;".")</f>
        <v/>
      </c>
      <c r="BF692" s="173">
        <f>IF('Оперативный ввод'!X692="","",'Оперативный ввод'!X692)</f>
        <v/>
      </c>
    </row>
    <row r="693">
      <c r="A693" s="171">
        <f>IF('Оперативный ввод'!A693="","",'Оперативный ввод'!A693)</f>
        <v/>
      </c>
      <c r="B693" s="172">
        <f>IF('Оперативный ввод'!B693="","",'Оперативный ввод'!B693)</f>
        <v/>
      </c>
      <c r="C693" s="270">
        <f>IF('Оперативный ввод'!C693="","",'Оперативный ввод'!C693)</f>
        <v/>
      </c>
      <c r="D693" s="270">
        <f>IF('Оперативный ввод'!D693="","",'Оперативный ввод'!D693)</f>
        <v/>
      </c>
      <c r="E693" s="271">
        <f>IF(OR(C693="",D693=""),"",D693-C693)</f>
        <v/>
      </c>
      <c r="F693" s="172">
        <f>IF('Оперативный ввод'!F693="","",'Оперативный ввод'!F693)</f>
        <v/>
      </c>
      <c r="G693" s="172">
        <f>IF('Оперативный ввод'!G693="","",'Оперативный ввод'!G693)</f>
        <v/>
      </c>
      <c r="H693" s="172">
        <f>IF('Оперативный ввод'!H693="","",'Оперативный ввод'!H693)</f>
        <v/>
      </c>
      <c r="I693" s="172">
        <f>IF('Оперативный ввод'!I693="","",'Оперативный ввод'!I693)</f>
        <v/>
      </c>
      <c r="J693" s="172">
        <f>IF('Оперативный ввод'!J693="","",'Оперативный ввод'!J693)</f>
        <v/>
      </c>
      <c r="K693" s="172">
        <f>IF('Оперативный ввод'!K693="","",'Оперативный ввод'!K693)</f>
        <v/>
      </c>
      <c r="L693" s="172">
        <f>IF('Оперативный ввод'!L693="","",'Оперативный ввод'!L693)</f>
        <v/>
      </c>
      <c r="M693" s="172">
        <f>IF('Оперативный ввод'!M693="","",'Оперативный ввод'!M693)</f>
        <v/>
      </c>
      <c r="N693" s="172">
        <f>IF('Оперативный ввод'!N693="","",'Оперативный ввод'!N693)</f>
        <v/>
      </c>
      <c r="O693" s="172">
        <f>IF('Оперативный ввод'!O693="","",'Оперативный ввод'!O693)</f>
        <v/>
      </c>
      <c r="P693" s="205">
        <f>IF(AND(A693="",B693=""),"",IF(AND(A693&lt;&gt;"",B693&lt;&gt;"",C693&lt;&gt;"",D693&lt;&gt;"",F693&lt;&gt;"",G693&lt;&gt;"",H693&lt;&gt;"",ISERROR(SEARCH("по паспорту",G693)),ISERROR(SEARCH("по паспорту",H693)),I693&lt;&gt;"",J693&lt;&gt;"",K693&lt;&gt;"",L693&lt;&gt;"",M693&lt;&gt;""),"ГОТОВО","НЕ ГОТОВО"))</f>
        <v/>
      </c>
      <c r="Q693" s="205">
        <f>IF(P693&lt;&gt;"ГОТОВО","", "Предварительное заключение: "&amp;A693&amp;", скв. "&amp;B693&amp;". МРП: "&amp;E693&amp;" сут. ГНО: "&amp;F693&amp;", типоразмер "&amp;G693&amp;", марка "&amp;H693&amp;". Событие: "&amp;I693&amp;". Признак: "&amp;J693&amp;". Узел: "&amp;K693&amp;". Предварительная причина: "&amp;L693&amp;". Основное осложнение: "&amp;M693&amp;IF(N693&lt;&gt;"","; сопутствующее: "&amp;N693,"")&amp;IF(O693&lt;&gt;"","; дополнительно: "&amp;O693,"")&amp;".")</f>
        <v/>
      </c>
      <c r="R693" s="172">
        <f>IF('Оперативный ввод'!P693="","",'Оперативный ввод'!P693)</f>
        <v/>
      </c>
      <c r="S693" s="172">
        <f>IF('Оперативный ввод'!Q693="","",'Оперативный ввод'!Q693)</f>
        <v/>
      </c>
      <c r="T693" s="172">
        <f>IF('Оперативный ввод'!R693="","",'Оперативный ввод'!R693)</f>
        <v/>
      </c>
      <c r="U693" s="172">
        <f>IF('Оперативный ввод'!S693="","",'Оперативный ввод'!S693)</f>
        <v/>
      </c>
      <c r="V693" s="172">
        <f>IF('Оперативный ввод'!T693="","",'Оперативный ввод'!T693)</f>
        <v/>
      </c>
      <c r="W693" s="172" t="n"/>
      <c r="X693" s="172" t="n"/>
      <c r="Y693" s="172" t="n"/>
      <c r="Z693" s="172" t="n"/>
      <c r="AA693" s="172">
        <f>IF('Оперативный ввод'!U693="","",'Оперативный ввод'!U693)</f>
        <v/>
      </c>
      <c r="AB693" s="172">
        <f>IF('Оперативный ввод'!V693="","",'Оперативный ввод'!V693)</f>
        <v/>
      </c>
      <c r="AC693" s="172">
        <f>IF('Оперативный ввод'!W693="","",'Оперативный ввод'!W693)</f>
        <v/>
      </c>
      <c r="BB693" s="172" t="n"/>
      <c r="BC693" s="172" t="n"/>
      <c r="BD693" s="205">
        <f>IF(AND(A693="",B693=""),"",IF(AND(P693="ГОТОВО",R693&lt;&gt;"",T693&lt;&gt;"",U693&lt;&gt;"",AA693&lt;&gt;"",AB693&lt;&gt;"",AC693&lt;&gt;"",BB693&lt;&gt;"",BC693&lt;&gt;""),"ГОТОВО","НЕ ГОТОВО"))</f>
        <v/>
      </c>
      <c r="BE693" s="205">
        <f>IF(BD693&lt;&gt;"ГОТОВО","","Полное заключение: "&amp;A693&amp;", скв. "&amp;B693&amp;". МРП: "&amp;E693&amp;" сут. ГНО: "&amp;F693&amp;"; причина: "&amp;U693&amp;"; категория: "&amp;V693&amp;"; решение комиссии: "&amp;BB693&amp;".")</f>
        <v/>
      </c>
      <c r="BF693" s="173">
        <f>IF('Оперативный ввод'!X693="","",'Оперативный ввод'!X693)</f>
        <v/>
      </c>
    </row>
    <row r="694">
      <c r="A694" s="171">
        <f>IF('Оперативный ввод'!A694="","",'Оперативный ввод'!A694)</f>
        <v/>
      </c>
      <c r="B694" s="172">
        <f>IF('Оперативный ввод'!B694="","",'Оперативный ввод'!B694)</f>
        <v/>
      </c>
      <c r="C694" s="270">
        <f>IF('Оперативный ввод'!C694="","",'Оперативный ввод'!C694)</f>
        <v/>
      </c>
      <c r="D694" s="270">
        <f>IF('Оперативный ввод'!D694="","",'Оперативный ввод'!D694)</f>
        <v/>
      </c>
      <c r="E694" s="271">
        <f>IF(OR(C694="",D694=""),"",D694-C694)</f>
        <v/>
      </c>
      <c r="F694" s="172">
        <f>IF('Оперативный ввод'!F694="","",'Оперативный ввод'!F694)</f>
        <v/>
      </c>
      <c r="G694" s="172">
        <f>IF('Оперативный ввод'!G694="","",'Оперативный ввод'!G694)</f>
        <v/>
      </c>
      <c r="H694" s="172">
        <f>IF('Оперативный ввод'!H694="","",'Оперативный ввод'!H694)</f>
        <v/>
      </c>
      <c r="I694" s="172">
        <f>IF('Оперативный ввод'!I694="","",'Оперативный ввод'!I694)</f>
        <v/>
      </c>
      <c r="J694" s="172">
        <f>IF('Оперативный ввод'!J694="","",'Оперативный ввод'!J694)</f>
        <v/>
      </c>
      <c r="K694" s="172">
        <f>IF('Оперативный ввод'!K694="","",'Оперативный ввод'!K694)</f>
        <v/>
      </c>
      <c r="L694" s="172">
        <f>IF('Оперативный ввод'!L694="","",'Оперативный ввод'!L694)</f>
        <v/>
      </c>
      <c r="M694" s="172">
        <f>IF('Оперативный ввод'!M694="","",'Оперативный ввод'!M694)</f>
        <v/>
      </c>
      <c r="N694" s="172">
        <f>IF('Оперативный ввод'!N694="","",'Оперативный ввод'!N694)</f>
        <v/>
      </c>
      <c r="O694" s="172">
        <f>IF('Оперативный ввод'!O694="","",'Оперативный ввод'!O694)</f>
        <v/>
      </c>
      <c r="P694" s="205">
        <f>IF(AND(A694="",B694=""),"",IF(AND(A694&lt;&gt;"",B694&lt;&gt;"",C694&lt;&gt;"",D694&lt;&gt;"",F694&lt;&gt;"",G694&lt;&gt;"",H694&lt;&gt;"",ISERROR(SEARCH("по паспорту",G694)),ISERROR(SEARCH("по паспорту",H694)),I694&lt;&gt;"",J694&lt;&gt;"",K694&lt;&gt;"",L694&lt;&gt;"",M694&lt;&gt;""),"ГОТОВО","НЕ ГОТОВО"))</f>
        <v/>
      </c>
      <c r="Q694" s="205">
        <f>IF(P694&lt;&gt;"ГОТОВО","", "Предварительное заключение: "&amp;A694&amp;", скв. "&amp;B694&amp;". МРП: "&amp;E694&amp;" сут. ГНО: "&amp;F694&amp;", типоразмер "&amp;G694&amp;", марка "&amp;H694&amp;". Событие: "&amp;I694&amp;". Признак: "&amp;J694&amp;". Узел: "&amp;K694&amp;". Предварительная причина: "&amp;L694&amp;". Основное осложнение: "&amp;M694&amp;IF(N694&lt;&gt;"","; сопутствующее: "&amp;N694,"")&amp;IF(O694&lt;&gt;"","; дополнительно: "&amp;O694,"")&amp;".")</f>
        <v/>
      </c>
      <c r="R694" s="172">
        <f>IF('Оперативный ввод'!P694="","",'Оперативный ввод'!P694)</f>
        <v/>
      </c>
      <c r="S694" s="172">
        <f>IF('Оперативный ввод'!Q694="","",'Оперативный ввод'!Q694)</f>
        <v/>
      </c>
      <c r="T694" s="172">
        <f>IF('Оперативный ввод'!R694="","",'Оперативный ввод'!R694)</f>
        <v/>
      </c>
      <c r="U694" s="172">
        <f>IF('Оперативный ввод'!S694="","",'Оперативный ввод'!S694)</f>
        <v/>
      </c>
      <c r="V694" s="172">
        <f>IF('Оперативный ввод'!T694="","",'Оперативный ввод'!T694)</f>
        <v/>
      </c>
      <c r="W694" s="172" t="n"/>
      <c r="X694" s="172" t="n"/>
      <c r="Y694" s="172" t="n"/>
      <c r="Z694" s="172" t="n"/>
      <c r="AA694" s="172">
        <f>IF('Оперативный ввод'!U694="","",'Оперативный ввод'!U694)</f>
        <v/>
      </c>
      <c r="AB694" s="172">
        <f>IF('Оперативный ввод'!V694="","",'Оперативный ввод'!V694)</f>
        <v/>
      </c>
      <c r="AC694" s="172">
        <f>IF('Оперативный ввод'!W694="","",'Оперативный ввод'!W694)</f>
        <v/>
      </c>
      <c r="BB694" s="172" t="n"/>
      <c r="BC694" s="172" t="n"/>
      <c r="BD694" s="205">
        <f>IF(AND(A694="",B694=""),"",IF(AND(P694="ГОТОВО",R694&lt;&gt;"",T694&lt;&gt;"",U694&lt;&gt;"",AA694&lt;&gt;"",AB694&lt;&gt;"",AC694&lt;&gt;"",BB694&lt;&gt;"",BC694&lt;&gt;""),"ГОТОВО","НЕ ГОТОВО"))</f>
        <v/>
      </c>
      <c r="BE694" s="205">
        <f>IF(BD694&lt;&gt;"ГОТОВО","","Полное заключение: "&amp;A694&amp;", скв. "&amp;B694&amp;". МРП: "&amp;E694&amp;" сут. ГНО: "&amp;F694&amp;"; причина: "&amp;U694&amp;"; категория: "&amp;V694&amp;"; решение комиссии: "&amp;BB694&amp;".")</f>
        <v/>
      </c>
      <c r="BF694" s="173">
        <f>IF('Оперативный ввод'!X694="","",'Оперативный ввод'!X694)</f>
        <v/>
      </c>
    </row>
    <row r="695">
      <c r="A695" s="171">
        <f>IF('Оперативный ввод'!A695="","",'Оперативный ввод'!A695)</f>
        <v/>
      </c>
      <c r="B695" s="172">
        <f>IF('Оперативный ввод'!B695="","",'Оперативный ввод'!B695)</f>
        <v/>
      </c>
      <c r="C695" s="270">
        <f>IF('Оперативный ввод'!C695="","",'Оперативный ввод'!C695)</f>
        <v/>
      </c>
      <c r="D695" s="270">
        <f>IF('Оперативный ввод'!D695="","",'Оперативный ввод'!D695)</f>
        <v/>
      </c>
      <c r="E695" s="271">
        <f>IF(OR(C695="",D695=""),"",D695-C695)</f>
        <v/>
      </c>
      <c r="F695" s="172">
        <f>IF('Оперативный ввод'!F695="","",'Оперативный ввод'!F695)</f>
        <v/>
      </c>
      <c r="G695" s="172">
        <f>IF('Оперативный ввод'!G695="","",'Оперативный ввод'!G695)</f>
        <v/>
      </c>
      <c r="H695" s="172">
        <f>IF('Оперативный ввод'!H695="","",'Оперативный ввод'!H695)</f>
        <v/>
      </c>
      <c r="I695" s="172">
        <f>IF('Оперативный ввод'!I695="","",'Оперативный ввод'!I695)</f>
        <v/>
      </c>
      <c r="J695" s="172">
        <f>IF('Оперативный ввод'!J695="","",'Оперативный ввод'!J695)</f>
        <v/>
      </c>
      <c r="K695" s="172">
        <f>IF('Оперативный ввод'!K695="","",'Оперативный ввод'!K695)</f>
        <v/>
      </c>
      <c r="L695" s="172">
        <f>IF('Оперативный ввод'!L695="","",'Оперативный ввод'!L695)</f>
        <v/>
      </c>
      <c r="M695" s="172">
        <f>IF('Оперативный ввод'!M695="","",'Оперативный ввод'!M695)</f>
        <v/>
      </c>
      <c r="N695" s="172">
        <f>IF('Оперативный ввод'!N695="","",'Оперативный ввод'!N695)</f>
        <v/>
      </c>
      <c r="O695" s="172">
        <f>IF('Оперативный ввод'!O695="","",'Оперативный ввод'!O695)</f>
        <v/>
      </c>
      <c r="P695" s="205">
        <f>IF(AND(A695="",B695=""),"",IF(AND(A695&lt;&gt;"",B695&lt;&gt;"",C695&lt;&gt;"",D695&lt;&gt;"",F695&lt;&gt;"",G695&lt;&gt;"",H695&lt;&gt;"",ISERROR(SEARCH("по паспорту",G695)),ISERROR(SEARCH("по паспорту",H695)),I695&lt;&gt;"",J695&lt;&gt;"",K695&lt;&gt;"",L695&lt;&gt;"",M695&lt;&gt;""),"ГОТОВО","НЕ ГОТОВО"))</f>
        <v/>
      </c>
      <c r="Q695" s="205">
        <f>IF(P695&lt;&gt;"ГОТОВО","", "Предварительное заключение: "&amp;A695&amp;", скв. "&amp;B695&amp;". МРП: "&amp;E695&amp;" сут. ГНО: "&amp;F695&amp;", типоразмер "&amp;G695&amp;", марка "&amp;H695&amp;". Событие: "&amp;I695&amp;". Признак: "&amp;J695&amp;". Узел: "&amp;K695&amp;". Предварительная причина: "&amp;L695&amp;". Основное осложнение: "&amp;M695&amp;IF(N695&lt;&gt;"","; сопутствующее: "&amp;N695,"")&amp;IF(O695&lt;&gt;"","; дополнительно: "&amp;O695,"")&amp;".")</f>
        <v/>
      </c>
      <c r="R695" s="172">
        <f>IF('Оперативный ввод'!P695="","",'Оперативный ввод'!P695)</f>
        <v/>
      </c>
      <c r="S695" s="172">
        <f>IF('Оперативный ввод'!Q695="","",'Оперативный ввод'!Q695)</f>
        <v/>
      </c>
      <c r="T695" s="172">
        <f>IF('Оперативный ввод'!R695="","",'Оперативный ввод'!R695)</f>
        <v/>
      </c>
      <c r="U695" s="172">
        <f>IF('Оперативный ввод'!S695="","",'Оперативный ввод'!S695)</f>
        <v/>
      </c>
      <c r="V695" s="172">
        <f>IF('Оперативный ввод'!T695="","",'Оперативный ввод'!T695)</f>
        <v/>
      </c>
      <c r="W695" s="172" t="n"/>
      <c r="X695" s="172" t="n"/>
      <c r="Y695" s="172" t="n"/>
      <c r="Z695" s="172" t="n"/>
      <c r="AA695" s="172">
        <f>IF('Оперативный ввод'!U695="","",'Оперативный ввод'!U695)</f>
        <v/>
      </c>
      <c r="AB695" s="172">
        <f>IF('Оперативный ввод'!V695="","",'Оперативный ввод'!V695)</f>
        <v/>
      </c>
      <c r="AC695" s="172">
        <f>IF('Оперативный ввод'!W695="","",'Оперативный ввод'!W695)</f>
        <v/>
      </c>
      <c r="BB695" s="172" t="n"/>
      <c r="BC695" s="172" t="n"/>
      <c r="BD695" s="205">
        <f>IF(AND(A695="",B695=""),"",IF(AND(P695="ГОТОВО",R695&lt;&gt;"",T695&lt;&gt;"",U695&lt;&gt;"",AA695&lt;&gt;"",AB695&lt;&gt;"",AC695&lt;&gt;"",BB695&lt;&gt;"",BC695&lt;&gt;""),"ГОТОВО","НЕ ГОТОВО"))</f>
        <v/>
      </c>
      <c r="BE695" s="205">
        <f>IF(BD695&lt;&gt;"ГОТОВО","","Полное заключение: "&amp;A695&amp;", скв. "&amp;B695&amp;". МРП: "&amp;E695&amp;" сут. ГНО: "&amp;F695&amp;"; причина: "&amp;U695&amp;"; категория: "&amp;V695&amp;"; решение комиссии: "&amp;BB695&amp;".")</f>
        <v/>
      </c>
      <c r="BF695" s="173">
        <f>IF('Оперативный ввод'!X695="","",'Оперативный ввод'!X695)</f>
        <v/>
      </c>
    </row>
    <row r="696">
      <c r="A696" s="171">
        <f>IF('Оперативный ввод'!A696="","",'Оперативный ввод'!A696)</f>
        <v/>
      </c>
      <c r="B696" s="172">
        <f>IF('Оперативный ввод'!B696="","",'Оперативный ввод'!B696)</f>
        <v/>
      </c>
      <c r="C696" s="270">
        <f>IF('Оперативный ввод'!C696="","",'Оперативный ввод'!C696)</f>
        <v/>
      </c>
      <c r="D696" s="270">
        <f>IF('Оперативный ввод'!D696="","",'Оперативный ввод'!D696)</f>
        <v/>
      </c>
      <c r="E696" s="271">
        <f>IF(OR(C696="",D696=""),"",D696-C696)</f>
        <v/>
      </c>
      <c r="F696" s="172">
        <f>IF('Оперативный ввод'!F696="","",'Оперативный ввод'!F696)</f>
        <v/>
      </c>
      <c r="G696" s="172">
        <f>IF('Оперативный ввод'!G696="","",'Оперативный ввод'!G696)</f>
        <v/>
      </c>
      <c r="H696" s="172">
        <f>IF('Оперативный ввод'!H696="","",'Оперативный ввод'!H696)</f>
        <v/>
      </c>
      <c r="I696" s="172">
        <f>IF('Оперативный ввод'!I696="","",'Оперативный ввод'!I696)</f>
        <v/>
      </c>
      <c r="J696" s="172">
        <f>IF('Оперативный ввод'!J696="","",'Оперативный ввод'!J696)</f>
        <v/>
      </c>
      <c r="K696" s="172">
        <f>IF('Оперативный ввод'!K696="","",'Оперативный ввод'!K696)</f>
        <v/>
      </c>
      <c r="L696" s="172">
        <f>IF('Оперативный ввод'!L696="","",'Оперативный ввод'!L696)</f>
        <v/>
      </c>
      <c r="M696" s="172">
        <f>IF('Оперативный ввод'!M696="","",'Оперативный ввод'!M696)</f>
        <v/>
      </c>
      <c r="N696" s="172">
        <f>IF('Оперативный ввод'!N696="","",'Оперативный ввод'!N696)</f>
        <v/>
      </c>
      <c r="O696" s="172">
        <f>IF('Оперативный ввод'!O696="","",'Оперативный ввод'!O696)</f>
        <v/>
      </c>
      <c r="P696" s="205">
        <f>IF(AND(A696="",B696=""),"",IF(AND(A696&lt;&gt;"",B696&lt;&gt;"",C696&lt;&gt;"",D696&lt;&gt;"",F696&lt;&gt;"",G696&lt;&gt;"",H696&lt;&gt;"",ISERROR(SEARCH("по паспорту",G696)),ISERROR(SEARCH("по паспорту",H696)),I696&lt;&gt;"",J696&lt;&gt;"",K696&lt;&gt;"",L696&lt;&gt;"",M696&lt;&gt;""),"ГОТОВО","НЕ ГОТОВО"))</f>
        <v/>
      </c>
      <c r="Q696" s="205">
        <f>IF(P696&lt;&gt;"ГОТОВО","", "Предварительное заключение: "&amp;A696&amp;", скв. "&amp;B696&amp;". МРП: "&amp;E696&amp;" сут. ГНО: "&amp;F696&amp;", типоразмер "&amp;G696&amp;", марка "&amp;H696&amp;". Событие: "&amp;I696&amp;". Признак: "&amp;J696&amp;". Узел: "&amp;K696&amp;". Предварительная причина: "&amp;L696&amp;". Основное осложнение: "&amp;M696&amp;IF(N696&lt;&gt;"","; сопутствующее: "&amp;N696,"")&amp;IF(O696&lt;&gt;"","; дополнительно: "&amp;O696,"")&amp;".")</f>
        <v/>
      </c>
      <c r="R696" s="172">
        <f>IF('Оперативный ввод'!P696="","",'Оперативный ввод'!P696)</f>
        <v/>
      </c>
      <c r="S696" s="172">
        <f>IF('Оперативный ввод'!Q696="","",'Оперативный ввод'!Q696)</f>
        <v/>
      </c>
      <c r="T696" s="172">
        <f>IF('Оперативный ввод'!R696="","",'Оперативный ввод'!R696)</f>
        <v/>
      </c>
      <c r="U696" s="172">
        <f>IF('Оперативный ввод'!S696="","",'Оперативный ввод'!S696)</f>
        <v/>
      </c>
      <c r="V696" s="172">
        <f>IF('Оперативный ввод'!T696="","",'Оперативный ввод'!T696)</f>
        <v/>
      </c>
      <c r="W696" s="172" t="n"/>
      <c r="X696" s="172" t="n"/>
      <c r="Y696" s="172" t="n"/>
      <c r="Z696" s="172" t="n"/>
      <c r="AA696" s="172">
        <f>IF('Оперативный ввод'!U696="","",'Оперативный ввод'!U696)</f>
        <v/>
      </c>
      <c r="AB696" s="172">
        <f>IF('Оперативный ввод'!V696="","",'Оперативный ввод'!V696)</f>
        <v/>
      </c>
      <c r="AC696" s="172">
        <f>IF('Оперативный ввод'!W696="","",'Оперативный ввод'!W696)</f>
        <v/>
      </c>
      <c r="BB696" s="172" t="n"/>
      <c r="BC696" s="172" t="n"/>
      <c r="BD696" s="205">
        <f>IF(AND(A696="",B696=""),"",IF(AND(P696="ГОТОВО",R696&lt;&gt;"",T696&lt;&gt;"",U696&lt;&gt;"",AA696&lt;&gt;"",AB696&lt;&gt;"",AC696&lt;&gt;"",BB696&lt;&gt;"",BC696&lt;&gt;""),"ГОТОВО","НЕ ГОТОВО"))</f>
        <v/>
      </c>
      <c r="BE696" s="205">
        <f>IF(BD696&lt;&gt;"ГОТОВО","","Полное заключение: "&amp;A696&amp;", скв. "&amp;B696&amp;". МРП: "&amp;E696&amp;" сут. ГНО: "&amp;F696&amp;"; причина: "&amp;U696&amp;"; категория: "&amp;V696&amp;"; решение комиссии: "&amp;BB696&amp;".")</f>
        <v/>
      </c>
      <c r="BF696" s="173">
        <f>IF('Оперативный ввод'!X696="","",'Оперативный ввод'!X696)</f>
        <v/>
      </c>
    </row>
    <row r="697">
      <c r="A697" s="171">
        <f>IF('Оперативный ввод'!A697="","",'Оперативный ввод'!A697)</f>
        <v/>
      </c>
      <c r="B697" s="172">
        <f>IF('Оперативный ввод'!B697="","",'Оперативный ввод'!B697)</f>
        <v/>
      </c>
      <c r="C697" s="270">
        <f>IF('Оперативный ввод'!C697="","",'Оперативный ввод'!C697)</f>
        <v/>
      </c>
      <c r="D697" s="270">
        <f>IF('Оперативный ввод'!D697="","",'Оперативный ввод'!D697)</f>
        <v/>
      </c>
      <c r="E697" s="271">
        <f>IF(OR(C697="",D697=""),"",D697-C697)</f>
        <v/>
      </c>
      <c r="F697" s="172">
        <f>IF('Оперативный ввод'!F697="","",'Оперативный ввод'!F697)</f>
        <v/>
      </c>
      <c r="G697" s="172">
        <f>IF('Оперативный ввод'!G697="","",'Оперативный ввод'!G697)</f>
        <v/>
      </c>
      <c r="H697" s="172">
        <f>IF('Оперативный ввод'!H697="","",'Оперативный ввод'!H697)</f>
        <v/>
      </c>
      <c r="I697" s="172">
        <f>IF('Оперативный ввод'!I697="","",'Оперативный ввод'!I697)</f>
        <v/>
      </c>
      <c r="J697" s="172">
        <f>IF('Оперативный ввод'!J697="","",'Оперативный ввод'!J697)</f>
        <v/>
      </c>
      <c r="K697" s="172">
        <f>IF('Оперативный ввод'!K697="","",'Оперативный ввод'!K697)</f>
        <v/>
      </c>
      <c r="L697" s="172">
        <f>IF('Оперативный ввод'!L697="","",'Оперативный ввод'!L697)</f>
        <v/>
      </c>
      <c r="M697" s="172">
        <f>IF('Оперативный ввод'!M697="","",'Оперативный ввод'!M697)</f>
        <v/>
      </c>
      <c r="N697" s="172">
        <f>IF('Оперативный ввод'!N697="","",'Оперативный ввод'!N697)</f>
        <v/>
      </c>
      <c r="O697" s="172">
        <f>IF('Оперативный ввод'!O697="","",'Оперативный ввод'!O697)</f>
        <v/>
      </c>
      <c r="P697" s="205">
        <f>IF(AND(A697="",B697=""),"",IF(AND(A697&lt;&gt;"",B697&lt;&gt;"",C697&lt;&gt;"",D697&lt;&gt;"",F697&lt;&gt;"",G697&lt;&gt;"",H697&lt;&gt;"",ISERROR(SEARCH("по паспорту",G697)),ISERROR(SEARCH("по паспорту",H697)),I697&lt;&gt;"",J697&lt;&gt;"",K697&lt;&gt;"",L697&lt;&gt;"",M697&lt;&gt;""),"ГОТОВО","НЕ ГОТОВО"))</f>
        <v/>
      </c>
      <c r="Q697" s="205">
        <f>IF(P697&lt;&gt;"ГОТОВО","", "Предварительное заключение: "&amp;A697&amp;", скв. "&amp;B697&amp;". МРП: "&amp;E697&amp;" сут. ГНО: "&amp;F697&amp;", типоразмер "&amp;G697&amp;", марка "&amp;H697&amp;". Событие: "&amp;I697&amp;". Признак: "&amp;J697&amp;". Узел: "&amp;K697&amp;". Предварительная причина: "&amp;L697&amp;". Основное осложнение: "&amp;M697&amp;IF(N697&lt;&gt;"","; сопутствующее: "&amp;N697,"")&amp;IF(O697&lt;&gt;"","; дополнительно: "&amp;O697,"")&amp;".")</f>
        <v/>
      </c>
      <c r="R697" s="172">
        <f>IF('Оперативный ввод'!P697="","",'Оперативный ввод'!P697)</f>
        <v/>
      </c>
      <c r="S697" s="172">
        <f>IF('Оперативный ввод'!Q697="","",'Оперативный ввод'!Q697)</f>
        <v/>
      </c>
      <c r="T697" s="172">
        <f>IF('Оперативный ввод'!R697="","",'Оперативный ввод'!R697)</f>
        <v/>
      </c>
      <c r="U697" s="172">
        <f>IF('Оперативный ввод'!S697="","",'Оперативный ввод'!S697)</f>
        <v/>
      </c>
      <c r="V697" s="172">
        <f>IF('Оперативный ввод'!T697="","",'Оперативный ввод'!T697)</f>
        <v/>
      </c>
      <c r="W697" s="172" t="n"/>
      <c r="X697" s="172" t="n"/>
      <c r="Y697" s="172" t="n"/>
      <c r="Z697" s="172" t="n"/>
      <c r="AA697" s="172">
        <f>IF('Оперативный ввод'!U697="","",'Оперативный ввод'!U697)</f>
        <v/>
      </c>
      <c r="AB697" s="172">
        <f>IF('Оперативный ввод'!V697="","",'Оперативный ввод'!V697)</f>
        <v/>
      </c>
      <c r="AC697" s="172">
        <f>IF('Оперативный ввод'!W697="","",'Оперативный ввод'!W697)</f>
        <v/>
      </c>
      <c r="BB697" s="172" t="n"/>
      <c r="BC697" s="172" t="n"/>
      <c r="BD697" s="205">
        <f>IF(AND(A697="",B697=""),"",IF(AND(P697="ГОТОВО",R697&lt;&gt;"",T697&lt;&gt;"",U697&lt;&gt;"",AA697&lt;&gt;"",AB697&lt;&gt;"",AC697&lt;&gt;"",BB697&lt;&gt;"",BC697&lt;&gt;""),"ГОТОВО","НЕ ГОТОВО"))</f>
        <v/>
      </c>
      <c r="BE697" s="205">
        <f>IF(BD697&lt;&gt;"ГОТОВО","","Полное заключение: "&amp;A697&amp;", скв. "&amp;B697&amp;". МРП: "&amp;E697&amp;" сут. ГНО: "&amp;F697&amp;"; причина: "&amp;U697&amp;"; категория: "&amp;V697&amp;"; решение комиссии: "&amp;BB697&amp;".")</f>
        <v/>
      </c>
      <c r="BF697" s="173">
        <f>IF('Оперативный ввод'!X697="","",'Оперативный ввод'!X697)</f>
        <v/>
      </c>
    </row>
    <row r="698">
      <c r="A698" s="171">
        <f>IF('Оперативный ввод'!A698="","",'Оперативный ввод'!A698)</f>
        <v/>
      </c>
      <c r="B698" s="172">
        <f>IF('Оперативный ввод'!B698="","",'Оперативный ввод'!B698)</f>
        <v/>
      </c>
      <c r="C698" s="270">
        <f>IF('Оперативный ввод'!C698="","",'Оперативный ввод'!C698)</f>
        <v/>
      </c>
      <c r="D698" s="270">
        <f>IF('Оперативный ввод'!D698="","",'Оперативный ввод'!D698)</f>
        <v/>
      </c>
      <c r="E698" s="271">
        <f>IF(OR(C698="",D698=""),"",D698-C698)</f>
        <v/>
      </c>
      <c r="F698" s="172">
        <f>IF('Оперативный ввод'!F698="","",'Оперативный ввод'!F698)</f>
        <v/>
      </c>
      <c r="G698" s="172">
        <f>IF('Оперативный ввод'!G698="","",'Оперативный ввод'!G698)</f>
        <v/>
      </c>
      <c r="H698" s="172">
        <f>IF('Оперативный ввод'!H698="","",'Оперативный ввод'!H698)</f>
        <v/>
      </c>
      <c r="I698" s="172">
        <f>IF('Оперативный ввод'!I698="","",'Оперативный ввод'!I698)</f>
        <v/>
      </c>
      <c r="J698" s="172">
        <f>IF('Оперативный ввод'!J698="","",'Оперативный ввод'!J698)</f>
        <v/>
      </c>
      <c r="K698" s="172">
        <f>IF('Оперативный ввод'!K698="","",'Оперативный ввод'!K698)</f>
        <v/>
      </c>
      <c r="L698" s="172">
        <f>IF('Оперативный ввод'!L698="","",'Оперативный ввод'!L698)</f>
        <v/>
      </c>
      <c r="M698" s="172">
        <f>IF('Оперативный ввод'!M698="","",'Оперативный ввод'!M698)</f>
        <v/>
      </c>
      <c r="N698" s="172">
        <f>IF('Оперативный ввод'!N698="","",'Оперативный ввод'!N698)</f>
        <v/>
      </c>
      <c r="O698" s="172">
        <f>IF('Оперативный ввод'!O698="","",'Оперативный ввод'!O698)</f>
        <v/>
      </c>
      <c r="P698" s="205">
        <f>IF(AND(A698="",B698=""),"",IF(AND(A698&lt;&gt;"",B698&lt;&gt;"",C698&lt;&gt;"",D698&lt;&gt;"",F698&lt;&gt;"",G698&lt;&gt;"",H698&lt;&gt;"",ISERROR(SEARCH("по паспорту",G698)),ISERROR(SEARCH("по паспорту",H698)),I698&lt;&gt;"",J698&lt;&gt;"",K698&lt;&gt;"",L698&lt;&gt;"",M698&lt;&gt;""),"ГОТОВО","НЕ ГОТОВО"))</f>
        <v/>
      </c>
      <c r="Q698" s="205">
        <f>IF(P698&lt;&gt;"ГОТОВО","", "Предварительное заключение: "&amp;A698&amp;", скв. "&amp;B698&amp;". МРП: "&amp;E698&amp;" сут. ГНО: "&amp;F698&amp;", типоразмер "&amp;G698&amp;", марка "&amp;H698&amp;". Событие: "&amp;I698&amp;". Признак: "&amp;J698&amp;". Узел: "&amp;K698&amp;". Предварительная причина: "&amp;L698&amp;". Основное осложнение: "&amp;M698&amp;IF(N698&lt;&gt;"","; сопутствующее: "&amp;N698,"")&amp;IF(O698&lt;&gt;"","; дополнительно: "&amp;O698,"")&amp;".")</f>
        <v/>
      </c>
      <c r="R698" s="172">
        <f>IF('Оперативный ввод'!P698="","",'Оперативный ввод'!P698)</f>
        <v/>
      </c>
      <c r="S698" s="172">
        <f>IF('Оперативный ввод'!Q698="","",'Оперативный ввод'!Q698)</f>
        <v/>
      </c>
      <c r="T698" s="172">
        <f>IF('Оперативный ввод'!R698="","",'Оперативный ввод'!R698)</f>
        <v/>
      </c>
      <c r="U698" s="172">
        <f>IF('Оперативный ввод'!S698="","",'Оперативный ввод'!S698)</f>
        <v/>
      </c>
      <c r="V698" s="172">
        <f>IF('Оперативный ввод'!T698="","",'Оперативный ввод'!T698)</f>
        <v/>
      </c>
      <c r="W698" s="172" t="n"/>
      <c r="X698" s="172" t="n"/>
      <c r="Y698" s="172" t="n"/>
      <c r="Z698" s="172" t="n"/>
      <c r="AA698" s="172">
        <f>IF('Оперативный ввод'!U698="","",'Оперативный ввод'!U698)</f>
        <v/>
      </c>
      <c r="AB698" s="172">
        <f>IF('Оперативный ввод'!V698="","",'Оперативный ввод'!V698)</f>
        <v/>
      </c>
      <c r="AC698" s="172">
        <f>IF('Оперативный ввод'!W698="","",'Оперативный ввод'!W698)</f>
        <v/>
      </c>
      <c r="BB698" s="172" t="n"/>
      <c r="BC698" s="172" t="n"/>
      <c r="BD698" s="205">
        <f>IF(AND(A698="",B698=""),"",IF(AND(P698="ГОТОВО",R698&lt;&gt;"",T698&lt;&gt;"",U698&lt;&gt;"",AA698&lt;&gt;"",AB698&lt;&gt;"",AC698&lt;&gt;"",BB698&lt;&gt;"",BC698&lt;&gt;""),"ГОТОВО","НЕ ГОТОВО"))</f>
        <v/>
      </c>
      <c r="BE698" s="205">
        <f>IF(BD698&lt;&gt;"ГОТОВО","","Полное заключение: "&amp;A698&amp;", скв. "&amp;B698&amp;". МРП: "&amp;E698&amp;" сут. ГНО: "&amp;F698&amp;"; причина: "&amp;U698&amp;"; категория: "&amp;V698&amp;"; решение комиссии: "&amp;BB698&amp;".")</f>
        <v/>
      </c>
      <c r="BF698" s="173">
        <f>IF('Оперативный ввод'!X698="","",'Оперативный ввод'!X698)</f>
        <v/>
      </c>
    </row>
    <row r="699">
      <c r="A699" s="171">
        <f>IF('Оперативный ввод'!A699="","",'Оперативный ввод'!A699)</f>
        <v/>
      </c>
      <c r="B699" s="172">
        <f>IF('Оперативный ввод'!B699="","",'Оперативный ввод'!B699)</f>
        <v/>
      </c>
      <c r="C699" s="270">
        <f>IF('Оперативный ввод'!C699="","",'Оперативный ввод'!C699)</f>
        <v/>
      </c>
      <c r="D699" s="270">
        <f>IF('Оперативный ввод'!D699="","",'Оперативный ввод'!D699)</f>
        <v/>
      </c>
      <c r="E699" s="271">
        <f>IF(OR(C699="",D699=""),"",D699-C699)</f>
        <v/>
      </c>
      <c r="F699" s="172">
        <f>IF('Оперативный ввод'!F699="","",'Оперативный ввод'!F699)</f>
        <v/>
      </c>
      <c r="G699" s="172">
        <f>IF('Оперативный ввод'!G699="","",'Оперативный ввод'!G699)</f>
        <v/>
      </c>
      <c r="H699" s="172">
        <f>IF('Оперативный ввод'!H699="","",'Оперативный ввод'!H699)</f>
        <v/>
      </c>
      <c r="I699" s="172">
        <f>IF('Оперативный ввод'!I699="","",'Оперативный ввод'!I699)</f>
        <v/>
      </c>
      <c r="J699" s="172">
        <f>IF('Оперативный ввод'!J699="","",'Оперативный ввод'!J699)</f>
        <v/>
      </c>
      <c r="K699" s="172">
        <f>IF('Оперативный ввод'!K699="","",'Оперативный ввод'!K699)</f>
        <v/>
      </c>
      <c r="L699" s="172">
        <f>IF('Оперативный ввод'!L699="","",'Оперативный ввод'!L699)</f>
        <v/>
      </c>
      <c r="M699" s="172">
        <f>IF('Оперативный ввод'!M699="","",'Оперативный ввод'!M699)</f>
        <v/>
      </c>
      <c r="N699" s="172">
        <f>IF('Оперативный ввод'!N699="","",'Оперативный ввод'!N699)</f>
        <v/>
      </c>
      <c r="O699" s="172">
        <f>IF('Оперативный ввод'!O699="","",'Оперативный ввод'!O699)</f>
        <v/>
      </c>
      <c r="P699" s="205">
        <f>IF(AND(A699="",B699=""),"",IF(AND(A699&lt;&gt;"",B699&lt;&gt;"",C699&lt;&gt;"",D699&lt;&gt;"",F699&lt;&gt;"",G699&lt;&gt;"",H699&lt;&gt;"",ISERROR(SEARCH("по паспорту",G699)),ISERROR(SEARCH("по паспорту",H699)),I699&lt;&gt;"",J699&lt;&gt;"",K699&lt;&gt;"",L699&lt;&gt;"",M699&lt;&gt;""),"ГОТОВО","НЕ ГОТОВО"))</f>
        <v/>
      </c>
      <c r="Q699" s="205">
        <f>IF(P699&lt;&gt;"ГОТОВО","", "Предварительное заключение: "&amp;A699&amp;", скв. "&amp;B699&amp;". МРП: "&amp;E699&amp;" сут. ГНО: "&amp;F699&amp;", типоразмер "&amp;G699&amp;", марка "&amp;H699&amp;". Событие: "&amp;I699&amp;". Признак: "&amp;J699&amp;". Узел: "&amp;K699&amp;". Предварительная причина: "&amp;L699&amp;". Основное осложнение: "&amp;M699&amp;IF(N699&lt;&gt;"","; сопутствующее: "&amp;N699,"")&amp;IF(O699&lt;&gt;"","; дополнительно: "&amp;O699,"")&amp;".")</f>
        <v/>
      </c>
      <c r="R699" s="172">
        <f>IF('Оперативный ввод'!P699="","",'Оперативный ввод'!P699)</f>
        <v/>
      </c>
      <c r="S699" s="172">
        <f>IF('Оперативный ввод'!Q699="","",'Оперативный ввод'!Q699)</f>
        <v/>
      </c>
      <c r="T699" s="172">
        <f>IF('Оперативный ввод'!R699="","",'Оперативный ввод'!R699)</f>
        <v/>
      </c>
      <c r="U699" s="172">
        <f>IF('Оперативный ввод'!S699="","",'Оперативный ввод'!S699)</f>
        <v/>
      </c>
      <c r="V699" s="172">
        <f>IF('Оперативный ввод'!T699="","",'Оперативный ввод'!T699)</f>
        <v/>
      </c>
      <c r="W699" s="172" t="n"/>
      <c r="X699" s="172" t="n"/>
      <c r="Y699" s="172" t="n"/>
      <c r="Z699" s="172" t="n"/>
      <c r="AA699" s="172">
        <f>IF('Оперативный ввод'!U699="","",'Оперативный ввод'!U699)</f>
        <v/>
      </c>
      <c r="AB699" s="172">
        <f>IF('Оперативный ввод'!V699="","",'Оперативный ввод'!V699)</f>
        <v/>
      </c>
      <c r="AC699" s="172">
        <f>IF('Оперативный ввод'!W699="","",'Оперативный ввод'!W699)</f>
        <v/>
      </c>
      <c r="BB699" s="172" t="n"/>
      <c r="BC699" s="172" t="n"/>
      <c r="BD699" s="205">
        <f>IF(AND(A699="",B699=""),"",IF(AND(P699="ГОТОВО",R699&lt;&gt;"",T699&lt;&gt;"",U699&lt;&gt;"",AA699&lt;&gt;"",AB699&lt;&gt;"",AC699&lt;&gt;"",BB699&lt;&gt;"",BC699&lt;&gt;""),"ГОТОВО","НЕ ГОТОВО"))</f>
        <v/>
      </c>
      <c r="BE699" s="205">
        <f>IF(BD699&lt;&gt;"ГОТОВО","","Полное заключение: "&amp;A699&amp;", скв. "&amp;B699&amp;". МРП: "&amp;E699&amp;" сут. ГНО: "&amp;F699&amp;"; причина: "&amp;U699&amp;"; категория: "&amp;V699&amp;"; решение комиссии: "&amp;BB699&amp;".")</f>
        <v/>
      </c>
      <c r="BF699" s="173">
        <f>IF('Оперативный ввод'!X699="","",'Оперативный ввод'!X699)</f>
        <v/>
      </c>
    </row>
    <row r="700">
      <c r="A700" s="171">
        <f>IF('Оперативный ввод'!A700="","",'Оперативный ввод'!A700)</f>
        <v/>
      </c>
      <c r="B700" s="172">
        <f>IF('Оперативный ввод'!B700="","",'Оперативный ввод'!B700)</f>
        <v/>
      </c>
      <c r="C700" s="270">
        <f>IF('Оперативный ввод'!C700="","",'Оперативный ввод'!C700)</f>
        <v/>
      </c>
      <c r="D700" s="270">
        <f>IF('Оперативный ввод'!D700="","",'Оперативный ввод'!D700)</f>
        <v/>
      </c>
      <c r="E700" s="271">
        <f>IF(OR(C700="",D700=""),"",D700-C700)</f>
        <v/>
      </c>
      <c r="F700" s="172">
        <f>IF('Оперативный ввод'!F700="","",'Оперативный ввод'!F700)</f>
        <v/>
      </c>
      <c r="G700" s="172">
        <f>IF('Оперативный ввод'!G700="","",'Оперативный ввод'!G700)</f>
        <v/>
      </c>
      <c r="H700" s="172">
        <f>IF('Оперативный ввод'!H700="","",'Оперативный ввод'!H700)</f>
        <v/>
      </c>
      <c r="I700" s="172">
        <f>IF('Оперативный ввод'!I700="","",'Оперативный ввод'!I700)</f>
        <v/>
      </c>
      <c r="J700" s="172">
        <f>IF('Оперативный ввод'!J700="","",'Оперативный ввод'!J700)</f>
        <v/>
      </c>
      <c r="K700" s="172">
        <f>IF('Оперативный ввод'!K700="","",'Оперативный ввод'!K700)</f>
        <v/>
      </c>
      <c r="L700" s="172">
        <f>IF('Оперативный ввод'!L700="","",'Оперативный ввод'!L700)</f>
        <v/>
      </c>
      <c r="M700" s="172">
        <f>IF('Оперативный ввод'!M700="","",'Оперативный ввод'!M700)</f>
        <v/>
      </c>
      <c r="N700" s="172">
        <f>IF('Оперативный ввод'!N700="","",'Оперативный ввод'!N700)</f>
        <v/>
      </c>
      <c r="O700" s="172">
        <f>IF('Оперативный ввод'!O700="","",'Оперативный ввод'!O700)</f>
        <v/>
      </c>
      <c r="P700" s="205">
        <f>IF(AND(A700="",B700=""),"",IF(AND(A700&lt;&gt;"",B700&lt;&gt;"",C700&lt;&gt;"",D700&lt;&gt;"",F700&lt;&gt;"",G700&lt;&gt;"",H700&lt;&gt;"",ISERROR(SEARCH("по паспорту",G700)),ISERROR(SEARCH("по паспорту",H700)),I700&lt;&gt;"",J700&lt;&gt;"",K700&lt;&gt;"",L700&lt;&gt;"",M700&lt;&gt;""),"ГОТОВО","НЕ ГОТОВО"))</f>
        <v/>
      </c>
      <c r="Q700" s="205">
        <f>IF(P700&lt;&gt;"ГОТОВО","", "Предварительное заключение: "&amp;A700&amp;", скв. "&amp;B700&amp;". МРП: "&amp;E700&amp;" сут. ГНО: "&amp;F700&amp;", типоразмер "&amp;G700&amp;", марка "&amp;H700&amp;". Событие: "&amp;I700&amp;". Признак: "&amp;J700&amp;". Узел: "&amp;K700&amp;". Предварительная причина: "&amp;L700&amp;". Основное осложнение: "&amp;M700&amp;IF(N700&lt;&gt;"","; сопутствующее: "&amp;N700,"")&amp;IF(O700&lt;&gt;"","; дополнительно: "&amp;O700,"")&amp;".")</f>
        <v/>
      </c>
      <c r="R700" s="172">
        <f>IF('Оперативный ввод'!P700="","",'Оперативный ввод'!P700)</f>
        <v/>
      </c>
      <c r="S700" s="172">
        <f>IF('Оперативный ввод'!Q700="","",'Оперативный ввод'!Q700)</f>
        <v/>
      </c>
      <c r="T700" s="172">
        <f>IF('Оперативный ввод'!R700="","",'Оперативный ввод'!R700)</f>
        <v/>
      </c>
      <c r="U700" s="172">
        <f>IF('Оперативный ввод'!S700="","",'Оперативный ввод'!S700)</f>
        <v/>
      </c>
      <c r="V700" s="172">
        <f>IF('Оперативный ввод'!T700="","",'Оперативный ввод'!T700)</f>
        <v/>
      </c>
      <c r="W700" s="172" t="n"/>
      <c r="X700" s="172" t="n"/>
      <c r="Y700" s="172" t="n"/>
      <c r="Z700" s="172" t="n"/>
      <c r="AA700" s="172">
        <f>IF('Оперативный ввод'!U700="","",'Оперативный ввод'!U700)</f>
        <v/>
      </c>
      <c r="AB700" s="172">
        <f>IF('Оперативный ввод'!V700="","",'Оперативный ввод'!V700)</f>
        <v/>
      </c>
      <c r="AC700" s="172">
        <f>IF('Оперативный ввод'!W700="","",'Оперативный ввод'!W700)</f>
        <v/>
      </c>
      <c r="BB700" s="172" t="n"/>
      <c r="BC700" s="172" t="n"/>
      <c r="BD700" s="205">
        <f>IF(AND(A700="",B700=""),"",IF(AND(P700="ГОТОВО",R700&lt;&gt;"",T700&lt;&gt;"",U700&lt;&gt;"",AA700&lt;&gt;"",AB700&lt;&gt;"",AC700&lt;&gt;"",BB700&lt;&gt;"",BC700&lt;&gt;""),"ГОТОВО","НЕ ГОТОВО"))</f>
        <v/>
      </c>
      <c r="BE700" s="205">
        <f>IF(BD700&lt;&gt;"ГОТОВО","","Полное заключение: "&amp;A700&amp;", скв. "&amp;B700&amp;". МРП: "&amp;E700&amp;" сут. ГНО: "&amp;F700&amp;"; причина: "&amp;U700&amp;"; категория: "&amp;V700&amp;"; решение комиссии: "&amp;BB700&amp;".")</f>
        <v/>
      </c>
      <c r="BF700" s="173">
        <f>IF('Оперативный ввод'!X700="","",'Оперативный ввод'!X700)</f>
        <v/>
      </c>
    </row>
    <row r="701">
      <c r="A701" s="171">
        <f>IF('Оперативный ввод'!A701="","",'Оперативный ввод'!A701)</f>
        <v/>
      </c>
      <c r="B701" s="172">
        <f>IF('Оперативный ввод'!B701="","",'Оперативный ввод'!B701)</f>
        <v/>
      </c>
      <c r="C701" s="270">
        <f>IF('Оперативный ввод'!C701="","",'Оперативный ввод'!C701)</f>
        <v/>
      </c>
      <c r="D701" s="270">
        <f>IF('Оперативный ввод'!D701="","",'Оперативный ввод'!D701)</f>
        <v/>
      </c>
      <c r="E701" s="271">
        <f>IF(OR(C701="",D701=""),"",D701-C701)</f>
        <v/>
      </c>
      <c r="F701" s="172">
        <f>IF('Оперативный ввод'!F701="","",'Оперативный ввод'!F701)</f>
        <v/>
      </c>
      <c r="G701" s="172">
        <f>IF('Оперативный ввод'!G701="","",'Оперативный ввод'!G701)</f>
        <v/>
      </c>
      <c r="H701" s="172">
        <f>IF('Оперативный ввод'!H701="","",'Оперативный ввод'!H701)</f>
        <v/>
      </c>
      <c r="I701" s="172">
        <f>IF('Оперативный ввод'!I701="","",'Оперативный ввод'!I701)</f>
        <v/>
      </c>
      <c r="J701" s="172">
        <f>IF('Оперативный ввод'!J701="","",'Оперативный ввод'!J701)</f>
        <v/>
      </c>
      <c r="K701" s="172">
        <f>IF('Оперативный ввод'!K701="","",'Оперативный ввод'!K701)</f>
        <v/>
      </c>
      <c r="L701" s="172">
        <f>IF('Оперативный ввод'!L701="","",'Оперативный ввод'!L701)</f>
        <v/>
      </c>
      <c r="M701" s="172">
        <f>IF('Оперативный ввод'!M701="","",'Оперативный ввод'!M701)</f>
        <v/>
      </c>
      <c r="N701" s="172">
        <f>IF('Оперативный ввод'!N701="","",'Оперативный ввод'!N701)</f>
        <v/>
      </c>
      <c r="O701" s="172">
        <f>IF('Оперативный ввод'!O701="","",'Оперативный ввод'!O701)</f>
        <v/>
      </c>
      <c r="P701" s="205">
        <f>IF(AND(A701="",B701=""),"",IF(AND(A701&lt;&gt;"",B701&lt;&gt;"",C701&lt;&gt;"",D701&lt;&gt;"",F701&lt;&gt;"",G701&lt;&gt;"",H701&lt;&gt;"",ISERROR(SEARCH("по паспорту",G701)),ISERROR(SEARCH("по паспорту",H701)),I701&lt;&gt;"",J701&lt;&gt;"",K701&lt;&gt;"",L701&lt;&gt;"",M701&lt;&gt;""),"ГОТОВО","НЕ ГОТОВО"))</f>
        <v/>
      </c>
      <c r="Q701" s="205">
        <f>IF(P701&lt;&gt;"ГОТОВО","", "Предварительное заключение: "&amp;A701&amp;", скв. "&amp;B701&amp;". МРП: "&amp;E701&amp;" сут. ГНО: "&amp;F701&amp;", типоразмер "&amp;G701&amp;", марка "&amp;H701&amp;". Событие: "&amp;I701&amp;". Признак: "&amp;J701&amp;". Узел: "&amp;K701&amp;". Предварительная причина: "&amp;L701&amp;". Основное осложнение: "&amp;M701&amp;IF(N701&lt;&gt;"","; сопутствующее: "&amp;N701,"")&amp;IF(O701&lt;&gt;"","; дополнительно: "&amp;O701,"")&amp;".")</f>
        <v/>
      </c>
      <c r="R701" s="172">
        <f>IF('Оперативный ввод'!P701="","",'Оперативный ввод'!P701)</f>
        <v/>
      </c>
      <c r="S701" s="172">
        <f>IF('Оперативный ввод'!Q701="","",'Оперативный ввод'!Q701)</f>
        <v/>
      </c>
      <c r="T701" s="172">
        <f>IF('Оперативный ввод'!R701="","",'Оперативный ввод'!R701)</f>
        <v/>
      </c>
      <c r="U701" s="172">
        <f>IF('Оперативный ввод'!S701="","",'Оперативный ввод'!S701)</f>
        <v/>
      </c>
      <c r="V701" s="172">
        <f>IF('Оперативный ввод'!T701="","",'Оперативный ввод'!T701)</f>
        <v/>
      </c>
      <c r="W701" s="172" t="n"/>
      <c r="X701" s="172" t="n"/>
      <c r="Y701" s="172" t="n"/>
      <c r="Z701" s="172" t="n"/>
      <c r="AA701" s="172">
        <f>IF('Оперативный ввод'!U701="","",'Оперативный ввод'!U701)</f>
        <v/>
      </c>
      <c r="AB701" s="172">
        <f>IF('Оперативный ввод'!V701="","",'Оперативный ввод'!V701)</f>
        <v/>
      </c>
      <c r="AC701" s="172">
        <f>IF('Оперативный ввод'!W701="","",'Оперативный ввод'!W701)</f>
        <v/>
      </c>
      <c r="BB701" s="172" t="n"/>
      <c r="BC701" s="172" t="n"/>
      <c r="BD701" s="205">
        <f>IF(AND(A701="",B701=""),"",IF(AND(P701="ГОТОВО",R701&lt;&gt;"",T701&lt;&gt;"",U701&lt;&gt;"",AA701&lt;&gt;"",AB701&lt;&gt;"",AC701&lt;&gt;"",BB701&lt;&gt;"",BC701&lt;&gt;""),"ГОТОВО","НЕ ГОТОВО"))</f>
        <v/>
      </c>
      <c r="BE701" s="205">
        <f>IF(BD701&lt;&gt;"ГОТОВО","","Полное заключение: "&amp;A701&amp;", скв. "&amp;B701&amp;". МРП: "&amp;E701&amp;" сут. ГНО: "&amp;F701&amp;"; причина: "&amp;U701&amp;"; категория: "&amp;V701&amp;"; решение комиссии: "&amp;BB701&amp;".")</f>
        <v/>
      </c>
      <c r="BF701" s="173">
        <f>IF('Оперативный ввод'!X701="","",'Оперативный ввод'!X701)</f>
        <v/>
      </c>
    </row>
    <row r="702">
      <c r="A702" s="171">
        <f>IF('Оперативный ввод'!A702="","",'Оперативный ввод'!A702)</f>
        <v/>
      </c>
      <c r="B702" s="172">
        <f>IF('Оперативный ввод'!B702="","",'Оперативный ввод'!B702)</f>
        <v/>
      </c>
      <c r="C702" s="270">
        <f>IF('Оперативный ввод'!C702="","",'Оперативный ввод'!C702)</f>
        <v/>
      </c>
      <c r="D702" s="270">
        <f>IF('Оперативный ввод'!D702="","",'Оперативный ввод'!D702)</f>
        <v/>
      </c>
      <c r="E702" s="271">
        <f>IF(OR(C702="",D702=""),"",D702-C702)</f>
        <v/>
      </c>
      <c r="F702" s="172">
        <f>IF('Оперативный ввод'!F702="","",'Оперативный ввод'!F702)</f>
        <v/>
      </c>
      <c r="G702" s="172">
        <f>IF('Оперативный ввод'!G702="","",'Оперативный ввод'!G702)</f>
        <v/>
      </c>
      <c r="H702" s="172">
        <f>IF('Оперативный ввод'!H702="","",'Оперативный ввод'!H702)</f>
        <v/>
      </c>
      <c r="I702" s="172">
        <f>IF('Оперативный ввод'!I702="","",'Оперативный ввод'!I702)</f>
        <v/>
      </c>
      <c r="J702" s="172">
        <f>IF('Оперативный ввод'!J702="","",'Оперативный ввод'!J702)</f>
        <v/>
      </c>
      <c r="K702" s="172">
        <f>IF('Оперативный ввод'!K702="","",'Оперативный ввод'!K702)</f>
        <v/>
      </c>
      <c r="L702" s="172">
        <f>IF('Оперативный ввод'!L702="","",'Оперативный ввод'!L702)</f>
        <v/>
      </c>
      <c r="M702" s="172">
        <f>IF('Оперативный ввод'!M702="","",'Оперативный ввод'!M702)</f>
        <v/>
      </c>
      <c r="N702" s="172">
        <f>IF('Оперативный ввод'!N702="","",'Оперативный ввод'!N702)</f>
        <v/>
      </c>
      <c r="O702" s="172">
        <f>IF('Оперативный ввод'!O702="","",'Оперативный ввод'!O702)</f>
        <v/>
      </c>
      <c r="P702" s="205">
        <f>IF(AND(A702="",B702=""),"",IF(AND(A702&lt;&gt;"",B702&lt;&gt;"",C702&lt;&gt;"",D702&lt;&gt;"",F702&lt;&gt;"",G702&lt;&gt;"",H702&lt;&gt;"",ISERROR(SEARCH("по паспорту",G702)),ISERROR(SEARCH("по паспорту",H702)),I702&lt;&gt;"",J702&lt;&gt;"",K702&lt;&gt;"",L702&lt;&gt;"",M702&lt;&gt;""),"ГОТОВО","НЕ ГОТОВО"))</f>
        <v/>
      </c>
      <c r="Q702" s="205">
        <f>IF(P702&lt;&gt;"ГОТОВО","", "Предварительное заключение: "&amp;A702&amp;", скв. "&amp;B702&amp;". МРП: "&amp;E702&amp;" сут. ГНО: "&amp;F702&amp;", типоразмер "&amp;G702&amp;", марка "&amp;H702&amp;". Событие: "&amp;I702&amp;". Признак: "&amp;J702&amp;". Узел: "&amp;K702&amp;". Предварительная причина: "&amp;L702&amp;". Основное осложнение: "&amp;M702&amp;IF(N702&lt;&gt;"","; сопутствующее: "&amp;N702,"")&amp;IF(O702&lt;&gt;"","; дополнительно: "&amp;O702,"")&amp;".")</f>
        <v/>
      </c>
      <c r="R702" s="172">
        <f>IF('Оперативный ввод'!P702="","",'Оперативный ввод'!P702)</f>
        <v/>
      </c>
      <c r="S702" s="172">
        <f>IF('Оперативный ввод'!Q702="","",'Оперативный ввод'!Q702)</f>
        <v/>
      </c>
      <c r="T702" s="172">
        <f>IF('Оперативный ввод'!R702="","",'Оперативный ввод'!R702)</f>
        <v/>
      </c>
      <c r="U702" s="172">
        <f>IF('Оперативный ввод'!S702="","",'Оперативный ввод'!S702)</f>
        <v/>
      </c>
      <c r="V702" s="172">
        <f>IF('Оперативный ввод'!T702="","",'Оперативный ввод'!T702)</f>
        <v/>
      </c>
      <c r="W702" s="172" t="n"/>
      <c r="X702" s="172" t="n"/>
      <c r="Y702" s="172" t="n"/>
      <c r="Z702" s="172" t="n"/>
      <c r="AA702" s="172">
        <f>IF('Оперативный ввод'!U702="","",'Оперативный ввод'!U702)</f>
        <v/>
      </c>
      <c r="AB702" s="172">
        <f>IF('Оперативный ввод'!V702="","",'Оперативный ввод'!V702)</f>
        <v/>
      </c>
      <c r="AC702" s="172">
        <f>IF('Оперативный ввод'!W702="","",'Оперативный ввод'!W702)</f>
        <v/>
      </c>
      <c r="BB702" s="172" t="n"/>
      <c r="BC702" s="172" t="n"/>
      <c r="BD702" s="205">
        <f>IF(AND(A702="",B702=""),"",IF(AND(P702="ГОТОВО",R702&lt;&gt;"",T702&lt;&gt;"",U702&lt;&gt;"",AA702&lt;&gt;"",AB702&lt;&gt;"",AC702&lt;&gt;"",BB702&lt;&gt;"",BC702&lt;&gt;""),"ГОТОВО","НЕ ГОТОВО"))</f>
        <v/>
      </c>
      <c r="BE702" s="205">
        <f>IF(BD702&lt;&gt;"ГОТОВО","","Полное заключение: "&amp;A702&amp;", скв. "&amp;B702&amp;". МРП: "&amp;E702&amp;" сут. ГНО: "&amp;F702&amp;"; причина: "&amp;U702&amp;"; категория: "&amp;V702&amp;"; решение комиссии: "&amp;BB702&amp;".")</f>
        <v/>
      </c>
      <c r="BF702" s="173">
        <f>IF('Оперативный ввод'!X702="","",'Оперативный ввод'!X702)</f>
        <v/>
      </c>
    </row>
    <row r="703">
      <c r="A703" s="171">
        <f>IF('Оперативный ввод'!A703="","",'Оперативный ввод'!A703)</f>
        <v/>
      </c>
      <c r="B703" s="172">
        <f>IF('Оперативный ввод'!B703="","",'Оперативный ввод'!B703)</f>
        <v/>
      </c>
      <c r="C703" s="270">
        <f>IF('Оперативный ввод'!C703="","",'Оперативный ввод'!C703)</f>
        <v/>
      </c>
      <c r="D703" s="270">
        <f>IF('Оперативный ввод'!D703="","",'Оперативный ввод'!D703)</f>
        <v/>
      </c>
      <c r="E703" s="271">
        <f>IF(OR(C703="",D703=""),"",D703-C703)</f>
        <v/>
      </c>
      <c r="F703" s="172">
        <f>IF('Оперативный ввод'!F703="","",'Оперативный ввод'!F703)</f>
        <v/>
      </c>
      <c r="G703" s="172">
        <f>IF('Оперативный ввод'!G703="","",'Оперативный ввод'!G703)</f>
        <v/>
      </c>
      <c r="H703" s="172">
        <f>IF('Оперативный ввод'!H703="","",'Оперативный ввод'!H703)</f>
        <v/>
      </c>
      <c r="I703" s="172">
        <f>IF('Оперативный ввод'!I703="","",'Оперативный ввод'!I703)</f>
        <v/>
      </c>
      <c r="J703" s="172">
        <f>IF('Оперативный ввод'!J703="","",'Оперативный ввод'!J703)</f>
        <v/>
      </c>
      <c r="K703" s="172">
        <f>IF('Оперативный ввод'!K703="","",'Оперативный ввод'!K703)</f>
        <v/>
      </c>
      <c r="L703" s="172">
        <f>IF('Оперативный ввод'!L703="","",'Оперативный ввод'!L703)</f>
        <v/>
      </c>
      <c r="M703" s="172">
        <f>IF('Оперативный ввод'!M703="","",'Оперативный ввод'!M703)</f>
        <v/>
      </c>
      <c r="N703" s="172">
        <f>IF('Оперативный ввод'!N703="","",'Оперативный ввод'!N703)</f>
        <v/>
      </c>
      <c r="O703" s="172">
        <f>IF('Оперативный ввод'!O703="","",'Оперативный ввод'!O703)</f>
        <v/>
      </c>
      <c r="P703" s="205">
        <f>IF(AND(A703="",B703=""),"",IF(AND(A703&lt;&gt;"",B703&lt;&gt;"",C703&lt;&gt;"",D703&lt;&gt;"",F703&lt;&gt;"",G703&lt;&gt;"",H703&lt;&gt;"",ISERROR(SEARCH("по паспорту",G703)),ISERROR(SEARCH("по паспорту",H703)),I703&lt;&gt;"",J703&lt;&gt;"",K703&lt;&gt;"",L703&lt;&gt;"",M703&lt;&gt;""),"ГОТОВО","НЕ ГОТОВО"))</f>
        <v/>
      </c>
      <c r="Q703" s="205">
        <f>IF(P703&lt;&gt;"ГОТОВО","", "Предварительное заключение: "&amp;A703&amp;", скв. "&amp;B703&amp;". МРП: "&amp;E703&amp;" сут. ГНО: "&amp;F703&amp;", типоразмер "&amp;G703&amp;", марка "&amp;H703&amp;". Событие: "&amp;I703&amp;". Признак: "&amp;J703&amp;". Узел: "&amp;K703&amp;". Предварительная причина: "&amp;L703&amp;". Основное осложнение: "&amp;M703&amp;IF(N703&lt;&gt;"","; сопутствующее: "&amp;N703,"")&amp;IF(O703&lt;&gt;"","; дополнительно: "&amp;O703,"")&amp;".")</f>
        <v/>
      </c>
      <c r="R703" s="172">
        <f>IF('Оперативный ввод'!P703="","",'Оперативный ввод'!P703)</f>
        <v/>
      </c>
      <c r="S703" s="172">
        <f>IF('Оперативный ввод'!Q703="","",'Оперативный ввод'!Q703)</f>
        <v/>
      </c>
      <c r="T703" s="172">
        <f>IF('Оперативный ввод'!R703="","",'Оперативный ввод'!R703)</f>
        <v/>
      </c>
      <c r="U703" s="172">
        <f>IF('Оперативный ввод'!S703="","",'Оперативный ввод'!S703)</f>
        <v/>
      </c>
      <c r="V703" s="172">
        <f>IF('Оперативный ввод'!T703="","",'Оперативный ввод'!T703)</f>
        <v/>
      </c>
      <c r="W703" s="172" t="n"/>
      <c r="X703" s="172" t="n"/>
      <c r="Y703" s="172" t="n"/>
      <c r="Z703" s="172" t="n"/>
      <c r="AA703" s="172">
        <f>IF('Оперативный ввод'!U703="","",'Оперативный ввод'!U703)</f>
        <v/>
      </c>
      <c r="AB703" s="172">
        <f>IF('Оперативный ввод'!V703="","",'Оперативный ввод'!V703)</f>
        <v/>
      </c>
      <c r="AC703" s="172">
        <f>IF('Оперативный ввод'!W703="","",'Оперативный ввод'!W703)</f>
        <v/>
      </c>
      <c r="BB703" s="172" t="n"/>
      <c r="BC703" s="172" t="n"/>
      <c r="BD703" s="205">
        <f>IF(AND(A703="",B703=""),"",IF(AND(P703="ГОТОВО",R703&lt;&gt;"",T703&lt;&gt;"",U703&lt;&gt;"",AA703&lt;&gt;"",AB703&lt;&gt;"",AC703&lt;&gt;"",BB703&lt;&gt;"",BC703&lt;&gt;""),"ГОТОВО","НЕ ГОТОВО"))</f>
        <v/>
      </c>
      <c r="BE703" s="205">
        <f>IF(BD703&lt;&gt;"ГОТОВО","","Полное заключение: "&amp;A703&amp;", скв. "&amp;B703&amp;". МРП: "&amp;E703&amp;" сут. ГНО: "&amp;F703&amp;"; причина: "&amp;U703&amp;"; категория: "&amp;V703&amp;"; решение комиссии: "&amp;BB703&amp;".")</f>
        <v/>
      </c>
      <c r="BF703" s="173">
        <f>IF('Оперативный ввод'!X703="","",'Оперативный ввод'!X703)</f>
        <v/>
      </c>
    </row>
    <row r="704">
      <c r="A704" s="171">
        <f>IF('Оперативный ввод'!A704="","",'Оперативный ввод'!A704)</f>
        <v/>
      </c>
      <c r="B704" s="172">
        <f>IF('Оперативный ввод'!B704="","",'Оперативный ввод'!B704)</f>
        <v/>
      </c>
      <c r="C704" s="270">
        <f>IF('Оперативный ввод'!C704="","",'Оперативный ввод'!C704)</f>
        <v/>
      </c>
      <c r="D704" s="270">
        <f>IF('Оперативный ввод'!D704="","",'Оперативный ввод'!D704)</f>
        <v/>
      </c>
      <c r="E704" s="271">
        <f>IF(OR(C704="",D704=""),"",D704-C704)</f>
        <v/>
      </c>
      <c r="F704" s="172">
        <f>IF('Оперативный ввод'!F704="","",'Оперативный ввод'!F704)</f>
        <v/>
      </c>
      <c r="G704" s="172">
        <f>IF('Оперативный ввод'!G704="","",'Оперативный ввод'!G704)</f>
        <v/>
      </c>
      <c r="H704" s="172">
        <f>IF('Оперативный ввод'!H704="","",'Оперативный ввод'!H704)</f>
        <v/>
      </c>
      <c r="I704" s="172">
        <f>IF('Оперативный ввод'!I704="","",'Оперативный ввод'!I704)</f>
        <v/>
      </c>
      <c r="J704" s="172">
        <f>IF('Оперативный ввод'!J704="","",'Оперативный ввод'!J704)</f>
        <v/>
      </c>
      <c r="K704" s="172">
        <f>IF('Оперативный ввод'!K704="","",'Оперативный ввод'!K704)</f>
        <v/>
      </c>
      <c r="L704" s="172">
        <f>IF('Оперативный ввод'!L704="","",'Оперативный ввод'!L704)</f>
        <v/>
      </c>
      <c r="M704" s="172">
        <f>IF('Оперативный ввод'!M704="","",'Оперативный ввод'!M704)</f>
        <v/>
      </c>
      <c r="N704" s="172">
        <f>IF('Оперативный ввод'!N704="","",'Оперативный ввод'!N704)</f>
        <v/>
      </c>
      <c r="O704" s="172">
        <f>IF('Оперативный ввод'!O704="","",'Оперативный ввод'!O704)</f>
        <v/>
      </c>
      <c r="P704" s="205">
        <f>IF(AND(A704="",B704=""),"",IF(AND(A704&lt;&gt;"",B704&lt;&gt;"",C704&lt;&gt;"",D704&lt;&gt;"",F704&lt;&gt;"",G704&lt;&gt;"",H704&lt;&gt;"",ISERROR(SEARCH("по паспорту",G704)),ISERROR(SEARCH("по паспорту",H704)),I704&lt;&gt;"",J704&lt;&gt;"",K704&lt;&gt;"",L704&lt;&gt;"",M704&lt;&gt;""),"ГОТОВО","НЕ ГОТОВО"))</f>
        <v/>
      </c>
      <c r="Q704" s="205">
        <f>IF(P704&lt;&gt;"ГОТОВО","", "Предварительное заключение: "&amp;A704&amp;", скв. "&amp;B704&amp;". МРП: "&amp;E704&amp;" сут. ГНО: "&amp;F704&amp;", типоразмер "&amp;G704&amp;", марка "&amp;H704&amp;". Событие: "&amp;I704&amp;". Признак: "&amp;J704&amp;". Узел: "&amp;K704&amp;". Предварительная причина: "&amp;L704&amp;". Основное осложнение: "&amp;M704&amp;IF(N704&lt;&gt;"","; сопутствующее: "&amp;N704,"")&amp;IF(O704&lt;&gt;"","; дополнительно: "&amp;O704,"")&amp;".")</f>
        <v/>
      </c>
      <c r="R704" s="172">
        <f>IF('Оперативный ввод'!P704="","",'Оперативный ввод'!P704)</f>
        <v/>
      </c>
      <c r="S704" s="172">
        <f>IF('Оперативный ввод'!Q704="","",'Оперативный ввод'!Q704)</f>
        <v/>
      </c>
      <c r="T704" s="172">
        <f>IF('Оперативный ввод'!R704="","",'Оперативный ввод'!R704)</f>
        <v/>
      </c>
      <c r="U704" s="172">
        <f>IF('Оперативный ввод'!S704="","",'Оперативный ввод'!S704)</f>
        <v/>
      </c>
      <c r="V704" s="172">
        <f>IF('Оперативный ввод'!T704="","",'Оперативный ввод'!T704)</f>
        <v/>
      </c>
      <c r="W704" s="172" t="n"/>
      <c r="X704" s="172" t="n"/>
      <c r="Y704" s="172" t="n"/>
      <c r="Z704" s="172" t="n"/>
      <c r="AA704" s="172">
        <f>IF('Оперативный ввод'!U704="","",'Оперативный ввод'!U704)</f>
        <v/>
      </c>
      <c r="AB704" s="172">
        <f>IF('Оперативный ввод'!V704="","",'Оперативный ввод'!V704)</f>
        <v/>
      </c>
      <c r="AC704" s="172">
        <f>IF('Оперативный ввод'!W704="","",'Оперативный ввод'!W704)</f>
        <v/>
      </c>
      <c r="BB704" s="172" t="n"/>
      <c r="BC704" s="172" t="n"/>
      <c r="BD704" s="205">
        <f>IF(AND(A704="",B704=""),"",IF(AND(P704="ГОТОВО",R704&lt;&gt;"",T704&lt;&gt;"",U704&lt;&gt;"",AA704&lt;&gt;"",AB704&lt;&gt;"",AC704&lt;&gt;"",BB704&lt;&gt;"",BC704&lt;&gt;""),"ГОТОВО","НЕ ГОТОВО"))</f>
        <v/>
      </c>
      <c r="BE704" s="205">
        <f>IF(BD704&lt;&gt;"ГОТОВО","","Полное заключение: "&amp;A704&amp;", скв. "&amp;B704&amp;". МРП: "&amp;E704&amp;" сут. ГНО: "&amp;F704&amp;"; причина: "&amp;U704&amp;"; категория: "&amp;V704&amp;"; решение комиссии: "&amp;BB704&amp;".")</f>
        <v/>
      </c>
      <c r="BF704" s="173">
        <f>IF('Оперативный ввод'!X704="","",'Оперативный ввод'!X704)</f>
        <v/>
      </c>
    </row>
    <row r="705">
      <c r="A705" s="171">
        <f>IF('Оперативный ввод'!A705="","",'Оперативный ввод'!A705)</f>
        <v/>
      </c>
      <c r="B705" s="172">
        <f>IF('Оперативный ввод'!B705="","",'Оперативный ввод'!B705)</f>
        <v/>
      </c>
      <c r="C705" s="270">
        <f>IF('Оперативный ввод'!C705="","",'Оперативный ввод'!C705)</f>
        <v/>
      </c>
      <c r="D705" s="270">
        <f>IF('Оперативный ввод'!D705="","",'Оперативный ввод'!D705)</f>
        <v/>
      </c>
      <c r="E705" s="271">
        <f>IF(OR(C705="",D705=""),"",D705-C705)</f>
        <v/>
      </c>
      <c r="F705" s="172">
        <f>IF('Оперативный ввод'!F705="","",'Оперативный ввод'!F705)</f>
        <v/>
      </c>
      <c r="G705" s="172">
        <f>IF('Оперативный ввод'!G705="","",'Оперативный ввод'!G705)</f>
        <v/>
      </c>
      <c r="H705" s="172">
        <f>IF('Оперативный ввод'!H705="","",'Оперативный ввод'!H705)</f>
        <v/>
      </c>
      <c r="I705" s="172">
        <f>IF('Оперативный ввод'!I705="","",'Оперативный ввод'!I705)</f>
        <v/>
      </c>
      <c r="J705" s="172">
        <f>IF('Оперативный ввод'!J705="","",'Оперативный ввод'!J705)</f>
        <v/>
      </c>
      <c r="K705" s="172">
        <f>IF('Оперативный ввод'!K705="","",'Оперативный ввод'!K705)</f>
        <v/>
      </c>
      <c r="L705" s="172">
        <f>IF('Оперативный ввод'!L705="","",'Оперативный ввод'!L705)</f>
        <v/>
      </c>
      <c r="M705" s="172">
        <f>IF('Оперативный ввод'!M705="","",'Оперативный ввод'!M705)</f>
        <v/>
      </c>
      <c r="N705" s="172">
        <f>IF('Оперативный ввод'!N705="","",'Оперативный ввод'!N705)</f>
        <v/>
      </c>
      <c r="O705" s="172">
        <f>IF('Оперативный ввод'!O705="","",'Оперативный ввод'!O705)</f>
        <v/>
      </c>
      <c r="P705" s="205">
        <f>IF(AND(A705="",B705=""),"",IF(AND(A705&lt;&gt;"",B705&lt;&gt;"",C705&lt;&gt;"",D705&lt;&gt;"",F705&lt;&gt;"",G705&lt;&gt;"",H705&lt;&gt;"",ISERROR(SEARCH("по паспорту",G705)),ISERROR(SEARCH("по паспорту",H705)),I705&lt;&gt;"",J705&lt;&gt;"",K705&lt;&gt;"",L705&lt;&gt;"",M705&lt;&gt;""),"ГОТОВО","НЕ ГОТОВО"))</f>
        <v/>
      </c>
      <c r="Q705" s="205">
        <f>IF(P705&lt;&gt;"ГОТОВО","", "Предварительное заключение: "&amp;A705&amp;", скв. "&amp;B705&amp;". МРП: "&amp;E705&amp;" сут. ГНО: "&amp;F705&amp;", типоразмер "&amp;G705&amp;", марка "&amp;H705&amp;". Событие: "&amp;I705&amp;". Признак: "&amp;J705&amp;". Узел: "&amp;K705&amp;". Предварительная причина: "&amp;L705&amp;". Основное осложнение: "&amp;M705&amp;IF(N705&lt;&gt;"","; сопутствующее: "&amp;N705,"")&amp;IF(O705&lt;&gt;"","; дополнительно: "&amp;O705,"")&amp;".")</f>
        <v/>
      </c>
      <c r="R705" s="172">
        <f>IF('Оперативный ввод'!P705="","",'Оперативный ввод'!P705)</f>
        <v/>
      </c>
      <c r="S705" s="172">
        <f>IF('Оперативный ввод'!Q705="","",'Оперативный ввод'!Q705)</f>
        <v/>
      </c>
      <c r="T705" s="172">
        <f>IF('Оперативный ввод'!R705="","",'Оперативный ввод'!R705)</f>
        <v/>
      </c>
      <c r="U705" s="172">
        <f>IF('Оперативный ввод'!S705="","",'Оперативный ввод'!S705)</f>
        <v/>
      </c>
      <c r="V705" s="172">
        <f>IF('Оперативный ввод'!T705="","",'Оперативный ввод'!T705)</f>
        <v/>
      </c>
      <c r="W705" s="172" t="n"/>
      <c r="X705" s="172" t="n"/>
      <c r="Y705" s="172" t="n"/>
      <c r="Z705" s="172" t="n"/>
      <c r="AA705" s="172">
        <f>IF('Оперативный ввод'!U705="","",'Оперативный ввод'!U705)</f>
        <v/>
      </c>
      <c r="AB705" s="172">
        <f>IF('Оперативный ввод'!V705="","",'Оперативный ввод'!V705)</f>
        <v/>
      </c>
      <c r="AC705" s="172">
        <f>IF('Оперативный ввод'!W705="","",'Оперативный ввод'!W705)</f>
        <v/>
      </c>
      <c r="BB705" s="172" t="n"/>
      <c r="BC705" s="172" t="n"/>
      <c r="BD705" s="205">
        <f>IF(AND(A705="",B705=""),"",IF(AND(P705="ГОТОВО",R705&lt;&gt;"",T705&lt;&gt;"",U705&lt;&gt;"",AA705&lt;&gt;"",AB705&lt;&gt;"",AC705&lt;&gt;"",BB705&lt;&gt;"",BC705&lt;&gt;""),"ГОТОВО","НЕ ГОТОВО"))</f>
        <v/>
      </c>
      <c r="BE705" s="205">
        <f>IF(BD705&lt;&gt;"ГОТОВО","","Полное заключение: "&amp;A705&amp;", скв. "&amp;B705&amp;". МРП: "&amp;E705&amp;" сут. ГНО: "&amp;F705&amp;"; причина: "&amp;U705&amp;"; категория: "&amp;V705&amp;"; решение комиссии: "&amp;BB705&amp;".")</f>
        <v/>
      </c>
      <c r="BF705" s="173">
        <f>IF('Оперативный ввод'!X705="","",'Оперативный ввод'!X705)</f>
        <v/>
      </c>
    </row>
    <row r="706">
      <c r="A706" s="171">
        <f>IF('Оперативный ввод'!A706="","",'Оперативный ввод'!A706)</f>
        <v/>
      </c>
      <c r="B706" s="172">
        <f>IF('Оперативный ввод'!B706="","",'Оперативный ввод'!B706)</f>
        <v/>
      </c>
      <c r="C706" s="270">
        <f>IF('Оперативный ввод'!C706="","",'Оперативный ввод'!C706)</f>
        <v/>
      </c>
      <c r="D706" s="270">
        <f>IF('Оперативный ввод'!D706="","",'Оперативный ввод'!D706)</f>
        <v/>
      </c>
      <c r="E706" s="271">
        <f>IF(OR(C706="",D706=""),"",D706-C706)</f>
        <v/>
      </c>
      <c r="F706" s="172">
        <f>IF('Оперативный ввод'!F706="","",'Оперативный ввод'!F706)</f>
        <v/>
      </c>
      <c r="G706" s="172">
        <f>IF('Оперативный ввод'!G706="","",'Оперативный ввод'!G706)</f>
        <v/>
      </c>
      <c r="H706" s="172">
        <f>IF('Оперативный ввод'!H706="","",'Оперативный ввод'!H706)</f>
        <v/>
      </c>
      <c r="I706" s="172">
        <f>IF('Оперативный ввод'!I706="","",'Оперативный ввод'!I706)</f>
        <v/>
      </c>
      <c r="J706" s="172">
        <f>IF('Оперативный ввод'!J706="","",'Оперативный ввод'!J706)</f>
        <v/>
      </c>
      <c r="K706" s="172">
        <f>IF('Оперативный ввод'!K706="","",'Оперативный ввод'!K706)</f>
        <v/>
      </c>
      <c r="L706" s="172">
        <f>IF('Оперативный ввод'!L706="","",'Оперативный ввод'!L706)</f>
        <v/>
      </c>
      <c r="M706" s="172">
        <f>IF('Оперативный ввод'!M706="","",'Оперативный ввод'!M706)</f>
        <v/>
      </c>
      <c r="N706" s="172">
        <f>IF('Оперативный ввод'!N706="","",'Оперативный ввод'!N706)</f>
        <v/>
      </c>
      <c r="O706" s="172">
        <f>IF('Оперативный ввод'!O706="","",'Оперативный ввод'!O706)</f>
        <v/>
      </c>
      <c r="P706" s="205">
        <f>IF(AND(A706="",B706=""),"",IF(AND(A706&lt;&gt;"",B706&lt;&gt;"",C706&lt;&gt;"",D706&lt;&gt;"",F706&lt;&gt;"",G706&lt;&gt;"",H706&lt;&gt;"",ISERROR(SEARCH("по паспорту",G706)),ISERROR(SEARCH("по паспорту",H706)),I706&lt;&gt;"",J706&lt;&gt;"",K706&lt;&gt;"",L706&lt;&gt;"",M706&lt;&gt;""),"ГОТОВО","НЕ ГОТОВО"))</f>
        <v/>
      </c>
      <c r="Q706" s="205">
        <f>IF(P706&lt;&gt;"ГОТОВО","", "Предварительное заключение: "&amp;A706&amp;", скв. "&amp;B706&amp;". МРП: "&amp;E706&amp;" сут. ГНО: "&amp;F706&amp;", типоразмер "&amp;G706&amp;", марка "&amp;H706&amp;". Событие: "&amp;I706&amp;". Признак: "&amp;J706&amp;". Узел: "&amp;K706&amp;". Предварительная причина: "&amp;L706&amp;". Основное осложнение: "&amp;M706&amp;IF(N706&lt;&gt;"","; сопутствующее: "&amp;N706,"")&amp;IF(O706&lt;&gt;"","; дополнительно: "&amp;O706,"")&amp;".")</f>
        <v/>
      </c>
      <c r="R706" s="172">
        <f>IF('Оперативный ввод'!P706="","",'Оперативный ввод'!P706)</f>
        <v/>
      </c>
      <c r="S706" s="172">
        <f>IF('Оперативный ввод'!Q706="","",'Оперативный ввод'!Q706)</f>
        <v/>
      </c>
      <c r="T706" s="172">
        <f>IF('Оперативный ввод'!R706="","",'Оперативный ввод'!R706)</f>
        <v/>
      </c>
      <c r="U706" s="172">
        <f>IF('Оперативный ввод'!S706="","",'Оперативный ввод'!S706)</f>
        <v/>
      </c>
      <c r="V706" s="172">
        <f>IF('Оперативный ввод'!T706="","",'Оперативный ввод'!T706)</f>
        <v/>
      </c>
      <c r="W706" s="172" t="n"/>
      <c r="X706" s="172" t="n"/>
      <c r="Y706" s="172" t="n"/>
      <c r="Z706" s="172" t="n"/>
      <c r="AA706" s="172">
        <f>IF('Оперативный ввод'!U706="","",'Оперативный ввод'!U706)</f>
        <v/>
      </c>
      <c r="AB706" s="172">
        <f>IF('Оперативный ввод'!V706="","",'Оперативный ввод'!V706)</f>
        <v/>
      </c>
      <c r="AC706" s="172">
        <f>IF('Оперативный ввод'!W706="","",'Оперативный ввод'!W706)</f>
        <v/>
      </c>
      <c r="BB706" s="172" t="n"/>
      <c r="BC706" s="172" t="n"/>
      <c r="BD706" s="205">
        <f>IF(AND(A706="",B706=""),"",IF(AND(P706="ГОТОВО",R706&lt;&gt;"",T706&lt;&gt;"",U706&lt;&gt;"",AA706&lt;&gt;"",AB706&lt;&gt;"",AC706&lt;&gt;"",BB706&lt;&gt;"",BC706&lt;&gt;""),"ГОТОВО","НЕ ГОТОВО"))</f>
        <v/>
      </c>
      <c r="BE706" s="205">
        <f>IF(BD706&lt;&gt;"ГОТОВО","","Полное заключение: "&amp;A706&amp;", скв. "&amp;B706&amp;". МРП: "&amp;E706&amp;" сут. ГНО: "&amp;F706&amp;"; причина: "&amp;U706&amp;"; категория: "&amp;V706&amp;"; решение комиссии: "&amp;BB706&amp;".")</f>
        <v/>
      </c>
      <c r="BF706" s="173">
        <f>IF('Оперативный ввод'!X706="","",'Оперативный ввод'!X706)</f>
        <v/>
      </c>
    </row>
    <row r="707">
      <c r="A707" s="171">
        <f>IF('Оперативный ввод'!A707="","",'Оперативный ввод'!A707)</f>
        <v/>
      </c>
      <c r="B707" s="172">
        <f>IF('Оперативный ввод'!B707="","",'Оперативный ввод'!B707)</f>
        <v/>
      </c>
      <c r="C707" s="270">
        <f>IF('Оперативный ввод'!C707="","",'Оперативный ввод'!C707)</f>
        <v/>
      </c>
      <c r="D707" s="270">
        <f>IF('Оперативный ввод'!D707="","",'Оперативный ввод'!D707)</f>
        <v/>
      </c>
      <c r="E707" s="271">
        <f>IF(OR(C707="",D707=""),"",D707-C707)</f>
        <v/>
      </c>
      <c r="F707" s="172">
        <f>IF('Оперативный ввод'!F707="","",'Оперативный ввод'!F707)</f>
        <v/>
      </c>
      <c r="G707" s="172">
        <f>IF('Оперативный ввод'!G707="","",'Оперативный ввод'!G707)</f>
        <v/>
      </c>
      <c r="H707" s="172">
        <f>IF('Оперативный ввод'!H707="","",'Оперативный ввод'!H707)</f>
        <v/>
      </c>
      <c r="I707" s="172">
        <f>IF('Оперативный ввод'!I707="","",'Оперативный ввод'!I707)</f>
        <v/>
      </c>
      <c r="J707" s="172">
        <f>IF('Оперативный ввод'!J707="","",'Оперативный ввод'!J707)</f>
        <v/>
      </c>
      <c r="K707" s="172">
        <f>IF('Оперативный ввод'!K707="","",'Оперативный ввод'!K707)</f>
        <v/>
      </c>
      <c r="L707" s="172">
        <f>IF('Оперативный ввод'!L707="","",'Оперативный ввод'!L707)</f>
        <v/>
      </c>
      <c r="M707" s="172">
        <f>IF('Оперативный ввод'!M707="","",'Оперативный ввод'!M707)</f>
        <v/>
      </c>
      <c r="N707" s="172">
        <f>IF('Оперативный ввод'!N707="","",'Оперативный ввод'!N707)</f>
        <v/>
      </c>
      <c r="O707" s="172">
        <f>IF('Оперативный ввод'!O707="","",'Оперативный ввод'!O707)</f>
        <v/>
      </c>
      <c r="P707" s="205">
        <f>IF(AND(A707="",B707=""),"",IF(AND(A707&lt;&gt;"",B707&lt;&gt;"",C707&lt;&gt;"",D707&lt;&gt;"",F707&lt;&gt;"",G707&lt;&gt;"",H707&lt;&gt;"",ISERROR(SEARCH("по паспорту",G707)),ISERROR(SEARCH("по паспорту",H707)),I707&lt;&gt;"",J707&lt;&gt;"",K707&lt;&gt;"",L707&lt;&gt;"",M707&lt;&gt;""),"ГОТОВО","НЕ ГОТОВО"))</f>
        <v/>
      </c>
      <c r="Q707" s="205">
        <f>IF(P707&lt;&gt;"ГОТОВО","", "Предварительное заключение: "&amp;A707&amp;", скв. "&amp;B707&amp;". МРП: "&amp;E707&amp;" сут. ГНО: "&amp;F707&amp;", типоразмер "&amp;G707&amp;", марка "&amp;H707&amp;". Событие: "&amp;I707&amp;". Признак: "&amp;J707&amp;". Узел: "&amp;K707&amp;". Предварительная причина: "&amp;L707&amp;". Основное осложнение: "&amp;M707&amp;IF(N707&lt;&gt;"","; сопутствующее: "&amp;N707,"")&amp;IF(O707&lt;&gt;"","; дополнительно: "&amp;O707,"")&amp;".")</f>
        <v/>
      </c>
      <c r="R707" s="172">
        <f>IF('Оперативный ввод'!P707="","",'Оперативный ввод'!P707)</f>
        <v/>
      </c>
      <c r="S707" s="172">
        <f>IF('Оперативный ввод'!Q707="","",'Оперативный ввод'!Q707)</f>
        <v/>
      </c>
      <c r="T707" s="172">
        <f>IF('Оперативный ввод'!R707="","",'Оперативный ввод'!R707)</f>
        <v/>
      </c>
      <c r="U707" s="172">
        <f>IF('Оперативный ввод'!S707="","",'Оперативный ввод'!S707)</f>
        <v/>
      </c>
      <c r="V707" s="172">
        <f>IF('Оперативный ввод'!T707="","",'Оперативный ввод'!T707)</f>
        <v/>
      </c>
      <c r="W707" s="172" t="n"/>
      <c r="X707" s="172" t="n"/>
      <c r="Y707" s="172" t="n"/>
      <c r="Z707" s="172" t="n"/>
      <c r="AA707" s="172">
        <f>IF('Оперативный ввод'!U707="","",'Оперативный ввод'!U707)</f>
        <v/>
      </c>
      <c r="AB707" s="172">
        <f>IF('Оперативный ввод'!V707="","",'Оперативный ввод'!V707)</f>
        <v/>
      </c>
      <c r="AC707" s="172">
        <f>IF('Оперативный ввод'!W707="","",'Оперативный ввод'!W707)</f>
        <v/>
      </c>
      <c r="BB707" s="172" t="n"/>
      <c r="BC707" s="172" t="n"/>
      <c r="BD707" s="205">
        <f>IF(AND(A707="",B707=""),"",IF(AND(P707="ГОТОВО",R707&lt;&gt;"",T707&lt;&gt;"",U707&lt;&gt;"",AA707&lt;&gt;"",AB707&lt;&gt;"",AC707&lt;&gt;"",BB707&lt;&gt;"",BC707&lt;&gt;""),"ГОТОВО","НЕ ГОТОВО"))</f>
        <v/>
      </c>
      <c r="BE707" s="205">
        <f>IF(BD707&lt;&gt;"ГОТОВО","","Полное заключение: "&amp;A707&amp;", скв. "&amp;B707&amp;". МРП: "&amp;E707&amp;" сут. ГНО: "&amp;F707&amp;"; причина: "&amp;U707&amp;"; категория: "&amp;V707&amp;"; решение комиссии: "&amp;BB707&amp;".")</f>
        <v/>
      </c>
      <c r="BF707" s="173">
        <f>IF('Оперативный ввод'!X707="","",'Оперативный ввод'!X707)</f>
        <v/>
      </c>
    </row>
    <row r="708">
      <c r="A708" s="171">
        <f>IF('Оперативный ввод'!A708="","",'Оперативный ввод'!A708)</f>
        <v/>
      </c>
      <c r="B708" s="172">
        <f>IF('Оперативный ввод'!B708="","",'Оперативный ввод'!B708)</f>
        <v/>
      </c>
      <c r="C708" s="270">
        <f>IF('Оперативный ввод'!C708="","",'Оперативный ввод'!C708)</f>
        <v/>
      </c>
      <c r="D708" s="270">
        <f>IF('Оперативный ввод'!D708="","",'Оперативный ввод'!D708)</f>
        <v/>
      </c>
      <c r="E708" s="271">
        <f>IF(OR(C708="",D708=""),"",D708-C708)</f>
        <v/>
      </c>
      <c r="F708" s="172">
        <f>IF('Оперативный ввод'!F708="","",'Оперативный ввод'!F708)</f>
        <v/>
      </c>
      <c r="G708" s="172">
        <f>IF('Оперативный ввод'!G708="","",'Оперативный ввод'!G708)</f>
        <v/>
      </c>
      <c r="H708" s="172">
        <f>IF('Оперативный ввод'!H708="","",'Оперативный ввод'!H708)</f>
        <v/>
      </c>
      <c r="I708" s="172">
        <f>IF('Оперативный ввод'!I708="","",'Оперативный ввод'!I708)</f>
        <v/>
      </c>
      <c r="J708" s="172">
        <f>IF('Оперативный ввод'!J708="","",'Оперативный ввод'!J708)</f>
        <v/>
      </c>
      <c r="K708" s="172">
        <f>IF('Оперативный ввод'!K708="","",'Оперативный ввод'!K708)</f>
        <v/>
      </c>
      <c r="L708" s="172">
        <f>IF('Оперативный ввод'!L708="","",'Оперативный ввод'!L708)</f>
        <v/>
      </c>
      <c r="M708" s="172">
        <f>IF('Оперативный ввод'!M708="","",'Оперативный ввод'!M708)</f>
        <v/>
      </c>
      <c r="N708" s="172">
        <f>IF('Оперативный ввод'!N708="","",'Оперативный ввод'!N708)</f>
        <v/>
      </c>
      <c r="O708" s="172">
        <f>IF('Оперативный ввод'!O708="","",'Оперативный ввод'!O708)</f>
        <v/>
      </c>
      <c r="P708" s="205">
        <f>IF(AND(A708="",B708=""),"",IF(AND(A708&lt;&gt;"",B708&lt;&gt;"",C708&lt;&gt;"",D708&lt;&gt;"",F708&lt;&gt;"",G708&lt;&gt;"",H708&lt;&gt;"",ISERROR(SEARCH("по паспорту",G708)),ISERROR(SEARCH("по паспорту",H708)),I708&lt;&gt;"",J708&lt;&gt;"",K708&lt;&gt;"",L708&lt;&gt;"",M708&lt;&gt;""),"ГОТОВО","НЕ ГОТОВО"))</f>
        <v/>
      </c>
      <c r="Q708" s="205">
        <f>IF(P708&lt;&gt;"ГОТОВО","", "Предварительное заключение: "&amp;A708&amp;", скв. "&amp;B708&amp;". МРП: "&amp;E708&amp;" сут. ГНО: "&amp;F708&amp;", типоразмер "&amp;G708&amp;", марка "&amp;H708&amp;". Событие: "&amp;I708&amp;". Признак: "&amp;J708&amp;". Узел: "&amp;K708&amp;". Предварительная причина: "&amp;L708&amp;". Основное осложнение: "&amp;M708&amp;IF(N708&lt;&gt;"","; сопутствующее: "&amp;N708,"")&amp;IF(O708&lt;&gt;"","; дополнительно: "&amp;O708,"")&amp;".")</f>
        <v/>
      </c>
      <c r="R708" s="172">
        <f>IF('Оперативный ввод'!P708="","",'Оперативный ввод'!P708)</f>
        <v/>
      </c>
      <c r="S708" s="172">
        <f>IF('Оперативный ввод'!Q708="","",'Оперативный ввод'!Q708)</f>
        <v/>
      </c>
      <c r="T708" s="172">
        <f>IF('Оперативный ввод'!R708="","",'Оперативный ввод'!R708)</f>
        <v/>
      </c>
      <c r="U708" s="172">
        <f>IF('Оперативный ввод'!S708="","",'Оперативный ввод'!S708)</f>
        <v/>
      </c>
      <c r="V708" s="172">
        <f>IF('Оперативный ввод'!T708="","",'Оперативный ввод'!T708)</f>
        <v/>
      </c>
      <c r="W708" s="172" t="n"/>
      <c r="X708" s="172" t="n"/>
      <c r="Y708" s="172" t="n"/>
      <c r="Z708" s="172" t="n"/>
      <c r="AA708" s="172">
        <f>IF('Оперативный ввод'!U708="","",'Оперативный ввод'!U708)</f>
        <v/>
      </c>
      <c r="AB708" s="172">
        <f>IF('Оперативный ввод'!V708="","",'Оперативный ввод'!V708)</f>
        <v/>
      </c>
      <c r="AC708" s="172">
        <f>IF('Оперативный ввод'!W708="","",'Оперативный ввод'!W708)</f>
        <v/>
      </c>
      <c r="BB708" s="172" t="n"/>
      <c r="BC708" s="172" t="n"/>
      <c r="BD708" s="205">
        <f>IF(AND(A708="",B708=""),"",IF(AND(P708="ГОТОВО",R708&lt;&gt;"",T708&lt;&gt;"",U708&lt;&gt;"",AA708&lt;&gt;"",AB708&lt;&gt;"",AC708&lt;&gt;"",BB708&lt;&gt;"",BC708&lt;&gt;""),"ГОТОВО","НЕ ГОТОВО"))</f>
        <v/>
      </c>
      <c r="BE708" s="205">
        <f>IF(BD708&lt;&gt;"ГОТОВО","","Полное заключение: "&amp;A708&amp;", скв. "&amp;B708&amp;". МРП: "&amp;E708&amp;" сут. ГНО: "&amp;F708&amp;"; причина: "&amp;U708&amp;"; категория: "&amp;V708&amp;"; решение комиссии: "&amp;BB708&amp;".")</f>
        <v/>
      </c>
      <c r="BF708" s="173">
        <f>IF('Оперативный ввод'!X708="","",'Оперативный ввод'!X708)</f>
        <v/>
      </c>
    </row>
    <row r="709">
      <c r="A709" s="171">
        <f>IF('Оперативный ввод'!A709="","",'Оперативный ввод'!A709)</f>
        <v/>
      </c>
      <c r="B709" s="172">
        <f>IF('Оперативный ввод'!B709="","",'Оперативный ввод'!B709)</f>
        <v/>
      </c>
      <c r="C709" s="270">
        <f>IF('Оперативный ввод'!C709="","",'Оперативный ввод'!C709)</f>
        <v/>
      </c>
      <c r="D709" s="270">
        <f>IF('Оперативный ввод'!D709="","",'Оперативный ввод'!D709)</f>
        <v/>
      </c>
      <c r="E709" s="271">
        <f>IF(OR(C709="",D709=""),"",D709-C709)</f>
        <v/>
      </c>
      <c r="F709" s="172">
        <f>IF('Оперативный ввод'!F709="","",'Оперативный ввод'!F709)</f>
        <v/>
      </c>
      <c r="G709" s="172">
        <f>IF('Оперативный ввод'!G709="","",'Оперативный ввод'!G709)</f>
        <v/>
      </c>
      <c r="H709" s="172">
        <f>IF('Оперативный ввод'!H709="","",'Оперативный ввод'!H709)</f>
        <v/>
      </c>
      <c r="I709" s="172">
        <f>IF('Оперативный ввод'!I709="","",'Оперативный ввод'!I709)</f>
        <v/>
      </c>
      <c r="J709" s="172">
        <f>IF('Оперативный ввод'!J709="","",'Оперативный ввод'!J709)</f>
        <v/>
      </c>
      <c r="K709" s="172">
        <f>IF('Оперативный ввод'!K709="","",'Оперативный ввод'!K709)</f>
        <v/>
      </c>
      <c r="L709" s="172">
        <f>IF('Оперативный ввод'!L709="","",'Оперативный ввод'!L709)</f>
        <v/>
      </c>
      <c r="M709" s="172">
        <f>IF('Оперативный ввод'!M709="","",'Оперативный ввод'!M709)</f>
        <v/>
      </c>
      <c r="N709" s="172">
        <f>IF('Оперативный ввод'!N709="","",'Оперативный ввод'!N709)</f>
        <v/>
      </c>
      <c r="O709" s="172">
        <f>IF('Оперативный ввод'!O709="","",'Оперативный ввод'!O709)</f>
        <v/>
      </c>
      <c r="P709" s="205">
        <f>IF(AND(A709="",B709=""),"",IF(AND(A709&lt;&gt;"",B709&lt;&gt;"",C709&lt;&gt;"",D709&lt;&gt;"",F709&lt;&gt;"",G709&lt;&gt;"",H709&lt;&gt;"",ISERROR(SEARCH("по паспорту",G709)),ISERROR(SEARCH("по паспорту",H709)),I709&lt;&gt;"",J709&lt;&gt;"",K709&lt;&gt;"",L709&lt;&gt;"",M709&lt;&gt;""),"ГОТОВО","НЕ ГОТОВО"))</f>
        <v/>
      </c>
      <c r="Q709" s="205">
        <f>IF(P709&lt;&gt;"ГОТОВО","", "Предварительное заключение: "&amp;A709&amp;", скв. "&amp;B709&amp;". МРП: "&amp;E709&amp;" сут. ГНО: "&amp;F709&amp;", типоразмер "&amp;G709&amp;", марка "&amp;H709&amp;". Событие: "&amp;I709&amp;". Признак: "&amp;J709&amp;". Узел: "&amp;K709&amp;". Предварительная причина: "&amp;L709&amp;". Основное осложнение: "&amp;M709&amp;IF(N709&lt;&gt;"","; сопутствующее: "&amp;N709,"")&amp;IF(O709&lt;&gt;"","; дополнительно: "&amp;O709,"")&amp;".")</f>
        <v/>
      </c>
      <c r="R709" s="172">
        <f>IF('Оперативный ввод'!P709="","",'Оперативный ввод'!P709)</f>
        <v/>
      </c>
      <c r="S709" s="172">
        <f>IF('Оперативный ввод'!Q709="","",'Оперативный ввод'!Q709)</f>
        <v/>
      </c>
      <c r="T709" s="172">
        <f>IF('Оперативный ввод'!R709="","",'Оперативный ввод'!R709)</f>
        <v/>
      </c>
      <c r="U709" s="172">
        <f>IF('Оперативный ввод'!S709="","",'Оперативный ввод'!S709)</f>
        <v/>
      </c>
      <c r="V709" s="172">
        <f>IF('Оперативный ввод'!T709="","",'Оперативный ввод'!T709)</f>
        <v/>
      </c>
      <c r="W709" s="172" t="n"/>
      <c r="X709" s="172" t="n"/>
      <c r="Y709" s="172" t="n"/>
      <c r="Z709" s="172" t="n"/>
      <c r="AA709" s="172">
        <f>IF('Оперативный ввод'!U709="","",'Оперативный ввод'!U709)</f>
        <v/>
      </c>
      <c r="AB709" s="172">
        <f>IF('Оперативный ввод'!V709="","",'Оперативный ввод'!V709)</f>
        <v/>
      </c>
      <c r="AC709" s="172">
        <f>IF('Оперативный ввод'!W709="","",'Оперативный ввод'!W709)</f>
        <v/>
      </c>
      <c r="BB709" s="172" t="n"/>
      <c r="BC709" s="172" t="n"/>
      <c r="BD709" s="205">
        <f>IF(AND(A709="",B709=""),"",IF(AND(P709="ГОТОВО",R709&lt;&gt;"",T709&lt;&gt;"",U709&lt;&gt;"",AA709&lt;&gt;"",AB709&lt;&gt;"",AC709&lt;&gt;"",BB709&lt;&gt;"",BC709&lt;&gt;""),"ГОТОВО","НЕ ГОТОВО"))</f>
        <v/>
      </c>
      <c r="BE709" s="205">
        <f>IF(BD709&lt;&gt;"ГОТОВО","","Полное заключение: "&amp;A709&amp;", скв. "&amp;B709&amp;". МРП: "&amp;E709&amp;" сут. ГНО: "&amp;F709&amp;"; причина: "&amp;U709&amp;"; категория: "&amp;V709&amp;"; решение комиссии: "&amp;BB709&amp;".")</f>
        <v/>
      </c>
      <c r="BF709" s="173">
        <f>IF('Оперативный ввод'!X709="","",'Оперативный ввод'!X709)</f>
        <v/>
      </c>
    </row>
    <row r="710">
      <c r="A710" s="171">
        <f>IF('Оперативный ввод'!A710="","",'Оперативный ввод'!A710)</f>
        <v/>
      </c>
      <c r="B710" s="172">
        <f>IF('Оперативный ввод'!B710="","",'Оперативный ввод'!B710)</f>
        <v/>
      </c>
      <c r="C710" s="270">
        <f>IF('Оперативный ввод'!C710="","",'Оперативный ввод'!C710)</f>
        <v/>
      </c>
      <c r="D710" s="270">
        <f>IF('Оперативный ввод'!D710="","",'Оперативный ввод'!D710)</f>
        <v/>
      </c>
      <c r="E710" s="271">
        <f>IF(OR(C710="",D710=""),"",D710-C710)</f>
        <v/>
      </c>
      <c r="F710" s="172">
        <f>IF('Оперативный ввод'!F710="","",'Оперативный ввод'!F710)</f>
        <v/>
      </c>
      <c r="G710" s="172">
        <f>IF('Оперативный ввод'!G710="","",'Оперативный ввод'!G710)</f>
        <v/>
      </c>
      <c r="H710" s="172">
        <f>IF('Оперативный ввод'!H710="","",'Оперативный ввод'!H710)</f>
        <v/>
      </c>
      <c r="I710" s="172">
        <f>IF('Оперативный ввод'!I710="","",'Оперативный ввод'!I710)</f>
        <v/>
      </c>
      <c r="J710" s="172">
        <f>IF('Оперативный ввод'!J710="","",'Оперативный ввод'!J710)</f>
        <v/>
      </c>
      <c r="K710" s="172">
        <f>IF('Оперативный ввод'!K710="","",'Оперативный ввод'!K710)</f>
        <v/>
      </c>
      <c r="L710" s="172">
        <f>IF('Оперативный ввод'!L710="","",'Оперативный ввод'!L710)</f>
        <v/>
      </c>
      <c r="M710" s="172">
        <f>IF('Оперативный ввод'!M710="","",'Оперативный ввод'!M710)</f>
        <v/>
      </c>
      <c r="N710" s="172">
        <f>IF('Оперативный ввод'!N710="","",'Оперативный ввод'!N710)</f>
        <v/>
      </c>
      <c r="O710" s="172">
        <f>IF('Оперативный ввод'!O710="","",'Оперативный ввод'!O710)</f>
        <v/>
      </c>
      <c r="P710" s="205">
        <f>IF(AND(A710="",B710=""),"",IF(AND(A710&lt;&gt;"",B710&lt;&gt;"",C710&lt;&gt;"",D710&lt;&gt;"",F710&lt;&gt;"",G710&lt;&gt;"",H710&lt;&gt;"",ISERROR(SEARCH("по паспорту",G710)),ISERROR(SEARCH("по паспорту",H710)),I710&lt;&gt;"",J710&lt;&gt;"",K710&lt;&gt;"",L710&lt;&gt;"",M710&lt;&gt;""),"ГОТОВО","НЕ ГОТОВО"))</f>
        <v/>
      </c>
      <c r="Q710" s="205">
        <f>IF(P710&lt;&gt;"ГОТОВО","", "Предварительное заключение: "&amp;A710&amp;", скв. "&amp;B710&amp;". МРП: "&amp;E710&amp;" сут. ГНО: "&amp;F710&amp;", типоразмер "&amp;G710&amp;", марка "&amp;H710&amp;". Событие: "&amp;I710&amp;". Признак: "&amp;J710&amp;". Узел: "&amp;K710&amp;". Предварительная причина: "&amp;L710&amp;". Основное осложнение: "&amp;M710&amp;IF(N710&lt;&gt;"","; сопутствующее: "&amp;N710,"")&amp;IF(O710&lt;&gt;"","; дополнительно: "&amp;O710,"")&amp;".")</f>
        <v/>
      </c>
      <c r="R710" s="172">
        <f>IF('Оперативный ввод'!P710="","",'Оперативный ввод'!P710)</f>
        <v/>
      </c>
      <c r="S710" s="172">
        <f>IF('Оперативный ввод'!Q710="","",'Оперативный ввод'!Q710)</f>
        <v/>
      </c>
      <c r="T710" s="172">
        <f>IF('Оперативный ввод'!R710="","",'Оперативный ввод'!R710)</f>
        <v/>
      </c>
      <c r="U710" s="172">
        <f>IF('Оперативный ввод'!S710="","",'Оперативный ввод'!S710)</f>
        <v/>
      </c>
      <c r="V710" s="172">
        <f>IF('Оперативный ввод'!T710="","",'Оперативный ввод'!T710)</f>
        <v/>
      </c>
      <c r="W710" s="172" t="n"/>
      <c r="X710" s="172" t="n"/>
      <c r="Y710" s="172" t="n"/>
      <c r="Z710" s="172" t="n"/>
      <c r="AA710" s="172">
        <f>IF('Оперативный ввод'!U710="","",'Оперативный ввод'!U710)</f>
        <v/>
      </c>
      <c r="AB710" s="172">
        <f>IF('Оперативный ввод'!V710="","",'Оперативный ввод'!V710)</f>
        <v/>
      </c>
      <c r="AC710" s="172">
        <f>IF('Оперативный ввод'!W710="","",'Оперативный ввод'!W710)</f>
        <v/>
      </c>
      <c r="BB710" s="172" t="n"/>
      <c r="BC710" s="172" t="n"/>
      <c r="BD710" s="205">
        <f>IF(AND(A710="",B710=""),"",IF(AND(P710="ГОТОВО",R710&lt;&gt;"",T710&lt;&gt;"",U710&lt;&gt;"",AA710&lt;&gt;"",AB710&lt;&gt;"",AC710&lt;&gt;"",BB710&lt;&gt;"",BC710&lt;&gt;""),"ГОТОВО","НЕ ГОТОВО"))</f>
        <v/>
      </c>
      <c r="BE710" s="205">
        <f>IF(BD710&lt;&gt;"ГОТОВО","","Полное заключение: "&amp;A710&amp;", скв. "&amp;B710&amp;". МРП: "&amp;E710&amp;" сут. ГНО: "&amp;F710&amp;"; причина: "&amp;U710&amp;"; категория: "&amp;V710&amp;"; решение комиссии: "&amp;BB710&amp;".")</f>
        <v/>
      </c>
      <c r="BF710" s="173">
        <f>IF('Оперативный ввод'!X710="","",'Оперативный ввод'!X710)</f>
        <v/>
      </c>
    </row>
    <row r="711">
      <c r="A711" s="171">
        <f>IF('Оперативный ввод'!A711="","",'Оперативный ввод'!A711)</f>
        <v/>
      </c>
      <c r="B711" s="172">
        <f>IF('Оперативный ввод'!B711="","",'Оперативный ввод'!B711)</f>
        <v/>
      </c>
      <c r="C711" s="270">
        <f>IF('Оперативный ввод'!C711="","",'Оперативный ввод'!C711)</f>
        <v/>
      </c>
      <c r="D711" s="270">
        <f>IF('Оперативный ввод'!D711="","",'Оперативный ввод'!D711)</f>
        <v/>
      </c>
      <c r="E711" s="271">
        <f>IF(OR(C711="",D711=""),"",D711-C711)</f>
        <v/>
      </c>
      <c r="F711" s="172">
        <f>IF('Оперативный ввод'!F711="","",'Оперативный ввод'!F711)</f>
        <v/>
      </c>
      <c r="G711" s="172">
        <f>IF('Оперативный ввод'!G711="","",'Оперативный ввод'!G711)</f>
        <v/>
      </c>
      <c r="H711" s="172">
        <f>IF('Оперативный ввод'!H711="","",'Оперативный ввод'!H711)</f>
        <v/>
      </c>
      <c r="I711" s="172">
        <f>IF('Оперативный ввод'!I711="","",'Оперативный ввод'!I711)</f>
        <v/>
      </c>
      <c r="J711" s="172">
        <f>IF('Оперативный ввод'!J711="","",'Оперативный ввод'!J711)</f>
        <v/>
      </c>
      <c r="K711" s="172">
        <f>IF('Оперативный ввод'!K711="","",'Оперативный ввод'!K711)</f>
        <v/>
      </c>
      <c r="L711" s="172">
        <f>IF('Оперативный ввод'!L711="","",'Оперативный ввод'!L711)</f>
        <v/>
      </c>
      <c r="M711" s="172">
        <f>IF('Оперативный ввод'!M711="","",'Оперативный ввод'!M711)</f>
        <v/>
      </c>
      <c r="N711" s="172">
        <f>IF('Оперативный ввод'!N711="","",'Оперативный ввод'!N711)</f>
        <v/>
      </c>
      <c r="O711" s="172">
        <f>IF('Оперативный ввод'!O711="","",'Оперативный ввод'!O711)</f>
        <v/>
      </c>
      <c r="P711" s="205">
        <f>IF(AND(A711="",B711=""),"",IF(AND(A711&lt;&gt;"",B711&lt;&gt;"",C711&lt;&gt;"",D711&lt;&gt;"",F711&lt;&gt;"",G711&lt;&gt;"",H711&lt;&gt;"",ISERROR(SEARCH("по паспорту",G711)),ISERROR(SEARCH("по паспорту",H711)),I711&lt;&gt;"",J711&lt;&gt;"",K711&lt;&gt;"",L711&lt;&gt;"",M711&lt;&gt;""),"ГОТОВО","НЕ ГОТОВО"))</f>
        <v/>
      </c>
      <c r="Q711" s="205">
        <f>IF(P711&lt;&gt;"ГОТОВО","", "Предварительное заключение: "&amp;A711&amp;", скв. "&amp;B711&amp;". МРП: "&amp;E711&amp;" сут. ГНО: "&amp;F711&amp;", типоразмер "&amp;G711&amp;", марка "&amp;H711&amp;". Событие: "&amp;I711&amp;". Признак: "&amp;J711&amp;". Узел: "&amp;K711&amp;". Предварительная причина: "&amp;L711&amp;". Основное осложнение: "&amp;M711&amp;IF(N711&lt;&gt;"","; сопутствующее: "&amp;N711,"")&amp;IF(O711&lt;&gt;"","; дополнительно: "&amp;O711,"")&amp;".")</f>
        <v/>
      </c>
      <c r="R711" s="172">
        <f>IF('Оперативный ввод'!P711="","",'Оперативный ввод'!P711)</f>
        <v/>
      </c>
      <c r="S711" s="172">
        <f>IF('Оперативный ввод'!Q711="","",'Оперативный ввод'!Q711)</f>
        <v/>
      </c>
      <c r="T711" s="172">
        <f>IF('Оперативный ввод'!R711="","",'Оперативный ввод'!R711)</f>
        <v/>
      </c>
      <c r="U711" s="172">
        <f>IF('Оперативный ввод'!S711="","",'Оперативный ввод'!S711)</f>
        <v/>
      </c>
      <c r="V711" s="172">
        <f>IF('Оперативный ввод'!T711="","",'Оперативный ввод'!T711)</f>
        <v/>
      </c>
      <c r="W711" s="172" t="n"/>
      <c r="X711" s="172" t="n"/>
      <c r="Y711" s="172" t="n"/>
      <c r="Z711" s="172" t="n"/>
      <c r="AA711" s="172">
        <f>IF('Оперативный ввод'!U711="","",'Оперативный ввод'!U711)</f>
        <v/>
      </c>
      <c r="AB711" s="172">
        <f>IF('Оперативный ввод'!V711="","",'Оперативный ввод'!V711)</f>
        <v/>
      </c>
      <c r="AC711" s="172">
        <f>IF('Оперативный ввод'!W711="","",'Оперативный ввод'!W711)</f>
        <v/>
      </c>
      <c r="BB711" s="172" t="n"/>
      <c r="BC711" s="172" t="n"/>
      <c r="BD711" s="205">
        <f>IF(AND(A711="",B711=""),"",IF(AND(P711="ГОТОВО",R711&lt;&gt;"",T711&lt;&gt;"",U711&lt;&gt;"",AA711&lt;&gt;"",AB711&lt;&gt;"",AC711&lt;&gt;"",BB711&lt;&gt;"",BC711&lt;&gt;""),"ГОТОВО","НЕ ГОТОВО"))</f>
        <v/>
      </c>
      <c r="BE711" s="205">
        <f>IF(BD711&lt;&gt;"ГОТОВО","","Полное заключение: "&amp;A711&amp;", скв. "&amp;B711&amp;". МРП: "&amp;E711&amp;" сут. ГНО: "&amp;F711&amp;"; причина: "&amp;U711&amp;"; категория: "&amp;V711&amp;"; решение комиссии: "&amp;BB711&amp;".")</f>
        <v/>
      </c>
      <c r="BF711" s="173">
        <f>IF('Оперативный ввод'!X711="","",'Оперативный ввод'!X711)</f>
        <v/>
      </c>
    </row>
    <row r="712">
      <c r="A712" s="171">
        <f>IF('Оперативный ввод'!A712="","",'Оперативный ввод'!A712)</f>
        <v/>
      </c>
      <c r="B712" s="172">
        <f>IF('Оперативный ввод'!B712="","",'Оперативный ввод'!B712)</f>
        <v/>
      </c>
      <c r="C712" s="270">
        <f>IF('Оперативный ввод'!C712="","",'Оперативный ввод'!C712)</f>
        <v/>
      </c>
      <c r="D712" s="270">
        <f>IF('Оперативный ввод'!D712="","",'Оперативный ввод'!D712)</f>
        <v/>
      </c>
      <c r="E712" s="271">
        <f>IF(OR(C712="",D712=""),"",D712-C712)</f>
        <v/>
      </c>
      <c r="F712" s="172">
        <f>IF('Оперативный ввод'!F712="","",'Оперативный ввод'!F712)</f>
        <v/>
      </c>
      <c r="G712" s="172">
        <f>IF('Оперативный ввод'!G712="","",'Оперативный ввод'!G712)</f>
        <v/>
      </c>
      <c r="H712" s="172">
        <f>IF('Оперативный ввод'!H712="","",'Оперативный ввод'!H712)</f>
        <v/>
      </c>
      <c r="I712" s="172">
        <f>IF('Оперативный ввод'!I712="","",'Оперативный ввод'!I712)</f>
        <v/>
      </c>
      <c r="J712" s="172">
        <f>IF('Оперативный ввод'!J712="","",'Оперативный ввод'!J712)</f>
        <v/>
      </c>
      <c r="K712" s="172">
        <f>IF('Оперативный ввод'!K712="","",'Оперативный ввод'!K712)</f>
        <v/>
      </c>
      <c r="L712" s="172">
        <f>IF('Оперативный ввод'!L712="","",'Оперативный ввод'!L712)</f>
        <v/>
      </c>
      <c r="M712" s="172">
        <f>IF('Оперативный ввод'!M712="","",'Оперативный ввод'!M712)</f>
        <v/>
      </c>
      <c r="N712" s="172">
        <f>IF('Оперативный ввод'!N712="","",'Оперативный ввод'!N712)</f>
        <v/>
      </c>
      <c r="O712" s="172">
        <f>IF('Оперативный ввод'!O712="","",'Оперативный ввод'!O712)</f>
        <v/>
      </c>
      <c r="P712" s="205">
        <f>IF(AND(A712="",B712=""),"",IF(AND(A712&lt;&gt;"",B712&lt;&gt;"",C712&lt;&gt;"",D712&lt;&gt;"",F712&lt;&gt;"",G712&lt;&gt;"",H712&lt;&gt;"",ISERROR(SEARCH("по паспорту",G712)),ISERROR(SEARCH("по паспорту",H712)),I712&lt;&gt;"",J712&lt;&gt;"",K712&lt;&gt;"",L712&lt;&gt;"",M712&lt;&gt;""),"ГОТОВО","НЕ ГОТОВО"))</f>
        <v/>
      </c>
      <c r="Q712" s="205">
        <f>IF(P712&lt;&gt;"ГОТОВО","", "Предварительное заключение: "&amp;A712&amp;", скв. "&amp;B712&amp;". МРП: "&amp;E712&amp;" сут. ГНО: "&amp;F712&amp;", типоразмер "&amp;G712&amp;", марка "&amp;H712&amp;". Событие: "&amp;I712&amp;". Признак: "&amp;J712&amp;". Узел: "&amp;K712&amp;". Предварительная причина: "&amp;L712&amp;". Основное осложнение: "&amp;M712&amp;IF(N712&lt;&gt;"","; сопутствующее: "&amp;N712,"")&amp;IF(O712&lt;&gt;"","; дополнительно: "&amp;O712,"")&amp;".")</f>
        <v/>
      </c>
      <c r="R712" s="172">
        <f>IF('Оперативный ввод'!P712="","",'Оперативный ввод'!P712)</f>
        <v/>
      </c>
      <c r="S712" s="172">
        <f>IF('Оперативный ввод'!Q712="","",'Оперативный ввод'!Q712)</f>
        <v/>
      </c>
      <c r="T712" s="172">
        <f>IF('Оперативный ввод'!R712="","",'Оперативный ввод'!R712)</f>
        <v/>
      </c>
      <c r="U712" s="172">
        <f>IF('Оперативный ввод'!S712="","",'Оперативный ввод'!S712)</f>
        <v/>
      </c>
      <c r="V712" s="172">
        <f>IF('Оперативный ввод'!T712="","",'Оперативный ввод'!T712)</f>
        <v/>
      </c>
      <c r="W712" s="172" t="n"/>
      <c r="X712" s="172" t="n"/>
      <c r="Y712" s="172" t="n"/>
      <c r="Z712" s="172" t="n"/>
      <c r="AA712" s="172">
        <f>IF('Оперативный ввод'!U712="","",'Оперативный ввод'!U712)</f>
        <v/>
      </c>
      <c r="AB712" s="172">
        <f>IF('Оперативный ввод'!V712="","",'Оперативный ввод'!V712)</f>
        <v/>
      </c>
      <c r="AC712" s="172">
        <f>IF('Оперативный ввод'!W712="","",'Оперативный ввод'!W712)</f>
        <v/>
      </c>
      <c r="BB712" s="172" t="n"/>
      <c r="BC712" s="172" t="n"/>
      <c r="BD712" s="205">
        <f>IF(AND(A712="",B712=""),"",IF(AND(P712="ГОТОВО",R712&lt;&gt;"",T712&lt;&gt;"",U712&lt;&gt;"",AA712&lt;&gt;"",AB712&lt;&gt;"",AC712&lt;&gt;"",BB712&lt;&gt;"",BC712&lt;&gt;""),"ГОТОВО","НЕ ГОТОВО"))</f>
        <v/>
      </c>
      <c r="BE712" s="205">
        <f>IF(BD712&lt;&gt;"ГОТОВО","","Полное заключение: "&amp;A712&amp;", скв. "&amp;B712&amp;". МРП: "&amp;E712&amp;" сут. ГНО: "&amp;F712&amp;"; причина: "&amp;U712&amp;"; категория: "&amp;V712&amp;"; решение комиссии: "&amp;BB712&amp;".")</f>
        <v/>
      </c>
      <c r="BF712" s="173">
        <f>IF('Оперативный ввод'!X712="","",'Оперативный ввод'!X712)</f>
        <v/>
      </c>
    </row>
    <row r="713">
      <c r="A713" s="171">
        <f>IF('Оперативный ввод'!A713="","",'Оперативный ввод'!A713)</f>
        <v/>
      </c>
      <c r="B713" s="172">
        <f>IF('Оперативный ввод'!B713="","",'Оперативный ввод'!B713)</f>
        <v/>
      </c>
      <c r="C713" s="270">
        <f>IF('Оперативный ввод'!C713="","",'Оперативный ввод'!C713)</f>
        <v/>
      </c>
      <c r="D713" s="270">
        <f>IF('Оперативный ввод'!D713="","",'Оперативный ввод'!D713)</f>
        <v/>
      </c>
      <c r="E713" s="271">
        <f>IF(OR(C713="",D713=""),"",D713-C713)</f>
        <v/>
      </c>
      <c r="F713" s="172">
        <f>IF('Оперативный ввод'!F713="","",'Оперативный ввод'!F713)</f>
        <v/>
      </c>
      <c r="G713" s="172">
        <f>IF('Оперативный ввод'!G713="","",'Оперативный ввод'!G713)</f>
        <v/>
      </c>
      <c r="H713" s="172">
        <f>IF('Оперативный ввод'!H713="","",'Оперативный ввод'!H713)</f>
        <v/>
      </c>
      <c r="I713" s="172">
        <f>IF('Оперативный ввод'!I713="","",'Оперативный ввод'!I713)</f>
        <v/>
      </c>
      <c r="J713" s="172">
        <f>IF('Оперативный ввод'!J713="","",'Оперативный ввод'!J713)</f>
        <v/>
      </c>
      <c r="K713" s="172">
        <f>IF('Оперативный ввод'!K713="","",'Оперативный ввод'!K713)</f>
        <v/>
      </c>
      <c r="L713" s="172">
        <f>IF('Оперативный ввод'!L713="","",'Оперативный ввод'!L713)</f>
        <v/>
      </c>
      <c r="M713" s="172">
        <f>IF('Оперативный ввод'!M713="","",'Оперативный ввод'!M713)</f>
        <v/>
      </c>
      <c r="N713" s="172">
        <f>IF('Оперативный ввод'!N713="","",'Оперативный ввод'!N713)</f>
        <v/>
      </c>
      <c r="O713" s="172">
        <f>IF('Оперативный ввод'!O713="","",'Оперативный ввод'!O713)</f>
        <v/>
      </c>
      <c r="P713" s="205">
        <f>IF(AND(A713="",B713=""),"",IF(AND(A713&lt;&gt;"",B713&lt;&gt;"",C713&lt;&gt;"",D713&lt;&gt;"",F713&lt;&gt;"",G713&lt;&gt;"",H713&lt;&gt;"",ISERROR(SEARCH("по паспорту",G713)),ISERROR(SEARCH("по паспорту",H713)),I713&lt;&gt;"",J713&lt;&gt;"",K713&lt;&gt;"",L713&lt;&gt;"",M713&lt;&gt;""),"ГОТОВО","НЕ ГОТОВО"))</f>
        <v/>
      </c>
      <c r="Q713" s="205">
        <f>IF(P713&lt;&gt;"ГОТОВО","", "Предварительное заключение: "&amp;A713&amp;", скв. "&amp;B713&amp;". МРП: "&amp;E713&amp;" сут. ГНО: "&amp;F713&amp;", типоразмер "&amp;G713&amp;", марка "&amp;H713&amp;". Событие: "&amp;I713&amp;". Признак: "&amp;J713&amp;". Узел: "&amp;K713&amp;". Предварительная причина: "&amp;L713&amp;". Основное осложнение: "&amp;M713&amp;IF(N713&lt;&gt;"","; сопутствующее: "&amp;N713,"")&amp;IF(O713&lt;&gt;"","; дополнительно: "&amp;O713,"")&amp;".")</f>
        <v/>
      </c>
      <c r="R713" s="172">
        <f>IF('Оперативный ввод'!P713="","",'Оперативный ввод'!P713)</f>
        <v/>
      </c>
      <c r="S713" s="172">
        <f>IF('Оперативный ввод'!Q713="","",'Оперативный ввод'!Q713)</f>
        <v/>
      </c>
      <c r="T713" s="172">
        <f>IF('Оперативный ввод'!R713="","",'Оперативный ввод'!R713)</f>
        <v/>
      </c>
      <c r="U713" s="172">
        <f>IF('Оперативный ввод'!S713="","",'Оперативный ввод'!S713)</f>
        <v/>
      </c>
      <c r="V713" s="172">
        <f>IF('Оперативный ввод'!T713="","",'Оперативный ввод'!T713)</f>
        <v/>
      </c>
      <c r="W713" s="172" t="n"/>
      <c r="X713" s="172" t="n"/>
      <c r="Y713" s="172" t="n"/>
      <c r="Z713" s="172" t="n"/>
      <c r="AA713" s="172">
        <f>IF('Оперативный ввод'!U713="","",'Оперативный ввод'!U713)</f>
        <v/>
      </c>
      <c r="AB713" s="172">
        <f>IF('Оперативный ввод'!V713="","",'Оперативный ввод'!V713)</f>
        <v/>
      </c>
      <c r="AC713" s="172">
        <f>IF('Оперативный ввод'!W713="","",'Оперативный ввод'!W713)</f>
        <v/>
      </c>
      <c r="BB713" s="172" t="n"/>
      <c r="BC713" s="172" t="n"/>
      <c r="BD713" s="205">
        <f>IF(AND(A713="",B713=""),"",IF(AND(P713="ГОТОВО",R713&lt;&gt;"",T713&lt;&gt;"",U713&lt;&gt;"",AA713&lt;&gt;"",AB713&lt;&gt;"",AC713&lt;&gt;"",BB713&lt;&gt;"",BC713&lt;&gt;""),"ГОТОВО","НЕ ГОТОВО"))</f>
        <v/>
      </c>
      <c r="BE713" s="205">
        <f>IF(BD713&lt;&gt;"ГОТОВО","","Полное заключение: "&amp;A713&amp;", скв. "&amp;B713&amp;". МРП: "&amp;E713&amp;" сут. ГНО: "&amp;F713&amp;"; причина: "&amp;U713&amp;"; категория: "&amp;V713&amp;"; решение комиссии: "&amp;BB713&amp;".")</f>
        <v/>
      </c>
      <c r="BF713" s="173">
        <f>IF('Оперативный ввод'!X713="","",'Оперативный ввод'!X713)</f>
        <v/>
      </c>
    </row>
    <row r="714">
      <c r="A714" s="171">
        <f>IF('Оперативный ввод'!A714="","",'Оперативный ввод'!A714)</f>
        <v/>
      </c>
      <c r="B714" s="172">
        <f>IF('Оперативный ввод'!B714="","",'Оперативный ввод'!B714)</f>
        <v/>
      </c>
      <c r="C714" s="270">
        <f>IF('Оперативный ввод'!C714="","",'Оперативный ввод'!C714)</f>
        <v/>
      </c>
      <c r="D714" s="270">
        <f>IF('Оперативный ввод'!D714="","",'Оперативный ввод'!D714)</f>
        <v/>
      </c>
      <c r="E714" s="271">
        <f>IF(OR(C714="",D714=""),"",D714-C714)</f>
        <v/>
      </c>
      <c r="F714" s="172">
        <f>IF('Оперативный ввод'!F714="","",'Оперативный ввод'!F714)</f>
        <v/>
      </c>
      <c r="G714" s="172">
        <f>IF('Оперативный ввод'!G714="","",'Оперативный ввод'!G714)</f>
        <v/>
      </c>
      <c r="H714" s="172">
        <f>IF('Оперативный ввод'!H714="","",'Оперативный ввод'!H714)</f>
        <v/>
      </c>
      <c r="I714" s="172">
        <f>IF('Оперативный ввод'!I714="","",'Оперативный ввод'!I714)</f>
        <v/>
      </c>
      <c r="J714" s="172">
        <f>IF('Оперативный ввод'!J714="","",'Оперативный ввод'!J714)</f>
        <v/>
      </c>
      <c r="K714" s="172">
        <f>IF('Оперативный ввод'!K714="","",'Оперативный ввод'!K714)</f>
        <v/>
      </c>
      <c r="L714" s="172">
        <f>IF('Оперативный ввод'!L714="","",'Оперативный ввод'!L714)</f>
        <v/>
      </c>
      <c r="M714" s="172">
        <f>IF('Оперативный ввод'!M714="","",'Оперативный ввод'!M714)</f>
        <v/>
      </c>
      <c r="N714" s="172">
        <f>IF('Оперативный ввод'!N714="","",'Оперативный ввод'!N714)</f>
        <v/>
      </c>
      <c r="O714" s="172">
        <f>IF('Оперативный ввод'!O714="","",'Оперативный ввод'!O714)</f>
        <v/>
      </c>
      <c r="P714" s="205">
        <f>IF(AND(A714="",B714=""),"",IF(AND(A714&lt;&gt;"",B714&lt;&gt;"",C714&lt;&gt;"",D714&lt;&gt;"",F714&lt;&gt;"",G714&lt;&gt;"",H714&lt;&gt;"",ISERROR(SEARCH("по паспорту",G714)),ISERROR(SEARCH("по паспорту",H714)),I714&lt;&gt;"",J714&lt;&gt;"",K714&lt;&gt;"",L714&lt;&gt;"",M714&lt;&gt;""),"ГОТОВО","НЕ ГОТОВО"))</f>
        <v/>
      </c>
      <c r="Q714" s="205">
        <f>IF(P714&lt;&gt;"ГОТОВО","", "Предварительное заключение: "&amp;A714&amp;", скв. "&amp;B714&amp;". МРП: "&amp;E714&amp;" сут. ГНО: "&amp;F714&amp;", типоразмер "&amp;G714&amp;", марка "&amp;H714&amp;". Событие: "&amp;I714&amp;". Признак: "&amp;J714&amp;". Узел: "&amp;K714&amp;". Предварительная причина: "&amp;L714&amp;". Основное осложнение: "&amp;M714&amp;IF(N714&lt;&gt;"","; сопутствующее: "&amp;N714,"")&amp;IF(O714&lt;&gt;"","; дополнительно: "&amp;O714,"")&amp;".")</f>
        <v/>
      </c>
      <c r="R714" s="172">
        <f>IF('Оперативный ввод'!P714="","",'Оперативный ввод'!P714)</f>
        <v/>
      </c>
      <c r="S714" s="172">
        <f>IF('Оперативный ввод'!Q714="","",'Оперативный ввод'!Q714)</f>
        <v/>
      </c>
      <c r="T714" s="172">
        <f>IF('Оперативный ввод'!R714="","",'Оперативный ввод'!R714)</f>
        <v/>
      </c>
      <c r="U714" s="172">
        <f>IF('Оперативный ввод'!S714="","",'Оперативный ввод'!S714)</f>
        <v/>
      </c>
      <c r="V714" s="172">
        <f>IF('Оперативный ввод'!T714="","",'Оперативный ввод'!T714)</f>
        <v/>
      </c>
      <c r="W714" s="172" t="n"/>
      <c r="X714" s="172" t="n"/>
      <c r="Y714" s="172" t="n"/>
      <c r="Z714" s="172" t="n"/>
      <c r="AA714" s="172">
        <f>IF('Оперативный ввод'!U714="","",'Оперативный ввод'!U714)</f>
        <v/>
      </c>
      <c r="AB714" s="172">
        <f>IF('Оперативный ввод'!V714="","",'Оперативный ввод'!V714)</f>
        <v/>
      </c>
      <c r="AC714" s="172">
        <f>IF('Оперативный ввод'!W714="","",'Оперативный ввод'!W714)</f>
        <v/>
      </c>
      <c r="BB714" s="172" t="n"/>
      <c r="BC714" s="172" t="n"/>
      <c r="BD714" s="205">
        <f>IF(AND(A714="",B714=""),"",IF(AND(P714="ГОТОВО",R714&lt;&gt;"",T714&lt;&gt;"",U714&lt;&gt;"",AA714&lt;&gt;"",AB714&lt;&gt;"",AC714&lt;&gt;"",BB714&lt;&gt;"",BC714&lt;&gt;""),"ГОТОВО","НЕ ГОТОВО"))</f>
        <v/>
      </c>
      <c r="BE714" s="205">
        <f>IF(BD714&lt;&gt;"ГОТОВО","","Полное заключение: "&amp;A714&amp;", скв. "&amp;B714&amp;". МРП: "&amp;E714&amp;" сут. ГНО: "&amp;F714&amp;"; причина: "&amp;U714&amp;"; категория: "&amp;V714&amp;"; решение комиссии: "&amp;BB714&amp;".")</f>
        <v/>
      </c>
      <c r="BF714" s="173">
        <f>IF('Оперативный ввод'!X714="","",'Оперативный ввод'!X714)</f>
        <v/>
      </c>
    </row>
    <row r="715">
      <c r="A715" s="171">
        <f>IF('Оперативный ввод'!A715="","",'Оперативный ввод'!A715)</f>
        <v/>
      </c>
      <c r="B715" s="172">
        <f>IF('Оперативный ввод'!B715="","",'Оперативный ввод'!B715)</f>
        <v/>
      </c>
      <c r="C715" s="270">
        <f>IF('Оперативный ввод'!C715="","",'Оперативный ввод'!C715)</f>
        <v/>
      </c>
      <c r="D715" s="270">
        <f>IF('Оперативный ввод'!D715="","",'Оперативный ввод'!D715)</f>
        <v/>
      </c>
      <c r="E715" s="271">
        <f>IF(OR(C715="",D715=""),"",D715-C715)</f>
        <v/>
      </c>
      <c r="F715" s="172">
        <f>IF('Оперативный ввод'!F715="","",'Оперативный ввод'!F715)</f>
        <v/>
      </c>
      <c r="G715" s="172">
        <f>IF('Оперативный ввод'!G715="","",'Оперативный ввод'!G715)</f>
        <v/>
      </c>
      <c r="H715" s="172">
        <f>IF('Оперативный ввод'!H715="","",'Оперативный ввод'!H715)</f>
        <v/>
      </c>
      <c r="I715" s="172">
        <f>IF('Оперативный ввод'!I715="","",'Оперативный ввод'!I715)</f>
        <v/>
      </c>
      <c r="J715" s="172">
        <f>IF('Оперативный ввод'!J715="","",'Оперативный ввод'!J715)</f>
        <v/>
      </c>
      <c r="K715" s="172">
        <f>IF('Оперативный ввод'!K715="","",'Оперативный ввод'!K715)</f>
        <v/>
      </c>
      <c r="L715" s="172">
        <f>IF('Оперативный ввод'!L715="","",'Оперативный ввод'!L715)</f>
        <v/>
      </c>
      <c r="M715" s="172">
        <f>IF('Оперативный ввод'!M715="","",'Оперативный ввод'!M715)</f>
        <v/>
      </c>
      <c r="N715" s="172">
        <f>IF('Оперативный ввод'!N715="","",'Оперативный ввод'!N715)</f>
        <v/>
      </c>
      <c r="O715" s="172">
        <f>IF('Оперативный ввод'!O715="","",'Оперативный ввод'!O715)</f>
        <v/>
      </c>
      <c r="P715" s="205">
        <f>IF(AND(A715="",B715=""),"",IF(AND(A715&lt;&gt;"",B715&lt;&gt;"",C715&lt;&gt;"",D715&lt;&gt;"",F715&lt;&gt;"",G715&lt;&gt;"",H715&lt;&gt;"",ISERROR(SEARCH("по паспорту",G715)),ISERROR(SEARCH("по паспорту",H715)),I715&lt;&gt;"",J715&lt;&gt;"",K715&lt;&gt;"",L715&lt;&gt;"",M715&lt;&gt;""),"ГОТОВО","НЕ ГОТОВО"))</f>
        <v/>
      </c>
      <c r="Q715" s="205">
        <f>IF(P715&lt;&gt;"ГОТОВО","", "Предварительное заключение: "&amp;A715&amp;", скв. "&amp;B715&amp;". МРП: "&amp;E715&amp;" сут. ГНО: "&amp;F715&amp;", типоразмер "&amp;G715&amp;", марка "&amp;H715&amp;". Событие: "&amp;I715&amp;". Признак: "&amp;J715&amp;". Узел: "&amp;K715&amp;". Предварительная причина: "&amp;L715&amp;". Основное осложнение: "&amp;M715&amp;IF(N715&lt;&gt;"","; сопутствующее: "&amp;N715,"")&amp;IF(O715&lt;&gt;"","; дополнительно: "&amp;O715,"")&amp;".")</f>
        <v/>
      </c>
      <c r="R715" s="172">
        <f>IF('Оперативный ввод'!P715="","",'Оперативный ввод'!P715)</f>
        <v/>
      </c>
      <c r="S715" s="172">
        <f>IF('Оперативный ввод'!Q715="","",'Оперативный ввод'!Q715)</f>
        <v/>
      </c>
      <c r="T715" s="172">
        <f>IF('Оперативный ввод'!R715="","",'Оперативный ввод'!R715)</f>
        <v/>
      </c>
      <c r="U715" s="172">
        <f>IF('Оперативный ввод'!S715="","",'Оперативный ввод'!S715)</f>
        <v/>
      </c>
      <c r="V715" s="172">
        <f>IF('Оперативный ввод'!T715="","",'Оперативный ввод'!T715)</f>
        <v/>
      </c>
      <c r="W715" s="172" t="n"/>
      <c r="X715" s="172" t="n"/>
      <c r="Y715" s="172" t="n"/>
      <c r="Z715" s="172" t="n"/>
      <c r="AA715" s="172">
        <f>IF('Оперативный ввод'!U715="","",'Оперативный ввод'!U715)</f>
        <v/>
      </c>
      <c r="AB715" s="172">
        <f>IF('Оперативный ввод'!V715="","",'Оперативный ввод'!V715)</f>
        <v/>
      </c>
      <c r="AC715" s="172">
        <f>IF('Оперативный ввод'!W715="","",'Оперативный ввод'!W715)</f>
        <v/>
      </c>
      <c r="BB715" s="172" t="n"/>
      <c r="BC715" s="172" t="n"/>
      <c r="BD715" s="205">
        <f>IF(AND(A715="",B715=""),"",IF(AND(P715="ГОТОВО",R715&lt;&gt;"",T715&lt;&gt;"",U715&lt;&gt;"",AA715&lt;&gt;"",AB715&lt;&gt;"",AC715&lt;&gt;"",BB715&lt;&gt;"",BC715&lt;&gt;""),"ГОТОВО","НЕ ГОТОВО"))</f>
        <v/>
      </c>
      <c r="BE715" s="205">
        <f>IF(BD715&lt;&gt;"ГОТОВО","","Полное заключение: "&amp;A715&amp;", скв. "&amp;B715&amp;". МРП: "&amp;E715&amp;" сут. ГНО: "&amp;F715&amp;"; причина: "&amp;U715&amp;"; категория: "&amp;V715&amp;"; решение комиссии: "&amp;BB715&amp;".")</f>
        <v/>
      </c>
      <c r="BF715" s="173">
        <f>IF('Оперативный ввод'!X715="","",'Оперативный ввод'!X715)</f>
        <v/>
      </c>
    </row>
    <row r="716">
      <c r="A716" s="171">
        <f>IF('Оперативный ввод'!A716="","",'Оперативный ввод'!A716)</f>
        <v/>
      </c>
      <c r="B716" s="172">
        <f>IF('Оперативный ввод'!B716="","",'Оперативный ввод'!B716)</f>
        <v/>
      </c>
      <c r="C716" s="270">
        <f>IF('Оперативный ввод'!C716="","",'Оперативный ввод'!C716)</f>
        <v/>
      </c>
      <c r="D716" s="270">
        <f>IF('Оперативный ввод'!D716="","",'Оперативный ввод'!D716)</f>
        <v/>
      </c>
      <c r="E716" s="271">
        <f>IF(OR(C716="",D716=""),"",D716-C716)</f>
        <v/>
      </c>
      <c r="F716" s="172">
        <f>IF('Оперативный ввод'!F716="","",'Оперативный ввод'!F716)</f>
        <v/>
      </c>
      <c r="G716" s="172">
        <f>IF('Оперативный ввод'!G716="","",'Оперативный ввод'!G716)</f>
        <v/>
      </c>
      <c r="H716" s="172">
        <f>IF('Оперативный ввод'!H716="","",'Оперативный ввод'!H716)</f>
        <v/>
      </c>
      <c r="I716" s="172">
        <f>IF('Оперативный ввод'!I716="","",'Оперативный ввод'!I716)</f>
        <v/>
      </c>
      <c r="J716" s="172">
        <f>IF('Оперативный ввод'!J716="","",'Оперативный ввод'!J716)</f>
        <v/>
      </c>
      <c r="K716" s="172">
        <f>IF('Оперативный ввод'!K716="","",'Оперативный ввод'!K716)</f>
        <v/>
      </c>
      <c r="L716" s="172">
        <f>IF('Оперативный ввод'!L716="","",'Оперативный ввод'!L716)</f>
        <v/>
      </c>
      <c r="M716" s="172">
        <f>IF('Оперативный ввод'!M716="","",'Оперативный ввод'!M716)</f>
        <v/>
      </c>
      <c r="N716" s="172">
        <f>IF('Оперативный ввод'!N716="","",'Оперативный ввод'!N716)</f>
        <v/>
      </c>
      <c r="O716" s="172">
        <f>IF('Оперативный ввод'!O716="","",'Оперативный ввод'!O716)</f>
        <v/>
      </c>
      <c r="P716" s="205">
        <f>IF(AND(A716="",B716=""),"",IF(AND(A716&lt;&gt;"",B716&lt;&gt;"",C716&lt;&gt;"",D716&lt;&gt;"",F716&lt;&gt;"",G716&lt;&gt;"",H716&lt;&gt;"",ISERROR(SEARCH("по паспорту",G716)),ISERROR(SEARCH("по паспорту",H716)),I716&lt;&gt;"",J716&lt;&gt;"",K716&lt;&gt;"",L716&lt;&gt;"",M716&lt;&gt;""),"ГОТОВО","НЕ ГОТОВО"))</f>
        <v/>
      </c>
      <c r="Q716" s="205">
        <f>IF(P716&lt;&gt;"ГОТОВО","", "Предварительное заключение: "&amp;A716&amp;", скв. "&amp;B716&amp;". МРП: "&amp;E716&amp;" сут. ГНО: "&amp;F716&amp;", типоразмер "&amp;G716&amp;", марка "&amp;H716&amp;". Событие: "&amp;I716&amp;". Признак: "&amp;J716&amp;". Узел: "&amp;K716&amp;". Предварительная причина: "&amp;L716&amp;". Основное осложнение: "&amp;M716&amp;IF(N716&lt;&gt;"","; сопутствующее: "&amp;N716,"")&amp;IF(O716&lt;&gt;"","; дополнительно: "&amp;O716,"")&amp;".")</f>
        <v/>
      </c>
      <c r="R716" s="172">
        <f>IF('Оперативный ввод'!P716="","",'Оперативный ввод'!P716)</f>
        <v/>
      </c>
      <c r="S716" s="172">
        <f>IF('Оперативный ввод'!Q716="","",'Оперативный ввод'!Q716)</f>
        <v/>
      </c>
      <c r="T716" s="172">
        <f>IF('Оперативный ввод'!R716="","",'Оперативный ввод'!R716)</f>
        <v/>
      </c>
      <c r="U716" s="172">
        <f>IF('Оперативный ввод'!S716="","",'Оперативный ввод'!S716)</f>
        <v/>
      </c>
      <c r="V716" s="172">
        <f>IF('Оперативный ввод'!T716="","",'Оперативный ввод'!T716)</f>
        <v/>
      </c>
      <c r="W716" s="172" t="n"/>
      <c r="X716" s="172" t="n"/>
      <c r="Y716" s="172" t="n"/>
      <c r="Z716" s="172" t="n"/>
      <c r="AA716" s="172">
        <f>IF('Оперативный ввод'!U716="","",'Оперативный ввод'!U716)</f>
        <v/>
      </c>
      <c r="AB716" s="172">
        <f>IF('Оперативный ввод'!V716="","",'Оперативный ввод'!V716)</f>
        <v/>
      </c>
      <c r="AC716" s="172">
        <f>IF('Оперативный ввод'!W716="","",'Оперативный ввод'!W716)</f>
        <v/>
      </c>
      <c r="BB716" s="172" t="n"/>
      <c r="BC716" s="172" t="n"/>
      <c r="BD716" s="205">
        <f>IF(AND(A716="",B716=""),"",IF(AND(P716="ГОТОВО",R716&lt;&gt;"",T716&lt;&gt;"",U716&lt;&gt;"",AA716&lt;&gt;"",AB716&lt;&gt;"",AC716&lt;&gt;"",BB716&lt;&gt;"",BC716&lt;&gt;""),"ГОТОВО","НЕ ГОТОВО"))</f>
        <v/>
      </c>
      <c r="BE716" s="205">
        <f>IF(BD716&lt;&gt;"ГОТОВО","","Полное заключение: "&amp;A716&amp;", скв. "&amp;B716&amp;". МРП: "&amp;E716&amp;" сут. ГНО: "&amp;F716&amp;"; причина: "&amp;U716&amp;"; категория: "&amp;V716&amp;"; решение комиссии: "&amp;BB716&amp;".")</f>
        <v/>
      </c>
      <c r="BF716" s="173">
        <f>IF('Оперативный ввод'!X716="","",'Оперативный ввод'!X716)</f>
        <v/>
      </c>
    </row>
    <row r="717">
      <c r="A717" s="171">
        <f>IF('Оперативный ввод'!A717="","",'Оперативный ввод'!A717)</f>
        <v/>
      </c>
      <c r="B717" s="172">
        <f>IF('Оперативный ввод'!B717="","",'Оперативный ввод'!B717)</f>
        <v/>
      </c>
      <c r="C717" s="270">
        <f>IF('Оперативный ввод'!C717="","",'Оперативный ввод'!C717)</f>
        <v/>
      </c>
      <c r="D717" s="270">
        <f>IF('Оперативный ввод'!D717="","",'Оперативный ввод'!D717)</f>
        <v/>
      </c>
      <c r="E717" s="271">
        <f>IF(OR(C717="",D717=""),"",D717-C717)</f>
        <v/>
      </c>
      <c r="F717" s="172">
        <f>IF('Оперативный ввод'!F717="","",'Оперативный ввод'!F717)</f>
        <v/>
      </c>
      <c r="G717" s="172">
        <f>IF('Оперативный ввод'!G717="","",'Оперативный ввод'!G717)</f>
        <v/>
      </c>
      <c r="H717" s="172">
        <f>IF('Оперативный ввод'!H717="","",'Оперативный ввод'!H717)</f>
        <v/>
      </c>
      <c r="I717" s="172">
        <f>IF('Оперативный ввод'!I717="","",'Оперативный ввод'!I717)</f>
        <v/>
      </c>
      <c r="J717" s="172">
        <f>IF('Оперативный ввод'!J717="","",'Оперативный ввод'!J717)</f>
        <v/>
      </c>
      <c r="K717" s="172">
        <f>IF('Оперативный ввод'!K717="","",'Оперативный ввод'!K717)</f>
        <v/>
      </c>
      <c r="L717" s="172">
        <f>IF('Оперативный ввод'!L717="","",'Оперативный ввод'!L717)</f>
        <v/>
      </c>
      <c r="M717" s="172">
        <f>IF('Оперативный ввод'!M717="","",'Оперативный ввод'!M717)</f>
        <v/>
      </c>
      <c r="N717" s="172">
        <f>IF('Оперативный ввод'!N717="","",'Оперативный ввод'!N717)</f>
        <v/>
      </c>
      <c r="O717" s="172">
        <f>IF('Оперативный ввод'!O717="","",'Оперативный ввод'!O717)</f>
        <v/>
      </c>
      <c r="P717" s="205">
        <f>IF(AND(A717="",B717=""),"",IF(AND(A717&lt;&gt;"",B717&lt;&gt;"",C717&lt;&gt;"",D717&lt;&gt;"",F717&lt;&gt;"",G717&lt;&gt;"",H717&lt;&gt;"",ISERROR(SEARCH("по паспорту",G717)),ISERROR(SEARCH("по паспорту",H717)),I717&lt;&gt;"",J717&lt;&gt;"",K717&lt;&gt;"",L717&lt;&gt;"",M717&lt;&gt;""),"ГОТОВО","НЕ ГОТОВО"))</f>
        <v/>
      </c>
      <c r="Q717" s="205">
        <f>IF(P717&lt;&gt;"ГОТОВО","", "Предварительное заключение: "&amp;A717&amp;", скв. "&amp;B717&amp;". МРП: "&amp;E717&amp;" сут. ГНО: "&amp;F717&amp;", типоразмер "&amp;G717&amp;", марка "&amp;H717&amp;". Событие: "&amp;I717&amp;". Признак: "&amp;J717&amp;". Узел: "&amp;K717&amp;". Предварительная причина: "&amp;L717&amp;". Основное осложнение: "&amp;M717&amp;IF(N717&lt;&gt;"","; сопутствующее: "&amp;N717,"")&amp;IF(O717&lt;&gt;"","; дополнительно: "&amp;O717,"")&amp;".")</f>
        <v/>
      </c>
      <c r="R717" s="172">
        <f>IF('Оперативный ввод'!P717="","",'Оперативный ввод'!P717)</f>
        <v/>
      </c>
      <c r="S717" s="172">
        <f>IF('Оперативный ввод'!Q717="","",'Оперативный ввод'!Q717)</f>
        <v/>
      </c>
      <c r="T717" s="172">
        <f>IF('Оперативный ввод'!R717="","",'Оперативный ввод'!R717)</f>
        <v/>
      </c>
      <c r="U717" s="172">
        <f>IF('Оперативный ввод'!S717="","",'Оперативный ввод'!S717)</f>
        <v/>
      </c>
      <c r="V717" s="172">
        <f>IF('Оперативный ввод'!T717="","",'Оперативный ввод'!T717)</f>
        <v/>
      </c>
      <c r="W717" s="172" t="n"/>
      <c r="X717" s="172" t="n"/>
      <c r="Y717" s="172" t="n"/>
      <c r="Z717" s="172" t="n"/>
      <c r="AA717" s="172">
        <f>IF('Оперативный ввод'!U717="","",'Оперативный ввод'!U717)</f>
        <v/>
      </c>
      <c r="AB717" s="172">
        <f>IF('Оперативный ввод'!V717="","",'Оперативный ввод'!V717)</f>
        <v/>
      </c>
      <c r="AC717" s="172">
        <f>IF('Оперативный ввод'!W717="","",'Оперативный ввод'!W717)</f>
        <v/>
      </c>
      <c r="BB717" s="172" t="n"/>
      <c r="BC717" s="172" t="n"/>
      <c r="BD717" s="205">
        <f>IF(AND(A717="",B717=""),"",IF(AND(P717="ГОТОВО",R717&lt;&gt;"",T717&lt;&gt;"",U717&lt;&gt;"",AA717&lt;&gt;"",AB717&lt;&gt;"",AC717&lt;&gt;"",BB717&lt;&gt;"",BC717&lt;&gt;""),"ГОТОВО","НЕ ГОТОВО"))</f>
        <v/>
      </c>
      <c r="BE717" s="205">
        <f>IF(BD717&lt;&gt;"ГОТОВО","","Полное заключение: "&amp;A717&amp;", скв. "&amp;B717&amp;". МРП: "&amp;E717&amp;" сут. ГНО: "&amp;F717&amp;"; причина: "&amp;U717&amp;"; категория: "&amp;V717&amp;"; решение комиссии: "&amp;BB717&amp;".")</f>
        <v/>
      </c>
      <c r="BF717" s="173">
        <f>IF('Оперативный ввод'!X717="","",'Оперативный ввод'!X717)</f>
        <v/>
      </c>
    </row>
    <row r="718">
      <c r="A718" s="171">
        <f>IF('Оперативный ввод'!A718="","",'Оперативный ввод'!A718)</f>
        <v/>
      </c>
      <c r="B718" s="172">
        <f>IF('Оперативный ввод'!B718="","",'Оперативный ввод'!B718)</f>
        <v/>
      </c>
      <c r="C718" s="270">
        <f>IF('Оперативный ввод'!C718="","",'Оперативный ввод'!C718)</f>
        <v/>
      </c>
      <c r="D718" s="270">
        <f>IF('Оперативный ввод'!D718="","",'Оперативный ввод'!D718)</f>
        <v/>
      </c>
      <c r="E718" s="271">
        <f>IF(OR(C718="",D718=""),"",D718-C718)</f>
        <v/>
      </c>
      <c r="F718" s="172">
        <f>IF('Оперативный ввод'!F718="","",'Оперативный ввод'!F718)</f>
        <v/>
      </c>
      <c r="G718" s="172">
        <f>IF('Оперативный ввод'!G718="","",'Оперативный ввод'!G718)</f>
        <v/>
      </c>
      <c r="H718" s="172">
        <f>IF('Оперативный ввод'!H718="","",'Оперативный ввод'!H718)</f>
        <v/>
      </c>
      <c r="I718" s="172">
        <f>IF('Оперативный ввод'!I718="","",'Оперативный ввод'!I718)</f>
        <v/>
      </c>
      <c r="J718" s="172">
        <f>IF('Оперативный ввод'!J718="","",'Оперативный ввод'!J718)</f>
        <v/>
      </c>
      <c r="K718" s="172">
        <f>IF('Оперативный ввод'!K718="","",'Оперативный ввод'!K718)</f>
        <v/>
      </c>
      <c r="L718" s="172">
        <f>IF('Оперативный ввод'!L718="","",'Оперативный ввод'!L718)</f>
        <v/>
      </c>
      <c r="M718" s="172">
        <f>IF('Оперативный ввод'!M718="","",'Оперативный ввод'!M718)</f>
        <v/>
      </c>
      <c r="N718" s="172">
        <f>IF('Оперативный ввод'!N718="","",'Оперативный ввод'!N718)</f>
        <v/>
      </c>
      <c r="O718" s="172">
        <f>IF('Оперативный ввод'!O718="","",'Оперативный ввод'!O718)</f>
        <v/>
      </c>
      <c r="P718" s="205">
        <f>IF(AND(A718="",B718=""),"",IF(AND(A718&lt;&gt;"",B718&lt;&gt;"",C718&lt;&gt;"",D718&lt;&gt;"",F718&lt;&gt;"",G718&lt;&gt;"",H718&lt;&gt;"",ISERROR(SEARCH("по паспорту",G718)),ISERROR(SEARCH("по паспорту",H718)),I718&lt;&gt;"",J718&lt;&gt;"",K718&lt;&gt;"",L718&lt;&gt;"",M718&lt;&gt;""),"ГОТОВО","НЕ ГОТОВО"))</f>
        <v/>
      </c>
      <c r="Q718" s="205">
        <f>IF(P718&lt;&gt;"ГОТОВО","", "Предварительное заключение: "&amp;A718&amp;", скв. "&amp;B718&amp;". МРП: "&amp;E718&amp;" сут. ГНО: "&amp;F718&amp;", типоразмер "&amp;G718&amp;", марка "&amp;H718&amp;". Событие: "&amp;I718&amp;". Признак: "&amp;J718&amp;". Узел: "&amp;K718&amp;". Предварительная причина: "&amp;L718&amp;". Основное осложнение: "&amp;M718&amp;IF(N718&lt;&gt;"","; сопутствующее: "&amp;N718,"")&amp;IF(O718&lt;&gt;"","; дополнительно: "&amp;O718,"")&amp;".")</f>
        <v/>
      </c>
      <c r="R718" s="172">
        <f>IF('Оперативный ввод'!P718="","",'Оперативный ввод'!P718)</f>
        <v/>
      </c>
      <c r="S718" s="172">
        <f>IF('Оперативный ввод'!Q718="","",'Оперативный ввод'!Q718)</f>
        <v/>
      </c>
      <c r="T718" s="172">
        <f>IF('Оперативный ввод'!R718="","",'Оперативный ввод'!R718)</f>
        <v/>
      </c>
      <c r="U718" s="172">
        <f>IF('Оперативный ввод'!S718="","",'Оперативный ввод'!S718)</f>
        <v/>
      </c>
      <c r="V718" s="172">
        <f>IF('Оперативный ввод'!T718="","",'Оперативный ввод'!T718)</f>
        <v/>
      </c>
      <c r="W718" s="172" t="n"/>
      <c r="X718" s="172" t="n"/>
      <c r="Y718" s="172" t="n"/>
      <c r="Z718" s="172" t="n"/>
      <c r="AA718" s="172">
        <f>IF('Оперативный ввод'!U718="","",'Оперативный ввод'!U718)</f>
        <v/>
      </c>
      <c r="AB718" s="172">
        <f>IF('Оперативный ввод'!V718="","",'Оперативный ввод'!V718)</f>
        <v/>
      </c>
      <c r="AC718" s="172">
        <f>IF('Оперативный ввод'!W718="","",'Оперативный ввод'!W718)</f>
        <v/>
      </c>
      <c r="BB718" s="172" t="n"/>
      <c r="BC718" s="172" t="n"/>
      <c r="BD718" s="205">
        <f>IF(AND(A718="",B718=""),"",IF(AND(P718="ГОТОВО",R718&lt;&gt;"",T718&lt;&gt;"",U718&lt;&gt;"",AA718&lt;&gt;"",AB718&lt;&gt;"",AC718&lt;&gt;"",BB718&lt;&gt;"",BC718&lt;&gt;""),"ГОТОВО","НЕ ГОТОВО"))</f>
        <v/>
      </c>
      <c r="BE718" s="205">
        <f>IF(BD718&lt;&gt;"ГОТОВО","","Полное заключение: "&amp;A718&amp;", скв. "&amp;B718&amp;". МРП: "&amp;E718&amp;" сут. ГНО: "&amp;F718&amp;"; причина: "&amp;U718&amp;"; категория: "&amp;V718&amp;"; решение комиссии: "&amp;BB718&amp;".")</f>
        <v/>
      </c>
      <c r="BF718" s="173">
        <f>IF('Оперативный ввод'!X718="","",'Оперативный ввод'!X718)</f>
        <v/>
      </c>
    </row>
    <row r="719">
      <c r="A719" s="171">
        <f>IF('Оперативный ввод'!A719="","",'Оперативный ввод'!A719)</f>
        <v/>
      </c>
      <c r="B719" s="172">
        <f>IF('Оперативный ввод'!B719="","",'Оперативный ввод'!B719)</f>
        <v/>
      </c>
      <c r="C719" s="270">
        <f>IF('Оперативный ввод'!C719="","",'Оперативный ввод'!C719)</f>
        <v/>
      </c>
      <c r="D719" s="270">
        <f>IF('Оперативный ввод'!D719="","",'Оперативный ввод'!D719)</f>
        <v/>
      </c>
      <c r="E719" s="271">
        <f>IF(OR(C719="",D719=""),"",D719-C719)</f>
        <v/>
      </c>
      <c r="F719" s="172">
        <f>IF('Оперативный ввод'!F719="","",'Оперативный ввод'!F719)</f>
        <v/>
      </c>
      <c r="G719" s="172">
        <f>IF('Оперативный ввод'!G719="","",'Оперативный ввод'!G719)</f>
        <v/>
      </c>
      <c r="H719" s="172">
        <f>IF('Оперативный ввод'!H719="","",'Оперативный ввод'!H719)</f>
        <v/>
      </c>
      <c r="I719" s="172">
        <f>IF('Оперативный ввод'!I719="","",'Оперативный ввод'!I719)</f>
        <v/>
      </c>
      <c r="J719" s="172">
        <f>IF('Оперативный ввод'!J719="","",'Оперативный ввод'!J719)</f>
        <v/>
      </c>
      <c r="K719" s="172">
        <f>IF('Оперативный ввод'!K719="","",'Оперативный ввод'!K719)</f>
        <v/>
      </c>
      <c r="L719" s="172">
        <f>IF('Оперативный ввод'!L719="","",'Оперативный ввод'!L719)</f>
        <v/>
      </c>
      <c r="M719" s="172">
        <f>IF('Оперативный ввод'!M719="","",'Оперативный ввод'!M719)</f>
        <v/>
      </c>
      <c r="N719" s="172">
        <f>IF('Оперативный ввод'!N719="","",'Оперативный ввод'!N719)</f>
        <v/>
      </c>
      <c r="O719" s="172">
        <f>IF('Оперативный ввод'!O719="","",'Оперативный ввод'!O719)</f>
        <v/>
      </c>
      <c r="P719" s="205">
        <f>IF(AND(A719="",B719=""),"",IF(AND(A719&lt;&gt;"",B719&lt;&gt;"",C719&lt;&gt;"",D719&lt;&gt;"",F719&lt;&gt;"",G719&lt;&gt;"",H719&lt;&gt;"",ISERROR(SEARCH("по паспорту",G719)),ISERROR(SEARCH("по паспорту",H719)),I719&lt;&gt;"",J719&lt;&gt;"",K719&lt;&gt;"",L719&lt;&gt;"",M719&lt;&gt;""),"ГОТОВО","НЕ ГОТОВО"))</f>
        <v/>
      </c>
      <c r="Q719" s="205">
        <f>IF(P719&lt;&gt;"ГОТОВО","", "Предварительное заключение: "&amp;A719&amp;", скв. "&amp;B719&amp;". МРП: "&amp;E719&amp;" сут. ГНО: "&amp;F719&amp;", типоразмер "&amp;G719&amp;", марка "&amp;H719&amp;". Событие: "&amp;I719&amp;". Признак: "&amp;J719&amp;". Узел: "&amp;K719&amp;". Предварительная причина: "&amp;L719&amp;". Основное осложнение: "&amp;M719&amp;IF(N719&lt;&gt;"","; сопутствующее: "&amp;N719,"")&amp;IF(O719&lt;&gt;"","; дополнительно: "&amp;O719,"")&amp;".")</f>
        <v/>
      </c>
      <c r="R719" s="172">
        <f>IF('Оперативный ввод'!P719="","",'Оперативный ввод'!P719)</f>
        <v/>
      </c>
      <c r="S719" s="172">
        <f>IF('Оперативный ввод'!Q719="","",'Оперативный ввод'!Q719)</f>
        <v/>
      </c>
      <c r="T719" s="172">
        <f>IF('Оперативный ввод'!R719="","",'Оперативный ввод'!R719)</f>
        <v/>
      </c>
      <c r="U719" s="172">
        <f>IF('Оперативный ввод'!S719="","",'Оперативный ввод'!S719)</f>
        <v/>
      </c>
      <c r="V719" s="172">
        <f>IF('Оперативный ввод'!T719="","",'Оперативный ввод'!T719)</f>
        <v/>
      </c>
      <c r="W719" s="172" t="n"/>
      <c r="X719" s="172" t="n"/>
      <c r="Y719" s="172" t="n"/>
      <c r="Z719" s="172" t="n"/>
      <c r="AA719" s="172">
        <f>IF('Оперативный ввод'!U719="","",'Оперативный ввод'!U719)</f>
        <v/>
      </c>
      <c r="AB719" s="172">
        <f>IF('Оперативный ввод'!V719="","",'Оперативный ввод'!V719)</f>
        <v/>
      </c>
      <c r="AC719" s="172">
        <f>IF('Оперативный ввод'!W719="","",'Оперативный ввод'!W719)</f>
        <v/>
      </c>
      <c r="BB719" s="172" t="n"/>
      <c r="BC719" s="172" t="n"/>
      <c r="BD719" s="205">
        <f>IF(AND(A719="",B719=""),"",IF(AND(P719="ГОТОВО",R719&lt;&gt;"",T719&lt;&gt;"",U719&lt;&gt;"",AA719&lt;&gt;"",AB719&lt;&gt;"",AC719&lt;&gt;"",BB719&lt;&gt;"",BC719&lt;&gt;""),"ГОТОВО","НЕ ГОТОВО"))</f>
        <v/>
      </c>
      <c r="BE719" s="205">
        <f>IF(BD719&lt;&gt;"ГОТОВО","","Полное заключение: "&amp;A719&amp;", скв. "&amp;B719&amp;". МРП: "&amp;E719&amp;" сут. ГНО: "&amp;F719&amp;"; причина: "&amp;U719&amp;"; категория: "&amp;V719&amp;"; решение комиссии: "&amp;BB719&amp;".")</f>
        <v/>
      </c>
      <c r="BF719" s="173">
        <f>IF('Оперативный ввод'!X719="","",'Оперативный ввод'!X719)</f>
        <v/>
      </c>
    </row>
    <row r="720">
      <c r="A720" s="171">
        <f>IF('Оперативный ввод'!A720="","",'Оперативный ввод'!A720)</f>
        <v/>
      </c>
      <c r="B720" s="172">
        <f>IF('Оперативный ввод'!B720="","",'Оперативный ввод'!B720)</f>
        <v/>
      </c>
      <c r="C720" s="270">
        <f>IF('Оперативный ввод'!C720="","",'Оперативный ввод'!C720)</f>
        <v/>
      </c>
      <c r="D720" s="270">
        <f>IF('Оперативный ввод'!D720="","",'Оперативный ввод'!D720)</f>
        <v/>
      </c>
      <c r="E720" s="271">
        <f>IF(OR(C720="",D720=""),"",D720-C720)</f>
        <v/>
      </c>
      <c r="F720" s="172">
        <f>IF('Оперативный ввод'!F720="","",'Оперативный ввод'!F720)</f>
        <v/>
      </c>
      <c r="G720" s="172">
        <f>IF('Оперативный ввод'!G720="","",'Оперативный ввод'!G720)</f>
        <v/>
      </c>
      <c r="H720" s="172">
        <f>IF('Оперативный ввод'!H720="","",'Оперативный ввод'!H720)</f>
        <v/>
      </c>
      <c r="I720" s="172">
        <f>IF('Оперативный ввод'!I720="","",'Оперативный ввод'!I720)</f>
        <v/>
      </c>
      <c r="J720" s="172">
        <f>IF('Оперативный ввод'!J720="","",'Оперативный ввод'!J720)</f>
        <v/>
      </c>
      <c r="K720" s="172">
        <f>IF('Оперативный ввод'!K720="","",'Оперативный ввод'!K720)</f>
        <v/>
      </c>
      <c r="L720" s="172">
        <f>IF('Оперативный ввод'!L720="","",'Оперативный ввод'!L720)</f>
        <v/>
      </c>
      <c r="M720" s="172">
        <f>IF('Оперативный ввод'!M720="","",'Оперативный ввод'!M720)</f>
        <v/>
      </c>
      <c r="N720" s="172">
        <f>IF('Оперативный ввод'!N720="","",'Оперативный ввод'!N720)</f>
        <v/>
      </c>
      <c r="O720" s="172">
        <f>IF('Оперативный ввод'!O720="","",'Оперативный ввод'!O720)</f>
        <v/>
      </c>
      <c r="P720" s="205">
        <f>IF(AND(A720="",B720=""),"",IF(AND(A720&lt;&gt;"",B720&lt;&gt;"",C720&lt;&gt;"",D720&lt;&gt;"",F720&lt;&gt;"",G720&lt;&gt;"",H720&lt;&gt;"",ISERROR(SEARCH("по паспорту",G720)),ISERROR(SEARCH("по паспорту",H720)),I720&lt;&gt;"",J720&lt;&gt;"",K720&lt;&gt;"",L720&lt;&gt;"",M720&lt;&gt;""),"ГОТОВО","НЕ ГОТОВО"))</f>
        <v/>
      </c>
      <c r="Q720" s="205">
        <f>IF(P720&lt;&gt;"ГОТОВО","", "Предварительное заключение: "&amp;A720&amp;", скв. "&amp;B720&amp;". МРП: "&amp;E720&amp;" сут. ГНО: "&amp;F720&amp;", типоразмер "&amp;G720&amp;", марка "&amp;H720&amp;". Событие: "&amp;I720&amp;". Признак: "&amp;J720&amp;". Узел: "&amp;K720&amp;". Предварительная причина: "&amp;L720&amp;". Основное осложнение: "&amp;M720&amp;IF(N720&lt;&gt;"","; сопутствующее: "&amp;N720,"")&amp;IF(O720&lt;&gt;"","; дополнительно: "&amp;O720,"")&amp;".")</f>
        <v/>
      </c>
      <c r="R720" s="172">
        <f>IF('Оперативный ввод'!P720="","",'Оперативный ввод'!P720)</f>
        <v/>
      </c>
      <c r="S720" s="172">
        <f>IF('Оперативный ввод'!Q720="","",'Оперативный ввод'!Q720)</f>
        <v/>
      </c>
      <c r="T720" s="172">
        <f>IF('Оперативный ввод'!R720="","",'Оперативный ввод'!R720)</f>
        <v/>
      </c>
      <c r="U720" s="172">
        <f>IF('Оперативный ввод'!S720="","",'Оперативный ввод'!S720)</f>
        <v/>
      </c>
      <c r="V720" s="172">
        <f>IF('Оперативный ввод'!T720="","",'Оперативный ввод'!T720)</f>
        <v/>
      </c>
      <c r="W720" s="172" t="n"/>
      <c r="X720" s="172" t="n"/>
      <c r="Y720" s="172" t="n"/>
      <c r="Z720" s="172" t="n"/>
      <c r="AA720" s="172">
        <f>IF('Оперативный ввод'!U720="","",'Оперативный ввод'!U720)</f>
        <v/>
      </c>
      <c r="AB720" s="172">
        <f>IF('Оперативный ввод'!V720="","",'Оперативный ввод'!V720)</f>
        <v/>
      </c>
      <c r="AC720" s="172">
        <f>IF('Оперативный ввод'!W720="","",'Оперативный ввод'!W720)</f>
        <v/>
      </c>
      <c r="BB720" s="172" t="n"/>
      <c r="BC720" s="172" t="n"/>
      <c r="BD720" s="205">
        <f>IF(AND(A720="",B720=""),"",IF(AND(P720="ГОТОВО",R720&lt;&gt;"",T720&lt;&gt;"",U720&lt;&gt;"",AA720&lt;&gt;"",AB720&lt;&gt;"",AC720&lt;&gt;"",BB720&lt;&gt;"",BC720&lt;&gt;""),"ГОТОВО","НЕ ГОТОВО"))</f>
        <v/>
      </c>
      <c r="BE720" s="205">
        <f>IF(BD720&lt;&gt;"ГОТОВО","","Полное заключение: "&amp;A720&amp;", скв. "&amp;B720&amp;". МРП: "&amp;E720&amp;" сут. ГНО: "&amp;F720&amp;"; причина: "&amp;U720&amp;"; категория: "&amp;V720&amp;"; решение комиссии: "&amp;BB720&amp;".")</f>
        <v/>
      </c>
      <c r="BF720" s="173">
        <f>IF('Оперативный ввод'!X720="","",'Оперативный ввод'!X720)</f>
        <v/>
      </c>
    </row>
    <row r="721">
      <c r="A721" s="171">
        <f>IF('Оперативный ввод'!A721="","",'Оперативный ввод'!A721)</f>
        <v/>
      </c>
      <c r="B721" s="172">
        <f>IF('Оперативный ввод'!B721="","",'Оперативный ввод'!B721)</f>
        <v/>
      </c>
      <c r="C721" s="270">
        <f>IF('Оперативный ввод'!C721="","",'Оперативный ввод'!C721)</f>
        <v/>
      </c>
      <c r="D721" s="270">
        <f>IF('Оперативный ввод'!D721="","",'Оперативный ввод'!D721)</f>
        <v/>
      </c>
      <c r="E721" s="271">
        <f>IF(OR(C721="",D721=""),"",D721-C721)</f>
        <v/>
      </c>
      <c r="F721" s="172">
        <f>IF('Оперативный ввод'!F721="","",'Оперативный ввод'!F721)</f>
        <v/>
      </c>
      <c r="G721" s="172">
        <f>IF('Оперативный ввод'!G721="","",'Оперативный ввод'!G721)</f>
        <v/>
      </c>
      <c r="H721" s="172">
        <f>IF('Оперативный ввод'!H721="","",'Оперативный ввод'!H721)</f>
        <v/>
      </c>
      <c r="I721" s="172">
        <f>IF('Оперативный ввод'!I721="","",'Оперативный ввод'!I721)</f>
        <v/>
      </c>
      <c r="J721" s="172">
        <f>IF('Оперативный ввод'!J721="","",'Оперативный ввод'!J721)</f>
        <v/>
      </c>
      <c r="K721" s="172">
        <f>IF('Оперативный ввод'!K721="","",'Оперативный ввод'!K721)</f>
        <v/>
      </c>
      <c r="L721" s="172">
        <f>IF('Оперативный ввод'!L721="","",'Оперативный ввод'!L721)</f>
        <v/>
      </c>
      <c r="M721" s="172">
        <f>IF('Оперативный ввод'!M721="","",'Оперативный ввод'!M721)</f>
        <v/>
      </c>
      <c r="N721" s="172">
        <f>IF('Оперативный ввод'!N721="","",'Оперативный ввод'!N721)</f>
        <v/>
      </c>
      <c r="O721" s="172">
        <f>IF('Оперативный ввод'!O721="","",'Оперативный ввод'!O721)</f>
        <v/>
      </c>
      <c r="P721" s="205">
        <f>IF(AND(A721="",B721=""),"",IF(AND(A721&lt;&gt;"",B721&lt;&gt;"",C721&lt;&gt;"",D721&lt;&gt;"",F721&lt;&gt;"",G721&lt;&gt;"",H721&lt;&gt;"",ISERROR(SEARCH("по паспорту",G721)),ISERROR(SEARCH("по паспорту",H721)),I721&lt;&gt;"",J721&lt;&gt;"",K721&lt;&gt;"",L721&lt;&gt;"",M721&lt;&gt;""),"ГОТОВО","НЕ ГОТОВО"))</f>
        <v/>
      </c>
      <c r="Q721" s="205">
        <f>IF(P721&lt;&gt;"ГОТОВО","", "Предварительное заключение: "&amp;A721&amp;", скв. "&amp;B721&amp;". МРП: "&amp;E721&amp;" сут. ГНО: "&amp;F721&amp;", типоразмер "&amp;G721&amp;", марка "&amp;H721&amp;". Событие: "&amp;I721&amp;". Признак: "&amp;J721&amp;". Узел: "&amp;K721&amp;". Предварительная причина: "&amp;L721&amp;". Основное осложнение: "&amp;M721&amp;IF(N721&lt;&gt;"","; сопутствующее: "&amp;N721,"")&amp;IF(O721&lt;&gt;"","; дополнительно: "&amp;O721,"")&amp;".")</f>
        <v/>
      </c>
      <c r="R721" s="172">
        <f>IF('Оперативный ввод'!P721="","",'Оперативный ввод'!P721)</f>
        <v/>
      </c>
      <c r="S721" s="172">
        <f>IF('Оперативный ввод'!Q721="","",'Оперативный ввод'!Q721)</f>
        <v/>
      </c>
      <c r="T721" s="172">
        <f>IF('Оперативный ввод'!R721="","",'Оперативный ввод'!R721)</f>
        <v/>
      </c>
      <c r="U721" s="172">
        <f>IF('Оперативный ввод'!S721="","",'Оперативный ввод'!S721)</f>
        <v/>
      </c>
      <c r="V721" s="172">
        <f>IF('Оперативный ввод'!T721="","",'Оперативный ввод'!T721)</f>
        <v/>
      </c>
      <c r="W721" s="172" t="n"/>
      <c r="X721" s="172" t="n"/>
      <c r="Y721" s="172" t="n"/>
      <c r="Z721" s="172" t="n"/>
      <c r="AA721" s="172">
        <f>IF('Оперативный ввод'!U721="","",'Оперативный ввод'!U721)</f>
        <v/>
      </c>
      <c r="AB721" s="172">
        <f>IF('Оперативный ввод'!V721="","",'Оперативный ввод'!V721)</f>
        <v/>
      </c>
      <c r="AC721" s="172">
        <f>IF('Оперативный ввод'!W721="","",'Оперативный ввод'!W721)</f>
        <v/>
      </c>
      <c r="BB721" s="172" t="n"/>
      <c r="BC721" s="172" t="n"/>
      <c r="BD721" s="205">
        <f>IF(AND(A721="",B721=""),"",IF(AND(P721="ГОТОВО",R721&lt;&gt;"",T721&lt;&gt;"",U721&lt;&gt;"",AA721&lt;&gt;"",AB721&lt;&gt;"",AC721&lt;&gt;"",BB721&lt;&gt;"",BC721&lt;&gt;""),"ГОТОВО","НЕ ГОТОВО"))</f>
        <v/>
      </c>
      <c r="BE721" s="205">
        <f>IF(BD721&lt;&gt;"ГОТОВО","","Полное заключение: "&amp;A721&amp;", скв. "&amp;B721&amp;". МРП: "&amp;E721&amp;" сут. ГНО: "&amp;F721&amp;"; причина: "&amp;U721&amp;"; категория: "&amp;V721&amp;"; решение комиссии: "&amp;BB721&amp;".")</f>
        <v/>
      </c>
      <c r="BF721" s="173">
        <f>IF('Оперативный ввод'!X721="","",'Оперативный ввод'!X721)</f>
        <v/>
      </c>
    </row>
    <row r="722">
      <c r="A722" s="171">
        <f>IF('Оперативный ввод'!A722="","",'Оперативный ввод'!A722)</f>
        <v/>
      </c>
      <c r="B722" s="172">
        <f>IF('Оперативный ввод'!B722="","",'Оперативный ввод'!B722)</f>
        <v/>
      </c>
      <c r="C722" s="270">
        <f>IF('Оперативный ввод'!C722="","",'Оперативный ввод'!C722)</f>
        <v/>
      </c>
      <c r="D722" s="270">
        <f>IF('Оперативный ввод'!D722="","",'Оперативный ввод'!D722)</f>
        <v/>
      </c>
      <c r="E722" s="271">
        <f>IF(OR(C722="",D722=""),"",D722-C722)</f>
        <v/>
      </c>
      <c r="F722" s="172">
        <f>IF('Оперативный ввод'!F722="","",'Оперативный ввод'!F722)</f>
        <v/>
      </c>
      <c r="G722" s="172">
        <f>IF('Оперативный ввод'!G722="","",'Оперативный ввод'!G722)</f>
        <v/>
      </c>
      <c r="H722" s="172">
        <f>IF('Оперативный ввод'!H722="","",'Оперативный ввод'!H722)</f>
        <v/>
      </c>
      <c r="I722" s="172">
        <f>IF('Оперативный ввод'!I722="","",'Оперативный ввод'!I722)</f>
        <v/>
      </c>
      <c r="J722" s="172">
        <f>IF('Оперативный ввод'!J722="","",'Оперативный ввод'!J722)</f>
        <v/>
      </c>
      <c r="K722" s="172">
        <f>IF('Оперативный ввод'!K722="","",'Оперативный ввод'!K722)</f>
        <v/>
      </c>
      <c r="L722" s="172">
        <f>IF('Оперативный ввод'!L722="","",'Оперативный ввод'!L722)</f>
        <v/>
      </c>
      <c r="M722" s="172">
        <f>IF('Оперативный ввод'!M722="","",'Оперативный ввод'!M722)</f>
        <v/>
      </c>
      <c r="N722" s="172">
        <f>IF('Оперативный ввод'!N722="","",'Оперативный ввод'!N722)</f>
        <v/>
      </c>
      <c r="O722" s="172">
        <f>IF('Оперативный ввод'!O722="","",'Оперативный ввод'!O722)</f>
        <v/>
      </c>
      <c r="P722" s="205">
        <f>IF(AND(A722="",B722=""),"",IF(AND(A722&lt;&gt;"",B722&lt;&gt;"",C722&lt;&gt;"",D722&lt;&gt;"",F722&lt;&gt;"",G722&lt;&gt;"",H722&lt;&gt;"",ISERROR(SEARCH("по паспорту",G722)),ISERROR(SEARCH("по паспорту",H722)),I722&lt;&gt;"",J722&lt;&gt;"",K722&lt;&gt;"",L722&lt;&gt;"",M722&lt;&gt;""),"ГОТОВО","НЕ ГОТОВО"))</f>
        <v/>
      </c>
      <c r="Q722" s="205">
        <f>IF(P722&lt;&gt;"ГОТОВО","", "Предварительное заключение: "&amp;A722&amp;", скв. "&amp;B722&amp;". МРП: "&amp;E722&amp;" сут. ГНО: "&amp;F722&amp;", типоразмер "&amp;G722&amp;", марка "&amp;H722&amp;". Событие: "&amp;I722&amp;". Признак: "&amp;J722&amp;". Узел: "&amp;K722&amp;". Предварительная причина: "&amp;L722&amp;". Основное осложнение: "&amp;M722&amp;IF(N722&lt;&gt;"","; сопутствующее: "&amp;N722,"")&amp;IF(O722&lt;&gt;"","; дополнительно: "&amp;O722,"")&amp;".")</f>
        <v/>
      </c>
      <c r="R722" s="172">
        <f>IF('Оперативный ввод'!P722="","",'Оперативный ввод'!P722)</f>
        <v/>
      </c>
      <c r="S722" s="172">
        <f>IF('Оперативный ввод'!Q722="","",'Оперативный ввод'!Q722)</f>
        <v/>
      </c>
      <c r="T722" s="172">
        <f>IF('Оперативный ввод'!R722="","",'Оперативный ввод'!R722)</f>
        <v/>
      </c>
      <c r="U722" s="172">
        <f>IF('Оперативный ввод'!S722="","",'Оперативный ввод'!S722)</f>
        <v/>
      </c>
      <c r="V722" s="172">
        <f>IF('Оперативный ввод'!T722="","",'Оперативный ввод'!T722)</f>
        <v/>
      </c>
      <c r="W722" s="172" t="n"/>
      <c r="X722" s="172" t="n"/>
      <c r="Y722" s="172" t="n"/>
      <c r="Z722" s="172" t="n"/>
      <c r="AA722" s="172">
        <f>IF('Оперативный ввод'!U722="","",'Оперативный ввод'!U722)</f>
        <v/>
      </c>
      <c r="AB722" s="172">
        <f>IF('Оперативный ввод'!V722="","",'Оперативный ввод'!V722)</f>
        <v/>
      </c>
      <c r="AC722" s="172">
        <f>IF('Оперативный ввод'!W722="","",'Оперативный ввод'!W722)</f>
        <v/>
      </c>
      <c r="BB722" s="172" t="n"/>
      <c r="BC722" s="172" t="n"/>
      <c r="BD722" s="205">
        <f>IF(AND(A722="",B722=""),"",IF(AND(P722="ГОТОВО",R722&lt;&gt;"",T722&lt;&gt;"",U722&lt;&gt;"",AA722&lt;&gt;"",AB722&lt;&gt;"",AC722&lt;&gt;"",BB722&lt;&gt;"",BC722&lt;&gt;""),"ГОТОВО","НЕ ГОТОВО"))</f>
        <v/>
      </c>
      <c r="BE722" s="205">
        <f>IF(BD722&lt;&gt;"ГОТОВО","","Полное заключение: "&amp;A722&amp;", скв. "&amp;B722&amp;". МРП: "&amp;E722&amp;" сут. ГНО: "&amp;F722&amp;"; причина: "&amp;U722&amp;"; категория: "&amp;V722&amp;"; решение комиссии: "&amp;BB722&amp;".")</f>
        <v/>
      </c>
      <c r="BF722" s="173">
        <f>IF('Оперативный ввод'!X722="","",'Оперативный ввод'!X722)</f>
        <v/>
      </c>
    </row>
    <row r="723">
      <c r="A723" s="171">
        <f>IF('Оперативный ввод'!A723="","",'Оперативный ввод'!A723)</f>
        <v/>
      </c>
      <c r="B723" s="172">
        <f>IF('Оперативный ввод'!B723="","",'Оперативный ввод'!B723)</f>
        <v/>
      </c>
      <c r="C723" s="270">
        <f>IF('Оперативный ввод'!C723="","",'Оперативный ввод'!C723)</f>
        <v/>
      </c>
      <c r="D723" s="270">
        <f>IF('Оперативный ввод'!D723="","",'Оперативный ввод'!D723)</f>
        <v/>
      </c>
      <c r="E723" s="271">
        <f>IF(OR(C723="",D723=""),"",D723-C723)</f>
        <v/>
      </c>
      <c r="F723" s="172">
        <f>IF('Оперативный ввод'!F723="","",'Оперативный ввод'!F723)</f>
        <v/>
      </c>
      <c r="G723" s="172">
        <f>IF('Оперативный ввод'!G723="","",'Оперативный ввод'!G723)</f>
        <v/>
      </c>
      <c r="H723" s="172">
        <f>IF('Оперативный ввод'!H723="","",'Оперативный ввод'!H723)</f>
        <v/>
      </c>
      <c r="I723" s="172">
        <f>IF('Оперативный ввод'!I723="","",'Оперативный ввод'!I723)</f>
        <v/>
      </c>
      <c r="J723" s="172">
        <f>IF('Оперативный ввод'!J723="","",'Оперативный ввод'!J723)</f>
        <v/>
      </c>
      <c r="K723" s="172">
        <f>IF('Оперативный ввод'!K723="","",'Оперативный ввод'!K723)</f>
        <v/>
      </c>
      <c r="L723" s="172">
        <f>IF('Оперативный ввод'!L723="","",'Оперативный ввод'!L723)</f>
        <v/>
      </c>
      <c r="M723" s="172">
        <f>IF('Оперативный ввод'!M723="","",'Оперативный ввод'!M723)</f>
        <v/>
      </c>
      <c r="N723" s="172">
        <f>IF('Оперативный ввод'!N723="","",'Оперативный ввод'!N723)</f>
        <v/>
      </c>
      <c r="O723" s="172">
        <f>IF('Оперативный ввод'!O723="","",'Оперативный ввод'!O723)</f>
        <v/>
      </c>
      <c r="P723" s="205">
        <f>IF(AND(A723="",B723=""),"",IF(AND(A723&lt;&gt;"",B723&lt;&gt;"",C723&lt;&gt;"",D723&lt;&gt;"",F723&lt;&gt;"",G723&lt;&gt;"",H723&lt;&gt;"",ISERROR(SEARCH("по паспорту",G723)),ISERROR(SEARCH("по паспорту",H723)),I723&lt;&gt;"",J723&lt;&gt;"",K723&lt;&gt;"",L723&lt;&gt;"",M723&lt;&gt;""),"ГОТОВО","НЕ ГОТОВО"))</f>
        <v/>
      </c>
      <c r="Q723" s="205">
        <f>IF(P723&lt;&gt;"ГОТОВО","", "Предварительное заключение: "&amp;A723&amp;", скв. "&amp;B723&amp;". МРП: "&amp;E723&amp;" сут. ГНО: "&amp;F723&amp;", типоразмер "&amp;G723&amp;", марка "&amp;H723&amp;". Событие: "&amp;I723&amp;". Признак: "&amp;J723&amp;". Узел: "&amp;K723&amp;". Предварительная причина: "&amp;L723&amp;". Основное осложнение: "&amp;M723&amp;IF(N723&lt;&gt;"","; сопутствующее: "&amp;N723,"")&amp;IF(O723&lt;&gt;"","; дополнительно: "&amp;O723,"")&amp;".")</f>
        <v/>
      </c>
      <c r="R723" s="172">
        <f>IF('Оперативный ввод'!P723="","",'Оперативный ввод'!P723)</f>
        <v/>
      </c>
      <c r="S723" s="172">
        <f>IF('Оперативный ввод'!Q723="","",'Оперативный ввод'!Q723)</f>
        <v/>
      </c>
      <c r="T723" s="172">
        <f>IF('Оперативный ввод'!R723="","",'Оперативный ввод'!R723)</f>
        <v/>
      </c>
      <c r="U723" s="172">
        <f>IF('Оперативный ввод'!S723="","",'Оперативный ввод'!S723)</f>
        <v/>
      </c>
      <c r="V723" s="172">
        <f>IF('Оперативный ввод'!T723="","",'Оперативный ввод'!T723)</f>
        <v/>
      </c>
      <c r="W723" s="172" t="n"/>
      <c r="X723" s="172" t="n"/>
      <c r="Y723" s="172" t="n"/>
      <c r="Z723" s="172" t="n"/>
      <c r="AA723" s="172">
        <f>IF('Оперативный ввод'!U723="","",'Оперативный ввод'!U723)</f>
        <v/>
      </c>
      <c r="AB723" s="172">
        <f>IF('Оперативный ввод'!V723="","",'Оперативный ввод'!V723)</f>
        <v/>
      </c>
      <c r="AC723" s="172">
        <f>IF('Оперативный ввод'!W723="","",'Оперативный ввод'!W723)</f>
        <v/>
      </c>
      <c r="BB723" s="172" t="n"/>
      <c r="BC723" s="172" t="n"/>
      <c r="BD723" s="205">
        <f>IF(AND(A723="",B723=""),"",IF(AND(P723="ГОТОВО",R723&lt;&gt;"",T723&lt;&gt;"",U723&lt;&gt;"",AA723&lt;&gt;"",AB723&lt;&gt;"",AC723&lt;&gt;"",BB723&lt;&gt;"",BC723&lt;&gt;""),"ГОТОВО","НЕ ГОТОВО"))</f>
        <v/>
      </c>
      <c r="BE723" s="205">
        <f>IF(BD723&lt;&gt;"ГОТОВО","","Полное заключение: "&amp;A723&amp;", скв. "&amp;B723&amp;". МРП: "&amp;E723&amp;" сут. ГНО: "&amp;F723&amp;"; причина: "&amp;U723&amp;"; категория: "&amp;V723&amp;"; решение комиссии: "&amp;BB723&amp;".")</f>
        <v/>
      </c>
      <c r="BF723" s="173">
        <f>IF('Оперативный ввод'!X723="","",'Оперативный ввод'!X723)</f>
        <v/>
      </c>
    </row>
    <row r="724">
      <c r="A724" s="171">
        <f>IF('Оперативный ввод'!A724="","",'Оперативный ввод'!A724)</f>
        <v/>
      </c>
      <c r="B724" s="172">
        <f>IF('Оперативный ввод'!B724="","",'Оперативный ввод'!B724)</f>
        <v/>
      </c>
      <c r="C724" s="270">
        <f>IF('Оперативный ввод'!C724="","",'Оперативный ввод'!C724)</f>
        <v/>
      </c>
      <c r="D724" s="270">
        <f>IF('Оперативный ввод'!D724="","",'Оперативный ввод'!D724)</f>
        <v/>
      </c>
      <c r="E724" s="271">
        <f>IF(OR(C724="",D724=""),"",D724-C724)</f>
        <v/>
      </c>
      <c r="F724" s="172">
        <f>IF('Оперативный ввод'!F724="","",'Оперативный ввод'!F724)</f>
        <v/>
      </c>
      <c r="G724" s="172">
        <f>IF('Оперативный ввод'!G724="","",'Оперативный ввод'!G724)</f>
        <v/>
      </c>
      <c r="H724" s="172">
        <f>IF('Оперативный ввод'!H724="","",'Оперативный ввод'!H724)</f>
        <v/>
      </c>
      <c r="I724" s="172">
        <f>IF('Оперативный ввод'!I724="","",'Оперативный ввод'!I724)</f>
        <v/>
      </c>
      <c r="J724" s="172">
        <f>IF('Оперативный ввод'!J724="","",'Оперативный ввод'!J724)</f>
        <v/>
      </c>
      <c r="K724" s="172">
        <f>IF('Оперативный ввод'!K724="","",'Оперативный ввод'!K724)</f>
        <v/>
      </c>
      <c r="L724" s="172">
        <f>IF('Оперативный ввод'!L724="","",'Оперативный ввод'!L724)</f>
        <v/>
      </c>
      <c r="M724" s="172">
        <f>IF('Оперативный ввод'!M724="","",'Оперативный ввод'!M724)</f>
        <v/>
      </c>
      <c r="N724" s="172">
        <f>IF('Оперативный ввод'!N724="","",'Оперативный ввод'!N724)</f>
        <v/>
      </c>
      <c r="O724" s="172">
        <f>IF('Оперативный ввод'!O724="","",'Оперативный ввод'!O724)</f>
        <v/>
      </c>
      <c r="P724" s="205">
        <f>IF(AND(A724="",B724=""),"",IF(AND(A724&lt;&gt;"",B724&lt;&gt;"",C724&lt;&gt;"",D724&lt;&gt;"",F724&lt;&gt;"",G724&lt;&gt;"",H724&lt;&gt;"",ISERROR(SEARCH("по паспорту",G724)),ISERROR(SEARCH("по паспорту",H724)),I724&lt;&gt;"",J724&lt;&gt;"",K724&lt;&gt;"",L724&lt;&gt;"",M724&lt;&gt;""),"ГОТОВО","НЕ ГОТОВО"))</f>
        <v/>
      </c>
      <c r="Q724" s="205">
        <f>IF(P724&lt;&gt;"ГОТОВО","", "Предварительное заключение: "&amp;A724&amp;", скв. "&amp;B724&amp;". МРП: "&amp;E724&amp;" сут. ГНО: "&amp;F724&amp;", типоразмер "&amp;G724&amp;", марка "&amp;H724&amp;". Событие: "&amp;I724&amp;". Признак: "&amp;J724&amp;". Узел: "&amp;K724&amp;". Предварительная причина: "&amp;L724&amp;". Основное осложнение: "&amp;M724&amp;IF(N724&lt;&gt;"","; сопутствующее: "&amp;N724,"")&amp;IF(O724&lt;&gt;"","; дополнительно: "&amp;O724,"")&amp;".")</f>
        <v/>
      </c>
      <c r="R724" s="172">
        <f>IF('Оперативный ввод'!P724="","",'Оперативный ввод'!P724)</f>
        <v/>
      </c>
      <c r="S724" s="172">
        <f>IF('Оперативный ввод'!Q724="","",'Оперативный ввод'!Q724)</f>
        <v/>
      </c>
      <c r="T724" s="172">
        <f>IF('Оперативный ввод'!R724="","",'Оперативный ввод'!R724)</f>
        <v/>
      </c>
      <c r="U724" s="172">
        <f>IF('Оперативный ввод'!S724="","",'Оперативный ввод'!S724)</f>
        <v/>
      </c>
      <c r="V724" s="172">
        <f>IF('Оперативный ввод'!T724="","",'Оперативный ввод'!T724)</f>
        <v/>
      </c>
      <c r="W724" s="172" t="n"/>
      <c r="X724" s="172" t="n"/>
      <c r="Y724" s="172" t="n"/>
      <c r="Z724" s="172" t="n"/>
      <c r="AA724" s="172">
        <f>IF('Оперативный ввод'!U724="","",'Оперативный ввод'!U724)</f>
        <v/>
      </c>
      <c r="AB724" s="172">
        <f>IF('Оперативный ввод'!V724="","",'Оперативный ввод'!V724)</f>
        <v/>
      </c>
      <c r="AC724" s="172">
        <f>IF('Оперативный ввод'!W724="","",'Оперативный ввод'!W724)</f>
        <v/>
      </c>
      <c r="BB724" s="172" t="n"/>
      <c r="BC724" s="172" t="n"/>
      <c r="BD724" s="205">
        <f>IF(AND(A724="",B724=""),"",IF(AND(P724="ГОТОВО",R724&lt;&gt;"",T724&lt;&gt;"",U724&lt;&gt;"",AA724&lt;&gt;"",AB724&lt;&gt;"",AC724&lt;&gt;"",BB724&lt;&gt;"",BC724&lt;&gt;""),"ГОТОВО","НЕ ГОТОВО"))</f>
        <v/>
      </c>
      <c r="BE724" s="205">
        <f>IF(BD724&lt;&gt;"ГОТОВО","","Полное заключение: "&amp;A724&amp;", скв. "&amp;B724&amp;". МРП: "&amp;E724&amp;" сут. ГНО: "&amp;F724&amp;"; причина: "&amp;U724&amp;"; категория: "&amp;V724&amp;"; решение комиссии: "&amp;BB724&amp;".")</f>
        <v/>
      </c>
      <c r="BF724" s="173">
        <f>IF('Оперативный ввод'!X724="","",'Оперативный ввод'!X724)</f>
        <v/>
      </c>
    </row>
    <row r="725">
      <c r="A725" s="171">
        <f>IF('Оперативный ввод'!A725="","",'Оперативный ввод'!A725)</f>
        <v/>
      </c>
      <c r="B725" s="172">
        <f>IF('Оперативный ввод'!B725="","",'Оперативный ввод'!B725)</f>
        <v/>
      </c>
      <c r="C725" s="270">
        <f>IF('Оперативный ввод'!C725="","",'Оперативный ввод'!C725)</f>
        <v/>
      </c>
      <c r="D725" s="270">
        <f>IF('Оперативный ввод'!D725="","",'Оперативный ввод'!D725)</f>
        <v/>
      </c>
      <c r="E725" s="271">
        <f>IF(OR(C725="",D725=""),"",D725-C725)</f>
        <v/>
      </c>
      <c r="F725" s="172">
        <f>IF('Оперативный ввод'!F725="","",'Оперативный ввод'!F725)</f>
        <v/>
      </c>
      <c r="G725" s="172">
        <f>IF('Оперативный ввод'!G725="","",'Оперативный ввод'!G725)</f>
        <v/>
      </c>
      <c r="H725" s="172">
        <f>IF('Оперативный ввод'!H725="","",'Оперативный ввод'!H725)</f>
        <v/>
      </c>
      <c r="I725" s="172">
        <f>IF('Оперативный ввод'!I725="","",'Оперативный ввод'!I725)</f>
        <v/>
      </c>
      <c r="J725" s="172">
        <f>IF('Оперативный ввод'!J725="","",'Оперативный ввод'!J725)</f>
        <v/>
      </c>
      <c r="K725" s="172">
        <f>IF('Оперативный ввод'!K725="","",'Оперативный ввод'!K725)</f>
        <v/>
      </c>
      <c r="L725" s="172">
        <f>IF('Оперативный ввод'!L725="","",'Оперативный ввод'!L725)</f>
        <v/>
      </c>
      <c r="M725" s="172">
        <f>IF('Оперативный ввод'!M725="","",'Оперативный ввод'!M725)</f>
        <v/>
      </c>
      <c r="N725" s="172">
        <f>IF('Оперативный ввод'!N725="","",'Оперативный ввод'!N725)</f>
        <v/>
      </c>
      <c r="O725" s="172">
        <f>IF('Оперативный ввод'!O725="","",'Оперативный ввод'!O725)</f>
        <v/>
      </c>
      <c r="P725" s="205">
        <f>IF(AND(A725="",B725=""),"",IF(AND(A725&lt;&gt;"",B725&lt;&gt;"",C725&lt;&gt;"",D725&lt;&gt;"",F725&lt;&gt;"",G725&lt;&gt;"",H725&lt;&gt;"",ISERROR(SEARCH("по паспорту",G725)),ISERROR(SEARCH("по паспорту",H725)),I725&lt;&gt;"",J725&lt;&gt;"",K725&lt;&gt;"",L725&lt;&gt;"",M725&lt;&gt;""),"ГОТОВО","НЕ ГОТОВО"))</f>
        <v/>
      </c>
      <c r="Q725" s="205">
        <f>IF(P725&lt;&gt;"ГОТОВО","", "Предварительное заключение: "&amp;A725&amp;", скв. "&amp;B725&amp;". МРП: "&amp;E725&amp;" сут. ГНО: "&amp;F725&amp;", типоразмер "&amp;G725&amp;", марка "&amp;H725&amp;". Событие: "&amp;I725&amp;". Признак: "&amp;J725&amp;". Узел: "&amp;K725&amp;". Предварительная причина: "&amp;L725&amp;". Основное осложнение: "&amp;M725&amp;IF(N725&lt;&gt;"","; сопутствующее: "&amp;N725,"")&amp;IF(O725&lt;&gt;"","; дополнительно: "&amp;O725,"")&amp;".")</f>
        <v/>
      </c>
      <c r="R725" s="172">
        <f>IF('Оперативный ввод'!P725="","",'Оперативный ввод'!P725)</f>
        <v/>
      </c>
      <c r="S725" s="172">
        <f>IF('Оперативный ввод'!Q725="","",'Оперативный ввод'!Q725)</f>
        <v/>
      </c>
      <c r="T725" s="172">
        <f>IF('Оперативный ввод'!R725="","",'Оперативный ввод'!R725)</f>
        <v/>
      </c>
      <c r="U725" s="172">
        <f>IF('Оперативный ввод'!S725="","",'Оперативный ввод'!S725)</f>
        <v/>
      </c>
      <c r="V725" s="172">
        <f>IF('Оперативный ввод'!T725="","",'Оперативный ввод'!T725)</f>
        <v/>
      </c>
      <c r="W725" s="172" t="n"/>
      <c r="X725" s="172" t="n"/>
      <c r="Y725" s="172" t="n"/>
      <c r="Z725" s="172" t="n"/>
      <c r="AA725" s="172">
        <f>IF('Оперативный ввод'!U725="","",'Оперативный ввод'!U725)</f>
        <v/>
      </c>
      <c r="AB725" s="172">
        <f>IF('Оперативный ввод'!V725="","",'Оперативный ввод'!V725)</f>
        <v/>
      </c>
      <c r="AC725" s="172">
        <f>IF('Оперативный ввод'!W725="","",'Оперативный ввод'!W725)</f>
        <v/>
      </c>
      <c r="BB725" s="172" t="n"/>
      <c r="BC725" s="172" t="n"/>
      <c r="BD725" s="205">
        <f>IF(AND(A725="",B725=""),"",IF(AND(P725="ГОТОВО",R725&lt;&gt;"",T725&lt;&gt;"",U725&lt;&gt;"",AA725&lt;&gt;"",AB725&lt;&gt;"",AC725&lt;&gt;"",BB725&lt;&gt;"",BC725&lt;&gt;""),"ГОТОВО","НЕ ГОТОВО"))</f>
        <v/>
      </c>
      <c r="BE725" s="205">
        <f>IF(BD725&lt;&gt;"ГОТОВО","","Полное заключение: "&amp;A725&amp;", скв. "&amp;B725&amp;". МРП: "&amp;E725&amp;" сут. ГНО: "&amp;F725&amp;"; причина: "&amp;U725&amp;"; категория: "&amp;V725&amp;"; решение комиссии: "&amp;BB725&amp;".")</f>
        <v/>
      </c>
      <c r="BF725" s="173">
        <f>IF('Оперативный ввод'!X725="","",'Оперативный ввод'!X725)</f>
        <v/>
      </c>
    </row>
    <row r="726">
      <c r="A726" s="171">
        <f>IF('Оперативный ввод'!A726="","",'Оперативный ввод'!A726)</f>
        <v/>
      </c>
      <c r="B726" s="172">
        <f>IF('Оперативный ввод'!B726="","",'Оперативный ввод'!B726)</f>
        <v/>
      </c>
      <c r="C726" s="270">
        <f>IF('Оперативный ввод'!C726="","",'Оперативный ввод'!C726)</f>
        <v/>
      </c>
      <c r="D726" s="270">
        <f>IF('Оперативный ввод'!D726="","",'Оперативный ввод'!D726)</f>
        <v/>
      </c>
      <c r="E726" s="271">
        <f>IF(OR(C726="",D726=""),"",D726-C726)</f>
        <v/>
      </c>
      <c r="F726" s="172">
        <f>IF('Оперативный ввод'!F726="","",'Оперативный ввод'!F726)</f>
        <v/>
      </c>
      <c r="G726" s="172">
        <f>IF('Оперативный ввод'!G726="","",'Оперативный ввод'!G726)</f>
        <v/>
      </c>
      <c r="H726" s="172">
        <f>IF('Оперативный ввод'!H726="","",'Оперативный ввод'!H726)</f>
        <v/>
      </c>
      <c r="I726" s="172">
        <f>IF('Оперативный ввод'!I726="","",'Оперативный ввод'!I726)</f>
        <v/>
      </c>
      <c r="J726" s="172">
        <f>IF('Оперативный ввод'!J726="","",'Оперативный ввод'!J726)</f>
        <v/>
      </c>
      <c r="K726" s="172">
        <f>IF('Оперативный ввод'!K726="","",'Оперативный ввод'!K726)</f>
        <v/>
      </c>
      <c r="L726" s="172">
        <f>IF('Оперативный ввод'!L726="","",'Оперативный ввод'!L726)</f>
        <v/>
      </c>
      <c r="M726" s="172">
        <f>IF('Оперативный ввод'!M726="","",'Оперативный ввод'!M726)</f>
        <v/>
      </c>
      <c r="N726" s="172">
        <f>IF('Оперативный ввод'!N726="","",'Оперативный ввод'!N726)</f>
        <v/>
      </c>
      <c r="O726" s="172">
        <f>IF('Оперативный ввод'!O726="","",'Оперативный ввод'!O726)</f>
        <v/>
      </c>
      <c r="P726" s="205">
        <f>IF(AND(A726="",B726=""),"",IF(AND(A726&lt;&gt;"",B726&lt;&gt;"",C726&lt;&gt;"",D726&lt;&gt;"",F726&lt;&gt;"",G726&lt;&gt;"",H726&lt;&gt;"",ISERROR(SEARCH("по паспорту",G726)),ISERROR(SEARCH("по паспорту",H726)),I726&lt;&gt;"",J726&lt;&gt;"",K726&lt;&gt;"",L726&lt;&gt;"",M726&lt;&gt;""),"ГОТОВО","НЕ ГОТОВО"))</f>
        <v/>
      </c>
      <c r="Q726" s="205">
        <f>IF(P726&lt;&gt;"ГОТОВО","", "Предварительное заключение: "&amp;A726&amp;", скв. "&amp;B726&amp;". МРП: "&amp;E726&amp;" сут. ГНО: "&amp;F726&amp;", типоразмер "&amp;G726&amp;", марка "&amp;H726&amp;". Событие: "&amp;I726&amp;". Признак: "&amp;J726&amp;". Узел: "&amp;K726&amp;". Предварительная причина: "&amp;L726&amp;". Основное осложнение: "&amp;M726&amp;IF(N726&lt;&gt;"","; сопутствующее: "&amp;N726,"")&amp;IF(O726&lt;&gt;"","; дополнительно: "&amp;O726,"")&amp;".")</f>
        <v/>
      </c>
      <c r="R726" s="172">
        <f>IF('Оперативный ввод'!P726="","",'Оперативный ввод'!P726)</f>
        <v/>
      </c>
      <c r="S726" s="172">
        <f>IF('Оперативный ввод'!Q726="","",'Оперативный ввод'!Q726)</f>
        <v/>
      </c>
      <c r="T726" s="172">
        <f>IF('Оперативный ввод'!R726="","",'Оперативный ввод'!R726)</f>
        <v/>
      </c>
      <c r="U726" s="172">
        <f>IF('Оперативный ввод'!S726="","",'Оперативный ввод'!S726)</f>
        <v/>
      </c>
      <c r="V726" s="172">
        <f>IF('Оперативный ввод'!T726="","",'Оперативный ввод'!T726)</f>
        <v/>
      </c>
      <c r="W726" s="172" t="n"/>
      <c r="X726" s="172" t="n"/>
      <c r="Y726" s="172" t="n"/>
      <c r="Z726" s="172" t="n"/>
      <c r="AA726" s="172">
        <f>IF('Оперативный ввод'!U726="","",'Оперативный ввод'!U726)</f>
        <v/>
      </c>
      <c r="AB726" s="172">
        <f>IF('Оперативный ввод'!V726="","",'Оперативный ввод'!V726)</f>
        <v/>
      </c>
      <c r="AC726" s="172">
        <f>IF('Оперативный ввод'!W726="","",'Оперативный ввод'!W726)</f>
        <v/>
      </c>
      <c r="BB726" s="172" t="n"/>
      <c r="BC726" s="172" t="n"/>
      <c r="BD726" s="205">
        <f>IF(AND(A726="",B726=""),"",IF(AND(P726="ГОТОВО",R726&lt;&gt;"",T726&lt;&gt;"",U726&lt;&gt;"",AA726&lt;&gt;"",AB726&lt;&gt;"",AC726&lt;&gt;"",BB726&lt;&gt;"",BC726&lt;&gt;""),"ГОТОВО","НЕ ГОТОВО"))</f>
        <v/>
      </c>
      <c r="BE726" s="205">
        <f>IF(BD726&lt;&gt;"ГОТОВО","","Полное заключение: "&amp;A726&amp;", скв. "&amp;B726&amp;". МРП: "&amp;E726&amp;" сут. ГНО: "&amp;F726&amp;"; причина: "&amp;U726&amp;"; категория: "&amp;V726&amp;"; решение комиссии: "&amp;BB726&amp;".")</f>
        <v/>
      </c>
      <c r="BF726" s="173">
        <f>IF('Оперативный ввод'!X726="","",'Оперативный ввод'!X726)</f>
        <v/>
      </c>
    </row>
    <row r="727">
      <c r="A727" s="171">
        <f>IF('Оперативный ввод'!A727="","",'Оперативный ввод'!A727)</f>
        <v/>
      </c>
      <c r="B727" s="172">
        <f>IF('Оперативный ввод'!B727="","",'Оперативный ввод'!B727)</f>
        <v/>
      </c>
      <c r="C727" s="270">
        <f>IF('Оперативный ввод'!C727="","",'Оперативный ввод'!C727)</f>
        <v/>
      </c>
      <c r="D727" s="270">
        <f>IF('Оперативный ввод'!D727="","",'Оперативный ввод'!D727)</f>
        <v/>
      </c>
      <c r="E727" s="271">
        <f>IF(OR(C727="",D727=""),"",D727-C727)</f>
        <v/>
      </c>
      <c r="F727" s="172">
        <f>IF('Оперативный ввод'!F727="","",'Оперативный ввод'!F727)</f>
        <v/>
      </c>
      <c r="G727" s="172">
        <f>IF('Оперативный ввод'!G727="","",'Оперативный ввод'!G727)</f>
        <v/>
      </c>
      <c r="H727" s="172">
        <f>IF('Оперативный ввод'!H727="","",'Оперативный ввод'!H727)</f>
        <v/>
      </c>
      <c r="I727" s="172">
        <f>IF('Оперативный ввод'!I727="","",'Оперативный ввод'!I727)</f>
        <v/>
      </c>
      <c r="J727" s="172">
        <f>IF('Оперативный ввод'!J727="","",'Оперативный ввод'!J727)</f>
        <v/>
      </c>
      <c r="K727" s="172">
        <f>IF('Оперативный ввод'!K727="","",'Оперативный ввод'!K727)</f>
        <v/>
      </c>
      <c r="L727" s="172">
        <f>IF('Оперативный ввод'!L727="","",'Оперативный ввод'!L727)</f>
        <v/>
      </c>
      <c r="M727" s="172">
        <f>IF('Оперативный ввод'!M727="","",'Оперативный ввод'!M727)</f>
        <v/>
      </c>
      <c r="N727" s="172">
        <f>IF('Оперативный ввод'!N727="","",'Оперативный ввод'!N727)</f>
        <v/>
      </c>
      <c r="O727" s="172">
        <f>IF('Оперативный ввод'!O727="","",'Оперативный ввод'!O727)</f>
        <v/>
      </c>
      <c r="P727" s="205">
        <f>IF(AND(A727="",B727=""),"",IF(AND(A727&lt;&gt;"",B727&lt;&gt;"",C727&lt;&gt;"",D727&lt;&gt;"",F727&lt;&gt;"",G727&lt;&gt;"",H727&lt;&gt;"",ISERROR(SEARCH("по паспорту",G727)),ISERROR(SEARCH("по паспорту",H727)),I727&lt;&gt;"",J727&lt;&gt;"",K727&lt;&gt;"",L727&lt;&gt;"",M727&lt;&gt;""),"ГОТОВО","НЕ ГОТОВО"))</f>
        <v/>
      </c>
      <c r="Q727" s="205">
        <f>IF(P727&lt;&gt;"ГОТОВО","", "Предварительное заключение: "&amp;A727&amp;", скв. "&amp;B727&amp;". МРП: "&amp;E727&amp;" сут. ГНО: "&amp;F727&amp;", типоразмер "&amp;G727&amp;", марка "&amp;H727&amp;". Событие: "&amp;I727&amp;". Признак: "&amp;J727&amp;". Узел: "&amp;K727&amp;". Предварительная причина: "&amp;L727&amp;". Основное осложнение: "&amp;M727&amp;IF(N727&lt;&gt;"","; сопутствующее: "&amp;N727,"")&amp;IF(O727&lt;&gt;"","; дополнительно: "&amp;O727,"")&amp;".")</f>
        <v/>
      </c>
      <c r="R727" s="172">
        <f>IF('Оперативный ввод'!P727="","",'Оперативный ввод'!P727)</f>
        <v/>
      </c>
      <c r="S727" s="172">
        <f>IF('Оперативный ввод'!Q727="","",'Оперативный ввод'!Q727)</f>
        <v/>
      </c>
      <c r="T727" s="172">
        <f>IF('Оперативный ввод'!R727="","",'Оперативный ввод'!R727)</f>
        <v/>
      </c>
      <c r="U727" s="172">
        <f>IF('Оперативный ввод'!S727="","",'Оперативный ввод'!S727)</f>
        <v/>
      </c>
      <c r="V727" s="172">
        <f>IF('Оперативный ввод'!T727="","",'Оперативный ввод'!T727)</f>
        <v/>
      </c>
      <c r="W727" s="172" t="n"/>
      <c r="X727" s="172" t="n"/>
      <c r="Y727" s="172" t="n"/>
      <c r="Z727" s="172" t="n"/>
      <c r="AA727" s="172">
        <f>IF('Оперативный ввод'!U727="","",'Оперативный ввод'!U727)</f>
        <v/>
      </c>
      <c r="AB727" s="172">
        <f>IF('Оперативный ввод'!V727="","",'Оперативный ввод'!V727)</f>
        <v/>
      </c>
      <c r="AC727" s="172">
        <f>IF('Оперативный ввод'!W727="","",'Оперативный ввод'!W727)</f>
        <v/>
      </c>
      <c r="BB727" s="172" t="n"/>
      <c r="BC727" s="172" t="n"/>
      <c r="BD727" s="205">
        <f>IF(AND(A727="",B727=""),"",IF(AND(P727="ГОТОВО",R727&lt;&gt;"",T727&lt;&gt;"",U727&lt;&gt;"",AA727&lt;&gt;"",AB727&lt;&gt;"",AC727&lt;&gt;"",BB727&lt;&gt;"",BC727&lt;&gt;""),"ГОТОВО","НЕ ГОТОВО"))</f>
        <v/>
      </c>
      <c r="BE727" s="205">
        <f>IF(BD727&lt;&gt;"ГОТОВО","","Полное заключение: "&amp;A727&amp;", скв. "&amp;B727&amp;". МРП: "&amp;E727&amp;" сут. ГНО: "&amp;F727&amp;"; причина: "&amp;U727&amp;"; категория: "&amp;V727&amp;"; решение комиссии: "&amp;BB727&amp;".")</f>
        <v/>
      </c>
      <c r="BF727" s="173">
        <f>IF('Оперативный ввод'!X727="","",'Оперативный ввод'!X727)</f>
        <v/>
      </c>
    </row>
    <row r="728">
      <c r="A728" s="171">
        <f>IF('Оперативный ввод'!A728="","",'Оперативный ввод'!A728)</f>
        <v/>
      </c>
      <c r="B728" s="172">
        <f>IF('Оперативный ввод'!B728="","",'Оперативный ввод'!B728)</f>
        <v/>
      </c>
      <c r="C728" s="270">
        <f>IF('Оперативный ввод'!C728="","",'Оперативный ввод'!C728)</f>
        <v/>
      </c>
      <c r="D728" s="270">
        <f>IF('Оперативный ввод'!D728="","",'Оперативный ввод'!D728)</f>
        <v/>
      </c>
      <c r="E728" s="271">
        <f>IF(OR(C728="",D728=""),"",D728-C728)</f>
        <v/>
      </c>
      <c r="F728" s="172">
        <f>IF('Оперативный ввод'!F728="","",'Оперативный ввод'!F728)</f>
        <v/>
      </c>
      <c r="G728" s="172">
        <f>IF('Оперативный ввод'!G728="","",'Оперативный ввод'!G728)</f>
        <v/>
      </c>
      <c r="H728" s="172">
        <f>IF('Оперативный ввод'!H728="","",'Оперативный ввод'!H728)</f>
        <v/>
      </c>
      <c r="I728" s="172">
        <f>IF('Оперативный ввод'!I728="","",'Оперативный ввод'!I728)</f>
        <v/>
      </c>
      <c r="J728" s="172">
        <f>IF('Оперативный ввод'!J728="","",'Оперативный ввод'!J728)</f>
        <v/>
      </c>
      <c r="K728" s="172">
        <f>IF('Оперативный ввод'!K728="","",'Оперативный ввод'!K728)</f>
        <v/>
      </c>
      <c r="L728" s="172">
        <f>IF('Оперативный ввод'!L728="","",'Оперативный ввод'!L728)</f>
        <v/>
      </c>
      <c r="M728" s="172">
        <f>IF('Оперативный ввод'!M728="","",'Оперативный ввод'!M728)</f>
        <v/>
      </c>
      <c r="N728" s="172">
        <f>IF('Оперативный ввод'!N728="","",'Оперативный ввод'!N728)</f>
        <v/>
      </c>
      <c r="O728" s="172">
        <f>IF('Оперативный ввод'!O728="","",'Оперативный ввод'!O728)</f>
        <v/>
      </c>
      <c r="P728" s="205">
        <f>IF(AND(A728="",B728=""),"",IF(AND(A728&lt;&gt;"",B728&lt;&gt;"",C728&lt;&gt;"",D728&lt;&gt;"",F728&lt;&gt;"",G728&lt;&gt;"",H728&lt;&gt;"",ISERROR(SEARCH("по паспорту",G728)),ISERROR(SEARCH("по паспорту",H728)),I728&lt;&gt;"",J728&lt;&gt;"",K728&lt;&gt;"",L728&lt;&gt;"",M728&lt;&gt;""),"ГОТОВО","НЕ ГОТОВО"))</f>
        <v/>
      </c>
      <c r="Q728" s="205">
        <f>IF(P728&lt;&gt;"ГОТОВО","", "Предварительное заключение: "&amp;A728&amp;", скв. "&amp;B728&amp;". МРП: "&amp;E728&amp;" сут. ГНО: "&amp;F728&amp;", типоразмер "&amp;G728&amp;", марка "&amp;H728&amp;". Событие: "&amp;I728&amp;". Признак: "&amp;J728&amp;". Узел: "&amp;K728&amp;". Предварительная причина: "&amp;L728&amp;". Основное осложнение: "&amp;M728&amp;IF(N728&lt;&gt;"","; сопутствующее: "&amp;N728,"")&amp;IF(O728&lt;&gt;"","; дополнительно: "&amp;O728,"")&amp;".")</f>
        <v/>
      </c>
      <c r="R728" s="172">
        <f>IF('Оперативный ввод'!P728="","",'Оперативный ввод'!P728)</f>
        <v/>
      </c>
      <c r="S728" s="172">
        <f>IF('Оперативный ввод'!Q728="","",'Оперативный ввод'!Q728)</f>
        <v/>
      </c>
      <c r="T728" s="172">
        <f>IF('Оперативный ввод'!R728="","",'Оперативный ввод'!R728)</f>
        <v/>
      </c>
      <c r="U728" s="172">
        <f>IF('Оперативный ввод'!S728="","",'Оперативный ввод'!S728)</f>
        <v/>
      </c>
      <c r="V728" s="172">
        <f>IF('Оперативный ввод'!T728="","",'Оперативный ввод'!T728)</f>
        <v/>
      </c>
      <c r="W728" s="172" t="n"/>
      <c r="X728" s="172" t="n"/>
      <c r="Y728" s="172" t="n"/>
      <c r="Z728" s="172" t="n"/>
      <c r="AA728" s="172">
        <f>IF('Оперативный ввод'!U728="","",'Оперативный ввод'!U728)</f>
        <v/>
      </c>
      <c r="AB728" s="172">
        <f>IF('Оперативный ввод'!V728="","",'Оперативный ввод'!V728)</f>
        <v/>
      </c>
      <c r="AC728" s="172">
        <f>IF('Оперативный ввод'!W728="","",'Оперативный ввод'!W728)</f>
        <v/>
      </c>
      <c r="BB728" s="172" t="n"/>
      <c r="BC728" s="172" t="n"/>
      <c r="BD728" s="205">
        <f>IF(AND(A728="",B728=""),"",IF(AND(P728="ГОТОВО",R728&lt;&gt;"",T728&lt;&gt;"",U728&lt;&gt;"",AA728&lt;&gt;"",AB728&lt;&gt;"",AC728&lt;&gt;"",BB728&lt;&gt;"",BC728&lt;&gt;""),"ГОТОВО","НЕ ГОТОВО"))</f>
        <v/>
      </c>
      <c r="BE728" s="205">
        <f>IF(BD728&lt;&gt;"ГОТОВО","","Полное заключение: "&amp;A728&amp;", скв. "&amp;B728&amp;". МРП: "&amp;E728&amp;" сут. ГНО: "&amp;F728&amp;"; причина: "&amp;U728&amp;"; категория: "&amp;V728&amp;"; решение комиссии: "&amp;BB728&amp;".")</f>
        <v/>
      </c>
      <c r="BF728" s="173">
        <f>IF('Оперативный ввод'!X728="","",'Оперативный ввод'!X728)</f>
        <v/>
      </c>
    </row>
    <row r="729">
      <c r="A729" s="171">
        <f>IF('Оперативный ввод'!A729="","",'Оперативный ввод'!A729)</f>
        <v/>
      </c>
      <c r="B729" s="172">
        <f>IF('Оперативный ввод'!B729="","",'Оперативный ввод'!B729)</f>
        <v/>
      </c>
      <c r="C729" s="270">
        <f>IF('Оперативный ввод'!C729="","",'Оперативный ввод'!C729)</f>
        <v/>
      </c>
      <c r="D729" s="270">
        <f>IF('Оперативный ввод'!D729="","",'Оперативный ввод'!D729)</f>
        <v/>
      </c>
      <c r="E729" s="271">
        <f>IF(OR(C729="",D729=""),"",D729-C729)</f>
        <v/>
      </c>
      <c r="F729" s="172">
        <f>IF('Оперативный ввод'!F729="","",'Оперативный ввод'!F729)</f>
        <v/>
      </c>
      <c r="G729" s="172">
        <f>IF('Оперативный ввод'!G729="","",'Оперативный ввод'!G729)</f>
        <v/>
      </c>
      <c r="H729" s="172">
        <f>IF('Оперативный ввод'!H729="","",'Оперативный ввод'!H729)</f>
        <v/>
      </c>
      <c r="I729" s="172">
        <f>IF('Оперативный ввод'!I729="","",'Оперативный ввод'!I729)</f>
        <v/>
      </c>
      <c r="J729" s="172">
        <f>IF('Оперативный ввод'!J729="","",'Оперативный ввод'!J729)</f>
        <v/>
      </c>
      <c r="K729" s="172">
        <f>IF('Оперативный ввод'!K729="","",'Оперативный ввод'!K729)</f>
        <v/>
      </c>
      <c r="L729" s="172">
        <f>IF('Оперативный ввод'!L729="","",'Оперативный ввод'!L729)</f>
        <v/>
      </c>
      <c r="M729" s="172">
        <f>IF('Оперативный ввод'!M729="","",'Оперативный ввод'!M729)</f>
        <v/>
      </c>
      <c r="N729" s="172">
        <f>IF('Оперативный ввод'!N729="","",'Оперативный ввод'!N729)</f>
        <v/>
      </c>
      <c r="O729" s="172">
        <f>IF('Оперативный ввод'!O729="","",'Оперативный ввод'!O729)</f>
        <v/>
      </c>
      <c r="P729" s="205">
        <f>IF(AND(A729="",B729=""),"",IF(AND(A729&lt;&gt;"",B729&lt;&gt;"",C729&lt;&gt;"",D729&lt;&gt;"",F729&lt;&gt;"",G729&lt;&gt;"",H729&lt;&gt;"",ISERROR(SEARCH("по паспорту",G729)),ISERROR(SEARCH("по паспорту",H729)),I729&lt;&gt;"",J729&lt;&gt;"",K729&lt;&gt;"",L729&lt;&gt;"",M729&lt;&gt;""),"ГОТОВО","НЕ ГОТОВО"))</f>
        <v/>
      </c>
      <c r="Q729" s="205">
        <f>IF(P729&lt;&gt;"ГОТОВО","", "Предварительное заключение: "&amp;A729&amp;", скв. "&amp;B729&amp;". МРП: "&amp;E729&amp;" сут. ГНО: "&amp;F729&amp;", типоразмер "&amp;G729&amp;", марка "&amp;H729&amp;". Событие: "&amp;I729&amp;". Признак: "&amp;J729&amp;". Узел: "&amp;K729&amp;". Предварительная причина: "&amp;L729&amp;". Основное осложнение: "&amp;M729&amp;IF(N729&lt;&gt;"","; сопутствующее: "&amp;N729,"")&amp;IF(O729&lt;&gt;"","; дополнительно: "&amp;O729,"")&amp;".")</f>
        <v/>
      </c>
      <c r="R729" s="172">
        <f>IF('Оперативный ввод'!P729="","",'Оперативный ввод'!P729)</f>
        <v/>
      </c>
      <c r="S729" s="172">
        <f>IF('Оперативный ввод'!Q729="","",'Оперативный ввод'!Q729)</f>
        <v/>
      </c>
      <c r="T729" s="172">
        <f>IF('Оперативный ввод'!R729="","",'Оперативный ввод'!R729)</f>
        <v/>
      </c>
      <c r="U729" s="172">
        <f>IF('Оперативный ввод'!S729="","",'Оперативный ввод'!S729)</f>
        <v/>
      </c>
      <c r="V729" s="172">
        <f>IF('Оперативный ввод'!T729="","",'Оперативный ввод'!T729)</f>
        <v/>
      </c>
      <c r="W729" s="172" t="n"/>
      <c r="X729" s="172" t="n"/>
      <c r="Y729" s="172" t="n"/>
      <c r="Z729" s="172" t="n"/>
      <c r="AA729" s="172">
        <f>IF('Оперативный ввод'!U729="","",'Оперативный ввод'!U729)</f>
        <v/>
      </c>
      <c r="AB729" s="172">
        <f>IF('Оперативный ввод'!V729="","",'Оперативный ввод'!V729)</f>
        <v/>
      </c>
      <c r="AC729" s="172">
        <f>IF('Оперативный ввод'!W729="","",'Оперативный ввод'!W729)</f>
        <v/>
      </c>
      <c r="BB729" s="172" t="n"/>
      <c r="BC729" s="172" t="n"/>
      <c r="BD729" s="205">
        <f>IF(AND(A729="",B729=""),"",IF(AND(P729="ГОТОВО",R729&lt;&gt;"",T729&lt;&gt;"",U729&lt;&gt;"",AA729&lt;&gt;"",AB729&lt;&gt;"",AC729&lt;&gt;"",BB729&lt;&gt;"",BC729&lt;&gt;""),"ГОТОВО","НЕ ГОТОВО"))</f>
        <v/>
      </c>
      <c r="BE729" s="205">
        <f>IF(BD729&lt;&gt;"ГОТОВО","","Полное заключение: "&amp;A729&amp;", скв. "&amp;B729&amp;". МРП: "&amp;E729&amp;" сут. ГНО: "&amp;F729&amp;"; причина: "&amp;U729&amp;"; категория: "&amp;V729&amp;"; решение комиссии: "&amp;BB729&amp;".")</f>
        <v/>
      </c>
      <c r="BF729" s="173">
        <f>IF('Оперативный ввод'!X729="","",'Оперативный ввод'!X729)</f>
        <v/>
      </c>
    </row>
    <row r="730">
      <c r="A730" s="171">
        <f>IF('Оперативный ввод'!A730="","",'Оперативный ввод'!A730)</f>
        <v/>
      </c>
      <c r="B730" s="172">
        <f>IF('Оперативный ввод'!B730="","",'Оперативный ввод'!B730)</f>
        <v/>
      </c>
      <c r="C730" s="270">
        <f>IF('Оперативный ввод'!C730="","",'Оперативный ввод'!C730)</f>
        <v/>
      </c>
      <c r="D730" s="270">
        <f>IF('Оперативный ввод'!D730="","",'Оперативный ввод'!D730)</f>
        <v/>
      </c>
      <c r="E730" s="271">
        <f>IF(OR(C730="",D730=""),"",D730-C730)</f>
        <v/>
      </c>
      <c r="F730" s="172">
        <f>IF('Оперативный ввод'!F730="","",'Оперативный ввод'!F730)</f>
        <v/>
      </c>
      <c r="G730" s="172">
        <f>IF('Оперативный ввод'!G730="","",'Оперативный ввод'!G730)</f>
        <v/>
      </c>
      <c r="H730" s="172">
        <f>IF('Оперативный ввод'!H730="","",'Оперативный ввод'!H730)</f>
        <v/>
      </c>
      <c r="I730" s="172">
        <f>IF('Оперативный ввод'!I730="","",'Оперативный ввод'!I730)</f>
        <v/>
      </c>
      <c r="J730" s="172">
        <f>IF('Оперативный ввод'!J730="","",'Оперативный ввод'!J730)</f>
        <v/>
      </c>
      <c r="K730" s="172">
        <f>IF('Оперативный ввод'!K730="","",'Оперативный ввод'!K730)</f>
        <v/>
      </c>
      <c r="L730" s="172">
        <f>IF('Оперативный ввод'!L730="","",'Оперативный ввод'!L730)</f>
        <v/>
      </c>
      <c r="M730" s="172">
        <f>IF('Оперативный ввод'!M730="","",'Оперативный ввод'!M730)</f>
        <v/>
      </c>
      <c r="N730" s="172">
        <f>IF('Оперативный ввод'!N730="","",'Оперативный ввод'!N730)</f>
        <v/>
      </c>
      <c r="O730" s="172">
        <f>IF('Оперативный ввод'!O730="","",'Оперативный ввод'!O730)</f>
        <v/>
      </c>
      <c r="P730" s="205">
        <f>IF(AND(A730="",B730=""),"",IF(AND(A730&lt;&gt;"",B730&lt;&gt;"",C730&lt;&gt;"",D730&lt;&gt;"",F730&lt;&gt;"",G730&lt;&gt;"",H730&lt;&gt;"",ISERROR(SEARCH("по паспорту",G730)),ISERROR(SEARCH("по паспорту",H730)),I730&lt;&gt;"",J730&lt;&gt;"",K730&lt;&gt;"",L730&lt;&gt;"",M730&lt;&gt;""),"ГОТОВО","НЕ ГОТОВО"))</f>
        <v/>
      </c>
      <c r="Q730" s="205">
        <f>IF(P730&lt;&gt;"ГОТОВО","", "Предварительное заключение: "&amp;A730&amp;", скв. "&amp;B730&amp;". МРП: "&amp;E730&amp;" сут. ГНО: "&amp;F730&amp;", типоразмер "&amp;G730&amp;", марка "&amp;H730&amp;". Событие: "&amp;I730&amp;". Признак: "&amp;J730&amp;". Узел: "&amp;K730&amp;". Предварительная причина: "&amp;L730&amp;". Основное осложнение: "&amp;M730&amp;IF(N730&lt;&gt;"","; сопутствующее: "&amp;N730,"")&amp;IF(O730&lt;&gt;"","; дополнительно: "&amp;O730,"")&amp;".")</f>
        <v/>
      </c>
      <c r="R730" s="172">
        <f>IF('Оперативный ввод'!P730="","",'Оперативный ввод'!P730)</f>
        <v/>
      </c>
      <c r="S730" s="172">
        <f>IF('Оперативный ввод'!Q730="","",'Оперативный ввод'!Q730)</f>
        <v/>
      </c>
      <c r="T730" s="172">
        <f>IF('Оперативный ввод'!R730="","",'Оперативный ввод'!R730)</f>
        <v/>
      </c>
      <c r="U730" s="172">
        <f>IF('Оперативный ввод'!S730="","",'Оперативный ввод'!S730)</f>
        <v/>
      </c>
      <c r="V730" s="172">
        <f>IF('Оперативный ввод'!T730="","",'Оперативный ввод'!T730)</f>
        <v/>
      </c>
      <c r="W730" s="172" t="n"/>
      <c r="X730" s="172" t="n"/>
      <c r="Y730" s="172" t="n"/>
      <c r="Z730" s="172" t="n"/>
      <c r="AA730" s="172">
        <f>IF('Оперативный ввод'!U730="","",'Оперативный ввод'!U730)</f>
        <v/>
      </c>
      <c r="AB730" s="172">
        <f>IF('Оперативный ввод'!V730="","",'Оперативный ввод'!V730)</f>
        <v/>
      </c>
      <c r="AC730" s="172">
        <f>IF('Оперативный ввод'!W730="","",'Оперативный ввод'!W730)</f>
        <v/>
      </c>
      <c r="BB730" s="172" t="n"/>
      <c r="BC730" s="172" t="n"/>
      <c r="BD730" s="205">
        <f>IF(AND(A730="",B730=""),"",IF(AND(P730="ГОТОВО",R730&lt;&gt;"",T730&lt;&gt;"",U730&lt;&gt;"",AA730&lt;&gt;"",AB730&lt;&gt;"",AC730&lt;&gt;"",BB730&lt;&gt;"",BC730&lt;&gt;""),"ГОТОВО","НЕ ГОТОВО"))</f>
        <v/>
      </c>
      <c r="BE730" s="205">
        <f>IF(BD730&lt;&gt;"ГОТОВО","","Полное заключение: "&amp;A730&amp;", скв. "&amp;B730&amp;". МРП: "&amp;E730&amp;" сут. ГНО: "&amp;F730&amp;"; причина: "&amp;U730&amp;"; категория: "&amp;V730&amp;"; решение комиссии: "&amp;BB730&amp;".")</f>
        <v/>
      </c>
      <c r="BF730" s="173">
        <f>IF('Оперативный ввод'!X730="","",'Оперативный ввод'!X730)</f>
        <v/>
      </c>
    </row>
    <row r="731">
      <c r="A731" s="171">
        <f>IF('Оперативный ввод'!A731="","",'Оперативный ввод'!A731)</f>
        <v/>
      </c>
      <c r="B731" s="172">
        <f>IF('Оперативный ввод'!B731="","",'Оперативный ввод'!B731)</f>
        <v/>
      </c>
      <c r="C731" s="270">
        <f>IF('Оперативный ввод'!C731="","",'Оперативный ввод'!C731)</f>
        <v/>
      </c>
      <c r="D731" s="270">
        <f>IF('Оперативный ввод'!D731="","",'Оперативный ввод'!D731)</f>
        <v/>
      </c>
      <c r="E731" s="271">
        <f>IF(OR(C731="",D731=""),"",D731-C731)</f>
        <v/>
      </c>
      <c r="F731" s="172">
        <f>IF('Оперативный ввод'!F731="","",'Оперативный ввод'!F731)</f>
        <v/>
      </c>
      <c r="G731" s="172">
        <f>IF('Оперативный ввод'!G731="","",'Оперативный ввод'!G731)</f>
        <v/>
      </c>
      <c r="H731" s="172">
        <f>IF('Оперативный ввод'!H731="","",'Оперативный ввод'!H731)</f>
        <v/>
      </c>
      <c r="I731" s="172">
        <f>IF('Оперативный ввод'!I731="","",'Оперативный ввод'!I731)</f>
        <v/>
      </c>
      <c r="J731" s="172">
        <f>IF('Оперативный ввод'!J731="","",'Оперативный ввод'!J731)</f>
        <v/>
      </c>
      <c r="K731" s="172">
        <f>IF('Оперативный ввод'!K731="","",'Оперативный ввод'!K731)</f>
        <v/>
      </c>
      <c r="L731" s="172">
        <f>IF('Оперативный ввод'!L731="","",'Оперативный ввод'!L731)</f>
        <v/>
      </c>
      <c r="M731" s="172">
        <f>IF('Оперативный ввод'!M731="","",'Оперативный ввод'!M731)</f>
        <v/>
      </c>
      <c r="N731" s="172">
        <f>IF('Оперативный ввод'!N731="","",'Оперативный ввод'!N731)</f>
        <v/>
      </c>
      <c r="O731" s="172">
        <f>IF('Оперативный ввод'!O731="","",'Оперативный ввод'!O731)</f>
        <v/>
      </c>
      <c r="P731" s="205">
        <f>IF(AND(A731="",B731=""),"",IF(AND(A731&lt;&gt;"",B731&lt;&gt;"",C731&lt;&gt;"",D731&lt;&gt;"",F731&lt;&gt;"",G731&lt;&gt;"",H731&lt;&gt;"",ISERROR(SEARCH("по паспорту",G731)),ISERROR(SEARCH("по паспорту",H731)),I731&lt;&gt;"",J731&lt;&gt;"",K731&lt;&gt;"",L731&lt;&gt;"",M731&lt;&gt;""),"ГОТОВО","НЕ ГОТОВО"))</f>
        <v/>
      </c>
      <c r="Q731" s="205">
        <f>IF(P731&lt;&gt;"ГОТОВО","", "Предварительное заключение: "&amp;A731&amp;", скв. "&amp;B731&amp;". МРП: "&amp;E731&amp;" сут. ГНО: "&amp;F731&amp;", типоразмер "&amp;G731&amp;", марка "&amp;H731&amp;". Событие: "&amp;I731&amp;". Признак: "&amp;J731&amp;". Узел: "&amp;K731&amp;". Предварительная причина: "&amp;L731&amp;". Основное осложнение: "&amp;M731&amp;IF(N731&lt;&gt;"","; сопутствующее: "&amp;N731,"")&amp;IF(O731&lt;&gt;"","; дополнительно: "&amp;O731,"")&amp;".")</f>
        <v/>
      </c>
      <c r="R731" s="172">
        <f>IF('Оперативный ввод'!P731="","",'Оперативный ввод'!P731)</f>
        <v/>
      </c>
      <c r="S731" s="172">
        <f>IF('Оперативный ввод'!Q731="","",'Оперативный ввод'!Q731)</f>
        <v/>
      </c>
      <c r="T731" s="172">
        <f>IF('Оперативный ввод'!R731="","",'Оперативный ввод'!R731)</f>
        <v/>
      </c>
      <c r="U731" s="172">
        <f>IF('Оперативный ввод'!S731="","",'Оперативный ввод'!S731)</f>
        <v/>
      </c>
      <c r="V731" s="172">
        <f>IF('Оперативный ввод'!T731="","",'Оперативный ввод'!T731)</f>
        <v/>
      </c>
      <c r="W731" s="172" t="n"/>
      <c r="X731" s="172" t="n"/>
      <c r="Y731" s="172" t="n"/>
      <c r="Z731" s="172" t="n"/>
      <c r="AA731" s="172">
        <f>IF('Оперативный ввод'!U731="","",'Оперативный ввод'!U731)</f>
        <v/>
      </c>
      <c r="AB731" s="172">
        <f>IF('Оперативный ввод'!V731="","",'Оперативный ввод'!V731)</f>
        <v/>
      </c>
      <c r="AC731" s="172">
        <f>IF('Оперативный ввод'!W731="","",'Оперативный ввод'!W731)</f>
        <v/>
      </c>
      <c r="BB731" s="172" t="n"/>
      <c r="BC731" s="172" t="n"/>
      <c r="BD731" s="205">
        <f>IF(AND(A731="",B731=""),"",IF(AND(P731="ГОТОВО",R731&lt;&gt;"",T731&lt;&gt;"",U731&lt;&gt;"",AA731&lt;&gt;"",AB731&lt;&gt;"",AC731&lt;&gt;"",BB731&lt;&gt;"",BC731&lt;&gt;""),"ГОТОВО","НЕ ГОТОВО"))</f>
        <v/>
      </c>
      <c r="BE731" s="205">
        <f>IF(BD731&lt;&gt;"ГОТОВО","","Полное заключение: "&amp;A731&amp;", скв. "&amp;B731&amp;". МРП: "&amp;E731&amp;" сут. ГНО: "&amp;F731&amp;"; причина: "&amp;U731&amp;"; категория: "&amp;V731&amp;"; решение комиссии: "&amp;BB731&amp;".")</f>
        <v/>
      </c>
      <c r="BF731" s="173">
        <f>IF('Оперативный ввод'!X731="","",'Оперативный ввод'!X731)</f>
        <v/>
      </c>
    </row>
    <row r="732">
      <c r="A732" s="171">
        <f>IF('Оперативный ввод'!A732="","",'Оперативный ввод'!A732)</f>
        <v/>
      </c>
      <c r="B732" s="172">
        <f>IF('Оперативный ввод'!B732="","",'Оперативный ввод'!B732)</f>
        <v/>
      </c>
      <c r="C732" s="270">
        <f>IF('Оперативный ввод'!C732="","",'Оперативный ввод'!C732)</f>
        <v/>
      </c>
      <c r="D732" s="270">
        <f>IF('Оперативный ввод'!D732="","",'Оперативный ввод'!D732)</f>
        <v/>
      </c>
      <c r="E732" s="271">
        <f>IF(OR(C732="",D732=""),"",D732-C732)</f>
        <v/>
      </c>
      <c r="F732" s="172">
        <f>IF('Оперативный ввод'!F732="","",'Оперативный ввод'!F732)</f>
        <v/>
      </c>
      <c r="G732" s="172">
        <f>IF('Оперативный ввод'!G732="","",'Оперативный ввод'!G732)</f>
        <v/>
      </c>
      <c r="H732" s="172">
        <f>IF('Оперативный ввод'!H732="","",'Оперативный ввод'!H732)</f>
        <v/>
      </c>
      <c r="I732" s="172">
        <f>IF('Оперативный ввод'!I732="","",'Оперативный ввод'!I732)</f>
        <v/>
      </c>
      <c r="J732" s="172">
        <f>IF('Оперативный ввод'!J732="","",'Оперативный ввод'!J732)</f>
        <v/>
      </c>
      <c r="K732" s="172">
        <f>IF('Оперативный ввод'!K732="","",'Оперативный ввод'!K732)</f>
        <v/>
      </c>
      <c r="L732" s="172">
        <f>IF('Оперативный ввод'!L732="","",'Оперативный ввод'!L732)</f>
        <v/>
      </c>
      <c r="M732" s="172">
        <f>IF('Оперативный ввод'!M732="","",'Оперативный ввод'!M732)</f>
        <v/>
      </c>
      <c r="N732" s="172">
        <f>IF('Оперативный ввод'!N732="","",'Оперативный ввод'!N732)</f>
        <v/>
      </c>
      <c r="O732" s="172">
        <f>IF('Оперативный ввод'!O732="","",'Оперативный ввод'!O732)</f>
        <v/>
      </c>
      <c r="P732" s="205">
        <f>IF(AND(A732="",B732=""),"",IF(AND(A732&lt;&gt;"",B732&lt;&gt;"",C732&lt;&gt;"",D732&lt;&gt;"",F732&lt;&gt;"",G732&lt;&gt;"",H732&lt;&gt;"",ISERROR(SEARCH("по паспорту",G732)),ISERROR(SEARCH("по паспорту",H732)),I732&lt;&gt;"",J732&lt;&gt;"",K732&lt;&gt;"",L732&lt;&gt;"",M732&lt;&gt;""),"ГОТОВО","НЕ ГОТОВО"))</f>
        <v/>
      </c>
      <c r="Q732" s="205">
        <f>IF(P732&lt;&gt;"ГОТОВО","", "Предварительное заключение: "&amp;A732&amp;", скв. "&amp;B732&amp;". МРП: "&amp;E732&amp;" сут. ГНО: "&amp;F732&amp;", типоразмер "&amp;G732&amp;", марка "&amp;H732&amp;". Событие: "&amp;I732&amp;". Признак: "&amp;J732&amp;". Узел: "&amp;K732&amp;". Предварительная причина: "&amp;L732&amp;". Основное осложнение: "&amp;M732&amp;IF(N732&lt;&gt;"","; сопутствующее: "&amp;N732,"")&amp;IF(O732&lt;&gt;"","; дополнительно: "&amp;O732,"")&amp;".")</f>
        <v/>
      </c>
      <c r="R732" s="172">
        <f>IF('Оперативный ввод'!P732="","",'Оперативный ввод'!P732)</f>
        <v/>
      </c>
      <c r="S732" s="172">
        <f>IF('Оперативный ввод'!Q732="","",'Оперативный ввод'!Q732)</f>
        <v/>
      </c>
      <c r="T732" s="172">
        <f>IF('Оперативный ввод'!R732="","",'Оперативный ввод'!R732)</f>
        <v/>
      </c>
      <c r="U732" s="172">
        <f>IF('Оперативный ввод'!S732="","",'Оперативный ввод'!S732)</f>
        <v/>
      </c>
      <c r="V732" s="172">
        <f>IF('Оперативный ввод'!T732="","",'Оперативный ввод'!T732)</f>
        <v/>
      </c>
      <c r="W732" s="172" t="n"/>
      <c r="X732" s="172" t="n"/>
      <c r="Y732" s="172" t="n"/>
      <c r="Z732" s="172" t="n"/>
      <c r="AA732" s="172">
        <f>IF('Оперативный ввод'!U732="","",'Оперативный ввод'!U732)</f>
        <v/>
      </c>
      <c r="AB732" s="172">
        <f>IF('Оперативный ввод'!V732="","",'Оперативный ввод'!V732)</f>
        <v/>
      </c>
      <c r="AC732" s="172">
        <f>IF('Оперативный ввод'!W732="","",'Оперативный ввод'!W732)</f>
        <v/>
      </c>
      <c r="BB732" s="172" t="n"/>
      <c r="BC732" s="172" t="n"/>
      <c r="BD732" s="205">
        <f>IF(AND(A732="",B732=""),"",IF(AND(P732="ГОТОВО",R732&lt;&gt;"",T732&lt;&gt;"",U732&lt;&gt;"",AA732&lt;&gt;"",AB732&lt;&gt;"",AC732&lt;&gt;"",BB732&lt;&gt;"",BC732&lt;&gt;""),"ГОТОВО","НЕ ГОТОВО"))</f>
        <v/>
      </c>
      <c r="BE732" s="205">
        <f>IF(BD732&lt;&gt;"ГОТОВО","","Полное заключение: "&amp;A732&amp;", скв. "&amp;B732&amp;". МРП: "&amp;E732&amp;" сут. ГНО: "&amp;F732&amp;"; причина: "&amp;U732&amp;"; категория: "&amp;V732&amp;"; решение комиссии: "&amp;BB732&amp;".")</f>
        <v/>
      </c>
      <c r="BF732" s="173">
        <f>IF('Оперативный ввод'!X732="","",'Оперативный ввод'!X732)</f>
        <v/>
      </c>
    </row>
    <row r="733">
      <c r="A733" s="171">
        <f>IF('Оперативный ввод'!A733="","",'Оперативный ввод'!A733)</f>
        <v/>
      </c>
      <c r="B733" s="172">
        <f>IF('Оперативный ввод'!B733="","",'Оперативный ввод'!B733)</f>
        <v/>
      </c>
      <c r="C733" s="270">
        <f>IF('Оперативный ввод'!C733="","",'Оперативный ввод'!C733)</f>
        <v/>
      </c>
      <c r="D733" s="270">
        <f>IF('Оперативный ввод'!D733="","",'Оперативный ввод'!D733)</f>
        <v/>
      </c>
      <c r="E733" s="271">
        <f>IF(OR(C733="",D733=""),"",D733-C733)</f>
        <v/>
      </c>
      <c r="F733" s="172">
        <f>IF('Оперативный ввод'!F733="","",'Оперативный ввод'!F733)</f>
        <v/>
      </c>
      <c r="G733" s="172">
        <f>IF('Оперативный ввод'!G733="","",'Оперативный ввод'!G733)</f>
        <v/>
      </c>
      <c r="H733" s="172">
        <f>IF('Оперативный ввод'!H733="","",'Оперативный ввод'!H733)</f>
        <v/>
      </c>
      <c r="I733" s="172">
        <f>IF('Оперативный ввод'!I733="","",'Оперативный ввод'!I733)</f>
        <v/>
      </c>
      <c r="J733" s="172">
        <f>IF('Оперативный ввод'!J733="","",'Оперативный ввод'!J733)</f>
        <v/>
      </c>
      <c r="K733" s="172">
        <f>IF('Оперативный ввод'!K733="","",'Оперативный ввод'!K733)</f>
        <v/>
      </c>
      <c r="L733" s="172">
        <f>IF('Оперативный ввод'!L733="","",'Оперативный ввод'!L733)</f>
        <v/>
      </c>
      <c r="M733" s="172">
        <f>IF('Оперативный ввод'!M733="","",'Оперативный ввод'!M733)</f>
        <v/>
      </c>
      <c r="N733" s="172">
        <f>IF('Оперативный ввод'!N733="","",'Оперативный ввод'!N733)</f>
        <v/>
      </c>
      <c r="O733" s="172">
        <f>IF('Оперативный ввод'!O733="","",'Оперативный ввод'!O733)</f>
        <v/>
      </c>
      <c r="P733" s="205">
        <f>IF(AND(A733="",B733=""),"",IF(AND(A733&lt;&gt;"",B733&lt;&gt;"",C733&lt;&gt;"",D733&lt;&gt;"",F733&lt;&gt;"",G733&lt;&gt;"",H733&lt;&gt;"",ISERROR(SEARCH("по паспорту",G733)),ISERROR(SEARCH("по паспорту",H733)),I733&lt;&gt;"",J733&lt;&gt;"",K733&lt;&gt;"",L733&lt;&gt;"",M733&lt;&gt;""),"ГОТОВО","НЕ ГОТОВО"))</f>
        <v/>
      </c>
      <c r="Q733" s="205">
        <f>IF(P733&lt;&gt;"ГОТОВО","", "Предварительное заключение: "&amp;A733&amp;", скв. "&amp;B733&amp;". МРП: "&amp;E733&amp;" сут. ГНО: "&amp;F733&amp;", типоразмер "&amp;G733&amp;", марка "&amp;H733&amp;". Событие: "&amp;I733&amp;". Признак: "&amp;J733&amp;". Узел: "&amp;K733&amp;". Предварительная причина: "&amp;L733&amp;". Основное осложнение: "&amp;M733&amp;IF(N733&lt;&gt;"","; сопутствующее: "&amp;N733,"")&amp;IF(O733&lt;&gt;"","; дополнительно: "&amp;O733,"")&amp;".")</f>
        <v/>
      </c>
      <c r="R733" s="172">
        <f>IF('Оперативный ввод'!P733="","",'Оперативный ввод'!P733)</f>
        <v/>
      </c>
      <c r="S733" s="172">
        <f>IF('Оперативный ввод'!Q733="","",'Оперативный ввод'!Q733)</f>
        <v/>
      </c>
      <c r="T733" s="172">
        <f>IF('Оперативный ввод'!R733="","",'Оперативный ввод'!R733)</f>
        <v/>
      </c>
      <c r="U733" s="172">
        <f>IF('Оперативный ввод'!S733="","",'Оперативный ввод'!S733)</f>
        <v/>
      </c>
      <c r="V733" s="172">
        <f>IF('Оперативный ввод'!T733="","",'Оперативный ввод'!T733)</f>
        <v/>
      </c>
      <c r="W733" s="172" t="n"/>
      <c r="X733" s="172" t="n"/>
      <c r="Y733" s="172" t="n"/>
      <c r="Z733" s="172" t="n"/>
      <c r="AA733" s="172">
        <f>IF('Оперативный ввод'!U733="","",'Оперативный ввод'!U733)</f>
        <v/>
      </c>
      <c r="AB733" s="172">
        <f>IF('Оперативный ввод'!V733="","",'Оперативный ввод'!V733)</f>
        <v/>
      </c>
      <c r="AC733" s="172">
        <f>IF('Оперативный ввод'!W733="","",'Оперативный ввод'!W733)</f>
        <v/>
      </c>
      <c r="BB733" s="172" t="n"/>
      <c r="BC733" s="172" t="n"/>
      <c r="BD733" s="205">
        <f>IF(AND(A733="",B733=""),"",IF(AND(P733="ГОТОВО",R733&lt;&gt;"",T733&lt;&gt;"",U733&lt;&gt;"",AA733&lt;&gt;"",AB733&lt;&gt;"",AC733&lt;&gt;"",BB733&lt;&gt;"",BC733&lt;&gt;""),"ГОТОВО","НЕ ГОТОВО"))</f>
        <v/>
      </c>
      <c r="BE733" s="205">
        <f>IF(BD733&lt;&gt;"ГОТОВО","","Полное заключение: "&amp;A733&amp;", скв. "&amp;B733&amp;". МРП: "&amp;E733&amp;" сут. ГНО: "&amp;F733&amp;"; причина: "&amp;U733&amp;"; категория: "&amp;V733&amp;"; решение комиссии: "&amp;BB733&amp;".")</f>
        <v/>
      </c>
      <c r="BF733" s="173">
        <f>IF('Оперативный ввод'!X733="","",'Оперативный ввод'!X733)</f>
        <v/>
      </c>
    </row>
    <row r="734">
      <c r="A734" s="171">
        <f>IF('Оперативный ввод'!A734="","",'Оперативный ввод'!A734)</f>
        <v/>
      </c>
      <c r="B734" s="172">
        <f>IF('Оперативный ввод'!B734="","",'Оперативный ввод'!B734)</f>
        <v/>
      </c>
      <c r="C734" s="270">
        <f>IF('Оперативный ввод'!C734="","",'Оперативный ввод'!C734)</f>
        <v/>
      </c>
      <c r="D734" s="270">
        <f>IF('Оперативный ввод'!D734="","",'Оперативный ввод'!D734)</f>
        <v/>
      </c>
      <c r="E734" s="271">
        <f>IF(OR(C734="",D734=""),"",D734-C734)</f>
        <v/>
      </c>
      <c r="F734" s="172">
        <f>IF('Оперативный ввод'!F734="","",'Оперативный ввод'!F734)</f>
        <v/>
      </c>
      <c r="G734" s="172">
        <f>IF('Оперативный ввод'!G734="","",'Оперативный ввод'!G734)</f>
        <v/>
      </c>
      <c r="H734" s="172">
        <f>IF('Оперативный ввод'!H734="","",'Оперативный ввод'!H734)</f>
        <v/>
      </c>
      <c r="I734" s="172">
        <f>IF('Оперативный ввод'!I734="","",'Оперативный ввод'!I734)</f>
        <v/>
      </c>
      <c r="J734" s="172">
        <f>IF('Оперативный ввод'!J734="","",'Оперативный ввод'!J734)</f>
        <v/>
      </c>
      <c r="K734" s="172">
        <f>IF('Оперативный ввод'!K734="","",'Оперативный ввод'!K734)</f>
        <v/>
      </c>
      <c r="L734" s="172">
        <f>IF('Оперативный ввод'!L734="","",'Оперативный ввод'!L734)</f>
        <v/>
      </c>
      <c r="M734" s="172">
        <f>IF('Оперативный ввод'!M734="","",'Оперативный ввод'!M734)</f>
        <v/>
      </c>
      <c r="N734" s="172">
        <f>IF('Оперативный ввод'!N734="","",'Оперативный ввод'!N734)</f>
        <v/>
      </c>
      <c r="O734" s="172">
        <f>IF('Оперативный ввод'!O734="","",'Оперативный ввод'!O734)</f>
        <v/>
      </c>
      <c r="P734" s="205">
        <f>IF(AND(A734="",B734=""),"",IF(AND(A734&lt;&gt;"",B734&lt;&gt;"",C734&lt;&gt;"",D734&lt;&gt;"",F734&lt;&gt;"",G734&lt;&gt;"",H734&lt;&gt;"",ISERROR(SEARCH("по паспорту",G734)),ISERROR(SEARCH("по паспорту",H734)),I734&lt;&gt;"",J734&lt;&gt;"",K734&lt;&gt;"",L734&lt;&gt;"",M734&lt;&gt;""),"ГОТОВО","НЕ ГОТОВО"))</f>
        <v/>
      </c>
      <c r="Q734" s="205">
        <f>IF(P734&lt;&gt;"ГОТОВО","", "Предварительное заключение: "&amp;A734&amp;", скв. "&amp;B734&amp;". МРП: "&amp;E734&amp;" сут. ГНО: "&amp;F734&amp;", типоразмер "&amp;G734&amp;", марка "&amp;H734&amp;". Событие: "&amp;I734&amp;". Признак: "&amp;J734&amp;". Узел: "&amp;K734&amp;". Предварительная причина: "&amp;L734&amp;". Основное осложнение: "&amp;M734&amp;IF(N734&lt;&gt;"","; сопутствующее: "&amp;N734,"")&amp;IF(O734&lt;&gt;"","; дополнительно: "&amp;O734,"")&amp;".")</f>
        <v/>
      </c>
      <c r="R734" s="172">
        <f>IF('Оперативный ввод'!P734="","",'Оперативный ввод'!P734)</f>
        <v/>
      </c>
      <c r="S734" s="172">
        <f>IF('Оперативный ввод'!Q734="","",'Оперативный ввод'!Q734)</f>
        <v/>
      </c>
      <c r="T734" s="172">
        <f>IF('Оперативный ввод'!R734="","",'Оперативный ввод'!R734)</f>
        <v/>
      </c>
      <c r="U734" s="172">
        <f>IF('Оперативный ввод'!S734="","",'Оперативный ввод'!S734)</f>
        <v/>
      </c>
      <c r="V734" s="172">
        <f>IF('Оперативный ввод'!T734="","",'Оперативный ввод'!T734)</f>
        <v/>
      </c>
      <c r="W734" s="172" t="n"/>
      <c r="X734" s="172" t="n"/>
      <c r="Y734" s="172" t="n"/>
      <c r="Z734" s="172" t="n"/>
      <c r="AA734" s="172">
        <f>IF('Оперативный ввод'!U734="","",'Оперативный ввод'!U734)</f>
        <v/>
      </c>
      <c r="AB734" s="172">
        <f>IF('Оперативный ввод'!V734="","",'Оперативный ввод'!V734)</f>
        <v/>
      </c>
      <c r="AC734" s="172">
        <f>IF('Оперативный ввод'!W734="","",'Оперативный ввод'!W734)</f>
        <v/>
      </c>
      <c r="BB734" s="172" t="n"/>
      <c r="BC734" s="172" t="n"/>
      <c r="BD734" s="205">
        <f>IF(AND(A734="",B734=""),"",IF(AND(P734="ГОТОВО",R734&lt;&gt;"",T734&lt;&gt;"",U734&lt;&gt;"",AA734&lt;&gt;"",AB734&lt;&gt;"",AC734&lt;&gt;"",BB734&lt;&gt;"",BC734&lt;&gt;""),"ГОТОВО","НЕ ГОТОВО"))</f>
        <v/>
      </c>
      <c r="BE734" s="205">
        <f>IF(BD734&lt;&gt;"ГОТОВО","","Полное заключение: "&amp;A734&amp;", скв. "&amp;B734&amp;". МРП: "&amp;E734&amp;" сут. ГНО: "&amp;F734&amp;"; причина: "&amp;U734&amp;"; категория: "&amp;V734&amp;"; решение комиссии: "&amp;BB734&amp;".")</f>
        <v/>
      </c>
      <c r="BF734" s="173">
        <f>IF('Оперативный ввод'!X734="","",'Оперативный ввод'!X734)</f>
        <v/>
      </c>
    </row>
    <row r="735">
      <c r="A735" s="171">
        <f>IF('Оперативный ввод'!A735="","",'Оперативный ввод'!A735)</f>
        <v/>
      </c>
      <c r="B735" s="172">
        <f>IF('Оперативный ввод'!B735="","",'Оперативный ввод'!B735)</f>
        <v/>
      </c>
      <c r="C735" s="270">
        <f>IF('Оперативный ввод'!C735="","",'Оперативный ввод'!C735)</f>
        <v/>
      </c>
      <c r="D735" s="270">
        <f>IF('Оперативный ввод'!D735="","",'Оперативный ввод'!D735)</f>
        <v/>
      </c>
      <c r="E735" s="271">
        <f>IF(OR(C735="",D735=""),"",D735-C735)</f>
        <v/>
      </c>
      <c r="F735" s="172">
        <f>IF('Оперативный ввод'!F735="","",'Оперативный ввод'!F735)</f>
        <v/>
      </c>
      <c r="G735" s="172">
        <f>IF('Оперативный ввод'!G735="","",'Оперативный ввод'!G735)</f>
        <v/>
      </c>
      <c r="H735" s="172">
        <f>IF('Оперативный ввод'!H735="","",'Оперативный ввод'!H735)</f>
        <v/>
      </c>
      <c r="I735" s="172">
        <f>IF('Оперативный ввод'!I735="","",'Оперативный ввод'!I735)</f>
        <v/>
      </c>
      <c r="J735" s="172">
        <f>IF('Оперативный ввод'!J735="","",'Оперативный ввод'!J735)</f>
        <v/>
      </c>
      <c r="K735" s="172">
        <f>IF('Оперативный ввод'!K735="","",'Оперативный ввод'!K735)</f>
        <v/>
      </c>
      <c r="L735" s="172">
        <f>IF('Оперативный ввод'!L735="","",'Оперативный ввод'!L735)</f>
        <v/>
      </c>
      <c r="M735" s="172">
        <f>IF('Оперативный ввод'!M735="","",'Оперативный ввод'!M735)</f>
        <v/>
      </c>
      <c r="N735" s="172">
        <f>IF('Оперативный ввод'!N735="","",'Оперативный ввод'!N735)</f>
        <v/>
      </c>
      <c r="O735" s="172">
        <f>IF('Оперативный ввод'!O735="","",'Оперативный ввод'!O735)</f>
        <v/>
      </c>
      <c r="P735" s="205">
        <f>IF(AND(A735="",B735=""),"",IF(AND(A735&lt;&gt;"",B735&lt;&gt;"",C735&lt;&gt;"",D735&lt;&gt;"",F735&lt;&gt;"",G735&lt;&gt;"",H735&lt;&gt;"",ISERROR(SEARCH("по паспорту",G735)),ISERROR(SEARCH("по паспорту",H735)),I735&lt;&gt;"",J735&lt;&gt;"",K735&lt;&gt;"",L735&lt;&gt;"",M735&lt;&gt;""),"ГОТОВО","НЕ ГОТОВО"))</f>
        <v/>
      </c>
      <c r="Q735" s="205">
        <f>IF(P735&lt;&gt;"ГОТОВО","", "Предварительное заключение: "&amp;A735&amp;", скв. "&amp;B735&amp;". МРП: "&amp;E735&amp;" сут. ГНО: "&amp;F735&amp;", типоразмер "&amp;G735&amp;", марка "&amp;H735&amp;". Событие: "&amp;I735&amp;". Признак: "&amp;J735&amp;". Узел: "&amp;K735&amp;". Предварительная причина: "&amp;L735&amp;". Основное осложнение: "&amp;M735&amp;IF(N735&lt;&gt;"","; сопутствующее: "&amp;N735,"")&amp;IF(O735&lt;&gt;"","; дополнительно: "&amp;O735,"")&amp;".")</f>
        <v/>
      </c>
      <c r="R735" s="172">
        <f>IF('Оперативный ввод'!P735="","",'Оперативный ввод'!P735)</f>
        <v/>
      </c>
      <c r="S735" s="172">
        <f>IF('Оперативный ввод'!Q735="","",'Оперативный ввод'!Q735)</f>
        <v/>
      </c>
      <c r="T735" s="172">
        <f>IF('Оперативный ввод'!R735="","",'Оперативный ввод'!R735)</f>
        <v/>
      </c>
      <c r="U735" s="172">
        <f>IF('Оперативный ввод'!S735="","",'Оперативный ввод'!S735)</f>
        <v/>
      </c>
      <c r="V735" s="172">
        <f>IF('Оперативный ввод'!T735="","",'Оперативный ввод'!T735)</f>
        <v/>
      </c>
      <c r="W735" s="172" t="n"/>
      <c r="X735" s="172" t="n"/>
      <c r="Y735" s="172" t="n"/>
      <c r="Z735" s="172" t="n"/>
      <c r="AA735" s="172">
        <f>IF('Оперативный ввод'!U735="","",'Оперативный ввод'!U735)</f>
        <v/>
      </c>
      <c r="AB735" s="172">
        <f>IF('Оперативный ввод'!V735="","",'Оперативный ввод'!V735)</f>
        <v/>
      </c>
      <c r="AC735" s="172">
        <f>IF('Оперативный ввод'!W735="","",'Оперативный ввод'!W735)</f>
        <v/>
      </c>
      <c r="BB735" s="172" t="n"/>
      <c r="BC735" s="172" t="n"/>
      <c r="BD735" s="205">
        <f>IF(AND(A735="",B735=""),"",IF(AND(P735="ГОТОВО",R735&lt;&gt;"",T735&lt;&gt;"",U735&lt;&gt;"",AA735&lt;&gt;"",AB735&lt;&gt;"",AC735&lt;&gt;"",BB735&lt;&gt;"",BC735&lt;&gt;""),"ГОТОВО","НЕ ГОТОВО"))</f>
        <v/>
      </c>
      <c r="BE735" s="205">
        <f>IF(BD735&lt;&gt;"ГОТОВО","","Полное заключение: "&amp;A735&amp;", скв. "&amp;B735&amp;". МРП: "&amp;E735&amp;" сут. ГНО: "&amp;F735&amp;"; причина: "&amp;U735&amp;"; категория: "&amp;V735&amp;"; решение комиссии: "&amp;BB735&amp;".")</f>
        <v/>
      </c>
      <c r="BF735" s="173">
        <f>IF('Оперативный ввод'!X735="","",'Оперативный ввод'!X735)</f>
        <v/>
      </c>
    </row>
    <row r="736">
      <c r="A736" s="171">
        <f>IF('Оперативный ввод'!A736="","",'Оперативный ввод'!A736)</f>
        <v/>
      </c>
      <c r="B736" s="172">
        <f>IF('Оперативный ввод'!B736="","",'Оперативный ввод'!B736)</f>
        <v/>
      </c>
      <c r="C736" s="270">
        <f>IF('Оперативный ввод'!C736="","",'Оперативный ввод'!C736)</f>
        <v/>
      </c>
      <c r="D736" s="270">
        <f>IF('Оперативный ввод'!D736="","",'Оперативный ввод'!D736)</f>
        <v/>
      </c>
      <c r="E736" s="271">
        <f>IF(OR(C736="",D736=""),"",D736-C736)</f>
        <v/>
      </c>
      <c r="F736" s="172">
        <f>IF('Оперативный ввод'!F736="","",'Оперативный ввод'!F736)</f>
        <v/>
      </c>
      <c r="G736" s="172">
        <f>IF('Оперативный ввод'!G736="","",'Оперативный ввод'!G736)</f>
        <v/>
      </c>
      <c r="H736" s="172">
        <f>IF('Оперативный ввод'!H736="","",'Оперативный ввод'!H736)</f>
        <v/>
      </c>
      <c r="I736" s="172">
        <f>IF('Оперативный ввод'!I736="","",'Оперативный ввод'!I736)</f>
        <v/>
      </c>
      <c r="J736" s="172">
        <f>IF('Оперативный ввод'!J736="","",'Оперативный ввод'!J736)</f>
        <v/>
      </c>
      <c r="K736" s="172">
        <f>IF('Оперативный ввод'!K736="","",'Оперативный ввод'!K736)</f>
        <v/>
      </c>
      <c r="L736" s="172">
        <f>IF('Оперативный ввод'!L736="","",'Оперативный ввод'!L736)</f>
        <v/>
      </c>
      <c r="M736" s="172">
        <f>IF('Оперативный ввод'!M736="","",'Оперативный ввод'!M736)</f>
        <v/>
      </c>
      <c r="N736" s="172">
        <f>IF('Оперативный ввод'!N736="","",'Оперативный ввод'!N736)</f>
        <v/>
      </c>
      <c r="O736" s="172">
        <f>IF('Оперативный ввод'!O736="","",'Оперативный ввод'!O736)</f>
        <v/>
      </c>
      <c r="P736" s="205">
        <f>IF(AND(A736="",B736=""),"",IF(AND(A736&lt;&gt;"",B736&lt;&gt;"",C736&lt;&gt;"",D736&lt;&gt;"",F736&lt;&gt;"",G736&lt;&gt;"",H736&lt;&gt;"",ISERROR(SEARCH("по паспорту",G736)),ISERROR(SEARCH("по паспорту",H736)),I736&lt;&gt;"",J736&lt;&gt;"",K736&lt;&gt;"",L736&lt;&gt;"",M736&lt;&gt;""),"ГОТОВО","НЕ ГОТОВО"))</f>
        <v/>
      </c>
      <c r="Q736" s="205">
        <f>IF(P736&lt;&gt;"ГОТОВО","", "Предварительное заключение: "&amp;A736&amp;", скв. "&amp;B736&amp;". МРП: "&amp;E736&amp;" сут. ГНО: "&amp;F736&amp;", типоразмер "&amp;G736&amp;", марка "&amp;H736&amp;". Событие: "&amp;I736&amp;". Признак: "&amp;J736&amp;". Узел: "&amp;K736&amp;". Предварительная причина: "&amp;L736&amp;". Основное осложнение: "&amp;M736&amp;IF(N736&lt;&gt;"","; сопутствующее: "&amp;N736,"")&amp;IF(O736&lt;&gt;"","; дополнительно: "&amp;O736,"")&amp;".")</f>
        <v/>
      </c>
      <c r="R736" s="172">
        <f>IF('Оперативный ввод'!P736="","",'Оперативный ввод'!P736)</f>
        <v/>
      </c>
      <c r="S736" s="172">
        <f>IF('Оперативный ввод'!Q736="","",'Оперативный ввод'!Q736)</f>
        <v/>
      </c>
      <c r="T736" s="172">
        <f>IF('Оперативный ввод'!R736="","",'Оперативный ввод'!R736)</f>
        <v/>
      </c>
      <c r="U736" s="172">
        <f>IF('Оперативный ввод'!S736="","",'Оперативный ввод'!S736)</f>
        <v/>
      </c>
      <c r="V736" s="172">
        <f>IF('Оперативный ввод'!T736="","",'Оперативный ввод'!T736)</f>
        <v/>
      </c>
      <c r="W736" s="172" t="n"/>
      <c r="X736" s="172" t="n"/>
      <c r="Y736" s="172" t="n"/>
      <c r="Z736" s="172" t="n"/>
      <c r="AA736" s="172">
        <f>IF('Оперативный ввод'!U736="","",'Оперативный ввод'!U736)</f>
        <v/>
      </c>
      <c r="AB736" s="172">
        <f>IF('Оперативный ввод'!V736="","",'Оперативный ввод'!V736)</f>
        <v/>
      </c>
      <c r="AC736" s="172">
        <f>IF('Оперативный ввод'!W736="","",'Оперативный ввод'!W736)</f>
        <v/>
      </c>
      <c r="BB736" s="172" t="n"/>
      <c r="BC736" s="172" t="n"/>
      <c r="BD736" s="205">
        <f>IF(AND(A736="",B736=""),"",IF(AND(P736="ГОТОВО",R736&lt;&gt;"",T736&lt;&gt;"",U736&lt;&gt;"",AA736&lt;&gt;"",AB736&lt;&gt;"",AC736&lt;&gt;"",BB736&lt;&gt;"",BC736&lt;&gt;""),"ГОТОВО","НЕ ГОТОВО"))</f>
        <v/>
      </c>
      <c r="BE736" s="205">
        <f>IF(BD736&lt;&gt;"ГОТОВО","","Полное заключение: "&amp;A736&amp;", скв. "&amp;B736&amp;". МРП: "&amp;E736&amp;" сут. ГНО: "&amp;F736&amp;"; причина: "&amp;U736&amp;"; категория: "&amp;V736&amp;"; решение комиссии: "&amp;BB736&amp;".")</f>
        <v/>
      </c>
      <c r="BF736" s="173">
        <f>IF('Оперативный ввод'!X736="","",'Оперативный ввод'!X736)</f>
        <v/>
      </c>
    </row>
    <row r="737">
      <c r="A737" s="171">
        <f>IF('Оперативный ввод'!A737="","",'Оперативный ввод'!A737)</f>
        <v/>
      </c>
      <c r="B737" s="172">
        <f>IF('Оперативный ввод'!B737="","",'Оперативный ввод'!B737)</f>
        <v/>
      </c>
      <c r="C737" s="270">
        <f>IF('Оперативный ввод'!C737="","",'Оперативный ввод'!C737)</f>
        <v/>
      </c>
      <c r="D737" s="270">
        <f>IF('Оперативный ввод'!D737="","",'Оперативный ввод'!D737)</f>
        <v/>
      </c>
      <c r="E737" s="271">
        <f>IF(OR(C737="",D737=""),"",D737-C737)</f>
        <v/>
      </c>
      <c r="F737" s="172">
        <f>IF('Оперативный ввод'!F737="","",'Оперативный ввод'!F737)</f>
        <v/>
      </c>
      <c r="G737" s="172">
        <f>IF('Оперативный ввод'!G737="","",'Оперативный ввод'!G737)</f>
        <v/>
      </c>
      <c r="H737" s="172">
        <f>IF('Оперативный ввод'!H737="","",'Оперативный ввод'!H737)</f>
        <v/>
      </c>
      <c r="I737" s="172">
        <f>IF('Оперативный ввод'!I737="","",'Оперативный ввод'!I737)</f>
        <v/>
      </c>
      <c r="J737" s="172">
        <f>IF('Оперативный ввод'!J737="","",'Оперативный ввод'!J737)</f>
        <v/>
      </c>
      <c r="K737" s="172">
        <f>IF('Оперативный ввод'!K737="","",'Оперативный ввод'!K737)</f>
        <v/>
      </c>
      <c r="L737" s="172">
        <f>IF('Оперативный ввод'!L737="","",'Оперативный ввод'!L737)</f>
        <v/>
      </c>
      <c r="M737" s="172">
        <f>IF('Оперативный ввод'!M737="","",'Оперативный ввод'!M737)</f>
        <v/>
      </c>
      <c r="N737" s="172">
        <f>IF('Оперативный ввод'!N737="","",'Оперативный ввод'!N737)</f>
        <v/>
      </c>
      <c r="O737" s="172">
        <f>IF('Оперативный ввод'!O737="","",'Оперативный ввод'!O737)</f>
        <v/>
      </c>
      <c r="P737" s="205">
        <f>IF(AND(A737="",B737=""),"",IF(AND(A737&lt;&gt;"",B737&lt;&gt;"",C737&lt;&gt;"",D737&lt;&gt;"",F737&lt;&gt;"",G737&lt;&gt;"",H737&lt;&gt;"",ISERROR(SEARCH("по паспорту",G737)),ISERROR(SEARCH("по паспорту",H737)),I737&lt;&gt;"",J737&lt;&gt;"",K737&lt;&gt;"",L737&lt;&gt;"",M737&lt;&gt;""),"ГОТОВО","НЕ ГОТОВО"))</f>
        <v/>
      </c>
      <c r="Q737" s="205">
        <f>IF(P737&lt;&gt;"ГОТОВО","", "Предварительное заключение: "&amp;A737&amp;", скв. "&amp;B737&amp;". МРП: "&amp;E737&amp;" сут. ГНО: "&amp;F737&amp;", типоразмер "&amp;G737&amp;", марка "&amp;H737&amp;". Событие: "&amp;I737&amp;". Признак: "&amp;J737&amp;". Узел: "&amp;K737&amp;". Предварительная причина: "&amp;L737&amp;". Основное осложнение: "&amp;M737&amp;IF(N737&lt;&gt;"","; сопутствующее: "&amp;N737,"")&amp;IF(O737&lt;&gt;"","; дополнительно: "&amp;O737,"")&amp;".")</f>
        <v/>
      </c>
      <c r="R737" s="172">
        <f>IF('Оперативный ввод'!P737="","",'Оперативный ввод'!P737)</f>
        <v/>
      </c>
      <c r="S737" s="172">
        <f>IF('Оперативный ввод'!Q737="","",'Оперативный ввод'!Q737)</f>
        <v/>
      </c>
      <c r="T737" s="172">
        <f>IF('Оперативный ввод'!R737="","",'Оперативный ввод'!R737)</f>
        <v/>
      </c>
      <c r="U737" s="172">
        <f>IF('Оперативный ввод'!S737="","",'Оперативный ввод'!S737)</f>
        <v/>
      </c>
      <c r="V737" s="172">
        <f>IF('Оперативный ввод'!T737="","",'Оперативный ввод'!T737)</f>
        <v/>
      </c>
      <c r="W737" s="172" t="n"/>
      <c r="X737" s="172" t="n"/>
      <c r="Y737" s="172" t="n"/>
      <c r="Z737" s="172" t="n"/>
      <c r="AA737" s="172">
        <f>IF('Оперативный ввод'!U737="","",'Оперативный ввод'!U737)</f>
        <v/>
      </c>
      <c r="AB737" s="172">
        <f>IF('Оперативный ввод'!V737="","",'Оперативный ввод'!V737)</f>
        <v/>
      </c>
      <c r="AC737" s="172">
        <f>IF('Оперативный ввод'!W737="","",'Оперативный ввод'!W737)</f>
        <v/>
      </c>
      <c r="BB737" s="172" t="n"/>
      <c r="BC737" s="172" t="n"/>
      <c r="BD737" s="205">
        <f>IF(AND(A737="",B737=""),"",IF(AND(P737="ГОТОВО",R737&lt;&gt;"",T737&lt;&gt;"",U737&lt;&gt;"",AA737&lt;&gt;"",AB737&lt;&gt;"",AC737&lt;&gt;"",BB737&lt;&gt;"",BC737&lt;&gt;""),"ГОТОВО","НЕ ГОТОВО"))</f>
        <v/>
      </c>
      <c r="BE737" s="205">
        <f>IF(BD737&lt;&gt;"ГОТОВО","","Полное заключение: "&amp;A737&amp;", скв. "&amp;B737&amp;". МРП: "&amp;E737&amp;" сут. ГНО: "&amp;F737&amp;"; причина: "&amp;U737&amp;"; категория: "&amp;V737&amp;"; решение комиссии: "&amp;BB737&amp;".")</f>
        <v/>
      </c>
      <c r="BF737" s="173">
        <f>IF('Оперативный ввод'!X737="","",'Оперативный ввод'!X737)</f>
        <v/>
      </c>
    </row>
    <row r="738">
      <c r="A738" s="171">
        <f>IF('Оперативный ввод'!A738="","",'Оперативный ввод'!A738)</f>
        <v/>
      </c>
      <c r="B738" s="172">
        <f>IF('Оперативный ввод'!B738="","",'Оперативный ввод'!B738)</f>
        <v/>
      </c>
      <c r="C738" s="270">
        <f>IF('Оперативный ввод'!C738="","",'Оперативный ввод'!C738)</f>
        <v/>
      </c>
      <c r="D738" s="270">
        <f>IF('Оперативный ввод'!D738="","",'Оперативный ввод'!D738)</f>
        <v/>
      </c>
      <c r="E738" s="271">
        <f>IF(OR(C738="",D738=""),"",D738-C738)</f>
        <v/>
      </c>
      <c r="F738" s="172">
        <f>IF('Оперативный ввод'!F738="","",'Оперативный ввод'!F738)</f>
        <v/>
      </c>
      <c r="G738" s="172">
        <f>IF('Оперативный ввод'!G738="","",'Оперативный ввод'!G738)</f>
        <v/>
      </c>
      <c r="H738" s="172">
        <f>IF('Оперативный ввод'!H738="","",'Оперативный ввод'!H738)</f>
        <v/>
      </c>
      <c r="I738" s="172">
        <f>IF('Оперативный ввод'!I738="","",'Оперативный ввод'!I738)</f>
        <v/>
      </c>
      <c r="J738" s="172">
        <f>IF('Оперативный ввод'!J738="","",'Оперативный ввод'!J738)</f>
        <v/>
      </c>
      <c r="K738" s="172">
        <f>IF('Оперативный ввод'!K738="","",'Оперативный ввод'!K738)</f>
        <v/>
      </c>
      <c r="L738" s="172">
        <f>IF('Оперативный ввод'!L738="","",'Оперативный ввод'!L738)</f>
        <v/>
      </c>
      <c r="M738" s="172">
        <f>IF('Оперативный ввод'!M738="","",'Оперативный ввод'!M738)</f>
        <v/>
      </c>
      <c r="N738" s="172">
        <f>IF('Оперативный ввод'!N738="","",'Оперативный ввод'!N738)</f>
        <v/>
      </c>
      <c r="O738" s="172">
        <f>IF('Оперативный ввод'!O738="","",'Оперативный ввод'!O738)</f>
        <v/>
      </c>
      <c r="P738" s="205">
        <f>IF(AND(A738="",B738=""),"",IF(AND(A738&lt;&gt;"",B738&lt;&gt;"",C738&lt;&gt;"",D738&lt;&gt;"",F738&lt;&gt;"",G738&lt;&gt;"",H738&lt;&gt;"",ISERROR(SEARCH("по паспорту",G738)),ISERROR(SEARCH("по паспорту",H738)),I738&lt;&gt;"",J738&lt;&gt;"",K738&lt;&gt;"",L738&lt;&gt;"",M738&lt;&gt;""),"ГОТОВО","НЕ ГОТОВО"))</f>
        <v/>
      </c>
      <c r="Q738" s="205">
        <f>IF(P738&lt;&gt;"ГОТОВО","", "Предварительное заключение: "&amp;A738&amp;", скв. "&amp;B738&amp;". МРП: "&amp;E738&amp;" сут. ГНО: "&amp;F738&amp;", типоразмер "&amp;G738&amp;", марка "&amp;H738&amp;". Событие: "&amp;I738&amp;". Признак: "&amp;J738&amp;". Узел: "&amp;K738&amp;". Предварительная причина: "&amp;L738&amp;". Основное осложнение: "&amp;M738&amp;IF(N738&lt;&gt;"","; сопутствующее: "&amp;N738,"")&amp;IF(O738&lt;&gt;"","; дополнительно: "&amp;O738,"")&amp;".")</f>
        <v/>
      </c>
      <c r="R738" s="172">
        <f>IF('Оперативный ввод'!P738="","",'Оперативный ввод'!P738)</f>
        <v/>
      </c>
      <c r="S738" s="172">
        <f>IF('Оперативный ввод'!Q738="","",'Оперативный ввод'!Q738)</f>
        <v/>
      </c>
      <c r="T738" s="172">
        <f>IF('Оперативный ввод'!R738="","",'Оперативный ввод'!R738)</f>
        <v/>
      </c>
      <c r="U738" s="172">
        <f>IF('Оперативный ввод'!S738="","",'Оперативный ввод'!S738)</f>
        <v/>
      </c>
      <c r="V738" s="172">
        <f>IF('Оперативный ввод'!T738="","",'Оперативный ввод'!T738)</f>
        <v/>
      </c>
      <c r="W738" s="172" t="n"/>
      <c r="X738" s="172" t="n"/>
      <c r="Y738" s="172" t="n"/>
      <c r="Z738" s="172" t="n"/>
      <c r="AA738" s="172">
        <f>IF('Оперативный ввод'!U738="","",'Оперативный ввод'!U738)</f>
        <v/>
      </c>
      <c r="AB738" s="172">
        <f>IF('Оперативный ввод'!V738="","",'Оперативный ввод'!V738)</f>
        <v/>
      </c>
      <c r="AC738" s="172">
        <f>IF('Оперативный ввод'!W738="","",'Оперативный ввод'!W738)</f>
        <v/>
      </c>
      <c r="BB738" s="172" t="n"/>
      <c r="BC738" s="172" t="n"/>
      <c r="BD738" s="205">
        <f>IF(AND(A738="",B738=""),"",IF(AND(P738="ГОТОВО",R738&lt;&gt;"",T738&lt;&gt;"",U738&lt;&gt;"",AA738&lt;&gt;"",AB738&lt;&gt;"",AC738&lt;&gt;"",BB738&lt;&gt;"",BC738&lt;&gt;""),"ГОТОВО","НЕ ГОТОВО"))</f>
        <v/>
      </c>
      <c r="BE738" s="205">
        <f>IF(BD738&lt;&gt;"ГОТОВО","","Полное заключение: "&amp;A738&amp;", скв. "&amp;B738&amp;". МРП: "&amp;E738&amp;" сут. ГНО: "&amp;F738&amp;"; причина: "&amp;U738&amp;"; категория: "&amp;V738&amp;"; решение комиссии: "&amp;BB738&amp;".")</f>
        <v/>
      </c>
      <c r="BF738" s="173">
        <f>IF('Оперативный ввод'!X738="","",'Оперативный ввод'!X738)</f>
        <v/>
      </c>
    </row>
    <row r="739">
      <c r="A739" s="171">
        <f>IF('Оперативный ввод'!A739="","",'Оперативный ввод'!A739)</f>
        <v/>
      </c>
      <c r="B739" s="172">
        <f>IF('Оперативный ввод'!B739="","",'Оперативный ввод'!B739)</f>
        <v/>
      </c>
      <c r="C739" s="270">
        <f>IF('Оперативный ввод'!C739="","",'Оперативный ввод'!C739)</f>
        <v/>
      </c>
      <c r="D739" s="270">
        <f>IF('Оперативный ввод'!D739="","",'Оперативный ввод'!D739)</f>
        <v/>
      </c>
      <c r="E739" s="271">
        <f>IF(OR(C739="",D739=""),"",D739-C739)</f>
        <v/>
      </c>
      <c r="F739" s="172">
        <f>IF('Оперативный ввод'!F739="","",'Оперативный ввод'!F739)</f>
        <v/>
      </c>
      <c r="G739" s="172">
        <f>IF('Оперативный ввод'!G739="","",'Оперативный ввод'!G739)</f>
        <v/>
      </c>
      <c r="H739" s="172">
        <f>IF('Оперативный ввод'!H739="","",'Оперативный ввод'!H739)</f>
        <v/>
      </c>
      <c r="I739" s="172">
        <f>IF('Оперативный ввод'!I739="","",'Оперативный ввод'!I739)</f>
        <v/>
      </c>
      <c r="J739" s="172">
        <f>IF('Оперативный ввод'!J739="","",'Оперативный ввод'!J739)</f>
        <v/>
      </c>
      <c r="K739" s="172">
        <f>IF('Оперативный ввод'!K739="","",'Оперативный ввод'!K739)</f>
        <v/>
      </c>
      <c r="L739" s="172">
        <f>IF('Оперативный ввод'!L739="","",'Оперативный ввод'!L739)</f>
        <v/>
      </c>
      <c r="M739" s="172">
        <f>IF('Оперативный ввод'!M739="","",'Оперативный ввод'!M739)</f>
        <v/>
      </c>
      <c r="N739" s="172">
        <f>IF('Оперативный ввод'!N739="","",'Оперативный ввод'!N739)</f>
        <v/>
      </c>
      <c r="O739" s="172">
        <f>IF('Оперативный ввод'!O739="","",'Оперативный ввод'!O739)</f>
        <v/>
      </c>
      <c r="P739" s="205">
        <f>IF(AND(A739="",B739=""),"",IF(AND(A739&lt;&gt;"",B739&lt;&gt;"",C739&lt;&gt;"",D739&lt;&gt;"",F739&lt;&gt;"",G739&lt;&gt;"",H739&lt;&gt;"",ISERROR(SEARCH("по паспорту",G739)),ISERROR(SEARCH("по паспорту",H739)),I739&lt;&gt;"",J739&lt;&gt;"",K739&lt;&gt;"",L739&lt;&gt;"",M739&lt;&gt;""),"ГОТОВО","НЕ ГОТОВО"))</f>
        <v/>
      </c>
      <c r="Q739" s="205">
        <f>IF(P739&lt;&gt;"ГОТОВО","", "Предварительное заключение: "&amp;A739&amp;", скв. "&amp;B739&amp;". МРП: "&amp;E739&amp;" сут. ГНО: "&amp;F739&amp;", типоразмер "&amp;G739&amp;", марка "&amp;H739&amp;". Событие: "&amp;I739&amp;". Признак: "&amp;J739&amp;". Узел: "&amp;K739&amp;". Предварительная причина: "&amp;L739&amp;". Основное осложнение: "&amp;M739&amp;IF(N739&lt;&gt;"","; сопутствующее: "&amp;N739,"")&amp;IF(O739&lt;&gt;"","; дополнительно: "&amp;O739,"")&amp;".")</f>
        <v/>
      </c>
      <c r="R739" s="172">
        <f>IF('Оперативный ввод'!P739="","",'Оперативный ввод'!P739)</f>
        <v/>
      </c>
      <c r="S739" s="172">
        <f>IF('Оперативный ввод'!Q739="","",'Оперативный ввод'!Q739)</f>
        <v/>
      </c>
      <c r="T739" s="172">
        <f>IF('Оперативный ввод'!R739="","",'Оперативный ввод'!R739)</f>
        <v/>
      </c>
      <c r="U739" s="172">
        <f>IF('Оперативный ввод'!S739="","",'Оперативный ввод'!S739)</f>
        <v/>
      </c>
      <c r="V739" s="172">
        <f>IF('Оперативный ввод'!T739="","",'Оперативный ввод'!T739)</f>
        <v/>
      </c>
      <c r="W739" s="172" t="n"/>
      <c r="X739" s="172" t="n"/>
      <c r="Y739" s="172" t="n"/>
      <c r="Z739" s="172" t="n"/>
      <c r="AA739" s="172">
        <f>IF('Оперативный ввод'!U739="","",'Оперативный ввод'!U739)</f>
        <v/>
      </c>
      <c r="AB739" s="172">
        <f>IF('Оперативный ввод'!V739="","",'Оперативный ввод'!V739)</f>
        <v/>
      </c>
      <c r="AC739" s="172">
        <f>IF('Оперативный ввод'!W739="","",'Оперативный ввод'!W739)</f>
        <v/>
      </c>
      <c r="BB739" s="172" t="n"/>
      <c r="BC739" s="172" t="n"/>
      <c r="BD739" s="205">
        <f>IF(AND(A739="",B739=""),"",IF(AND(P739="ГОТОВО",R739&lt;&gt;"",T739&lt;&gt;"",U739&lt;&gt;"",AA739&lt;&gt;"",AB739&lt;&gt;"",AC739&lt;&gt;"",BB739&lt;&gt;"",BC739&lt;&gt;""),"ГОТОВО","НЕ ГОТОВО"))</f>
        <v/>
      </c>
      <c r="BE739" s="205">
        <f>IF(BD739&lt;&gt;"ГОТОВО","","Полное заключение: "&amp;A739&amp;", скв. "&amp;B739&amp;". МРП: "&amp;E739&amp;" сут. ГНО: "&amp;F739&amp;"; причина: "&amp;U739&amp;"; категория: "&amp;V739&amp;"; решение комиссии: "&amp;BB739&amp;".")</f>
        <v/>
      </c>
      <c r="BF739" s="173">
        <f>IF('Оперативный ввод'!X739="","",'Оперативный ввод'!X739)</f>
        <v/>
      </c>
    </row>
    <row r="740">
      <c r="A740" s="171">
        <f>IF('Оперативный ввод'!A740="","",'Оперативный ввод'!A740)</f>
        <v/>
      </c>
      <c r="B740" s="172">
        <f>IF('Оперативный ввод'!B740="","",'Оперативный ввод'!B740)</f>
        <v/>
      </c>
      <c r="C740" s="270">
        <f>IF('Оперативный ввод'!C740="","",'Оперативный ввод'!C740)</f>
        <v/>
      </c>
      <c r="D740" s="270">
        <f>IF('Оперативный ввод'!D740="","",'Оперативный ввод'!D740)</f>
        <v/>
      </c>
      <c r="E740" s="271">
        <f>IF(OR(C740="",D740=""),"",D740-C740)</f>
        <v/>
      </c>
      <c r="F740" s="172">
        <f>IF('Оперативный ввод'!F740="","",'Оперативный ввод'!F740)</f>
        <v/>
      </c>
      <c r="G740" s="172">
        <f>IF('Оперативный ввод'!G740="","",'Оперативный ввод'!G740)</f>
        <v/>
      </c>
      <c r="H740" s="172">
        <f>IF('Оперативный ввод'!H740="","",'Оперативный ввод'!H740)</f>
        <v/>
      </c>
      <c r="I740" s="172">
        <f>IF('Оперативный ввод'!I740="","",'Оперативный ввод'!I740)</f>
        <v/>
      </c>
      <c r="J740" s="172">
        <f>IF('Оперативный ввод'!J740="","",'Оперативный ввод'!J740)</f>
        <v/>
      </c>
      <c r="K740" s="172">
        <f>IF('Оперативный ввод'!K740="","",'Оперативный ввод'!K740)</f>
        <v/>
      </c>
      <c r="L740" s="172">
        <f>IF('Оперативный ввод'!L740="","",'Оперативный ввод'!L740)</f>
        <v/>
      </c>
      <c r="M740" s="172">
        <f>IF('Оперативный ввод'!M740="","",'Оперативный ввод'!M740)</f>
        <v/>
      </c>
      <c r="N740" s="172">
        <f>IF('Оперативный ввод'!N740="","",'Оперативный ввод'!N740)</f>
        <v/>
      </c>
      <c r="O740" s="172">
        <f>IF('Оперативный ввод'!O740="","",'Оперативный ввод'!O740)</f>
        <v/>
      </c>
      <c r="P740" s="205">
        <f>IF(AND(A740="",B740=""),"",IF(AND(A740&lt;&gt;"",B740&lt;&gt;"",C740&lt;&gt;"",D740&lt;&gt;"",F740&lt;&gt;"",G740&lt;&gt;"",H740&lt;&gt;"",ISERROR(SEARCH("по паспорту",G740)),ISERROR(SEARCH("по паспорту",H740)),I740&lt;&gt;"",J740&lt;&gt;"",K740&lt;&gt;"",L740&lt;&gt;"",M740&lt;&gt;""),"ГОТОВО","НЕ ГОТОВО"))</f>
        <v/>
      </c>
      <c r="Q740" s="205">
        <f>IF(P740&lt;&gt;"ГОТОВО","", "Предварительное заключение: "&amp;A740&amp;", скв. "&amp;B740&amp;". МРП: "&amp;E740&amp;" сут. ГНО: "&amp;F740&amp;", типоразмер "&amp;G740&amp;", марка "&amp;H740&amp;". Событие: "&amp;I740&amp;". Признак: "&amp;J740&amp;". Узел: "&amp;K740&amp;". Предварительная причина: "&amp;L740&amp;". Основное осложнение: "&amp;M740&amp;IF(N740&lt;&gt;"","; сопутствующее: "&amp;N740,"")&amp;IF(O740&lt;&gt;"","; дополнительно: "&amp;O740,"")&amp;".")</f>
        <v/>
      </c>
      <c r="R740" s="172">
        <f>IF('Оперативный ввод'!P740="","",'Оперативный ввод'!P740)</f>
        <v/>
      </c>
      <c r="S740" s="172">
        <f>IF('Оперативный ввод'!Q740="","",'Оперативный ввод'!Q740)</f>
        <v/>
      </c>
      <c r="T740" s="172">
        <f>IF('Оперативный ввод'!R740="","",'Оперативный ввод'!R740)</f>
        <v/>
      </c>
      <c r="U740" s="172">
        <f>IF('Оперативный ввод'!S740="","",'Оперативный ввод'!S740)</f>
        <v/>
      </c>
      <c r="V740" s="172">
        <f>IF('Оперативный ввод'!T740="","",'Оперативный ввод'!T740)</f>
        <v/>
      </c>
      <c r="W740" s="172" t="n"/>
      <c r="X740" s="172" t="n"/>
      <c r="Y740" s="172" t="n"/>
      <c r="Z740" s="172" t="n"/>
      <c r="AA740" s="172">
        <f>IF('Оперативный ввод'!U740="","",'Оперативный ввод'!U740)</f>
        <v/>
      </c>
      <c r="AB740" s="172">
        <f>IF('Оперативный ввод'!V740="","",'Оперативный ввод'!V740)</f>
        <v/>
      </c>
      <c r="AC740" s="172">
        <f>IF('Оперативный ввод'!W740="","",'Оперативный ввод'!W740)</f>
        <v/>
      </c>
      <c r="BB740" s="172" t="n"/>
      <c r="BC740" s="172" t="n"/>
      <c r="BD740" s="205">
        <f>IF(AND(A740="",B740=""),"",IF(AND(P740="ГОТОВО",R740&lt;&gt;"",T740&lt;&gt;"",U740&lt;&gt;"",AA740&lt;&gt;"",AB740&lt;&gt;"",AC740&lt;&gt;"",BB740&lt;&gt;"",BC740&lt;&gt;""),"ГОТОВО","НЕ ГОТОВО"))</f>
        <v/>
      </c>
      <c r="BE740" s="205">
        <f>IF(BD740&lt;&gt;"ГОТОВО","","Полное заключение: "&amp;A740&amp;", скв. "&amp;B740&amp;". МРП: "&amp;E740&amp;" сут. ГНО: "&amp;F740&amp;"; причина: "&amp;U740&amp;"; категория: "&amp;V740&amp;"; решение комиссии: "&amp;BB740&amp;".")</f>
        <v/>
      </c>
      <c r="BF740" s="173">
        <f>IF('Оперативный ввод'!X740="","",'Оперативный ввод'!X740)</f>
        <v/>
      </c>
    </row>
    <row r="741">
      <c r="A741" s="171">
        <f>IF('Оперативный ввод'!A741="","",'Оперативный ввод'!A741)</f>
        <v/>
      </c>
      <c r="B741" s="172">
        <f>IF('Оперативный ввод'!B741="","",'Оперативный ввод'!B741)</f>
        <v/>
      </c>
      <c r="C741" s="270">
        <f>IF('Оперативный ввод'!C741="","",'Оперативный ввод'!C741)</f>
        <v/>
      </c>
      <c r="D741" s="270">
        <f>IF('Оперативный ввод'!D741="","",'Оперативный ввод'!D741)</f>
        <v/>
      </c>
      <c r="E741" s="271">
        <f>IF(OR(C741="",D741=""),"",D741-C741)</f>
        <v/>
      </c>
      <c r="F741" s="172">
        <f>IF('Оперативный ввод'!F741="","",'Оперативный ввод'!F741)</f>
        <v/>
      </c>
      <c r="G741" s="172">
        <f>IF('Оперативный ввод'!G741="","",'Оперативный ввод'!G741)</f>
        <v/>
      </c>
      <c r="H741" s="172">
        <f>IF('Оперативный ввод'!H741="","",'Оперативный ввод'!H741)</f>
        <v/>
      </c>
      <c r="I741" s="172">
        <f>IF('Оперативный ввод'!I741="","",'Оперативный ввод'!I741)</f>
        <v/>
      </c>
      <c r="J741" s="172">
        <f>IF('Оперативный ввод'!J741="","",'Оперативный ввод'!J741)</f>
        <v/>
      </c>
      <c r="K741" s="172">
        <f>IF('Оперативный ввод'!K741="","",'Оперативный ввод'!K741)</f>
        <v/>
      </c>
      <c r="L741" s="172">
        <f>IF('Оперативный ввод'!L741="","",'Оперативный ввод'!L741)</f>
        <v/>
      </c>
      <c r="M741" s="172">
        <f>IF('Оперативный ввод'!M741="","",'Оперативный ввод'!M741)</f>
        <v/>
      </c>
      <c r="N741" s="172">
        <f>IF('Оперативный ввод'!N741="","",'Оперативный ввод'!N741)</f>
        <v/>
      </c>
      <c r="O741" s="172">
        <f>IF('Оперативный ввод'!O741="","",'Оперативный ввод'!O741)</f>
        <v/>
      </c>
      <c r="P741" s="205">
        <f>IF(AND(A741="",B741=""),"",IF(AND(A741&lt;&gt;"",B741&lt;&gt;"",C741&lt;&gt;"",D741&lt;&gt;"",F741&lt;&gt;"",G741&lt;&gt;"",H741&lt;&gt;"",ISERROR(SEARCH("по паспорту",G741)),ISERROR(SEARCH("по паспорту",H741)),I741&lt;&gt;"",J741&lt;&gt;"",K741&lt;&gt;"",L741&lt;&gt;"",M741&lt;&gt;""),"ГОТОВО","НЕ ГОТОВО"))</f>
        <v/>
      </c>
      <c r="Q741" s="205">
        <f>IF(P741&lt;&gt;"ГОТОВО","", "Предварительное заключение: "&amp;A741&amp;", скв. "&amp;B741&amp;". МРП: "&amp;E741&amp;" сут. ГНО: "&amp;F741&amp;", типоразмер "&amp;G741&amp;", марка "&amp;H741&amp;". Событие: "&amp;I741&amp;". Признак: "&amp;J741&amp;". Узел: "&amp;K741&amp;". Предварительная причина: "&amp;L741&amp;". Основное осложнение: "&amp;M741&amp;IF(N741&lt;&gt;"","; сопутствующее: "&amp;N741,"")&amp;IF(O741&lt;&gt;"","; дополнительно: "&amp;O741,"")&amp;".")</f>
        <v/>
      </c>
      <c r="R741" s="172">
        <f>IF('Оперативный ввод'!P741="","",'Оперативный ввод'!P741)</f>
        <v/>
      </c>
      <c r="S741" s="172">
        <f>IF('Оперативный ввод'!Q741="","",'Оперативный ввод'!Q741)</f>
        <v/>
      </c>
      <c r="T741" s="172">
        <f>IF('Оперативный ввод'!R741="","",'Оперативный ввод'!R741)</f>
        <v/>
      </c>
      <c r="U741" s="172">
        <f>IF('Оперативный ввод'!S741="","",'Оперативный ввод'!S741)</f>
        <v/>
      </c>
      <c r="V741" s="172">
        <f>IF('Оперативный ввод'!T741="","",'Оперативный ввод'!T741)</f>
        <v/>
      </c>
      <c r="W741" s="172" t="n"/>
      <c r="X741" s="172" t="n"/>
      <c r="Y741" s="172" t="n"/>
      <c r="Z741" s="172" t="n"/>
      <c r="AA741" s="172">
        <f>IF('Оперативный ввод'!U741="","",'Оперативный ввод'!U741)</f>
        <v/>
      </c>
      <c r="AB741" s="172">
        <f>IF('Оперативный ввод'!V741="","",'Оперативный ввод'!V741)</f>
        <v/>
      </c>
      <c r="AC741" s="172">
        <f>IF('Оперативный ввод'!W741="","",'Оперативный ввод'!W741)</f>
        <v/>
      </c>
      <c r="BB741" s="172" t="n"/>
      <c r="BC741" s="172" t="n"/>
      <c r="BD741" s="205">
        <f>IF(AND(A741="",B741=""),"",IF(AND(P741="ГОТОВО",R741&lt;&gt;"",T741&lt;&gt;"",U741&lt;&gt;"",AA741&lt;&gt;"",AB741&lt;&gt;"",AC741&lt;&gt;"",BB741&lt;&gt;"",BC741&lt;&gt;""),"ГОТОВО","НЕ ГОТОВО"))</f>
        <v/>
      </c>
      <c r="BE741" s="205">
        <f>IF(BD741&lt;&gt;"ГОТОВО","","Полное заключение: "&amp;A741&amp;", скв. "&amp;B741&amp;". МРП: "&amp;E741&amp;" сут. ГНО: "&amp;F741&amp;"; причина: "&amp;U741&amp;"; категория: "&amp;V741&amp;"; решение комиссии: "&amp;BB741&amp;".")</f>
        <v/>
      </c>
      <c r="BF741" s="173">
        <f>IF('Оперативный ввод'!X741="","",'Оперативный ввод'!X741)</f>
        <v/>
      </c>
    </row>
    <row r="742">
      <c r="A742" s="171">
        <f>IF('Оперативный ввод'!A742="","",'Оперативный ввод'!A742)</f>
        <v/>
      </c>
      <c r="B742" s="172">
        <f>IF('Оперативный ввод'!B742="","",'Оперативный ввод'!B742)</f>
        <v/>
      </c>
      <c r="C742" s="270">
        <f>IF('Оперативный ввод'!C742="","",'Оперативный ввод'!C742)</f>
        <v/>
      </c>
      <c r="D742" s="270">
        <f>IF('Оперативный ввод'!D742="","",'Оперативный ввод'!D742)</f>
        <v/>
      </c>
      <c r="E742" s="271">
        <f>IF(OR(C742="",D742=""),"",D742-C742)</f>
        <v/>
      </c>
      <c r="F742" s="172">
        <f>IF('Оперативный ввод'!F742="","",'Оперативный ввод'!F742)</f>
        <v/>
      </c>
      <c r="G742" s="172">
        <f>IF('Оперативный ввод'!G742="","",'Оперативный ввод'!G742)</f>
        <v/>
      </c>
      <c r="H742" s="172">
        <f>IF('Оперативный ввод'!H742="","",'Оперативный ввод'!H742)</f>
        <v/>
      </c>
      <c r="I742" s="172">
        <f>IF('Оперативный ввод'!I742="","",'Оперативный ввод'!I742)</f>
        <v/>
      </c>
      <c r="J742" s="172">
        <f>IF('Оперативный ввод'!J742="","",'Оперативный ввод'!J742)</f>
        <v/>
      </c>
      <c r="K742" s="172">
        <f>IF('Оперативный ввод'!K742="","",'Оперативный ввод'!K742)</f>
        <v/>
      </c>
      <c r="L742" s="172">
        <f>IF('Оперативный ввод'!L742="","",'Оперативный ввод'!L742)</f>
        <v/>
      </c>
      <c r="M742" s="172">
        <f>IF('Оперативный ввод'!M742="","",'Оперативный ввод'!M742)</f>
        <v/>
      </c>
      <c r="N742" s="172">
        <f>IF('Оперативный ввод'!N742="","",'Оперативный ввод'!N742)</f>
        <v/>
      </c>
      <c r="O742" s="172">
        <f>IF('Оперативный ввод'!O742="","",'Оперативный ввод'!O742)</f>
        <v/>
      </c>
      <c r="P742" s="205">
        <f>IF(AND(A742="",B742=""),"",IF(AND(A742&lt;&gt;"",B742&lt;&gt;"",C742&lt;&gt;"",D742&lt;&gt;"",F742&lt;&gt;"",G742&lt;&gt;"",H742&lt;&gt;"",ISERROR(SEARCH("по паспорту",G742)),ISERROR(SEARCH("по паспорту",H742)),I742&lt;&gt;"",J742&lt;&gt;"",K742&lt;&gt;"",L742&lt;&gt;"",M742&lt;&gt;""),"ГОТОВО","НЕ ГОТОВО"))</f>
        <v/>
      </c>
      <c r="Q742" s="205">
        <f>IF(P742&lt;&gt;"ГОТОВО","", "Предварительное заключение: "&amp;A742&amp;", скв. "&amp;B742&amp;". МРП: "&amp;E742&amp;" сут. ГНО: "&amp;F742&amp;", типоразмер "&amp;G742&amp;", марка "&amp;H742&amp;". Событие: "&amp;I742&amp;". Признак: "&amp;J742&amp;". Узел: "&amp;K742&amp;". Предварительная причина: "&amp;L742&amp;". Основное осложнение: "&amp;M742&amp;IF(N742&lt;&gt;"","; сопутствующее: "&amp;N742,"")&amp;IF(O742&lt;&gt;"","; дополнительно: "&amp;O742,"")&amp;".")</f>
        <v/>
      </c>
      <c r="R742" s="172">
        <f>IF('Оперативный ввод'!P742="","",'Оперативный ввод'!P742)</f>
        <v/>
      </c>
      <c r="S742" s="172">
        <f>IF('Оперативный ввод'!Q742="","",'Оперативный ввод'!Q742)</f>
        <v/>
      </c>
      <c r="T742" s="172">
        <f>IF('Оперативный ввод'!R742="","",'Оперативный ввод'!R742)</f>
        <v/>
      </c>
      <c r="U742" s="172">
        <f>IF('Оперативный ввод'!S742="","",'Оперативный ввод'!S742)</f>
        <v/>
      </c>
      <c r="V742" s="172">
        <f>IF('Оперативный ввод'!T742="","",'Оперативный ввод'!T742)</f>
        <v/>
      </c>
      <c r="W742" s="172" t="n"/>
      <c r="X742" s="172" t="n"/>
      <c r="Y742" s="172" t="n"/>
      <c r="Z742" s="172" t="n"/>
      <c r="AA742" s="172">
        <f>IF('Оперативный ввод'!U742="","",'Оперативный ввод'!U742)</f>
        <v/>
      </c>
      <c r="AB742" s="172">
        <f>IF('Оперативный ввод'!V742="","",'Оперативный ввод'!V742)</f>
        <v/>
      </c>
      <c r="AC742" s="172">
        <f>IF('Оперативный ввод'!W742="","",'Оперативный ввод'!W742)</f>
        <v/>
      </c>
      <c r="BB742" s="172" t="n"/>
      <c r="BC742" s="172" t="n"/>
      <c r="BD742" s="205">
        <f>IF(AND(A742="",B742=""),"",IF(AND(P742="ГОТОВО",R742&lt;&gt;"",T742&lt;&gt;"",U742&lt;&gt;"",AA742&lt;&gt;"",AB742&lt;&gt;"",AC742&lt;&gt;"",BB742&lt;&gt;"",BC742&lt;&gt;""),"ГОТОВО","НЕ ГОТОВО"))</f>
        <v/>
      </c>
      <c r="BE742" s="205">
        <f>IF(BD742&lt;&gt;"ГОТОВО","","Полное заключение: "&amp;A742&amp;", скв. "&amp;B742&amp;". МРП: "&amp;E742&amp;" сут. ГНО: "&amp;F742&amp;"; причина: "&amp;U742&amp;"; категория: "&amp;V742&amp;"; решение комиссии: "&amp;BB742&amp;".")</f>
        <v/>
      </c>
      <c r="BF742" s="173">
        <f>IF('Оперативный ввод'!X742="","",'Оперативный ввод'!X742)</f>
        <v/>
      </c>
    </row>
    <row r="743">
      <c r="A743" s="171">
        <f>IF('Оперативный ввод'!A743="","",'Оперативный ввод'!A743)</f>
        <v/>
      </c>
      <c r="B743" s="172">
        <f>IF('Оперативный ввод'!B743="","",'Оперативный ввод'!B743)</f>
        <v/>
      </c>
      <c r="C743" s="270">
        <f>IF('Оперативный ввод'!C743="","",'Оперативный ввод'!C743)</f>
        <v/>
      </c>
      <c r="D743" s="270">
        <f>IF('Оперативный ввод'!D743="","",'Оперативный ввод'!D743)</f>
        <v/>
      </c>
      <c r="E743" s="271">
        <f>IF(OR(C743="",D743=""),"",D743-C743)</f>
        <v/>
      </c>
      <c r="F743" s="172">
        <f>IF('Оперативный ввод'!F743="","",'Оперативный ввод'!F743)</f>
        <v/>
      </c>
      <c r="G743" s="172">
        <f>IF('Оперативный ввод'!G743="","",'Оперативный ввод'!G743)</f>
        <v/>
      </c>
      <c r="H743" s="172">
        <f>IF('Оперативный ввод'!H743="","",'Оперативный ввод'!H743)</f>
        <v/>
      </c>
      <c r="I743" s="172">
        <f>IF('Оперативный ввод'!I743="","",'Оперативный ввод'!I743)</f>
        <v/>
      </c>
      <c r="J743" s="172">
        <f>IF('Оперативный ввод'!J743="","",'Оперативный ввод'!J743)</f>
        <v/>
      </c>
      <c r="K743" s="172">
        <f>IF('Оперативный ввод'!K743="","",'Оперативный ввод'!K743)</f>
        <v/>
      </c>
      <c r="L743" s="172">
        <f>IF('Оперативный ввод'!L743="","",'Оперативный ввод'!L743)</f>
        <v/>
      </c>
      <c r="M743" s="172">
        <f>IF('Оперативный ввод'!M743="","",'Оперативный ввод'!M743)</f>
        <v/>
      </c>
      <c r="N743" s="172">
        <f>IF('Оперативный ввод'!N743="","",'Оперативный ввод'!N743)</f>
        <v/>
      </c>
      <c r="O743" s="172">
        <f>IF('Оперативный ввод'!O743="","",'Оперативный ввод'!O743)</f>
        <v/>
      </c>
      <c r="P743" s="205">
        <f>IF(AND(A743="",B743=""),"",IF(AND(A743&lt;&gt;"",B743&lt;&gt;"",C743&lt;&gt;"",D743&lt;&gt;"",F743&lt;&gt;"",G743&lt;&gt;"",H743&lt;&gt;"",ISERROR(SEARCH("по паспорту",G743)),ISERROR(SEARCH("по паспорту",H743)),I743&lt;&gt;"",J743&lt;&gt;"",K743&lt;&gt;"",L743&lt;&gt;"",M743&lt;&gt;""),"ГОТОВО","НЕ ГОТОВО"))</f>
        <v/>
      </c>
      <c r="Q743" s="205">
        <f>IF(P743&lt;&gt;"ГОТОВО","", "Предварительное заключение: "&amp;A743&amp;", скв. "&amp;B743&amp;". МРП: "&amp;E743&amp;" сут. ГНО: "&amp;F743&amp;", типоразмер "&amp;G743&amp;", марка "&amp;H743&amp;". Событие: "&amp;I743&amp;". Признак: "&amp;J743&amp;". Узел: "&amp;K743&amp;". Предварительная причина: "&amp;L743&amp;". Основное осложнение: "&amp;M743&amp;IF(N743&lt;&gt;"","; сопутствующее: "&amp;N743,"")&amp;IF(O743&lt;&gt;"","; дополнительно: "&amp;O743,"")&amp;".")</f>
        <v/>
      </c>
      <c r="R743" s="172">
        <f>IF('Оперативный ввод'!P743="","",'Оперативный ввод'!P743)</f>
        <v/>
      </c>
      <c r="S743" s="172">
        <f>IF('Оперативный ввод'!Q743="","",'Оперативный ввод'!Q743)</f>
        <v/>
      </c>
      <c r="T743" s="172">
        <f>IF('Оперативный ввод'!R743="","",'Оперативный ввод'!R743)</f>
        <v/>
      </c>
      <c r="U743" s="172">
        <f>IF('Оперативный ввод'!S743="","",'Оперативный ввод'!S743)</f>
        <v/>
      </c>
      <c r="V743" s="172">
        <f>IF('Оперативный ввод'!T743="","",'Оперативный ввод'!T743)</f>
        <v/>
      </c>
      <c r="W743" s="172" t="n"/>
      <c r="X743" s="172" t="n"/>
      <c r="Y743" s="172" t="n"/>
      <c r="Z743" s="172" t="n"/>
      <c r="AA743" s="172">
        <f>IF('Оперативный ввод'!U743="","",'Оперативный ввод'!U743)</f>
        <v/>
      </c>
      <c r="AB743" s="172">
        <f>IF('Оперативный ввод'!V743="","",'Оперативный ввод'!V743)</f>
        <v/>
      </c>
      <c r="AC743" s="172">
        <f>IF('Оперативный ввод'!W743="","",'Оперативный ввод'!W743)</f>
        <v/>
      </c>
      <c r="BB743" s="172" t="n"/>
      <c r="BC743" s="172" t="n"/>
      <c r="BD743" s="205">
        <f>IF(AND(A743="",B743=""),"",IF(AND(P743="ГОТОВО",R743&lt;&gt;"",T743&lt;&gt;"",U743&lt;&gt;"",AA743&lt;&gt;"",AB743&lt;&gt;"",AC743&lt;&gt;"",BB743&lt;&gt;"",BC743&lt;&gt;""),"ГОТОВО","НЕ ГОТОВО"))</f>
        <v/>
      </c>
      <c r="BE743" s="205">
        <f>IF(BD743&lt;&gt;"ГОТОВО","","Полное заключение: "&amp;A743&amp;", скв. "&amp;B743&amp;". МРП: "&amp;E743&amp;" сут. ГНО: "&amp;F743&amp;"; причина: "&amp;U743&amp;"; категория: "&amp;V743&amp;"; решение комиссии: "&amp;BB743&amp;".")</f>
        <v/>
      </c>
      <c r="BF743" s="173">
        <f>IF('Оперативный ввод'!X743="","",'Оперативный ввод'!X743)</f>
        <v/>
      </c>
    </row>
    <row r="744">
      <c r="A744" s="171">
        <f>IF('Оперативный ввод'!A744="","",'Оперативный ввод'!A744)</f>
        <v/>
      </c>
      <c r="B744" s="172">
        <f>IF('Оперативный ввод'!B744="","",'Оперативный ввод'!B744)</f>
        <v/>
      </c>
      <c r="C744" s="270">
        <f>IF('Оперативный ввод'!C744="","",'Оперативный ввод'!C744)</f>
        <v/>
      </c>
      <c r="D744" s="270">
        <f>IF('Оперативный ввод'!D744="","",'Оперативный ввод'!D744)</f>
        <v/>
      </c>
      <c r="E744" s="271">
        <f>IF(OR(C744="",D744=""),"",D744-C744)</f>
        <v/>
      </c>
      <c r="F744" s="172">
        <f>IF('Оперативный ввод'!F744="","",'Оперативный ввод'!F744)</f>
        <v/>
      </c>
      <c r="G744" s="172">
        <f>IF('Оперативный ввод'!G744="","",'Оперативный ввод'!G744)</f>
        <v/>
      </c>
      <c r="H744" s="172">
        <f>IF('Оперативный ввод'!H744="","",'Оперативный ввод'!H744)</f>
        <v/>
      </c>
      <c r="I744" s="172">
        <f>IF('Оперативный ввод'!I744="","",'Оперативный ввод'!I744)</f>
        <v/>
      </c>
      <c r="J744" s="172">
        <f>IF('Оперативный ввод'!J744="","",'Оперативный ввод'!J744)</f>
        <v/>
      </c>
      <c r="K744" s="172">
        <f>IF('Оперативный ввод'!K744="","",'Оперативный ввод'!K744)</f>
        <v/>
      </c>
      <c r="L744" s="172">
        <f>IF('Оперативный ввод'!L744="","",'Оперативный ввод'!L744)</f>
        <v/>
      </c>
      <c r="M744" s="172">
        <f>IF('Оперативный ввод'!M744="","",'Оперативный ввод'!M744)</f>
        <v/>
      </c>
      <c r="N744" s="172">
        <f>IF('Оперативный ввод'!N744="","",'Оперативный ввод'!N744)</f>
        <v/>
      </c>
      <c r="O744" s="172">
        <f>IF('Оперативный ввод'!O744="","",'Оперативный ввод'!O744)</f>
        <v/>
      </c>
      <c r="P744" s="205">
        <f>IF(AND(A744="",B744=""),"",IF(AND(A744&lt;&gt;"",B744&lt;&gt;"",C744&lt;&gt;"",D744&lt;&gt;"",F744&lt;&gt;"",G744&lt;&gt;"",H744&lt;&gt;"",ISERROR(SEARCH("по паспорту",G744)),ISERROR(SEARCH("по паспорту",H744)),I744&lt;&gt;"",J744&lt;&gt;"",K744&lt;&gt;"",L744&lt;&gt;"",M744&lt;&gt;""),"ГОТОВО","НЕ ГОТОВО"))</f>
        <v/>
      </c>
      <c r="Q744" s="205">
        <f>IF(P744&lt;&gt;"ГОТОВО","", "Предварительное заключение: "&amp;A744&amp;", скв. "&amp;B744&amp;". МРП: "&amp;E744&amp;" сут. ГНО: "&amp;F744&amp;", типоразмер "&amp;G744&amp;", марка "&amp;H744&amp;". Событие: "&amp;I744&amp;". Признак: "&amp;J744&amp;". Узел: "&amp;K744&amp;". Предварительная причина: "&amp;L744&amp;". Основное осложнение: "&amp;M744&amp;IF(N744&lt;&gt;"","; сопутствующее: "&amp;N744,"")&amp;IF(O744&lt;&gt;"","; дополнительно: "&amp;O744,"")&amp;".")</f>
        <v/>
      </c>
      <c r="R744" s="172">
        <f>IF('Оперативный ввод'!P744="","",'Оперативный ввод'!P744)</f>
        <v/>
      </c>
      <c r="S744" s="172">
        <f>IF('Оперативный ввод'!Q744="","",'Оперативный ввод'!Q744)</f>
        <v/>
      </c>
      <c r="T744" s="172">
        <f>IF('Оперативный ввод'!R744="","",'Оперативный ввод'!R744)</f>
        <v/>
      </c>
      <c r="U744" s="172">
        <f>IF('Оперативный ввод'!S744="","",'Оперативный ввод'!S744)</f>
        <v/>
      </c>
      <c r="V744" s="172">
        <f>IF('Оперативный ввод'!T744="","",'Оперативный ввод'!T744)</f>
        <v/>
      </c>
      <c r="W744" s="172" t="n"/>
      <c r="X744" s="172" t="n"/>
      <c r="Y744" s="172" t="n"/>
      <c r="Z744" s="172" t="n"/>
      <c r="AA744" s="172">
        <f>IF('Оперативный ввод'!U744="","",'Оперативный ввод'!U744)</f>
        <v/>
      </c>
      <c r="AB744" s="172">
        <f>IF('Оперативный ввод'!V744="","",'Оперативный ввод'!V744)</f>
        <v/>
      </c>
      <c r="AC744" s="172">
        <f>IF('Оперативный ввод'!W744="","",'Оперативный ввод'!W744)</f>
        <v/>
      </c>
      <c r="BB744" s="172" t="n"/>
      <c r="BC744" s="172" t="n"/>
      <c r="BD744" s="205">
        <f>IF(AND(A744="",B744=""),"",IF(AND(P744="ГОТОВО",R744&lt;&gt;"",T744&lt;&gt;"",U744&lt;&gt;"",AA744&lt;&gt;"",AB744&lt;&gt;"",AC744&lt;&gt;"",BB744&lt;&gt;"",BC744&lt;&gt;""),"ГОТОВО","НЕ ГОТОВО"))</f>
        <v/>
      </c>
      <c r="BE744" s="205">
        <f>IF(BD744&lt;&gt;"ГОТОВО","","Полное заключение: "&amp;A744&amp;", скв. "&amp;B744&amp;". МРП: "&amp;E744&amp;" сут. ГНО: "&amp;F744&amp;"; причина: "&amp;U744&amp;"; категория: "&amp;V744&amp;"; решение комиссии: "&amp;BB744&amp;".")</f>
        <v/>
      </c>
      <c r="BF744" s="173">
        <f>IF('Оперативный ввод'!X744="","",'Оперативный ввод'!X744)</f>
        <v/>
      </c>
    </row>
    <row r="745">
      <c r="A745" s="171">
        <f>IF('Оперативный ввод'!A745="","",'Оперативный ввод'!A745)</f>
        <v/>
      </c>
      <c r="B745" s="172">
        <f>IF('Оперативный ввод'!B745="","",'Оперативный ввод'!B745)</f>
        <v/>
      </c>
      <c r="C745" s="270">
        <f>IF('Оперативный ввод'!C745="","",'Оперативный ввод'!C745)</f>
        <v/>
      </c>
      <c r="D745" s="270">
        <f>IF('Оперативный ввод'!D745="","",'Оперативный ввод'!D745)</f>
        <v/>
      </c>
      <c r="E745" s="271">
        <f>IF(OR(C745="",D745=""),"",D745-C745)</f>
        <v/>
      </c>
      <c r="F745" s="172">
        <f>IF('Оперативный ввод'!F745="","",'Оперативный ввод'!F745)</f>
        <v/>
      </c>
      <c r="G745" s="172">
        <f>IF('Оперативный ввод'!G745="","",'Оперативный ввод'!G745)</f>
        <v/>
      </c>
      <c r="H745" s="172">
        <f>IF('Оперативный ввод'!H745="","",'Оперативный ввод'!H745)</f>
        <v/>
      </c>
      <c r="I745" s="172">
        <f>IF('Оперативный ввод'!I745="","",'Оперативный ввод'!I745)</f>
        <v/>
      </c>
      <c r="J745" s="172">
        <f>IF('Оперативный ввод'!J745="","",'Оперативный ввод'!J745)</f>
        <v/>
      </c>
      <c r="K745" s="172">
        <f>IF('Оперативный ввод'!K745="","",'Оперативный ввод'!K745)</f>
        <v/>
      </c>
      <c r="L745" s="172">
        <f>IF('Оперативный ввод'!L745="","",'Оперативный ввод'!L745)</f>
        <v/>
      </c>
      <c r="M745" s="172">
        <f>IF('Оперативный ввод'!M745="","",'Оперативный ввод'!M745)</f>
        <v/>
      </c>
      <c r="N745" s="172">
        <f>IF('Оперативный ввод'!N745="","",'Оперативный ввод'!N745)</f>
        <v/>
      </c>
      <c r="O745" s="172">
        <f>IF('Оперативный ввод'!O745="","",'Оперативный ввод'!O745)</f>
        <v/>
      </c>
      <c r="P745" s="205">
        <f>IF(AND(A745="",B745=""),"",IF(AND(A745&lt;&gt;"",B745&lt;&gt;"",C745&lt;&gt;"",D745&lt;&gt;"",F745&lt;&gt;"",G745&lt;&gt;"",H745&lt;&gt;"",ISERROR(SEARCH("по паспорту",G745)),ISERROR(SEARCH("по паспорту",H745)),I745&lt;&gt;"",J745&lt;&gt;"",K745&lt;&gt;"",L745&lt;&gt;"",M745&lt;&gt;""),"ГОТОВО","НЕ ГОТОВО"))</f>
        <v/>
      </c>
      <c r="Q745" s="205">
        <f>IF(P745&lt;&gt;"ГОТОВО","", "Предварительное заключение: "&amp;A745&amp;", скв. "&amp;B745&amp;". МРП: "&amp;E745&amp;" сут. ГНО: "&amp;F745&amp;", типоразмер "&amp;G745&amp;", марка "&amp;H745&amp;". Событие: "&amp;I745&amp;". Признак: "&amp;J745&amp;". Узел: "&amp;K745&amp;". Предварительная причина: "&amp;L745&amp;". Основное осложнение: "&amp;M745&amp;IF(N745&lt;&gt;"","; сопутствующее: "&amp;N745,"")&amp;IF(O745&lt;&gt;"","; дополнительно: "&amp;O745,"")&amp;".")</f>
        <v/>
      </c>
      <c r="R745" s="172">
        <f>IF('Оперативный ввод'!P745="","",'Оперативный ввод'!P745)</f>
        <v/>
      </c>
      <c r="S745" s="172">
        <f>IF('Оперативный ввод'!Q745="","",'Оперативный ввод'!Q745)</f>
        <v/>
      </c>
      <c r="T745" s="172">
        <f>IF('Оперативный ввод'!R745="","",'Оперативный ввод'!R745)</f>
        <v/>
      </c>
      <c r="U745" s="172">
        <f>IF('Оперативный ввод'!S745="","",'Оперативный ввод'!S745)</f>
        <v/>
      </c>
      <c r="V745" s="172">
        <f>IF('Оперативный ввод'!T745="","",'Оперативный ввод'!T745)</f>
        <v/>
      </c>
      <c r="W745" s="172" t="n"/>
      <c r="X745" s="172" t="n"/>
      <c r="Y745" s="172" t="n"/>
      <c r="Z745" s="172" t="n"/>
      <c r="AA745" s="172">
        <f>IF('Оперативный ввод'!U745="","",'Оперативный ввод'!U745)</f>
        <v/>
      </c>
      <c r="AB745" s="172">
        <f>IF('Оперативный ввод'!V745="","",'Оперативный ввод'!V745)</f>
        <v/>
      </c>
      <c r="AC745" s="172">
        <f>IF('Оперативный ввод'!W745="","",'Оперативный ввод'!W745)</f>
        <v/>
      </c>
      <c r="BB745" s="172" t="n"/>
      <c r="BC745" s="172" t="n"/>
      <c r="BD745" s="205">
        <f>IF(AND(A745="",B745=""),"",IF(AND(P745="ГОТОВО",R745&lt;&gt;"",T745&lt;&gt;"",U745&lt;&gt;"",AA745&lt;&gt;"",AB745&lt;&gt;"",AC745&lt;&gt;"",BB745&lt;&gt;"",BC745&lt;&gt;""),"ГОТОВО","НЕ ГОТОВО"))</f>
        <v/>
      </c>
      <c r="BE745" s="205">
        <f>IF(BD745&lt;&gt;"ГОТОВО","","Полное заключение: "&amp;A745&amp;", скв. "&amp;B745&amp;". МРП: "&amp;E745&amp;" сут. ГНО: "&amp;F745&amp;"; причина: "&amp;U745&amp;"; категория: "&amp;V745&amp;"; решение комиссии: "&amp;BB745&amp;".")</f>
        <v/>
      </c>
      <c r="BF745" s="173">
        <f>IF('Оперативный ввод'!X745="","",'Оперативный ввод'!X745)</f>
        <v/>
      </c>
    </row>
    <row r="746">
      <c r="A746" s="171">
        <f>IF('Оперативный ввод'!A746="","",'Оперативный ввод'!A746)</f>
        <v/>
      </c>
      <c r="B746" s="172">
        <f>IF('Оперативный ввод'!B746="","",'Оперативный ввод'!B746)</f>
        <v/>
      </c>
      <c r="C746" s="270">
        <f>IF('Оперативный ввод'!C746="","",'Оперативный ввод'!C746)</f>
        <v/>
      </c>
      <c r="D746" s="270">
        <f>IF('Оперативный ввод'!D746="","",'Оперативный ввод'!D746)</f>
        <v/>
      </c>
      <c r="E746" s="271">
        <f>IF(OR(C746="",D746=""),"",D746-C746)</f>
        <v/>
      </c>
      <c r="F746" s="172">
        <f>IF('Оперативный ввод'!F746="","",'Оперативный ввод'!F746)</f>
        <v/>
      </c>
      <c r="G746" s="172">
        <f>IF('Оперативный ввод'!G746="","",'Оперативный ввод'!G746)</f>
        <v/>
      </c>
      <c r="H746" s="172">
        <f>IF('Оперативный ввод'!H746="","",'Оперативный ввод'!H746)</f>
        <v/>
      </c>
      <c r="I746" s="172">
        <f>IF('Оперативный ввод'!I746="","",'Оперативный ввод'!I746)</f>
        <v/>
      </c>
      <c r="J746" s="172">
        <f>IF('Оперативный ввод'!J746="","",'Оперативный ввод'!J746)</f>
        <v/>
      </c>
      <c r="K746" s="172">
        <f>IF('Оперативный ввод'!K746="","",'Оперативный ввод'!K746)</f>
        <v/>
      </c>
      <c r="L746" s="172">
        <f>IF('Оперативный ввод'!L746="","",'Оперативный ввод'!L746)</f>
        <v/>
      </c>
      <c r="M746" s="172">
        <f>IF('Оперативный ввод'!M746="","",'Оперативный ввод'!M746)</f>
        <v/>
      </c>
      <c r="N746" s="172">
        <f>IF('Оперативный ввод'!N746="","",'Оперативный ввод'!N746)</f>
        <v/>
      </c>
      <c r="O746" s="172">
        <f>IF('Оперативный ввод'!O746="","",'Оперативный ввод'!O746)</f>
        <v/>
      </c>
      <c r="P746" s="205">
        <f>IF(AND(A746="",B746=""),"",IF(AND(A746&lt;&gt;"",B746&lt;&gt;"",C746&lt;&gt;"",D746&lt;&gt;"",F746&lt;&gt;"",G746&lt;&gt;"",H746&lt;&gt;"",ISERROR(SEARCH("по паспорту",G746)),ISERROR(SEARCH("по паспорту",H746)),I746&lt;&gt;"",J746&lt;&gt;"",K746&lt;&gt;"",L746&lt;&gt;"",M746&lt;&gt;""),"ГОТОВО","НЕ ГОТОВО"))</f>
        <v/>
      </c>
      <c r="Q746" s="205">
        <f>IF(P746&lt;&gt;"ГОТОВО","", "Предварительное заключение: "&amp;A746&amp;", скв. "&amp;B746&amp;". МРП: "&amp;E746&amp;" сут. ГНО: "&amp;F746&amp;", типоразмер "&amp;G746&amp;", марка "&amp;H746&amp;". Событие: "&amp;I746&amp;". Признак: "&amp;J746&amp;". Узел: "&amp;K746&amp;". Предварительная причина: "&amp;L746&amp;". Основное осложнение: "&amp;M746&amp;IF(N746&lt;&gt;"","; сопутствующее: "&amp;N746,"")&amp;IF(O746&lt;&gt;"","; дополнительно: "&amp;O746,"")&amp;".")</f>
        <v/>
      </c>
      <c r="R746" s="172">
        <f>IF('Оперативный ввод'!P746="","",'Оперативный ввод'!P746)</f>
        <v/>
      </c>
      <c r="S746" s="172">
        <f>IF('Оперативный ввод'!Q746="","",'Оперативный ввод'!Q746)</f>
        <v/>
      </c>
      <c r="T746" s="172">
        <f>IF('Оперативный ввод'!R746="","",'Оперативный ввод'!R746)</f>
        <v/>
      </c>
      <c r="U746" s="172">
        <f>IF('Оперативный ввод'!S746="","",'Оперативный ввод'!S746)</f>
        <v/>
      </c>
      <c r="V746" s="172">
        <f>IF('Оперативный ввод'!T746="","",'Оперативный ввод'!T746)</f>
        <v/>
      </c>
      <c r="W746" s="172" t="n"/>
      <c r="X746" s="172" t="n"/>
      <c r="Y746" s="172" t="n"/>
      <c r="Z746" s="172" t="n"/>
      <c r="AA746" s="172">
        <f>IF('Оперативный ввод'!U746="","",'Оперативный ввод'!U746)</f>
        <v/>
      </c>
      <c r="AB746" s="172">
        <f>IF('Оперативный ввод'!V746="","",'Оперативный ввод'!V746)</f>
        <v/>
      </c>
      <c r="AC746" s="172">
        <f>IF('Оперативный ввод'!W746="","",'Оперативный ввод'!W746)</f>
        <v/>
      </c>
      <c r="BB746" s="172" t="n"/>
      <c r="BC746" s="172" t="n"/>
      <c r="BD746" s="205">
        <f>IF(AND(A746="",B746=""),"",IF(AND(P746="ГОТОВО",R746&lt;&gt;"",T746&lt;&gt;"",U746&lt;&gt;"",AA746&lt;&gt;"",AB746&lt;&gt;"",AC746&lt;&gt;"",BB746&lt;&gt;"",BC746&lt;&gt;""),"ГОТОВО","НЕ ГОТОВО"))</f>
        <v/>
      </c>
      <c r="BE746" s="205">
        <f>IF(BD746&lt;&gt;"ГОТОВО","","Полное заключение: "&amp;A746&amp;", скв. "&amp;B746&amp;". МРП: "&amp;E746&amp;" сут. ГНО: "&amp;F746&amp;"; причина: "&amp;U746&amp;"; категория: "&amp;V746&amp;"; решение комиссии: "&amp;BB746&amp;".")</f>
        <v/>
      </c>
      <c r="BF746" s="173">
        <f>IF('Оперативный ввод'!X746="","",'Оперативный ввод'!X746)</f>
        <v/>
      </c>
    </row>
    <row r="747">
      <c r="A747" s="171">
        <f>IF('Оперативный ввод'!A747="","",'Оперативный ввод'!A747)</f>
        <v/>
      </c>
      <c r="B747" s="172">
        <f>IF('Оперативный ввод'!B747="","",'Оперативный ввод'!B747)</f>
        <v/>
      </c>
      <c r="C747" s="270">
        <f>IF('Оперативный ввод'!C747="","",'Оперативный ввод'!C747)</f>
        <v/>
      </c>
      <c r="D747" s="270">
        <f>IF('Оперативный ввод'!D747="","",'Оперативный ввод'!D747)</f>
        <v/>
      </c>
      <c r="E747" s="271">
        <f>IF(OR(C747="",D747=""),"",D747-C747)</f>
        <v/>
      </c>
      <c r="F747" s="172">
        <f>IF('Оперативный ввод'!F747="","",'Оперативный ввод'!F747)</f>
        <v/>
      </c>
      <c r="G747" s="172">
        <f>IF('Оперативный ввод'!G747="","",'Оперативный ввод'!G747)</f>
        <v/>
      </c>
      <c r="H747" s="172">
        <f>IF('Оперативный ввод'!H747="","",'Оперативный ввод'!H747)</f>
        <v/>
      </c>
      <c r="I747" s="172">
        <f>IF('Оперативный ввод'!I747="","",'Оперативный ввод'!I747)</f>
        <v/>
      </c>
      <c r="J747" s="172">
        <f>IF('Оперативный ввод'!J747="","",'Оперативный ввод'!J747)</f>
        <v/>
      </c>
      <c r="K747" s="172">
        <f>IF('Оперативный ввод'!K747="","",'Оперативный ввод'!K747)</f>
        <v/>
      </c>
      <c r="L747" s="172">
        <f>IF('Оперативный ввод'!L747="","",'Оперативный ввод'!L747)</f>
        <v/>
      </c>
      <c r="M747" s="172">
        <f>IF('Оперативный ввод'!M747="","",'Оперативный ввод'!M747)</f>
        <v/>
      </c>
      <c r="N747" s="172">
        <f>IF('Оперативный ввод'!N747="","",'Оперативный ввод'!N747)</f>
        <v/>
      </c>
      <c r="O747" s="172">
        <f>IF('Оперативный ввод'!O747="","",'Оперативный ввод'!O747)</f>
        <v/>
      </c>
      <c r="P747" s="205">
        <f>IF(AND(A747="",B747=""),"",IF(AND(A747&lt;&gt;"",B747&lt;&gt;"",C747&lt;&gt;"",D747&lt;&gt;"",F747&lt;&gt;"",G747&lt;&gt;"",H747&lt;&gt;"",ISERROR(SEARCH("по паспорту",G747)),ISERROR(SEARCH("по паспорту",H747)),I747&lt;&gt;"",J747&lt;&gt;"",K747&lt;&gt;"",L747&lt;&gt;"",M747&lt;&gt;""),"ГОТОВО","НЕ ГОТОВО"))</f>
        <v/>
      </c>
      <c r="Q747" s="205">
        <f>IF(P747&lt;&gt;"ГОТОВО","", "Предварительное заключение: "&amp;A747&amp;", скв. "&amp;B747&amp;". МРП: "&amp;E747&amp;" сут. ГНО: "&amp;F747&amp;", типоразмер "&amp;G747&amp;", марка "&amp;H747&amp;". Событие: "&amp;I747&amp;". Признак: "&amp;J747&amp;". Узел: "&amp;K747&amp;". Предварительная причина: "&amp;L747&amp;". Основное осложнение: "&amp;M747&amp;IF(N747&lt;&gt;"","; сопутствующее: "&amp;N747,"")&amp;IF(O747&lt;&gt;"","; дополнительно: "&amp;O747,"")&amp;".")</f>
        <v/>
      </c>
      <c r="R747" s="172">
        <f>IF('Оперативный ввод'!P747="","",'Оперативный ввод'!P747)</f>
        <v/>
      </c>
      <c r="S747" s="172">
        <f>IF('Оперативный ввод'!Q747="","",'Оперативный ввод'!Q747)</f>
        <v/>
      </c>
      <c r="T747" s="172">
        <f>IF('Оперативный ввод'!R747="","",'Оперативный ввод'!R747)</f>
        <v/>
      </c>
      <c r="U747" s="172">
        <f>IF('Оперативный ввод'!S747="","",'Оперативный ввод'!S747)</f>
        <v/>
      </c>
      <c r="V747" s="172">
        <f>IF('Оперативный ввод'!T747="","",'Оперативный ввод'!T747)</f>
        <v/>
      </c>
      <c r="W747" s="172" t="n"/>
      <c r="X747" s="172" t="n"/>
      <c r="Y747" s="172" t="n"/>
      <c r="Z747" s="172" t="n"/>
      <c r="AA747" s="172">
        <f>IF('Оперативный ввод'!U747="","",'Оперативный ввод'!U747)</f>
        <v/>
      </c>
      <c r="AB747" s="172">
        <f>IF('Оперативный ввод'!V747="","",'Оперативный ввод'!V747)</f>
        <v/>
      </c>
      <c r="AC747" s="172">
        <f>IF('Оперативный ввод'!W747="","",'Оперативный ввод'!W747)</f>
        <v/>
      </c>
      <c r="BB747" s="172" t="n"/>
      <c r="BC747" s="172" t="n"/>
      <c r="BD747" s="205">
        <f>IF(AND(A747="",B747=""),"",IF(AND(P747="ГОТОВО",R747&lt;&gt;"",T747&lt;&gt;"",U747&lt;&gt;"",AA747&lt;&gt;"",AB747&lt;&gt;"",AC747&lt;&gt;"",BB747&lt;&gt;"",BC747&lt;&gt;""),"ГОТОВО","НЕ ГОТОВО"))</f>
        <v/>
      </c>
      <c r="BE747" s="205">
        <f>IF(BD747&lt;&gt;"ГОТОВО","","Полное заключение: "&amp;A747&amp;", скв. "&amp;B747&amp;". МРП: "&amp;E747&amp;" сут. ГНО: "&amp;F747&amp;"; причина: "&amp;U747&amp;"; категория: "&amp;V747&amp;"; решение комиссии: "&amp;BB747&amp;".")</f>
        <v/>
      </c>
      <c r="BF747" s="173">
        <f>IF('Оперативный ввод'!X747="","",'Оперативный ввод'!X747)</f>
        <v/>
      </c>
    </row>
    <row r="748">
      <c r="A748" s="171">
        <f>IF('Оперативный ввод'!A748="","",'Оперативный ввод'!A748)</f>
        <v/>
      </c>
      <c r="B748" s="172">
        <f>IF('Оперативный ввод'!B748="","",'Оперативный ввод'!B748)</f>
        <v/>
      </c>
      <c r="C748" s="270">
        <f>IF('Оперативный ввод'!C748="","",'Оперативный ввод'!C748)</f>
        <v/>
      </c>
      <c r="D748" s="270">
        <f>IF('Оперативный ввод'!D748="","",'Оперативный ввод'!D748)</f>
        <v/>
      </c>
      <c r="E748" s="271">
        <f>IF(OR(C748="",D748=""),"",D748-C748)</f>
        <v/>
      </c>
      <c r="F748" s="172">
        <f>IF('Оперативный ввод'!F748="","",'Оперативный ввод'!F748)</f>
        <v/>
      </c>
      <c r="G748" s="172">
        <f>IF('Оперативный ввод'!G748="","",'Оперативный ввод'!G748)</f>
        <v/>
      </c>
      <c r="H748" s="172">
        <f>IF('Оперативный ввод'!H748="","",'Оперативный ввод'!H748)</f>
        <v/>
      </c>
      <c r="I748" s="172">
        <f>IF('Оперативный ввод'!I748="","",'Оперативный ввод'!I748)</f>
        <v/>
      </c>
      <c r="J748" s="172">
        <f>IF('Оперативный ввод'!J748="","",'Оперативный ввод'!J748)</f>
        <v/>
      </c>
      <c r="K748" s="172">
        <f>IF('Оперативный ввод'!K748="","",'Оперативный ввод'!K748)</f>
        <v/>
      </c>
      <c r="L748" s="172">
        <f>IF('Оперативный ввод'!L748="","",'Оперативный ввод'!L748)</f>
        <v/>
      </c>
      <c r="M748" s="172">
        <f>IF('Оперативный ввод'!M748="","",'Оперативный ввод'!M748)</f>
        <v/>
      </c>
      <c r="N748" s="172">
        <f>IF('Оперативный ввод'!N748="","",'Оперативный ввод'!N748)</f>
        <v/>
      </c>
      <c r="O748" s="172">
        <f>IF('Оперативный ввод'!O748="","",'Оперативный ввод'!O748)</f>
        <v/>
      </c>
      <c r="P748" s="205">
        <f>IF(AND(A748="",B748=""),"",IF(AND(A748&lt;&gt;"",B748&lt;&gt;"",C748&lt;&gt;"",D748&lt;&gt;"",F748&lt;&gt;"",G748&lt;&gt;"",H748&lt;&gt;"",ISERROR(SEARCH("по паспорту",G748)),ISERROR(SEARCH("по паспорту",H748)),I748&lt;&gt;"",J748&lt;&gt;"",K748&lt;&gt;"",L748&lt;&gt;"",M748&lt;&gt;""),"ГОТОВО","НЕ ГОТОВО"))</f>
        <v/>
      </c>
      <c r="Q748" s="205">
        <f>IF(P748&lt;&gt;"ГОТОВО","", "Предварительное заключение: "&amp;A748&amp;", скв. "&amp;B748&amp;". МРП: "&amp;E748&amp;" сут. ГНО: "&amp;F748&amp;", типоразмер "&amp;G748&amp;", марка "&amp;H748&amp;". Событие: "&amp;I748&amp;". Признак: "&amp;J748&amp;". Узел: "&amp;K748&amp;". Предварительная причина: "&amp;L748&amp;". Основное осложнение: "&amp;M748&amp;IF(N748&lt;&gt;"","; сопутствующее: "&amp;N748,"")&amp;IF(O748&lt;&gt;"","; дополнительно: "&amp;O748,"")&amp;".")</f>
        <v/>
      </c>
      <c r="R748" s="172">
        <f>IF('Оперативный ввод'!P748="","",'Оперативный ввод'!P748)</f>
        <v/>
      </c>
      <c r="S748" s="172">
        <f>IF('Оперативный ввод'!Q748="","",'Оперативный ввод'!Q748)</f>
        <v/>
      </c>
      <c r="T748" s="172">
        <f>IF('Оперативный ввод'!R748="","",'Оперативный ввод'!R748)</f>
        <v/>
      </c>
      <c r="U748" s="172">
        <f>IF('Оперативный ввод'!S748="","",'Оперативный ввод'!S748)</f>
        <v/>
      </c>
      <c r="V748" s="172">
        <f>IF('Оперативный ввод'!T748="","",'Оперативный ввод'!T748)</f>
        <v/>
      </c>
      <c r="W748" s="172" t="n"/>
      <c r="X748" s="172" t="n"/>
      <c r="Y748" s="172" t="n"/>
      <c r="Z748" s="172" t="n"/>
      <c r="AA748" s="172">
        <f>IF('Оперативный ввод'!U748="","",'Оперативный ввод'!U748)</f>
        <v/>
      </c>
      <c r="AB748" s="172">
        <f>IF('Оперативный ввод'!V748="","",'Оперативный ввод'!V748)</f>
        <v/>
      </c>
      <c r="AC748" s="172">
        <f>IF('Оперативный ввод'!W748="","",'Оперативный ввод'!W748)</f>
        <v/>
      </c>
      <c r="BB748" s="172" t="n"/>
      <c r="BC748" s="172" t="n"/>
      <c r="BD748" s="205">
        <f>IF(AND(A748="",B748=""),"",IF(AND(P748="ГОТОВО",R748&lt;&gt;"",T748&lt;&gt;"",U748&lt;&gt;"",AA748&lt;&gt;"",AB748&lt;&gt;"",AC748&lt;&gt;"",BB748&lt;&gt;"",BC748&lt;&gt;""),"ГОТОВО","НЕ ГОТОВО"))</f>
        <v/>
      </c>
      <c r="BE748" s="205">
        <f>IF(BD748&lt;&gt;"ГОТОВО","","Полное заключение: "&amp;A748&amp;", скв. "&amp;B748&amp;". МРП: "&amp;E748&amp;" сут. ГНО: "&amp;F748&amp;"; причина: "&amp;U748&amp;"; категория: "&amp;V748&amp;"; решение комиссии: "&amp;BB748&amp;".")</f>
        <v/>
      </c>
      <c r="BF748" s="173">
        <f>IF('Оперативный ввод'!X748="","",'Оперативный ввод'!X748)</f>
        <v/>
      </c>
    </row>
    <row r="749">
      <c r="A749" s="171">
        <f>IF('Оперативный ввод'!A749="","",'Оперативный ввод'!A749)</f>
        <v/>
      </c>
      <c r="B749" s="172">
        <f>IF('Оперативный ввод'!B749="","",'Оперативный ввод'!B749)</f>
        <v/>
      </c>
      <c r="C749" s="270">
        <f>IF('Оперативный ввод'!C749="","",'Оперативный ввод'!C749)</f>
        <v/>
      </c>
      <c r="D749" s="270">
        <f>IF('Оперативный ввод'!D749="","",'Оперативный ввод'!D749)</f>
        <v/>
      </c>
      <c r="E749" s="271">
        <f>IF(OR(C749="",D749=""),"",D749-C749)</f>
        <v/>
      </c>
      <c r="F749" s="172">
        <f>IF('Оперативный ввод'!F749="","",'Оперативный ввод'!F749)</f>
        <v/>
      </c>
      <c r="G749" s="172">
        <f>IF('Оперативный ввод'!G749="","",'Оперативный ввод'!G749)</f>
        <v/>
      </c>
      <c r="H749" s="172">
        <f>IF('Оперативный ввод'!H749="","",'Оперативный ввод'!H749)</f>
        <v/>
      </c>
      <c r="I749" s="172">
        <f>IF('Оперативный ввод'!I749="","",'Оперативный ввод'!I749)</f>
        <v/>
      </c>
      <c r="J749" s="172">
        <f>IF('Оперативный ввод'!J749="","",'Оперативный ввод'!J749)</f>
        <v/>
      </c>
      <c r="K749" s="172">
        <f>IF('Оперативный ввод'!K749="","",'Оперативный ввод'!K749)</f>
        <v/>
      </c>
      <c r="L749" s="172">
        <f>IF('Оперативный ввод'!L749="","",'Оперативный ввод'!L749)</f>
        <v/>
      </c>
      <c r="M749" s="172">
        <f>IF('Оперативный ввод'!M749="","",'Оперативный ввод'!M749)</f>
        <v/>
      </c>
      <c r="N749" s="172">
        <f>IF('Оперативный ввод'!N749="","",'Оперативный ввод'!N749)</f>
        <v/>
      </c>
      <c r="O749" s="172">
        <f>IF('Оперативный ввод'!O749="","",'Оперативный ввод'!O749)</f>
        <v/>
      </c>
      <c r="P749" s="205">
        <f>IF(AND(A749="",B749=""),"",IF(AND(A749&lt;&gt;"",B749&lt;&gt;"",C749&lt;&gt;"",D749&lt;&gt;"",F749&lt;&gt;"",G749&lt;&gt;"",H749&lt;&gt;"",ISERROR(SEARCH("по паспорту",G749)),ISERROR(SEARCH("по паспорту",H749)),I749&lt;&gt;"",J749&lt;&gt;"",K749&lt;&gt;"",L749&lt;&gt;"",M749&lt;&gt;""),"ГОТОВО","НЕ ГОТОВО"))</f>
        <v/>
      </c>
      <c r="Q749" s="205">
        <f>IF(P749&lt;&gt;"ГОТОВО","", "Предварительное заключение: "&amp;A749&amp;", скв. "&amp;B749&amp;". МРП: "&amp;E749&amp;" сут. ГНО: "&amp;F749&amp;", типоразмер "&amp;G749&amp;", марка "&amp;H749&amp;". Событие: "&amp;I749&amp;". Признак: "&amp;J749&amp;". Узел: "&amp;K749&amp;". Предварительная причина: "&amp;L749&amp;". Основное осложнение: "&amp;M749&amp;IF(N749&lt;&gt;"","; сопутствующее: "&amp;N749,"")&amp;IF(O749&lt;&gt;"","; дополнительно: "&amp;O749,"")&amp;".")</f>
        <v/>
      </c>
      <c r="R749" s="172">
        <f>IF('Оперативный ввод'!P749="","",'Оперативный ввод'!P749)</f>
        <v/>
      </c>
      <c r="S749" s="172">
        <f>IF('Оперативный ввод'!Q749="","",'Оперативный ввод'!Q749)</f>
        <v/>
      </c>
      <c r="T749" s="172">
        <f>IF('Оперативный ввод'!R749="","",'Оперативный ввод'!R749)</f>
        <v/>
      </c>
      <c r="U749" s="172">
        <f>IF('Оперативный ввод'!S749="","",'Оперативный ввод'!S749)</f>
        <v/>
      </c>
      <c r="V749" s="172">
        <f>IF('Оперативный ввод'!T749="","",'Оперативный ввод'!T749)</f>
        <v/>
      </c>
      <c r="W749" s="172" t="n"/>
      <c r="X749" s="172" t="n"/>
      <c r="Y749" s="172" t="n"/>
      <c r="Z749" s="172" t="n"/>
      <c r="AA749" s="172">
        <f>IF('Оперативный ввод'!U749="","",'Оперативный ввод'!U749)</f>
        <v/>
      </c>
      <c r="AB749" s="172">
        <f>IF('Оперативный ввод'!V749="","",'Оперативный ввод'!V749)</f>
        <v/>
      </c>
      <c r="AC749" s="172">
        <f>IF('Оперативный ввод'!W749="","",'Оперативный ввод'!W749)</f>
        <v/>
      </c>
      <c r="BB749" s="172" t="n"/>
      <c r="BC749" s="172" t="n"/>
      <c r="BD749" s="205">
        <f>IF(AND(A749="",B749=""),"",IF(AND(P749="ГОТОВО",R749&lt;&gt;"",T749&lt;&gt;"",U749&lt;&gt;"",AA749&lt;&gt;"",AB749&lt;&gt;"",AC749&lt;&gt;"",BB749&lt;&gt;"",BC749&lt;&gt;""),"ГОТОВО","НЕ ГОТОВО"))</f>
        <v/>
      </c>
      <c r="BE749" s="205">
        <f>IF(BD749&lt;&gt;"ГОТОВО","","Полное заключение: "&amp;A749&amp;", скв. "&amp;B749&amp;". МРП: "&amp;E749&amp;" сут. ГНО: "&amp;F749&amp;"; причина: "&amp;U749&amp;"; категория: "&amp;V749&amp;"; решение комиссии: "&amp;BB749&amp;".")</f>
        <v/>
      </c>
      <c r="BF749" s="173">
        <f>IF('Оперативный ввод'!X749="","",'Оперативный ввод'!X749)</f>
        <v/>
      </c>
    </row>
    <row r="750">
      <c r="A750" s="171">
        <f>IF('Оперативный ввод'!A750="","",'Оперативный ввод'!A750)</f>
        <v/>
      </c>
      <c r="B750" s="172">
        <f>IF('Оперативный ввод'!B750="","",'Оперативный ввод'!B750)</f>
        <v/>
      </c>
      <c r="C750" s="270">
        <f>IF('Оперативный ввод'!C750="","",'Оперативный ввод'!C750)</f>
        <v/>
      </c>
      <c r="D750" s="270">
        <f>IF('Оперативный ввод'!D750="","",'Оперативный ввод'!D750)</f>
        <v/>
      </c>
      <c r="E750" s="271">
        <f>IF(OR(C750="",D750=""),"",D750-C750)</f>
        <v/>
      </c>
      <c r="F750" s="172">
        <f>IF('Оперативный ввод'!F750="","",'Оперативный ввод'!F750)</f>
        <v/>
      </c>
      <c r="G750" s="172">
        <f>IF('Оперативный ввод'!G750="","",'Оперативный ввод'!G750)</f>
        <v/>
      </c>
      <c r="H750" s="172">
        <f>IF('Оперативный ввод'!H750="","",'Оперативный ввод'!H750)</f>
        <v/>
      </c>
      <c r="I750" s="172">
        <f>IF('Оперативный ввод'!I750="","",'Оперативный ввод'!I750)</f>
        <v/>
      </c>
      <c r="J750" s="172">
        <f>IF('Оперативный ввод'!J750="","",'Оперативный ввод'!J750)</f>
        <v/>
      </c>
      <c r="K750" s="172">
        <f>IF('Оперативный ввод'!K750="","",'Оперативный ввод'!K750)</f>
        <v/>
      </c>
      <c r="L750" s="172">
        <f>IF('Оперативный ввод'!L750="","",'Оперативный ввод'!L750)</f>
        <v/>
      </c>
      <c r="M750" s="172">
        <f>IF('Оперативный ввод'!M750="","",'Оперативный ввод'!M750)</f>
        <v/>
      </c>
      <c r="N750" s="172">
        <f>IF('Оперативный ввод'!N750="","",'Оперативный ввод'!N750)</f>
        <v/>
      </c>
      <c r="O750" s="172">
        <f>IF('Оперативный ввод'!O750="","",'Оперативный ввод'!O750)</f>
        <v/>
      </c>
      <c r="P750" s="205">
        <f>IF(AND(A750="",B750=""),"",IF(AND(A750&lt;&gt;"",B750&lt;&gt;"",C750&lt;&gt;"",D750&lt;&gt;"",F750&lt;&gt;"",G750&lt;&gt;"",H750&lt;&gt;"",ISERROR(SEARCH("по паспорту",G750)),ISERROR(SEARCH("по паспорту",H750)),I750&lt;&gt;"",J750&lt;&gt;"",K750&lt;&gt;"",L750&lt;&gt;"",M750&lt;&gt;""),"ГОТОВО","НЕ ГОТОВО"))</f>
        <v/>
      </c>
      <c r="Q750" s="205">
        <f>IF(P750&lt;&gt;"ГОТОВО","", "Предварительное заключение: "&amp;A750&amp;", скв. "&amp;B750&amp;". МРП: "&amp;E750&amp;" сут. ГНО: "&amp;F750&amp;", типоразмер "&amp;G750&amp;", марка "&amp;H750&amp;". Событие: "&amp;I750&amp;". Признак: "&amp;J750&amp;". Узел: "&amp;K750&amp;". Предварительная причина: "&amp;L750&amp;". Основное осложнение: "&amp;M750&amp;IF(N750&lt;&gt;"","; сопутствующее: "&amp;N750,"")&amp;IF(O750&lt;&gt;"","; дополнительно: "&amp;O750,"")&amp;".")</f>
        <v/>
      </c>
      <c r="R750" s="172">
        <f>IF('Оперативный ввод'!P750="","",'Оперативный ввод'!P750)</f>
        <v/>
      </c>
      <c r="S750" s="172">
        <f>IF('Оперативный ввод'!Q750="","",'Оперативный ввод'!Q750)</f>
        <v/>
      </c>
      <c r="T750" s="172">
        <f>IF('Оперативный ввод'!R750="","",'Оперативный ввод'!R750)</f>
        <v/>
      </c>
      <c r="U750" s="172">
        <f>IF('Оперативный ввод'!S750="","",'Оперативный ввод'!S750)</f>
        <v/>
      </c>
      <c r="V750" s="172">
        <f>IF('Оперативный ввод'!T750="","",'Оперативный ввод'!T750)</f>
        <v/>
      </c>
      <c r="W750" s="172" t="n"/>
      <c r="X750" s="172" t="n"/>
      <c r="Y750" s="172" t="n"/>
      <c r="Z750" s="172" t="n"/>
      <c r="AA750" s="172">
        <f>IF('Оперативный ввод'!U750="","",'Оперативный ввод'!U750)</f>
        <v/>
      </c>
      <c r="AB750" s="172">
        <f>IF('Оперативный ввод'!V750="","",'Оперативный ввод'!V750)</f>
        <v/>
      </c>
      <c r="AC750" s="172">
        <f>IF('Оперативный ввод'!W750="","",'Оперативный ввод'!W750)</f>
        <v/>
      </c>
      <c r="BB750" s="172" t="n"/>
      <c r="BC750" s="172" t="n"/>
      <c r="BD750" s="205">
        <f>IF(AND(A750="",B750=""),"",IF(AND(P750="ГОТОВО",R750&lt;&gt;"",T750&lt;&gt;"",U750&lt;&gt;"",AA750&lt;&gt;"",AB750&lt;&gt;"",AC750&lt;&gt;"",BB750&lt;&gt;"",BC750&lt;&gt;""),"ГОТОВО","НЕ ГОТОВО"))</f>
        <v/>
      </c>
      <c r="BE750" s="205">
        <f>IF(BD750&lt;&gt;"ГОТОВО","","Полное заключение: "&amp;A750&amp;", скв. "&amp;B750&amp;". МРП: "&amp;E750&amp;" сут. ГНО: "&amp;F750&amp;"; причина: "&amp;U750&amp;"; категория: "&amp;V750&amp;"; решение комиссии: "&amp;BB750&amp;".")</f>
        <v/>
      </c>
      <c r="BF750" s="173">
        <f>IF('Оперативный ввод'!X750="","",'Оперативный ввод'!X750)</f>
        <v/>
      </c>
    </row>
    <row r="751">
      <c r="A751" s="171">
        <f>IF('Оперативный ввод'!A751="","",'Оперативный ввод'!A751)</f>
        <v/>
      </c>
      <c r="B751" s="172">
        <f>IF('Оперативный ввод'!B751="","",'Оперативный ввод'!B751)</f>
        <v/>
      </c>
      <c r="C751" s="270">
        <f>IF('Оперативный ввод'!C751="","",'Оперативный ввод'!C751)</f>
        <v/>
      </c>
      <c r="D751" s="270">
        <f>IF('Оперативный ввод'!D751="","",'Оперативный ввод'!D751)</f>
        <v/>
      </c>
      <c r="E751" s="271">
        <f>IF(OR(C751="",D751=""),"",D751-C751)</f>
        <v/>
      </c>
      <c r="F751" s="172">
        <f>IF('Оперативный ввод'!F751="","",'Оперативный ввод'!F751)</f>
        <v/>
      </c>
      <c r="G751" s="172">
        <f>IF('Оперативный ввод'!G751="","",'Оперативный ввод'!G751)</f>
        <v/>
      </c>
      <c r="H751" s="172">
        <f>IF('Оперативный ввод'!H751="","",'Оперативный ввод'!H751)</f>
        <v/>
      </c>
      <c r="I751" s="172">
        <f>IF('Оперативный ввод'!I751="","",'Оперативный ввод'!I751)</f>
        <v/>
      </c>
      <c r="J751" s="172">
        <f>IF('Оперативный ввод'!J751="","",'Оперативный ввод'!J751)</f>
        <v/>
      </c>
      <c r="K751" s="172">
        <f>IF('Оперативный ввод'!K751="","",'Оперативный ввод'!K751)</f>
        <v/>
      </c>
      <c r="L751" s="172">
        <f>IF('Оперативный ввод'!L751="","",'Оперативный ввод'!L751)</f>
        <v/>
      </c>
      <c r="M751" s="172">
        <f>IF('Оперативный ввод'!M751="","",'Оперативный ввод'!M751)</f>
        <v/>
      </c>
      <c r="N751" s="172">
        <f>IF('Оперативный ввод'!N751="","",'Оперативный ввод'!N751)</f>
        <v/>
      </c>
      <c r="O751" s="172">
        <f>IF('Оперативный ввод'!O751="","",'Оперативный ввод'!O751)</f>
        <v/>
      </c>
      <c r="P751" s="205">
        <f>IF(AND(A751="",B751=""),"",IF(AND(A751&lt;&gt;"",B751&lt;&gt;"",C751&lt;&gt;"",D751&lt;&gt;"",F751&lt;&gt;"",G751&lt;&gt;"",H751&lt;&gt;"",ISERROR(SEARCH("по паспорту",G751)),ISERROR(SEARCH("по паспорту",H751)),I751&lt;&gt;"",J751&lt;&gt;"",K751&lt;&gt;"",L751&lt;&gt;"",M751&lt;&gt;""),"ГОТОВО","НЕ ГОТОВО"))</f>
        <v/>
      </c>
      <c r="Q751" s="205">
        <f>IF(P751&lt;&gt;"ГОТОВО","", "Предварительное заключение: "&amp;A751&amp;", скв. "&amp;B751&amp;". МРП: "&amp;E751&amp;" сут. ГНО: "&amp;F751&amp;", типоразмер "&amp;G751&amp;", марка "&amp;H751&amp;". Событие: "&amp;I751&amp;". Признак: "&amp;J751&amp;". Узел: "&amp;K751&amp;". Предварительная причина: "&amp;L751&amp;". Основное осложнение: "&amp;M751&amp;IF(N751&lt;&gt;"","; сопутствующее: "&amp;N751,"")&amp;IF(O751&lt;&gt;"","; дополнительно: "&amp;O751,"")&amp;".")</f>
        <v/>
      </c>
      <c r="R751" s="172">
        <f>IF('Оперативный ввод'!P751="","",'Оперативный ввод'!P751)</f>
        <v/>
      </c>
      <c r="S751" s="172">
        <f>IF('Оперативный ввод'!Q751="","",'Оперативный ввод'!Q751)</f>
        <v/>
      </c>
      <c r="T751" s="172">
        <f>IF('Оперативный ввод'!R751="","",'Оперативный ввод'!R751)</f>
        <v/>
      </c>
      <c r="U751" s="172">
        <f>IF('Оперативный ввод'!S751="","",'Оперативный ввод'!S751)</f>
        <v/>
      </c>
      <c r="V751" s="172">
        <f>IF('Оперативный ввод'!T751="","",'Оперативный ввод'!T751)</f>
        <v/>
      </c>
      <c r="W751" s="172" t="n"/>
      <c r="X751" s="172" t="n"/>
      <c r="Y751" s="172" t="n"/>
      <c r="Z751" s="172" t="n"/>
      <c r="AA751" s="172">
        <f>IF('Оперативный ввод'!U751="","",'Оперативный ввод'!U751)</f>
        <v/>
      </c>
      <c r="AB751" s="172">
        <f>IF('Оперативный ввод'!V751="","",'Оперативный ввод'!V751)</f>
        <v/>
      </c>
      <c r="AC751" s="172">
        <f>IF('Оперативный ввод'!W751="","",'Оперативный ввод'!W751)</f>
        <v/>
      </c>
      <c r="BB751" s="172" t="n"/>
      <c r="BC751" s="172" t="n"/>
      <c r="BD751" s="205">
        <f>IF(AND(A751="",B751=""),"",IF(AND(P751="ГОТОВО",R751&lt;&gt;"",T751&lt;&gt;"",U751&lt;&gt;"",AA751&lt;&gt;"",AB751&lt;&gt;"",AC751&lt;&gt;"",BB751&lt;&gt;"",BC751&lt;&gt;""),"ГОТОВО","НЕ ГОТОВО"))</f>
        <v/>
      </c>
      <c r="BE751" s="205">
        <f>IF(BD751&lt;&gt;"ГОТОВО","","Полное заключение: "&amp;A751&amp;", скв. "&amp;B751&amp;". МРП: "&amp;E751&amp;" сут. ГНО: "&amp;F751&amp;"; причина: "&amp;U751&amp;"; категория: "&amp;V751&amp;"; решение комиссии: "&amp;BB751&amp;".")</f>
        <v/>
      </c>
      <c r="BF751" s="173">
        <f>IF('Оперативный ввод'!X751="","",'Оперативный ввод'!X751)</f>
        <v/>
      </c>
    </row>
    <row r="752">
      <c r="A752" s="171">
        <f>IF('Оперативный ввод'!A752="","",'Оперативный ввод'!A752)</f>
        <v/>
      </c>
      <c r="B752" s="172">
        <f>IF('Оперативный ввод'!B752="","",'Оперативный ввод'!B752)</f>
        <v/>
      </c>
      <c r="C752" s="270">
        <f>IF('Оперативный ввод'!C752="","",'Оперативный ввод'!C752)</f>
        <v/>
      </c>
      <c r="D752" s="270">
        <f>IF('Оперативный ввод'!D752="","",'Оперативный ввод'!D752)</f>
        <v/>
      </c>
      <c r="E752" s="271">
        <f>IF(OR(C752="",D752=""),"",D752-C752)</f>
        <v/>
      </c>
      <c r="F752" s="172">
        <f>IF('Оперативный ввод'!F752="","",'Оперативный ввод'!F752)</f>
        <v/>
      </c>
      <c r="G752" s="172">
        <f>IF('Оперативный ввод'!G752="","",'Оперативный ввод'!G752)</f>
        <v/>
      </c>
      <c r="H752" s="172">
        <f>IF('Оперативный ввод'!H752="","",'Оперативный ввод'!H752)</f>
        <v/>
      </c>
      <c r="I752" s="172">
        <f>IF('Оперативный ввод'!I752="","",'Оперативный ввод'!I752)</f>
        <v/>
      </c>
      <c r="J752" s="172">
        <f>IF('Оперативный ввод'!J752="","",'Оперативный ввод'!J752)</f>
        <v/>
      </c>
      <c r="K752" s="172">
        <f>IF('Оперативный ввод'!K752="","",'Оперативный ввод'!K752)</f>
        <v/>
      </c>
      <c r="L752" s="172">
        <f>IF('Оперативный ввод'!L752="","",'Оперативный ввод'!L752)</f>
        <v/>
      </c>
      <c r="M752" s="172">
        <f>IF('Оперативный ввод'!M752="","",'Оперативный ввод'!M752)</f>
        <v/>
      </c>
      <c r="N752" s="172">
        <f>IF('Оперативный ввод'!N752="","",'Оперативный ввод'!N752)</f>
        <v/>
      </c>
      <c r="O752" s="172">
        <f>IF('Оперативный ввод'!O752="","",'Оперативный ввод'!O752)</f>
        <v/>
      </c>
      <c r="P752" s="205">
        <f>IF(AND(A752="",B752=""),"",IF(AND(A752&lt;&gt;"",B752&lt;&gt;"",C752&lt;&gt;"",D752&lt;&gt;"",F752&lt;&gt;"",G752&lt;&gt;"",H752&lt;&gt;"",ISERROR(SEARCH("по паспорту",G752)),ISERROR(SEARCH("по паспорту",H752)),I752&lt;&gt;"",J752&lt;&gt;"",K752&lt;&gt;"",L752&lt;&gt;"",M752&lt;&gt;""),"ГОТОВО","НЕ ГОТОВО"))</f>
        <v/>
      </c>
      <c r="Q752" s="205">
        <f>IF(P752&lt;&gt;"ГОТОВО","", "Предварительное заключение: "&amp;A752&amp;", скв. "&amp;B752&amp;". МРП: "&amp;E752&amp;" сут. ГНО: "&amp;F752&amp;", типоразмер "&amp;G752&amp;", марка "&amp;H752&amp;". Событие: "&amp;I752&amp;". Признак: "&amp;J752&amp;". Узел: "&amp;K752&amp;". Предварительная причина: "&amp;L752&amp;". Основное осложнение: "&amp;M752&amp;IF(N752&lt;&gt;"","; сопутствующее: "&amp;N752,"")&amp;IF(O752&lt;&gt;"","; дополнительно: "&amp;O752,"")&amp;".")</f>
        <v/>
      </c>
      <c r="R752" s="172">
        <f>IF('Оперативный ввод'!P752="","",'Оперативный ввод'!P752)</f>
        <v/>
      </c>
      <c r="S752" s="172">
        <f>IF('Оперативный ввод'!Q752="","",'Оперативный ввод'!Q752)</f>
        <v/>
      </c>
      <c r="T752" s="172">
        <f>IF('Оперативный ввод'!R752="","",'Оперативный ввод'!R752)</f>
        <v/>
      </c>
      <c r="U752" s="172">
        <f>IF('Оперативный ввод'!S752="","",'Оперативный ввод'!S752)</f>
        <v/>
      </c>
      <c r="V752" s="172">
        <f>IF('Оперативный ввод'!T752="","",'Оперативный ввод'!T752)</f>
        <v/>
      </c>
      <c r="W752" s="172" t="n"/>
      <c r="X752" s="172" t="n"/>
      <c r="Y752" s="172" t="n"/>
      <c r="Z752" s="172" t="n"/>
      <c r="AA752" s="172">
        <f>IF('Оперативный ввод'!U752="","",'Оперативный ввод'!U752)</f>
        <v/>
      </c>
      <c r="AB752" s="172">
        <f>IF('Оперативный ввод'!V752="","",'Оперативный ввод'!V752)</f>
        <v/>
      </c>
      <c r="AC752" s="172">
        <f>IF('Оперативный ввод'!W752="","",'Оперативный ввод'!W752)</f>
        <v/>
      </c>
      <c r="BB752" s="172" t="n"/>
      <c r="BC752" s="172" t="n"/>
      <c r="BD752" s="205">
        <f>IF(AND(A752="",B752=""),"",IF(AND(P752="ГОТОВО",R752&lt;&gt;"",T752&lt;&gt;"",U752&lt;&gt;"",AA752&lt;&gt;"",AB752&lt;&gt;"",AC752&lt;&gt;"",BB752&lt;&gt;"",BC752&lt;&gt;""),"ГОТОВО","НЕ ГОТОВО"))</f>
        <v/>
      </c>
      <c r="BE752" s="205">
        <f>IF(BD752&lt;&gt;"ГОТОВО","","Полное заключение: "&amp;A752&amp;", скв. "&amp;B752&amp;". МРП: "&amp;E752&amp;" сут. ГНО: "&amp;F752&amp;"; причина: "&amp;U752&amp;"; категория: "&amp;V752&amp;"; решение комиссии: "&amp;BB752&amp;".")</f>
        <v/>
      </c>
      <c r="BF752" s="173">
        <f>IF('Оперативный ввод'!X752="","",'Оперативный ввод'!X752)</f>
        <v/>
      </c>
    </row>
    <row r="753">
      <c r="A753" s="171">
        <f>IF('Оперативный ввод'!A753="","",'Оперативный ввод'!A753)</f>
        <v/>
      </c>
      <c r="B753" s="172">
        <f>IF('Оперативный ввод'!B753="","",'Оперативный ввод'!B753)</f>
        <v/>
      </c>
      <c r="C753" s="270">
        <f>IF('Оперативный ввод'!C753="","",'Оперативный ввод'!C753)</f>
        <v/>
      </c>
      <c r="D753" s="270">
        <f>IF('Оперативный ввод'!D753="","",'Оперативный ввод'!D753)</f>
        <v/>
      </c>
      <c r="E753" s="271">
        <f>IF(OR(C753="",D753=""),"",D753-C753)</f>
        <v/>
      </c>
      <c r="F753" s="172">
        <f>IF('Оперативный ввод'!F753="","",'Оперативный ввод'!F753)</f>
        <v/>
      </c>
      <c r="G753" s="172">
        <f>IF('Оперативный ввод'!G753="","",'Оперативный ввод'!G753)</f>
        <v/>
      </c>
      <c r="H753" s="172">
        <f>IF('Оперативный ввод'!H753="","",'Оперативный ввод'!H753)</f>
        <v/>
      </c>
      <c r="I753" s="172">
        <f>IF('Оперативный ввод'!I753="","",'Оперативный ввод'!I753)</f>
        <v/>
      </c>
      <c r="J753" s="172">
        <f>IF('Оперативный ввод'!J753="","",'Оперативный ввод'!J753)</f>
        <v/>
      </c>
      <c r="K753" s="172">
        <f>IF('Оперативный ввод'!K753="","",'Оперативный ввод'!K753)</f>
        <v/>
      </c>
      <c r="L753" s="172">
        <f>IF('Оперативный ввод'!L753="","",'Оперативный ввод'!L753)</f>
        <v/>
      </c>
      <c r="M753" s="172">
        <f>IF('Оперативный ввод'!M753="","",'Оперативный ввод'!M753)</f>
        <v/>
      </c>
      <c r="N753" s="172">
        <f>IF('Оперативный ввод'!N753="","",'Оперативный ввод'!N753)</f>
        <v/>
      </c>
      <c r="O753" s="172">
        <f>IF('Оперативный ввод'!O753="","",'Оперативный ввод'!O753)</f>
        <v/>
      </c>
      <c r="P753" s="205">
        <f>IF(AND(A753="",B753=""),"",IF(AND(A753&lt;&gt;"",B753&lt;&gt;"",C753&lt;&gt;"",D753&lt;&gt;"",F753&lt;&gt;"",G753&lt;&gt;"",H753&lt;&gt;"",ISERROR(SEARCH("по паспорту",G753)),ISERROR(SEARCH("по паспорту",H753)),I753&lt;&gt;"",J753&lt;&gt;"",K753&lt;&gt;"",L753&lt;&gt;"",M753&lt;&gt;""),"ГОТОВО","НЕ ГОТОВО"))</f>
        <v/>
      </c>
      <c r="Q753" s="205">
        <f>IF(P753&lt;&gt;"ГОТОВО","", "Предварительное заключение: "&amp;A753&amp;", скв. "&amp;B753&amp;". МРП: "&amp;E753&amp;" сут. ГНО: "&amp;F753&amp;", типоразмер "&amp;G753&amp;", марка "&amp;H753&amp;". Событие: "&amp;I753&amp;". Признак: "&amp;J753&amp;". Узел: "&amp;K753&amp;". Предварительная причина: "&amp;L753&amp;". Основное осложнение: "&amp;M753&amp;IF(N753&lt;&gt;"","; сопутствующее: "&amp;N753,"")&amp;IF(O753&lt;&gt;"","; дополнительно: "&amp;O753,"")&amp;".")</f>
        <v/>
      </c>
      <c r="R753" s="172">
        <f>IF('Оперативный ввод'!P753="","",'Оперативный ввод'!P753)</f>
        <v/>
      </c>
      <c r="S753" s="172">
        <f>IF('Оперативный ввод'!Q753="","",'Оперативный ввод'!Q753)</f>
        <v/>
      </c>
      <c r="T753" s="172">
        <f>IF('Оперативный ввод'!R753="","",'Оперативный ввод'!R753)</f>
        <v/>
      </c>
      <c r="U753" s="172">
        <f>IF('Оперативный ввод'!S753="","",'Оперативный ввод'!S753)</f>
        <v/>
      </c>
      <c r="V753" s="172">
        <f>IF('Оперативный ввод'!T753="","",'Оперативный ввод'!T753)</f>
        <v/>
      </c>
      <c r="W753" s="172" t="n"/>
      <c r="X753" s="172" t="n"/>
      <c r="Y753" s="172" t="n"/>
      <c r="Z753" s="172" t="n"/>
      <c r="AA753" s="172">
        <f>IF('Оперативный ввод'!U753="","",'Оперативный ввод'!U753)</f>
        <v/>
      </c>
      <c r="AB753" s="172">
        <f>IF('Оперативный ввод'!V753="","",'Оперативный ввод'!V753)</f>
        <v/>
      </c>
      <c r="AC753" s="172">
        <f>IF('Оперативный ввод'!W753="","",'Оперативный ввод'!W753)</f>
        <v/>
      </c>
      <c r="BB753" s="172" t="n"/>
      <c r="BC753" s="172" t="n"/>
      <c r="BD753" s="205">
        <f>IF(AND(A753="",B753=""),"",IF(AND(P753="ГОТОВО",R753&lt;&gt;"",T753&lt;&gt;"",U753&lt;&gt;"",AA753&lt;&gt;"",AB753&lt;&gt;"",AC753&lt;&gt;"",BB753&lt;&gt;"",BC753&lt;&gt;""),"ГОТОВО","НЕ ГОТОВО"))</f>
        <v/>
      </c>
      <c r="BE753" s="205">
        <f>IF(BD753&lt;&gt;"ГОТОВО","","Полное заключение: "&amp;A753&amp;", скв. "&amp;B753&amp;". МРП: "&amp;E753&amp;" сут. ГНО: "&amp;F753&amp;"; причина: "&amp;U753&amp;"; категория: "&amp;V753&amp;"; решение комиссии: "&amp;BB753&amp;".")</f>
        <v/>
      </c>
      <c r="BF753" s="173">
        <f>IF('Оперативный ввод'!X753="","",'Оперативный ввод'!X753)</f>
        <v/>
      </c>
    </row>
    <row r="754">
      <c r="A754" s="171">
        <f>IF('Оперативный ввод'!A754="","",'Оперативный ввод'!A754)</f>
        <v/>
      </c>
      <c r="B754" s="172">
        <f>IF('Оперативный ввод'!B754="","",'Оперативный ввод'!B754)</f>
        <v/>
      </c>
      <c r="C754" s="270">
        <f>IF('Оперативный ввод'!C754="","",'Оперативный ввод'!C754)</f>
        <v/>
      </c>
      <c r="D754" s="270">
        <f>IF('Оперативный ввод'!D754="","",'Оперативный ввод'!D754)</f>
        <v/>
      </c>
      <c r="E754" s="271">
        <f>IF(OR(C754="",D754=""),"",D754-C754)</f>
        <v/>
      </c>
      <c r="F754" s="172">
        <f>IF('Оперативный ввод'!F754="","",'Оперативный ввод'!F754)</f>
        <v/>
      </c>
      <c r="G754" s="172">
        <f>IF('Оперативный ввод'!G754="","",'Оперативный ввод'!G754)</f>
        <v/>
      </c>
      <c r="H754" s="172">
        <f>IF('Оперативный ввод'!H754="","",'Оперативный ввод'!H754)</f>
        <v/>
      </c>
      <c r="I754" s="172">
        <f>IF('Оперативный ввод'!I754="","",'Оперативный ввод'!I754)</f>
        <v/>
      </c>
      <c r="J754" s="172">
        <f>IF('Оперативный ввод'!J754="","",'Оперативный ввод'!J754)</f>
        <v/>
      </c>
      <c r="K754" s="172">
        <f>IF('Оперативный ввод'!K754="","",'Оперативный ввод'!K754)</f>
        <v/>
      </c>
      <c r="L754" s="172">
        <f>IF('Оперативный ввод'!L754="","",'Оперативный ввод'!L754)</f>
        <v/>
      </c>
      <c r="M754" s="172">
        <f>IF('Оперативный ввод'!M754="","",'Оперативный ввод'!M754)</f>
        <v/>
      </c>
      <c r="N754" s="172">
        <f>IF('Оперативный ввод'!N754="","",'Оперативный ввод'!N754)</f>
        <v/>
      </c>
      <c r="O754" s="172">
        <f>IF('Оперативный ввод'!O754="","",'Оперативный ввод'!O754)</f>
        <v/>
      </c>
      <c r="P754" s="205">
        <f>IF(AND(A754="",B754=""),"",IF(AND(A754&lt;&gt;"",B754&lt;&gt;"",C754&lt;&gt;"",D754&lt;&gt;"",F754&lt;&gt;"",G754&lt;&gt;"",H754&lt;&gt;"",ISERROR(SEARCH("по паспорту",G754)),ISERROR(SEARCH("по паспорту",H754)),I754&lt;&gt;"",J754&lt;&gt;"",K754&lt;&gt;"",L754&lt;&gt;"",M754&lt;&gt;""),"ГОТОВО","НЕ ГОТОВО"))</f>
        <v/>
      </c>
      <c r="Q754" s="205">
        <f>IF(P754&lt;&gt;"ГОТОВО","", "Предварительное заключение: "&amp;A754&amp;", скв. "&amp;B754&amp;". МРП: "&amp;E754&amp;" сут. ГНО: "&amp;F754&amp;", типоразмер "&amp;G754&amp;", марка "&amp;H754&amp;". Событие: "&amp;I754&amp;". Признак: "&amp;J754&amp;". Узел: "&amp;K754&amp;". Предварительная причина: "&amp;L754&amp;". Основное осложнение: "&amp;M754&amp;IF(N754&lt;&gt;"","; сопутствующее: "&amp;N754,"")&amp;IF(O754&lt;&gt;"","; дополнительно: "&amp;O754,"")&amp;".")</f>
        <v/>
      </c>
      <c r="R754" s="172">
        <f>IF('Оперативный ввод'!P754="","",'Оперативный ввод'!P754)</f>
        <v/>
      </c>
      <c r="S754" s="172">
        <f>IF('Оперативный ввод'!Q754="","",'Оперативный ввод'!Q754)</f>
        <v/>
      </c>
      <c r="T754" s="172">
        <f>IF('Оперативный ввод'!R754="","",'Оперативный ввод'!R754)</f>
        <v/>
      </c>
      <c r="U754" s="172">
        <f>IF('Оперативный ввод'!S754="","",'Оперативный ввод'!S754)</f>
        <v/>
      </c>
      <c r="V754" s="172">
        <f>IF('Оперативный ввод'!T754="","",'Оперативный ввод'!T754)</f>
        <v/>
      </c>
      <c r="W754" s="172" t="n"/>
      <c r="X754" s="172" t="n"/>
      <c r="Y754" s="172" t="n"/>
      <c r="Z754" s="172" t="n"/>
      <c r="AA754" s="172">
        <f>IF('Оперативный ввод'!U754="","",'Оперативный ввод'!U754)</f>
        <v/>
      </c>
      <c r="AB754" s="172">
        <f>IF('Оперативный ввод'!V754="","",'Оперативный ввод'!V754)</f>
        <v/>
      </c>
      <c r="AC754" s="172">
        <f>IF('Оперативный ввод'!W754="","",'Оперативный ввод'!W754)</f>
        <v/>
      </c>
      <c r="BB754" s="172" t="n"/>
      <c r="BC754" s="172" t="n"/>
      <c r="BD754" s="205">
        <f>IF(AND(A754="",B754=""),"",IF(AND(P754="ГОТОВО",R754&lt;&gt;"",T754&lt;&gt;"",U754&lt;&gt;"",AA754&lt;&gt;"",AB754&lt;&gt;"",AC754&lt;&gt;"",BB754&lt;&gt;"",BC754&lt;&gt;""),"ГОТОВО","НЕ ГОТОВО"))</f>
        <v/>
      </c>
      <c r="BE754" s="205">
        <f>IF(BD754&lt;&gt;"ГОТОВО","","Полное заключение: "&amp;A754&amp;", скв. "&amp;B754&amp;". МРП: "&amp;E754&amp;" сут. ГНО: "&amp;F754&amp;"; причина: "&amp;U754&amp;"; категория: "&amp;V754&amp;"; решение комиссии: "&amp;BB754&amp;".")</f>
        <v/>
      </c>
      <c r="BF754" s="173">
        <f>IF('Оперативный ввод'!X754="","",'Оперативный ввод'!X754)</f>
        <v/>
      </c>
    </row>
    <row r="755">
      <c r="A755" s="171">
        <f>IF('Оперативный ввод'!A755="","",'Оперативный ввод'!A755)</f>
        <v/>
      </c>
      <c r="B755" s="172">
        <f>IF('Оперативный ввод'!B755="","",'Оперативный ввод'!B755)</f>
        <v/>
      </c>
      <c r="C755" s="270">
        <f>IF('Оперативный ввод'!C755="","",'Оперативный ввод'!C755)</f>
        <v/>
      </c>
      <c r="D755" s="270">
        <f>IF('Оперативный ввод'!D755="","",'Оперативный ввод'!D755)</f>
        <v/>
      </c>
      <c r="E755" s="271">
        <f>IF(OR(C755="",D755=""),"",D755-C755)</f>
        <v/>
      </c>
      <c r="F755" s="172">
        <f>IF('Оперативный ввод'!F755="","",'Оперативный ввод'!F755)</f>
        <v/>
      </c>
      <c r="G755" s="172">
        <f>IF('Оперативный ввод'!G755="","",'Оперативный ввод'!G755)</f>
        <v/>
      </c>
      <c r="H755" s="172">
        <f>IF('Оперативный ввод'!H755="","",'Оперативный ввод'!H755)</f>
        <v/>
      </c>
      <c r="I755" s="172">
        <f>IF('Оперативный ввод'!I755="","",'Оперативный ввод'!I755)</f>
        <v/>
      </c>
      <c r="J755" s="172">
        <f>IF('Оперативный ввод'!J755="","",'Оперативный ввод'!J755)</f>
        <v/>
      </c>
      <c r="K755" s="172">
        <f>IF('Оперативный ввод'!K755="","",'Оперативный ввод'!K755)</f>
        <v/>
      </c>
      <c r="L755" s="172">
        <f>IF('Оперативный ввод'!L755="","",'Оперативный ввод'!L755)</f>
        <v/>
      </c>
      <c r="M755" s="172">
        <f>IF('Оперативный ввод'!M755="","",'Оперативный ввод'!M755)</f>
        <v/>
      </c>
      <c r="N755" s="172">
        <f>IF('Оперативный ввод'!N755="","",'Оперативный ввод'!N755)</f>
        <v/>
      </c>
      <c r="O755" s="172">
        <f>IF('Оперативный ввод'!O755="","",'Оперативный ввод'!O755)</f>
        <v/>
      </c>
      <c r="P755" s="205">
        <f>IF(AND(A755="",B755=""),"",IF(AND(A755&lt;&gt;"",B755&lt;&gt;"",C755&lt;&gt;"",D755&lt;&gt;"",F755&lt;&gt;"",G755&lt;&gt;"",H755&lt;&gt;"",ISERROR(SEARCH("по паспорту",G755)),ISERROR(SEARCH("по паспорту",H755)),I755&lt;&gt;"",J755&lt;&gt;"",K755&lt;&gt;"",L755&lt;&gt;"",M755&lt;&gt;""),"ГОТОВО","НЕ ГОТОВО"))</f>
        <v/>
      </c>
      <c r="Q755" s="205">
        <f>IF(P755&lt;&gt;"ГОТОВО","", "Предварительное заключение: "&amp;A755&amp;", скв. "&amp;B755&amp;". МРП: "&amp;E755&amp;" сут. ГНО: "&amp;F755&amp;", типоразмер "&amp;G755&amp;", марка "&amp;H755&amp;". Событие: "&amp;I755&amp;". Признак: "&amp;J755&amp;". Узел: "&amp;K755&amp;". Предварительная причина: "&amp;L755&amp;". Основное осложнение: "&amp;M755&amp;IF(N755&lt;&gt;"","; сопутствующее: "&amp;N755,"")&amp;IF(O755&lt;&gt;"","; дополнительно: "&amp;O755,"")&amp;".")</f>
        <v/>
      </c>
      <c r="R755" s="172">
        <f>IF('Оперативный ввод'!P755="","",'Оперативный ввод'!P755)</f>
        <v/>
      </c>
      <c r="S755" s="172">
        <f>IF('Оперативный ввод'!Q755="","",'Оперативный ввод'!Q755)</f>
        <v/>
      </c>
      <c r="T755" s="172">
        <f>IF('Оперативный ввод'!R755="","",'Оперативный ввод'!R755)</f>
        <v/>
      </c>
      <c r="U755" s="172">
        <f>IF('Оперативный ввод'!S755="","",'Оперативный ввод'!S755)</f>
        <v/>
      </c>
      <c r="V755" s="172">
        <f>IF('Оперативный ввод'!T755="","",'Оперативный ввод'!T755)</f>
        <v/>
      </c>
      <c r="W755" s="172" t="n"/>
      <c r="X755" s="172" t="n"/>
      <c r="Y755" s="172" t="n"/>
      <c r="Z755" s="172" t="n"/>
      <c r="AA755" s="172">
        <f>IF('Оперативный ввод'!U755="","",'Оперативный ввод'!U755)</f>
        <v/>
      </c>
      <c r="AB755" s="172">
        <f>IF('Оперативный ввод'!V755="","",'Оперативный ввод'!V755)</f>
        <v/>
      </c>
      <c r="AC755" s="172">
        <f>IF('Оперативный ввод'!W755="","",'Оперативный ввод'!W755)</f>
        <v/>
      </c>
      <c r="BB755" s="172" t="n"/>
      <c r="BC755" s="172" t="n"/>
      <c r="BD755" s="205">
        <f>IF(AND(A755="",B755=""),"",IF(AND(P755="ГОТОВО",R755&lt;&gt;"",T755&lt;&gt;"",U755&lt;&gt;"",AA755&lt;&gt;"",AB755&lt;&gt;"",AC755&lt;&gt;"",BB755&lt;&gt;"",BC755&lt;&gt;""),"ГОТОВО","НЕ ГОТОВО"))</f>
        <v/>
      </c>
      <c r="BE755" s="205">
        <f>IF(BD755&lt;&gt;"ГОТОВО","","Полное заключение: "&amp;A755&amp;", скв. "&amp;B755&amp;". МРП: "&amp;E755&amp;" сут. ГНО: "&amp;F755&amp;"; причина: "&amp;U755&amp;"; категория: "&amp;V755&amp;"; решение комиссии: "&amp;BB755&amp;".")</f>
        <v/>
      </c>
      <c r="BF755" s="173">
        <f>IF('Оперативный ввод'!X755="","",'Оперативный ввод'!X755)</f>
        <v/>
      </c>
    </row>
    <row r="756">
      <c r="A756" s="171">
        <f>IF('Оперативный ввод'!A756="","",'Оперативный ввод'!A756)</f>
        <v/>
      </c>
      <c r="B756" s="172">
        <f>IF('Оперативный ввод'!B756="","",'Оперативный ввод'!B756)</f>
        <v/>
      </c>
      <c r="C756" s="270">
        <f>IF('Оперативный ввод'!C756="","",'Оперативный ввод'!C756)</f>
        <v/>
      </c>
      <c r="D756" s="270">
        <f>IF('Оперативный ввод'!D756="","",'Оперативный ввод'!D756)</f>
        <v/>
      </c>
      <c r="E756" s="271">
        <f>IF(OR(C756="",D756=""),"",D756-C756)</f>
        <v/>
      </c>
      <c r="F756" s="172">
        <f>IF('Оперативный ввод'!F756="","",'Оперативный ввод'!F756)</f>
        <v/>
      </c>
      <c r="G756" s="172">
        <f>IF('Оперативный ввод'!G756="","",'Оперативный ввод'!G756)</f>
        <v/>
      </c>
      <c r="H756" s="172">
        <f>IF('Оперативный ввод'!H756="","",'Оперативный ввод'!H756)</f>
        <v/>
      </c>
      <c r="I756" s="172">
        <f>IF('Оперативный ввод'!I756="","",'Оперативный ввод'!I756)</f>
        <v/>
      </c>
      <c r="J756" s="172">
        <f>IF('Оперативный ввод'!J756="","",'Оперативный ввод'!J756)</f>
        <v/>
      </c>
      <c r="K756" s="172">
        <f>IF('Оперативный ввод'!K756="","",'Оперативный ввод'!K756)</f>
        <v/>
      </c>
      <c r="L756" s="172">
        <f>IF('Оперативный ввод'!L756="","",'Оперативный ввод'!L756)</f>
        <v/>
      </c>
      <c r="M756" s="172">
        <f>IF('Оперативный ввод'!M756="","",'Оперативный ввод'!M756)</f>
        <v/>
      </c>
      <c r="N756" s="172">
        <f>IF('Оперативный ввод'!N756="","",'Оперативный ввод'!N756)</f>
        <v/>
      </c>
      <c r="O756" s="172">
        <f>IF('Оперативный ввод'!O756="","",'Оперативный ввод'!O756)</f>
        <v/>
      </c>
      <c r="P756" s="205">
        <f>IF(AND(A756="",B756=""),"",IF(AND(A756&lt;&gt;"",B756&lt;&gt;"",C756&lt;&gt;"",D756&lt;&gt;"",F756&lt;&gt;"",G756&lt;&gt;"",H756&lt;&gt;"",ISERROR(SEARCH("по паспорту",G756)),ISERROR(SEARCH("по паспорту",H756)),I756&lt;&gt;"",J756&lt;&gt;"",K756&lt;&gt;"",L756&lt;&gt;"",M756&lt;&gt;""),"ГОТОВО","НЕ ГОТОВО"))</f>
        <v/>
      </c>
      <c r="Q756" s="205">
        <f>IF(P756&lt;&gt;"ГОТОВО","", "Предварительное заключение: "&amp;A756&amp;", скв. "&amp;B756&amp;". МРП: "&amp;E756&amp;" сут. ГНО: "&amp;F756&amp;", типоразмер "&amp;G756&amp;", марка "&amp;H756&amp;". Событие: "&amp;I756&amp;". Признак: "&amp;J756&amp;". Узел: "&amp;K756&amp;". Предварительная причина: "&amp;L756&amp;". Основное осложнение: "&amp;M756&amp;IF(N756&lt;&gt;"","; сопутствующее: "&amp;N756,"")&amp;IF(O756&lt;&gt;"","; дополнительно: "&amp;O756,"")&amp;".")</f>
        <v/>
      </c>
      <c r="R756" s="172">
        <f>IF('Оперативный ввод'!P756="","",'Оперативный ввод'!P756)</f>
        <v/>
      </c>
      <c r="S756" s="172">
        <f>IF('Оперативный ввод'!Q756="","",'Оперативный ввод'!Q756)</f>
        <v/>
      </c>
      <c r="T756" s="172">
        <f>IF('Оперативный ввод'!R756="","",'Оперативный ввод'!R756)</f>
        <v/>
      </c>
      <c r="U756" s="172">
        <f>IF('Оперативный ввод'!S756="","",'Оперативный ввод'!S756)</f>
        <v/>
      </c>
      <c r="V756" s="172">
        <f>IF('Оперативный ввод'!T756="","",'Оперативный ввод'!T756)</f>
        <v/>
      </c>
      <c r="W756" s="172" t="n"/>
      <c r="X756" s="172" t="n"/>
      <c r="Y756" s="172" t="n"/>
      <c r="Z756" s="172" t="n"/>
      <c r="AA756" s="172">
        <f>IF('Оперативный ввод'!U756="","",'Оперативный ввод'!U756)</f>
        <v/>
      </c>
      <c r="AB756" s="172">
        <f>IF('Оперативный ввод'!V756="","",'Оперативный ввод'!V756)</f>
        <v/>
      </c>
      <c r="AC756" s="172">
        <f>IF('Оперативный ввод'!W756="","",'Оперативный ввод'!W756)</f>
        <v/>
      </c>
      <c r="BB756" s="172" t="n"/>
      <c r="BC756" s="172" t="n"/>
      <c r="BD756" s="205">
        <f>IF(AND(A756="",B756=""),"",IF(AND(P756="ГОТОВО",R756&lt;&gt;"",T756&lt;&gt;"",U756&lt;&gt;"",AA756&lt;&gt;"",AB756&lt;&gt;"",AC756&lt;&gt;"",BB756&lt;&gt;"",BC756&lt;&gt;""),"ГОТОВО","НЕ ГОТОВО"))</f>
        <v/>
      </c>
      <c r="BE756" s="205">
        <f>IF(BD756&lt;&gt;"ГОТОВО","","Полное заключение: "&amp;A756&amp;", скв. "&amp;B756&amp;". МРП: "&amp;E756&amp;" сут. ГНО: "&amp;F756&amp;"; причина: "&amp;U756&amp;"; категория: "&amp;V756&amp;"; решение комиссии: "&amp;BB756&amp;".")</f>
        <v/>
      </c>
      <c r="BF756" s="173">
        <f>IF('Оперативный ввод'!X756="","",'Оперативный ввод'!X756)</f>
        <v/>
      </c>
    </row>
    <row r="757">
      <c r="A757" s="171">
        <f>IF('Оперативный ввод'!A757="","",'Оперативный ввод'!A757)</f>
        <v/>
      </c>
      <c r="B757" s="172">
        <f>IF('Оперативный ввод'!B757="","",'Оперативный ввод'!B757)</f>
        <v/>
      </c>
      <c r="C757" s="270">
        <f>IF('Оперативный ввод'!C757="","",'Оперативный ввод'!C757)</f>
        <v/>
      </c>
      <c r="D757" s="270">
        <f>IF('Оперативный ввод'!D757="","",'Оперативный ввод'!D757)</f>
        <v/>
      </c>
      <c r="E757" s="271">
        <f>IF(OR(C757="",D757=""),"",D757-C757)</f>
        <v/>
      </c>
      <c r="F757" s="172">
        <f>IF('Оперативный ввод'!F757="","",'Оперативный ввод'!F757)</f>
        <v/>
      </c>
      <c r="G757" s="172">
        <f>IF('Оперативный ввод'!G757="","",'Оперативный ввод'!G757)</f>
        <v/>
      </c>
      <c r="H757" s="172">
        <f>IF('Оперативный ввод'!H757="","",'Оперативный ввод'!H757)</f>
        <v/>
      </c>
      <c r="I757" s="172">
        <f>IF('Оперативный ввод'!I757="","",'Оперативный ввод'!I757)</f>
        <v/>
      </c>
      <c r="J757" s="172">
        <f>IF('Оперативный ввод'!J757="","",'Оперативный ввод'!J757)</f>
        <v/>
      </c>
      <c r="K757" s="172">
        <f>IF('Оперативный ввод'!K757="","",'Оперативный ввод'!K757)</f>
        <v/>
      </c>
      <c r="L757" s="172">
        <f>IF('Оперативный ввод'!L757="","",'Оперативный ввод'!L757)</f>
        <v/>
      </c>
      <c r="M757" s="172">
        <f>IF('Оперативный ввод'!M757="","",'Оперативный ввод'!M757)</f>
        <v/>
      </c>
      <c r="N757" s="172">
        <f>IF('Оперативный ввод'!N757="","",'Оперативный ввод'!N757)</f>
        <v/>
      </c>
      <c r="O757" s="172">
        <f>IF('Оперативный ввод'!O757="","",'Оперативный ввод'!O757)</f>
        <v/>
      </c>
      <c r="P757" s="205">
        <f>IF(AND(A757="",B757=""),"",IF(AND(A757&lt;&gt;"",B757&lt;&gt;"",C757&lt;&gt;"",D757&lt;&gt;"",F757&lt;&gt;"",G757&lt;&gt;"",H757&lt;&gt;"",ISERROR(SEARCH("по паспорту",G757)),ISERROR(SEARCH("по паспорту",H757)),I757&lt;&gt;"",J757&lt;&gt;"",K757&lt;&gt;"",L757&lt;&gt;"",M757&lt;&gt;""),"ГОТОВО","НЕ ГОТОВО"))</f>
        <v/>
      </c>
      <c r="Q757" s="205">
        <f>IF(P757&lt;&gt;"ГОТОВО","", "Предварительное заключение: "&amp;A757&amp;", скв. "&amp;B757&amp;". МРП: "&amp;E757&amp;" сут. ГНО: "&amp;F757&amp;", типоразмер "&amp;G757&amp;", марка "&amp;H757&amp;". Событие: "&amp;I757&amp;". Признак: "&amp;J757&amp;". Узел: "&amp;K757&amp;". Предварительная причина: "&amp;L757&amp;". Основное осложнение: "&amp;M757&amp;IF(N757&lt;&gt;"","; сопутствующее: "&amp;N757,"")&amp;IF(O757&lt;&gt;"","; дополнительно: "&amp;O757,"")&amp;".")</f>
        <v/>
      </c>
      <c r="R757" s="172">
        <f>IF('Оперативный ввод'!P757="","",'Оперативный ввод'!P757)</f>
        <v/>
      </c>
      <c r="S757" s="172">
        <f>IF('Оперативный ввод'!Q757="","",'Оперативный ввод'!Q757)</f>
        <v/>
      </c>
      <c r="T757" s="172">
        <f>IF('Оперативный ввод'!R757="","",'Оперативный ввод'!R757)</f>
        <v/>
      </c>
      <c r="U757" s="172">
        <f>IF('Оперативный ввод'!S757="","",'Оперативный ввод'!S757)</f>
        <v/>
      </c>
      <c r="V757" s="172">
        <f>IF('Оперативный ввод'!T757="","",'Оперативный ввод'!T757)</f>
        <v/>
      </c>
      <c r="W757" s="172" t="n"/>
      <c r="X757" s="172" t="n"/>
      <c r="Y757" s="172" t="n"/>
      <c r="Z757" s="172" t="n"/>
      <c r="AA757" s="172">
        <f>IF('Оперативный ввод'!U757="","",'Оперативный ввод'!U757)</f>
        <v/>
      </c>
      <c r="AB757" s="172">
        <f>IF('Оперативный ввод'!V757="","",'Оперативный ввод'!V757)</f>
        <v/>
      </c>
      <c r="AC757" s="172">
        <f>IF('Оперативный ввод'!W757="","",'Оперативный ввод'!W757)</f>
        <v/>
      </c>
      <c r="BB757" s="172" t="n"/>
      <c r="BC757" s="172" t="n"/>
      <c r="BD757" s="205">
        <f>IF(AND(A757="",B757=""),"",IF(AND(P757="ГОТОВО",R757&lt;&gt;"",T757&lt;&gt;"",U757&lt;&gt;"",AA757&lt;&gt;"",AB757&lt;&gt;"",AC757&lt;&gt;"",BB757&lt;&gt;"",BC757&lt;&gt;""),"ГОТОВО","НЕ ГОТОВО"))</f>
        <v/>
      </c>
      <c r="BE757" s="205">
        <f>IF(BD757&lt;&gt;"ГОТОВО","","Полное заключение: "&amp;A757&amp;", скв. "&amp;B757&amp;". МРП: "&amp;E757&amp;" сут. ГНО: "&amp;F757&amp;"; причина: "&amp;U757&amp;"; категория: "&amp;V757&amp;"; решение комиссии: "&amp;BB757&amp;".")</f>
        <v/>
      </c>
      <c r="BF757" s="173">
        <f>IF('Оперативный ввод'!X757="","",'Оперативный ввод'!X757)</f>
        <v/>
      </c>
    </row>
    <row r="758">
      <c r="A758" s="171">
        <f>IF('Оперативный ввод'!A758="","",'Оперативный ввод'!A758)</f>
        <v/>
      </c>
      <c r="B758" s="172">
        <f>IF('Оперативный ввод'!B758="","",'Оперативный ввод'!B758)</f>
        <v/>
      </c>
      <c r="C758" s="270">
        <f>IF('Оперативный ввод'!C758="","",'Оперативный ввод'!C758)</f>
        <v/>
      </c>
      <c r="D758" s="270">
        <f>IF('Оперативный ввод'!D758="","",'Оперативный ввод'!D758)</f>
        <v/>
      </c>
      <c r="E758" s="271">
        <f>IF(OR(C758="",D758=""),"",D758-C758)</f>
        <v/>
      </c>
      <c r="F758" s="172">
        <f>IF('Оперативный ввод'!F758="","",'Оперативный ввод'!F758)</f>
        <v/>
      </c>
      <c r="G758" s="172">
        <f>IF('Оперативный ввод'!G758="","",'Оперативный ввод'!G758)</f>
        <v/>
      </c>
      <c r="H758" s="172">
        <f>IF('Оперативный ввод'!H758="","",'Оперативный ввод'!H758)</f>
        <v/>
      </c>
      <c r="I758" s="172">
        <f>IF('Оперативный ввод'!I758="","",'Оперативный ввод'!I758)</f>
        <v/>
      </c>
      <c r="J758" s="172">
        <f>IF('Оперативный ввод'!J758="","",'Оперативный ввод'!J758)</f>
        <v/>
      </c>
      <c r="K758" s="172">
        <f>IF('Оперативный ввод'!K758="","",'Оперативный ввод'!K758)</f>
        <v/>
      </c>
      <c r="L758" s="172">
        <f>IF('Оперативный ввод'!L758="","",'Оперативный ввод'!L758)</f>
        <v/>
      </c>
      <c r="M758" s="172">
        <f>IF('Оперативный ввод'!M758="","",'Оперативный ввод'!M758)</f>
        <v/>
      </c>
      <c r="N758" s="172">
        <f>IF('Оперативный ввод'!N758="","",'Оперативный ввод'!N758)</f>
        <v/>
      </c>
      <c r="O758" s="172">
        <f>IF('Оперативный ввод'!O758="","",'Оперативный ввод'!O758)</f>
        <v/>
      </c>
      <c r="P758" s="205">
        <f>IF(AND(A758="",B758=""),"",IF(AND(A758&lt;&gt;"",B758&lt;&gt;"",C758&lt;&gt;"",D758&lt;&gt;"",F758&lt;&gt;"",G758&lt;&gt;"",H758&lt;&gt;"",ISERROR(SEARCH("по паспорту",G758)),ISERROR(SEARCH("по паспорту",H758)),I758&lt;&gt;"",J758&lt;&gt;"",K758&lt;&gt;"",L758&lt;&gt;"",M758&lt;&gt;""),"ГОТОВО","НЕ ГОТОВО"))</f>
        <v/>
      </c>
      <c r="Q758" s="205">
        <f>IF(P758&lt;&gt;"ГОТОВО","", "Предварительное заключение: "&amp;A758&amp;", скв. "&amp;B758&amp;". МРП: "&amp;E758&amp;" сут. ГНО: "&amp;F758&amp;", типоразмер "&amp;G758&amp;", марка "&amp;H758&amp;". Событие: "&amp;I758&amp;". Признак: "&amp;J758&amp;". Узел: "&amp;K758&amp;". Предварительная причина: "&amp;L758&amp;". Основное осложнение: "&amp;M758&amp;IF(N758&lt;&gt;"","; сопутствующее: "&amp;N758,"")&amp;IF(O758&lt;&gt;"","; дополнительно: "&amp;O758,"")&amp;".")</f>
        <v/>
      </c>
      <c r="R758" s="172">
        <f>IF('Оперативный ввод'!P758="","",'Оперативный ввод'!P758)</f>
        <v/>
      </c>
      <c r="S758" s="172">
        <f>IF('Оперативный ввод'!Q758="","",'Оперативный ввод'!Q758)</f>
        <v/>
      </c>
      <c r="T758" s="172">
        <f>IF('Оперативный ввод'!R758="","",'Оперативный ввод'!R758)</f>
        <v/>
      </c>
      <c r="U758" s="172">
        <f>IF('Оперативный ввод'!S758="","",'Оперативный ввод'!S758)</f>
        <v/>
      </c>
      <c r="V758" s="172">
        <f>IF('Оперативный ввод'!T758="","",'Оперативный ввод'!T758)</f>
        <v/>
      </c>
      <c r="W758" s="172" t="n"/>
      <c r="X758" s="172" t="n"/>
      <c r="Y758" s="172" t="n"/>
      <c r="Z758" s="172" t="n"/>
      <c r="AA758" s="172">
        <f>IF('Оперативный ввод'!U758="","",'Оперативный ввод'!U758)</f>
        <v/>
      </c>
      <c r="AB758" s="172">
        <f>IF('Оперативный ввод'!V758="","",'Оперативный ввод'!V758)</f>
        <v/>
      </c>
      <c r="AC758" s="172">
        <f>IF('Оперативный ввод'!W758="","",'Оперативный ввод'!W758)</f>
        <v/>
      </c>
      <c r="BB758" s="172" t="n"/>
      <c r="BC758" s="172" t="n"/>
      <c r="BD758" s="205">
        <f>IF(AND(A758="",B758=""),"",IF(AND(P758="ГОТОВО",R758&lt;&gt;"",T758&lt;&gt;"",U758&lt;&gt;"",AA758&lt;&gt;"",AB758&lt;&gt;"",AC758&lt;&gt;"",BB758&lt;&gt;"",BC758&lt;&gt;""),"ГОТОВО","НЕ ГОТОВО"))</f>
        <v/>
      </c>
      <c r="BE758" s="205">
        <f>IF(BD758&lt;&gt;"ГОТОВО","","Полное заключение: "&amp;A758&amp;", скв. "&amp;B758&amp;". МРП: "&amp;E758&amp;" сут. ГНО: "&amp;F758&amp;"; причина: "&amp;U758&amp;"; категория: "&amp;V758&amp;"; решение комиссии: "&amp;BB758&amp;".")</f>
        <v/>
      </c>
      <c r="BF758" s="173">
        <f>IF('Оперативный ввод'!X758="","",'Оперативный ввод'!X758)</f>
        <v/>
      </c>
    </row>
    <row r="759">
      <c r="A759" s="171">
        <f>IF('Оперативный ввод'!A759="","",'Оперативный ввод'!A759)</f>
        <v/>
      </c>
      <c r="B759" s="172">
        <f>IF('Оперативный ввод'!B759="","",'Оперативный ввод'!B759)</f>
        <v/>
      </c>
      <c r="C759" s="270">
        <f>IF('Оперативный ввод'!C759="","",'Оперативный ввод'!C759)</f>
        <v/>
      </c>
      <c r="D759" s="270">
        <f>IF('Оперативный ввод'!D759="","",'Оперативный ввод'!D759)</f>
        <v/>
      </c>
      <c r="E759" s="271">
        <f>IF(OR(C759="",D759=""),"",D759-C759)</f>
        <v/>
      </c>
      <c r="F759" s="172">
        <f>IF('Оперативный ввод'!F759="","",'Оперативный ввод'!F759)</f>
        <v/>
      </c>
      <c r="G759" s="172">
        <f>IF('Оперативный ввод'!G759="","",'Оперативный ввод'!G759)</f>
        <v/>
      </c>
      <c r="H759" s="172">
        <f>IF('Оперативный ввод'!H759="","",'Оперативный ввод'!H759)</f>
        <v/>
      </c>
      <c r="I759" s="172">
        <f>IF('Оперативный ввод'!I759="","",'Оперативный ввод'!I759)</f>
        <v/>
      </c>
      <c r="J759" s="172">
        <f>IF('Оперативный ввод'!J759="","",'Оперативный ввод'!J759)</f>
        <v/>
      </c>
      <c r="K759" s="172">
        <f>IF('Оперативный ввод'!K759="","",'Оперативный ввод'!K759)</f>
        <v/>
      </c>
      <c r="L759" s="172">
        <f>IF('Оперативный ввод'!L759="","",'Оперативный ввод'!L759)</f>
        <v/>
      </c>
      <c r="M759" s="172">
        <f>IF('Оперативный ввод'!M759="","",'Оперативный ввод'!M759)</f>
        <v/>
      </c>
      <c r="N759" s="172">
        <f>IF('Оперативный ввод'!N759="","",'Оперативный ввод'!N759)</f>
        <v/>
      </c>
      <c r="O759" s="172">
        <f>IF('Оперативный ввод'!O759="","",'Оперативный ввод'!O759)</f>
        <v/>
      </c>
      <c r="P759" s="205">
        <f>IF(AND(A759="",B759=""),"",IF(AND(A759&lt;&gt;"",B759&lt;&gt;"",C759&lt;&gt;"",D759&lt;&gt;"",F759&lt;&gt;"",G759&lt;&gt;"",H759&lt;&gt;"",ISERROR(SEARCH("по паспорту",G759)),ISERROR(SEARCH("по паспорту",H759)),I759&lt;&gt;"",J759&lt;&gt;"",K759&lt;&gt;"",L759&lt;&gt;"",M759&lt;&gt;""),"ГОТОВО","НЕ ГОТОВО"))</f>
        <v/>
      </c>
      <c r="Q759" s="205">
        <f>IF(P759&lt;&gt;"ГОТОВО","", "Предварительное заключение: "&amp;A759&amp;", скв. "&amp;B759&amp;". МРП: "&amp;E759&amp;" сут. ГНО: "&amp;F759&amp;", типоразмер "&amp;G759&amp;", марка "&amp;H759&amp;". Событие: "&amp;I759&amp;". Признак: "&amp;J759&amp;". Узел: "&amp;K759&amp;". Предварительная причина: "&amp;L759&amp;". Основное осложнение: "&amp;M759&amp;IF(N759&lt;&gt;"","; сопутствующее: "&amp;N759,"")&amp;IF(O759&lt;&gt;"","; дополнительно: "&amp;O759,"")&amp;".")</f>
        <v/>
      </c>
      <c r="R759" s="172">
        <f>IF('Оперативный ввод'!P759="","",'Оперативный ввод'!P759)</f>
        <v/>
      </c>
      <c r="S759" s="172">
        <f>IF('Оперативный ввод'!Q759="","",'Оперативный ввод'!Q759)</f>
        <v/>
      </c>
      <c r="T759" s="172">
        <f>IF('Оперативный ввод'!R759="","",'Оперативный ввод'!R759)</f>
        <v/>
      </c>
      <c r="U759" s="172">
        <f>IF('Оперативный ввод'!S759="","",'Оперативный ввод'!S759)</f>
        <v/>
      </c>
      <c r="V759" s="172">
        <f>IF('Оперативный ввод'!T759="","",'Оперативный ввод'!T759)</f>
        <v/>
      </c>
      <c r="W759" s="172" t="n"/>
      <c r="X759" s="172" t="n"/>
      <c r="Y759" s="172" t="n"/>
      <c r="Z759" s="172" t="n"/>
      <c r="AA759" s="172">
        <f>IF('Оперативный ввод'!U759="","",'Оперативный ввод'!U759)</f>
        <v/>
      </c>
      <c r="AB759" s="172">
        <f>IF('Оперативный ввод'!V759="","",'Оперативный ввод'!V759)</f>
        <v/>
      </c>
      <c r="AC759" s="172">
        <f>IF('Оперативный ввод'!W759="","",'Оперативный ввод'!W759)</f>
        <v/>
      </c>
      <c r="BB759" s="172" t="n"/>
      <c r="BC759" s="172" t="n"/>
      <c r="BD759" s="205">
        <f>IF(AND(A759="",B759=""),"",IF(AND(P759="ГОТОВО",R759&lt;&gt;"",T759&lt;&gt;"",U759&lt;&gt;"",AA759&lt;&gt;"",AB759&lt;&gt;"",AC759&lt;&gt;"",BB759&lt;&gt;"",BC759&lt;&gt;""),"ГОТОВО","НЕ ГОТОВО"))</f>
        <v/>
      </c>
      <c r="BE759" s="205">
        <f>IF(BD759&lt;&gt;"ГОТОВО","","Полное заключение: "&amp;A759&amp;", скв. "&amp;B759&amp;". МРП: "&amp;E759&amp;" сут. ГНО: "&amp;F759&amp;"; причина: "&amp;U759&amp;"; категория: "&amp;V759&amp;"; решение комиссии: "&amp;BB759&amp;".")</f>
        <v/>
      </c>
      <c r="BF759" s="173">
        <f>IF('Оперативный ввод'!X759="","",'Оперативный ввод'!X759)</f>
        <v/>
      </c>
    </row>
    <row r="760">
      <c r="A760" s="171">
        <f>IF('Оперативный ввод'!A760="","",'Оперативный ввод'!A760)</f>
        <v/>
      </c>
      <c r="B760" s="172">
        <f>IF('Оперативный ввод'!B760="","",'Оперативный ввод'!B760)</f>
        <v/>
      </c>
      <c r="C760" s="270">
        <f>IF('Оперативный ввод'!C760="","",'Оперативный ввод'!C760)</f>
        <v/>
      </c>
      <c r="D760" s="270">
        <f>IF('Оперативный ввод'!D760="","",'Оперативный ввод'!D760)</f>
        <v/>
      </c>
      <c r="E760" s="271">
        <f>IF(OR(C760="",D760=""),"",D760-C760)</f>
        <v/>
      </c>
      <c r="F760" s="172">
        <f>IF('Оперативный ввод'!F760="","",'Оперативный ввод'!F760)</f>
        <v/>
      </c>
      <c r="G760" s="172">
        <f>IF('Оперативный ввод'!G760="","",'Оперативный ввод'!G760)</f>
        <v/>
      </c>
      <c r="H760" s="172">
        <f>IF('Оперативный ввод'!H760="","",'Оперативный ввод'!H760)</f>
        <v/>
      </c>
      <c r="I760" s="172">
        <f>IF('Оперативный ввод'!I760="","",'Оперативный ввод'!I760)</f>
        <v/>
      </c>
      <c r="J760" s="172">
        <f>IF('Оперативный ввод'!J760="","",'Оперативный ввод'!J760)</f>
        <v/>
      </c>
      <c r="K760" s="172">
        <f>IF('Оперативный ввод'!K760="","",'Оперативный ввод'!K760)</f>
        <v/>
      </c>
      <c r="L760" s="172">
        <f>IF('Оперативный ввод'!L760="","",'Оперативный ввод'!L760)</f>
        <v/>
      </c>
      <c r="M760" s="172">
        <f>IF('Оперативный ввод'!M760="","",'Оперативный ввод'!M760)</f>
        <v/>
      </c>
      <c r="N760" s="172">
        <f>IF('Оперативный ввод'!N760="","",'Оперативный ввод'!N760)</f>
        <v/>
      </c>
      <c r="O760" s="172">
        <f>IF('Оперативный ввод'!O760="","",'Оперативный ввод'!O760)</f>
        <v/>
      </c>
      <c r="P760" s="205">
        <f>IF(AND(A760="",B760=""),"",IF(AND(A760&lt;&gt;"",B760&lt;&gt;"",C760&lt;&gt;"",D760&lt;&gt;"",F760&lt;&gt;"",G760&lt;&gt;"",H760&lt;&gt;"",ISERROR(SEARCH("по паспорту",G760)),ISERROR(SEARCH("по паспорту",H760)),I760&lt;&gt;"",J760&lt;&gt;"",K760&lt;&gt;"",L760&lt;&gt;"",M760&lt;&gt;""),"ГОТОВО","НЕ ГОТОВО"))</f>
        <v/>
      </c>
      <c r="Q760" s="205">
        <f>IF(P760&lt;&gt;"ГОТОВО","", "Предварительное заключение: "&amp;A760&amp;", скв. "&amp;B760&amp;". МРП: "&amp;E760&amp;" сут. ГНО: "&amp;F760&amp;", типоразмер "&amp;G760&amp;", марка "&amp;H760&amp;". Событие: "&amp;I760&amp;". Признак: "&amp;J760&amp;". Узел: "&amp;K760&amp;". Предварительная причина: "&amp;L760&amp;". Основное осложнение: "&amp;M760&amp;IF(N760&lt;&gt;"","; сопутствующее: "&amp;N760,"")&amp;IF(O760&lt;&gt;"","; дополнительно: "&amp;O760,"")&amp;".")</f>
        <v/>
      </c>
      <c r="R760" s="172">
        <f>IF('Оперативный ввод'!P760="","",'Оперативный ввод'!P760)</f>
        <v/>
      </c>
      <c r="S760" s="172">
        <f>IF('Оперативный ввод'!Q760="","",'Оперативный ввод'!Q760)</f>
        <v/>
      </c>
      <c r="T760" s="172">
        <f>IF('Оперативный ввод'!R760="","",'Оперативный ввод'!R760)</f>
        <v/>
      </c>
      <c r="U760" s="172">
        <f>IF('Оперативный ввод'!S760="","",'Оперативный ввод'!S760)</f>
        <v/>
      </c>
      <c r="V760" s="172">
        <f>IF('Оперативный ввод'!T760="","",'Оперативный ввод'!T760)</f>
        <v/>
      </c>
      <c r="W760" s="172" t="n"/>
      <c r="X760" s="172" t="n"/>
      <c r="Y760" s="172" t="n"/>
      <c r="Z760" s="172" t="n"/>
      <c r="AA760" s="172">
        <f>IF('Оперативный ввод'!U760="","",'Оперативный ввод'!U760)</f>
        <v/>
      </c>
      <c r="AB760" s="172">
        <f>IF('Оперативный ввод'!V760="","",'Оперативный ввод'!V760)</f>
        <v/>
      </c>
      <c r="AC760" s="172">
        <f>IF('Оперативный ввод'!W760="","",'Оперативный ввод'!W760)</f>
        <v/>
      </c>
      <c r="BB760" s="172" t="n"/>
      <c r="BC760" s="172" t="n"/>
      <c r="BD760" s="205">
        <f>IF(AND(A760="",B760=""),"",IF(AND(P760="ГОТОВО",R760&lt;&gt;"",T760&lt;&gt;"",U760&lt;&gt;"",AA760&lt;&gt;"",AB760&lt;&gt;"",AC760&lt;&gt;"",BB760&lt;&gt;"",BC760&lt;&gt;""),"ГОТОВО","НЕ ГОТОВО"))</f>
        <v/>
      </c>
      <c r="BE760" s="205">
        <f>IF(BD760&lt;&gt;"ГОТОВО","","Полное заключение: "&amp;A760&amp;", скв. "&amp;B760&amp;". МРП: "&amp;E760&amp;" сут. ГНО: "&amp;F760&amp;"; причина: "&amp;U760&amp;"; категория: "&amp;V760&amp;"; решение комиссии: "&amp;BB760&amp;".")</f>
        <v/>
      </c>
      <c r="BF760" s="173">
        <f>IF('Оперативный ввод'!X760="","",'Оперативный ввод'!X760)</f>
        <v/>
      </c>
    </row>
    <row r="761">
      <c r="A761" s="171">
        <f>IF('Оперативный ввод'!A761="","",'Оперативный ввод'!A761)</f>
        <v/>
      </c>
      <c r="B761" s="172">
        <f>IF('Оперативный ввод'!B761="","",'Оперативный ввод'!B761)</f>
        <v/>
      </c>
      <c r="C761" s="270">
        <f>IF('Оперативный ввод'!C761="","",'Оперативный ввод'!C761)</f>
        <v/>
      </c>
      <c r="D761" s="270">
        <f>IF('Оперативный ввод'!D761="","",'Оперативный ввод'!D761)</f>
        <v/>
      </c>
      <c r="E761" s="271">
        <f>IF(OR(C761="",D761=""),"",D761-C761)</f>
        <v/>
      </c>
      <c r="F761" s="172">
        <f>IF('Оперативный ввод'!F761="","",'Оперативный ввод'!F761)</f>
        <v/>
      </c>
      <c r="G761" s="172">
        <f>IF('Оперативный ввод'!G761="","",'Оперативный ввод'!G761)</f>
        <v/>
      </c>
      <c r="H761" s="172">
        <f>IF('Оперативный ввод'!H761="","",'Оперативный ввод'!H761)</f>
        <v/>
      </c>
      <c r="I761" s="172">
        <f>IF('Оперативный ввод'!I761="","",'Оперативный ввод'!I761)</f>
        <v/>
      </c>
      <c r="J761" s="172">
        <f>IF('Оперативный ввод'!J761="","",'Оперативный ввод'!J761)</f>
        <v/>
      </c>
      <c r="K761" s="172">
        <f>IF('Оперативный ввод'!K761="","",'Оперативный ввод'!K761)</f>
        <v/>
      </c>
      <c r="L761" s="172">
        <f>IF('Оперативный ввод'!L761="","",'Оперативный ввод'!L761)</f>
        <v/>
      </c>
      <c r="M761" s="172">
        <f>IF('Оперативный ввод'!M761="","",'Оперативный ввод'!M761)</f>
        <v/>
      </c>
      <c r="N761" s="172">
        <f>IF('Оперативный ввод'!N761="","",'Оперативный ввод'!N761)</f>
        <v/>
      </c>
      <c r="O761" s="172">
        <f>IF('Оперативный ввод'!O761="","",'Оперативный ввод'!O761)</f>
        <v/>
      </c>
      <c r="P761" s="205">
        <f>IF(AND(A761="",B761=""),"",IF(AND(A761&lt;&gt;"",B761&lt;&gt;"",C761&lt;&gt;"",D761&lt;&gt;"",F761&lt;&gt;"",G761&lt;&gt;"",H761&lt;&gt;"",ISERROR(SEARCH("по паспорту",G761)),ISERROR(SEARCH("по паспорту",H761)),I761&lt;&gt;"",J761&lt;&gt;"",K761&lt;&gt;"",L761&lt;&gt;"",M761&lt;&gt;""),"ГОТОВО","НЕ ГОТОВО"))</f>
        <v/>
      </c>
      <c r="Q761" s="205">
        <f>IF(P761&lt;&gt;"ГОТОВО","", "Предварительное заключение: "&amp;A761&amp;", скв. "&amp;B761&amp;". МРП: "&amp;E761&amp;" сут. ГНО: "&amp;F761&amp;", типоразмер "&amp;G761&amp;", марка "&amp;H761&amp;". Событие: "&amp;I761&amp;". Признак: "&amp;J761&amp;". Узел: "&amp;K761&amp;". Предварительная причина: "&amp;L761&amp;". Основное осложнение: "&amp;M761&amp;IF(N761&lt;&gt;"","; сопутствующее: "&amp;N761,"")&amp;IF(O761&lt;&gt;"","; дополнительно: "&amp;O761,"")&amp;".")</f>
        <v/>
      </c>
      <c r="R761" s="172">
        <f>IF('Оперативный ввод'!P761="","",'Оперативный ввод'!P761)</f>
        <v/>
      </c>
      <c r="S761" s="172">
        <f>IF('Оперативный ввод'!Q761="","",'Оперативный ввод'!Q761)</f>
        <v/>
      </c>
      <c r="T761" s="172">
        <f>IF('Оперативный ввод'!R761="","",'Оперативный ввод'!R761)</f>
        <v/>
      </c>
      <c r="U761" s="172">
        <f>IF('Оперативный ввод'!S761="","",'Оперативный ввод'!S761)</f>
        <v/>
      </c>
      <c r="V761" s="172">
        <f>IF('Оперативный ввод'!T761="","",'Оперативный ввод'!T761)</f>
        <v/>
      </c>
      <c r="W761" s="172" t="n"/>
      <c r="X761" s="172" t="n"/>
      <c r="Y761" s="172" t="n"/>
      <c r="Z761" s="172" t="n"/>
      <c r="AA761" s="172">
        <f>IF('Оперативный ввод'!U761="","",'Оперативный ввод'!U761)</f>
        <v/>
      </c>
      <c r="AB761" s="172">
        <f>IF('Оперативный ввод'!V761="","",'Оперативный ввод'!V761)</f>
        <v/>
      </c>
      <c r="AC761" s="172">
        <f>IF('Оперативный ввод'!W761="","",'Оперативный ввод'!W761)</f>
        <v/>
      </c>
      <c r="BB761" s="172" t="n"/>
      <c r="BC761" s="172" t="n"/>
      <c r="BD761" s="205">
        <f>IF(AND(A761="",B761=""),"",IF(AND(P761="ГОТОВО",R761&lt;&gt;"",T761&lt;&gt;"",U761&lt;&gt;"",AA761&lt;&gt;"",AB761&lt;&gt;"",AC761&lt;&gt;"",BB761&lt;&gt;"",BC761&lt;&gt;""),"ГОТОВО","НЕ ГОТОВО"))</f>
        <v/>
      </c>
      <c r="BE761" s="205">
        <f>IF(BD761&lt;&gt;"ГОТОВО","","Полное заключение: "&amp;A761&amp;", скв. "&amp;B761&amp;". МРП: "&amp;E761&amp;" сут. ГНО: "&amp;F761&amp;"; причина: "&amp;U761&amp;"; категория: "&amp;V761&amp;"; решение комиссии: "&amp;BB761&amp;".")</f>
        <v/>
      </c>
      <c r="BF761" s="173">
        <f>IF('Оперативный ввод'!X761="","",'Оперативный ввод'!X761)</f>
        <v/>
      </c>
    </row>
    <row r="762">
      <c r="A762" s="171">
        <f>IF('Оперативный ввод'!A762="","",'Оперативный ввод'!A762)</f>
        <v/>
      </c>
      <c r="B762" s="172">
        <f>IF('Оперативный ввод'!B762="","",'Оперативный ввод'!B762)</f>
        <v/>
      </c>
      <c r="C762" s="270">
        <f>IF('Оперативный ввод'!C762="","",'Оперативный ввод'!C762)</f>
        <v/>
      </c>
      <c r="D762" s="270">
        <f>IF('Оперативный ввод'!D762="","",'Оперативный ввод'!D762)</f>
        <v/>
      </c>
      <c r="E762" s="271">
        <f>IF(OR(C762="",D762=""),"",D762-C762)</f>
        <v/>
      </c>
      <c r="F762" s="172">
        <f>IF('Оперативный ввод'!F762="","",'Оперативный ввод'!F762)</f>
        <v/>
      </c>
      <c r="G762" s="172">
        <f>IF('Оперативный ввод'!G762="","",'Оперативный ввод'!G762)</f>
        <v/>
      </c>
      <c r="H762" s="172">
        <f>IF('Оперативный ввод'!H762="","",'Оперативный ввод'!H762)</f>
        <v/>
      </c>
      <c r="I762" s="172">
        <f>IF('Оперативный ввод'!I762="","",'Оперативный ввод'!I762)</f>
        <v/>
      </c>
      <c r="J762" s="172">
        <f>IF('Оперативный ввод'!J762="","",'Оперативный ввод'!J762)</f>
        <v/>
      </c>
      <c r="K762" s="172">
        <f>IF('Оперативный ввод'!K762="","",'Оперативный ввод'!K762)</f>
        <v/>
      </c>
      <c r="L762" s="172">
        <f>IF('Оперативный ввод'!L762="","",'Оперативный ввод'!L762)</f>
        <v/>
      </c>
      <c r="M762" s="172">
        <f>IF('Оперативный ввод'!M762="","",'Оперативный ввод'!M762)</f>
        <v/>
      </c>
      <c r="N762" s="172">
        <f>IF('Оперативный ввод'!N762="","",'Оперативный ввод'!N762)</f>
        <v/>
      </c>
      <c r="O762" s="172">
        <f>IF('Оперативный ввод'!O762="","",'Оперативный ввод'!O762)</f>
        <v/>
      </c>
      <c r="P762" s="205">
        <f>IF(AND(A762="",B762=""),"",IF(AND(A762&lt;&gt;"",B762&lt;&gt;"",C762&lt;&gt;"",D762&lt;&gt;"",F762&lt;&gt;"",G762&lt;&gt;"",H762&lt;&gt;"",ISERROR(SEARCH("по паспорту",G762)),ISERROR(SEARCH("по паспорту",H762)),I762&lt;&gt;"",J762&lt;&gt;"",K762&lt;&gt;"",L762&lt;&gt;"",M762&lt;&gt;""),"ГОТОВО","НЕ ГОТОВО"))</f>
        <v/>
      </c>
      <c r="Q762" s="205">
        <f>IF(P762&lt;&gt;"ГОТОВО","", "Предварительное заключение: "&amp;A762&amp;", скв. "&amp;B762&amp;". МРП: "&amp;E762&amp;" сут. ГНО: "&amp;F762&amp;", типоразмер "&amp;G762&amp;", марка "&amp;H762&amp;". Событие: "&amp;I762&amp;". Признак: "&amp;J762&amp;". Узел: "&amp;K762&amp;". Предварительная причина: "&amp;L762&amp;". Основное осложнение: "&amp;M762&amp;IF(N762&lt;&gt;"","; сопутствующее: "&amp;N762,"")&amp;IF(O762&lt;&gt;"","; дополнительно: "&amp;O762,"")&amp;".")</f>
        <v/>
      </c>
      <c r="R762" s="172">
        <f>IF('Оперативный ввод'!P762="","",'Оперативный ввод'!P762)</f>
        <v/>
      </c>
      <c r="S762" s="172">
        <f>IF('Оперативный ввод'!Q762="","",'Оперативный ввод'!Q762)</f>
        <v/>
      </c>
      <c r="T762" s="172">
        <f>IF('Оперативный ввод'!R762="","",'Оперативный ввод'!R762)</f>
        <v/>
      </c>
      <c r="U762" s="172">
        <f>IF('Оперативный ввод'!S762="","",'Оперативный ввод'!S762)</f>
        <v/>
      </c>
      <c r="V762" s="172">
        <f>IF('Оперативный ввод'!T762="","",'Оперативный ввод'!T762)</f>
        <v/>
      </c>
      <c r="W762" s="172" t="n"/>
      <c r="X762" s="172" t="n"/>
      <c r="Y762" s="172" t="n"/>
      <c r="Z762" s="172" t="n"/>
      <c r="AA762" s="172">
        <f>IF('Оперативный ввод'!U762="","",'Оперативный ввод'!U762)</f>
        <v/>
      </c>
      <c r="AB762" s="172">
        <f>IF('Оперативный ввод'!V762="","",'Оперативный ввод'!V762)</f>
        <v/>
      </c>
      <c r="AC762" s="172">
        <f>IF('Оперативный ввод'!W762="","",'Оперативный ввод'!W762)</f>
        <v/>
      </c>
      <c r="BB762" s="172" t="n"/>
      <c r="BC762" s="172" t="n"/>
      <c r="BD762" s="205">
        <f>IF(AND(A762="",B762=""),"",IF(AND(P762="ГОТОВО",R762&lt;&gt;"",T762&lt;&gt;"",U762&lt;&gt;"",AA762&lt;&gt;"",AB762&lt;&gt;"",AC762&lt;&gt;"",BB762&lt;&gt;"",BC762&lt;&gt;""),"ГОТОВО","НЕ ГОТОВО"))</f>
        <v/>
      </c>
      <c r="BE762" s="205">
        <f>IF(BD762&lt;&gt;"ГОТОВО","","Полное заключение: "&amp;A762&amp;", скв. "&amp;B762&amp;". МРП: "&amp;E762&amp;" сут. ГНО: "&amp;F762&amp;"; причина: "&amp;U762&amp;"; категория: "&amp;V762&amp;"; решение комиссии: "&amp;BB762&amp;".")</f>
        <v/>
      </c>
      <c r="BF762" s="173">
        <f>IF('Оперативный ввод'!X762="","",'Оперативный ввод'!X762)</f>
        <v/>
      </c>
    </row>
    <row r="763">
      <c r="A763" s="171">
        <f>IF('Оперативный ввод'!A763="","",'Оперативный ввод'!A763)</f>
        <v/>
      </c>
      <c r="B763" s="172">
        <f>IF('Оперативный ввод'!B763="","",'Оперативный ввод'!B763)</f>
        <v/>
      </c>
      <c r="C763" s="270">
        <f>IF('Оперативный ввод'!C763="","",'Оперативный ввод'!C763)</f>
        <v/>
      </c>
      <c r="D763" s="270">
        <f>IF('Оперативный ввод'!D763="","",'Оперативный ввод'!D763)</f>
        <v/>
      </c>
      <c r="E763" s="271">
        <f>IF(OR(C763="",D763=""),"",D763-C763)</f>
        <v/>
      </c>
      <c r="F763" s="172">
        <f>IF('Оперативный ввод'!F763="","",'Оперативный ввод'!F763)</f>
        <v/>
      </c>
      <c r="G763" s="172">
        <f>IF('Оперативный ввод'!G763="","",'Оперативный ввод'!G763)</f>
        <v/>
      </c>
      <c r="H763" s="172">
        <f>IF('Оперативный ввод'!H763="","",'Оперативный ввод'!H763)</f>
        <v/>
      </c>
      <c r="I763" s="172">
        <f>IF('Оперативный ввод'!I763="","",'Оперативный ввод'!I763)</f>
        <v/>
      </c>
      <c r="J763" s="172">
        <f>IF('Оперативный ввод'!J763="","",'Оперативный ввод'!J763)</f>
        <v/>
      </c>
      <c r="K763" s="172">
        <f>IF('Оперативный ввод'!K763="","",'Оперативный ввод'!K763)</f>
        <v/>
      </c>
      <c r="L763" s="172">
        <f>IF('Оперативный ввод'!L763="","",'Оперативный ввод'!L763)</f>
        <v/>
      </c>
      <c r="M763" s="172">
        <f>IF('Оперативный ввод'!M763="","",'Оперативный ввод'!M763)</f>
        <v/>
      </c>
      <c r="N763" s="172">
        <f>IF('Оперативный ввод'!N763="","",'Оперативный ввод'!N763)</f>
        <v/>
      </c>
      <c r="O763" s="172">
        <f>IF('Оперативный ввод'!O763="","",'Оперативный ввод'!O763)</f>
        <v/>
      </c>
      <c r="P763" s="205">
        <f>IF(AND(A763="",B763=""),"",IF(AND(A763&lt;&gt;"",B763&lt;&gt;"",C763&lt;&gt;"",D763&lt;&gt;"",F763&lt;&gt;"",G763&lt;&gt;"",H763&lt;&gt;"",ISERROR(SEARCH("по паспорту",G763)),ISERROR(SEARCH("по паспорту",H763)),I763&lt;&gt;"",J763&lt;&gt;"",K763&lt;&gt;"",L763&lt;&gt;"",M763&lt;&gt;""),"ГОТОВО","НЕ ГОТОВО"))</f>
        <v/>
      </c>
      <c r="Q763" s="205">
        <f>IF(P763&lt;&gt;"ГОТОВО","", "Предварительное заключение: "&amp;A763&amp;", скв. "&amp;B763&amp;". МРП: "&amp;E763&amp;" сут. ГНО: "&amp;F763&amp;", типоразмер "&amp;G763&amp;", марка "&amp;H763&amp;". Событие: "&amp;I763&amp;". Признак: "&amp;J763&amp;". Узел: "&amp;K763&amp;". Предварительная причина: "&amp;L763&amp;". Основное осложнение: "&amp;M763&amp;IF(N763&lt;&gt;"","; сопутствующее: "&amp;N763,"")&amp;IF(O763&lt;&gt;"","; дополнительно: "&amp;O763,"")&amp;".")</f>
        <v/>
      </c>
      <c r="R763" s="172">
        <f>IF('Оперативный ввод'!P763="","",'Оперативный ввод'!P763)</f>
        <v/>
      </c>
      <c r="S763" s="172">
        <f>IF('Оперативный ввод'!Q763="","",'Оперативный ввод'!Q763)</f>
        <v/>
      </c>
      <c r="T763" s="172">
        <f>IF('Оперативный ввод'!R763="","",'Оперативный ввод'!R763)</f>
        <v/>
      </c>
      <c r="U763" s="172">
        <f>IF('Оперативный ввод'!S763="","",'Оперативный ввод'!S763)</f>
        <v/>
      </c>
      <c r="V763" s="172">
        <f>IF('Оперативный ввод'!T763="","",'Оперативный ввод'!T763)</f>
        <v/>
      </c>
      <c r="W763" s="172" t="n"/>
      <c r="X763" s="172" t="n"/>
      <c r="Y763" s="172" t="n"/>
      <c r="Z763" s="172" t="n"/>
      <c r="AA763" s="172">
        <f>IF('Оперативный ввод'!U763="","",'Оперативный ввод'!U763)</f>
        <v/>
      </c>
      <c r="AB763" s="172">
        <f>IF('Оперативный ввод'!V763="","",'Оперативный ввод'!V763)</f>
        <v/>
      </c>
      <c r="AC763" s="172">
        <f>IF('Оперативный ввод'!W763="","",'Оперативный ввод'!W763)</f>
        <v/>
      </c>
      <c r="BB763" s="172" t="n"/>
      <c r="BC763" s="172" t="n"/>
      <c r="BD763" s="205">
        <f>IF(AND(A763="",B763=""),"",IF(AND(P763="ГОТОВО",R763&lt;&gt;"",T763&lt;&gt;"",U763&lt;&gt;"",AA763&lt;&gt;"",AB763&lt;&gt;"",AC763&lt;&gt;"",BB763&lt;&gt;"",BC763&lt;&gt;""),"ГОТОВО","НЕ ГОТОВО"))</f>
        <v/>
      </c>
      <c r="BE763" s="205">
        <f>IF(BD763&lt;&gt;"ГОТОВО","","Полное заключение: "&amp;A763&amp;", скв. "&amp;B763&amp;". МРП: "&amp;E763&amp;" сут. ГНО: "&amp;F763&amp;"; причина: "&amp;U763&amp;"; категория: "&amp;V763&amp;"; решение комиссии: "&amp;BB763&amp;".")</f>
        <v/>
      </c>
      <c r="BF763" s="173">
        <f>IF('Оперативный ввод'!X763="","",'Оперативный ввод'!X763)</f>
        <v/>
      </c>
    </row>
    <row r="764">
      <c r="A764" s="171">
        <f>IF('Оперативный ввод'!A764="","",'Оперативный ввод'!A764)</f>
        <v/>
      </c>
      <c r="B764" s="172">
        <f>IF('Оперативный ввод'!B764="","",'Оперативный ввод'!B764)</f>
        <v/>
      </c>
      <c r="C764" s="270">
        <f>IF('Оперативный ввод'!C764="","",'Оперативный ввод'!C764)</f>
        <v/>
      </c>
      <c r="D764" s="270">
        <f>IF('Оперативный ввод'!D764="","",'Оперативный ввод'!D764)</f>
        <v/>
      </c>
      <c r="E764" s="271">
        <f>IF(OR(C764="",D764=""),"",D764-C764)</f>
        <v/>
      </c>
      <c r="F764" s="172">
        <f>IF('Оперативный ввод'!F764="","",'Оперативный ввод'!F764)</f>
        <v/>
      </c>
      <c r="G764" s="172">
        <f>IF('Оперативный ввод'!G764="","",'Оперативный ввод'!G764)</f>
        <v/>
      </c>
      <c r="H764" s="172">
        <f>IF('Оперативный ввод'!H764="","",'Оперативный ввод'!H764)</f>
        <v/>
      </c>
      <c r="I764" s="172">
        <f>IF('Оперативный ввод'!I764="","",'Оперативный ввод'!I764)</f>
        <v/>
      </c>
      <c r="J764" s="172">
        <f>IF('Оперативный ввод'!J764="","",'Оперативный ввод'!J764)</f>
        <v/>
      </c>
      <c r="K764" s="172">
        <f>IF('Оперативный ввод'!K764="","",'Оперативный ввод'!K764)</f>
        <v/>
      </c>
      <c r="L764" s="172">
        <f>IF('Оперативный ввод'!L764="","",'Оперативный ввод'!L764)</f>
        <v/>
      </c>
      <c r="M764" s="172">
        <f>IF('Оперативный ввод'!M764="","",'Оперативный ввод'!M764)</f>
        <v/>
      </c>
      <c r="N764" s="172">
        <f>IF('Оперативный ввод'!N764="","",'Оперативный ввод'!N764)</f>
        <v/>
      </c>
      <c r="O764" s="172">
        <f>IF('Оперативный ввод'!O764="","",'Оперативный ввод'!O764)</f>
        <v/>
      </c>
      <c r="P764" s="205">
        <f>IF(AND(A764="",B764=""),"",IF(AND(A764&lt;&gt;"",B764&lt;&gt;"",C764&lt;&gt;"",D764&lt;&gt;"",F764&lt;&gt;"",G764&lt;&gt;"",H764&lt;&gt;"",ISERROR(SEARCH("по паспорту",G764)),ISERROR(SEARCH("по паспорту",H764)),I764&lt;&gt;"",J764&lt;&gt;"",K764&lt;&gt;"",L764&lt;&gt;"",M764&lt;&gt;""),"ГОТОВО","НЕ ГОТОВО"))</f>
        <v/>
      </c>
      <c r="Q764" s="205">
        <f>IF(P764&lt;&gt;"ГОТОВО","", "Предварительное заключение: "&amp;A764&amp;", скв. "&amp;B764&amp;". МРП: "&amp;E764&amp;" сут. ГНО: "&amp;F764&amp;", типоразмер "&amp;G764&amp;", марка "&amp;H764&amp;". Событие: "&amp;I764&amp;". Признак: "&amp;J764&amp;". Узел: "&amp;K764&amp;". Предварительная причина: "&amp;L764&amp;". Основное осложнение: "&amp;M764&amp;IF(N764&lt;&gt;"","; сопутствующее: "&amp;N764,"")&amp;IF(O764&lt;&gt;"","; дополнительно: "&amp;O764,"")&amp;".")</f>
        <v/>
      </c>
      <c r="R764" s="172">
        <f>IF('Оперативный ввод'!P764="","",'Оперативный ввод'!P764)</f>
        <v/>
      </c>
      <c r="S764" s="172">
        <f>IF('Оперативный ввод'!Q764="","",'Оперативный ввод'!Q764)</f>
        <v/>
      </c>
      <c r="T764" s="172">
        <f>IF('Оперативный ввод'!R764="","",'Оперативный ввод'!R764)</f>
        <v/>
      </c>
      <c r="U764" s="172">
        <f>IF('Оперативный ввод'!S764="","",'Оперативный ввод'!S764)</f>
        <v/>
      </c>
      <c r="V764" s="172">
        <f>IF('Оперативный ввод'!T764="","",'Оперативный ввод'!T764)</f>
        <v/>
      </c>
      <c r="W764" s="172" t="n"/>
      <c r="X764" s="172" t="n"/>
      <c r="Y764" s="172" t="n"/>
      <c r="Z764" s="172" t="n"/>
      <c r="AA764" s="172">
        <f>IF('Оперативный ввод'!U764="","",'Оперативный ввод'!U764)</f>
        <v/>
      </c>
      <c r="AB764" s="172">
        <f>IF('Оперативный ввод'!V764="","",'Оперативный ввод'!V764)</f>
        <v/>
      </c>
      <c r="AC764" s="172">
        <f>IF('Оперативный ввод'!W764="","",'Оперативный ввод'!W764)</f>
        <v/>
      </c>
      <c r="BB764" s="172" t="n"/>
      <c r="BC764" s="172" t="n"/>
      <c r="BD764" s="205">
        <f>IF(AND(A764="",B764=""),"",IF(AND(P764="ГОТОВО",R764&lt;&gt;"",T764&lt;&gt;"",U764&lt;&gt;"",AA764&lt;&gt;"",AB764&lt;&gt;"",AC764&lt;&gt;"",BB764&lt;&gt;"",BC764&lt;&gt;""),"ГОТОВО","НЕ ГОТОВО"))</f>
        <v/>
      </c>
      <c r="BE764" s="205">
        <f>IF(BD764&lt;&gt;"ГОТОВО","","Полное заключение: "&amp;A764&amp;", скв. "&amp;B764&amp;". МРП: "&amp;E764&amp;" сут. ГНО: "&amp;F764&amp;"; причина: "&amp;U764&amp;"; категория: "&amp;V764&amp;"; решение комиссии: "&amp;BB764&amp;".")</f>
        <v/>
      </c>
      <c r="BF764" s="173">
        <f>IF('Оперативный ввод'!X764="","",'Оперативный ввод'!X764)</f>
        <v/>
      </c>
    </row>
    <row r="765">
      <c r="A765" s="171">
        <f>IF('Оперативный ввод'!A765="","",'Оперативный ввод'!A765)</f>
        <v/>
      </c>
      <c r="B765" s="172">
        <f>IF('Оперативный ввод'!B765="","",'Оперативный ввод'!B765)</f>
        <v/>
      </c>
      <c r="C765" s="270">
        <f>IF('Оперативный ввод'!C765="","",'Оперативный ввод'!C765)</f>
        <v/>
      </c>
      <c r="D765" s="270">
        <f>IF('Оперативный ввод'!D765="","",'Оперативный ввод'!D765)</f>
        <v/>
      </c>
      <c r="E765" s="271">
        <f>IF(OR(C765="",D765=""),"",D765-C765)</f>
        <v/>
      </c>
      <c r="F765" s="172">
        <f>IF('Оперативный ввод'!F765="","",'Оперативный ввод'!F765)</f>
        <v/>
      </c>
      <c r="G765" s="172">
        <f>IF('Оперативный ввод'!G765="","",'Оперативный ввод'!G765)</f>
        <v/>
      </c>
      <c r="H765" s="172">
        <f>IF('Оперативный ввод'!H765="","",'Оперативный ввод'!H765)</f>
        <v/>
      </c>
      <c r="I765" s="172">
        <f>IF('Оперативный ввод'!I765="","",'Оперативный ввод'!I765)</f>
        <v/>
      </c>
      <c r="J765" s="172">
        <f>IF('Оперативный ввод'!J765="","",'Оперативный ввод'!J765)</f>
        <v/>
      </c>
      <c r="K765" s="172">
        <f>IF('Оперативный ввод'!K765="","",'Оперативный ввод'!K765)</f>
        <v/>
      </c>
      <c r="L765" s="172">
        <f>IF('Оперативный ввод'!L765="","",'Оперативный ввод'!L765)</f>
        <v/>
      </c>
      <c r="M765" s="172">
        <f>IF('Оперативный ввод'!M765="","",'Оперативный ввод'!M765)</f>
        <v/>
      </c>
      <c r="N765" s="172">
        <f>IF('Оперативный ввод'!N765="","",'Оперативный ввод'!N765)</f>
        <v/>
      </c>
      <c r="O765" s="172">
        <f>IF('Оперативный ввод'!O765="","",'Оперативный ввод'!O765)</f>
        <v/>
      </c>
      <c r="P765" s="205">
        <f>IF(AND(A765="",B765=""),"",IF(AND(A765&lt;&gt;"",B765&lt;&gt;"",C765&lt;&gt;"",D765&lt;&gt;"",F765&lt;&gt;"",G765&lt;&gt;"",H765&lt;&gt;"",ISERROR(SEARCH("по паспорту",G765)),ISERROR(SEARCH("по паспорту",H765)),I765&lt;&gt;"",J765&lt;&gt;"",K765&lt;&gt;"",L765&lt;&gt;"",M765&lt;&gt;""),"ГОТОВО","НЕ ГОТОВО"))</f>
        <v/>
      </c>
      <c r="Q765" s="205">
        <f>IF(P765&lt;&gt;"ГОТОВО","", "Предварительное заключение: "&amp;A765&amp;", скв. "&amp;B765&amp;". МРП: "&amp;E765&amp;" сут. ГНО: "&amp;F765&amp;", типоразмер "&amp;G765&amp;", марка "&amp;H765&amp;". Событие: "&amp;I765&amp;". Признак: "&amp;J765&amp;". Узел: "&amp;K765&amp;". Предварительная причина: "&amp;L765&amp;". Основное осложнение: "&amp;M765&amp;IF(N765&lt;&gt;"","; сопутствующее: "&amp;N765,"")&amp;IF(O765&lt;&gt;"","; дополнительно: "&amp;O765,"")&amp;".")</f>
        <v/>
      </c>
      <c r="R765" s="172">
        <f>IF('Оперативный ввод'!P765="","",'Оперативный ввод'!P765)</f>
        <v/>
      </c>
      <c r="S765" s="172">
        <f>IF('Оперативный ввод'!Q765="","",'Оперативный ввод'!Q765)</f>
        <v/>
      </c>
      <c r="T765" s="172">
        <f>IF('Оперативный ввод'!R765="","",'Оперативный ввод'!R765)</f>
        <v/>
      </c>
      <c r="U765" s="172">
        <f>IF('Оперативный ввод'!S765="","",'Оперативный ввод'!S765)</f>
        <v/>
      </c>
      <c r="V765" s="172">
        <f>IF('Оперативный ввод'!T765="","",'Оперативный ввод'!T765)</f>
        <v/>
      </c>
      <c r="W765" s="172" t="n"/>
      <c r="X765" s="172" t="n"/>
      <c r="Y765" s="172" t="n"/>
      <c r="Z765" s="172" t="n"/>
      <c r="AA765" s="172">
        <f>IF('Оперативный ввод'!U765="","",'Оперативный ввод'!U765)</f>
        <v/>
      </c>
      <c r="AB765" s="172">
        <f>IF('Оперативный ввод'!V765="","",'Оперативный ввод'!V765)</f>
        <v/>
      </c>
      <c r="AC765" s="172">
        <f>IF('Оперативный ввод'!W765="","",'Оперативный ввод'!W765)</f>
        <v/>
      </c>
      <c r="BB765" s="172" t="n"/>
      <c r="BC765" s="172" t="n"/>
      <c r="BD765" s="205">
        <f>IF(AND(A765="",B765=""),"",IF(AND(P765="ГОТОВО",R765&lt;&gt;"",T765&lt;&gt;"",U765&lt;&gt;"",AA765&lt;&gt;"",AB765&lt;&gt;"",AC765&lt;&gt;"",BB765&lt;&gt;"",BC765&lt;&gt;""),"ГОТОВО","НЕ ГОТОВО"))</f>
        <v/>
      </c>
      <c r="BE765" s="205">
        <f>IF(BD765&lt;&gt;"ГОТОВО","","Полное заключение: "&amp;A765&amp;", скв. "&amp;B765&amp;". МРП: "&amp;E765&amp;" сут. ГНО: "&amp;F765&amp;"; причина: "&amp;U765&amp;"; категория: "&amp;V765&amp;"; решение комиссии: "&amp;BB765&amp;".")</f>
        <v/>
      </c>
      <c r="BF765" s="173">
        <f>IF('Оперативный ввод'!X765="","",'Оперативный ввод'!X765)</f>
        <v/>
      </c>
    </row>
    <row r="766">
      <c r="A766" s="171">
        <f>IF('Оперативный ввод'!A766="","",'Оперативный ввод'!A766)</f>
        <v/>
      </c>
      <c r="B766" s="172">
        <f>IF('Оперативный ввод'!B766="","",'Оперативный ввод'!B766)</f>
        <v/>
      </c>
      <c r="C766" s="270">
        <f>IF('Оперативный ввод'!C766="","",'Оперативный ввод'!C766)</f>
        <v/>
      </c>
      <c r="D766" s="270">
        <f>IF('Оперативный ввод'!D766="","",'Оперативный ввод'!D766)</f>
        <v/>
      </c>
      <c r="E766" s="271">
        <f>IF(OR(C766="",D766=""),"",D766-C766)</f>
        <v/>
      </c>
      <c r="F766" s="172">
        <f>IF('Оперативный ввод'!F766="","",'Оперативный ввод'!F766)</f>
        <v/>
      </c>
      <c r="G766" s="172">
        <f>IF('Оперативный ввод'!G766="","",'Оперативный ввод'!G766)</f>
        <v/>
      </c>
      <c r="H766" s="172">
        <f>IF('Оперативный ввод'!H766="","",'Оперативный ввод'!H766)</f>
        <v/>
      </c>
      <c r="I766" s="172">
        <f>IF('Оперативный ввод'!I766="","",'Оперативный ввод'!I766)</f>
        <v/>
      </c>
      <c r="J766" s="172">
        <f>IF('Оперативный ввод'!J766="","",'Оперативный ввод'!J766)</f>
        <v/>
      </c>
      <c r="K766" s="172">
        <f>IF('Оперативный ввод'!K766="","",'Оперативный ввод'!K766)</f>
        <v/>
      </c>
      <c r="L766" s="172">
        <f>IF('Оперативный ввод'!L766="","",'Оперативный ввод'!L766)</f>
        <v/>
      </c>
      <c r="M766" s="172">
        <f>IF('Оперативный ввод'!M766="","",'Оперативный ввод'!M766)</f>
        <v/>
      </c>
      <c r="N766" s="172">
        <f>IF('Оперативный ввод'!N766="","",'Оперативный ввод'!N766)</f>
        <v/>
      </c>
      <c r="O766" s="172">
        <f>IF('Оперативный ввод'!O766="","",'Оперативный ввод'!O766)</f>
        <v/>
      </c>
      <c r="P766" s="205">
        <f>IF(AND(A766="",B766=""),"",IF(AND(A766&lt;&gt;"",B766&lt;&gt;"",C766&lt;&gt;"",D766&lt;&gt;"",F766&lt;&gt;"",G766&lt;&gt;"",H766&lt;&gt;"",ISERROR(SEARCH("по паспорту",G766)),ISERROR(SEARCH("по паспорту",H766)),I766&lt;&gt;"",J766&lt;&gt;"",K766&lt;&gt;"",L766&lt;&gt;"",M766&lt;&gt;""),"ГОТОВО","НЕ ГОТОВО"))</f>
        <v/>
      </c>
      <c r="Q766" s="205">
        <f>IF(P766&lt;&gt;"ГОТОВО","", "Предварительное заключение: "&amp;A766&amp;", скв. "&amp;B766&amp;". МРП: "&amp;E766&amp;" сут. ГНО: "&amp;F766&amp;", типоразмер "&amp;G766&amp;", марка "&amp;H766&amp;". Событие: "&amp;I766&amp;". Признак: "&amp;J766&amp;". Узел: "&amp;K766&amp;". Предварительная причина: "&amp;L766&amp;". Основное осложнение: "&amp;M766&amp;IF(N766&lt;&gt;"","; сопутствующее: "&amp;N766,"")&amp;IF(O766&lt;&gt;"","; дополнительно: "&amp;O766,"")&amp;".")</f>
        <v/>
      </c>
      <c r="R766" s="172">
        <f>IF('Оперативный ввод'!P766="","",'Оперативный ввод'!P766)</f>
        <v/>
      </c>
      <c r="S766" s="172">
        <f>IF('Оперативный ввод'!Q766="","",'Оперативный ввод'!Q766)</f>
        <v/>
      </c>
      <c r="T766" s="172">
        <f>IF('Оперативный ввод'!R766="","",'Оперативный ввод'!R766)</f>
        <v/>
      </c>
      <c r="U766" s="172">
        <f>IF('Оперативный ввод'!S766="","",'Оперативный ввод'!S766)</f>
        <v/>
      </c>
      <c r="V766" s="172">
        <f>IF('Оперативный ввод'!T766="","",'Оперативный ввод'!T766)</f>
        <v/>
      </c>
      <c r="W766" s="172" t="n"/>
      <c r="X766" s="172" t="n"/>
      <c r="Y766" s="172" t="n"/>
      <c r="Z766" s="172" t="n"/>
      <c r="AA766" s="172">
        <f>IF('Оперативный ввод'!U766="","",'Оперативный ввод'!U766)</f>
        <v/>
      </c>
      <c r="AB766" s="172">
        <f>IF('Оперативный ввод'!V766="","",'Оперативный ввод'!V766)</f>
        <v/>
      </c>
      <c r="AC766" s="172">
        <f>IF('Оперативный ввод'!W766="","",'Оперативный ввод'!W766)</f>
        <v/>
      </c>
      <c r="BB766" s="172" t="n"/>
      <c r="BC766" s="172" t="n"/>
      <c r="BD766" s="205">
        <f>IF(AND(A766="",B766=""),"",IF(AND(P766="ГОТОВО",R766&lt;&gt;"",T766&lt;&gt;"",U766&lt;&gt;"",AA766&lt;&gt;"",AB766&lt;&gt;"",AC766&lt;&gt;"",BB766&lt;&gt;"",BC766&lt;&gt;""),"ГОТОВО","НЕ ГОТОВО"))</f>
        <v/>
      </c>
      <c r="BE766" s="205">
        <f>IF(BD766&lt;&gt;"ГОТОВО","","Полное заключение: "&amp;A766&amp;", скв. "&amp;B766&amp;". МРП: "&amp;E766&amp;" сут. ГНО: "&amp;F766&amp;"; причина: "&amp;U766&amp;"; категория: "&amp;V766&amp;"; решение комиссии: "&amp;BB766&amp;".")</f>
        <v/>
      </c>
      <c r="BF766" s="173">
        <f>IF('Оперативный ввод'!X766="","",'Оперативный ввод'!X766)</f>
        <v/>
      </c>
    </row>
    <row r="767">
      <c r="A767" s="171">
        <f>IF('Оперативный ввод'!A767="","",'Оперативный ввод'!A767)</f>
        <v/>
      </c>
      <c r="B767" s="172">
        <f>IF('Оперативный ввод'!B767="","",'Оперативный ввод'!B767)</f>
        <v/>
      </c>
      <c r="C767" s="270">
        <f>IF('Оперативный ввод'!C767="","",'Оперативный ввод'!C767)</f>
        <v/>
      </c>
      <c r="D767" s="270">
        <f>IF('Оперативный ввод'!D767="","",'Оперативный ввод'!D767)</f>
        <v/>
      </c>
      <c r="E767" s="271">
        <f>IF(OR(C767="",D767=""),"",D767-C767)</f>
        <v/>
      </c>
      <c r="F767" s="172">
        <f>IF('Оперативный ввод'!F767="","",'Оперативный ввод'!F767)</f>
        <v/>
      </c>
      <c r="G767" s="172">
        <f>IF('Оперативный ввод'!G767="","",'Оперативный ввод'!G767)</f>
        <v/>
      </c>
      <c r="H767" s="172">
        <f>IF('Оперативный ввод'!H767="","",'Оперативный ввод'!H767)</f>
        <v/>
      </c>
      <c r="I767" s="172">
        <f>IF('Оперативный ввод'!I767="","",'Оперативный ввод'!I767)</f>
        <v/>
      </c>
      <c r="J767" s="172">
        <f>IF('Оперативный ввод'!J767="","",'Оперативный ввод'!J767)</f>
        <v/>
      </c>
      <c r="K767" s="172">
        <f>IF('Оперативный ввод'!K767="","",'Оперативный ввод'!K767)</f>
        <v/>
      </c>
      <c r="L767" s="172">
        <f>IF('Оперативный ввод'!L767="","",'Оперативный ввод'!L767)</f>
        <v/>
      </c>
      <c r="M767" s="172">
        <f>IF('Оперативный ввод'!M767="","",'Оперативный ввод'!M767)</f>
        <v/>
      </c>
      <c r="N767" s="172">
        <f>IF('Оперативный ввод'!N767="","",'Оперативный ввод'!N767)</f>
        <v/>
      </c>
      <c r="O767" s="172">
        <f>IF('Оперативный ввод'!O767="","",'Оперативный ввод'!O767)</f>
        <v/>
      </c>
      <c r="P767" s="205">
        <f>IF(AND(A767="",B767=""),"",IF(AND(A767&lt;&gt;"",B767&lt;&gt;"",C767&lt;&gt;"",D767&lt;&gt;"",F767&lt;&gt;"",G767&lt;&gt;"",H767&lt;&gt;"",ISERROR(SEARCH("по паспорту",G767)),ISERROR(SEARCH("по паспорту",H767)),I767&lt;&gt;"",J767&lt;&gt;"",K767&lt;&gt;"",L767&lt;&gt;"",M767&lt;&gt;""),"ГОТОВО","НЕ ГОТОВО"))</f>
        <v/>
      </c>
      <c r="Q767" s="205">
        <f>IF(P767&lt;&gt;"ГОТОВО","", "Предварительное заключение: "&amp;A767&amp;", скв. "&amp;B767&amp;". МРП: "&amp;E767&amp;" сут. ГНО: "&amp;F767&amp;", типоразмер "&amp;G767&amp;", марка "&amp;H767&amp;". Событие: "&amp;I767&amp;". Признак: "&amp;J767&amp;". Узел: "&amp;K767&amp;". Предварительная причина: "&amp;L767&amp;". Основное осложнение: "&amp;M767&amp;IF(N767&lt;&gt;"","; сопутствующее: "&amp;N767,"")&amp;IF(O767&lt;&gt;"","; дополнительно: "&amp;O767,"")&amp;".")</f>
        <v/>
      </c>
      <c r="R767" s="172">
        <f>IF('Оперативный ввод'!P767="","",'Оперативный ввод'!P767)</f>
        <v/>
      </c>
      <c r="S767" s="172">
        <f>IF('Оперативный ввод'!Q767="","",'Оперативный ввод'!Q767)</f>
        <v/>
      </c>
      <c r="T767" s="172">
        <f>IF('Оперативный ввод'!R767="","",'Оперативный ввод'!R767)</f>
        <v/>
      </c>
      <c r="U767" s="172">
        <f>IF('Оперативный ввод'!S767="","",'Оперативный ввод'!S767)</f>
        <v/>
      </c>
      <c r="V767" s="172">
        <f>IF('Оперативный ввод'!T767="","",'Оперативный ввод'!T767)</f>
        <v/>
      </c>
      <c r="W767" s="172" t="n"/>
      <c r="X767" s="172" t="n"/>
      <c r="Y767" s="172" t="n"/>
      <c r="Z767" s="172" t="n"/>
      <c r="AA767" s="172">
        <f>IF('Оперативный ввод'!U767="","",'Оперативный ввод'!U767)</f>
        <v/>
      </c>
      <c r="AB767" s="172">
        <f>IF('Оперативный ввод'!V767="","",'Оперативный ввод'!V767)</f>
        <v/>
      </c>
      <c r="AC767" s="172">
        <f>IF('Оперативный ввод'!W767="","",'Оперативный ввод'!W767)</f>
        <v/>
      </c>
      <c r="BB767" s="172" t="n"/>
      <c r="BC767" s="172" t="n"/>
      <c r="BD767" s="205">
        <f>IF(AND(A767="",B767=""),"",IF(AND(P767="ГОТОВО",R767&lt;&gt;"",T767&lt;&gt;"",U767&lt;&gt;"",AA767&lt;&gt;"",AB767&lt;&gt;"",AC767&lt;&gt;"",BB767&lt;&gt;"",BC767&lt;&gt;""),"ГОТОВО","НЕ ГОТОВО"))</f>
        <v/>
      </c>
      <c r="BE767" s="205">
        <f>IF(BD767&lt;&gt;"ГОТОВО","","Полное заключение: "&amp;A767&amp;", скв. "&amp;B767&amp;". МРП: "&amp;E767&amp;" сут. ГНО: "&amp;F767&amp;"; причина: "&amp;U767&amp;"; категория: "&amp;V767&amp;"; решение комиссии: "&amp;BB767&amp;".")</f>
        <v/>
      </c>
      <c r="BF767" s="173">
        <f>IF('Оперативный ввод'!X767="","",'Оперативный ввод'!X767)</f>
        <v/>
      </c>
    </row>
    <row r="768">
      <c r="A768" s="171">
        <f>IF('Оперативный ввод'!A768="","",'Оперативный ввод'!A768)</f>
        <v/>
      </c>
      <c r="B768" s="172">
        <f>IF('Оперативный ввод'!B768="","",'Оперативный ввод'!B768)</f>
        <v/>
      </c>
      <c r="C768" s="270">
        <f>IF('Оперативный ввод'!C768="","",'Оперативный ввод'!C768)</f>
        <v/>
      </c>
      <c r="D768" s="270">
        <f>IF('Оперативный ввод'!D768="","",'Оперативный ввод'!D768)</f>
        <v/>
      </c>
      <c r="E768" s="271">
        <f>IF(OR(C768="",D768=""),"",D768-C768)</f>
        <v/>
      </c>
      <c r="F768" s="172">
        <f>IF('Оперативный ввод'!F768="","",'Оперативный ввод'!F768)</f>
        <v/>
      </c>
      <c r="G768" s="172">
        <f>IF('Оперативный ввод'!G768="","",'Оперативный ввод'!G768)</f>
        <v/>
      </c>
      <c r="H768" s="172">
        <f>IF('Оперативный ввод'!H768="","",'Оперативный ввод'!H768)</f>
        <v/>
      </c>
      <c r="I768" s="172">
        <f>IF('Оперативный ввод'!I768="","",'Оперативный ввод'!I768)</f>
        <v/>
      </c>
      <c r="J768" s="172">
        <f>IF('Оперативный ввод'!J768="","",'Оперативный ввод'!J768)</f>
        <v/>
      </c>
      <c r="K768" s="172">
        <f>IF('Оперативный ввод'!K768="","",'Оперативный ввод'!K768)</f>
        <v/>
      </c>
      <c r="L768" s="172">
        <f>IF('Оперативный ввод'!L768="","",'Оперативный ввод'!L768)</f>
        <v/>
      </c>
      <c r="M768" s="172">
        <f>IF('Оперативный ввод'!M768="","",'Оперативный ввод'!M768)</f>
        <v/>
      </c>
      <c r="N768" s="172">
        <f>IF('Оперативный ввод'!N768="","",'Оперативный ввод'!N768)</f>
        <v/>
      </c>
      <c r="O768" s="172">
        <f>IF('Оперативный ввод'!O768="","",'Оперативный ввод'!O768)</f>
        <v/>
      </c>
      <c r="P768" s="205">
        <f>IF(AND(A768="",B768=""),"",IF(AND(A768&lt;&gt;"",B768&lt;&gt;"",C768&lt;&gt;"",D768&lt;&gt;"",F768&lt;&gt;"",G768&lt;&gt;"",H768&lt;&gt;"",ISERROR(SEARCH("по паспорту",G768)),ISERROR(SEARCH("по паспорту",H768)),I768&lt;&gt;"",J768&lt;&gt;"",K768&lt;&gt;"",L768&lt;&gt;"",M768&lt;&gt;""),"ГОТОВО","НЕ ГОТОВО"))</f>
        <v/>
      </c>
      <c r="Q768" s="205">
        <f>IF(P768&lt;&gt;"ГОТОВО","", "Предварительное заключение: "&amp;A768&amp;", скв. "&amp;B768&amp;". МРП: "&amp;E768&amp;" сут. ГНО: "&amp;F768&amp;", типоразмер "&amp;G768&amp;", марка "&amp;H768&amp;". Событие: "&amp;I768&amp;". Признак: "&amp;J768&amp;". Узел: "&amp;K768&amp;". Предварительная причина: "&amp;L768&amp;". Основное осложнение: "&amp;M768&amp;IF(N768&lt;&gt;"","; сопутствующее: "&amp;N768,"")&amp;IF(O768&lt;&gt;"","; дополнительно: "&amp;O768,"")&amp;".")</f>
        <v/>
      </c>
      <c r="R768" s="172">
        <f>IF('Оперативный ввод'!P768="","",'Оперативный ввод'!P768)</f>
        <v/>
      </c>
      <c r="S768" s="172">
        <f>IF('Оперативный ввод'!Q768="","",'Оперативный ввод'!Q768)</f>
        <v/>
      </c>
      <c r="T768" s="172">
        <f>IF('Оперативный ввод'!R768="","",'Оперативный ввод'!R768)</f>
        <v/>
      </c>
      <c r="U768" s="172">
        <f>IF('Оперативный ввод'!S768="","",'Оперативный ввод'!S768)</f>
        <v/>
      </c>
      <c r="V768" s="172">
        <f>IF('Оперативный ввод'!T768="","",'Оперативный ввод'!T768)</f>
        <v/>
      </c>
      <c r="W768" s="172" t="n"/>
      <c r="X768" s="172" t="n"/>
      <c r="Y768" s="172" t="n"/>
      <c r="Z768" s="172" t="n"/>
      <c r="AA768" s="172">
        <f>IF('Оперативный ввод'!U768="","",'Оперативный ввод'!U768)</f>
        <v/>
      </c>
      <c r="AB768" s="172">
        <f>IF('Оперативный ввод'!V768="","",'Оперативный ввод'!V768)</f>
        <v/>
      </c>
      <c r="AC768" s="172">
        <f>IF('Оперативный ввод'!W768="","",'Оперативный ввод'!W768)</f>
        <v/>
      </c>
      <c r="BB768" s="172" t="n"/>
      <c r="BC768" s="172" t="n"/>
      <c r="BD768" s="205">
        <f>IF(AND(A768="",B768=""),"",IF(AND(P768="ГОТОВО",R768&lt;&gt;"",T768&lt;&gt;"",U768&lt;&gt;"",AA768&lt;&gt;"",AB768&lt;&gt;"",AC768&lt;&gt;"",BB768&lt;&gt;"",BC768&lt;&gt;""),"ГОТОВО","НЕ ГОТОВО"))</f>
        <v/>
      </c>
      <c r="BE768" s="205">
        <f>IF(BD768&lt;&gt;"ГОТОВО","","Полное заключение: "&amp;A768&amp;", скв. "&amp;B768&amp;". МРП: "&amp;E768&amp;" сут. ГНО: "&amp;F768&amp;"; причина: "&amp;U768&amp;"; категория: "&amp;V768&amp;"; решение комиссии: "&amp;BB768&amp;".")</f>
        <v/>
      </c>
      <c r="BF768" s="173">
        <f>IF('Оперативный ввод'!X768="","",'Оперативный ввод'!X768)</f>
        <v/>
      </c>
    </row>
    <row r="769">
      <c r="A769" s="171">
        <f>IF('Оперативный ввод'!A769="","",'Оперативный ввод'!A769)</f>
        <v/>
      </c>
      <c r="B769" s="172">
        <f>IF('Оперативный ввод'!B769="","",'Оперативный ввод'!B769)</f>
        <v/>
      </c>
      <c r="C769" s="270">
        <f>IF('Оперативный ввод'!C769="","",'Оперативный ввод'!C769)</f>
        <v/>
      </c>
      <c r="D769" s="270">
        <f>IF('Оперативный ввод'!D769="","",'Оперативный ввод'!D769)</f>
        <v/>
      </c>
      <c r="E769" s="271">
        <f>IF(OR(C769="",D769=""),"",D769-C769)</f>
        <v/>
      </c>
      <c r="F769" s="172">
        <f>IF('Оперативный ввод'!F769="","",'Оперативный ввод'!F769)</f>
        <v/>
      </c>
      <c r="G769" s="172">
        <f>IF('Оперативный ввод'!G769="","",'Оперативный ввод'!G769)</f>
        <v/>
      </c>
      <c r="H769" s="172">
        <f>IF('Оперативный ввод'!H769="","",'Оперативный ввод'!H769)</f>
        <v/>
      </c>
      <c r="I769" s="172">
        <f>IF('Оперативный ввод'!I769="","",'Оперативный ввод'!I769)</f>
        <v/>
      </c>
      <c r="J769" s="172">
        <f>IF('Оперативный ввод'!J769="","",'Оперативный ввод'!J769)</f>
        <v/>
      </c>
      <c r="K769" s="172">
        <f>IF('Оперативный ввод'!K769="","",'Оперативный ввод'!K769)</f>
        <v/>
      </c>
      <c r="L769" s="172">
        <f>IF('Оперативный ввод'!L769="","",'Оперативный ввод'!L769)</f>
        <v/>
      </c>
      <c r="M769" s="172">
        <f>IF('Оперативный ввод'!M769="","",'Оперативный ввод'!M769)</f>
        <v/>
      </c>
      <c r="N769" s="172">
        <f>IF('Оперативный ввод'!N769="","",'Оперативный ввод'!N769)</f>
        <v/>
      </c>
      <c r="O769" s="172">
        <f>IF('Оперативный ввод'!O769="","",'Оперативный ввод'!O769)</f>
        <v/>
      </c>
      <c r="P769" s="205">
        <f>IF(AND(A769="",B769=""),"",IF(AND(A769&lt;&gt;"",B769&lt;&gt;"",C769&lt;&gt;"",D769&lt;&gt;"",F769&lt;&gt;"",G769&lt;&gt;"",H769&lt;&gt;"",ISERROR(SEARCH("по паспорту",G769)),ISERROR(SEARCH("по паспорту",H769)),I769&lt;&gt;"",J769&lt;&gt;"",K769&lt;&gt;"",L769&lt;&gt;"",M769&lt;&gt;""),"ГОТОВО","НЕ ГОТОВО"))</f>
        <v/>
      </c>
      <c r="Q769" s="205">
        <f>IF(P769&lt;&gt;"ГОТОВО","", "Предварительное заключение: "&amp;A769&amp;", скв. "&amp;B769&amp;". МРП: "&amp;E769&amp;" сут. ГНО: "&amp;F769&amp;", типоразмер "&amp;G769&amp;", марка "&amp;H769&amp;". Событие: "&amp;I769&amp;". Признак: "&amp;J769&amp;". Узел: "&amp;K769&amp;". Предварительная причина: "&amp;L769&amp;". Основное осложнение: "&amp;M769&amp;IF(N769&lt;&gt;"","; сопутствующее: "&amp;N769,"")&amp;IF(O769&lt;&gt;"","; дополнительно: "&amp;O769,"")&amp;".")</f>
        <v/>
      </c>
      <c r="R769" s="172">
        <f>IF('Оперативный ввод'!P769="","",'Оперативный ввод'!P769)</f>
        <v/>
      </c>
      <c r="S769" s="172">
        <f>IF('Оперативный ввод'!Q769="","",'Оперативный ввод'!Q769)</f>
        <v/>
      </c>
      <c r="T769" s="172">
        <f>IF('Оперативный ввод'!R769="","",'Оперативный ввод'!R769)</f>
        <v/>
      </c>
      <c r="U769" s="172">
        <f>IF('Оперативный ввод'!S769="","",'Оперативный ввод'!S769)</f>
        <v/>
      </c>
      <c r="V769" s="172">
        <f>IF('Оперативный ввод'!T769="","",'Оперативный ввод'!T769)</f>
        <v/>
      </c>
      <c r="W769" s="172" t="n"/>
      <c r="X769" s="172" t="n"/>
      <c r="Y769" s="172" t="n"/>
      <c r="Z769" s="172" t="n"/>
      <c r="AA769" s="172">
        <f>IF('Оперативный ввод'!U769="","",'Оперативный ввод'!U769)</f>
        <v/>
      </c>
      <c r="AB769" s="172">
        <f>IF('Оперативный ввод'!V769="","",'Оперативный ввод'!V769)</f>
        <v/>
      </c>
      <c r="AC769" s="172">
        <f>IF('Оперативный ввод'!W769="","",'Оперативный ввод'!W769)</f>
        <v/>
      </c>
      <c r="BB769" s="172" t="n"/>
      <c r="BC769" s="172" t="n"/>
      <c r="BD769" s="205">
        <f>IF(AND(A769="",B769=""),"",IF(AND(P769="ГОТОВО",R769&lt;&gt;"",T769&lt;&gt;"",U769&lt;&gt;"",AA769&lt;&gt;"",AB769&lt;&gt;"",AC769&lt;&gt;"",BB769&lt;&gt;"",BC769&lt;&gt;""),"ГОТОВО","НЕ ГОТОВО"))</f>
        <v/>
      </c>
      <c r="BE769" s="205">
        <f>IF(BD769&lt;&gt;"ГОТОВО","","Полное заключение: "&amp;A769&amp;", скв. "&amp;B769&amp;". МРП: "&amp;E769&amp;" сут. ГНО: "&amp;F769&amp;"; причина: "&amp;U769&amp;"; категория: "&amp;V769&amp;"; решение комиссии: "&amp;BB769&amp;".")</f>
        <v/>
      </c>
      <c r="BF769" s="173">
        <f>IF('Оперативный ввод'!X769="","",'Оперативный ввод'!X769)</f>
        <v/>
      </c>
    </row>
    <row r="770">
      <c r="A770" s="171">
        <f>IF('Оперативный ввод'!A770="","",'Оперативный ввод'!A770)</f>
        <v/>
      </c>
      <c r="B770" s="172">
        <f>IF('Оперативный ввод'!B770="","",'Оперативный ввод'!B770)</f>
        <v/>
      </c>
      <c r="C770" s="270">
        <f>IF('Оперативный ввод'!C770="","",'Оперативный ввод'!C770)</f>
        <v/>
      </c>
      <c r="D770" s="270">
        <f>IF('Оперативный ввод'!D770="","",'Оперативный ввод'!D770)</f>
        <v/>
      </c>
      <c r="E770" s="271">
        <f>IF(OR(C770="",D770=""),"",D770-C770)</f>
        <v/>
      </c>
      <c r="F770" s="172">
        <f>IF('Оперативный ввод'!F770="","",'Оперативный ввод'!F770)</f>
        <v/>
      </c>
      <c r="G770" s="172">
        <f>IF('Оперативный ввод'!G770="","",'Оперативный ввод'!G770)</f>
        <v/>
      </c>
      <c r="H770" s="172">
        <f>IF('Оперативный ввод'!H770="","",'Оперативный ввод'!H770)</f>
        <v/>
      </c>
      <c r="I770" s="172">
        <f>IF('Оперативный ввод'!I770="","",'Оперативный ввод'!I770)</f>
        <v/>
      </c>
      <c r="J770" s="172">
        <f>IF('Оперативный ввод'!J770="","",'Оперативный ввод'!J770)</f>
        <v/>
      </c>
      <c r="K770" s="172">
        <f>IF('Оперативный ввод'!K770="","",'Оперативный ввод'!K770)</f>
        <v/>
      </c>
      <c r="L770" s="172">
        <f>IF('Оперативный ввод'!L770="","",'Оперативный ввод'!L770)</f>
        <v/>
      </c>
      <c r="M770" s="172">
        <f>IF('Оперативный ввод'!M770="","",'Оперативный ввод'!M770)</f>
        <v/>
      </c>
      <c r="N770" s="172">
        <f>IF('Оперативный ввод'!N770="","",'Оперативный ввод'!N770)</f>
        <v/>
      </c>
      <c r="O770" s="172">
        <f>IF('Оперативный ввод'!O770="","",'Оперативный ввод'!O770)</f>
        <v/>
      </c>
      <c r="P770" s="205">
        <f>IF(AND(A770="",B770=""),"",IF(AND(A770&lt;&gt;"",B770&lt;&gt;"",C770&lt;&gt;"",D770&lt;&gt;"",F770&lt;&gt;"",G770&lt;&gt;"",H770&lt;&gt;"",ISERROR(SEARCH("по паспорту",G770)),ISERROR(SEARCH("по паспорту",H770)),I770&lt;&gt;"",J770&lt;&gt;"",K770&lt;&gt;"",L770&lt;&gt;"",M770&lt;&gt;""),"ГОТОВО","НЕ ГОТОВО"))</f>
        <v/>
      </c>
      <c r="Q770" s="205">
        <f>IF(P770&lt;&gt;"ГОТОВО","", "Предварительное заключение: "&amp;A770&amp;", скв. "&amp;B770&amp;". МРП: "&amp;E770&amp;" сут. ГНО: "&amp;F770&amp;", типоразмер "&amp;G770&amp;", марка "&amp;H770&amp;". Событие: "&amp;I770&amp;". Признак: "&amp;J770&amp;". Узел: "&amp;K770&amp;". Предварительная причина: "&amp;L770&amp;". Основное осложнение: "&amp;M770&amp;IF(N770&lt;&gt;"","; сопутствующее: "&amp;N770,"")&amp;IF(O770&lt;&gt;"","; дополнительно: "&amp;O770,"")&amp;".")</f>
        <v/>
      </c>
      <c r="R770" s="172">
        <f>IF('Оперативный ввод'!P770="","",'Оперативный ввод'!P770)</f>
        <v/>
      </c>
      <c r="S770" s="172">
        <f>IF('Оперативный ввод'!Q770="","",'Оперативный ввод'!Q770)</f>
        <v/>
      </c>
      <c r="T770" s="172">
        <f>IF('Оперативный ввод'!R770="","",'Оперативный ввод'!R770)</f>
        <v/>
      </c>
      <c r="U770" s="172">
        <f>IF('Оперативный ввод'!S770="","",'Оперативный ввод'!S770)</f>
        <v/>
      </c>
      <c r="V770" s="172">
        <f>IF('Оперативный ввод'!T770="","",'Оперативный ввод'!T770)</f>
        <v/>
      </c>
      <c r="W770" s="172" t="n"/>
      <c r="X770" s="172" t="n"/>
      <c r="Y770" s="172" t="n"/>
      <c r="Z770" s="172" t="n"/>
      <c r="AA770" s="172">
        <f>IF('Оперативный ввод'!U770="","",'Оперативный ввод'!U770)</f>
        <v/>
      </c>
      <c r="AB770" s="172">
        <f>IF('Оперативный ввод'!V770="","",'Оперативный ввод'!V770)</f>
        <v/>
      </c>
      <c r="AC770" s="172">
        <f>IF('Оперативный ввод'!W770="","",'Оперативный ввод'!W770)</f>
        <v/>
      </c>
      <c r="BB770" s="172" t="n"/>
      <c r="BC770" s="172" t="n"/>
      <c r="BD770" s="205">
        <f>IF(AND(A770="",B770=""),"",IF(AND(P770="ГОТОВО",R770&lt;&gt;"",T770&lt;&gt;"",U770&lt;&gt;"",AA770&lt;&gt;"",AB770&lt;&gt;"",AC770&lt;&gt;"",BB770&lt;&gt;"",BC770&lt;&gt;""),"ГОТОВО","НЕ ГОТОВО"))</f>
        <v/>
      </c>
      <c r="BE770" s="205">
        <f>IF(BD770&lt;&gt;"ГОТОВО","","Полное заключение: "&amp;A770&amp;", скв. "&amp;B770&amp;". МРП: "&amp;E770&amp;" сут. ГНО: "&amp;F770&amp;"; причина: "&amp;U770&amp;"; категория: "&amp;V770&amp;"; решение комиссии: "&amp;BB770&amp;".")</f>
        <v/>
      </c>
      <c r="BF770" s="173">
        <f>IF('Оперативный ввод'!X770="","",'Оперативный ввод'!X770)</f>
        <v/>
      </c>
    </row>
    <row r="771">
      <c r="A771" s="171">
        <f>IF('Оперативный ввод'!A771="","",'Оперативный ввод'!A771)</f>
        <v/>
      </c>
      <c r="B771" s="172">
        <f>IF('Оперативный ввод'!B771="","",'Оперативный ввод'!B771)</f>
        <v/>
      </c>
      <c r="C771" s="270">
        <f>IF('Оперативный ввод'!C771="","",'Оперативный ввод'!C771)</f>
        <v/>
      </c>
      <c r="D771" s="270">
        <f>IF('Оперативный ввод'!D771="","",'Оперативный ввод'!D771)</f>
        <v/>
      </c>
      <c r="E771" s="271">
        <f>IF(OR(C771="",D771=""),"",D771-C771)</f>
        <v/>
      </c>
      <c r="F771" s="172">
        <f>IF('Оперативный ввод'!F771="","",'Оперативный ввод'!F771)</f>
        <v/>
      </c>
      <c r="G771" s="172">
        <f>IF('Оперативный ввод'!G771="","",'Оперативный ввод'!G771)</f>
        <v/>
      </c>
      <c r="H771" s="172">
        <f>IF('Оперативный ввод'!H771="","",'Оперативный ввод'!H771)</f>
        <v/>
      </c>
      <c r="I771" s="172">
        <f>IF('Оперативный ввод'!I771="","",'Оперативный ввод'!I771)</f>
        <v/>
      </c>
      <c r="J771" s="172">
        <f>IF('Оперативный ввод'!J771="","",'Оперативный ввод'!J771)</f>
        <v/>
      </c>
      <c r="K771" s="172">
        <f>IF('Оперативный ввод'!K771="","",'Оперативный ввод'!K771)</f>
        <v/>
      </c>
      <c r="L771" s="172">
        <f>IF('Оперативный ввод'!L771="","",'Оперативный ввод'!L771)</f>
        <v/>
      </c>
      <c r="M771" s="172">
        <f>IF('Оперативный ввод'!M771="","",'Оперативный ввод'!M771)</f>
        <v/>
      </c>
      <c r="N771" s="172">
        <f>IF('Оперативный ввод'!N771="","",'Оперативный ввод'!N771)</f>
        <v/>
      </c>
      <c r="O771" s="172">
        <f>IF('Оперативный ввод'!O771="","",'Оперативный ввод'!O771)</f>
        <v/>
      </c>
      <c r="P771" s="205">
        <f>IF(AND(A771="",B771=""),"",IF(AND(A771&lt;&gt;"",B771&lt;&gt;"",C771&lt;&gt;"",D771&lt;&gt;"",F771&lt;&gt;"",G771&lt;&gt;"",H771&lt;&gt;"",ISERROR(SEARCH("по паспорту",G771)),ISERROR(SEARCH("по паспорту",H771)),I771&lt;&gt;"",J771&lt;&gt;"",K771&lt;&gt;"",L771&lt;&gt;"",M771&lt;&gt;""),"ГОТОВО","НЕ ГОТОВО"))</f>
        <v/>
      </c>
      <c r="Q771" s="205">
        <f>IF(P771&lt;&gt;"ГОТОВО","", "Предварительное заключение: "&amp;A771&amp;", скв. "&amp;B771&amp;". МРП: "&amp;E771&amp;" сут. ГНО: "&amp;F771&amp;", типоразмер "&amp;G771&amp;", марка "&amp;H771&amp;". Событие: "&amp;I771&amp;". Признак: "&amp;J771&amp;". Узел: "&amp;K771&amp;". Предварительная причина: "&amp;L771&amp;". Основное осложнение: "&amp;M771&amp;IF(N771&lt;&gt;"","; сопутствующее: "&amp;N771,"")&amp;IF(O771&lt;&gt;"","; дополнительно: "&amp;O771,"")&amp;".")</f>
        <v/>
      </c>
      <c r="R771" s="172">
        <f>IF('Оперативный ввод'!P771="","",'Оперативный ввод'!P771)</f>
        <v/>
      </c>
      <c r="S771" s="172">
        <f>IF('Оперативный ввод'!Q771="","",'Оперативный ввод'!Q771)</f>
        <v/>
      </c>
      <c r="T771" s="172">
        <f>IF('Оперативный ввод'!R771="","",'Оперативный ввод'!R771)</f>
        <v/>
      </c>
      <c r="U771" s="172">
        <f>IF('Оперативный ввод'!S771="","",'Оперативный ввод'!S771)</f>
        <v/>
      </c>
      <c r="V771" s="172">
        <f>IF('Оперативный ввод'!T771="","",'Оперативный ввод'!T771)</f>
        <v/>
      </c>
      <c r="W771" s="172" t="n"/>
      <c r="X771" s="172" t="n"/>
      <c r="Y771" s="172" t="n"/>
      <c r="Z771" s="172" t="n"/>
      <c r="AA771" s="172">
        <f>IF('Оперативный ввод'!U771="","",'Оперативный ввод'!U771)</f>
        <v/>
      </c>
      <c r="AB771" s="172">
        <f>IF('Оперативный ввод'!V771="","",'Оперативный ввод'!V771)</f>
        <v/>
      </c>
      <c r="AC771" s="172">
        <f>IF('Оперативный ввод'!W771="","",'Оперативный ввод'!W771)</f>
        <v/>
      </c>
      <c r="BB771" s="172" t="n"/>
      <c r="BC771" s="172" t="n"/>
      <c r="BD771" s="205">
        <f>IF(AND(A771="",B771=""),"",IF(AND(P771="ГОТОВО",R771&lt;&gt;"",T771&lt;&gt;"",U771&lt;&gt;"",AA771&lt;&gt;"",AB771&lt;&gt;"",AC771&lt;&gt;"",BB771&lt;&gt;"",BC771&lt;&gt;""),"ГОТОВО","НЕ ГОТОВО"))</f>
        <v/>
      </c>
      <c r="BE771" s="205">
        <f>IF(BD771&lt;&gt;"ГОТОВО","","Полное заключение: "&amp;A771&amp;", скв. "&amp;B771&amp;". МРП: "&amp;E771&amp;" сут. ГНО: "&amp;F771&amp;"; причина: "&amp;U771&amp;"; категория: "&amp;V771&amp;"; решение комиссии: "&amp;BB771&amp;".")</f>
        <v/>
      </c>
      <c r="BF771" s="173">
        <f>IF('Оперативный ввод'!X771="","",'Оперативный ввод'!X771)</f>
        <v/>
      </c>
    </row>
    <row r="772">
      <c r="A772" s="171">
        <f>IF('Оперативный ввод'!A772="","",'Оперативный ввод'!A772)</f>
        <v/>
      </c>
      <c r="B772" s="172">
        <f>IF('Оперативный ввод'!B772="","",'Оперативный ввод'!B772)</f>
        <v/>
      </c>
      <c r="C772" s="270">
        <f>IF('Оперативный ввод'!C772="","",'Оперативный ввод'!C772)</f>
        <v/>
      </c>
      <c r="D772" s="270">
        <f>IF('Оперативный ввод'!D772="","",'Оперативный ввод'!D772)</f>
        <v/>
      </c>
      <c r="E772" s="271">
        <f>IF(OR(C772="",D772=""),"",D772-C772)</f>
        <v/>
      </c>
      <c r="F772" s="172">
        <f>IF('Оперативный ввод'!F772="","",'Оперативный ввод'!F772)</f>
        <v/>
      </c>
      <c r="G772" s="172">
        <f>IF('Оперативный ввод'!G772="","",'Оперативный ввод'!G772)</f>
        <v/>
      </c>
      <c r="H772" s="172">
        <f>IF('Оперативный ввод'!H772="","",'Оперативный ввод'!H772)</f>
        <v/>
      </c>
      <c r="I772" s="172">
        <f>IF('Оперативный ввод'!I772="","",'Оперативный ввод'!I772)</f>
        <v/>
      </c>
      <c r="J772" s="172">
        <f>IF('Оперативный ввод'!J772="","",'Оперативный ввод'!J772)</f>
        <v/>
      </c>
      <c r="K772" s="172">
        <f>IF('Оперативный ввод'!K772="","",'Оперативный ввод'!K772)</f>
        <v/>
      </c>
      <c r="L772" s="172">
        <f>IF('Оперативный ввод'!L772="","",'Оперативный ввод'!L772)</f>
        <v/>
      </c>
      <c r="M772" s="172">
        <f>IF('Оперативный ввод'!M772="","",'Оперативный ввод'!M772)</f>
        <v/>
      </c>
      <c r="N772" s="172">
        <f>IF('Оперативный ввод'!N772="","",'Оперативный ввод'!N772)</f>
        <v/>
      </c>
      <c r="O772" s="172">
        <f>IF('Оперативный ввод'!O772="","",'Оперативный ввод'!O772)</f>
        <v/>
      </c>
      <c r="P772" s="205">
        <f>IF(AND(A772="",B772=""),"",IF(AND(A772&lt;&gt;"",B772&lt;&gt;"",C772&lt;&gt;"",D772&lt;&gt;"",F772&lt;&gt;"",G772&lt;&gt;"",H772&lt;&gt;"",ISERROR(SEARCH("по паспорту",G772)),ISERROR(SEARCH("по паспорту",H772)),I772&lt;&gt;"",J772&lt;&gt;"",K772&lt;&gt;"",L772&lt;&gt;"",M772&lt;&gt;""),"ГОТОВО","НЕ ГОТОВО"))</f>
        <v/>
      </c>
      <c r="Q772" s="205">
        <f>IF(P772&lt;&gt;"ГОТОВО","", "Предварительное заключение: "&amp;A772&amp;", скв. "&amp;B772&amp;". МРП: "&amp;E772&amp;" сут. ГНО: "&amp;F772&amp;", типоразмер "&amp;G772&amp;", марка "&amp;H772&amp;". Событие: "&amp;I772&amp;". Признак: "&amp;J772&amp;". Узел: "&amp;K772&amp;". Предварительная причина: "&amp;L772&amp;". Основное осложнение: "&amp;M772&amp;IF(N772&lt;&gt;"","; сопутствующее: "&amp;N772,"")&amp;IF(O772&lt;&gt;"","; дополнительно: "&amp;O772,"")&amp;".")</f>
        <v/>
      </c>
      <c r="R772" s="172">
        <f>IF('Оперативный ввод'!P772="","",'Оперативный ввод'!P772)</f>
        <v/>
      </c>
      <c r="S772" s="172">
        <f>IF('Оперативный ввод'!Q772="","",'Оперативный ввод'!Q772)</f>
        <v/>
      </c>
      <c r="T772" s="172">
        <f>IF('Оперативный ввод'!R772="","",'Оперативный ввод'!R772)</f>
        <v/>
      </c>
      <c r="U772" s="172">
        <f>IF('Оперативный ввод'!S772="","",'Оперативный ввод'!S772)</f>
        <v/>
      </c>
      <c r="V772" s="172">
        <f>IF('Оперативный ввод'!T772="","",'Оперативный ввод'!T772)</f>
        <v/>
      </c>
      <c r="W772" s="172" t="n"/>
      <c r="X772" s="172" t="n"/>
      <c r="Y772" s="172" t="n"/>
      <c r="Z772" s="172" t="n"/>
      <c r="AA772" s="172">
        <f>IF('Оперативный ввод'!U772="","",'Оперативный ввод'!U772)</f>
        <v/>
      </c>
      <c r="AB772" s="172">
        <f>IF('Оперативный ввод'!V772="","",'Оперативный ввод'!V772)</f>
        <v/>
      </c>
      <c r="AC772" s="172">
        <f>IF('Оперативный ввод'!W772="","",'Оперативный ввод'!W772)</f>
        <v/>
      </c>
      <c r="BB772" s="172" t="n"/>
      <c r="BC772" s="172" t="n"/>
      <c r="BD772" s="205">
        <f>IF(AND(A772="",B772=""),"",IF(AND(P772="ГОТОВО",R772&lt;&gt;"",T772&lt;&gt;"",U772&lt;&gt;"",AA772&lt;&gt;"",AB772&lt;&gt;"",AC772&lt;&gt;"",BB772&lt;&gt;"",BC772&lt;&gt;""),"ГОТОВО","НЕ ГОТОВО"))</f>
        <v/>
      </c>
      <c r="BE772" s="205">
        <f>IF(BD772&lt;&gt;"ГОТОВО","","Полное заключение: "&amp;A772&amp;", скв. "&amp;B772&amp;". МРП: "&amp;E772&amp;" сут. ГНО: "&amp;F772&amp;"; причина: "&amp;U772&amp;"; категория: "&amp;V772&amp;"; решение комиссии: "&amp;BB772&amp;".")</f>
        <v/>
      </c>
      <c r="BF772" s="173">
        <f>IF('Оперативный ввод'!X772="","",'Оперативный ввод'!X772)</f>
        <v/>
      </c>
    </row>
    <row r="773">
      <c r="A773" s="171">
        <f>IF('Оперативный ввод'!A773="","",'Оперативный ввод'!A773)</f>
        <v/>
      </c>
      <c r="B773" s="172">
        <f>IF('Оперативный ввод'!B773="","",'Оперативный ввод'!B773)</f>
        <v/>
      </c>
      <c r="C773" s="270">
        <f>IF('Оперативный ввод'!C773="","",'Оперативный ввод'!C773)</f>
        <v/>
      </c>
      <c r="D773" s="270">
        <f>IF('Оперативный ввод'!D773="","",'Оперативный ввод'!D773)</f>
        <v/>
      </c>
      <c r="E773" s="271">
        <f>IF(OR(C773="",D773=""),"",D773-C773)</f>
        <v/>
      </c>
      <c r="F773" s="172">
        <f>IF('Оперативный ввод'!F773="","",'Оперативный ввод'!F773)</f>
        <v/>
      </c>
      <c r="G773" s="172">
        <f>IF('Оперативный ввод'!G773="","",'Оперативный ввод'!G773)</f>
        <v/>
      </c>
      <c r="H773" s="172">
        <f>IF('Оперативный ввод'!H773="","",'Оперативный ввод'!H773)</f>
        <v/>
      </c>
      <c r="I773" s="172">
        <f>IF('Оперативный ввод'!I773="","",'Оперативный ввод'!I773)</f>
        <v/>
      </c>
      <c r="J773" s="172">
        <f>IF('Оперативный ввод'!J773="","",'Оперативный ввод'!J773)</f>
        <v/>
      </c>
      <c r="K773" s="172">
        <f>IF('Оперативный ввод'!K773="","",'Оперативный ввод'!K773)</f>
        <v/>
      </c>
      <c r="L773" s="172">
        <f>IF('Оперативный ввод'!L773="","",'Оперативный ввод'!L773)</f>
        <v/>
      </c>
      <c r="M773" s="172">
        <f>IF('Оперативный ввод'!M773="","",'Оперативный ввод'!M773)</f>
        <v/>
      </c>
      <c r="N773" s="172">
        <f>IF('Оперативный ввод'!N773="","",'Оперативный ввод'!N773)</f>
        <v/>
      </c>
      <c r="O773" s="172">
        <f>IF('Оперативный ввод'!O773="","",'Оперативный ввод'!O773)</f>
        <v/>
      </c>
      <c r="P773" s="205">
        <f>IF(AND(A773="",B773=""),"",IF(AND(A773&lt;&gt;"",B773&lt;&gt;"",C773&lt;&gt;"",D773&lt;&gt;"",F773&lt;&gt;"",G773&lt;&gt;"",H773&lt;&gt;"",ISERROR(SEARCH("по паспорту",G773)),ISERROR(SEARCH("по паспорту",H773)),I773&lt;&gt;"",J773&lt;&gt;"",K773&lt;&gt;"",L773&lt;&gt;"",M773&lt;&gt;""),"ГОТОВО","НЕ ГОТОВО"))</f>
        <v/>
      </c>
      <c r="Q773" s="205">
        <f>IF(P773&lt;&gt;"ГОТОВО","", "Предварительное заключение: "&amp;A773&amp;", скв. "&amp;B773&amp;". МРП: "&amp;E773&amp;" сут. ГНО: "&amp;F773&amp;", типоразмер "&amp;G773&amp;", марка "&amp;H773&amp;". Событие: "&amp;I773&amp;". Признак: "&amp;J773&amp;". Узел: "&amp;K773&amp;". Предварительная причина: "&amp;L773&amp;". Основное осложнение: "&amp;M773&amp;IF(N773&lt;&gt;"","; сопутствующее: "&amp;N773,"")&amp;IF(O773&lt;&gt;"","; дополнительно: "&amp;O773,"")&amp;".")</f>
        <v/>
      </c>
      <c r="R773" s="172">
        <f>IF('Оперативный ввод'!P773="","",'Оперативный ввод'!P773)</f>
        <v/>
      </c>
      <c r="S773" s="172">
        <f>IF('Оперативный ввод'!Q773="","",'Оперативный ввод'!Q773)</f>
        <v/>
      </c>
      <c r="T773" s="172">
        <f>IF('Оперативный ввод'!R773="","",'Оперативный ввод'!R773)</f>
        <v/>
      </c>
      <c r="U773" s="172">
        <f>IF('Оперативный ввод'!S773="","",'Оперативный ввод'!S773)</f>
        <v/>
      </c>
      <c r="V773" s="172">
        <f>IF('Оперативный ввод'!T773="","",'Оперативный ввод'!T773)</f>
        <v/>
      </c>
      <c r="W773" s="172" t="n"/>
      <c r="X773" s="172" t="n"/>
      <c r="Y773" s="172" t="n"/>
      <c r="Z773" s="172" t="n"/>
      <c r="AA773" s="172">
        <f>IF('Оперативный ввод'!U773="","",'Оперативный ввод'!U773)</f>
        <v/>
      </c>
      <c r="AB773" s="172">
        <f>IF('Оперативный ввод'!V773="","",'Оперативный ввод'!V773)</f>
        <v/>
      </c>
      <c r="AC773" s="172">
        <f>IF('Оперативный ввод'!W773="","",'Оперативный ввод'!W773)</f>
        <v/>
      </c>
      <c r="BB773" s="172" t="n"/>
      <c r="BC773" s="172" t="n"/>
      <c r="BD773" s="205">
        <f>IF(AND(A773="",B773=""),"",IF(AND(P773="ГОТОВО",R773&lt;&gt;"",T773&lt;&gt;"",U773&lt;&gt;"",AA773&lt;&gt;"",AB773&lt;&gt;"",AC773&lt;&gt;"",BB773&lt;&gt;"",BC773&lt;&gt;""),"ГОТОВО","НЕ ГОТОВО"))</f>
        <v/>
      </c>
      <c r="BE773" s="205">
        <f>IF(BD773&lt;&gt;"ГОТОВО","","Полное заключение: "&amp;A773&amp;", скв. "&amp;B773&amp;". МРП: "&amp;E773&amp;" сут. ГНО: "&amp;F773&amp;"; причина: "&amp;U773&amp;"; категория: "&amp;V773&amp;"; решение комиссии: "&amp;BB773&amp;".")</f>
        <v/>
      </c>
      <c r="BF773" s="173">
        <f>IF('Оперативный ввод'!X773="","",'Оперативный ввод'!X773)</f>
        <v/>
      </c>
    </row>
    <row r="774">
      <c r="A774" s="171">
        <f>IF('Оперативный ввод'!A774="","",'Оперативный ввод'!A774)</f>
        <v/>
      </c>
      <c r="B774" s="172">
        <f>IF('Оперативный ввод'!B774="","",'Оперативный ввод'!B774)</f>
        <v/>
      </c>
      <c r="C774" s="270">
        <f>IF('Оперативный ввод'!C774="","",'Оперативный ввод'!C774)</f>
        <v/>
      </c>
      <c r="D774" s="270">
        <f>IF('Оперативный ввод'!D774="","",'Оперативный ввод'!D774)</f>
        <v/>
      </c>
      <c r="E774" s="271">
        <f>IF(OR(C774="",D774=""),"",D774-C774)</f>
        <v/>
      </c>
      <c r="F774" s="172">
        <f>IF('Оперативный ввод'!F774="","",'Оперативный ввод'!F774)</f>
        <v/>
      </c>
      <c r="G774" s="172">
        <f>IF('Оперативный ввод'!G774="","",'Оперативный ввод'!G774)</f>
        <v/>
      </c>
      <c r="H774" s="172">
        <f>IF('Оперативный ввод'!H774="","",'Оперативный ввод'!H774)</f>
        <v/>
      </c>
      <c r="I774" s="172">
        <f>IF('Оперативный ввод'!I774="","",'Оперативный ввод'!I774)</f>
        <v/>
      </c>
      <c r="J774" s="172">
        <f>IF('Оперативный ввод'!J774="","",'Оперативный ввод'!J774)</f>
        <v/>
      </c>
      <c r="K774" s="172">
        <f>IF('Оперативный ввод'!K774="","",'Оперативный ввод'!K774)</f>
        <v/>
      </c>
      <c r="L774" s="172">
        <f>IF('Оперативный ввод'!L774="","",'Оперативный ввод'!L774)</f>
        <v/>
      </c>
      <c r="M774" s="172">
        <f>IF('Оперативный ввод'!M774="","",'Оперативный ввод'!M774)</f>
        <v/>
      </c>
      <c r="N774" s="172">
        <f>IF('Оперативный ввод'!N774="","",'Оперативный ввод'!N774)</f>
        <v/>
      </c>
      <c r="O774" s="172">
        <f>IF('Оперативный ввод'!O774="","",'Оперативный ввод'!O774)</f>
        <v/>
      </c>
      <c r="P774" s="205">
        <f>IF(AND(A774="",B774=""),"",IF(AND(A774&lt;&gt;"",B774&lt;&gt;"",C774&lt;&gt;"",D774&lt;&gt;"",F774&lt;&gt;"",G774&lt;&gt;"",H774&lt;&gt;"",ISERROR(SEARCH("по паспорту",G774)),ISERROR(SEARCH("по паспорту",H774)),I774&lt;&gt;"",J774&lt;&gt;"",K774&lt;&gt;"",L774&lt;&gt;"",M774&lt;&gt;""),"ГОТОВО","НЕ ГОТОВО"))</f>
        <v/>
      </c>
      <c r="Q774" s="205">
        <f>IF(P774&lt;&gt;"ГОТОВО","", "Предварительное заключение: "&amp;A774&amp;", скв. "&amp;B774&amp;". МРП: "&amp;E774&amp;" сут. ГНО: "&amp;F774&amp;", типоразмер "&amp;G774&amp;", марка "&amp;H774&amp;". Событие: "&amp;I774&amp;". Признак: "&amp;J774&amp;". Узел: "&amp;K774&amp;". Предварительная причина: "&amp;L774&amp;". Основное осложнение: "&amp;M774&amp;IF(N774&lt;&gt;"","; сопутствующее: "&amp;N774,"")&amp;IF(O774&lt;&gt;"","; дополнительно: "&amp;O774,"")&amp;".")</f>
        <v/>
      </c>
      <c r="R774" s="172">
        <f>IF('Оперативный ввод'!P774="","",'Оперативный ввод'!P774)</f>
        <v/>
      </c>
      <c r="S774" s="172">
        <f>IF('Оперативный ввод'!Q774="","",'Оперативный ввод'!Q774)</f>
        <v/>
      </c>
      <c r="T774" s="172">
        <f>IF('Оперативный ввод'!R774="","",'Оперативный ввод'!R774)</f>
        <v/>
      </c>
      <c r="U774" s="172">
        <f>IF('Оперативный ввод'!S774="","",'Оперативный ввод'!S774)</f>
        <v/>
      </c>
      <c r="V774" s="172">
        <f>IF('Оперативный ввод'!T774="","",'Оперативный ввод'!T774)</f>
        <v/>
      </c>
      <c r="W774" s="172" t="n"/>
      <c r="X774" s="172" t="n"/>
      <c r="Y774" s="172" t="n"/>
      <c r="Z774" s="172" t="n"/>
      <c r="AA774" s="172">
        <f>IF('Оперативный ввод'!U774="","",'Оперативный ввод'!U774)</f>
        <v/>
      </c>
      <c r="AB774" s="172">
        <f>IF('Оперативный ввод'!V774="","",'Оперативный ввод'!V774)</f>
        <v/>
      </c>
      <c r="AC774" s="172">
        <f>IF('Оперативный ввод'!W774="","",'Оперативный ввод'!W774)</f>
        <v/>
      </c>
      <c r="BB774" s="172" t="n"/>
      <c r="BC774" s="172" t="n"/>
      <c r="BD774" s="205">
        <f>IF(AND(A774="",B774=""),"",IF(AND(P774="ГОТОВО",R774&lt;&gt;"",T774&lt;&gt;"",U774&lt;&gt;"",AA774&lt;&gt;"",AB774&lt;&gt;"",AC774&lt;&gt;"",BB774&lt;&gt;"",BC774&lt;&gt;""),"ГОТОВО","НЕ ГОТОВО"))</f>
        <v/>
      </c>
      <c r="BE774" s="205">
        <f>IF(BD774&lt;&gt;"ГОТОВО","","Полное заключение: "&amp;A774&amp;", скв. "&amp;B774&amp;". МРП: "&amp;E774&amp;" сут. ГНО: "&amp;F774&amp;"; причина: "&amp;U774&amp;"; категория: "&amp;V774&amp;"; решение комиссии: "&amp;BB774&amp;".")</f>
        <v/>
      </c>
      <c r="BF774" s="173">
        <f>IF('Оперативный ввод'!X774="","",'Оперативный ввод'!X774)</f>
        <v/>
      </c>
    </row>
    <row r="775">
      <c r="A775" s="171">
        <f>IF('Оперативный ввод'!A775="","",'Оперативный ввод'!A775)</f>
        <v/>
      </c>
      <c r="B775" s="172">
        <f>IF('Оперативный ввод'!B775="","",'Оперативный ввод'!B775)</f>
        <v/>
      </c>
      <c r="C775" s="270">
        <f>IF('Оперативный ввод'!C775="","",'Оперативный ввод'!C775)</f>
        <v/>
      </c>
      <c r="D775" s="270">
        <f>IF('Оперативный ввод'!D775="","",'Оперативный ввод'!D775)</f>
        <v/>
      </c>
      <c r="E775" s="271">
        <f>IF(OR(C775="",D775=""),"",D775-C775)</f>
        <v/>
      </c>
      <c r="F775" s="172">
        <f>IF('Оперативный ввод'!F775="","",'Оперативный ввод'!F775)</f>
        <v/>
      </c>
      <c r="G775" s="172">
        <f>IF('Оперативный ввод'!G775="","",'Оперативный ввод'!G775)</f>
        <v/>
      </c>
      <c r="H775" s="172">
        <f>IF('Оперативный ввод'!H775="","",'Оперативный ввод'!H775)</f>
        <v/>
      </c>
      <c r="I775" s="172">
        <f>IF('Оперативный ввод'!I775="","",'Оперативный ввод'!I775)</f>
        <v/>
      </c>
      <c r="J775" s="172">
        <f>IF('Оперативный ввод'!J775="","",'Оперативный ввод'!J775)</f>
        <v/>
      </c>
      <c r="K775" s="172">
        <f>IF('Оперативный ввод'!K775="","",'Оперативный ввод'!K775)</f>
        <v/>
      </c>
      <c r="L775" s="172">
        <f>IF('Оперативный ввод'!L775="","",'Оперативный ввод'!L775)</f>
        <v/>
      </c>
      <c r="M775" s="172">
        <f>IF('Оперативный ввод'!M775="","",'Оперативный ввод'!M775)</f>
        <v/>
      </c>
      <c r="N775" s="172">
        <f>IF('Оперативный ввод'!N775="","",'Оперативный ввод'!N775)</f>
        <v/>
      </c>
      <c r="O775" s="172">
        <f>IF('Оперативный ввод'!O775="","",'Оперативный ввод'!O775)</f>
        <v/>
      </c>
      <c r="P775" s="205">
        <f>IF(AND(A775="",B775=""),"",IF(AND(A775&lt;&gt;"",B775&lt;&gt;"",C775&lt;&gt;"",D775&lt;&gt;"",F775&lt;&gt;"",G775&lt;&gt;"",H775&lt;&gt;"",ISERROR(SEARCH("по паспорту",G775)),ISERROR(SEARCH("по паспорту",H775)),I775&lt;&gt;"",J775&lt;&gt;"",K775&lt;&gt;"",L775&lt;&gt;"",M775&lt;&gt;""),"ГОТОВО","НЕ ГОТОВО"))</f>
        <v/>
      </c>
      <c r="Q775" s="205">
        <f>IF(P775&lt;&gt;"ГОТОВО","", "Предварительное заключение: "&amp;A775&amp;", скв. "&amp;B775&amp;". МРП: "&amp;E775&amp;" сут. ГНО: "&amp;F775&amp;", типоразмер "&amp;G775&amp;", марка "&amp;H775&amp;". Событие: "&amp;I775&amp;". Признак: "&amp;J775&amp;". Узел: "&amp;K775&amp;". Предварительная причина: "&amp;L775&amp;". Основное осложнение: "&amp;M775&amp;IF(N775&lt;&gt;"","; сопутствующее: "&amp;N775,"")&amp;IF(O775&lt;&gt;"","; дополнительно: "&amp;O775,"")&amp;".")</f>
        <v/>
      </c>
      <c r="R775" s="172">
        <f>IF('Оперативный ввод'!P775="","",'Оперативный ввод'!P775)</f>
        <v/>
      </c>
      <c r="S775" s="172">
        <f>IF('Оперативный ввод'!Q775="","",'Оперативный ввод'!Q775)</f>
        <v/>
      </c>
      <c r="T775" s="172">
        <f>IF('Оперативный ввод'!R775="","",'Оперативный ввод'!R775)</f>
        <v/>
      </c>
      <c r="U775" s="172">
        <f>IF('Оперативный ввод'!S775="","",'Оперативный ввод'!S775)</f>
        <v/>
      </c>
      <c r="V775" s="172">
        <f>IF('Оперативный ввод'!T775="","",'Оперативный ввод'!T775)</f>
        <v/>
      </c>
      <c r="W775" s="172" t="n"/>
      <c r="X775" s="172" t="n"/>
      <c r="Y775" s="172" t="n"/>
      <c r="Z775" s="172" t="n"/>
      <c r="AA775" s="172">
        <f>IF('Оперативный ввод'!U775="","",'Оперативный ввод'!U775)</f>
        <v/>
      </c>
      <c r="AB775" s="172">
        <f>IF('Оперативный ввод'!V775="","",'Оперативный ввод'!V775)</f>
        <v/>
      </c>
      <c r="AC775" s="172">
        <f>IF('Оперативный ввод'!W775="","",'Оперативный ввод'!W775)</f>
        <v/>
      </c>
      <c r="BB775" s="172" t="n"/>
      <c r="BC775" s="172" t="n"/>
      <c r="BD775" s="205">
        <f>IF(AND(A775="",B775=""),"",IF(AND(P775="ГОТОВО",R775&lt;&gt;"",T775&lt;&gt;"",U775&lt;&gt;"",AA775&lt;&gt;"",AB775&lt;&gt;"",AC775&lt;&gt;"",BB775&lt;&gt;"",BC775&lt;&gt;""),"ГОТОВО","НЕ ГОТОВО"))</f>
        <v/>
      </c>
      <c r="BE775" s="205">
        <f>IF(BD775&lt;&gt;"ГОТОВО","","Полное заключение: "&amp;A775&amp;", скв. "&amp;B775&amp;". МРП: "&amp;E775&amp;" сут. ГНО: "&amp;F775&amp;"; причина: "&amp;U775&amp;"; категория: "&amp;V775&amp;"; решение комиссии: "&amp;BB775&amp;".")</f>
        <v/>
      </c>
      <c r="BF775" s="173">
        <f>IF('Оперативный ввод'!X775="","",'Оперативный ввод'!X775)</f>
        <v/>
      </c>
    </row>
    <row r="776">
      <c r="A776" s="171">
        <f>IF('Оперативный ввод'!A776="","",'Оперативный ввод'!A776)</f>
        <v/>
      </c>
      <c r="B776" s="172">
        <f>IF('Оперативный ввод'!B776="","",'Оперативный ввод'!B776)</f>
        <v/>
      </c>
      <c r="C776" s="270">
        <f>IF('Оперативный ввод'!C776="","",'Оперативный ввод'!C776)</f>
        <v/>
      </c>
      <c r="D776" s="270">
        <f>IF('Оперативный ввод'!D776="","",'Оперативный ввод'!D776)</f>
        <v/>
      </c>
      <c r="E776" s="271">
        <f>IF(OR(C776="",D776=""),"",D776-C776)</f>
        <v/>
      </c>
      <c r="F776" s="172">
        <f>IF('Оперативный ввод'!F776="","",'Оперативный ввод'!F776)</f>
        <v/>
      </c>
      <c r="G776" s="172">
        <f>IF('Оперативный ввод'!G776="","",'Оперативный ввод'!G776)</f>
        <v/>
      </c>
      <c r="H776" s="172">
        <f>IF('Оперативный ввод'!H776="","",'Оперативный ввод'!H776)</f>
        <v/>
      </c>
      <c r="I776" s="172">
        <f>IF('Оперативный ввод'!I776="","",'Оперативный ввод'!I776)</f>
        <v/>
      </c>
      <c r="J776" s="172">
        <f>IF('Оперативный ввод'!J776="","",'Оперативный ввод'!J776)</f>
        <v/>
      </c>
      <c r="K776" s="172">
        <f>IF('Оперативный ввод'!K776="","",'Оперативный ввод'!K776)</f>
        <v/>
      </c>
      <c r="L776" s="172">
        <f>IF('Оперативный ввод'!L776="","",'Оперативный ввод'!L776)</f>
        <v/>
      </c>
      <c r="M776" s="172">
        <f>IF('Оперативный ввод'!M776="","",'Оперативный ввод'!M776)</f>
        <v/>
      </c>
      <c r="N776" s="172">
        <f>IF('Оперативный ввод'!N776="","",'Оперативный ввод'!N776)</f>
        <v/>
      </c>
      <c r="O776" s="172">
        <f>IF('Оперативный ввод'!O776="","",'Оперативный ввод'!O776)</f>
        <v/>
      </c>
      <c r="P776" s="205">
        <f>IF(AND(A776="",B776=""),"",IF(AND(A776&lt;&gt;"",B776&lt;&gt;"",C776&lt;&gt;"",D776&lt;&gt;"",F776&lt;&gt;"",G776&lt;&gt;"",H776&lt;&gt;"",ISERROR(SEARCH("по паспорту",G776)),ISERROR(SEARCH("по паспорту",H776)),I776&lt;&gt;"",J776&lt;&gt;"",K776&lt;&gt;"",L776&lt;&gt;"",M776&lt;&gt;""),"ГОТОВО","НЕ ГОТОВО"))</f>
        <v/>
      </c>
      <c r="Q776" s="205">
        <f>IF(P776&lt;&gt;"ГОТОВО","", "Предварительное заключение: "&amp;A776&amp;", скв. "&amp;B776&amp;". МРП: "&amp;E776&amp;" сут. ГНО: "&amp;F776&amp;", типоразмер "&amp;G776&amp;", марка "&amp;H776&amp;". Событие: "&amp;I776&amp;". Признак: "&amp;J776&amp;". Узел: "&amp;K776&amp;". Предварительная причина: "&amp;L776&amp;". Основное осложнение: "&amp;M776&amp;IF(N776&lt;&gt;"","; сопутствующее: "&amp;N776,"")&amp;IF(O776&lt;&gt;"","; дополнительно: "&amp;O776,"")&amp;".")</f>
        <v/>
      </c>
      <c r="R776" s="172">
        <f>IF('Оперативный ввод'!P776="","",'Оперативный ввод'!P776)</f>
        <v/>
      </c>
      <c r="S776" s="172">
        <f>IF('Оперативный ввод'!Q776="","",'Оперативный ввод'!Q776)</f>
        <v/>
      </c>
      <c r="T776" s="172">
        <f>IF('Оперативный ввод'!R776="","",'Оперативный ввод'!R776)</f>
        <v/>
      </c>
      <c r="U776" s="172">
        <f>IF('Оперативный ввод'!S776="","",'Оперативный ввод'!S776)</f>
        <v/>
      </c>
      <c r="V776" s="172">
        <f>IF('Оперативный ввод'!T776="","",'Оперативный ввод'!T776)</f>
        <v/>
      </c>
      <c r="W776" s="172" t="n"/>
      <c r="X776" s="172" t="n"/>
      <c r="Y776" s="172" t="n"/>
      <c r="Z776" s="172" t="n"/>
      <c r="AA776" s="172">
        <f>IF('Оперативный ввод'!U776="","",'Оперативный ввод'!U776)</f>
        <v/>
      </c>
      <c r="AB776" s="172">
        <f>IF('Оперативный ввод'!V776="","",'Оперативный ввод'!V776)</f>
        <v/>
      </c>
      <c r="AC776" s="172">
        <f>IF('Оперативный ввод'!W776="","",'Оперативный ввод'!W776)</f>
        <v/>
      </c>
      <c r="BB776" s="172" t="n"/>
      <c r="BC776" s="172" t="n"/>
      <c r="BD776" s="205">
        <f>IF(AND(A776="",B776=""),"",IF(AND(P776="ГОТОВО",R776&lt;&gt;"",T776&lt;&gt;"",U776&lt;&gt;"",AA776&lt;&gt;"",AB776&lt;&gt;"",AC776&lt;&gt;"",BB776&lt;&gt;"",BC776&lt;&gt;""),"ГОТОВО","НЕ ГОТОВО"))</f>
        <v/>
      </c>
      <c r="BE776" s="205">
        <f>IF(BD776&lt;&gt;"ГОТОВО","","Полное заключение: "&amp;A776&amp;", скв. "&amp;B776&amp;". МРП: "&amp;E776&amp;" сут. ГНО: "&amp;F776&amp;"; причина: "&amp;U776&amp;"; категория: "&amp;V776&amp;"; решение комиссии: "&amp;BB776&amp;".")</f>
        <v/>
      </c>
      <c r="BF776" s="173">
        <f>IF('Оперативный ввод'!X776="","",'Оперативный ввод'!X776)</f>
        <v/>
      </c>
    </row>
    <row r="777">
      <c r="A777" s="171">
        <f>IF('Оперативный ввод'!A777="","",'Оперативный ввод'!A777)</f>
        <v/>
      </c>
      <c r="B777" s="172">
        <f>IF('Оперативный ввод'!B777="","",'Оперативный ввод'!B777)</f>
        <v/>
      </c>
      <c r="C777" s="270">
        <f>IF('Оперативный ввод'!C777="","",'Оперативный ввод'!C777)</f>
        <v/>
      </c>
      <c r="D777" s="270">
        <f>IF('Оперативный ввод'!D777="","",'Оперативный ввод'!D777)</f>
        <v/>
      </c>
      <c r="E777" s="271">
        <f>IF(OR(C777="",D777=""),"",D777-C777)</f>
        <v/>
      </c>
      <c r="F777" s="172">
        <f>IF('Оперативный ввод'!F777="","",'Оперативный ввод'!F777)</f>
        <v/>
      </c>
      <c r="G777" s="172">
        <f>IF('Оперативный ввод'!G777="","",'Оперативный ввод'!G777)</f>
        <v/>
      </c>
      <c r="H777" s="172">
        <f>IF('Оперативный ввод'!H777="","",'Оперативный ввод'!H777)</f>
        <v/>
      </c>
      <c r="I777" s="172">
        <f>IF('Оперативный ввод'!I777="","",'Оперативный ввод'!I777)</f>
        <v/>
      </c>
      <c r="J777" s="172">
        <f>IF('Оперативный ввод'!J777="","",'Оперативный ввод'!J777)</f>
        <v/>
      </c>
      <c r="K777" s="172">
        <f>IF('Оперативный ввод'!K777="","",'Оперативный ввод'!K777)</f>
        <v/>
      </c>
      <c r="L777" s="172">
        <f>IF('Оперативный ввод'!L777="","",'Оперативный ввод'!L777)</f>
        <v/>
      </c>
      <c r="M777" s="172">
        <f>IF('Оперативный ввод'!M777="","",'Оперативный ввод'!M777)</f>
        <v/>
      </c>
      <c r="N777" s="172">
        <f>IF('Оперативный ввод'!N777="","",'Оперативный ввод'!N777)</f>
        <v/>
      </c>
      <c r="O777" s="172">
        <f>IF('Оперативный ввод'!O777="","",'Оперативный ввод'!O777)</f>
        <v/>
      </c>
      <c r="P777" s="205">
        <f>IF(AND(A777="",B777=""),"",IF(AND(A777&lt;&gt;"",B777&lt;&gt;"",C777&lt;&gt;"",D777&lt;&gt;"",F777&lt;&gt;"",G777&lt;&gt;"",H777&lt;&gt;"",ISERROR(SEARCH("по паспорту",G777)),ISERROR(SEARCH("по паспорту",H777)),I777&lt;&gt;"",J777&lt;&gt;"",K777&lt;&gt;"",L777&lt;&gt;"",M777&lt;&gt;""),"ГОТОВО","НЕ ГОТОВО"))</f>
        <v/>
      </c>
      <c r="Q777" s="205">
        <f>IF(P777&lt;&gt;"ГОТОВО","", "Предварительное заключение: "&amp;A777&amp;", скв. "&amp;B777&amp;". МРП: "&amp;E777&amp;" сут. ГНО: "&amp;F777&amp;", типоразмер "&amp;G777&amp;", марка "&amp;H777&amp;". Событие: "&amp;I777&amp;". Признак: "&amp;J777&amp;". Узел: "&amp;K777&amp;". Предварительная причина: "&amp;L777&amp;". Основное осложнение: "&amp;M777&amp;IF(N777&lt;&gt;"","; сопутствующее: "&amp;N777,"")&amp;IF(O777&lt;&gt;"","; дополнительно: "&amp;O777,"")&amp;".")</f>
        <v/>
      </c>
      <c r="R777" s="172">
        <f>IF('Оперативный ввод'!P777="","",'Оперативный ввод'!P777)</f>
        <v/>
      </c>
      <c r="S777" s="172">
        <f>IF('Оперативный ввод'!Q777="","",'Оперативный ввод'!Q777)</f>
        <v/>
      </c>
      <c r="T777" s="172">
        <f>IF('Оперативный ввод'!R777="","",'Оперативный ввод'!R777)</f>
        <v/>
      </c>
      <c r="U777" s="172">
        <f>IF('Оперативный ввод'!S777="","",'Оперативный ввод'!S777)</f>
        <v/>
      </c>
      <c r="V777" s="172">
        <f>IF('Оперативный ввод'!T777="","",'Оперативный ввод'!T777)</f>
        <v/>
      </c>
      <c r="W777" s="172" t="n"/>
      <c r="X777" s="172" t="n"/>
      <c r="Y777" s="172" t="n"/>
      <c r="Z777" s="172" t="n"/>
      <c r="AA777" s="172">
        <f>IF('Оперативный ввод'!U777="","",'Оперативный ввод'!U777)</f>
        <v/>
      </c>
      <c r="AB777" s="172">
        <f>IF('Оперативный ввод'!V777="","",'Оперативный ввод'!V777)</f>
        <v/>
      </c>
      <c r="AC777" s="172">
        <f>IF('Оперативный ввод'!W777="","",'Оперативный ввод'!W777)</f>
        <v/>
      </c>
      <c r="BB777" s="172" t="n"/>
      <c r="BC777" s="172" t="n"/>
      <c r="BD777" s="205">
        <f>IF(AND(A777="",B777=""),"",IF(AND(P777="ГОТОВО",R777&lt;&gt;"",T777&lt;&gt;"",U777&lt;&gt;"",AA777&lt;&gt;"",AB777&lt;&gt;"",AC777&lt;&gt;"",BB777&lt;&gt;"",BC777&lt;&gt;""),"ГОТОВО","НЕ ГОТОВО"))</f>
        <v/>
      </c>
      <c r="BE777" s="205">
        <f>IF(BD777&lt;&gt;"ГОТОВО","","Полное заключение: "&amp;A777&amp;", скв. "&amp;B777&amp;". МРП: "&amp;E777&amp;" сут. ГНО: "&amp;F777&amp;"; причина: "&amp;U777&amp;"; категория: "&amp;V777&amp;"; решение комиссии: "&amp;BB777&amp;".")</f>
        <v/>
      </c>
      <c r="BF777" s="173">
        <f>IF('Оперативный ввод'!X777="","",'Оперативный ввод'!X777)</f>
        <v/>
      </c>
    </row>
    <row r="778">
      <c r="A778" s="171">
        <f>IF('Оперативный ввод'!A778="","",'Оперативный ввод'!A778)</f>
        <v/>
      </c>
      <c r="B778" s="172">
        <f>IF('Оперативный ввод'!B778="","",'Оперативный ввод'!B778)</f>
        <v/>
      </c>
      <c r="C778" s="270">
        <f>IF('Оперативный ввод'!C778="","",'Оперативный ввод'!C778)</f>
        <v/>
      </c>
      <c r="D778" s="270">
        <f>IF('Оперативный ввод'!D778="","",'Оперативный ввод'!D778)</f>
        <v/>
      </c>
      <c r="E778" s="271">
        <f>IF(OR(C778="",D778=""),"",D778-C778)</f>
        <v/>
      </c>
      <c r="F778" s="172">
        <f>IF('Оперативный ввод'!F778="","",'Оперативный ввод'!F778)</f>
        <v/>
      </c>
      <c r="G778" s="172">
        <f>IF('Оперативный ввод'!G778="","",'Оперативный ввод'!G778)</f>
        <v/>
      </c>
      <c r="H778" s="172">
        <f>IF('Оперативный ввод'!H778="","",'Оперативный ввод'!H778)</f>
        <v/>
      </c>
      <c r="I778" s="172">
        <f>IF('Оперативный ввод'!I778="","",'Оперативный ввод'!I778)</f>
        <v/>
      </c>
      <c r="J778" s="172">
        <f>IF('Оперативный ввод'!J778="","",'Оперативный ввод'!J778)</f>
        <v/>
      </c>
      <c r="K778" s="172">
        <f>IF('Оперативный ввод'!K778="","",'Оперативный ввод'!K778)</f>
        <v/>
      </c>
      <c r="L778" s="172">
        <f>IF('Оперативный ввод'!L778="","",'Оперативный ввод'!L778)</f>
        <v/>
      </c>
      <c r="M778" s="172">
        <f>IF('Оперативный ввод'!M778="","",'Оперативный ввод'!M778)</f>
        <v/>
      </c>
      <c r="N778" s="172">
        <f>IF('Оперативный ввод'!N778="","",'Оперативный ввод'!N778)</f>
        <v/>
      </c>
      <c r="O778" s="172">
        <f>IF('Оперативный ввод'!O778="","",'Оперативный ввод'!O778)</f>
        <v/>
      </c>
      <c r="P778" s="205">
        <f>IF(AND(A778="",B778=""),"",IF(AND(A778&lt;&gt;"",B778&lt;&gt;"",C778&lt;&gt;"",D778&lt;&gt;"",F778&lt;&gt;"",G778&lt;&gt;"",H778&lt;&gt;"",ISERROR(SEARCH("по паспорту",G778)),ISERROR(SEARCH("по паспорту",H778)),I778&lt;&gt;"",J778&lt;&gt;"",K778&lt;&gt;"",L778&lt;&gt;"",M778&lt;&gt;""),"ГОТОВО","НЕ ГОТОВО"))</f>
        <v/>
      </c>
      <c r="Q778" s="205">
        <f>IF(P778&lt;&gt;"ГОТОВО","", "Предварительное заключение: "&amp;A778&amp;", скв. "&amp;B778&amp;". МРП: "&amp;E778&amp;" сут. ГНО: "&amp;F778&amp;", типоразмер "&amp;G778&amp;", марка "&amp;H778&amp;". Событие: "&amp;I778&amp;". Признак: "&amp;J778&amp;". Узел: "&amp;K778&amp;". Предварительная причина: "&amp;L778&amp;". Основное осложнение: "&amp;M778&amp;IF(N778&lt;&gt;"","; сопутствующее: "&amp;N778,"")&amp;IF(O778&lt;&gt;"","; дополнительно: "&amp;O778,"")&amp;".")</f>
        <v/>
      </c>
      <c r="R778" s="172">
        <f>IF('Оперативный ввод'!P778="","",'Оперативный ввод'!P778)</f>
        <v/>
      </c>
      <c r="S778" s="172">
        <f>IF('Оперативный ввод'!Q778="","",'Оперативный ввод'!Q778)</f>
        <v/>
      </c>
      <c r="T778" s="172">
        <f>IF('Оперативный ввод'!R778="","",'Оперативный ввод'!R778)</f>
        <v/>
      </c>
      <c r="U778" s="172">
        <f>IF('Оперативный ввод'!S778="","",'Оперативный ввод'!S778)</f>
        <v/>
      </c>
      <c r="V778" s="172">
        <f>IF('Оперативный ввод'!T778="","",'Оперативный ввод'!T778)</f>
        <v/>
      </c>
      <c r="W778" s="172" t="n"/>
      <c r="X778" s="172" t="n"/>
      <c r="Y778" s="172" t="n"/>
      <c r="Z778" s="172" t="n"/>
      <c r="AA778" s="172">
        <f>IF('Оперативный ввод'!U778="","",'Оперативный ввод'!U778)</f>
        <v/>
      </c>
      <c r="AB778" s="172">
        <f>IF('Оперативный ввод'!V778="","",'Оперативный ввод'!V778)</f>
        <v/>
      </c>
      <c r="AC778" s="172">
        <f>IF('Оперативный ввод'!W778="","",'Оперативный ввод'!W778)</f>
        <v/>
      </c>
      <c r="BB778" s="172" t="n"/>
      <c r="BC778" s="172" t="n"/>
      <c r="BD778" s="205">
        <f>IF(AND(A778="",B778=""),"",IF(AND(P778="ГОТОВО",R778&lt;&gt;"",T778&lt;&gt;"",U778&lt;&gt;"",AA778&lt;&gt;"",AB778&lt;&gt;"",AC778&lt;&gt;"",BB778&lt;&gt;"",BC778&lt;&gt;""),"ГОТОВО","НЕ ГОТОВО"))</f>
        <v/>
      </c>
      <c r="BE778" s="205">
        <f>IF(BD778&lt;&gt;"ГОТОВО","","Полное заключение: "&amp;A778&amp;", скв. "&amp;B778&amp;". МРП: "&amp;E778&amp;" сут. ГНО: "&amp;F778&amp;"; причина: "&amp;U778&amp;"; категория: "&amp;V778&amp;"; решение комиссии: "&amp;BB778&amp;".")</f>
        <v/>
      </c>
      <c r="BF778" s="173">
        <f>IF('Оперативный ввод'!X778="","",'Оперативный ввод'!X778)</f>
        <v/>
      </c>
    </row>
    <row r="779">
      <c r="A779" s="171">
        <f>IF('Оперативный ввод'!A779="","",'Оперативный ввод'!A779)</f>
        <v/>
      </c>
      <c r="B779" s="172">
        <f>IF('Оперативный ввод'!B779="","",'Оперативный ввод'!B779)</f>
        <v/>
      </c>
      <c r="C779" s="270">
        <f>IF('Оперативный ввод'!C779="","",'Оперативный ввод'!C779)</f>
        <v/>
      </c>
      <c r="D779" s="270">
        <f>IF('Оперативный ввод'!D779="","",'Оперативный ввод'!D779)</f>
        <v/>
      </c>
      <c r="E779" s="271">
        <f>IF(OR(C779="",D779=""),"",D779-C779)</f>
        <v/>
      </c>
      <c r="F779" s="172">
        <f>IF('Оперативный ввод'!F779="","",'Оперативный ввод'!F779)</f>
        <v/>
      </c>
      <c r="G779" s="172">
        <f>IF('Оперативный ввод'!G779="","",'Оперативный ввод'!G779)</f>
        <v/>
      </c>
      <c r="H779" s="172">
        <f>IF('Оперативный ввод'!H779="","",'Оперативный ввод'!H779)</f>
        <v/>
      </c>
      <c r="I779" s="172">
        <f>IF('Оперативный ввод'!I779="","",'Оперативный ввод'!I779)</f>
        <v/>
      </c>
      <c r="J779" s="172">
        <f>IF('Оперативный ввод'!J779="","",'Оперативный ввод'!J779)</f>
        <v/>
      </c>
      <c r="K779" s="172">
        <f>IF('Оперативный ввод'!K779="","",'Оперативный ввод'!K779)</f>
        <v/>
      </c>
      <c r="L779" s="172">
        <f>IF('Оперативный ввод'!L779="","",'Оперативный ввод'!L779)</f>
        <v/>
      </c>
      <c r="M779" s="172">
        <f>IF('Оперативный ввод'!M779="","",'Оперативный ввод'!M779)</f>
        <v/>
      </c>
      <c r="N779" s="172">
        <f>IF('Оперативный ввод'!N779="","",'Оперативный ввод'!N779)</f>
        <v/>
      </c>
      <c r="O779" s="172">
        <f>IF('Оперативный ввод'!O779="","",'Оперативный ввод'!O779)</f>
        <v/>
      </c>
      <c r="P779" s="205">
        <f>IF(AND(A779="",B779=""),"",IF(AND(A779&lt;&gt;"",B779&lt;&gt;"",C779&lt;&gt;"",D779&lt;&gt;"",F779&lt;&gt;"",G779&lt;&gt;"",H779&lt;&gt;"",ISERROR(SEARCH("по паспорту",G779)),ISERROR(SEARCH("по паспорту",H779)),I779&lt;&gt;"",J779&lt;&gt;"",K779&lt;&gt;"",L779&lt;&gt;"",M779&lt;&gt;""),"ГОТОВО","НЕ ГОТОВО"))</f>
        <v/>
      </c>
      <c r="Q779" s="205">
        <f>IF(P779&lt;&gt;"ГОТОВО","", "Предварительное заключение: "&amp;A779&amp;", скв. "&amp;B779&amp;". МРП: "&amp;E779&amp;" сут. ГНО: "&amp;F779&amp;", типоразмер "&amp;G779&amp;", марка "&amp;H779&amp;". Событие: "&amp;I779&amp;". Признак: "&amp;J779&amp;". Узел: "&amp;K779&amp;". Предварительная причина: "&amp;L779&amp;". Основное осложнение: "&amp;M779&amp;IF(N779&lt;&gt;"","; сопутствующее: "&amp;N779,"")&amp;IF(O779&lt;&gt;"","; дополнительно: "&amp;O779,"")&amp;".")</f>
        <v/>
      </c>
      <c r="R779" s="172">
        <f>IF('Оперативный ввод'!P779="","",'Оперативный ввод'!P779)</f>
        <v/>
      </c>
      <c r="S779" s="172">
        <f>IF('Оперативный ввод'!Q779="","",'Оперативный ввод'!Q779)</f>
        <v/>
      </c>
      <c r="T779" s="172">
        <f>IF('Оперативный ввод'!R779="","",'Оперативный ввод'!R779)</f>
        <v/>
      </c>
      <c r="U779" s="172">
        <f>IF('Оперативный ввод'!S779="","",'Оперативный ввод'!S779)</f>
        <v/>
      </c>
      <c r="V779" s="172">
        <f>IF('Оперативный ввод'!T779="","",'Оперативный ввод'!T779)</f>
        <v/>
      </c>
      <c r="W779" s="172" t="n"/>
      <c r="X779" s="172" t="n"/>
      <c r="Y779" s="172" t="n"/>
      <c r="Z779" s="172" t="n"/>
      <c r="AA779" s="172">
        <f>IF('Оперативный ввод'!U779="","",'Оперативный ввод'!U779)</f>
        <v/>
      </c>
      <c r="AB779" s="172">
        <f>IF('Оперативный ввод'!V779="","",'Оперативный ввод'!V779)</f>
        <v/>
      </c>
      <c r="AC779" s="172">
        <f>IF('Оперативный ввод'!W779="","",'Оперативный ввод'!W779)</f>
        <v/>
      </c>
      <c r="BB779" s="172" t="n"/>
      <c r="BC779" s="172" t="n"/>
      <c r="BD779" s="205">
        <f>IF(AND(A779="",B779=""),"",IF(AND(P779="ГОТОВО",R779&lt;&gt;"",T779&lt;&gt;"",U779&lt;&gt;"",AA779&lt;&gt;"",AB779&lt;&gt;"",AC779&lt;&gt;"",BB779&lt;&gt;"",BC779&lt;&gt;""),"ГОТОВО","НЕ ГОТОВО"))</f>
        <v/>
      </c>
      <c r="BE779" s="205">
        <f>IF(BD779&lt;&gt;"ГОТОВО","","Полное заключение: "&amp;A779&amp;", скв. "&amp;B779&amp;". МРП: "&amp;E779&amp;" сут. ГНО: "&amp;F779&amp;"; причина: "&amp;U779&amp;"; категория: "&amp;V779&amp;"; решение комиссии: "&amp;BB779&amp;".")</f>
        <v/>
      </c>
      <c r="BF779" s="173">
        <f>IF('Оперативный ввод'!X779="","",'Оперативный ввод'!X779)</f>
        <v/>
      </c>
    </row>
    <row r="780">
      <c r="A780" s="171">
        <f>IF('Оперативный ввод'!A780="","",'Оперативный ввод'!A780)</f>
        <v/>
      </c>
      <c r="B780" s="172">
        <f>IF('Оперативный ввод'!B780="","",'Оперативный ввод'!B780)</f>
        <v/>
      </c>
      <c r="C780" s="270">
        <f>IF('Оперативный ввод'!C780="","",'Оперативный ввод'!C780)</f>
        <v/>
      </c>
      <c r="D780" s="270">
        <f>IF('Оперативный ввод'!D780="","",'Оперативный ввод'!D780)</f>
        <v/>
      </c>
      <c r="E780" s="271">
        <f>IF(OR(C780="",D780=""),"",D780-C780)</f>
        <v/>
      </c>
      <c r="F780" s="172">
        <f>IF('Оперативный ввод'!F780="","",'Оперативный ввод'!F780)</f>
        <v/>
      </c>
      <c r="G780" s="172">
        <f>IF('Оперативный ввод'!G780="","",'Оперативный ввод'!G780)</f>
        <v/>
      </c>
      <c r="H780" s="172">
        <f>IF('Оперативный ввод'!H780="","",'Оперативный ввод'!H780)</f>
        <v/>
      </c>
      <c r="I780" s="172">
        <f>IF('Оперативный ввод'!I780="","",'Оперативный ввод'!I780)</f>
        <v/>
      </c>
      <c r="J780" s="172">
        <f>IF('Оперативный ввод'!J780="","",'Оперативный ввод'!J780)</f>
        <v/>
      </c>
      <c r="K780" s="172">
        <f>IF('Оперативный ввод'!K780="","",'Оперативный ввод'!K780)</f>
        <v/>
      </c>
      <c r="L780" s="172">
        <f>IF('Оперативный ввод'!L780="","",'Оперативный ввод'!L780)</f>
        <v/>
      </c>
      <c r="M780" s="172">
        <f>IF('Оперативный ввод'!M780="","",'Оперативный ввод'!M780)</f>
        <v/>
      </c>
      <c r="N780" s="172">
        <f>IF('Оперативный ввод'!N780="","",'Оперативный ввод'!N780)</f>
        <v/>
      </c>
      <c r="O780" s="172">
        <f>IF('Оперативный ввод'!O780="","",'Оперативный ввод'!O780)</f>
        <v/>
      </c>
      <c r="P780" s="205">
        <f>IF(AND(A780="",B780=""),"",IF(AND(A780&lt;&gt;"",B780&lt;&gt;"",C780&lt;&gt;"",D780&lt;&gt;"",F780&lt;&gt;"",G780&lt;&gt;"",H780&lt;&gt;"",ISERROR(SEARCH("по паспорту",G780)),ISERROR(SEARCH("по паспорту",H780)),I780&lt;&gt;"",J780&lt;&gt;"",K780&lt;&gt;"",L780&lt;&gt;"",M780&lt;&gt;""),"ГОТОВО","НЕ ГОТОВО"))</f>
        <v/>
      </c>
      <c r="Q780" s="205">
        <f>IF(P780&lt;&gt;"ГОТОВО","", "Предварительное заключение: "&amp;A780&amp;", скв. "&amp;B780&amp;". МРП: "&amp;E780&amp;" сут. ГНО: "&amp;F780&amp;", типоразмер "&amp;G780&amp;", марка "&amp;H780&amp;". Событие: "&amp;I780&amp;". Признак: "&amp;J780&amp;". Узел: "&amp;K780&amp;". Предварительная причина: "&amp;L780&amp;". Основное осложнение: "&amp;M780&amp;IF(N780&lt;&gt;"","; сопутствующее: "&amp;N780,"")&amp;IF(O780&lt;&gt;"","; дополнительно: "&amp;O780,"")&amp;".")</f>
        <v/>
      </c>
      <c r="R780" s="172">
        <f>IF('Оперативный ввод'!P780="","",'Оперативный ввод'!P780)</f>
        <v/>
      </c>
      <c r="S780" s="172">
        <f>IF('Оперативный ввод'!Q780="","",'Оперативный ввод'!Q780)</f>
        <v/>
      </c>
      <c r="T780" s="172">
        <f>IF('Оперативный ввод'!R780="","",'Оперативный ввод'!R780)</f>
        <v/>
      </c>
      <c r="U780" s="172">
        <f>IF('Оперативный ввод'!S780="","",'Оперативный ввод'!S780)</f>
        <v/>
      </c>
      <c r="V780" s="172">
        <f>IF('Оперативный ввод'!T780="","",'Оперативный ввод'!T780)</f>
        <v/>
      </c>
      <c r="W780" s="172" t="n"/>
      <c r="X780" s="172" t="n"/>
      <c r="Y780" s="172" t="n"/>
      <c r="Z780" s="172" t="n"/>
      <c r="AA780" s="172">
        <f>IF('Оперативный ввод'!U780="","",'Оперативный ввод'!U780)</f>
        <v/>
      </c>
      <c r="AB780" s="172">
        <f>IF('Оперативный ввод'!V780="","",'Оперативный ввод'!V780)</f>
        <v/>
      </c>
      <c r="AC780" s="172">
        <f>IF('Оперативный ввод'!W780="","",'Оперативный ввод'!W780)</f>
        <v/>
      </c>
      <c r="BB780" s="172" t="n"/>
      <c r="BC780" s="172" t="n"/>
      <c r="BD780" s="205">
        <f>IF(AND(A780="",B780=""),"",IF(AND(P780="ГОТОВО",R780&lt;&gt;"",T780&lt;&gt;"",U780&lt;&gt;"",AA780&lt;&gt;"",AB780&lt;&gt;"",AC780&lt;&gt;"",BB780&lt;&gt;"",BC780&lt;&gt;""),"ГОТОВО","НЕ ГОТОВО"))</f>
        <v/>
      </c>
      <c r="BE780" s="205">
        <f>IF(BD780&lt;&gt;"ГОТОВО","","Полное заключение: "&amp;A780&amp;", скв. "&amp;B780&amp;". МРП: "&amp;E780&amp;" сут. ГНО: "&amp;F780&amp;"; причина: "&amp;U780&amp;"; категория: "&amp;V780&amp;"; решение комиссии: "&amp;BB780&amp;".")</f>
        <v/>
      </c>
      <c r="BF780" s="173">
        <f>IF('Оперативный ввод'!X780="","",'Оперативный ввод'!X780)</f>
        <v/>
      </c>
    </row>
    <row r="781">
      <c r="A781" s="171">
        <f>IF('Оперативный ввод'!A781="","",'Оперативный ввод'!A781)</f>
        <v/>
      </c>
      <c r="B781" s="172">
        <f>IF('Оперативный ввод'!B781="","",'Оперативный ввод'!B781)</f>
        <v/>
      </c>
      <c r="C781" s="270">
        <f>IF('Оперативный ввод'!C781="","",'Оперативный ввод'!C781)</f>
        <v/>
      </c>
      <c r="D781" s="270">
        <f>IF('Оперативный ввод'!D781="","",'Оперативный ввод'!D781)</f>
        <v/>
      </c>
      <c r="E781" s="271">
        <f>IF(OR(C781="",D781=""),"",D781-C781)</f>
        <v/>
      </c>
      <c r="F781" s="172">
        <f>IF('Оперативный ввод'!F781="","",'Оперативный ввод'!F781)</f>
        <v/>
      </c>
      <c r="G781" s="172">
        <f>IF('Оперативный ввод'!G781="","",'Оперативный ввод'!G781)</f>
        <v/>
      </c>
      <c r="H781" s="172">
        <f>IF('Оперативный ввод'!H781="","",'Оперативный ввод'!H781)</f>
        <v/>
      </c>
      <c r="I781" s="172">
        <f>IF('Оперативный ввод'!I781="","",'Оперативный ввод'!I781)</f>
        <v/>
      </c>
      <c r="J781" s="172">
        <f>IF('Оперативный ввод'!J781="","",'Оперативный ввод'!J781)</f>
        <v/>
      </c>
      <c r="K781" s="172">
        <f>IF('Оперативный ввод'!K781="","",'Оперативный ввод'!K781)</f>
        <v/>
      </c>
      <c r="L781" s="172">
        <f>IF('Оперативный ввод'!L781="","",'Оперативный ввод'!L781)</f>
        <v/>
      </c>
      <c r="M781" s="172">
        <f>IF('Оперативный ввод'!M781="","",'Оперативный ввод'!M781)</f>
        <v/>
      </c>
      <c r="N781" s="172">
        <f>IF('Оперативный ввод'!N781="","",'Оперативный ввод'!N781)</f>
        <v/>
      </c>
      <c r="O781" s="172">
        <f>IF('Оперативный ввод'!O781="","",'Оперативный ввод'!O781)</f>
        <v/>
      </c>
      <c r="P781" s="205">
        <f>IF(AND(A781="",B781=""),"",IF(AND(A781&lt;&gt;"",B781&lt;&gt;"",C781&lt;&gt;"",D781&lt;&gt;"",F781&lt;&gt;"",G781&lt;&gt;"",H781&lt;&gt;"",ISERROR(SEARCH("по паспорту",G781)),ISERROR(SEARCH("по паспорту",H781)),I781&lt;&gt;"",J781&lt;&gt;"",K781&lt;&gt;"",L781&lt;&gt;"",M781&lt;&gt;""),"ГОТОВО","НЕ ГОТОВО"))</f>
        <v/>
      </c>
      <c r="Q781" s="205">
        <f>IF(P781&lt;&gt;"ГОТОВО","", "Предварительное заключение: "&amp;A781&amp;", скв. "&amp;B781&amp;". МРП: "&amp;E781&amp;" сут. ГНО: "&amp;F781&amp;", типоразмер "&amp;G781&amp;", марка "&amp;H781&amp;". Событие: "&amp;I781&amp;". Признак: "&amp;J781&amp;". Узел: "&amp;K781&amp;". Предварительная причина: "&amp;L781&amp;". Основное осложнение: "&amp;M781&amp;IF(N781&lt;&gt;"","; сопутствующее: "&amp;N781,"")&amp;IF(O781&lt;&gt;"","; дополнительно: "&amp;O781,"")&amp;".")</f>
        <v/>
      </c>
      <c r="R781" s="172">
        <f>IF('Оперативный ввод'!P781="","",'Оперативный ввод'!P781)</f>
        <v/>
      </c>
      <c r="S781" s="172">
        <f>IF('Оперативный ввод'!Q781="","",'Оперативный ввод'!Q781)</f>
        <v/>
      </c>
      <c r="T781" s="172">
        <f>IF('Оперативный ввод'!R781="","",'Оперативный ввод'!R781)</f>
        <v/>
      </c>
      <c r="U781" s="172">
        <f>IF('Оперативный ввод'!S781="","",'Оперативный ввод'!S781)</f>
        <v/>
      </c>
      <c r="V781" s="172">
        <f>IF('Оперативный ввод'!T781="","",'Оперативный ввод'!T781)</f>
        <v/>
      </c>
      <c r="W781" s="172" t="n"/>
      <c r="X781" s="172" t="n"/>
      <c r="Y781" s="172" t="n"/>
      <c r="Z781" s="172" t="n"/>
      <c r="AA781" s="172">
        <f>IF('Оперативный ввод'!U781="","",'Оперативный ввод'!U781)</f>
        <v/>
      </c>
      <c r="AB781" s="172">
        <f>IF('Оперативный ввод'!V781="","",'Оперативный ввод'!V781)</f>
        <v/>
      </c>
      <c r="AC781" s="172">
        <f>IF('Оперативный ввод'!W781="","",'Оперативный ввод'!W781)</f>
        <v/>
      </c>
      <c r="BB781" s="172" t="n"/>
      <c r="BC781" s="172" t="n"/>
      <c r="BD781" s="205">
        <f>IF(AND(A781="",B781=""),"",IF(AND(P781="ГОТОВО",R781&lt;&gt;"",T781&lt;&gt;"",U781&lt;&gt;"",AA781&lt;&gt;"",AB781&lt;&gt;"",AC781&lt;&gt;"",BB781&lt;&gt;"",BC781&lt;&gt;""),"ГОТОВО","НЕ ГОТОВО"))</f>
        <v/>
      </c>
      <c r="BE781" s="205">
        <f>IF(BD781&lt;&gt;"ГОТОВО","","Полное заключение: "&amp;A781&amp;", скв. "&amp;B781&amp;". МРП: "&amp;E781&amp;" сут. ГНО: "&amp;F781&amp;"; причина: "&amp;U781&amp;"; категория: "&amp;V781&amp;"; решение комиссии: "&amp;BB781&amp;".")</f>
        <v/>
      </c>
      <c r="BF781" s="173">
        <f>IF('Оперативный ввод'!X781="","",'Оперативный ввод'!X781)</f>
        <v/>
      </c>
    </row>
    <row r="782">
      <c r="A782" s="171">
        <f>IF('Оперативный ввод'!A782="","",'Оперативный ввод'!A782)</f>
        <v/>
      </c>
      <c r="B782" s="172">
        <f>IF('Оперативный ввод'!B782="","",'Оперативный ввод'!B782)</f>
        <v/>
      </c>
      <c r="C782" s="270">
        <f>IF('Оперативный ввод'!C782="","",'Оперативный ввод'!C782)</f>
        <v/>
      </c>
      <c r="D782" s="270">
        <f>IF('Оперативный ввод'!D782="","",'Оперативный ввод'!D782)</f>
        <v/>
      </c>
      <c r="E782" s="271">
        <f>IF(OR(C782="",D782=""),"",D782-C782)</f>
        <v/>
      </c>
      <c r="F782" s="172">
        <f>IF('Оперативный ввод'!F782="","",'Оперативный ввод'!F782)</f>
        <v/>
      </c>
      <c r="G782" s="172">
        <f>IF('Оперативный ввод'!G782="","",'Оперативный ввод'!G782)</f>
        <v/>
      </c>
      <c r="H782" s="172">
        <f>IF('Оперативный ввод'!H782="","",'Оперативный ввод'!H782)</f>
        <v/>
      </c>
      <c r="I782" s="172">
        <f>IF('Оперативный ввод'!I782="","",'Оперативный ввод'!I782)</f>
        <v/>
      </c>
      <c r="J782" s="172">
        <f>IF('Оперативный ввод'!J782="","",'Оперативный ввод'!J782)</f>
        <v/>
      </c>
      <c r="K782" s="172">
        <f>IF('Оперативный ввод'!K782="","",'Оперативный ввод'!K782)</f>
        <v/>
      </c>
      <c r="L782" s="172">
        <f>IF('Оперативный ввод'!L782="","",'Оперативный ввод'!L782)</f>
        <v/>
      </c>
      <c r="M782" s="172">
        <f>IF('Оперативный ввод'!M782="","",'Оперативный ввод'!M782)</f>
        <v/>
      </c>
      <c r="N782" s="172">
        <f>IF('Оперативный ввод'!N782="","",'Оперативный ввод'!N782)</f>
        <v/>
      </c>
      <c r="O782" s="172">
        <f>IF('Оперативный ввод'!O782="","",'Оперативный ввод'!O782)</f>
        <v/>
      </c>
      <c r="P782" s="205">
        <f>IF(AND(A782="",B782=""),"",IF(AND(A782&lt;&gt;"",B782&lt;&gt;"",C782&lt;&gt;"",D782&lt;&gt;"",F782&lt;&gt;"",G782&lt;&gt;"",H782&lt;&gt;"",ISERROR(SEARCH("по паспорту",G782)),ISERROR(SEARCH("по паспорту",H782)),I782&lt;&gt;"",J782&lt;&gt;"",K782&lt;&gt;"",L782&lt;&gt;"",M782&lt;&gt;""),"ГОТОВО","НЕ ГОТОВО"))</f>
        <v/>
      </c>
      <c r="Q782" s="205">
        <f>IF(P782&lt;&gt;"ГОТОВО","", "Предварительное заключение: "&amp;A782&amp;", скв. "&amp;B782&amp;". МРП: "&amp;E782&amp;" сут. ГНО: "&amp;F782&amp;", типоразмер "&amp;G782&amp;", марка "&amp;H782&amp;". Событие: "&amp;I782&amp;". Признак: "&amp;J782&amp;". Узел: "&amp;K782&amp;". Предварительная причина: "&amp;L782&amp;". Основное осложнение: "&amp;M782&amp;IF(N782&lt;&gt;"","; сопутствующее: "&amp;N782,"")&amp;IF(O782&lt;&gt;"","; дополнительно: "&amp;O782,"")&amp;".")</f>
        <v/>
      </c>
      <c r="R782" s="172">
        <f>IF('Оперативный ввод'!P782="","",'Оперативный ввод'!P782)</f>
        <v/>
      </c>
      <c r="S782" s="172">
        <f>IF('Оперативный ввод'!Q782="","",'Оперативный ввод'!Q782)</f>
        <v/>
      </c>
      <c r="T782" s="172">
        <f>IF('Оперативный ввод'!R782="","",'Оперативный ввод'!R782)</f>
        <v/>
      </c>
      <c r="U782" s="172">
        <f>IF('Оперативный ввод'!S782="","",'Оперативный ввод'!S782)</f>
        <v/>
      </c>
      <c r="V782" s="172">
        <f>IF('Оперативный ввод'!T782="","",'Оперативный ввод'!T782)</f>
        <v/>
      </c>
      <c r="W782" s="172" t="n"/>
      <c r="X782" s="172" t="n"/>
      <c r="Y782" s="172" t="n"/>
      <c r="Z782" s="172" t="n"/>
      <c r="AA782" s="172">
        <f>IF('Оперативный ввод'!U782="","",'Оперативный ввод'!U782)</f>
        <v/>
      </c>
      <c r="AB782" s="172">
        <f>IF('Оперативный ввод'!V782="","",'Оперативный ввод'!V782)</f>
        <v/>
      </c>
      <c r="AC782" s="172">
        <f>IF('Оперативный ввод'!W782="","",'Оперативный ввод'!W782)</f>
        <v/>
      </c>
      <c r="BB782" s="172" t="n"/>
      <c r="BC782" s="172" t="n"/>
      <c r="BD782" s="205">
        <f>IF(AND(A782="",B782=""),"",IF(AND(P782="ГОТОВО",R782&lt;&gt;"",T782&lt;&gt;"",U782&lt;&gt;"",AA782&lt;&gt;"",AB782&lt;&gt;"",AC782&lt;&gt;"",BB782&lt;&gt;"",BC782&lt;&gt;""),"ГОТОВО","НЕ ГОТОВО"))</f>
        <v/>
      </c>
      <c r="BE782" s="205">
        <f>IF(BD782&lt;&gt;"ГОТОВО","","Полное заключение: "&amp;A782&amp;", скв. "&amp;B782&amp;". МРП: "&amp;E782&amp;" сут. ГНО: "&amp;F782&amp;"; причина: "&amp;U782&amp;"; категория: "&amp;V782&amp;"; решение комиссии: "&amp;BB782&amp;".")</f>
        <v/>
      </c>
      <c r="BF782" s="173">
        <f>IF('Оперативный ввод'!X782="","",'Оперативный ввод'!X782)</f>
        <v/>
      </c>
    </row>
    <row r="783">
      <c r="A783" s="171">
        <f>IF('Оперативный ввод'!A783="","",'Оперативный ввод'!A783)</f>
        <v/>
      </c>
      <c r="B783" s="172">
        <f>IF('Оперативный ввод'!B783="","",'Оперативный ввод'!B783)</f>
        <v/>
      </c>
      <c r="C783" s="270">
        <f>IF('Оперативный ввод'!C783="","",'Оперативный ввод'!C783)</f>
        <v/>
      </c>
      <c r="D783" s="270">
        <f>IF('Оперативный ввод'!D783="","",'Оперативный ввод'!D783)</f>
        <v/>
      </c>
      <c r="E783" s="271">
        <f>IF(OR(C783="",D783=""),"",D783-C783)</f>
        <v/>
      </c>
      <c r="F783" s="172">
        <f>IF('Оперативный ввод'!F783="","",'Оперативный ввод'!F783)</f>
        <v/>
      </c>
      <c r="G783" s="172">
        <f>IF('Оперативный ввод'!G783="","",'Оперативный ввод'!G783)</f>
        <v/>
      </c>
      <c r="H783" s="172">
        <f>IF('Оперативный ввод'!H783="","",'Оперативный ввод'!H783)</f>
        <v/>
      </c>
      <c r="I783" s="172">
        <f>IF('Оперативный ввод'!I783="","",'Оперативный ввод'!I783)</f>
        <v/>
      </c>
      <c r="J783" s="172">
        <f>IF('Оперативный ввод'!J783="","",'Оперативный ввод'!J783)</f>
        <v/>
      </c>
      <c r="K783" s="172">
        <f>IF('Оперативный ввод'!K783="","",'Оперативный ввод'!K783)</f>
        <v/>
      </c>
      <c r="L783" s="172">
        <f>IF('Оперативный ввод'!L783="","",'Оперативный ввод'!L783)</f>
        <v/>
      </c>
      <c r="M783" s="172">
        <f>IF('Оперативный ввод'!M783="","",'Оперативный ввод'!M783)</f>
        <v/>
      </c>
      <c r="N783" s="172">
        <f>IF('Оперативный ввод'!N783="","",'Оперативный ввод'!N783)</f>
        <v/>
      </c>
      <c r="O783" s="172">
        <f>IF('Оперативный ввод'!O783="","",'Оперативный ввод'!O783)</f>
        <v/>
      </c>
      <c r="P783" s="205">
        <f>IF(AND(A783="",B783=""),"",IF(AND(A783&lt;&gt;"",B783&lt;&gt;"",C783&lt;&gt;"",D783&lt;&gt;"",F783&lt;&gt;"",G783&lt;&gt;"",H783&lt;&gt;"",ISERROR(SEARCH("по паспорту",G783)),ISERROR(SEARCH("по паспорту",H783)),I783&lt;&gt;"",J783&lt;&gt;"",K783&lt;&gt;"",L783&lt;&gt;"",M783&lt;&gt;""),"ГОТОВО","НЕ ГОТОВО"))</f>
        <v/>
      </c>
      <c r="Q783" s="205">
        <f>IF(P783&lt;&gt;"ГОТОВО","", "Предварительное заключение: "&amp;A783&amp;", скв. "&amp;B783&amp;". МРП: "&amp;E783&amp;" сут. ГНО: "&amp;F783&amp;", типоразмер "&amp;G783&amp;", марка "&amp;H783&amp;". Событие: "&amp;I783&amp;". Признак: "&amp;J783&amp;". Узел: "&amp;K783&amp;". Предварительная причина: "&amp;L783&amp;". Основное осложнение: "&amp;M783&amp;IF(N783&lt;&gt;"","; сопутствующее: "&amp;N783,"")&amp;IF(O783&lt;&gt;"","; дополнительно: "&amp;O783,"")&amp;".")</f>
        <v/>
      </c>
      <c r="R783" s="172">
        <f>IF('Оперативный ввод'!P783="","",'Оперативный ввод'!P783)</f>
        <v/>
      </c>
      <c r="S783" s="172">
        <f>IF('Оперативный ввод'!Q783="","",'Оперативный ввод'!Q783)</f>
        <v/>
      </c>
      <c r="T783" s="172">
        <f>IF('Оперативный ввод'!R783="","",'Оперативный ввод'!R783)</f>
        <v/>
      </c>
      <c r="U783" s="172">
        <f>IF('Оперативный ввод'!S783="","",'Оперативный ввод'!S783)</f>
        <v/>
      </c>
      <c r="V783" s="172">
        <f>IF('Оперативный ввод'!T783="","",'Оперативный ввод'!T783)</f>
        <v/>
      </c>
      <c r="W783" s="172" t="n"/>
      <c r="X783" s="172" t="n"/>
      <c r="Y783" s="172" t="n"/>
      <c r="Z783" s="172" t="n"/>
      <c r="AA783" s="172">
        <f>IF('Оперативный ввод'!U783="","",'Оперативный ввод'!U783)</f>
        <v/>
      </c>
      <c r="AB783" s="172">
        <f>IF('Оперативный ввод'!V783="","",'Оперативный ввод'!V783)</f>
        <v/>
      </c>
      <c r="AC783" s="172">
        <f>IF('Оперативный ввод'!W783="","",'Оперативный ввод'!W783)</f>
        <v/>
      </c>
      <c r="BB783" s="172" t="n"/>
      <c r="BC783" s="172" t="n"/>
      <c r="BD783" s="205">
        <f>IF(AND(A783="",B783=""),"",IF(AND(P783="ГОТОВО",R783&lt;&gt;"",T783&lt;&gt;"",U783&lt;&gt;"",AA783&lt;&gt;"",AB783&lt;&gt;"",AC783&lt;&gt;"",BB783&lt;&gt;"",BC783&lt;&gt;""),"ГОТОВО","НЕ ГОТОВО"))</f>
        <v/>
      </c>
      <c r="BE783" s="205">
        <f>IF(BD783&lt;&gt;"ГОТОВО","","Полное заключение: "&amp;A783&amp;", скв. "&amp;B783&amp;". МРП: "&amp;E783&amp;" сут. ГНО: "&amp;F783&amp;"; причина: "&amp;U783&amp;"; категория: "&amp;V783&amp;"; решение комиссии: "&amp;BB783&amp;".")</f>
        <v/>
      </c>
      <c r="BF783" s="173">
        <f>IF('Оперативный ввод'!X783="","",'Оперативный ввод'!X783)</f>
        <v/>
      </c>
    </row>
    <row r="784">
      <c r="A784" s="171">
        <f>IF('Оперативный ввод'!A784="","",'Оперативный ввод'!A784)</f>
        <v/>
      </c>
      <c r="B784" s="172">
        <f>IF('Оперативный ввод'!B784="","",'Оперативный ввод'!B784)</f>
        <v/>
      </c>
      <c r="C784" s="270">
        <f>IF('Оперативный ввод'!C784="","",'Оперативный ввод'!C784)</f>
        <v/>
      </c>
      <c r="D784" s="270">
        <f>IF('Оперативный ввод'!D784="","",'Оперативный ввод'!D784)</f>
        <v/>
      </c>
      <c r="E784" s="271">
        <f>IF(OR(C784="",D784=""),"",D784-C784)</f>
        <v/>
      </c>
      <c r="F784" s="172">
        <f>IF('Оперативный ввод'!F784="","",'Оперативный ввод'!F784)</f>
        <v/>
      </c>
      <c r="G784" s="172">
        <f>IF('Оперативный ввод'!G784="","",'Оперативный ввод'!G784)</f>
        <v/>
      </c>
      <c r="H784" s="172">
        <f>IF('Оперативный ввод'!H784="","",'Оперативный ввод'!H784)</f>
        <v/>
      </c>
      <c r="I784" s="172">
        <f>IF('Оперативный ввод'!I784="","",'Оперативный ввод'!I784)</f>
        <v/>
      </c>
      <c r="J784" s="172">
        <f>IF('Оперативный ввод'!J784="","",'Оперативный ввод'!J784)</f>
        <v/>
      </c>
      <c r="K784" s="172">
        <f>IF('Оперативный ввод'!K784="","",'Оперативный ввод'!K784)</f>
        <v/>
      </c>
      <c r="L784" s="172">
        <f>IF('Оперативный ввод'!L784="","",'Оперативный ввод'!L784)</f>
        <v/>
      </c>
      <c r="M784" s="172">
        <f>IF('Оперативный ввод'!M784="","",'Оперативный ввод'!M784)</f>
        <v/>
      </c>
      <c r="N784" s="172">
        <f>IF('Оперативный ввод'!N784="","",'Оперативный ввод'!N784)</f>
        <v/>
      </c>
      <c r="O784" s="172">
        <f>IF('Оперативный ввод'!O784="","",'Оперативный ввод'!O784)</f>
        <v/>
      </c>
      <c r="P784" s="205">
        <f>IF(AND(A784="",B784=""),"",IF(AND(A784&lt;&gt;"",B784&lt;&gt;"",C784&lt;&gt;"",D784&lt;&gt;"",F784&lt;&gt;"",G784&lt;&gt;"",H784&lt;&gt;"",ISERROR(SEARCH("по паспорту",G784)),ISERROR(SEARCH("по паспорту",H784)),I784&lt;&gt;"",J784&lt;&gt;"",K784&lt;&gt;"",L784&lt;&gt;"",M784&lt;&gt;""),"ГОТОВО","НЕ ГОТОВО"))</f>
        <v/>
      </c>
      <c r="Q784" s="205">
        <f>IF(P784&lt;&gt;"ГОТОВО","", "Предварительное заключение: "&amp;A784&amp;", скв. "&amp;B784&amp;". МРП: "&amp;E784&amp;" сут. ГНО: "&amp;F784&amp;", типоразмер "&amp;G784&amp;", марка "&amp;H784&amp;". Событие: "&amp;I784&amp;". Признак: "&amp;J784&amp;". Узел: "&amp;K784&amp;". Предварительная причина: "&amp;L784&amp;". Основное осложнение: "&amp;M784&amp;IF(N784&lt;&gt;"","; сопутствующее: "&amp;N784,"")&amp;IF(O784&lt;&gt;"","; дополнительно: "&amp;O784,"")&amp;".")</f>
        <v/>
      </c>
      <c r="R784" s="172">
        <f>IF('Оперативный ввод'!P784="","",'Оперативный ввод'!P784)</f>
        <v/>
      </c>
      <c r="S784" s="172">
        <f>IF('Оперативный ввод'!Q784="","",'Оперативный ввод'!Q784)</f>
        <v/>
      </c>
      <c r="T784" s="172">
        <f>IF('Оперативный ввод'!R784="","",'Оперативный ввод'!R784)</f>
        <v/>
      </c>
      <c r="U784" s="172">
        <f>IF('Оперативный ввод'!S784="","",'Оперативный ввод'!S784)</f>
        <v/>
      </c>
      <c r="V784" s="172">
        <f>IF('Оперативный ввод'!T784="","",'Оперативный ввод'!T784)</f>
        <v/>
      </c>
      <c r="W784" s="172" t="n"/>
      <c r="X784" s="172" t="n"/>
      <c r="Y784" s="172" t="n"/>
      <c r="Z784" s="172" t="n"/>
      <c r="AA784" s="172">
        <f>IF('Оперативный ввод'!U784="","",'Оперативный ввод'!U784)</f>
        <v/>
      </c>
      <c r="AB784" s="172">
        <f>IF('Оперативный ввод'!V784="","",'Оперативный ввод'!V784)</f>
        <v/>
      </c>
      <c r="AC784" s="172">
        <f>IF('Оперативный ввод'!W784="","",'Оперативный ввод'!W784)</f>
        <v/>
      </c>
      <c r="BB784" s="172" t="n"/>
      <c r="BC784" s="172" t="n"/>
      <c r="BD784" s="205">
        <f>IF(AND(A784="",B784=""),"",IF(AND(P784="ГОТОВО",R784&lt;&gt;"",T784&lt;&gt;"",U784&lt;&gt;"",AA784&lt;&gt;"",AB784&lt;&gt;"",AC784&lt;&gt;"",BB784&lt;&gt;"",BC784&lt;&gt;""),"ГОТОВО","НЕ ГОТОВО"))</f>
        <v/>
      </c>
      <c r="BE784" s="205">
        <f>IF(BD784&lt;&gt;"ГОТОВО","","Полное заключение: "&amp;A784&amp;", скв. "&amp;B784&amp;". МРП: "&amp;E784&amp;" сут. ГНО: "&amp;F784&amp;"; причина: "&amp;U784&amp;"; категория: "&amp;V784&amp;"; решение комиссии: "&amp;BB784&amp;".")</f>
        <v/>
      </c>
      <c r="BF784" s="173">
        <f>IF('Оперативный ввод'!X784="","",'Оперативный ввод'!X784)</f>
        <v/>
      </c>
    </row>
    <row r="785">
      <c r="A785" s="171">
        <f>IF('Оперативный ввод'!A785="","",'Оперативный ввод'!A785)</f>
        <v/>
      </c>
      <c r="B785" s="172">
        <f>IF('Оперативный ввод'!B785="","",'Оперативный ввод'!B785)</f>
        <v/>
      </c>
      <c r="C785" s="270">
        <f>IF('Оперативный ввод'!C785="","",'Оперативный ввод'!C785)</f>
        <v/>
      </c>
      <c r="D785" s="270">
        <f>IF('Оперативный ввод'!D785="","",'Оперативный ввод'!D785)</f>
        <v/>
      </c>
      <c r="E785" s="271">
        <f>IF(OR(C785="",D785=""),"",D785-C785)</f>
        <v/>
      </c>
      <c r="F785" s="172">
        <f>IF('Оперативный ввод'!F785="","",'Оперативный ввод'!F785)</f>
        <v/>
      </c>
      <c r="G785" s="172">
        <f>IF('Оперативный ввод'!G785="","",'Оперативный ввод'!G785)</f>
        <v/>
      </c>
      <c r="H785" s="172">
        <f>IF('Оперативный ввод'!H785="","",'Оперативный ввод'!H785)</f>
        <v/>
      </c>
      <c r="I785" s="172">
        <f>IF('Оперативный ввод'!I785="","",'Оперативный ввод'!I785)</f>
        <v/>
      </c>
      <c r="J785" s="172">
        <f>IF('Оперативный ввод'!J785="","",'Оперативный ввод'!J785)</f>
        <v/>
      </c>
      <c r="K785" s="172">
        <f>IF('Оперативный ввод'!K785="","",'Оперативный ввод'!K785)</f>
        <v/>
      </c>
      <c r="L785" s="172">
        <f>IF('Оперативный ввод'!L785="","",'Оперативный ввод'!L785)</f>
        <v/>
      </c>
      <c r="M785" s="172">
        <f>IF('Оперативный ввод'!M785="","",'Оперативный ввод'!M785)</f>
        <v/>
      </c>
      <c r="N785" s="172">
        <f>IF('Оперативный ввод'!N785="","",'Оперативный ввод'!N785)</f>
        <v/>
      </c>
      <c r="O785" s="172">
        <f>IF('Оперативный ввод'!O785="","",'Оперативный ввод'!O785)</f>
        <v/>
      </c>
      <c r="P785" s="205">
        <f>IF(AND(A785="",B785=""),"",IF(AND(A785&lt;&gt;"",B785&lt;&gt;"",C785&lt;&gt;"",D785&lt;&gt;"",F785&lt;&gt;"",G785&lt;&gt;"",H785&lt;&gt;"",ISERROR(SEARCH("по паспорту",G785)),ISERROR(SEARCH("по паспорту",H785)),I785&lt;&gt;"",J785&lt;&gt;"",K785&lt;&gt;"",L785&lt;&gt;"",M785&lt;&gt;""),"ГОТОВО","НЕ ГОТОВО"))</f>
        <v/>
      </c>
      <c r="Q785" s="205">
        <f>IF(P785&lt;&gt;"ГОТОВО","", "Предварительное заключение: "&amp;A785&amp;", скв. "&amp;B785&amp;". МРП: "&amp;E785&amp;" сут. ГНО: "&amp;F785&amp;", типоразмер "&amp;G785&amp;", марка "&amp;H785&amp;". Событие: "&amp;I785&amp;". Признак: "&amp;J785&amp;". Узел: "&amp;K785&amp;". Предварительная причина: "&amp;L785&amp;". Основное осложнение: "&amp;M785&amp;IF(N785&lt;&gt;"","; сопутствующее: "&amp;N785,"")&amp;IF(O785&lt;&gt;"","; дополнительно: "&amp;O785,"")&amp;".")</f>
        <v/>
      </c>
      <c r="R785" s="172">
        <f>IF('Оперативный ввод'!P785="","",'Оперативный ввод'!P785)</f>
        <v/>
      </c>
      <c r="S785" s="172">
        <f>IF('Оперативный ввод'!Q785="","",'Оперативный ввод'!Q785)</f>
        <v/>
      </c>
      <c r="T785" s="172">
        <f>IF('Оперативный ввод'!R785="","",'Оперативный ввод'!R785)</f>
        <v/>
      </c>
      <c r="U785" s="172">
        <f>IF('Оперативный ввод'!S785="","",'Оперативный ввод'!S785)</f>
        <v/>
      </c>
      <c r="V785" s="172">
        <f>IF('Оперативный ввод'!T785="","",'Оперативный ввод'!T785)</f>
        <v/>
      </c>
      <c r="W785" s="172" t="n"/>
      <c r="X785" s="172" t="n"/>
      <c r="Y785" s="172" t="n"/>
      <c r="Z785" s="172" t="n"/>
      <c r="AA785" s="172">
        <f>IF('Оперативный ввод'!U785="","",'Оперативный ввод'!U785)</f>
        <v/>
      </c>
      <c r="AB785" s="172">
        <f>IF('Оперативный ввод'!V785="","",'Оперативный ввод'!V785)</f>
        <v/>
      </c>
      <c r="AC785" s="172">
        <f>IF('Оперативный ввод'!W785="","",'Оперативный ввод'!W785)</f>
        <v/>
      </c>
      <c r="BB785" s="172" t="n"/>
      <c r="BC785" s="172" t="n"/>
      <c r="BD785" s="205">
        <f>IF(AND(A785="",B785=""),"",IF(AND(P785="ГОТОВО",R785&lt;&gt;"",T785&lt;&gt;"",U785&lt;&gt;"",AA785&lt;&gt;"",AB785&lt;&gt;"",AC785&lt;&gt;"",BB785&lt;&gt;"",BC785&lt;&gt;""),"ГОТОВО","НЕ ГОТОВО"))</f>
        <v/>
      </c>
      <c r="BE785" s="205">
        <f>IF(BD785&lt;&gt;"ГОТОВО","","Полное заключение: "&amp;A785&amp;", скв. "&amp;B785&amp;". МРП: "&amp;E785&amp;" сут. ГНО: "&amp;F785&amp;"; причина: "&amp;U785&amp;"; категория: "&amp;V785&amp;"; решение комиссии: "&amp;BB785&amp;".")</f>
        <v/>
      </c>
      <c r="BF785" s="173">
        <f>IF('Оперативный ввод'!X785="","",'Оперативный ввод'!X785)</f>
        <v/>
      </c>
    </row>
    <row r="786">
      <c r="A786" s="171">
        <f>IF('Оперативный ввод'!A786="","",'Оперативный ввод'!A786)</f>
        <v/>
      </c>
      <c r="B786" s="172">
        <f>IF('Оперативный ввод'!B786="","",'Оперативный ввод'!B786)</f>
        <v/>
      </c>
      <c r="C786" s="270">
        <f>IF('Оперативный ввод'!C786="","",'Оперативный ввод'!C786)</f>
        <v/>
      </c>
      <c r="D786" s="270">
        <f>IF('Оперативный ввод'!D786="","",'Оперативный ввод'!D786)</f>
        <v/>
      </c>
      <c r="E786" s="271">
        <f>IF(OR(C786="",D786=""),"",D786-C786)</f>
        <v/>
      </c>
      <c r="F786" s="172">
        <f>IF('Оперативный ввод'!F786="","",'Оперативный ввод'!F786)</f>
        <v/>
      </c>
      <c r="G786" s="172">
        <f>IF('Оперативный ввод'!G786="","",'Оперативный ввод'!G786)</f>
        <v/>
      </c>
      <c r="H786" s="172">
        <f>IF('Оперативный ввод'!H786="","",'Оперативный ввод'!H786)</f>
        <v/>
      </c>
      <c r="I786" s="172">
        <f>IF('Оперативный ввод'!I786="","",'Оперативный ввод'!I786)</f>
        <v/>
      </c>
      <c r="J786" s="172">
        <f>IF('Оперативный ввод'!J786="","",'Оперативный ввод'!J786)</f>
        <v/>
      </c>
      <c r="K786" s="172">
        <f>IF('Оперативный ввод'!K786="","",'Оперативный ввод'!K786)</f>
        <v/>
      </c>
      <c r="L786" s="172">
        <f>IF('Оперативный ввод'!L786="","",'Оперативный ввод'!L786)</f>
        <v/>
      </c>
      <c r="M786" s="172">
        <f>IF('Оперативный ввод'!M786="","",'Оперативный ввод'!M786)</f>
        <v/>
      </c>
      <c r="N786" s="172">
        <f>IF('Оперативный ввод'!N786="","",'Оперативный ввод'!N786)</f>
        <v/>
      </c>
      <c r="O786" s="172">
        <f>IF('Оперативный ввод'!O786="","",'Оперативный ввод'!O786)</f>
        <v/>
      </c>
      <c r="P786" s="205">
        <f>IF(AND(A786="",B786=""),"",IF(AND(A786&lt;&gt;"",B786&lt;&gt;"",C786&lt;&gt;"",D786&lt;&gt;"",F786&lt;&gt;"",G786&lt;&gt;"",H786&lt;&gt;"",ISERROR(SEARCH("по паспорту",G786)),ISERROR(SEARCH("по паспорту",H786)),I786&lt;&gt;"",J786&lt;&gt;"",K786&lt;&gt;"",L786&lt;&gt;"",M786&lt;&gt;""),"ГОТОВО","НЕ ГОТОВО"))</f>
        <v/>
      </c>
      <c r="Q786" s="205">
        <f>IF(P786&lt;&gt;"ГОТОВО","", "Предварительное заключение: "&amp;A786&amp;", скв. "&amp;B786&amp;". МРП: "&amp;E786&amp;" сут. ГНО: "&amp;F786&amp;", типоразмер "&amp;G786&amp;", марка "&amp;H786&amp;". Событие: "&amp;I786&amp;". Признак: "&amp;J786&amp;". Узел: "&amp;K786&amp;". Предварительная причина: "&amp;L786&amp;". Основное осложнение: "&amp;M786&amp;IF(N786&lt;&gt;"","; сопутствующее: "&amp;N786,"")&amp;IF(O786&lt;&gt;"","; дополнительно: "&amp;O786,"")&amp;".")</f>
        <v/>
      </c>
      <c r="R786" s="172">
        <f>IF('Оперативный ввод'!P786="","",'Оперативный ввод'!P786)</f>
        <v/>
      </c>
      <c r="S786" s="172">
        <f>IF('Оперативный ввод'!Q786="","",'Оперативный ввод'!Q786)</f>
        <v/>
      </c>
      <c r="T786" s="172">
        <f>IF('Оперативный ввод'!R786="","",'Оперативный ввод'!R786)</f>
        <v/>
      </c>
      <c r="U786" s="172">
        <f>IF('Оперативный ввод'!S786="","",'Оперативный ввод'!S786)</f>
        <v/>
      </c>
      <c r="V786" s="172">
        <f>IF('Оперативный ввод'!T786="","",'Оперативный ввод'!T786)</f>
        <v/>
      </c>
      <c r="W786" s="172" t="n"/>
      <c r="X786" s="172" t="n"/>
      <c r="Y786" s="172" t="n"/>
      <c r="Z786" s="172" t="n"/>
      <c r="AA786" s="172">
        <f>IF('Оперативный ввод'!U786="","",'Оперативный ввод'!U786)</f>
        <v/>
      </c>
      <c r="AB786" s="172">
        <f>IF('Оперативный ввод'!V786="","",'Оперативный ввод'!V786)</f>
        <v/>
      </c>
      <c r="AC786" s="172">
        <f>IF('Оперативный ввод'!W786="","",'Оперативный ввод'!W786)</f>
        <v/>
      </c>
      <c r="BB786" s="172" t="n"/>
      <c r="BC786" s="172" t="n"/>
      <c r="BD786" s="205">
        <f>IF(AND(A786="",B786=""),"",IF(AND(P786="ГОТОВО",R786&lt;&gt;"",T786&lt;&gt;"",U786&lt;&gt;"",AA786&lt;&gt;"",AB786&lt;&gt;"",AC786&lt;&gt;"",BB786&lt;&gt;"",BC786&lt;&gt;""),"ГОТОВО","НЕ ГОТОВО"))</f>
        <v/>
      </c>
      <c r="BE786" s="205">
        <f>IF(BD786&lt;&gt;"ГОТОВО","","Полное заключение: "&amp;A786&amp;", скв. "&amp;B786&amp;". МРП: "&amp;E786&amp;" сут. ГНО: "&amp;F786&amp;"; причина: "&amp;U786&amp;"; категория: "&amp;V786&amp;"; решение комиссии: "&amp;BB786&amp;".")</f>
        <v/>
      </c>
      <c r="BF786" s="173">
        <f>IF('Оперативный ввод'!X786="","",'Оперативный ввод'!X786)</f>
        <v/>
      </c>
    </row>
    <row r="787">
      <c r="A787" s="171">
        <f>IF('Оперативный ввод'!A787="","",'Оперативный ввод'!A787)</f>
        <v/>
      </c>
      <c r="B787" s="172">
        <f>IF('Оперативный ввод'!B787="","",'Оперативный ввод'!B787)</f>
        <v/>
      </c>
      <c r="C787" s="270">
        <f>IF('Оперативный ввод'!C787="","",'Оперативный ввод'!C787)</f>
        <v/>
      </c>
      <c r="D787" s="270">
        <f>IF('Оперативный ввод'!D787="","",'Оперативный ввод'!D787)</f>
        <v/>
      </c>
      <c r="E787" s="271">
        <f>IF(OR(C787="",D787=""),"",D787-C787)</f>
        <v/>
      </c>
      <c r="F787" s="172">
        <f>IF('Оперативный ввод'!F787="","",'Оперативный ввод'!F787)</f>
        <v/>
      </c>
      <c r="G787" s="172">
        <f>IF('Оперативный ввод'!G787="","",'Оперативный ввод'!G787)</f>
        <v/>
      </c>
      <c r="H787" s="172">
        <f>IF('Оперативный ввод'!H787="","",'Оперативный ввод'!H787)</f>
        <v/>
      </c>
      <c r="I787" s="172">
        <f>IF('Оперативный ввод'!I787="","",'Оперативный ввод'!I787)</f>
        <v/>
      </c>
      <c r="J787" s="172">
        <f>IF('Оперативный ввод'!J787="","",'Оперативный ввод'!J787)</f>
        <v/>
      </c>
      <c r="K787" s="172">
        <f>IF('Оперативный ввод'!K787="","",'Оперативный ввод'!K787)</f>
        <v/>
      </c>
      <c r="L787" s="172">
        <f>IF('Оперативный ввод'!L787="","",'Оперативный ввод'!L787)</f>
        <v/>
      </c>
      <c r="M787" s="172">
        <f>IF('Оперативный ввод'!M787="","",'Оперативный ввод'!M787)</f>
        <v/>
      </c>
      <c r="N787" s="172">
        <f>IF('Оперативный ввод'!N787="","",'Оперативный ввод'!N787)</f>
        <v/>
      </c>
      <c r="O787" s="172">
        <f>IF('Оперативный ввод'!O787="","",'Оперативный ввод'!O787)</f>
        <v/>
      </c>
      <c r="P787" s="205">
        <f>IF(AND(A787="",B787=""),"",IF(AND(A787&lt;&gt;"",B787&lt;&gt;"",C787&lt;&gt;"",D787&lt;&gt;"",F787&lt;&gt;"",G787&lt;&gt;"",H787&lt;&gt;"",ISERROR(SEARCH("по паспорту",G787)),ISERROR(SEARCH("по паспорту",H787)),I787&lt;&gt;"",J787&lt;&gt;"",K787&lt;&gt;"",L787&lt;&gt;"",M787&lt;&gt;""),"ГОТОВО","НЕ ГОТОВО"))</f>
        <v/>
      </c>
      <c r="Q787" s="205">
        <f>IF(P787&lt;&gt;"ГОТОВО","", "Предварительное заключение: "&amp;A787&amp;", скв. "&amp;B787&amp;". МРП: "&amp;E787&amp;" сут. ГНО: "&amp;F787&amp;", типоразмер "&amp;G787&amp;", марка "&amp;H787&amp;". Событие: "&amp;I787&amp;". Признак: "&amp;J787&amp;". Узел: "&amp;K787&amp;". Предварительная причина: "&amp;L787&amp;". Основное осложнение: "&amp;M787&amp;IF(N787&lt;&gt;"","; сопутствующее: "&amp;N787,"")&amp;IF(O787&lt;&gt;"","; дополнительно: "&amp;O787,"")&amp;".")</f>
        <v/>
      </c>
      <c r="R787" s="172">
        <f>IF('Оперативный ввод'!P787="","",'Оперативный ввод'!P787)</f>
        <v/>
      </c>
      <c r="S787" s="172">
        <f>IF('Оперативный ввод'!Q787="","",'Оперативный ввод'!Q787)</f>
        <v/>
      </c>
      <c r="T787" s="172">
        <f>IF('Оперативный ввод'!R787="","",'Оперативный ввод'!R787)</f>
        <v/>
      </c>
      <c r="U787" s="172">
        <f>IF('Оперативный ввод'!S787="","",'Оперативный ввод'!S787)</f>
        <v/>
      </c>
      <c r="V787" s="172">
        <f>IF('Оперативный ввод'!T787="","",'Оперативный ввод'!T787)</f>
        <v/>
      </c>
      <c r="W787" s="172" t="n"/>
      <c r="X787" s="172" t="n"/>
      <c r="Y787" s="172" t="n"/>
      <c r="Z787" s="172" t="n"/>
      <c r="AA787" s="172">
        <f>IF('Оперативный ввод'!U787="","",'Оперативный ввод'!U787)</f>
        <v/>
      </c>
      <c r="AB787" s="172">
        <f>IF('Оперативный ввод'!V787="","",'Оперативный ввод'!V787)</f>
        <v/>
      </c>
      <c r="AC787" s="172">
        <f>IF('Оперативный ввод'!W787="","",'Оперативный ввод'!W787)</f>
        <v/>
      </c>
      <c r="BB787" s="172" t="n"/>
      <c r="BC787" s="172" t="n"/>
      <c r="BD787" s="205">
        <f>IF(AND(A787="",B787=""),"",IF(AND(P787="ГОТОВО",R787&lt;&gt;"",T787&lt;&gt;"",U787&lt;&gt;"",AA787&lt;&gt;"",AB787&lt;&gt;"",AC787&lt;&gt;"",BB787&lt;&gt;"",BC787&lt;&gt;""),"ГОТОВО","НЕ ГОТОВО"))</f>
        <v/>
      </c>
      <c r="BE787" s="205">
        <f>IF(BD787&lt;&gt;"ГОТОВО","","Полное заключение: "&amp;A787&amp;", скв. "&amp;B787&amp;". МРП: "&amp;E787&amp;" сут. ГНО: "&amp;F787&amp;"; причина: "&amp;U787&amp;"; категория: "&amp;V787&amp;"; решение комиссии: "&amp;BB787&amp;".")</f>
        <v/>
      </c>
      <c r="BF787" s="173">
        <f>IF('Оперативный ввод'!X787="","",'Оперативный ввод'!X787)</f>
        <v/>
      </c>
    </row>
    <row r="788">
      <c r="A788" s="171">
        <f>IF('Оперативный ввод'!A788="","",'Оперативный ввод'!A788)</f>
        <v/>
      </c>
      <c r="B788" s="172">
        <f>IF('Оперативный ввод'!B788="","",'Оперативный ввод'!B788)</f>
        <v/>
      </c>
      <c r="C788" s="270">
        <f>IF('Оперативный ввод'!C788="","",'Оперативный ввод'!C788)</f>
        <v/>
      </c>
      <c r="D788" s="270">
        <f>IF('Оперативный ввод'!D788="","",'Оперативный ввод'!D788)</f>
        <v/>
      </c>
      <c r="E788" s="271">
        <f>IF(OR(C788="",D788=""),"",D788-C788)</f>
        <v/>
      </c>
      <c r="F788" s="172">
        <f>IF('Оперативный ввод'!F788="","",'Оперативный ввод'!F788)</f>
        <v/>
      </c>
      <c r="G788" s="172">
        <f>IF('Оперативный ввод'!G788="","",'Оперативный ввод'!G788)</f>
        <v/>
      </c>
      <c r="H788" s="172">
        <f>IF('Оперативный ввод'!H788="","",'Оперативный ввод'!H788)</f>
        <v/>
      </c>
      <c r="I788" s="172">
        <f>IF('Оперативный ввод'!I788="","",'Оперативный ввод'!I788)</f>
        <v/>
      </c>
      <c r="J788" s="172">
        <f>IF('Оперативный ввод'!J788="","",'Оперативный ввод'!J788)</f>
        <v/>
      </c>
      <c r="K788" s="172">
        <f>IF('Оперативный ввод'!K788="","",'Оперативный ввод'!K788)</f>
        <v/>
      </c>
      <c r="L788" s="172">
        <f>IF('Оперативный ввод'!L788="","",'Оперативный ввод'!L788)</f>
        <v/>
      </c>
      <c r="M788" s="172">
        <f>IF('Оперативный ввод'!M788="","",'Оперативный ввод'!M788)</f>
        <v/>
      </c>
      <c r="N788" s="172">
        <f>IF('Оперативный ввод'!N788="","",'Оперативный ввод'!N788)</f>
        <v/>
      </c>
      <c r="O788" s="172">
        <f>IF('Оперативный ввод'!O788="","",'Оперативный ввод'!O788)</f>
        <v/>
      </c>
      <c r="P788" s="205">
        <f>IF(AND(A788="",B788=""),"",IF(AND(A788&lt;&gt;"",B788&lt;&gt;"",C788&lt;&gt;"",D788&lt;&gt;"",F788&lt;&gt;"",G788&lt;&gt;"",H788&lt;&gt;"",ISERROR(SEARCH("по паспорту",G788)),ISERROR(SEARCH("по паспорту",H788)),I788&lt;&gt;"",J788&lt;&gt;"",K788&lt;&gt;"",L788&lt;&gt;"",M788&lt;&gt;""),"ГОТОВО","НЕ ГОТОВО"))</f>
        <v/>
      </c>
      <c r="Q788" s="205">
        <f>IF(P788&lt;&gt;"ГОТОВО","", "Предварительное заключение: "&amp;A788&amp;", скв. "&amp;B788&amp;". МРП: "&amp;E788&amp;" сут. ГНО: "&amp;F788&amp;", типоразмер "&amp;G788&amp;", марка "&amp;H788&amp;". Событие: "&amp;I788&amp;". Признак: "&amp;J788&amp;". Узел: "&amp;K788&amp;". Предварительная причина: "&amp;L788&amp;". Основное осложнение: "&amp;M788&amp;IF(N788&lt;&gt;"","; сопутствующее: "&amp;N788,"")&amp;IF(O788&lt;&gt;"","; дополнительно: "&amp;O788,"")&amp;".")</f>
        <v/>
      </c>
      <c r="R788" s="172">
        <f>IF('Оперативный ввод'!P788="","",'Оперативный ввод'!P788)</f>
        <v/>
      </c>
      <c r="S788" s="172">
        <f>IF('Оперативный ввод'!Q788="","",'Оперативный ввод'!Q788)</f>
        <v/>
      </c>
      <c r="T788" s="172">
        <f>IF('Оперативный ввод'!R788="","",'Оперативный ввод'!R788)</f>
        <v/>
      </c>
      <c r="U788" s="172">
        <f>IF('Оперативный ввод'!S788="","",'Оперативный ввод'!S788)</f>
        <v/>
      </c>
      <c r="V788" s="172">
        <f>IF('Оперативный ввод'!T788="","",'Оперативный ввод'!T788)</f>
        <v/>
      </c>
      <c r="W788" s="172" t="n"/>
      <c r="X788" s="172" t="n"/>
      <c r="Y788" s="172" t="n"/>
      <c r="Z788" s="172" t="n"/>
      <c r="AA788" s="172">
        <f>IF('Оперативный ввод'!U788="","",'Оперативный ввод'!U788)</f>
        <v/>
      </c>
      <c r="AB788" s="172">
        <f>IF('Оперативный ввод'!V788="","",'Оперативный ввод'!V788)</f>
        <v/>
      </c>
      <c r="AC788" s="172">
        <f>IF('Оперативный ввод'!W788="","",'Оперативный ввод'!W788)</f>
        <v/>
      </c>
      <c r="BB788" s="172" t="n"/>
      <c r="BC788" s="172" t="n"/>
      <c r="BD788" s="205">
        <f>IF(AND(A788="",B788=""),"",IF(AND(P788="ГОТОВО",R788&lt;&gt;"",T788&lt;&gt;"",U788&lt;&gt;"",AA788&lt;&gt;"",AB788&lt;&gt;"",AC788&lt;&gt;"",BB788&lt;&gt;"",BC788&lt;&gt;""),"ГОТОВО","НЕ ГОТОВО"))</f>
        <v/>
      </c>
      <c r="BE788" s="205">
        <f>IF(BD788&lt;&gt;"ГОТОВО","","Полное заключение: "&amp;A788&amp;", скв. "&amp;B788&amp;". МРП: "&amp;E788&amp;" сут. ГНО: "&amp;F788&amp;"; причина: "&amp;U788&amp;"; категория: "&amp;V788&amp;"; решение комиссии: "&amp;BB788&amp;".")</f>
        <v/>
      </c>
      <c r="BF788" s="173">
        <f>IF('Оперативный ввод'!X788="","",'Оперативный ввод'!X788)</f>
        <v/>
      </c>
    </row>
    <row r="789">
      <c r="A789" s="171">
        <f>IF('Оперативный ввод'!A789="","",'Оперативный ввод'!A789)</f>
        <v/>
      </c>
      <c r="B789" s="172">
        <f>IF('Оперативный ввод'!B789="","",'Оперативный ввод'!B789)</f>
        <v/>
      </c>
      <c r="C789" s="270">
        <f>IF('Оперативный ввод'!C789="","",'Оперативный ввод'!C789)</f>
        <v/>
      </c>
      <c r="D789" s="270">
        <f>IF('Оперативный ввод'!D789="","",'Оперативный ввод'!D789)</f>
        <v/>
      </c>
      <c r="E789" s="271">
        <f>IF(OR(C789="",D789=""),"",D789-C789)</f>
        <v/>
      </c>
      <c r="F789" s="172">
        <f>IF('Оперативный ввод'!F789="","",'Оперативный ввод'!F789)</f>
        <v/>
      </c>
      <c r="G789" s="172">
        <f>IF('Оперативный ввод'!G789="","",'Оперативный ввод'!G789)</f>
        <v/>
      </c>
      <c r="H789" s="172">
        <f>IF('Оперативный ввод'!H789="","",'Оперативный ввод'!H789)</f>
        <v/>
      </c>
      <c r="I789" s="172">
        <f>IF('Оперативный ввод'!I789="","",'Оперативный ввод'!I789)</f>
        <v/>
      </c>
      <c r="J789" s="172">
        <f>IF('Оперативный ввод'!J789="","",'Оперативный ввод'!J789)</f>
        <v/>
      </c>
      <c r="K789" s="172">
        <f>IF('Оперативный ввод'!K789="","",'Оперативный ввод'!K789)</f>
        <v/>
      </c>
      <c r="L789" s="172">
        <f>IF('Оперативный ввод'!L789="","",'Оперативный ввод'!L789)</f>
        <v/>
      </c>
      <c r="M789" s="172">
        <f>IF('Оперативный ввод'!M789="","",'Оперативный ввод'!M789)</f>
        <v/>
      </c>
      <c r="N789" s="172">
        <f>IF('Оперативный ввод'!N789="","",'Оперативный ввод'!N789)</f>
        <v/>
      </c>
      <c r="O789" s="172">
        <f>IF('Оперативный ввод'!O789="","",'Оперативный ввод'!O789)</f>
        <v/>
      </c>
      <c r="P789" s="205">
        <f>IF(AND(A789="",B789=""),"",IF(AND(A789&lt;&gt;"",B789&lt;&gt;"",C789&lt;&gt;"",D789&lt;&gt;"",F789&lt;&gt;"",G789&lt;&gt;"",H789&lt;&gt;"",ISERROR(SEARCH("по паспорту",G789)),ISERROR(SEARCH("по паспорту",H789)),I789&lt;&gt;"",J789&lt;&gt;"",K789&lt;&gt;"",L789&lt;&gt;"",M789&lt;&gt;""),"ГОТОВО","НЕ ГОТОВО"))</f>
        <v/>
      </c>
      <c r="Q789" s="205">
        <f>IF(P789&lt;&gt;"ГОТОВО","", "Предварительное заключение: "&amp;A789&amp;", скв. "&amp;B789&amp;". МРП: "&amp;E789&amp;" сут. ГНО: "&amp;F789&amp;", типоразмер "&amp;G789&amp;", марка "&amp;H789&amp;". Событие: "&amp;I789&amp;". Признак: "&amp;J789&amp;". Узел: "&amp;K789&amp;". Предварительная причина: "&amp;L789&amp;". Основное осложнение: "&amp;M789&amp;IF(N789&lt;&gt;"","; сопутствующее: "&amp;N789,"")&amp;IF(O789&lt;&gt;"","; дополнительно: "&amp;O789,"")&amp;".")</f>
        <v/>
      </c>
      <c r="R789" s="172">
        <f>IF('Оперативный ввод'!P789="","",'Оперативный ввод'!P789)</f>
        <v/>
      </c>
      <c r="S789" s="172">
        <f>IF('Оперативный ввод'!Q789="","",'Оперативный ввод'!Q789)</f>
        <v/>
      </c>
      <c r="T789" s="172">
        <f>IF('Оперативный ввод'!R789="","",'Оперативный ввод'!R789)</f>
        <v/>
      </c>
      <c r="U789" s="172">
        <f>IF('Оперативный ввод'!S789="","",'Оперативный ввод'!S789)</f>
        <v/>
      </c>
      <c r="V789" s="172">
        <f>IF('Оперативный ввод'!T789="","",'Оперативный ввод'!T789)</f>
        <v/>
      </c>
      <c r="W789" s="172" t="n"/>
      <c r="X789" s="172" t="n"/>
      <c r="Y789" s="172" t="n"/>
      <c r="Z789" s="172" t="n"/>
      <c r="AA789" s="172">
        <f>IF('Оперативный ввод'!U789="","",'Оперативный ввод'!U789)</f>
        <v/>
      </c>
      <c r="AB789" s="172">
        <f>IF('Оперативный ввод'!V789="","",'Оперативный ввод'!V789)</f>
        <v/>
      </c>
      <c r="AC789" s="172">
        <f>IF('Оперативный ввод'!W789="","",'Оперативный ввод'!W789)</f>
        <v/>
      </c>
      <c r="BB789" s="172" t="n"/>
      <c r="BC789" s="172" t="n"/>
      <c r="BD789" s="205">
        <f>IF(AND(A789="",B789=""),"",IF(AND(P789="ГОТОВО",R789&lt;&gt;"",T789&lt;&gt;"",U789&lt;&gt;"",AA789&lt;&gt;"",AB789&lt;&gt;"",AC789&lt;&gt;"",BB789&lt;&gt;"",BC789&lt;&gt;""),"ГОТОВО","НЕ ГОТОВО"))</f>
        <v/>
      </c>
      <c r="BE789" s="205">
        <f>IF(BD789&lt;&gt;"ГОТОВО","","Полное заключение: "&amp;A789&amp;", скв. "&amp;B789&amp;". МРП: "&amp;E789&amp;" сут. ГНО: "&amp;F789&amp;"; причина: "&amp;U789&amp;"; категория: "&amp;V789&amp;"; решение комиссии: "&amp;BB789&amp;".")</f>
        <v/>
      </c>
      <c r="BF789" s="173">
        <f>IF('Оперативный ввод'!X789="","",'Оперативный ввод'!X789)</f>
        <v/>
      </c>
    </row>
    <row r="790">
      <c r="A790" s="171">
        <f>IF('Оперативный ввод'!A790="","",'Оперативный ввод'!A790)</f>
        <v/>
      </c>
      <c r="B790" s="172">
        <f>IF('Оперативный ввод'!B790="","",'Оперативный ввод'!B790)</f>
        <v/>
      </c>
      <c r="C790" s="270">
        <f>IF('Оперативный ввод'!C790="","",'Оперативный ввод'!C790)</f>
        <v/>
      </c>
      <c r="D790" s="270">
        <f>IF('Оперативный ввод'!D790="","",'Оперативный ввод'!D790)</f>
        <v/>
      </c>
      <c r="E790" s="271">
        <f>IF(OR(C790="",D790=""),"",D790-C790)</f>
        <v/>
      </c>
      <c r="F790" s="172">
        <f>IF('Оперативный ввод'!F790="","",'Оперативный ввод'!F790)</f>
        <v/>
      </c>
      <c r="G790" s="172">
        <f>IF('Оперативный ввод'!G790="","",'Оперативный ввод'!G790)</f>
        <v/>
      </c>
      <c r="H790" s="172">
        <f>IF('Оперативный ввод'!H790="","",'Оперативный ввод'!H790)</f>
        <v/>
      </c>
      <c r="I790" s="172">
        <f>IF('Оперативный ввод'!I790="","",'Оперативный ввод'!I790)</f>
        <v/>
      </c>
      <c r="J790" s="172">
        <f>IF('Оперативный ввод'!J790="","",'Оперативный ввод'!J790)</f>
        <v/>
      </c>
      <c r="K790" s="172">
        <f>IF('Оперативный ввод'!K790="","",'Оперативный ввод'!K790)</f>
        <v/>
      </c>
      <c r="L790" s="172">
        <f>IF('Оперативный ввод'!L790="","",'Оперативный ввод'!L790)</f>
        <v/>
      </c>
      <c r="M790" s="172">
        <f>IF('Оперативный ввод'!M790="","",'Оперативный ввод'!M790)</f>
        <v/>
      </c>
      <c r="N790" s="172">
        <f>IF('Оперативный ввод'!N790="","",'Оперативный ввод'!N790)</f>
        <v/>
      </c>
      <c r="O790" s="172">
        <f>IF('Оперативный ввод'!O790="","",'Оперативный ввод'!O790)</f>
        <v/>
      </c>
      <c r="P790" s="205">
        <f>IF(AND(A790="",B790=""),"",IF(AND(A790&lt;&gt;"",B790&lt;&gt;"",C790&lt;&gt;"",D790&lt;&gt;"",F790&lt;&gt;"",G790&lt;&gt;"",H790&lt;&gt;"",ISERROR(SEARCH("по паспорту",G790)),ISERROR(SEARCH("по паспорту",H790)),I790&lt;&gt;"",J790&lt;&gt;"",K790&lt;&gt;"",L790&lt;&gt;"",M790&lt;&gt;""),"ГОТОВО","НЕ ГОТОВО"))</f>
        <v/>
      </c>
      <c r="Q790" s="205">
        <f>IF(P790&lt;&gt;"ГОТОВО","", "Предварительное заключение: "&amp;A790&amp;", скв. "&amp;B790&amp;". МРП: "&amp;E790&amp;" сут. ГНО: "&amp;F790&amp;", типоразмер "&amp;G790&amp;", марка "&amp;H790&amp;". Событие: "&amp;I790&amp;". Признак: "&amp;J790&amp;". Узел: "&amp;K790&amp;". Предварительная причина: "&amp;L790&amp;". Основное осложнение: "&amp;M790&amp;IF(N790&lt;&gt;"","; сопутствующее: "&amp;N790,"")&amp;IF(O790&lt;&gt;"","; дополнительно: "&amp;O790,"")&amp;".")</f>
        <v/>
      </c>
      <c r="R790" s="172">
        <f>IF('Оперативный ввод'!P790="","",'Оперативный ввод'!P790)</f>
        <v/>
      </c>
      <c r="S790" s="172">
        <f>IF('Оперативный ввод'!Q790="","",'Оперативный ввод'!Q790)</f>
        <v/>
      </c>
      <c r="T790" s="172">
        <f>IF('Оперативный ввод'!R790="","",'Оперативный ввод'!R790)</f>
        <v/>
      </c>
      <c r="U790" s="172">
        <f>IF('Оперативный ввод'!S790="","",'Оперативный ввод'!S790)</f>
        <v/>
      </c>
      <c r="V790" s="172">
        <f>IF('Оперативный ввод'!T790="","",'Оперативный ввод'!T790)</f>
        <v/>
      </c>
      <c r="W790" s="172" t="n"/>
      <c r="X790" s="172" t="n"/>
      <c r="Y790" s="172" t="n"/>
      <c r="Z790" s="172" t="n"/>
      <c r="AA790" s="172">
        <f>IF('Оперативный ввод'!U790="","",'Оперативный ввод'!U790)</f>
        <v/>
      </c>
      <c r="AB790" s="172">
        <f>IF('Оперативный ввод'!V790="","",'Оперативный ввод'!V790)</f>
        <v/>
      </c>
      <c r="AC790" s="172">
        <f>IF('Оперативный ввод'!W790="","",'Оперативный ввод'!W790)</f>
        <v/>
      </c>
      <c r="BB790" s="172" t="n"/>
      <c r="BC790" s="172" t="n"/>
      <c r="BD790" s="205">
        <f>IF(AND(A790="",B790=""),"",IF(AND(P790="ГОТОВО",R790&lt;&gt;"",T790&lt;&gt;"",U790&lt;&gt;"",AA790&lt;&gt;"",AB790&lt;&gt;"",AC790&lt;&gt;"",BB790&lt;&gt;"",BC790&lt;&gt;""),"ГОТОВО","НЕ ГОТОВО"))</f>
        <v/>
      </c>
      <c r="BE790" s="205">
        <f>IF(BD790&lt;&gt;"ГОТОВО","","Полное заключение: "&amp;A790&amp;", скв. "&amp;B790&amp;". МРП: "&amp;E790&amp;" сут. ГНО: "&amp;F790&amp;"; причина: "&amp;U790&amp;"; категория: "&amp;V790&amp;"; решение комиссии: "&amp;BB790&amp;".")</f>
        <v/>
      </c>
      <c r="BF790" s="173">
        <f>IF('Оперативный ввод'!X790="","",'Оперативный ввод'!X790)</f>
        <v/>
      </c>
    </row>
    <row r="791">
      <c r="A791" s="171">
        <f>IF('Оперативный ввод'!A791="","",'Оперативный ввод'!A791)</f>
        <v/>
      </c>
      <c r="B791" s="172">
        <f>IF('Оперативный ввод'!B791="","",'Оперативный ввод'!B791)</f>
        <v/>
      </c>
      <c r="C791" s="270">
        <f>IF('Оперативный ввод'!C791="","",'Оперативный ввод'!C791)</f>
        <v/>
      </c>
      <c r="D791" s="270">
        <f>IF('Оперативный ввод'!D791="","",'Оперативный ввод'!D791)</f>
        <v/>
      </c>
      <c r="E791" s="271">
        <f>IF(OR(C791="",D791=""),"",D791-C791)</f>
        <v/>
      </c>
      <c r="F791" s="172">
        <f>IF('Оперативный ввод'!F791="","",'Оперативный ввод'!F791)</f>
        <v/>
      </c>
      <c r="G791" s="172">
        <f>IF('Оперативный ввод'!G791="","",'Оперативный ввод'!G791)</f>
        <v/>
      </c>
      <c r="H791" s="172">
        <f>IF('Оперативный ввод'!H791="","",'Оперативный ввод'!H791)</f>
        <v/>
      </c>
      <c r="I791" s="172">
        <f>IF('Оперативный ввод'!I791="","",'Оперативный ввод'!I791)</f>
        <v/>
      </c>
      <c r="J791" s="172">
        <f>IF('Оперативный ввод'!J791="","",'Оперативный ввод'!J791)</f>
        <v/>
      </c>
      <c r="K791" s="172">
        <f>IF('Оперативный ввод'!K791="","",'Оперативный ввод'!K791)</f>
        <v/>
      </c>
      <c r="L791" s="172">
        <f>IF('Оперативный ввод'!L791="","",'Оперативный ввод'!L791)</f>
        <v/>
      </c>
      <c r="M791" s="172">
        <f>IF('Оперативный ввод'!M791="","",'Оперативный ввод'!M791)</f>
        <v/>
      </c>
      <c r="N791" s="172">
        <f>IF('Оперативный ввод'!N791="","",'Оперативный ввод'!N791)</f>
        <v/>
      </c>
      <c r="O791" s="172">
        <f>IF('Оперативный ввод'!O791="","",'Оперативный ввод'!O791)</f>
        <v/>
      </c>
      <c r="P791" s="205">
        <f>IF(AND(A791="",B791=""),"",IF(AND(A791&lt;&gt;"",B791&lt;&gt;"",C791&lt;&gt;"",D791&lt;&gt;"",F791&lt;&gt;"",G791&lt;&gt;"",H791&lt;&gt;"",ISERROR(SEARCH("по паспорту",G791)),ISERROR(SEARCH("по паспорту",H791)),I791&lt;&gt;"",J791&lt;&gt;"",K791&lt;&gt;"",L791&lt;&gt;"",M791&lt;&gt;""),"ГОТОВО","НЕ ГОТОВО"))</f>
        <v/>
      </c>
      <c r="Q791" s="205">
        <f>IF(P791&lt;&gt;"ГОТОВО","", "Предварительное заключение: "&amp;A791&amp;", скв. "&amp;B791&amp;". МРП: "&amp;E791&amp;" сут. ГНО: "&amp;F791&amp;", типоразмер "&amp;G791&amp;", марка "&amp;H791&amp;". Событие: "&amp;I791&amp;". Признак: "&amp;J791&amp;". Узел: "&amp;K791&amp;". Предварительная причина: "&amp;L791&amp;". Основное осложнение: "&amp;M791&amp;IF(N791&lt;&gt;"","; сопутствующее: "&amp;N791,"")&amp;IF(O791&lt;&gt;"","; дополнительно: "&amp;O791,"")&amp;".")</f>
        <v/>
      </c>
      <c r="R791" s="172">
        <f>IF('Оперативный ввод'!P791="","",'Оперативный ввод'!P791)</f>
        <v/>
      </c>
      <c r="S791" s="172">
        <f>IF('Оперативный ввод'!Q791="","",'Оперативный ввод'!Q791)</f>
        <v/>
      </c>
      <c r="T791" s="172">
        <f>IF('Оперативный ввод'!R791="","",'Оперативный ввод'!R791)</f>
        <v/>
      </c>
      <c r="U791" s="172">
        <f>IF('Оперативный ввод'!S791="","",'Оперативный ввод'!S791)</f>
        <v/>
      </c>
      <c r="V791" s="172">
        <f>IF('Оперативный ввод'!T791="","",'Оперативный ввод'!T791)</f>
        <v/>
      </c>
      <c r="W791" s="172" t="n"/>
      <c r="X791" s="172" t="n"/>
      <c r="Y791" s="172" t="n"/>
      <c r="Z791" s="172" t="n"/>
      <c r="AA791" s="172">
        <f>IF('Оперативный ввод'!U791="","",'Оперативный ввод'!U791)</f>
        <v/>
      </c>
      <c r="AB791" s="172">
        <f>IF('Оперативный ввод'!V791="","",'Оперативный ввод'!V791)</f>
        <v/>
      </c>
      <c r="AC791" s="172">
        <f>IF('Оперативный ввод'!W791="","",'Оперативный ввод'!W791)</f>
        <v/>
      </c>
      <c r="BB791" s="172" t="n"/>
      <c r="BC791" s="172" t="n"/>
      <c r="BD791" s="205">
        <f>IF(AND(A791="",B791=""),"",IF(AND(P791="ГОТОВО",R791&lt;&gt;"",T791&lt;&gt;"",U791&lt;&gt;"",AA791&lt;&gt;"",AB791&lt;&gt;"",AC791&lt;&gt;"",BB791&lt;&gt;"",BC791&lt;&gt;""),"ГОТОВО","НЕ ГОТОВО"))</f>
        <v/>
      </c>
      <c r="BE791" s="205">
        <f>IF(BD791&lt;&gt;"ГОТОВО","","Полное заключение: "&amp;A791&amp;", скв. "&amp;B791&amp;". МРП: "&amp;E791&amp;" сут. ГНО: "&amp;F791&amp;"; причина: "&amp;U791&amp;"; категория: "&amp;V791&amp;"; решение комиссии: "&amp;BB791&amp;".")</f>
        <v/>
      </c>
      <c r="BF791" s="173">
        <f>IF('Оперативный ввод'!X791="","",'Оперативный ввод'!X791)</f>
        <v/>
      </c>
    </row>
    <row r="792">
      <c r="A792" s="171">
        <f>IF('Оперативный ввод'!A792="","",'Оперативный ввод'!A792)</f>
        <v/>
      </c>
      <c r="B792" s="172">
        <f>IF('Оперативный ввод'!B792="","",'Оперативный ввод'!B792)</f>
        <v/>
      </c>
      <c r="C792" s="270">
        <f>IF('Оперативный ввод'!C792="","",'Оперативный ввод'!C792)</f>
        <v/>
      </c>
      <c r="D792" s="270">
        <f>IF('Оперативный ввод'!D792="","",'Оперативный ввод'!D792)</f>
        <v/>
      </c>
      <c r="E792" s="271">
        <f>IF(OR(C792="",D792=""),"",D792-C792)</f>
        <v/>
      </c>
      <c r="F792" s="172">
        <f>IF('Оперативный ввод'!F792="","",'Оперативный ввод'!F792)</f>
        <v/>
      </c>
      <c r="G792" s="172">
        <f>IF('Оперативный ввод'!G792="","",'Оперативный ввод'!G792)</f>
        <v/>
      </c>
      <c r="H792" s="172">
        <f>IF('Оперативный ввод'!H792="","",'Оперативный ввод'!H792)</f>
        <v/>
      </c>
      <c r="I792" s="172">
        <f>IF('Оперативный ввод'!I792="","",'Оперативный ввод'!I792)</f>
        <v/>
      </c>
      <c r="J792" s="172">
        <f>IF('Оперативный ввод'!J792="","",'Оперативный ввод'!J792)</f>
        <v/>
      </c>
      <c r="K792" s="172">
        <f>IF('Оперативный ввод'!K792="","",'Оперативный ввод'!K792)</f>
        <v/>
      </c>
      <c r="L792" s="172">
        <f>IF('Оперативный ввод'!L792="","",'Оперативный ввод'!L792)</f>
        <v/>
      </c>
      <c r="M792" s="172">
        <f>IF('Оперативный ввод'!M792="","",'Оперативный ввод'!M792)</f>
        <v/>
      </c>
      <c r="N792" s="172">
        <f>IF('Оперативный ввод'!N792="","",'Оперативный ввод'!N792)</f>
        <v/>
      </c>
      <c r="O792" s="172">
        <f>IF('Оперативный ввод'!O792="","",'Оперативный ввод'!O792)</f>
        <v/>
      </c>
      <c r="P792" s="205">
        <f>IF(AND(A792="",B792=""),"",IF(AND(A792&lt;&gt;"",B792&lt;&gt;"",C792&lt;&gt;"",D792&lt;&gt;"",F792&lt;&gt;"",G792&lt;&gt;"",H792&lt;&gt;"",ISERROR(SEARCH("по паспорту",G792)),ISERROR(SEARCH("по паспорту",H792)),I792&lt;&gt;"",J792&lt;&gt;"",K792&lt;&gt;"",L792&lt;&gt;"",M792&lt;&gt;""),"ГОТОВО","НЕ ГОТОВО"))</f>
        <v/>
      </c>
      <c r="Q792" s="205">
        <f>IF(P792&lt;&gt;"ГОТОВО","", "Предварительное заключение: "&amp;A792&amp;", скв. "&amp;B792&amp;". МРП: "&amp;E792&amp;" сут. ГНО: "&amp;F792&amp;", типоразмер "&amp;G792&amp;", марка "&amp;H792&amp;". Событие: "&amp;I792&amp;". Признак: "&amp;J792&amp;". Узел: "&amp;K792&amp;". Предварительная причина: "&amp;L792&amp;". Основное осложнение: "&amp;M792&amp;IF(N792&lt;&gt;"","; сопутствующее: "&amp;N792,"")&amp;IF(O792&lt;&gt;"","; дополнительно: "&amp;O792,"")&amp;".")</f>
        <v/>
      </c>
      <c r="R792" s="172">
        <f>IF('Оперативный ввод'!P792="","",'Оперативный ввод'!P792)</f>
        <v/>
      </c>
      <c r="S792" s="172">
        <f>IF('Оперативный ввод'!Q792="","",'Оперативный ввод'!Q792)</f>
        <v/>
      </c>
      <c r="T792" s="172">
        <f>IF('Оперативный ввод'!R792="","",'Оперативный ввод'!R792)</f>
        <v/>
      </c>
      <c r="U792" s="172">
        <f>IF('Оперативный ввод'!S792="","",'Оперативный ввод'!S792)</f>
        <v/>
      </c>
      <c r="V792" s="172">
        <f>IF('Оперативный ввод'!T792="","",'Оперативный ввод'!T792)</f>
        <v/>
      </c>
      <c r="W792" s="172" t="n"/>
      <c r="X792" s="172" t="n"/>
      <c r="Y792" s="172" t="n"/>
      <c r="Z792" s="172" t="n"/>
      <c r="AA792" s="172">
        <f>IF('Оперативный ввод'!U792="","",'Оперативный ввод'!U792)</f>
        <v/>
      </c>
      <c r="AB792" s="172">
        <f>IF('Оперативный ввод'!V792="","",'Оперативный ввод'!V792)</f>
        <v/>
      </c>
      <c r="AC792" s="172">
        <f>IF('Оперативный ввод'!W792="","",'Оперативный ввод'!W792)</f>
        <v/>
      </c>
      <c r="BB792" s="172" t="n"/>
      <c r="BC792" s="172" t="n"/>
      <c r="BD792" s="205">
        <f>IF(AND(A792="",B792=""),"",IF(AND(P792="ГОТОВО",R792&lt;&gt;"",T792&lt;&gt;"",U792&lt;&gt;"",AA792&lt;&gt;"",AB792&lt;&gt;"",AC792&lt;&gt;"",BB792&lt;&gt;"",BC792&lt;&gt;""),"ГОТОВО","НЕ ГОТОВО"))</f>
        <v/>
      </c>
      <c r="BE792" s="205">
        <f>IF(BD792&lt;&gt;"ГОТОВО","","Полное заключение: "&amp;A792&amp;", скв. "&amp;B792&amp;". МРП: "&amp;E792&amp;" сут. ГНО: "&amp;F792&amp;"; причина: "&amp;U792&amp;"; категория: "&amp;V792&amp;"; решение комиссии: "&amp;BB792&amp;".")</f>
        <v/>
      </c>
      <c r="BF792" s="173">
        <f>IF('Оперативный ввод'!X792="","",'Оперативный ввод'!X792)</f>
        <v/>
      </c>
    </row>
    <row r="793">
      <c r="A793" s="171">
        <f>IF('Оперативный ввод'!A793="","",'Оперативный ввод'!A793)</f>
        <v/>
      </c>
      <c r="B793" s="172">
        <f>IF('Оперативный ввод'!B793="","",'Оперативный ввод'!B793)</f>
        <v/>
      </c>
      <c r="C793" s="270">
        <f>IF('Оперативный ввод'!C793="","",'Оперативный ввод'!C793)</f>
        <v/>
      </c>
      <c r="D793" s="270">
        <f>IF('Оперативный ввод'!D793="","",'Оперативный ввод'!D793)</f>
        <v/>
      </c>
      <c r="E793" s="271">
        <f>IF(OR(C793="",D793=""),"",D793-C793)</f>
        <v/>
      </c>
      <c r="F793" s="172">
        <f>IF('Оперативный ввод'!F793="","",'Оперативный ввод'!F793)</f>
        <v/>
      </c>
      <c r="G793" s="172">
        <f>IF('Оперативный ввод'!G793="","",'Оперативный ввод'!G793)</f>
        <v/>
      </c>
      <c r="H793" s="172">
        <f>IF('Оперативный ввод'!H793="","",'Оперативный ввод'!H793)</f>
        <v/>
      </c>
      <c r="I793" s="172">
        <f>IF('Оперативный ввод'!I793="","",'Оперативный ввод'!I793)</f>
        <v/>
      </c>
      <c r="J793" s="172">
        <f>IF('Оперативный ввод'!J793="","",'Оперативный ввод'!J793)</f>
        <v/>
      </c>
      <c r="K793" s="172">
        <f>IF('Оперативный ввод'!K793="","",'Оперативный ввод'!K793)</f>
        <v/>
      </c>
      <c r="L793" s="172">
        <f>IF('Оперативный ввод'!L793="","",'Оперативный ввод'!L793)</f>
        <v/>
      </c>
      <c r="M793" s="172">
        <f>IF('Оперативный ввод'!M793="","",'Оперативный ввод'!M793)</f>
        <v/>
      </c>
      <c r="N793" s="172">
        <f>IF('Оперативный ввод'!N793="","",'Оперативный ввод'!N793)</f>
        <v/>
      </c>
      <c r="O793" s="172">
        <f>IF('Оперативный ввод'!O793="","",'Оперативный ввод'!O793)</f>
        <v/>
      </c>
      <c r="P793" s="205">
        <f>IF(AND(A793="",B793=""),"",IF(AND(A793&lt;&gt;"",B793&lt;&gt;"",C793&lt;&gt;"",D793&lt;&gt;"",F793&lt;&gt;"",G793&lt;&gt;"",H793&lt;&gt;"",ISERROR(SEARCH("по паспорту",G793)),ISERROR(SEARCH("по паспорту",H793)),I793&lt;&gt;"",J793&lt;&gt;"",K793&lt;&gt;"",L793&lt;&gt;"",M793&lt;&gt;""),"ГОТОВО","НЕ ГОТОВО"))</f>
        <v/>
      </c>
      <c r="Q793" s="205">
        <f>IF(P793&lt;&gt;"ГОТОВО","", "Предварительное заключение: "&amp;A793&amp;", скв. "&amp;B793&amp;". МРП: "&amp;E793&amp;" сут. ГНО: "&amp;F793&amp;", типоразмер "&amp;G793&amp;", марка "&amp;H793&amp;". Событие: "&amp;I793&amp;". Признак: "&amp;J793&amp;". Узел: "&amp;K793&amp;". Предварительная причина: "&amp;L793&amp;". Основное осложнение: "&amp;M793&amp;IF(N793&lt;&gt;"","; сопутствующее: "&amp;N793,"")&amp;IF(O793&lt;&gt;"","; дополнительно: "&amp;O793,"")&amp;".")</f>
        <v/>
      </c>
      <c r="R793" s="172">
        <f>IF('Оперативный ввод'!P793="","",'Оперативный ввод'!P793)</f>
        <v/>
      </c>
      <c r="S793" s="172">
        <f>IF('Оперативный ввод'!Q793="","",'Оперативный ввод'!Q793)</f>
        <v/>
      </c>
      <c r="T793" s="172">
        <f>IF('Оперативный ввод'!R793="","",'Оперативный ввод'!R793)</f>
        <v/>
      </c>
      <c r="U793" s="172">
        <f>IF('Оперативный ввод'!S793="","",'Оперативный ввод'!S793)</f>
        <v/>
      </c>
      <c r="V793" s="172">
        <f>IF('Оперативный ввод'!T793="","",'Оперативный ввод'!T793)</f>
        <v/>
      </c>
      <c r="W793" s="172" t="n"/>
      <c r="X793" s="172" t="n"/>
      <c r="Y793" s="172" t="n"/>
      <c r="Z793" s="172" t="n"/>
      <c r="AA793" s="172">
        <f>IF('Оперативный ввод'!U793="","",'Оперативный ввод'!U793)</f>
        <v/>
      </c>
      <c r="AB793" s="172">
        <f>IF('Оперативный ввод'!V793="","",'Оперативный ввод'!V793)</f>
        <v/>
      </c>
      <c r="AC793" s="172">
        <f>IF('Оперативный ввод'!W793="","",'Оперативный ввод'!W793)</f>
        <v/>
      </c>
      <c r="BB793" s="172" t="n"/>
      <c r="BC793" s="172" t="n"/>
      <c r="BD793" s="205">
        <f>IF(AND(A793="",B793=""),"",IF(AND(P793="ГОТОВО",R793&lt;&gt;"",T793&lt;&gt;"",U793&lt;&gt;"",AA793&lt;&gt;"",AB793&lt;&gt;"",AC793&lt;&gt;"",BB793&lt;&gt;"",BC793&lt;&gt;""),"ГОТОВО","НЕ ГОТОВО"))</f>
        <v/>
      </c>
      <c r="BE793" s="205">
        <f>IF(BD793&lt;&gt;"ГОТОВО","","Полное заключение: "&amp;A793&amp;", скв. "&amp;B793&amp;". МРП: "&amp;E793&amp;" сут. ГНО: "&amp;F793&amp;"; причина: "&amp;U793&amp;"; категория: "&amp;V793&amp;"; решение комиссии: "&amp;BB793&amp;".")</f>
        <v/>
      </c>
      <c r="BF793" s="173">
        <f>IF('Оперативный ввод'!X793="","",'Оперативный ввод'!X793)</f>
        <v/>
      </c>
    </row>
    <row r="794">
      <c r="A794" s="171">
        <f>IF('Оперативный ввод'!A794="","",'Оперативный ввод'!A794)</f>
        <v/>
      </c>
      <c r="B794" s="172">
        <f>IF('Оперативный ввод'!B794="","",'Оперативный ввод'!B794)</f>
        <v/>
      </c>
      <c r="C794" s="270">
        <f>IF('Оперативный ввод'!C794="","",'Оперативный ввод'!C794)</f>
        <v/>
      </c>
      <c r="D794" s="270">
        <f>IF('Оперативный ввод'!D794="","",'Оперативный ввод'!D794)</f>
        <v/>
      </c>
      <c r="E794" s="271">
        <f>IF(OR(C794="",D794=""),"",D794-C794)</f>
        <v/>
      </c>
      <c r="F794" s="172">
        <f>IF('Оперативный ввод'!F794="","",'Оперативный ввод'!F794)</f>
        <v/>
      </c>
      <c r="G794" s="172">
        <f>IF('Оперативный ввод'!G794="","",'Оперативный ввод'!G794)</f>
        <v/>
      </c>
      <c r="H794" s="172">
        <f>IF('Оперативный ввод'!H794="","",'Оперативный ввод'!H794)</f>
        <v/>
      </c>
      <c r="I794" s="172">
        <f>IF('Оперативный ввод'!I794="","",'Оперативный ввод'!I794)</f>
        <v/>
      </c>
      <c r="J794" s="172">
        <f>IF('Оперативный ввод'!J794="","",'Оперативный ввод'!J794)</f>
        <v/>
      </c>
      <c r="K794" s="172">
        <f>IF('Оперативный ввод'!K794="","",'Оперативный ввод'!K794)</f>
        <v/>
      </c>
      <c r="L794" s="172">
        <f>IF('Оперативный ввод'!L794="","",'Оперативный ввод'!L794)</f>
        <v/>
      </c>
      <c r="M794" s="172">
        <f>IF('Оперативный ввод'!M794="","",'Оперативный ввод'!M794)</f>
        <v/>
      </c>
      <c r="N794" s="172">
        <f>IF('Оперативный ввод'!N794="","",'Оперативный ввод'!N794)</f>
        <v/>
      </c>
      <c r="O794" s="172">
        <f>IF('Оперативный ввод'!O794="","",'Оперативный ввод'!O794)</f>
        <v/>
      </c>
      <c r="P794" s="205">
        <f>IF(AND(A794="",B794=""),"",IF(AND(A794&lt;&gt;"",B794&lt;&gt;"",C794&lt;&gt;"",D794&lt;&gt;"",F794&lt;&gt;"",G794&lt;&gt;"",H794&lt;&gt;"",ISERROR(SEARCH("по паспорту",G794)),ISERROR(SEARCH("по паспорту",H794)),I794&lt;&gt;"",J794&lt;&gt;"",K794&lt;&gt;"",L794&lt;&gt;"",M794&lt;&gt;""),"ГОТОВО","НЕ ГОТОВО"))</f>
        <v/>
      </c>
      <c r="Q794" s="205">
        <f>IF(P794&lt;&gt;"ГОТОВО","", "Предварительное заключение: "&amp;A794&amp;", скв. "&amp;B794&amp;". МРП: "&amp;E794&amp;" сут. ГНО: "&amp;F794&amp;", типоразмер "&amp;G794&amp;", марка "&amp;H794&amp;". Событие: "&amp;I794&amp;". Признак: "&amp;J794&amp;". Узел: "&amp;K794&amp;". Предварительная причина: "&amp;L794&amp;". Основное осложнение: "&amp;M794&amp;IF(N794&lt;&gt;"","; сопутствующее: "&amp;N794,"")&amp;IF(O794&lt;&gt;"","; дополнительно: "&amp;O794,"")&amp;".")</f>
        <v/>
      </c>
      <c r="R794" s="172">
        <f>IF('Оперативный ввод'!P794="","",'Оперативный ввод'!P794)</f>
        <v/>
      </c>
      <c r="S794" s="172">
        <f>IF('Оперативный ввод'!Q794="","",'Оперативный ввод'!Q794)</f>
        <v/>
      </c>
      <c r="T794" s="172">
        <f>IF('Оперативный ввод'!R794="","",'Оперативный ввод'!R794)</f>
        <v/>
      </c>
      <c r="U794" s="172">
        <f>IF('Оперативный ввод'!S794="","",'Оперативный ввод'!S794)</f>
        <v/>
      </c>
      <c r="V794" s="172">
        <f>IF('Оперативный ввод'!T794="","",'Оперативный ввод'!T794)</f>
        <v/>
      </c>
      <c r="W794" s="172" t="n"/>
      <c r="X794" s="172" t="n"/>
      <c r="Y794" s="172" t="n"/>
      <c r="Z794" s="172" t="n"/>
      <c r="AA794" s="172">
        <f>IF('Оперативный ввод'!U794="","",'Оперативный ввод'!U794)</f>
        <v/>
      </c>
      <c r="AB794" s="172">
        <f>IF('Оперативный ввод'!V794="","",'Оперативный ввод'!V794)</f>
        <v/>
      </c>
      <c r="AC794" s="172">
        <f>IF('Оперативный ввод'!W794="","",'Оперативный ввод'!W794)</f>
        <v/>
      </c>
      <c r="BB794" s="172" t="n"/>
      <c r="BC794" s="172" t="n"/>
      <c r="BD794" s="205">
        <f>IF(AND(A794="",B794=""),"",IF(AND(P794="ГОТОВО",R794&lt;&gt;"",T794&lt;&gt;"",U794&lt;&gt;"",AA794&lt;&gt;"",AB794&lt;&gt;"",AC794&lt;&gt;"",BB794&lt;&gt;"",BC794&lt;&gt;""),"ГОТОВО","НЕ ГОТОВО"))</f>
        <v/>
      </c>
      <c r="BE794" s="205">
        <f>IF(BD794&lt;&gt;"ГОТОВО","","Полное заключение: "&amp;A794&amp;", скв. "&amp;B794&amp;". МРП: "&amp;E794&amp;" сут. ГНО: "&amp;F794&amp;"; причина: "&amp;U794&amp;"; категория: "&amp;V794&amp;"; решение комиссии: "&amp;BB794&amp;".")</f>
        <v/>
      </c>
      <c r="BF794" s="173">
        <f>IF('Оперативный ввод'!X794="","",'Оперативный ввод'!X794)</f>
        <v/>
      </c>
    </row>
    <row r="795">
      <c r="A795" s="171">
        <f>IF('Оперативный ввод'!A795="","",'Оперативный ввод'!A795)</f>
        <v/>
      </c>
      <c r="B795" s="172">
        <f>IF('Оперативный ввод'!B795="","",'Оперативный ввод'!B795)</f>
        <v/>
      </c>
      <c r="C795" s="270">
        <f>IF('Оперативный ввод'!C795="","",'Оперативный ввод'!C795)</f>
        <v/>
      </c>
      <c r="D795" s="270">
        <f>IF('Оперативный ввод'!D795="","",'Оперативный ввод'!D795)</f>
        <v/>
      </c>
      <c r="E795" s="271">
        <f>IF(OR(C795="",D795=""),"",D795-C795)</f>
        <v/>
      </c>
      <c r="F795" s="172">
        <f>IF('Оперативный ввод'!F795="","",'Оперативный ввод'!F795)</f>
        <v/>
      </c>
      <c r="G795" s="172">
        <f>IF('Оперативный ввод'!G795="","",'Оперативный ввод'!G795)</f>
        <v/>
      </c>
      <c r="H795" s="172">
        <f>IF('Оперативный ввод'!H795="","",'Оперативный ввод'!H795)</f>
        <v/>
      </c>
      <c r="I795" s="172">
        <f>IF('Оперативный ввод'!I795="","",'Оперативный ввод'!I795)</f>
        <v/>
      </c>
      <c r="J795" s="172">
        <f>IF('Оперативный ввод'!J795="","",'Оперативный ввод'!J795)</f>
        <v/>
      </c>
      <c r="K795" s="172">
        <f>IF('Оперативный ввод'!K795="","",'Оперативный ввод'!K795)</f>
        <v/>
      </c>
      <c r="L795" s="172">
        <f>IF('Оперативный ввод'!L795="","",'Оперативный ввод'!L795)</f>
        <v/>
      </c>
      <c r="M795" s="172">
        <f>IF('Оперативный ввод'!M795="","",'Оперативный ввод'!M795)</f>
        <v/>
      </c>
      <c r="N795" s="172">
        <f>IF('Оперативный ввод'!N795="","",'Оперативный ввод'!N795)</f>
        <v/>
      </c>
      <c r="O795" s="172">
        <f>IF('Оперативный ввод'!O795="","",'Оперативный ввод'!O795)</f>
        <v/>
      </c>
      <c r="P795" s="205">
        <f>IF(AND(A795="",B795=""),"",IF(AND(A795&lt;&gt;"",B795&lt;&gt;"",C795&lt;&gt;"",D795&lt;&gt;"",F795&lt;&gt;"",G795&lt;&gt;"",H795&lt;&gt;"",ISERROR(SEARCH("по паспорту",G795)),ISERROR(SEARCH("по паспорту",H795)),I795&lt;&gt;"",J795&lt;&gt;"",K795&lt;&gt;"",L795&lt;&gt;"",M795&lt;&gt;""),"ГОТОВО","НЕ ГОТОВО"))</f>
        <v/>
      </c>
      <c r="Q795" s="205">
        <f>IF(P795&lt;&gt;"ГОТОВО","", "Предварительное заключение: "&amp;A795&amp;", скв. "&amp;B795&amp;". МРП: "&amp;E795&amp;" сут. ГНО: "&amp;F795&amp;", типоразмер "&amp;G795&amp;", марка "&amp;H795&amp;". Событие: "&amp;I795&amp;". Признак: "&amp;J795&amp;". Узел: "&amp;K795&amp;". Предварительная причина: "&amp;L795&amp;". Основное осложнение: "&amp;M795&amp;IF(N795&lt;&gt;"","; сопутствующее: "&amp;N795,"")&amp;IF(O795&lt;&gt;"","; дополнительно: "&amp;O795,"")&amp;".")</f>
        <v/>
      </c>
      <c r="R795" s="172">
        <f>IF('Оперативный ввод'!P795="","",'Оперативный ввод'!P795)</f>
        <v/>
      </c>
      <c r="S795" s="172">
        <f>IF('Оперативный ввод'!Q795="","",'Оперативный ввод'!Q795)</f>
        <v/>
      </c>
      <c r="T795" s="172">
        <f>IF('Оперативный ввод'!R795="","",'Оперативный ввод'!R795)</f>
        <v/>
      </c>
      <c r="U795" s="172">
        <f>IF('Оперативный ввод'!S795="","",'Оперативный ввод'!S795)</f>
        <v/>
      </c>
      <c r="V795" s="172">
        <f>IF('Оперативный ввод'!T795="","",'Оперативный ввод'!T795)</f>
        <v/>
      </c>
      <c r="W795" s="172" t="n"/>
      <c r="X795" s="172" t="n"/>
      <c r="Y795" s="172" t="n"/>
      <c r="Z795" s="172" t="n"/>
      <c r="AA795" s="172">
        <f>IF('Оперативный ввод'!U795="","",'Оперативный ввод'!U795)</f>
        <v/>
      </c>
      <c r="AB795" s="172">
        <f>IF('Оперативный ввод'!V795="","",'Оперативный ввод'!V795)</f>
        <v/>
      </c>
      <c r="AC795" s="172">
        <f>IF('Оперативный ввод'!W795="","",'Оперативный ввод'!W795)</f>
        <v/>
      </c>
      <c r="BB795" s="172" t="n"/>
      <c r="BC795" s="172" t="n"/>
      <c r="BD795" s="205">
        <f>IF(AND(A795="",B795=""),"",IF(AND(P795="ГОТОВО",R795&lt;&gt;"",T795&lt;&gt;"",U795&lt;&gt;"",AA795&lt;&gt;"",AB795&lt;&gt;"",AC795&lt;&gt;"",BB795&lt;&gt;"",BC795&lt;&gt;""),"ГОТОВО","НЕ ГОТОВО"))</f>
        <v/>
      </c>
      <c r="BE795" s="205">
        <f>IF(BD795&lt;&gt;"ГОТОВО","","Полное заключение: "&amp;A795&amp;", скв. "&amp;B795&amp;". МРП: "&amp;E795&amp;" сут. ГНО: "&amp;F795&amp;"; причина: "&amp;U795&amp;"; категория: "&amp;V795&amp;"; решение комиссии: "&amp;BB795&amp;".")</f>
        <v/>
      </c>
      <c r="BF795" s="173">
        <f>IF('Оперативный ввод'!X795="","",'Оперативный ввод'!X795)</f>
        <v/>
      </c>
    </row>
    <row r="796">
      <c r="A796" s="171">
        <f>IF('Оперативный ввод'!A796="","",'Оперативный ввод'!A796)</f>
        <v/>
      </c>
      <c r="B796" s="172">
        <f>IF('Оперативный ввод'!B796="","",'Оперативный ввод'!B796)</f>
        <v/>
      </c>
      <c r="C796" s="270">
        <f>IF('Оперативный ввод'!C796="","",'Оперативный ввод'!C796)</f>
        <v/>
      </c>
      <c r="D796" s="270">
        <f>IF('Оперативный ввод'!D796="","",'Оперативный ввод'!D796)</f>
        <v/>
      </c>
      <c r="E796" s="271">
        <f>IF(OR(C796="",D796=""),"",D796-C796)</f>
        <v/>
      </c>
      <c r="F796" s="172">
        <f>IF('Оперативный ввод'!F796="","",'Оперативный ввод'!F796)</f>
        <v/>
      </c>
      <c r="G796" s="172">
        <f>IF('Оперативный ввод'!G796="","",'Оперативный ввод'!G796)</f>
        <v/>
      </c>
      <c r="H796" s="172">
        <f>IF('Оперативный ввод'!H796="","",'Оперативный ввод'!H796)</f>
        <v/>
      </c>
      <c r="I796" s="172">
        <f>IF('Оперативный ввод'!I796="","",'Оперативный ввод'!I796)</f>
        <v/>
      </c>
      <c r="J796" s="172">
        <f>IF('Оперативный ввод'!J796="","",'Оперативный ввод'!J796)</f>
        <v/>
      </c>
      <c r="K796" s="172">
        <f>IF('Оперативный ввод'!K796="","",'Оперативный ввод'!K796)</f>
        <v/>
      </c>
      <c r="L796" s="172">
        <f>IF('Оперативный ввод'!L796="","",'Оперативный ввод'!L796)</f>
        <v/>
      </c>
      <c r="M796" s="172">
        <f>IF('Оперативный ввод'!M796="","",'Оперативный ввод'!M796)</f>
        <v/>
      </c>
      <c r="N796" s="172">
        <f>IF('Оперативный ввод'!N796="","",'Оперативный ввод'!N796)</f>
        <v/>
      </c>
      <c r="O796" s="172">
        <f>IF('Оперативный ввод'!O796="","",'Оперативный ввод'!O796)</f>
        <v/>
      </c>
      <c r="P796" s="205">
        <f>IF(AND(A796="",B796=""),"",IF(AND(A796&lt;&gt;"",B796&lt;&gt;"",C796&lt;&gt;"",D796&lt;&gt;"",F796&lt;&gt;"",G796&lt;&gt;"",H796&lt;&gt;"",ISERROR(SEARCH("по паспорту",G796)),ISERROR(SEARCH("по паспорту",H796)),I796&lt;&gt;"",J796&lt;&gt;"",K796&lt;&gt;"",L796&lt;&gt;"",M796&lt;&gt;""),"ГОТОВО","НЕ ГОТОВО"))</f>
        <v/>
      </c>
      <c r="Q796" s="205">
        <f>IF(P796&lt;&gt;"ГОТОВО","", "Предварительное заключение: "&amp;A796&amp;", скв. "&amp;B796&amp;". МРП: "&amp;E796&amp;" сут. ГНО: "&amp;F796&amp;", типоразмер "&amp;G796&amp;", марка "&amp;H796&amp;". Событие: "&amp;I796&amp;". Признак: "&amp;J796&amp;". Узел: "&amp;K796&amp;". Предварительная причина: "&amp;L796&amp;". Основное осложнение: "&amp;M796&amp;IF(N796&lt;&gt;"","; сопутствующее: "&amp;N796,"")&amp;IF(O796&lt;&gt;"","; дополнительно: "&amp;O796,"")&amp;".")</f>
        <v/>
      </c>
      <c r="R796" s="172">
        <f>IF('Оперативный ввод'!P796="","",'Оперативный ввод'!P796)</f>
        <v/>
      </c>
      <c r="S796" s="172">
        <f>IF('Оперативный ввод'!Q796="","",'Оперативный ввод'!Q796)</f>
        <v/>
      </c>
      <c r="T796" s="172">
        <f>IF('Оперативный ввод'!R796="","",'Оперативный ввод'!R796)</f>
        <v/>
      </c>
      <c r="U796" s="172">
        <f>IF('Оперативный ввод'!S796="","",'Оперативный ввод'!S796)</f>
        <v/>
      </c>
      <c r="V796" s="172">
        <f>IF('Оперативный ввод'!T796="","",'Оперативный ввод'!T796)</f>
        <v/>
      </c>
      <c r="W796" s="172" t="n"/>
      <c r="X796" s="172" t="n"/>
      <c r="Y796" s="172" t="n"/>
      <c r="Z796" s="172" t="n"/>
      <c r="AA796" s="172">
        <f>IF('Оперативный ввод'!U796="","",'Оперативный ввод'!U796)</f>
        <v/>
      </c>
      <c r="AB796" s="172">
        <f>IF('Оперативный ввод'!V796="","",'Оперативный ввод'!V796)</f>
        <v/>
      </c>
      <c r="AC796" s="172">
        <f>IF('Оперативный ввод'!W796="","",'Оперативный ввод'!W796)</f>
        <v/>
      </c>
      <c r="BB796" s="172" t="n"/>
      <c r="BC796" s="172" t="n"/>
      <c r="BD796" s="205">
        <f>IF(AND(A796="",B796=""),"",IF(AND(P796="ГОТОВО",R796&lt;&gt;"",T796&lt;&gt;"",U796&lt;&gt;"",AA796&lt;&gt;"",AB796&lt;&gt;"",AC796&lt;&gt;"",BB796&lt;&gt;"",BC796&lt;&gt;""),"ГОТОВО","НЕ ГОТОВО"))</f>
        <v/>
      </c>
      <c r="BE796" s="205">
        <f>IF(BD796&lt;&gt;"ГОТОВО","","Полное заключение: "&amp;A796&amp;", скв. "&amp;B796&amp;". МРП: "&amp;E796&amp;" сут. ГНО: "&amp;F796&amp;"; причина: "&amp;U796&amp;"; категория: "&amp;V796&amp;"; решение комиссии: "&amp;BB796&amp;".")</f>
        <v/>
      </c>
      <c r="BF796" s="173">
        <f>IF('Оперативный ввод'!X796="","",'Оперативный ввод'!X796)</f>
        <v/>
      </c>
    </row>
    <row r="797">
      <c r="A797" s="171">
        <f>IF('Оперативный ввод'!A797="","",'Оперативный ввод'!A797)</f>
        <v/>
      </c>
      <c r="B797" s="172">
        <f>IF('Оперативный ввод'!B797="","",'Оперативный ввод'!B797)</f>
        <v/>
      </c>
      <c r="C797" s="270">
        <f>IF('Оперативный ввод'!C797="","",'Оперативный ввод'!C797)</f>
        <v/>
      </c>
      <c r="D797" s="270">
        <f>IF('Оперативный ввод'!D797="","",'Оперативный ввод'!D797)</f>
        <v/>
      </c>
      <c r="E797" s="271">
        <f>IF(OR(C797="",D797=""),"",D797-C797)</f>
        <v/>
      </c>
      <c r="F797" s="172">
        <f>IF('Оперативный ввод'!F797="","",'Оперативный ввод'!F797)</f>
        <v/>
      </c>
      <c r="G797" s="172">
        <f>IF('Оперативный ввод'!G797="","",'Оперативный ввод'!G797)</f>
        <v/>
      </c>
      <c r="H797" s="172">
        <f>IF('Оперативный ввод'!H797="","",'Оперативный ввод'!H797)</f>
        <v/>
      </c>
      <c r="I797" s="172">
        <f>IF('Оперативный ввод'!I797="","",'Оперативный ввод'!I797)</f>
        <v/>
      </c>
      <c r="J797" s="172">
        <f>IF('Оперативный ввод'!J797="","",'Оперативный ввод'!J797)</f>
        <v/>
      </c>
      <c r="K797" s="172">
        <f>IF('Оперативный ввод'!K797="","",'Оперативный ввод'!K797)</f>
        <v/>
      </c>
      <c r="L797" s="172">
        <f>IF('Оперативный ввод'!L797="","",'Оперативный ввод'!L797)</f>
        <v/>
      </c>
      <c r="M797" s="172">
        <f>IF('Оперативный ввод'!M797="","",'Оперативный ввод'!M797)</f>
        <v/>
      </c>
      <c r="N797" s="172">
        <f>IF('Оперативный ввод'!N797="","",'Оперативный ввод'!N797)</f>
        <v/>
      </c>
      <c r="O797" s="172">
        <f>IF('Оперативный ввод'!O797="","",'Оперативный ввод'!O797)</f>
        <v/>
      </c>
      <c r="P797" s="205">
        <f>IF(AND(A797="",B797=""),"",IF(AND(A797&lt;&gt;"",B797&lt;&gt;"",C797&lt;&gt;"",D797&lt;&gt;"",F797&lt;&gt;"",G797&lt;&gt;"",H797&lt;&gt;"",ISERROR(SEARCH("по паспорту",G797)),ISERROR(SEARCH("по паспорту",H797)),I797&lt;&gt;"",J797&lt;&gt;"",K797&lt;&gt;"",L797&lt;&gt;"",M797&lt;&gt;""),"ГОТОВО","НЕ ГОТОВО"))</f>
        <v/>
      </c>
      <c r="Q797" s="205">
        <f>IF(P797&lt;&gt;"ГОТОВО","", "Предварительное заключение: "&amp;A797&amp;", скв. "&amp;B797&amp;". МРП: "&amp;E797&amp;" сут. ГНО: "&amp;F797&amp;", типоразмер "&amp;G797&amp;", марка "&amp;H797&amp;". Событие: "&amp;I797&amp;". Признак: "&amp;J797&amp;". Узел: "&amp;K797&amp;". Предварительная причина: "&amp;L797&amp;". Основное осложнение: "&amp;M797&amp;IF(N797&lt;&gt;"","; сопутствующее: "&amp;N797,"")&amp;IF(O797&lt;&gt;"","; дополнительно: "&amp;O797,"")&amp;".")</f>
        <v/>
      </c>
      <c r="R797" s="172">
        <f>IF('Оперативный ввод'!P797="","",'Оперативный ввод'!P797)</f>
        <v/>
      </c>
      <c r="S797" s="172">
        <f>IF('Оперативный ввод'!Q797="","",'Оперативный ввод'!Q797)</f>
        <v/>
      </c>
      <c r="T797" s="172">
        <f>IF('Оперативный ввод'!R797="","",'Оперативный ввод'!R797)</f>
        <v/>
      </c>
      <c r="U797" s="172">
        <f>IF('Оперативный ввод'!S797="","",'Оперативный ввод'!S797)</f>
        <v/>
      </c>
      <c r="V797" s="172">
        <f>IF('Оперативный ввод'!T797="","",'Оперативный ввод'!T797)</f>
        <v/>
      </c>
      <c r="W797" s="172" t="n"/>
      <c r="X797" s="172" t="n"/>
      <c r="Y797" s="172" t="n"/>
      <c r="Z797" s="172" t="n"/>
      <c r="AA797" s="172">
        <f>IF('Оперативный ввод'!U797="","",'Оперативный ввод'!U797)</f>
        <v/>
      </c>
      <c r="AB797" s="172">
        <f>IF('Оперативный ввод'!V797="","",'Оперативный ввод'!V797)</f>
        <v/>
      </c>
      <c r="AC797" s="172">
        <f>IF('Оперативный ввод'!W797="","",'Оперативный ввод'!W797)</f>
        <v/>
      </c>
      <c r="BB797" s="172" t="n"/>
      <c r="BC797" s="172" t="n"/>
      <c r="BD797" s="205">
        <f>IF(AND(A797="",B797=""),"",IF(AND(P797="ГОТОВО",R797&lt;&gt;"",T797&lt;&gt;"",U797&lt;&gt;"",AA797&lt;&gt;"",AB797&lt;&gt;"",AC797&lt;&gt;"",BB797&lt;&gt;"",BC797&lt;&gt;""),"ГОТОВО","НЕ ГОТОВО"))</f>
        <v/>
      </c>
      <c r="BE797" s="205">
        <f>IF(BD797&lt;&gt;"ГОТОВО","","Полное заключение: "&amp;A797&amp;", скв. "&amp;B797&amp;". МРП: "&amp;E797&amp;" сут. ГНО: "&amp;F797&amp;"; причина: "&amp;U797&amp;"; категория: "&amp;V797&amp;"; решение комиссии: "&amp;BB797&amp;".")</f>
        <v/>
      </c>
      <c r="BF797" s="173">
        <f>IF('Оперативный ввод'!X797="","",'Оперативный ввод'!X797)</f>
        <v/>
      </c>
    </row>
    <row r="798">
      <c r="A798" s="171">
        <f>IF('Оперативный ввод'!A798="","",'Оперативный ввод'!A798)</f>
        <v/>
      </c>
      <c r="B798" s="172">
        <f>IF('Оперативный ввод'!B798="","",'Оперативный ввод'!B798)</f>
        <v/>
      </c>
      <c r="C798" s="270">
        <f>IF('Оперативный ввод'!C798="","",'Оперативный ввод'!C798)</f>
        <v/>
      </c>
      <c r="D798" s="270">
        <f>IF('Оперативный ввод'!D798="","",'Оперативный ввод'!D798)</f>
        <v/>
      </c>
      <c r="E798" s="271">
        <f>IF(OR(C798="",D798=""),"",D798-C798)</f>
        <v/>
      </c>
      <c r="F798" s="172">
        <f>IF('Оперативный ввод'!F798="","",'Оперативный ввод'!F798)</f>
        <v/>
      </c>
      <c r="G798" s="172">
        <f>IF('Оперативный ввод'!G798="","",'Оперативный ввод'!G798)</f>
        <v/>
      </c>
      <c r="H798" s="172">
        <f>IF('Оперативный ввод'!H798="","",'Оперативный ввод'!H798)</f>
        <v/>
      </c>
      <c r="I798" s="172">
        <f>IF('Оперативный ввод'!I798="","",'Оперативный ввод'!I798)</f>
        <v/>
      </c>
      <c r="J798" s="172">
        <f>IF('Оперативный ввод'!J798="","",'Оперативный ввод'!J798)</f>
        <v/>
      </c>
      <c r="K798" s="172">
        <f>IF('Оперативный ввод'!K798="","",'Оперативный ввод'!K798)</f>
        <v/>
      </c>
      <c r="L798" s="172">
        <f>IF('Оперативный ввод'!L798="","",'Оперативный ввод'!L798)</f>
        <v/>
      </c>
      <c r="M798" s="172">
        <f>IF('Оперативный ввод'!M798="","",'Оперативный ввод'!M798)</f>
        <v/>
      </c>
      <c r="N798" s="172">
        <f>IF('Оперативный ввод'!N798="","",'Оперативный ввод'!N798)</f>
        <v/>
      </c>
      <c r="O798" s="172">
        <f>IF('Оперативный ввод'!O798="","",'Оперативный ввод'!O798)</f>
        <v/>
      </c>
      <c r="P798" s="205">
        <f>IF(AND(A798="",B798=""),"",IF(AND(A798&lt;&gt;"",B798&lt;&gt;"",C798&lt;&gt;"",D798&lt;&gt;"",F798&lt;&gt;"",G798&lt;&gt;"",H798&lt;&gt;"",ISERROR(SEARCH("по паспорту",G798)),ISERROR(SEARCH("по паспорту",H798)),I798&lt;&gt;"",J798&lt;&gt;"",K798&lt;&gt;"",L798&lt;&gt;"",M798&lt;&gt;""),"ГОТОВО","НЕ ГОТОВО"))</f>
        <v/>
      </c>
      <c r="Q798" s="205">
        <f>IF(P798&lt;&gt;"ГОТОВО","", "Предварительное заключение: "&amp;A798&amp;", скв. "&amp;B798&amp;". МРП: "&amp;E798&amp;" сут. ГНО: "&amp;F798&amp;", типоразмер "&amp;G798&amp;", марка "&amp;H798&amp;". Событие: "&amp;I798&amp;". Признак: "&amp;J798&amp;". Узел: "&amp;K798&amp;". Предварительная причина: "&amp;L798&amp;". Основное осложнение: "&amp;M798&amp;IF(N798&lt;&gt;"","; сопутствующее: "&amp;N798,"")&amp;IF(O798&lt;&gt;"","; дополнительно: "&amp;O798,"")&amp;".")</f>
        <v/>
      </c>
      <c r="R798" s="172">
        <f>IF('Оперативный ввод'!P798="","",'Оперативный ввод'!P798)</f>
        <v/>
      </c>
      <c r="S798" s="172">
        <f>IF('Оперативный ввод'!Q798="","",'Оперативный ввод'!Q798)</f>
        <v/>
      </c>
      <c r="T798" s="172">
        <f>IF('Оперативный ввод'!R798="","",'Оперативный ввод'!R798)</f>
        <v/>
      </c>
      <c r="U798" s="172">
        <f>IF('Оперативный ввод'!S798="","",'Оперативный ввод'!S798)</f>
        <v/>
      </c>
      <c r="V798" s="172">
        <f>IF('Оперативный ввод'!T798="","",'Оперативный ввод'!T798)</f>
        <v/>
      </c>
      <c r="W798" s="172" t="n"/>
      <c r="X798" s="172" t="n"/>
      <c r="Y798" s="172" t="n"/>
      <c r="Z798" s="172" t="n"/>
      <c r="AA798" s="172">
        <f>IF('Оперативный ввод'!U798="","",'Оперативный ввод'!U798)</f>
        <v/>
      </c>
      <c r="AB798" s="172">
        <f>IF('Оперативный ввод'!V798="","",'Оперативный ввод'!V798)</f>
        <v/>
      </c>
      <c r="AC798" s="172">
        <f>IF('Оперативный ввод'!W798="","",'Оперативный ввод'!W798)</f>
        <v/>
      </c>
      <c r="BB798" s="172" t="n"/>
      <c r="BC798" s="172" t="n"/>
      <c r="BD798" s="205">
        <f>IF(AND(A798="",B798=""),"",IF(AND(P798="ГОТОВО",R798&lt;&gt;"",T798&lt;&gt;"",U798&lt;&gt;"",AA798&lt;&gt;"",AB798&lt;&gt;"",AC798&lt;&gt;"",BB798&lt;&gt;"",BC798&lt;&gt;""),"ГОТОВО","НЕ ГОТОВО"))</f>
        <v/>
      </c>
      <c r="BE798" s="205">
        <f>IF(BD798&lt;&gt;"ГОТОВО","","Полное заключение: "&amp;A798&amp;", скв. "&amp;B798&amp;". МРП: "&amp;E798&amp;" сут. ГНО: "&amp;F798&amp;"; причина: "&amp;U798&amp;"; категория: "&amp;V798&amp;"; решение комиссии: "&amp;BB798&amp;".")</f>
        <v/>
      </c>
      <c r="BF798" s="173">
        <f>IF('Оперативный ввод'!X798="","",'Оперативный ввод'!X798)</f>
        <v/>
      </c>
    </row>
    <row r="799">
      <c r="A799" s="171">
        <f>IF('Оперативный ввод'!A799="","",'Оперативный ввод'!A799)</f>
        <v/>
      </c>
      <c r="B799" s="172">
        <f>IF('Оперативный ввод'!B799="","",'Оперативный ввод'!B799)</f>
        <v/>
      </c>
      <c r="C799" s="270">
        <f>IF('Оперативный ввод'!C799="","",'Оперативный ввод'!C799)</f>
        <v/>
      </c>
      <c r="D799" s="270">
        <f>IF('Оперативный ввод'!D799="","",'Оперативный ввод'!D799)</f>
        <v/>
      </c>
      <c r="E799" s="271">
        <f>IF(OR(C799="",D799=""),"",D799-C799)</f>
        <v/>
      </c>
      <c r="F799" s="172">
        <f>IF('Оперативный ввод'!F799="","",'Оперативный ввод'!F799)</f>
        <v/>
      </c>
      <c r="G799" s="172">
        <f>IF('Оперативный ввод'!G799="","",'Оперативный ввод'!G799)</f>
        <v/>
      </c>
      <c r="H799" s="172">
        <f>IF('Оперативный ввод'!H799="","",'Оперативный ввод'!H799)</f>
        <v/>
      </c>
      <c r="I799" s="172">
        <f>IF('Оперативный ввод'!I799="","",'Оперативный ввод'!I799)</f>
        <v/>
      </c>
      <c r="J799" s="172">
        <f>IF('Оперативный ввод'!J799="","",'Оперативный ввод'!J799)</f>
        <v/>
      </c>
      <c r="K799" s="172">
        <f>IF('Оперативный ввод'!K799="","",'Оперативный ввод'!K799)</f>
        <v/>
      </c>
      <c r="L799" s="172">
        <f>IF('Оперативный ввод'!L799="","",'Оперативный ввод'!L799)</f>
        <v/>
      </c>
      <c r="M799" s="172">
        <f>IF('Оперативный ввод'!M799="","",'Оперативный ввод'!M799)</f>
        <v/>
      </c>
      <c r="N799" s="172">
        <f>IF('Оперативный ввод'!N799="","",'Оперативный ввод'!N799)</f>
        <v/>
      </c>
      <c r="O799" s="172">
        <f>IF('Оперативный ввод'!O799="","",'Оперативный ввод'!O799)</f>
        <v/>
      </c>
      <c r="P799" s="205">
        <f>IF(AND(A799="",B799=""),"",IF(AND(A799&lt;&gt;"",B799&lt;&gt;"",C799&lt;&gt;"",D799&lt;&gt;"",F799&lt;&gt;"",G799&lt;&gt;"",H799&lt;&gt;"",ISERROR(SEARCH("по паспорту",G799)),ISERROR(SEARCH("по паспорту",H799)),I799&lt;&gt;"",J799&lt;&gt;"",K799&lt;&gt;"",L799&lt;&gt;"",M799&lt;&gt;""),"ГОТОВО","НЕ ГОТОВО"))</f>
        <v/>
      </c>
      <c r="Q799" s="205">
        <f>IF(P799&lt;&gt;"ГОТОВО","", "Предварительное заключение: "&amp;A799&amp;", скв. "&amp;B799&amp;". МРП: "&amp;E799&amp;" сут. ГНО: "&amp;F799&amp;", типоразмер "&amp;G799&amp;", марка "&amp;H799&amp;". Событие: "&amp;I799&amp;". Признак: "&amp;J799&amp;". Узел: "&amp;K799&amp;". Предварительная причина: "&amp;L799&amp;". Основное осложнение: "&amp;M799&amp;IF(N799&lt;&gt;"","; сопутствующее: "&amp;N799,"")&amp;IF(O799&lt;&gt;"","; дополнительно: "&amp;O799,"")&amp;".")</f>
        <v/>
      </c>
      <c r="R799" s="172">
        <f>IF('Оперативный ввод'!P799="","",'Оперативный ввод'!P799)</f>
        <v/>
      </c>
      <c r="S799" s="172">
        <f>IF('Оперативный ввод'!Q799="","",'Оперативный ввод'!Q799)</f>
        <v/>
      </c>
      <c r="T799" s="172">
        <f>IF('Оперативный ввод'!R799="","",'Оперативный ввод'!R799)</f>
        <v/>
      </c>
      <c r="U799" s="172">
        <f>IF('Оперативный ввод'!S799="","",'Оперативный ввод'!S799)</f>
        <v/>
      </c>
      <c r="V799" s="172">
        <f>IF('Оперативный ввод'!T799="","",'Оперативный ввод'!T799)</f>
        <v/>
      </c>
      <c r="W799" s="172" t="n"/>
      <c r="X799" s="172" t="n"/>
      <c r="Y799" s="172" t="n"/>
      <c r="Z799" s="172" t="n"/>
      <c r="AA799" s="172">
        <f>IF('Оперативный ввод'!U799="","",'Оперативный ввод'!U799)</f>
        <v/>
      </c>
      <c r="AB799" s="172">
        <f>IF('Оперативный ввод'!V799="","",'Оперативный ввод'!V799)</f>
        <v/>
      </c>
      <c r="AC799" s="172">
        <f>IF('Оперативный ввод'!W799="","",'Оперативный ввод'!W799)</f>
        <v/>
      </c>
      <c r="BB799" s="172" t="n"/>
      <c r="BC799" s="172" t="n"/>
      <c r="BD799" s="205">
        <f>IF(AND(A799="",B799=""),"",IF(AND(P799="ГОТОВО",R799&lt;&gt;"",T799&lt;&gt;"",U799&lt;&gt;"",AA799&lt;&gt;"",AB799&lt;&gt;"",AC799&lt;&gt;"",BB799&lt;&gt;"",BC799&lt;&gt;""),"ГОТОВО","НЕ ГОТОВО"))</f>
        <v/>
      </c>
      <c r="BE799" s="205">
        <f>IF(BD799&lt;&gt;"ГОТОВО","","Полное заключение: "&amp;A799&amp;", скв. "&amp;B799&amp;". МРП: "&amp;E799&amp;" сут. ГНО: "&amp;F799&amp;"; причина: "&amp;U799&amp;"; категория: "&amp;V799&amp;"; решение комиссии: "&amp;BB799&amp;".")</f>
        <v/>
      </c>
      <c r="BF799" s="173">
        <f>IF('Оперативный ввод'!X799="","",'Оперативный ввод'!X799)</f>
        <v/>
      </c>
    </row>
    <row r="800">
      <c r="A800" s="171">
        <f>IF('Оперативный ввод'!A800="","",'Оперативный ввод'!A800)</f>
        <v/>
      </c>
      <c r="B800" s="172">
        <f>IF('Оперативный ввод'!B800="","",'Оперативный ввод'!B800)</f>
        <v/>
      </c>
      <c r="C800" s="270">
        <f>IF('Оперативный ввод'!C800="","",'Оперативный ввод'!C800)</f>
        <v/>
      </c>
      <c r="D800" s="270">
        <f>IF('Оперативный ввод'!D800="","",'Оперативный ввод'!D800)</f>
        <v/>
      </c>
      <c r="E800" s="271">
        <f>IF(OR(C800="",D800=""),"",D800-C800)</f>
        <v/>
      </c>
      <c r="F800" s="172">
        <f>IF('Оперативный ввод'!F800="","",'Оперативный ввод'!F800)</f>
        <v/>
      </c>
      <c r="G800" s="172">
        <f>IF('Оперативный ввод'!G800="","",'Оперативный ввод'!G800)</f>
        <v/>
      </c>
      <c r="H800" s="172">
        <f>IF('Оперативный ввод'!H800="","",'Оперативный ввод'!H800)</f>
        <v/>
      </c>
      <c r="I800" s="172">
        <f>IF('Оперативный ввод'!I800="","",'Оперативный ввод'!I800)</f>
        <v/>
      </c>
      <c r="J800" s="172">
        <f>IF('Оперативный ввод'!J800="","",'Оперативный ввод'!J800)</f>
        <v/>
      </c>
      <c r="K800" s="172">
        <f>IF('Оперативный ввод'!K800="","",'Оперативный ввод'!K800)</f>
        <v/>
      </c>
      <c r="L800" s="172">
        <f>IF('Оперативный ввод'!L800="","",'Оперативный ввод'!L800)</f>
        <v/>
      </c>
      <c r="M800" s="172">
        <f>IF('Оперативный ввод'!M800="","",'Оперативный ввод'!M800)</f>
        <v/>
      </c>
      <c r="N800" s="172">
        <f>IF('Оперативный ввод'!N800="","",'Оперативный ввод'!N800)</f>
        <v/>
      </c>
      <c r="O800" s="172">
        <f>IF('Оперативный ввод'!O800="","",'Оперативный ввод'!O800)</f>
        <v/>
      </c>
      <c r="P800" s="205">
        <f>IF(AND(A800="",B800=""),"",IF(AND(A800&lt;&gt;"",B800&lt;&gt;"",C800&lt;&gt;"",D800&lt;&gt;"",F800&lt;&gt;"",G800&lt;&gt;"",H800&lt;&gt;"",ISERROR(SEARCH("по паспорту",G800)),ISERROR(SEARCH("по паспорту",H800)),I800&lt;&gt;"",J800&lt;&gt;"",K800&lt;&gt;"",L800&lt;&gt;"",M800&lt;&gt;""),"ГОТОВО","НЕ ГОТОВО"))</f>
        <v/>
      </c>
      <c r="Q800" s="205">
        <f>IF(P800&lt;&gt;"ГОТОВО","", "Предварительное заключение: "&amp;A800&amp;", скв. "&amp;B800&amp;". МРП: "&amp;E800&amp;" сут. ГНО: "&amp;F800&amp;", типоразмер "&amp;G800&amp;", марка "&amp;H800&amp;". Событие: "&amp;I800&amp;". Признак: "&amp;J800&amp;". Узел: "&amp;K800&amp;". Предварительная причина: "&amp;L800&amp;". Основное осложнение: "&amp;M800&amp;IF(N800&lt;&gt;"","; сопутствующее: "&amp;N800,"")&amp;IF(O800&lt;&gt;"","; дополнительно: "&amp;O800,"")&amp;".")</f>
        <v/>
      </c>
      <c r="R800" s="172">
        <f>IF('Оперативный ввод'!P800="","",'Оперативный ввод'!P800)</f>
        <v/>
      </c>
      <c r="S800" s="172">
        <f>IF('Оперативный ввод'!Q800="","",'Оперативный ввод'!Q800)</f>
        <v/>
      </c>
      <c r="T800" s="172">
        <f>IF('Оперативный ввод'!R800="","",'Оперативный ввод'!R800)</f>
        <v/>
      </c>
      <c r="U800" s="172">
        <f>IF('Оперативный ввод'!S800="","",'Оперативный ввод'!S800)</f>
        <v/>
      </c>
      <c r="V800" s="172">
        <f>IF('Оперативный ввод'!T800="","",'Оперативный ввод'!T800)</f>
        <v/>
      </c>
      <c r="W800" s="172" t="n"/>
      <c r="X800" s="172" t="n"/>
      <c r="Y800" s="172" t="n"/>
      <c r="Z800" s="172" t="n"/>
      <c r="AA800" s="172">
        <f>IF('Оперативный ввод'!U800="","",'Оперативный ввод'!U800)</f>
        <v/>
      </c>
      <c r="AB800" s="172">
        <f>IF('Оперативный ввод'!V800="","",'Оперативный ввод'!V800)</f>
        <v/>
      </c>
      <c r="AC800" s="172">
        <f>IF('Оперативный ввод'!W800="","",'Оперативный ввод'!W800)</f>
        <v/>
      </c>
      <c r="BB800" s="172" t="n"/>
      <c r="BC800" s="172" t="n"/>
      <c r="BD800" s="205">
        <f>IF(AND(A800="",B800=""),"",IF(AND(P800="ГОТОВО",R800&lt;&gt;"",T800&lt;&gt;"",U800&lt;&gt;"",AA800&lt;&gt;"",AB800&lt;&gt;"",AC800&lt;&gt;"",BB800&lt;&gt;"",BC800&lt;&gt;""),"ГОТОВО","НЕ ГОТОВО"))</f>
        <v/>
      </c>
      <c r="BE800" s="205">
        <f>IF(BD800&lt;&gt;"ГОТОВО","","Полное заключение: "&amp;A800&amp;", скв. "&amp;B800&amp;". МРП: "&amp;E800&amp;" сут. ГНО: "&amp;F800&amp;"; причина: "&amp;U800&amp;"; категория: "&amp;V800&amp;"; решение комиссии: "&amp;BB800&amp;".")</f>
        <v/>
      </c>
      <c r="BF800" s="173">
        <f>IF('Оперативный ввод'!X800="","",'Оперативный ввод'!X800)</f>
        <v/>
      </c>
    </row>
    <row r="801">
      <c r="A801" s="171">
        <f>IF('Оперативный ввод'!A801="","",'Оперативный ввод'!A801)</f>
        <v/>
      </c>
      <c r="B801" s="172">
        <f>IF('Оперативный ввод'!B801="","",'Оперативный ввод'!B801)</f>
        <v/>
      </c>
      <c r="C801" s="270">
        <f>IF('Оперативный ввод'!C801="","",'Оперативный ввод'!C801)</f>
        <v/>
      </c>
      <c r="D801" s="270">
        <f>IF('Оперативный ввод'!D801="","",'Оперативный ввод'!D801)</f>
        <v/>
      </c>
      <c r="E801" s="271">
        <f>IF(OR(C801="",D801=""),"",D801-C801)</f>
        <v/>
      </c>
      <c r="F801" s="172">
        <f>IF('Оперативный ввод'!F801="","",'Оперативный ввод'!F801)</f>
        <v/>
      </c>
      <c r="G801" s="172">
        <f>IF('Оперативный ввод'!G801="","",'Оперативный ввод'!G801)</f>
        <v/>
      </c>
      <c r="H801" s="172">
        <f>IF('Оперативный ввод'!H801="","",'Оперативный ввод'!H801)</f>
        <v/>
      </c>
      <c r="I801" s="172">
        <f>IF('Оперативный ввод'!I801="","",'Оперативный ввод'!I801)</f>
        <v/>
      </c>
      <c r="J801" s="172">
        <f>IF('Оперативный ввод'!J801="","",'Оперативный ввод'!J801)</f>
        <v/>
      </c>
      <c r="K801" s="172">
        <f>IF('Оперативный ввод'!K801="","",'Оперативный ввод'!K801)</f>
        <v/>
      </c>
      <c r="L801" s="172">
        <f>IF('Оперативный ввод'!L801="","",'Оперативный ввод'!L801)</f>
        <v/>
      </c>
      <c r="M801" s="172">
        <f>IF('Оперативный ввод'!M801="","",'Оперативный ввод'!M801)</f>
        <v/>
      </c>
      <c r="N801" s="172">
        <f>IF('Оперативный ввод'!N801="","",'Оперативный ввод'!N801)</f>
        <v/>
      </c>
      <c r="O801" s="172">
        <f>IF('Оперативный ввод'!O801="","",'Оперативный ввод'!O801)</f>
        <v/>
      </c>
      <c r="P801" s="205">
        <f>IF(AND(A801="",B801=""),"",IF(AND(A801&lt;&gt;"",B801&lt;&gt;"",C801&lt;&gt;"",D801&lt;&gt;"",F801&lt;&gt;"",G801&lt;&gt;"",H801&lt;&gt;"",ISERROR(SEARCH("по паспорту",G801)),ISERROR(SEARCH("по паспорту",H801)),I801&lt;&gt;"",J801&lt;&gt;"",K801&lt;&gt;"",L801&lt;&gt;"",M801&lt;&gt;""),"ГОТОВО","НЕ ГОТОВО"))</f>
        <v/>
      </c>
      <c r="Q801" s="205">
        <f>IF(P801&lt;&gt;"ГОТОВО","", "Предварительное заключение: "&amp;A801&amp;", скв. "&amp;B801&amp;". МРП: "&amp;E801&amp;" сут. ГНО: "&amp;F801&amp;", типоразмер "&amp;G801&amp;", марка "&amp;H801&amp;". Событие: "&amp;I801&amp;". Признак: "&amp;J801&amp;". Узел: "&amp;K801&amp;". Предварительная причина: "&amp;L801&amp;". Основное осложнение: "&amp;M801&amp;IF(N801&lt;&gt;"","; сопутствующее: "&amp;N801,"")&amp;IF(O801&lt;&gt;"","; дополнительно: "&amp;O801,"")&amp;".")</f>
        <v/>
      </c>
      <c r="R801" s="172">
        <f>IF('Оперативный ввод'!P801="","",'Оперативный ввод'!P801)</f>
        <v/>
      </c>
      <c r="S801" s="172">
        <f>IF('Оперативный ввод'!Q801="","",'Оперативный ввод'!Q801)</f>
        <v/>
      </c>
      <c r="T801" s="172">
        <f>IF('Оперативный ввод'!R801="","",'Оперативный ввод'!R801)</f>
        <v/>
      </c>
      <c r="U801" s="172">
        <f>IF('Оперативный ввод'!S801="","",'Оперативный ввод'!S801)</f>
        <v/>
      </c>
      <c r="V801" s="172">
        <f>IF('Оперативный ввод'!T801="","",'Оперативный ввод'!T801)</f>
        <v/>
      </c>
      <c r="W801" s="172" t="n"/>
      <c r="X801" s="172" t="n"/>
      <c r="Y801" s="172" t="n"/>
      <c r="Z801" s="172" t="n"/>
      <c r="AA801" s="172">
        <f>IF('Оперативный ввод'!U801="","",'Оперативный ввод'!U801)</f>
        <v/>
      </c>
      <c r="AB801" s="172">
        <f>IF('Оперативный ввод'!V801="","",'Оперативный ввод'!V801)</f>
        <v/>
      </c>
      <c r="AC801" s="172">
        <f>IF('Оперативный ввод'!W801="","",'Оперативный ввод'!W801)</f>
        <v/>
      </c>
      <c r="BB801" s="172" t="n"/>
      <c r="BC801" s="172" t="n"/>
      <c r="BD801" s="205">
        <f>IF(AND(A801="",B801=""),"",IF(AND(P801="ГОТОВО",R801&lt;&gt;"",T801&lt;&gt;"",U801&lt;&gt;"",AA801&lt;&gt;"",AB801&lt;&gt;"",AC801&lt;&gt;"",BB801&lt;&gt;"",BC801&lt;&gt;""),"ГОТОВО","НЕ ГОТОВО"))</f>
        <v/>
      </c>
      <c r="BE801" s="205">
        <f>IF(BD801&lt;&gt;"ГОТОВО","","Полное заключение: "&amp;A801&amp;", скв. "&amp;B801&amp;". МРП: "&amp;E801&amp;" сут. ГНО: "&amp;F801&amp;"; причина: "&amp;U801&amp;"; категория: "&amp;V801&amp;"; решение комиссии: "&amp;BB801&amp;".")</f>
        <v/>
      </c>
      <c r="BF801" s="173">
        <f>IF('Оперативный ввод'!X801="","",'Оперативный ввод'!X801)</f>
        <v/>
      </c>
    </row>
    <row r="802">
      <c r="A802" s="171">
        <f>IF('Оперативный ввод'!A802="","",'Оперативный ввод'!A802)</f>
        <v/>
      </c>
      <c r="B802" s="172">
        <f>IF('Оперативный ввод'!B802="","",'Оперативный ввод'!B802)</f>
        <v/>
      </c>
      <c r="C802" s="270">
        <f>IF('Оперативный ввод'!C802="","",'Оперативный ввод'!C802)</f>
        <v/>
      </c>
      <c r="D802" s="270">
        <f>IF('Оперативный ввод'!D802="","",'Оперативный ввод'!D802)</f>
        <v/>
      </c>
      <c r="E802" s="271">
        <f>IF(OR(C802="",D802=""),"",D802-C802)</f>
        <v/>
      </c>
      <c r="F802" s="172">
        <f>IF('Оперативный ввод'!F802="","",'Оперативный ввод'!F802)</f>
        <v/>
      </c>
      <c r="G802" s="172">
        <f>IF('Оперативный ввод'!G802="","",'Оперативный ввод'!G802)</f>
        <v/>
      </c>
      <c r="H802" s="172">
        <f>IF('Оперативный ввод'!H802="","",'Оперативный ввод'!H802)</f>
        <v/>
      </c>
      <c r="I802" s="172">
        <f>IF('Оперативный ввод'!I802="","",'Оперативный ввод'!I802)</f>
        <v/>
      </c>
      <c r="J802" s="172">
        <f>IF('Оперативный ввод'!J802="","",'Оперативный ввод'!J802)</f>
        <v/>
      </c>
      <c r="K802" s="172">
        <f>IF('Оперативный ввод'!K802="","",'Оперативный ввод'!K802)</f>
        <v/>
      </c>
      <c r="L802" s="172">
        <f>IF('Оперативный ввод'!L802="","",'Оперативный ввод'!L802)</f>
        <v/>
      </c>
      <c r="M802" s="172">
        <f>IF('Оперативный ввод'!M802="","",'Оперативный ввод'!M802)</f>
        <v/>
      </c>
      <c r="N802" s="172">
        <f>IF('Оперативный ввод'!N802="","",'Оперативный ввод'!N802)</f>
        <v/>
      </c>
      <c r="O802" s="172">
        <f>IF('Оперативный ввод'!O802="","",'Оперативный ввод'!O802)</f>
        <v/>
      </c>
      <c r="P802" s="205">
        <f>IF(AND(A802="",B802=""),"",IF(AND(A802&lt;&gt;"",B802&lt;&gt;"",C802&lt;&gt;"",D802&lt;&gt;"",F802&lt;&gt;"",G802&lt;&gt;"",H802&lt;&gt;"",ISERROR(SEARCH("по паспорту",G802)),ISERROR(SEARCH("по паспорту",H802)),I802&lt;&gt;"",J802&lt;&gt;"",K802&lt;&gt;"",L802&lt;&gt;"",M802&lt;&gt;""),"ГОТОВО","НЕ ГОТОВО"))</f>
        <v/>
      </c>
      <c r="Q802" s="205">
        <f>IF(P802&lt;&gt;"ГОТОВО","", "Предварительное заключение: "&amp;A802&amp;", скв. "&amp;B802&amp;". МРП: "&amp;E802&amp;" сут. ГНО: "&amp;F802&amp;", типоразмер "&amp;G802&amp;", марка "&amp;H802&amp;". Событие: "&amp;I802&amp;". Признак: "&amp;J802&amp;". Узел: "&amp;K802&amp;". Предварительная причина: "&amp;L802&amp;". Основное осложнение: "&amp;M802&amp;IF(N802&lt;&gt;"","; сопутствующее: "&amp;N802,"")&amp;IF(O802&lt;&gt;"","; дополнительно: "&amp;O802,"")&amp;".")</f>
        <v/>
      </c>
      <c r="R802" s="172">
        <f>IF('Оперативный ввод'!P802="","",'Оперативный ввод'!P802)</f>
        <v/>
      </c>
      <c r="S802" s="172">
        <f>IF('Оперативный ввод'!Q802="","",'Оперативный ввод'!Q802)</f>
        <v/>
      </c>
      <c r="T802" s="172">
        <f>IF('Оперативный ввод'!R802="","",'Оперативный ввод'!R802)</f>
        <v/>
      </c>
      <c r="U802" s="172">
        <f>IF('Оперативный ввод'!S802="","",'Оперативный ввод'!S802)</f>
        <v/>
      </c>
      <c r="V802" s="172">
        <f>IF('Оперативный ввод'!T802="","",'Оперативный ввод'!T802)</f>
        <v/>
      </c>
      <c r="W802" s="172" t="n"/>
      <c r="X802" s="172" t="n"/>
      <c r="Y802" s="172" t="n"/>
      <c r="Z802" s="172" t="n"/>
      <c r="AA802" s="172">
        <f>IF('Оперативный ввод'!U802="","",'Оперативный ввод'!U802)</f>
        <v/>
      </c>
      <c r="AB802" s="172">
        <f>IF('Оперативный ввод'!V802="","",'Оперативный ввод'!V802)</f>
        <v/>
      </c>
      <c r="AC802" s="172">
        <f>IF('Оперативный ввод'!W802="","",'Оперативный ввод'!W802)</f>
        <v/>
      </c>
      <c r="BB802" s="172" t="n"/>
      <c r="BC802" s="172" t="n"/>
      <c r="BD802" s="205">
        <f>IF(AND(A802="",B802=""),"",IF(AND(P802="ГОТОВО",R802&lt;&gt;"",T802&lt;&gt;"",U802&lt;&gt;"",AA802&lt;&gt;"",AB802&lt;&gt;"",AC802&lt;&gt;"",BB802&lt;&gt;"",BC802&lt;&gt;""),"ГОТОВО","НЕ ГОТОВО"))</f>
        <v/>
      </c>
      <c r="BE802" s="205">
        <f>IF(BD802&lt;&gt;"ГОТОВО","","Полное заключение: "&amp;A802&amp;", скв. "&amp;B802&amp;". МРП: "&amp;E802&amp;" сут. ГНО: "&amp;F802&amp;"; причина: "&amp;U802&amp;"; категория: "&amp;V802&amp;"; решение комиссии: "&amp;BB802&amp;".")</f>
        <v/>
      </c>
      <c r="BF802" s="173">
        <f>IF('Оперативный ввод'!X802="","",'Оперативный ввод'!X802)</f>
        <v/>
      </c>
    </row>
    <row r="803">
      <c r="A803" s="171">
        <f>IF('Оперативный ввод'!A803="","",'Оперативный ввод'!A803)</f>
        <v/>
      </c>
      <c r="B803" s="172">
        <f>IF('Оперативный ввод'!B803="","",'Оперативный ввод'!B803)</f>
        <v/>
      </c>
      <c r="C803" s="270">
        <f>IF('Оперативный ввод'!C803="","",'Оперативный ввод'!C803)</f>
        <v/>
      </c>
      <c r="D803" s="270">
        <f>IF('Оперативный ввод'!D803="","",'Оперативный ввод'!D803)</f>
        <v/>
      </c>
      <c r="E803" s="271">
        <f>IF(OR(C803="",D803=""),"",D803-C803)</f>
        <v/>
      </c>
      <c r="F803" s="172">
        <f>IF('Оперативный ввод'!F803="","",'Оперативный ввод'!F803)</f>
        <v/>
      </c>
      <c r="G803" s="172">
        <f>IF('Оперативный ввод'!G803="","",'Оперативный ввод'!G803)</f>
        <v/>
      </c>
      <c r="H803" s="172">
        <f>IF('Оперативный ввод'!H803="","",'Оперативный ввод'!H803)</f>
        <v/>
      </c>
      <c r="I803" s="172">
        <f>IF('Оперативный ввод'!I803="","",'Оперативный ввод'!I803)</f>
        <v/>
      </c>
      <c r="J803" s="172">
        <f>IF('Оперативный ввод'!J803="","",'Оперативный ввод'!J803)</f>
        <v/>
      </c>
      <c r="K803" s="172">
        <f>IF('Оперативный ввод'!K803="","",'Оперативный ввод'!K803)</f>
        <v/>
      </c>
      <c r="L803" s="172">
        <f>IF('Оперативный ввод'!L803="","",'Оперативный ввод'!L803)</f>
        <v/>
      </c>
      <c r="M803" s="172">
        <f>IF('Оперативный ввод'!M803="","",'Оперативный ввод'!M803)</f>
        <v/>
      </c>
      <c r="N803" s="172">
        <f>IF('Оперативный ввод'!N803="","",'Оперативный ввод'!N803)</f>
        <v/>
      </c>
      <c r="O803" s="172">
        <f>IF('Оперативный ввод'!O803="","",'Оперативный ввод'!O803)</f>
        <v/>
      </c>
      <c r="P803" s="205">
        <f>IF(AND(A803="",B803=""),"",IF(AND(A803&lt;&gt;"",B803&lt;&gt;"",C803&lt;&gt;"",D803&lt;&gt;"",F803&lt;&gt;"",G803&lt;&gt;"",H803&lt;&gt;"",ISERROR(SEARCH("по паспорту",G803)),ISERROR(SEARCH("по паспорту",H803)),I803&lt;&gt;"",J803&lt;&gt;"",K803&lt;&gt;"",L803&lt;&gt;"",M803&lt;&gt;""),"ГОТОВО","НЕ ГОТОВО"))</f>
        <v/>
      </c>
      <c r="Q803" s="205">
        <f>IF(P803&lt;&gt;"ГОТОВО","", "Предварительное заключение: "&amp;A803&amp;", скв. "&amp;B803&amp;". МРП: "&amp;E803&amp;" сут. ГНО: "&amp;F803&amp;", типоразмер "&amp;G803&amp;", марка "&amp;H803&amp;". Событие: "&amp;I803&amp;". Признак: "&amp;J803&amp;". Узел: "&amp;K803&amp;". Предварительная причина: "&amp;L803&amp;". Основное осложнение: "&amp;M803&amp;IF(N803&lt;&gt;"","; сопутствующее: "&amp;N803,"")&amp;IF(O803&lt;&gt;"","; дополнительно: "&amp;O803,"")&amp;".")</f>
        <v/>
      </c>
      <c r="R803" s="172">
        <f>IF('Оперативный ввод'!P803="","",'Оперативный ввод'!P803)</f>
        <v/>
      </c>
      <c r="S803" s="172">
        <f>IF('Оперативный ввод'!Q803="","",'Оперативный ввод'!Q803)</f>
        <v/>
      </c>
      <c r="T803" s="172">
        <f>IF('Оперативный ввод'!R803="","",'Оперативный ввод'!R803)</f>
        <v/>
      </c>
      <c r="U803" s="172">
        <f>IF('Оперативный ввод'!S803="","",'Оперативный ввод'!S803)</f>
        <v/>
      </c>
      <c r="V803" s="172">
        <f>IF('Оперативный ввод'!T803="","",'Оперативный ввод'!T803)</f>
        <v/>
      </c>
      <c r="W803" s="172" t="n"/>
      <c r="X803" s="172" t="n"/>
      <c r="Y803" s="172" t="n"/>
      <c r="Z803" s="172" t="n"/>
      <c r="AA803" s="172">
        <f>IF('Оперативный ввод'!U803="","",'Оперативный ввод'!U803)</f>
        <v/>
      </c>
      <c r="AB803" s="172">
        <f>IF('Оперативный ввод'!V803="","",'Оперативный ввод'!V803)</f>
        <v/>
      </c>
      <c r="AC803" s="172">
        <f>IF('Оперативный ввод'!W803="","",'Оперативный ввод'!W803)</f>
        <v/>
      </c>
      <c r="BB803" s="172" t="n"/>
      <c r="BC803" s="172" t="n"/>
      <c r="BD803" s="205">
        <f>IF(AND(A803="",B803=""),"",IF(AND(P803="ГОТОВО",R803&lt;&gt;"",T803&lt;&gt;"",U803&lt;&gt;"",AA803&lt;&gt;"",AB803&lt;&gt;"",AC803&lt;&gt;"",BB803&lt;&gt;"",BC803&lt;&gt;""),"ГОТОВО","НЕ ГОТОВО"))</f>
        <v/>
      </c>
      <c r="BE803" s="205">
        <f>IF(BD803&lt;&gt;"ГОТОВО","","Полное заключение: "&amp;A803&amp;", скв. "&amp;B803&amp;". МРП: "&amp;E803&amp;" сут. ГНО: "&amp;F803&amp;"; причина: "&amp;U803&amp;"; категория: "&amp;V803&amp;"; решение комиссии: "&amp;BB803&amp;".")</f>
        <v/>
      </c>
      <c r="BF803" s="173">
        <f>IF('Оперативный ввод'!X803="","",'Оперативный ввод'!X803)</f>
        <v/>
      </c>
    </row>
    <row r="804">
      <c r="A804" s="171">
        <f>IF('Оперативный ввод'!A804="","",'Оперативный ввод'!A804)</f>
        <v/>
      </c>
      <c r="B804" s="172">
        <f>IF('Оперативный ввод'!B804="","",'Оперативный ввод'!B804)</f>
        <v/>
      </c>
      <c r="C804" s="270">
        <f>IF('Оперативный ввод'!C804="","",'Оперативный ввод'!C804)</f>
        <v/>
      </c>
      <c r="D804" s="270">
        <f>IF('Оперативный ввод'!D804="","",'Оперативный ввод'!D804)</f>
        <v/>
      </c>
      <c r="E804" s="271">
        <f>IF(OR(C804="",D804=""),"",D804-C804)</f>
        <v/>
      </c>
      <c r="F804" s="172">
        <f>IF('Оперативный ввод'!F804="","",'Оперативный ввод'!F804)</f>
        <v/>
      </c>
      <c r="G804" s="172">
        <f>IF('Оперативный ввод'!G804="","",'Оперативный ввод'!G804)</f>
        <v/>
      </c>
      <c r="H804" s="172">
        <f>IF('Оперативный ввод'!H804="","",'Оперативный ввод'!H804)</f>
        <v/>
      </c>
      <c r="I804" s="172">
        <f>IF('Оперативный ввод'!I804="","",'Оперативный ввод'!I804)</f>
        <v/>
      </c>
      <c r="J804" s="172">
        <f>IF('Оперативный ввод'!J804="","",'Оперативный ввод'!J804)</f>
        <v/>
      </c>
      <c r="K804" s="172">
        <f>IF('Оперативный ввод'!K804="","",'Оперативный ввод'!K804)</f>
        <v/>
      </c>
      <c r="L804" s="172">
        <f>IF('Оперативный ввод'!L804="","",'Оперативный ввод'!L804)</f>
        <v/>
      </c>
      <c r="M804" s="172">
        <f>IF('Оперативный ввод'!M804="","",'Оперативный ввод'!M804)</f>
        <v/>
      </c>
      <c r="N804" s="172">
        <f>IF('Оперативный ввод'!N804="","",'Оперативный ввод'!N804)</f>
        <v/>
      </c>
      <c r="O804" s="172">
        <f>IF('Оперативный ввод'!O804="","",'Оперативный ввод'!O804)</f>
        <v/>
      </c>
      <c r="P804" s="205">
        <f>IF(AND(A804="",B804=""),"",IF(AND(A804&lt;&gt;"",B804&lt;&gt;"",C804&lt;&gt;"",D804&lt;&gt;"",F804&lt;&gt;"",G804&lt;&gt;"",H804&lt;&gt;"",ISERROR(SEARCH("по паспорту",G804)),ISERROR(SEARCH("по паспорту",H804)),I804&lt;&gt;"",J804&lt;&gt;"",K804&lt;&gt;"",L804&lt;&gt;"",M804&lt;&gt;""),"ГОТОВО","НЕ ГОТОВО"))</f>
        <v/>
      </c>
      <c r="Q804" s="205">
        <f>IF(P804&lt;&gt;"ГОТОВО","", "Предварительное заключение: "&amp;A804&amp;", скв. "&amp;B804&amp;". МРП: "&amp;E804&amp;" сут. ГНО: "&amp;F804&amp;", типоразмер "&amp;G804&amp;", марка "&amp;H804&amp;". Событие: "&amp;I804&amp;". Признак: "&amp;J804&amp;". Узел: "&amp;K804&amp;". Предварительная причина: "&amp;L804&amp;". Основное осложнение: "&amp;M804&amp;IF(N804&lt;&gt;"","; сопутствующее: "&amp;N804,"")&amp;IF(O804&lt;&gt;"","; дополнительно: "&amp;O804,"")&amp;".")</f>
        <v/>
      </c>
      <c r="R804" s="172">
        <f>IF('Оперативный ввод'!P804="","",'Оперативный ввод'!P804)</f>
        <v/>
      </c>
      <c r="S804" s="172">
        <f>IF('Оперативный ввод'!Q804="","",'Оперативный ввод'!Q804)</f>
        <v/>
      </c>
      <c r="T804" s="172">
        <f>IF('Оперативный ввод'!R804="","",'Оперативный ввод'!R804)</f>
        <v/>
      </c>
      <c r="U804" s="172">
        <f>IF('Оперативный ввод'!S804="","",'Оперативный ввод'!S804)</f>
        <v/>
      </c>
      <c r="V804" s="172">
        <f>IF('Оперативный ввод'!T804="","",'Оперативный ввод'!T804)</f>
        <v/>
      </c>
      <c r="W804" s="172" t="n"/>
      <c r="X804" s="172" t="n"/>
      <c r="Y804" s="172" t="n"/>
      <c r="Z804" s="172" t="n"/>
      <c r="AA804" s="172">
        <f>IF('Оперативный ввод'!U804="","",'Оперативный ввод'!U804)</f>
        <v/>
      </c>
      <c r="AB804" s="172">
        <f>IF('Оперативный ввод'!V804="","",'Оперативный ввод'!V804)</f>
        <v/>
      </c>
      <c r="AC804" s="172">
        <f>IF('Оперативный ввод'!W804="","",'Оперативный ввод'!W804)</f>
        <v/>
      </c>
      <c r="BB804" s="172" t="n"/>
      <c r="BC804" s="172" t="n"/>
      <c r="BD804" s="205">
        <f>IF(AND(A804="",B804=""),"",IF(AND(P804="ГОТОВО",R804&lt;&gt;"",T804&lt;&gt;"",U804&lt;&gt;"",AA804&lt;&gt;"",AB804&lt;&gt;"",AC804&lt;&gt;"",BB804&lt;&gt;"",BC804&lt;&gt;""),"ГОТОВО","НЕ ГОТОВО"))</f>
        <v/>
      </c>
      <c r="BE804" s="205">
        <f>IF(BD804&lt;&gt;"ГОТОВО","","Полное заключение: "&amp;A804&amp;", скв. "&amp;B804&amp;". МРП: "&amp;E804&amp;" сут. ГНО: "&amp;F804&amp;"; причина: "&amp;U804&amp;"; категория: "&amp;V804&amp;"; решение комиссии: "&amp;BB804&amp;".")</f>
        <v/>
      </c>
      <c r="BF804" s="173">
        <f>IF('Оперативный ввод'!X804="","",'Оперативный ввод'!X804)</f>
        <v/>
      </c>
    </row>
    <row r="805">
      <c r="A805" s="171">
        <f>IF('Оперативный ввод'!A805="","",'Оперативный ввод'!A805)</f>
        <v/>
      </c>
      <c r="B805" s="172">
        <f>IF('Оперативный ввод'!B805="","",'Оперативный ввод'!B805)</f>
        <v/>
      </c>
      <c r="C805" s="270">
        <f>IF('Оперативный ввод'!C805="","",'Оперативный ввод'!C805)</f>
        <v/>
      </c>
      <c r="D805" s="270">
        <f>IF('Оперативный ввод'!D805="","",'Оперативный ввод'!D805)</f>
        <v/>
      </c>
      <c r="E805" s="271">
        <f>IF(OR(C805="",D805=""),"",D805-C805)</f>
        <v/>
      </c>
      <c r="F805" s="172">
        <f>IF('Оперативный ввод'!F805="","",'Оперативный ввод'!F805)</f>
        <v/>
      </c>
      <c r="G805" s="172">
        <f>IF('Оперативный ввод'!G805="","",'Оперативный ввод'!G805)</f>
        <v/>
      </c>
      <c r="H805" s="172">
        <f>IF('Оперативный ввод'!H805="","",'Оперативный ввод'!H805)</f>
        <v/>
      </c>
      <c r="I805" s="172">
        <f>IF('Оперативный ввод'!I805="","",'Оперативный ввод'!I805)</f>
        <v/>
      </c>
      <c r="J805" s="172">
        <f>IF('Оперативный ввод'!J805="","",'Оперативный ввод'!J805)</f>
        <v/>
      </c>
      <c r="K805" s="172">
        <f>IF('Оперативный ввод'!K805="","",'Оперативный ввод'!K805)</f>
        <v/>
      </c>
      <c r="L805" s="172">
        <f>IF('Оперативный ввод'!L805="","",'Оперативный ввод'!L805)</f>
        <v/>
      </c>
      <c r="M805" s="172">
        <f>IF('Оперативный ввод'!M805="","",'Оперативный ввод'!M805)</f>
        <v/>
      </c>
      <c r="N805" s="172">
        <f>IF('Оперативный ввод'!N805="","",'Оперативный ввод'!N805)</f>
        <v/>
      </c>
      <c r="O805" s="172">
        <f>IF('Оперативный ввод'!O805="","",'Оперативный ввод'!O805)</f>
        <v/>
      </c>
      <c r="P805" s="205">
        <f>IF(AND(A805="",B805=""),"",IF(AND(A805&lt;&gt;"",B805&lt;&gt;"",C805&lt;&gt;"",D805&lt;&gt;"",F805&lt;&gt;"",G805&lt;&gt;"",H805&lt;&gt;"",ISERROR(SEARCH("по паспорту",G805)),ISERROR(SEARCH("по паспорту",H805)),I805&lt;&gt;"",J805&lt;&gt;"",K805&lt;&gt;"",L805&lt;&gt;"",M805&lt;&gt;""),"ГОТОВО","НЕ ГОТОВО"))</f>
        <v/>
      </c>
      <c r="Q805" s="205">
        <f>IF(P805&lt;&gt;"ГОТОВО","", "Предварительное заключение: "&amp;A805&amp;", скв. "&amp;B805&amp;". МРП: "&amp;E805&amp;" сут. ГНО: "&amp;F805&amp;", типоразмер "&amp;G805&amp;", марка "&amp;H805&amp;". Событие: "&amp;I805&amp;". Признак: "&amp;J805&amp;". Узел: "&amp;K805&amp;". Предварительная причина: "&amp;L805&amp;". Основное осложнение: "&amp;M805&amp;IF(N805&lt;&gt;"","; сопутствующее: "&amp;N805,"")&amp;IF(O805&lt;&gt;"","; дополнительно: "&amp;O805,"")&amp;".")</f>
        <v/>
      </c>
      <c r="R805" s="172">
        <f>IF('Оперативный ввод'!P805="","",'Оперативный ввод'!P805)</f>
        <v/>
      </c>
      <c r="S805" s="172">
        <f>IF('Оперативный ввод'!Q805="","",'Оперативный ввод'!Q805)</f>
        <v/>
      </c>
      <c r="T805" s="172">
        <f>IF('Оперативный ввод'!R805="","",'Оперативный ввод'!R805)</f>
        <v/>
      </c>
      <c r="U805" s="172">
        <f>IF('Оперативный ввод'!S805="","",'Оперативный ввод'!S805)</f>
        <v/>
      </c>
      <c r="V805" s="172">
        <f>IF('Оперативный ввод'!T805="","",'Оперативный ввод'!T805)</f>
        <v/>
      </c>
      <c r="W805" s="172" t="n"/>
      <c r="X805" s="172" t="n"/>
      <c r="Y805" s="172" t="n"/>
      <c r="Z805" s="172" t="n"/>
      <c r="AA805" s="172">
        <f>IF('Оперативный ввод'!U805="","",'Оперативный ввод'!U805)</f>
        <v/>
      </c>
      <c r="AB805" s="172">
        <f>IF('Оперативный ввод'!V805="","",'Оперативный ввод'!V805)</f>
        <v/>
      </c>
      <c r="AC805" s="172">
        <f>IF('Оперативный ввод'!W805="","",'Оперативный ввод'!W805)</f>
        <v/>
      </c>
      <c r="BB805" s="172" t="n"/>
      <c r="BC805" s="172" t="n"/>
      <c r="BD805" s="205">
        <f>IF(AND(A805="",B805=""),"",IF(AND(P805="ГОТОВО",R805&lt;&gt;"",T805&lt;&gt;"",U805&lt;&gt;"",AA805&lt;&gt;"",AB805&lt;&gt;"",AC805&lt;&gt;"",BB805&lt;&gt;"",BC805&lt;&gt;""),"ГОТОВО","НЕ ГОТОВО"))</f>
        <v/>
      </c>
      <c r="BE805" s="205">
        <f>IF(BD805&lt;&gt;"ГОТОВО","","Полное заключение: "&amp;A805&amp;", скв. "&amp;B805&amp;". МРП: "&amp;E805&amp;" сут. ГНО: "&amp;F805&amp;"; причина: "&amp;U805&amp;"; категория: "&amp;V805&amp;"; решение комиссии: "&amp;BB805&amp;".")</f>
        <v/>
      </c>
      <c r="BF805" s="173">
        <f>IF('Оперативный ввод'!X805="","",'Оперативный ввод'!X805)</f>
        <v/>
      </c>
    </row>
    <row r="806">
      <c r="A806" s="171">
        <f>IF('Оперативный ввод'!A806="","",'Оперативный ввод'!A806)</f>
        <v/>
      </c>
      <c r="B806" s="172">
        <f>IF('Оперативный ввод'!B806="","",'Оперативный ввод'!B806)</f>
        <v/>
      </c>
      <c r="C806" s="270">
        <f>IF('Оперативный ввод'!C806="","",'Оперативный ввод'!C806)</f>
        <v/>
      </c>
      <c r="D806" s="270">
        <f>IF('Оперативный ввод'!D806="","",'Оперативный ввод'!D806)</f>
        <v/>
      </c>
      <c r="E806" s="271">
        <f>IF(OR(C806="",D806=""),"",D806-C806)</f>
        <v/>
      </c>
      <c r="F806" s="172">
        <f>IF('Оперативный ввод'!F806="","",'Оперативный ввод'!F806)</f>
        <v/>
      </c>
      <c r="G806" s="172">
        <f>IF('Оперативный ввод'!G806="","",'Оперативный ввод'!G806)</f>
        <v/>
      </c>
      <c r="H806" s="172">
        <f>IF('Оперативный ввод'!H806="","",'Оперативный ввод'!H806)</f>
        <v/>
      </c>
      <c r="I806" s="172">
        <f>IF('Оперативный ввод'!I806="","",'Оперативный ввод'!I806)</f>
        <v/>
      </c>
      <c r="J806" s="172">
        <f>IF('Оперативный ввод'!J806="","",'Оперативный ввод'!J806)</f>
        <v/>
      </c>
      <c r="K806" s="172">
        <f>IF('Оперативный ввод'!K806="","",'Оперативный ввод'!K806)</f>
        <v/>
      </c>
      <c r="L806" s="172">
        <f>IF('Оперативный ввод'!L806="","",'Оперативный ввод'!L806)</f>
        <v/>
      </c>
      <c r="M806" s="172">
        <f>IF('Оперативный ввод'!M806="","",'Оперативный ввод'!M806)</f>
        <v/>
      </c>
      <c r="N806" s="172">
        <f>IF('Оперативный ввод'!N806="","",'Оперативный ввод'!N806)</f>
        <v/>
      </c>
      <c r="O806" s="172">
        <f>IF('Оперативный ввод'!O806="","",'Оперативный ввод'!O806)</f>
        <v/>
      </c>
      <c r="P806" s="205">
        <f>IF(AND(A806="",B806=""),"",IF(AND(A806&lt;&gt;"",B806&lt;&gt;"",C806&lt;&gt;"",D806&lt;&gt;"",F806&lt;&gt;"",G806&lt;&gt;"",H806&lt;&gt;"",ISERROR(SEARCH("по паспорту",G806)),ISERROR(SEARCH("по паспорту",H806)),I806&lt;&gt;"",J806&lt;&gt;"",K806&lt;&gt;"",L806&lt;&gt;"",M806&lt;&gt;""),"ГОТОВО","НЕ ГОТОВО"))</f>
        <v/>
      </c>
      <c r="Q806" s="205">
        <f>IF(P806&lt;&gt;"ГОТОВО","", "Предварительное заключение: "&amp;A806&amp;", скв. "&amp;B806&amp;". МРП: "&amp;E806&amp;" сут. ГНО: "&amp;F806&amp;", типоразмер "&amp;G806&amp;", марка "&amp;H806&amp;". Событие: "&amp;I806&amp;". Признак: "&amp;J806&amp;". Узел: "&amp;K806&amp;". Предварительная причина: "&amp;L806&amp;". Основное осложнение: "&amp;M806&amp;IF(N806&lt;&gt;"","; сопутствующее: "&amp;N806,"")&amp;IF(O806&lt;&gt;"","; дополнительно: "&amp;O806,"")&amp;".")</f>
        <v/>
      </c>
      <c r="R806" s="172">
        <f>IF('Оперативный ввод'!P806="","",'Оперативный ввод'!P806)</f>
        <v/>
      </c>
      <c r="S806" s="172">
        <f>IF('Оперативный ввод'!Q806="","",'Оперативный ввод'!Q806)</f>
        <v/>
      </c>
      <c r="T806" s="172">
        <f>IF('Оперативный ввод'!R806="","",'Оперативный ввод'!R806)</f>
        <v/>
      </c>
      <c r="U806" s="172">
        <f>IF('Оперативный ввод'!S806="","",'Оперативный ввод'!S806)</f>
        <v/>
      </c>
      <c r="V806" s="172">
        <f>IF('Оперативный ввод'!T806="","",'Оперативный ввод'!T806)</f>
        <v/>
      </c>
      <c r="W806" s="172" t="n"/>
      <c r="X806" s="172" t="n"/>
      <c r="Y806" s="172" t="n"/>
      <c r="Z806" s="172" t="n"/>
      <c r="AA806" s="172">
        <f>IF('Оперативный ввод'!U806="","",'Оперативный ввод'!U806)</f>
        <v/>
      </c>
      <c r="AB806" s="172">
        <f>IF('Оперативный ввод'!V806="","",'Оперативный ввод'!V806)</f>
        <v/>
      </c>
      <c r="AC806" s="172">
        <f>IF('Оперативный ввод'!W806="","",'Оперативный ввод'!W806)</f>
        <v/>
      </c>
      <c r="BB806" s="172" t="n"/>
      <c r="BC806" s="172" t="n"/>
      <c r="BD806" s="205">
        <f>IF(AND(A806="",B806=""),"",IF(AND(P806="ГОТОВО",R806&lt;&gt;"",T806&lt;&gt;"",U806&lt;&gt;"",AA806&lt;&gt;"",AB806&lt;&gt;"",AC806&lt;&gt;"",BB806&lt;&gt;"",BC806&lt;&gt;""),"ГОТОВО","НЕ ГОТОВО"))</f>
        <v/>
      </c>
      <c r="BE806" s="205">
        <f>IF(BD806&lt;&gt;"ГОТОВО","","Полное заключение: "&amp;A806&amp;", скв. "&amp;B806&amp;". МРП: "&amp;E806&amp;" сут. ГНО: "&amp;F806&amp;"; причина: "&amp;U806&amp;"; категория: "&amp;V806&amp;"; решение комиссии: "&amp;BB806&amp;".")</f>
        <v/>
      </c>
      <c r="BF806" s="173">
        <f>IF('Оперативный ввод'!X806="","",'Оперативный ввод'!X806)</f>
        <v/>
      </c>
    </row>
    <row r="807">
      <c r="A807" s="171">
        <f>IF('Оперативный ввод'!A807="","",'Оперативный ввод'!A807)</f>
        <v/>
      </c>
      <c r="B807" s="172">
        <f>IF('Оперативный ввод'!B807="","",'Оперативный ввод'!B807)</f>
        <v/>
      </c>
      <c r="C807" s="270">
        <f>IF('Оперативный ввод'!C807="","",'Оперативный ввод'!C807)</f>
        <v/>
      </c>
      <c r="D807" s="270">
        <f>IF('Оперативный ввод'!D807="","",'Оперативный ввод'!D807)</f>
        <v/>
      </c>
      <c r="E807" s="271">
        <f>IF(OR(C807="",D807=""),"",D807-C807)</f>
        <v/>
      </c>
      <c r="F807" s="172">
        <f>IF('Оперативный ввод'!F807="","",'Оперативный ввод'!F807)</f>
        <v/>
      </c>
      <c r="G807" s="172">
        <f>IF('Оперативный ввод'!G807="","",'Оперативный ввод'!G807)</f>
        <v/>
      </c>
      <c r="H807" s="172">
        <f>IF('Оперативный ввод'!H807="","",'Оперативный ввод'!H807)</f>
        <v/>
      </c>
      <c r="I807" s="172">
        <f>IF('Оперативный ввод'!I807="","",'Оперативный ввод'!I807)</f>
        <v/>
      </c>
      <c r="J807" s="172">
        <f>IF('Оперативный ввод'!J807="","",'Оперативный ввод'!J807)</f>
        <v/>
      </c>
      <c r="K807" s="172">
        <f>IF('Оперативный ввод'!K807="","",'Оперативный ввод'!K807)</f>
        <v/>
      </c>
      <c r="L807" s="172">
        <f>IF('Оперативный ввод'!L807="","",'Оперативный ввод'!L807)</f>
        <v/>
      </c>
      <c r="M807" s="172">
        <f>IF('Оперативный ввод'!M807="","",'Оперативный ввод'!M807)</f>
        <v/>
      </c>
      <c r="N807" s="172">
        <f>IF('Оперативный ввод'!N807="","",'Оперативный ввод'!N807)</f>
        <v/>
      </c>
      <c r="O807" s="172">
        <f>IF('Оперативный ввод'!O807="","",'Оперативный ввод'!O807)</f>
        <v/>
      </c>
      <c r="P807" s="205">
        <f>IF(AND(A807="",B807=""),"",IF(AND(A807&lt;&gt;"",B807&lt;&gt;"",C807&lt;&gt;"",D807&lt;&gt;"",F807&lt;&gt;"",G807&lt;&gt;"",H807&lt;&gt;"",ISERROR(SEARCH("по паспорту",G807)),ISERROR(SEARCH("по паспорту",H807)),I807&lt;&gt;"",J807&lt;&gt;"",K807&lt;&gt;"",L807&lt;&gt;"",M807&lt;&gt;""),"ГОТОВО","НЕ ГОТОВО"))</f>
        <v/>
      </c>
      <c r="Q807" s="205">
        <f>IF(P807&lt;&gt;"ГОТОВО","", "Предварительное заключение: "&amp;A807&amp;", скв. "&amp;B807&amp;". МРП: "&amp;E807&amp;" сут. ГНО: "&amp;F807&amp;", типоразмер "&amp;G807&amp;", марка "&amp;H807&amp;". Событие: "&amp;I807&amp;". Признак: "&amp;J807&amp;". Узел: "&amp;K807&amp;". Предварительная причина: "&amp;L807&amp;". Основное осложнение: "&amp;M807&amp;IF(N807&lt;&gt;"","; сопутствующее: "&amp;N807,"")&amp;IF(O807&lt;&gt;"","; дополнительно: "&amp;O807,"")&amp;".")</f>
        <v/>
      </c>
      <c r="R807" s="172">
        <f>IF('Оперативный ввод'!P807="","",'Оперативный ввод'!P807)</f>
        <v/>
      </c>
      <c r="S807" s="172">
        <f>IF('Оперативный ввод'!Q807="","",'Оперативный ввод'!Q807)</f>
        <v/>
      </c>
      <c r="T807" s="172">
        <f>IF('Оперативный ввод'!R807="","",'Оперативный ввод'!R807)</f>
        <v/>
      </c>
      <c r="U807" s="172">
        <f>IF('Оперативный ввод'!S807="","",'Оперативный ввод'!S807)</f>
        <v/>
      </c>
      <c r="V807" s="172">
        <f>IF('Оперативный ввод'!T807="","",'Оперативный ввод'!T807)</f>
        <v/>
      </c>
      <c r="W807" s="172" t="n"/>
      <c r="X807" s="172" t="n"/>
      <c r="Y807" s="172" t="n"/>
      <c r="Z807" s="172" t="n"/>
      <c r="AA807" s="172">
        <f>IF('Оперативный ввод'!U807="","",'Оперативный ввод'!U807)</f>
        <v/>
      </c>
      <c r="AB807" s="172">
        <f>IF('Оперативный ввод'!V807="","",'Оперативный ввод'!V807)</f>
        <v/>
      </c>
      <c r="AC807" s="172">
        <f>IF('Оперативный ввод'!W807="","",'Оперативный ввод'!W807)</f>
        <v/>
      </c>
      <c r="BB807" s="172" t="n"/>
      <c r="BC807" s="172" t="n"/>
      <c r="BD807" s="205">
        <f>IF(AND(A807="",B807=""),"",IF(AND(P807="ГОТОВО",R807&lt;&gt;"",T807&lt;&gt;"",U807&lt;&gt;"",AA807&lt;&gt;"",AB807&lt;&gt;"",AC807&lt;&gt;"",BB807&lt;&gt;"",BC807&lt;&gt;""),"ГОТОВО","НЕ ГОТОВО"))</f>
        <v/>
      </c>
      <c r="BE807" s="205">
        <f>IF(BD807&lt;&gt;"ГОТОВО","","Полное заключение: "&amp;A807&amp;", скв. "&amp;B807&amp;". МРП: "&amp;E807&amp;" сут. ГНО: "&amp;F807&amp;"; причина: "&amp;U807&amp;"; категория: "&amp;V807&amp;"; решение комиссии: "&amp;BB807&amp;".")</f>
        <v/>
      </c>
      <c r="BF807" s="173">
        <f>IF('Оперативный ввод'!X807="","",'Оперативный ввод'!X807)</f>
        <v/>
      </c>
    </row>
    <row r="808">
      <c r="A808" s="171">
        <f>IF('Оперативный ввод'!A808="","",'Оперативный ввод'!A808)</f>
        <v/>
      </c>
      <c r="B808" s="172">
        <f>IF('Оперативный ввод'!B808="","",'Оперативный ввод'!B808)</f>
        <v/>
      </c>
      <c r="C808" s="270">
        <f>IF('Оперативный ввод'!C808="","",'Оперативный ввод'!C808)</f>
        <v/>
      </c>
      <c r="D808" s="270">
        <f>IF('Оперативный ввод'!D808="","",'Оперативный ввод'!D808)</f>
        <v/>
      </c>
      <c r="E808" s="271">
        <f>IF(OR(C808="",D808=""),"",D808-C808)</f>
        <v/>
      </c>
      <c r="F808" s="172">
        <f>IF('Оперативный ввод'!F808="","",'Оперативный ввод'!F808)</f>
        <v/>
      </c>
      <c r="G808" s="172">
        <f>IF('Оперативный ввод'!G808="","",'Оперативный ввод'!G808)</f>
        <v/>
      </c>
      <c r="H808" s="172">
        <f>IF('Оперативный ввод'!H808="","",'Оперативный ввод'!H808)</f>
        <v/>
      </c>
      <c r="I808" s="172">
        <f>IF('Оперативный ввод'!I808="","",'Оперативный ввод'!I808)</f>
        <v/>
      </c>
      <c r="J808" s="172">
        <f>IF('Оперативный ввод'!J808="","",'Оперативный ввод'!J808)</f>
        <v/>
      </c>
      <c r="K808" s="172">
        <f>IF('Оперативный ввод'!K808="","",'Оперативный ввод'!K808)</f>
        <v/>
      </c>
      <c r="L808" s="172">
        <f>IF('Оперативный ввод'!L808="","",'Оперативный ввод'!L808)</f>
        <v/>
      </c>
      <c r="M808" s="172">
        <f>IF('Оперативный ввод'!M808="","",'Оперативный ввод'!M808)</f>
        <v/>
      </c>
      <c r="N808" s="172">
        <f>IF('Оперативный ввод'!N808="","",'Оперативный ввод'!N808)</f>
        <v/>
      </c>
      <c r="O808" s="172">
        <f>IF('Оперативный ввод'!O808="","",'Оперативный ввод'!O808)</f>
        <v/>
      </c>
      <c r="P808" s="205">
        <f>IF(AND(A808="",B808=""),"",IF(AND(A808&lt;&gt;"",B808&lt;&gt;"",C808&lt;&gt;"",D808&lt;&gt;"",F808&lt;&gt;"",G808&lt;&gt;"",H808&lt;&gt;"",ISERROR(SEARCH("по паспорту",G808)),ISERROR(SEARCH("по паспорту",H808)),I808&lt;&gt;"",J808&lt;&gt;"",K808&lt;&gt;"",L808&lt;&gt;"",M808&lt;&gt;""),"ГОТОВО","НЕ ГОТОВО"))</f>
        <v/>
      </c>
      <c r="Q808" s="205">
        <f>IF(P808&lt;&gt;"ГОТОВО","", "Предварительное заключение: "&amp;A808&amp;", скв. "&amp;B808&amp;". МРП: "&amp;E808&amp;" сут. ГНО: "&amp;F808&amp;", типоразмер "&amp;G808&amp;", марка "&amp;H808&amp;". Событие: "&amp;I808&amp;". Признак: "&amp;J808&amp;". Узел: "&amp;K808&amp;". Предварительная причина: "&amp;L808&amp;". Основное осложнение: "&amp;M808&amp;IF(N808&lt;&gt;"","; сопутствующее: "&amp;N808,"")&amp;IF(O808&lt;&gt;"","; дополнительно: "&amp;O808,"")&amp;".")</f>
        <v/>
      </c>
      <c r="R808" s="172">
        <f>IF('Оперативный ввод'!P808="","",'Оперативный ввод'!P808)</f>
        <v/>
      </c>
      <c r="S808" s="172">
        <f>IF('Оперативный ввод'!Q808="","",'Оперативный ввод'!Q808)</f>
        <v/>
      </c>
      <c r="T808" s="172">
        <f>IF('Оперативный ввод'!R808="","",'Оперативный ввод'!R808)</f>
        <v/>
      </c>
      <c r="U808" s="172">
        <f>IF('Оперативный ввод'!S808="","",'Оперативный ввод'!S808)</f>
        <v/>
      </c>
      <c r="V808" s="172">
        <f>IF('Оперативный ввод'!T808="","",'Оперативный ввод'!T808)</f>
        <v/>
      </c>
      <c r="W808" s="172" t="n"/>
      <c r="X808" s="172" t="n"/>
      <c r="Y808" s="172" t="n"/>
      <c r="Z808" s="172" t="n"/>
      <c r="AA808" s="172">
        <f>IF('Оперативный ввод'!U808="","",'Оперативный ввод'!U808)</f>
        <v/>
      </c>
      <c r="AB808" s="172">
        <f>IF('Оперативный ввод'!V808="","",'Оперативный ввод'!V808)</f>
        <v/>
      </c>
      <c r="AC808" s="172">
        <f>IF('Оперативный ввод'!W808="","",'Оперативный ввод'!W808)</f>
        <v/>
      </c>
      <c r="BB808" s="172" t="n"/>
      <c r="BC808" s="172" t="n"/>
      <c r="BD808" s="205">
        <f>IF(AND(A808="",B808=""),"",IF(AND(P808="ГОТОВО",R808&lt;&gt;"",T808&lt;&gt;"",U808&lt;&gt;"",AA808&lt;&gt;"",AB808&lt;&gt;"",AC808&lt;&gt;"",BB808&lt;&gt;"",BC808&lt;&gt;""),"ГОТОВО","НЕ ГОТОВО"))</f>
        <v/>
      </c>
      <c r="BE808" s="205">
        <f>IF(BD808&lt;&gt;"ГОТОВО","","Полное заключение: "&amp;A808&amp;", скв. "&amp;B808&amp;". МРП: "&amp;E808&amp;" сут. ГНО: "&amp;F808&amp;"; причина: "&amp;U808&amp;"; категория: "&amp;V808&amp;"; решение комиссии: "&amp;BB808&amp;".")</f>
        <v/>
      </c>
      <c r="BF808" s="173">
        <f>IF('Оперативный ввод'!X808="","",'Оперативный ввод'!X808)</f>
        <v/>
      </c>
    </row>
    <row r="809">
      <c r="A809" s="171">
        <f>IF('Оперативный ввод'!A809="","",'Оперативный ввод'!A809)</f>
        <v/>
      </c>
      <c r="B809" s="172">
        <f>IF('Оперативный ввод'!B809="","",'Оперативный ввод'!B809)</f>
        <v/>
      </c>
      <c r="C809" s="270">
        <f>IF('Оперативный ввод'!C809="","",'Оперативный ввод'!C809)</f>
        <v/>
      </c>
      <c r="D809" s="270">
        <f>IF('Оперативный ввод'!D809="","",'Оперативный ввод'!D809)</f>
        <v/>
      </c>
      <c r="E809" s="271">
        <f>IF(OR(C809="",D809=""),"",D809-C809)</f>
        <v/>
      </c>
      <c r="F809" s="172">
        <f>IF('Оперативный ввод'!F809="","",'Оперативный ввод'!F809)</f>
        <v/>
      </c>
      <c r="G809" s="172">
        <f>IF('Оперативный ввод'!G809="","",'Оперативный ввод'!G809)</f>
        <v/>
      </c>
      <c r="H809" s="172">
        <f>IF('Оперативный ввод'!H809="","",'Оперативный ввод'!H809)</f>
        <v/>
      </c>
      <c r="I809" s="172">
        <f>IF('Оперативный ввод'!I809="","",'Оперативный ввод'!I809)</f>
        <v/>
      </c>
      <c r="J809" s="172">
        <f>IF('Оперативный ввод'!J809="","",'Оперативный ввод'!J809)</f>
        <v/>
      </c>
      <c r="K809" s="172">
        <f>IF('Оперативный ввод'!K809="","",'Оперативный ввод'!K809)</f>
        <v/>
      </c>
      <c r="L809" s="172">
        <f>IF('Оперативный ввод'!L809="","",'Оперативный ввод'!L809)</f>
        <v/>
      </c>
      <c r="M809" s="172">
        <f>IF('Оперативный ввод'!M809="","",'Оперативный ввод'!M809)</f>
        <v/>
      </c>
      <c r="N809" s="172">
        <f>IF('Оперативный ввод'!N809="","",'Оперативный ввод'!N809)</f>
        <v/>
      </c>
      <c r="O809" s="172">
        <f>IF('Оперативный ввод'!O809="","",'Оперативный ввод'!O809)</f>
        <v/>
      </c>
      <c r="P809" s="205">
        <f>IF(AND(A809="",B809=""),"",IF(AND(A809&lt;&gt;"",B809&lt;&gt;"",C809&lt;&gt;"",D809&lt;&gt;"",F809&lt;&gt;"",G809&lt;&gt;"",H809&lt;&gt;"",ISERROR(SEARCH("по паспорту",G809)),ISERROR(SEARCH("по паспорту",H809)),I809&lt;&gt;"",J809&lt;&gt;"",K809&lt;&gt;"",L809&lt;&gt;"",M809&lt;&gt;""),"ГОТОВО","НЕ ГОТОВО"))</f>
        <v/>
      </c>
      <c r="Q809" s="205">
        <f>IF(P809&lt;&gt;"ГОТОВО","", "Предварительное заключение: "&amp;A809&amp;", скв. "&amp;B809&amp;". МРП: "&amp;E809&amp;" сут. ГНО: "&amp;F809&amp;", типоразмер "&amp;G809&amp;", марка "&amp;H809&amp;". Событие: "&amp;I809&amp;". Признак: "&amp;J809&amp;". Узел: "&amp;K809&amp;". Предварительная причина: "&amp;L809&amp;". Основное осложнение: "&amp;M809&amp;IF(N809&lt;&gt;"","; сопутствующее: "&amp;N809,"")&amp;IF(O809&lt;&gt;"","; дополнительно: "&amp;O809,"")&amp;".")</f>
        <v/>
      </c>
      <c r="R809" s="172">
        <f>IF('Оперативный ввод'!P809="","",'Оперативный ввод'!P809)</f>
        <v/>
      </c>
      <c r="S809" s="172">
        <f>IF('Оперативный ввод'!Q809="","",'Оперативный ввод'!Q809)</f>
        <v/>
      </c>
      <c r="T809" s="172">
        <f>IF('Оперативный ввод'!R809="","",'Оперативный ввод'!R809)</f>
        <v/>
      </c>
      <c r="U809" s="172">
        <f>IF('Оперативный ввод'!S809="","",'Оперативный ввод'!S809)</f>
        <v/>
      </c>
      <c r="V809" s="172">
        <f>IF('Оперативный ввод'!T809="","",'Оперативный ввод'!T809)</f>
        <v/>
      </c>
      <c r="W809" s="172" t="n"/>
      <c r="X809" s="172" t="n"/>
      <c r="Y809" s="172" t="n"/>
      <c r="Z809" s="172" t="n"/>
      <c r="AA809" s="172">
        <f>IF('Оперативный ввод'!U809="","",'Оперативный ввод'!U809)</f>
        <v/>
      </c>
      <c r="AB809" s="172">
        <f>IF('Оперативный ввод'!V809="","",'Оперативный ввод'!V809)</f>
        <v/>
      </c>
      <c r="AC809" s="172">
        <f>IF('Оперативный ввод'!W809="","",'Оперативный ввод'!W809)</f>
        <v/>
      </c>
      <c r="BB809" s="172" t="n"/>
      <c r="BC809" s="172" t="n"/>
      <c r="BD809" s="205">
        <f>IF(AND(A809="",B809=""),"",IF(AND(P809="ГОТОВО",R809&lt;&gt;"",T809&lt;&gt;"",U809&lt;&gt;"",AA809&lt;&gt;"",AB809&lt;&gt;"",AC809&lt;&gt;"",BB809&lt;&gt;"",BC809&lt;&gt;""),"ГОТОВО","НЕ ГОТОВО"))</f>
        <v/>
      </c>
      <c r="BE809" s="205">
        <f>IF(BD809&lt;&gt;"ГОТОВО","","Полное заключение: "&amp;A809&amp;", скв. "&amp;B809&amp;". МРП: "&amp;E809&amp;" сут. ГНО: "&amp;F809&amp;"; причина: "&amp;U809&amp;"; категория: "&amp;V809&amp;"; решение комиссии: "&amp;BB809&amp;".")</f>
        <v/>
      </c>
      <c r="BF809" s="173">
        <f>IF('Оперативный ввод'!X809="","",'Оперативный ввод'!X809)</f>
        <v/>
      </c>
    </row>
    <row r="810">
      <c r="A810" s="171">
        <f>IF('Оперативный ввод'!A810="","",'Оперативный ввод'!A810)</f>
        <v/>
      </c>
      <c r="B810" s="172">
        <f>IF('Оперативный ввод'!B810="","",'Оперативный ввод'!B810)</f>
        <v/>
      </c>
      <c r="C810" s="270">
        <f>IF('Оперативный ввод'!C810="","",'Оперативный ввод'!C810)</f>
        <v/>
      </c>
      <c r="D810" s="270">
        <f>IF('Оперативный ввод'!D810="","",'Оперативный ввод'!D810)</f>
        <v/>
      </c>
      <c r="E810" s="271">
        <f>IF(OR(C810="",D810=""),"",D810-C810)</f>
        <v/>
      </c>
      <c r="F810" s="172">
        <f>IF('Оперативный ввод'!F810="","",'Оперативный ввод'!F810)</f>
        <v/>
      </c>
      <c r="G810" s="172">
        <f>IF('Оперативный ввод'!G810="","",'Оперативный ввод'!G810)</f>
        <v/>
      </c>
      <c r="H810" s="172">
        <f>IF('Оперативный ввод'!H810="","",'Оперативный ввод'!H810)</f>
        <v/>
      </c>
      <c r="I810" s="172">
        <f>IF('Оперативный ввод'!I810="","",'Оперативный ввод'!I810)</f>
        <v/>
      </c>
      <c r="J810" s="172">
        <f>IF('Оперативный ввод'!J810="","",'Оперативный ввод'!J810)</f>
        <v/>
      </c>
      <c r="K810" s="172">
        <f>IF('Оперативный ввод'!K810="","",'Оперативный ввод'!K810)</f>
        <v/>
      </c>
      <c r="L810" s="172">
        <f>IF('Оперативный ввод'!L810="","",'Оперативный ввод'!L810)</f>
        <v/>
      </c>
      <c r="M810" s="172">
        <f>IF('Оперативный ввод'!M810="","",'Оперативный ввод'!M810)</f>
        <v/>
      </c>
      <c r="N810" s="172">
        <f>IF('Оперативный ввод'!N810="","",'Оперативный ввод'!N810)</f>
        <v/>
      </c>
      <c r="O810" s="172">
        <f>IF('Оперативный ввод'!O810="","",'Оперативный ввод'!O810)</f>
        <v/>
      </c>
      <c r="P810" s="205">
        <f>IF(AND(A810="",B810=""),"",IF(AND(A810&lt;&gt;"",B810&lt;&gt;"",C810&lt;&gt;"",D810&lt;&gt;"",F810&lt;&gt;"",G810&lt;&gt;"",H810&lt;&gt;"",ISERROR(SEARCH("по паспорту",G810)),ISERROR(SEARCH("по паспорту",H810)),I810&lt;&gt;"",J810&lt;&gt;"",K810&lt;&gt;"",L810&lt;&gt;"",M810&lt;&gt;""),"ГОТОВО","НЕ ГОТОВО"))</f>
        <v/>
      </c>
      <c r="Q810" s="205">
        <f>IF(P810&lt;&gt;"ГОТОВО","", "Предварительное заключение: "&amp;A810&amp;", скв. "&amp;B810&amp;". МРП: "&amp;E810&amp;" сут. ГНО: "&amp;F810&amp;", типоразмер "&amp;G810&amp;", марка "&amp;H810&amp;". Событие: "&amp;I810&amp;". Признак: "&amp;J810&amp;". Узел: "&amp;K810&amp;". Предварительная причина: "&amp;L810&amp;". Основное осложнение: "&amp;M810&amp;IF(N810&lt;&gt;"","; сопутствующее: "&amp;N810,"")&amp;IF(O810&lt;&gt;"","; дополнительно: "&amp;O810,"")&amp;".")</f>
        <v/>
      </c>
      <c r="R810" s="172">
        <f>IF('Оперативный ввод'!P810="","",'Оперативный ввод'!P810)</f>
        <v/>
      </c>
      <c r="S810" s="172">
        <f>IF('Оперативный ввод'!Q810="","",'Оперативный ввод'!Q810)</f>
        <v/>
      </c>
      <c r="T810" s="172">
        <f>IF('Оперативный ввод'!R810="","",'Оперативный ввод'!R810)</f>
        <v/>
      </c>
      <c r="U810" s="172">
        <f>IF('Оперативный ввод'!S810="","",'Оперативный ввод'!S810)</f>
        <v/>
      </c>
      <c r="V810" s="172">
        <f>IF('Оперативный ввод'!T810="","",'Оперативный ввод'!T810)</f>
        <v/>
      </c>
      <c r="W810" s="172" t="n"/>
      <c r="X810" s="172" t="n"/>
      <c r="Y810" s="172" t="n"/>
      <c r="Z810" s="172" t="n"/>
      <c r="AA810" s="172">
        <f>IF('Оперативный ввод'!U810="","",'Оперативный ввод'!U810)</f>
        <v/>
      </c>
      <c r="AB810" s="172">
        <f>IF('Оперативный ввод'!V810="","",'Оперативный ввод'!V810)</f>
        <v/>
      </c>
      <c r="AC810" s="172">
        <f>IF('Оперативный ввод'!W810="","",'Оперативный ввод'!W810)</f>
        <v/>
      </c>
      <c r="BB810" s="172" t="n"/>
      <c r="BC810" s="172" t="n"/>
      <c r="BD810" s="205">
        <f>IF(AND(A810="",B810=""),"",IF(AND(P810="ГОТОВО",R810&lt;&gt;"",T810&lt;&gt;"",U810&lt;&gt;"",AA810&lt;&gt;"",AB810&lt;&gt;"",AC810&lt;&gt;"",BB810&lt;&gt;"",BC810&lt;&gt;""),"ГОТОВО","НЕ ГОТОВО"))</f>
        <v/>
      </c>
      <c r="BE810" s="205">
        <f>IF(BD810&lt;&gt;"ГОТОВО","","Полное заключение: "&amp;A810&amp;", скв. "&amp;B810&amp;". МРП: "&amp;E810&amp;" сут. ГНО: "&amp;F810&amp;"; причина: "&amp;U810&amp;"; категория: "&amp;V810&amp;"; решение комиссии: "&amp;BB810&amp;".")</f>
        <v/>
      </c>
      <c r="BF810" s="173">
        <f>IF('Оперативный ввод'!X810="","",'Оперативный ввод'!X810)</f>
        <v/>
      </c>
    </row>
    <row r="811">
      <c r="A811" s="171">
        <f>IF('Оперативный ввод'!A811="","",'Оперативный ввод'!A811)</f>
        <v/>
      </c>
      <c r="B811" s="172">
        <f>IF('Оперативный ввод'!B811="","",'Оперативный ввод'!B811)</f>
        <v/>
      </c>
      <c r="C811" s="270">
        <f>IF('Оперативный ввод'!C811="","",'Оперативный ввод'!C811)</f>
        <v/>
      </c>
      <c r="D811" s="270">
        <f>IF('Оперативный ввод'!D811="","",'Оперативный ввод'!D811)</f>
        <v/>
      </c>
      <c r="E811" s="271">
        <f>IF(OR(C811="",D811=""),"",D811-C811)</f>
        <v/>
      </c>
      <c r="F811" s="172">
        <f>IF('Оперативный ввод'!F811="","",'Оперативный ввод'!F811)</f>
        <v/>
      </c>
      <c r="G811" s="172">
        <f>IF('Оперативный ввод'!G811="","",'Оперативный ввод'!G811)</f>
        <v/>
      </c>
      <c r="H811" s="172">
        <f>IF('Оперативный ввод'!H811="","",'Оперативный ввод'!H811)</f>
        <v/>
      </c>
      <c r="I811" s="172">
        <f>IF('Оперативный ввод'!I811="","",'Оперативный ввод'!I811)</f>
        <v/>
      </c>
      <c r="J811" s="172">
        <f>IF('Оперативный ввод'!J811="","",'Оперативный ввод'!J811)</f>
        <v/>
      </c>
      <c r="K811" s="172">
        <f>IF('Оперативный ввод'!K811="","",'Оперативный ввод'!K811)</f>
        <v/>
      </c>
      <c r="L811" s="172">
        <f>IF('Оперативный ввод'!L811="","",'Оперативный ввод'!L811)</f>
        <v/>
      </c>
      <c r="M811" s="172">
        <f>IF('Оперативный ввод'!M811="","",'Оперативный ввод'!M811)</f>
        <v/>
      </c>
      <c r="N811" s="172">
        <f>IF('Оперативный ввод'!N811="","",'Оперативный ввод'!N811)</f>
        <v/>
      </c>
      <c r="O811" s="172">
        <f>IF('Оперативный ввод'!O811="","",'Оперативный ввод'!O811)</f>
        <v/>
      </c>
      <c r="P811" s="205">
        <f>IF(AND(A811="",B811=""),"",IF(AND(A811&lt;&gt;"",B811&lt;&gt;"",C811&lt;&gt;"",D811&lt;&gt;"",F811&lt;&gt;"",G811&lt;&gt;"",H811&lt;&gt;"",ISERROR(SEARCH("по паспорту",G811)),ISERROR(SEARCH("по паспорту",H811)),I811&lt;&gt;"",J811&lt;&gt;"",K811&lt;&gt;"",L811&lt;&gt;"",M811&lt;&gt;""),"ГОТОВО","НЕ ГОТОВО"))</f>
        <v/>
      </c>
      <c r="Q811" s="205">
        <f>IF(P811&lt;&gt;"ГОТОВО","", "Предварительное заключение: "&amp;A811&amp;", скв. "&amp;B811&amp;". МРП: "&amp;E811&amp;" сут. ГНО: "&amp;F811&amp;", типоразмер "&amp;G811&amp;", марка "&amp;H811&amp;". Событие: "&amp;I811&amp;". Признак: "&amp;J811&amp;". Узел: "&amp;K811&amp;". Предварительная причина: "&amp;L811&amp;". Основное осложнение: "&amp;M811&amp;IF(N811&lt;&gt;"","; сопутствующее: "&amp;N811,"")&amp;IF(O811&lt;&gt;"","; дополнительно: "&amp;O811,"")&amp;".")</f>
        <v/>
      </c>
      <c r="R811" s="172">
        <f>IF('Оперативный ввод'!P811="","",'Оперативный ввод'!P811)</f>
        <v/>
      </c>
      <c r="S811" s="172">
        <f>IF('Оперативный ввод'!Q811="","",'Оперативный ввод'!Q811)</f>
        <v/>
      </c>
      <c r="T811" s="172">
        <f>IF('Оперативный ввод'!R811="","",'Оперативный ввод'!R811)</f>
        <v/>
      </c>
      <c r="U811" s="172">
        <f>IF('Оперативный ввод'!S811="","",'Оперативный ввод'!S811)</f>
        <v/>
      </c>
      <c r="V811" s="172">
        <f>IF('Оперативный ввод'!T811="","",'Оперативный ввод'!T811)</f>
        <v/>
      </c>
      <c r="W811" s="172" t="n"/>
      <c r="X811" s="172" t="n"/>
      <c r="Y811" s="172" t="n"/>
      <c r="Z811" s="172" t="n"/>
      <c r="AA811" s="172">
        <f>IF('Оперативный ввод'!U811="","",'Оперативный ввод'!U811)</f>
        <v/>
      </c>
      <c r="AB811" s="172">
        <f>IF('Оперативный ввод'!V811="","",'Оперативный ввод'!V811)</f>
        <v/>
      </c>
      <c r="AC811" s="172">
        <f>IF('Оперативный ввод'!W811="","",'Оперативный ввод'!W811)</f>
        <v/>
      </c>
      <c r="BB811" s="172" t="n"/>
      <c r="BC811" s="172" t="n"/>
      <c r="BD811" s="205">
        <f>IF(AND(A811="",B811=""),"",IF(AND(P811="ГОТОВО",R811&lt;&gt;"",T811&lt;&gt;"",U811&lt;&gt;"",AA811&lt;&gt;"",AB811&lt;&gt;"",AC811&lt;&gt;"",BB811&lt;&gt;"",BC811&lt;&gt;""),"ГОТОВО","НЕ ГОТОВО"))</f>
        <v/>
      </c>
      <c r="BE811" s="205">
        <f>IF(BD811&lt;&gt;"ГОТОВО","","Полное заключение: "&amp;A811&amp;", скв. "&amp;B811&amp;". МРП: "&amp;E811&amp;" сут. ГНО: "&amp;F811&amp;"; причина: "&amp;U811&amp;"; категория: "&amp;V811&amp;"; решение комиссии: "&amp;BB811&amp;".")</f>
        <v/>
      </c>
      <c r="BF811" s="173">
        <f>IF('Оперативный ввод'!X811="","",'Оперативный ввод'!X811)</f>
        <v/>
      </c>
    </row>
    <row r="812">
      <c r="A812" s="171">
        <f>IF('Оперативный ввод'!A812="","",'Оперативный ввод'!A812)</f>
        <v/>
      </c>
      <c r="B812" s="172">
        <f>IF('Оперативный ввод'!B812="","",'Оперативный ввод'!B812)</f>
        <v/>
      </c>
      <c r="C812" s="270">
        <f>IF('Оперативный ввод'!C812="","",'Оперативный ввод'!C812)</f>
        <v/>
      </c>
      <c r="D812" s="270">
        <f>IF('Оперативный ввод'!D812="","",'Оперативный ввод'!D812)</f>
        <v/>
      </c>
      <c r="E812" s="271">
        <f>IF(OR(C812="",D812=""),"",D812-C812)</f>
        <v/>
      </c>
      <c r="F812" s="172">
        <f>IF('Оперативный ввод'!F812="","",'Оперативный ввод'!F812)</f>
        <v/>
      </c>
      <c r="G812" s="172">
        <f>IF('Оперативный ввод'!G812="","",'Оперативный ввод'!G812)</f>
        <v/>
      </c>
      <c r="H812" s="172">
        <f>IF('Оперативный ввод'!H812="","",'Оперативный ввод'!H812)</f>
        <v/>
      </c>
      <c r="I812" s="172">
        <f>IF('Оперативный ввод'!I812="","",'Оперативный ввод'!I812)</f>
        <v/>
      </c>
      <c r="J812" s="172">
        <f>IF('Оперативный ввод'!J812="","",'Оперативный ввод'!J812)</f>
        <v/>
      </c>
      <c r="K812" s="172">
        <f>IF('Оперативный ввод'!K812="","",'Оперативный ввод'!K812)</f>
        <v/>
      </c>
      <c r="L812" s="172">
        <f>IF('Оперативный ввод'!L812="","",'Оперативный ввод'!L812)</f>
        <v/>
      </c>
      <c r="M812" s="172">
        <f>IF('Оперативный ввод'!M812="","",'Оперативный ввод'!M812)</f>
        <v/>
      </c>
      <c r="N812" s="172">
        <f>IF('Оперативный ввод'!N812="","",'Оперативный ввод'!N812)</f>
        <v/>
      </c>
      <c r="O812" s="172">
        <f>IF('Оперативный ввод'!O812="","",'Оперативный ввод'!O812)</f>
        <v/>
      </c>
      <c r="P812" s="205">
        <f>IF(AND(A812="",B812=""),"",IF(AND(A812&lt;&gt;"",B812&lt;&gt;"",C812&lt;&gt;"",D812&lt;&gt;"",F812&lt;&gt;"",G812&lt;&gt;"",H812&lt;&gt;"",ISERROR(SEARCH("по паспорту",G812)),ISERROR(SEARCH("по паспорту",H812)),I812&lt;&gt;"",J812&lt;&gt;"",K812&lt;&gt;"",L812&lt;&gt;"",M812&lt;&gt;""),"ГОТОВО","НЕ ГОТОВО"))</f>
        <v/>
      </c>
      <c r="Q812" s="205">
        <f>IF(P812&lt;&gt;"ГОТОВО","", "Предварительное заключение: "&amp;A812&amp;", скв. "&amp;B812&amp;". МРП: "&amp;E812&amp;" сут. ГНО: "&amp;F812&amp;", типоразмер "&amp;G812&amp;", марка "&amp;H812&amp;". Событие: "&amp;I812&amp;". Признак: "&amp;J812&amp;". Узел: "&amp;K812&amp;". Предварительная причина: "&amp;L812&amp;". Основное осложнение: "&amp;M812&amp;IF(N812&lt;&gt;"","; сопутствующее: "&amp;N812,"")&amp;IF(O812&lt;&gt;"","; дополнительно: "&amp;O812,"")&amp;".")</f>
        <v/>
      </c>
      <c r="R812" s="172">
        <f>IF('Оперативный ввод'!P812="","",'Оперативный ввод'!P812)</f>
        <v/>
      </c>
      <c r="S812" s="172">
        <f>IF('Оперативный ввод'!Q812="","",'Оперативный ввод'!Q812)</f>
        <v/>
      </c>
      <c r="T812" s="172">
        <f>IF('Оперативный ввод'!R812="","",'Оперативный ввод'!R812)</f>
        <v/>
      </c>
      <c r="U812" s="172">
        <f>IF('Оперативный ввод'!S812="","",'Оперативный ввод'!S812)</f>
        <v/>
      </c>
      <c r="V812" s="172">
        <f>IF('Оперативный ввод'!T812="","",'Оперативный ввод'!T812)</f>
        <v/>
      </c>
      <c r="W812" s="172" t="n"/>
      <c r="X812" s="172" t="n"/>
      <c r="Y812" s="172" t="n"/>
      <c r="Z812" s="172" t="n"/>
      <c r="AA812" s="172">
        <f>IF('Оперативный ввод'!U812="","",'Оперативный ввод'!U812)</f>
        <v/>
      </c>
      <c r="AB812" s="172">
        <f>IF('Оперативный ввод'!V812="","",'Оперативный ввод'!V812)</f>
        <v/>
      </c>
      <c r="AC812" s="172">
        <f>IF('Оперативный ввод'!W812="","",'Оперативный ввод'!W812)</f>
        <v/>
      </c>
      <c r="BB812" s="172" t="n"/>
      <c r="BC812" s="172" t="n"/>
      <c r="BD812" s="205">
        <f>IF(AND(A812="",B812=""),"",IF(AND(P812="ГОТОВО",R812&lt;&gt;"",T812&lt;&gt;"",U812&lt;&gt;"",AA812&lt;&gt;"",AB812&lt;&gt;"",AC812&lt;&gt;"",BB812&lt;&gt;"",BC812&lt;&gt;""),"ГОТОВО","НЕ ГОТОВО"))</f>
        <v/>
      </c>
      <c r="BE812" s="205">
        <f>IF(BD812&lt;&gt;"ГОТОВО","","Полное заключение: "&amp;A812&amp;", скв. "&amp;B812&amp;". МРП: "&amp;E812&amp;" сут. ГНО: "&amp;F812&amp;"; причина: "&amp;U812&amp;"; категория: "&amp;V812&amp;"; решение комиссии: "&amp;BB812&amp;".")</f>
        <v/>
      </c>
      <c r="BF812" s="173">
        <f>IF('Оперативный ввод'!X812="","",'Оперативный ввод'!X812)</f>
        <v/>
      </c>
    </row>
    <row r="813">
      <c r="A813" s="171">
        <f>IF('Оперативный ввод'!A813="","",'Оперативный ввод'!A813)</f>
        <v/>
      </c>
      <c r="B813" s="172">
        <f>IF('Оперативный ввод'!B813="","",'Оперативный ввод'!B813)</f>
        <v/>
      </c>
      <c r="C813" s="270">
        <f>IF('Оперативный ввод'!C813="","",'Оперативный ввод'!C813)</f>
        <v/>
      </c>
      <c r="D813" s="270">
        <f>IF('Оперативный ввод'!D813="","",'Оперативный ввод'!D813)</f>
        <v/>
      </c>
      <c r="E813" s="271">
        <f>IF(OR(C813="",D813=""),"",D813-C813)</f>
        <v/>
      </c>
      <c r="F813" s="172">
        <f>IF('Оперативный ввод'!F813="","",'Оперативный ввод'!F813)</f>
        <v/>
      </c>
      <c r="G813" s="172">
        <f>IF('Оперативный ввод'!G813="","",'Оперативный ввод'!G813)</f>
        <v/>
      </c>
      <c r="H813" s="172">
        <f>IF('Оперативный ввод'!H813="","",'Оперативный ввод'!H813)</f>
        <v/>
      </c>
      <c r="I813" s="172">
        <f>IF('Оперативный ввод'!I813="","",'Оперативный ввод'!I813)</f>
        <v/>
      </c>
      <c r="J813" s="172">
        <f>IF('Оперативный ввод'!J813="","",'Оперативный ввод'!J813)</f>
        <v/>
      </c>
      <c r="K813" s="172">
        <f>IF('Оперативный ввод'!K813="","",'Оперативный ввод'!K813)</f>
        <v/>
      </c>
      <c r="L813" s="172">
        <f>IF('Оперативный ввод'!L813="","",'Оперативный ввод'!L813)</f>
        <v/>
      </c>
      <c r="M813" s="172">
        <f>IF('Оперативный ввод'!M813="","",'Оперативный ввод'!M813)</f>
        <v/>
      </c>
      <c r="N813" s="172">
        <f>IF('Оперативный ввод'!N813="","",'Оперативный ввод'!N813)</f>
        <v/>
      </c>
      <c r="O813" s="172">
        <f>IF('Оперативный ввод'!O813="","",'Оперативный ввод'!O813)</f>
        <v/>
      </c>
      <c r="P813" s="205">
        <f>IF(AND(A813="",B813=""),"",IF(AND(A813&lt;&gt;"",B813&lt;&gt;"",C813&lt;&gt;"",D813&lt;&gt;"",F813&lt;&gt;"",G813&lt;&gt;"",H813&lt;&gt;"",ISERROR(SEARCH("по паспорту",G813)),ISERROR(SEARCH("по паспорту",H813)),I813&lt;&gt;"",J813&lt;&gt;"",K813&lt;&gt;"",L813&lt;&gt;"",M813&lt;&gt;""),"ГОТОВО","НЕ ГОТОВО"))</f>
        <v/>
      </c>
      <c r="Q813" s="205">
        <f>IF(P813&lt;&gt;"ГОТОВО","", "Предварительное заключение: "&amp;A813&amp;", скв. "&amp;B813&amp;". МРП: "&amp;E813&amp;" сут. ГНО: "&amp;F813&amp;", типоразмер "&amp;G813&amp;", марка "&amp;H813&amp;". Событие: "&amp;I813&amp;". Признак: "&amp;J813&amp;". Узел: "&amp;K813&amp;". Предварительная причина: "&amp;L813&amp;". Основное осложнение: "&amp;M813&amp;IF(N813&lt;&gt;"","; сопутствующее: "&amp;N813,"")&amp;IF(O813&lt;&gt;"","; дополнительно: "&amp;O813,"")&amp;".")</f>
        <v/>
      </c>
      <c r="R813" s="172">
        <f>IF('Оперативный ввод'!P813="","",'Оперативный ввод'!P813)</f>
        <v/>
      </c>
      <c r="S813" s="172">
        <f>IF('Оперативный ввод'!Q813="","",'Оперативный ввод'!Q813)</f>
        <v/>
      </c>
      <c r="T813" s="172">
        <f>IF('Оперативный ввод'!R813="","",'Оперативный ввод'!R813)</f>
        <v/>
      </c>
      <c r="U813" s="172">
        <f>IF('Оперативный ввод'!S813="","",'Оперативный ввод'!S813)</f>
        <v/>
      </c>
      <c r="V813" s="172">
        <f>IF('Оперативный ввод'!T813="","",'Оперативный ввод'!T813)</f>
        <v/>
      </c>
      <c r="W813" s="172" t="n"/>
      <c r="X813" s="172" t="n"/>
      <c r="Y813" s="172" t="n"/>
      <c r="Z813" s="172" t="n"/>
      <c r="AA813" s="172">
        <f>IF('Оперативный ввод'!U813="","",'Оперативный ввод'!U813)</f>
        <v/>
      </c>
      <c r="AB813" s="172">
        <f>IF('Оперативный ввод'!V813="","",'Оперативный ввод'!V813)</f>
        <v/>
      </c>
      <c r="AC813" s="172">
        <f>IF('Оперативный ввод'!W813="","",'Оперативный ввод'!W813)</f>
        <v/>
      </c>
      <c r="BB813" s="172" t="n"/>
      <c r="BC813" s="172" t="n"/>
      <c r="BD813" s="205">
        <f>IF(AND(A813="",B813=""),"",IF(AND(P813="ГОТОВО",R813&lt;&gt;"",T813&lt;&gt;"",U813&lt;&gt;"",AA813&lt;&gt;"",AB813&lt;&gt;"",AC813&lt;&gt;"",BB813&lt;&gt;"",BC813&lt;&gt;""),"ГОТОВО","НЕ ГОТОВО"))</f>
        <v/>
      </c>
      <c r="BE813" s="205">
        <f>IF(BD813&lt;&gt;"ГОТОВО","","Полное заключение: "&amp;A813&amp;", скв. "&amp;B813&amp;". МРП: "&amp;E813&amp;" сут. ГНО: "&amp;F813&amp;"; причина: "&amp;U813&amp;"; категория: "&amp;V813&amp;"; решение комиссии: "&amp;BB813&amp;".")</f>
        <v/>
      </c>
      <c r="BF813" s="173">
        <f>IF('Оперативный ввод'!X813="","",'Оперативный ввод'!X813)</f>
        <v/>
      </c>
    </row>
    <row r="814">
      <c r="A814" s="171">
        <f>IF('Оперативный ввод'!A814="","",'Оперативный ввод'!A814)</f>
        <v/>
      </c>
      <c r="B814" s="172">
        <f>IF('Оперативный ввод'!B814="","",'Оперативный ввод'!B814)</f>
        <v/>
      </c>
      <c r="C814" s="270">
        <f>IF('Оперативный ввод'!C814="","",'Оперативный ввод'!C814)</f>
        <v/>
      </c>
      <c r="D814" s="270">
        <f>IF('Оперативный ввод'!D814="","",'Оперативный ввод'!D814)</f>
        <v/>
      </c>
      <c r="E814" s="271">
        <f>IF(OR(C814="",D814=""),"",D814-C814)</f>
        <v/>
      </c>
      <c r="F814" s="172">
        <f>IF('Оперативный ввод'!F814="","",'Оперативный ввод'!F814)</f>
        <v/>
      </c>
      <c r="G814" s="172">
        <f>IF('Оперативный ввод'!G814="","",'Оперативный ввод'!G814)</f>
        <v/>
      </c>
      <c r="H814" s="172">
        <f>IF('Оперативный ввод'!H814="","",'Оперативный ввод'!H814)</f>
        <v/>
      </c>
      <c r="I814" s="172">
        <f>IF('Оперативный ввод'!I814="","",'Оперативный ввод'!I814)</f>
        <v/>
      </c>
      <c r="J814" s="172">
        <f>IF('Оперативный ввод'!J814="","",'Оперативный ввод'!J814)</f>
        <v/>
      </c>
      <c r="K814" s="172">
        <f>IF('Оперативный ввод'!K814="","",'Оперативный ввод'!K814)</f>
        <v/>
      </c>
      <c r="L814" s="172">
        <f>IF('Оперативный ввод'!L814="","",'Оперативный ввод'!L814)</f>
        <v/>
      </c>
      <c r="M814" s="172">
        <f>IF('Оперативный ввод'!M814="","",'Оперативный ввод'!M814)</f>
        <v/>
      </c>
      <c r="N814" s="172">
        <f>IF('Оперативный ввод'!N814="","",'Оперативный ввод'!N814)</f>
        <v/>
      </c>
      <c r="O814" s="172">
        <f>IF('Оперативный ввод'!O814="","",'Оперативный ввод'!O814)</f>
        <v/>
      </c>
      <c r="P814" s="205">
        <f>IF(AND(A814="",B814=""),"",IF(AND(A814&lt;&gt;"",B814&lt;&gt;"",C814&lt;&gt;"",D814&lt;&gt;"",F814&lt;&gt;"",G814&lt;&gt;"",H814&lt;&gt;"",ISERROR(SEARCH("по паспорту",G814)),ISERROR(SEARCH("по паспорту",H814)),I814&lt;&gt;"",J814&lt;&gt;"",K814&lt;&gt;"",L814&lt;&gt;"",M814&lt;&gt;""),"ГОТОВО","НЕ ГОТОВО"))</f>
        <v/>
      </c>
      <c r="Q814" s="205">
        <f>IF(P814&lt;&gt;"ГОТОВО","", "Предварительное заключение: "&amp;A814&amp;", скв. "&amp;B814&amp;". МРП: "&amp;E814&amp;" сут. ГНО: "&amp;F814&amp;", типоразмер "&amp;G814&amp;", марка "&amp;H814&amp;". Событие: "&amp;I814&amp;". Признак: "&amp;J814&amp;". Узел: "&amp;K814&amp;". Предварительная причина: "&amp;L814&amp;". Основное осложнение: "&amp;M814&amp;IF(N814&lt;&gt;"","; сопутствующее: "&amp;N814,"")&amp;IF(O814&lt;&gt;"","; дополнительно: "&amp;O814,"")&amp;".")</f>
        <v/>
      </c>
      <c r="R814" s="172">
        <f>IF('Оперативный ввод'!P814="","",'Оперативный ввод'!P814)</f>
        <v/>
      </c>
      <c r="S814" s="172">
        <f>IF('Оперативный ввод'!Q814="","",'Оперативный ввод'!Q814)</f>
        <v/>
      </c>
      <c r="T814" s="172">
        <f>IF('Оперативный ввод'!R814="","",'Оперативный ввод'!R814)</f>
        <v/>
      </c>
      <c r="U814" s="172">
        <f>IF('Оперативный ввод'!S814="","",'Оперативный ввод'!S814)</f>
        <v/>
      </c>
      <c r="V814" s="172">
        <f>IF('Оперативный ввод'!T814="","",'Оперативный ввод'!T814)</f>
        <v/>
      </c>
      <c r="W814" s="172" t="n"/>
      <c r="X814" s="172" t="n"/>
      <c r="Y814" s="172" t="n"/>
      <c r="Z814" s="172" t="n"/>
      <c r="AA814" s="172">
        <f>IF('Оперативный ввод'!U814="","",'Оперативный ввод'!U814)</f>
        <v/>
      </c>
      <c r="AB814" s="172">
        <f>IF('Оперативный ввод'!V814="","",'Оперативный ввод'!V814)</f>
        <v/>
      </c>
      <c r="AC814" s="172">
        <f>IF('Оперативный ввод'!W814="","",'Оперативный ввод'!W814)</f>
        <v/>
      </c>
      <c r="BB814" s="172" t="n"/>
      <c r="BC814" s="172" t="n"/>
      <c r="BD814" s="205">
        <f>IF(AND(A814="",B814=""),"",IF(AND(P814="ГОТОВО",R814&lt;&gt;"",T814&lt;&gt;"",U814&lt;&gt;"",AA814&lt;&gt;"",AB814&lt;&gt;"",AC814&lt;&gt;"",BB814&lt;&gt;"",BC814&lt;&gt;""),"ГОТОВО","НЕ ГОТОВО"))</f>
        <v/>
      </c>
      <c r="BE814" s="205">
        <f>IF(BD814&lt;&gt;"ГОТОВО","","Полное заключение: "&amp;A814&amp;", скв. "&amp;B814&amp;". МРП: "&amp;E814&amp;" сут. ГНО: "&amp;F814&amp;"; причина: "&amp;U814&amp;"; категория: "&amp;V814&amp;"; решение комиссии: "&amp;BB814&amp;".")</f>
        <v/>
      </c>
      <c r="BF814" s="173">
        <f>IF('Оперативный ввод'!X814="","",'Оперативный ввод'!X814)</f>
        <v/>
      </c>
    </row>
    <row r="815">
      <c r="A815" s="171">
        <f>IF('Оперативный ввод'!A815="","",'Оперативный ввод'!A815)</f>
        <v/>
      </c>
      <c r="B815" s="172">
        <f>IF('Оперативный ввод'!B815="","",'Оперативный ввод'!B815)</f>
        <v/>
      </c>
      <c r="C815" s="270">
        <f>IF('Оперативный ввод'!C815="","",'Оперативный ввод'!C815)</f>
        <v/>
      </c>
      <c r="D815" s="270">
        <f>IF('Оперативный ввод'!D815="","",'Оперативный ввод'!D815)</f>
        <v/>
      </c>
      <c r="E815" s="271">
        <f>IF(OR(C815="",D815=""),"",D815-C815)</f>
        <v/>
      </c>
      <c r="F815" s="172">
        <f>IF('Оперативный ввод'!F815="","",'Оперативный ввод'!F815)</f>
        <v/>
      </c>
      <c r="G815" s="172">
        <f>IF('Оперативный ввод'!G815="","",'Оперативный ввод'!G815)</f>
        <v/>
      </c>
      <c r="H815" s="172">
        <f>IF('Оперативный ввод'!H815="","",'Оперативный ввод'!H815)</f>
        <v/>
      </c>
      <c r="I815" s="172">
        <f>IF('Оперативный ввод'!I815="","",'Оперативный ввод'!I815)</f>
        <v/>
      </c>
      <c r="J815" s="172">
        <f>IF('Оперативный ввод'!J815="","",'Оперативный ввод'!J815)</f>
        <v/>
      </c>
      <c r="K815" s="172">
        <f>IF('Оперативный ввод'!K815="","",'Оперативный ввод'!K815)</f>
        <v/>
      </c>
      <c r="L815" s="172">
        <f>IF('Оперативный ввод'!L815="","",'Оперативный ввод'!L815)</f>
        <v/>
      </c>
      <c r="M815" s="172">
        <f>IF('Оперативный ввод'!M815="","",'Оперативный ввод'!M815)</f>
        <v/>
      </c>
      <c r="N815" s="172">
        <f>IF('Оперативный ввод'!N815="","",'Оперативный ввод'!N815)</f>
        <v/>
      </c>
      <c r="O815" s="172">
        <f>IF('Оперативный ввод'!O815="","",'Оперативный ввод'!O815)</f>
        <v/>
      </c>
      <c r="P815" s="205">
        <f>IF(AND(A815="",B815=""),"",IF(AND(A815&lt;&gt;"",B815&lt;&gt;"",C815&lt;&gt;"",D815&lt;&gt;"",F815&lt;&gt;"",G815&lt;&gt;"",H815&lt;&gt;"",ISERROR(SEARCH("по паспорту",G815)),ISERROR(SEARCH("по паспорту",H815)),I815&lt;&gt;"",J815&lt;&gt;"",K815&lt;&gt;"",L815&lt;&gt;"",M815&lt;&gt;""),"ГОТОВО","НЕ ГОТОВО"))</f>
        <v/>
      </c>
      <c r="Q815" s="205">
        <f>IF(P815&lt;&gt;"ГОТОВО","", "Предварительное заключение: "&amp;A815&amp;", скв. "&amp;B815&amp;". МРП: "&amp;E815&amp;" сут. ГНО: "&amp;F815&amp;", типоразмер "&amp;G815&amp;", марка "&amp;H815&amp;". Событие: "&amp;I815&amp;". Признак: "&amp;J815&amp;". Узел: "&amp;K815&amp;". Предварительная причина: "&amp;L815&amp;". Основное осложнение: "&amp;M815&amp;IF(N815&lt;&gt;"","; сопутствующее: "&amp;N815,"")&amp;IF(O815&lt;&gt;"","; дополнительно: "&amp;O815,"")&amp;".")</f>
        <v/>
      </c>
      <c r="R815" s="172">
        <f>IF('Оперативный ввод'!P815="","",'Оперативный ввод'!P815)</f>
        <v/>
      </c>
      <c r="S815" s="172">
        <f>IF('Оперативный ввод'!Q815="","",'Оперативный ввод'!Q815)</f>
        <v/>
      </c>
      <c r="T815" s="172">
        <f>IF('Оперативный ввод'!R815="","",'Оперативный ввод'!R815)</f>
        <v/>
      </c>
      <c r="U815" s="172">
        <f>IF('Оперативный ввод'!S815="","",'Оперативный ввод'!S815)</f>
        <v/>
      </c>
      <c r="V815" s="172">
        <f>IF('Оперативный ввод'!T815="","",'Оперативный ввод'!T815)</f>
        <v/>
      </c>
      <c r="W815" s="172" t="n"/>
      <c r="X815" s="172" t="n"/>
      <c r="Y815" s="172" t="n"/>
      <c r="Z815" s="172" t="n"/>
      <c r="AA815" s="172">
        <f>IF('Оперативный ввод'!U815="","",'Оперативный ввод'!U815)</f>
        <v/>
      </c>
      <c r="AB815" s="172">
        <f>IF('Оперативный ввод'!V815="","",'Оперативный ввод'!V815)</f>
        <v/>
      </c>
      <c r="AC815" s="172">
        <f>IF('Оперативный ввод'!W815="","",'Оперативный ввод'!W815)</f>
        <v/>
      </c>
      <c r="BB815" s="172" t="n"/>
      <c r="BC815" s="172" t="n"/>
      <c r="BD815" s="205">
        <f>IF(AND(A815="",B815=""),"",IF(AND(P815="ГОТОВО",R815&lt;&gt;"",T815&lt;&gt;"",U815&lt;&gt;"",AA815&lt;&gt;"",AB815&lt;&gt;"",AC815&lt;&gt;"",BB815&lt;&gt;"",BC815&lt;&gt;""),"ГОТОВО","НЕ ГОТОВО"))</f>
        <v/>
      </c>
      <c r="BE815" s="205">
        <f>IF(BD815&lt;&gt;"ГОТОВО","","Полное заключение: "&amp;A815&amp;", скв. "&amp;B815&amp;". МРП: "&amp;E815&amp;" сут. ГНО: "&amp;F815&amp;"; причина: "&amp;U815&amp;"; категория: "&amp;V815&amp;"; решение комиссии: "&amp;BB815&amp;".")</f>
        <v/>
      </c>
      <c r="BF815" s="173">
        <f>IF('Оперативный ввод'!X815="","",'Оперативный ввод'!X815)</f>
        <v/>
      </c>
    </row>
    <row r="816">
      <c r="A816" s="171">
        <f>IF('Оперативный ввод'!A816="","",'Оперативный ввод'!A816)</f>
        <v/>
      </c>
      <c r="B816" s="172">
        <f>IF('Оперативный ввод'!B816="","",'Оперативный ввод'!B816)</f>
        <v/>
      </c>
      <c r="C816" s="270">
        <f>IF('Оперативный ввод'!C816="","",'Оперативный ввод'!C816)</f>
        <v/>
      </c>
      <c r="D816" s="270">
        <f>IF('Оперативный ввод'!D816="","",'Оперативный ввод'!D816)</f>
        <v/>
      </c>
      <c r="E816" s="271">
        <f>IF(OR(C816="",D816=""),"",D816-C816)</f>
        <v/>
      </c>
      <c r="F816" s="172">
        <f>IF('Оперативный ввод'!F816="","",'Оперативный ввод'!F816)</f>
        <v/>
      </c>
      <c r="G816" s="172">
        <f>IF('Оперативный ввод'!G816="","",'Оперативный ввод'!G816)</f>
        <v/>
      </c>
      <c r="H816" s="172">
        <f>IF('Оперативный ввод'!H816="","",'Оперативный ввод'!H816)</f>
        <v/>
      </c>
      <c r="I816" s="172">
        <f>IF('Оперативный ввод'!I816="","",'Оперативный ввод'!I816)</f>
        <v/>
      </c>
      <c r="J816" s="172">
        <f>IF('Оперативный ввод'!J816="","",'Оперативный ввод'!J816)</f>
        <v/>
      </c>
      <c r="K816" s="172">
        <f>IF('Оперативный ввод'!K816="","",'Оперативный ввод'!K816)</f>
        <v/>
      </c>
      <c r="L816" s="172">
        <f>IF('Оперативный ввод'!L816="","",'Оперативный ввод'!L816)</f>
        <v/>
      </c>
      <c r="M816" s="172">
        <f>IF('Оперативный ввод'!M816="","",'Оперативный ввод'!M816)</f>
        <v/>
      </c>
      <c r="N816" s="172">
        <f>IF('Оперативный ввод'!N816="","",'Оперативный ввод'!N816)</f>
        <v/>
      </c>
      <c r="O816" s="172">
        <f>IF('Оперативный ввод'!O816="","",'Оперативный ввод'!O816)</f>
        <v/>
      </c>
      <c r="P816" s="205">
        <f>IF(AND(A816="",B816=""),"",IF(AND(A816&lt;&gt;"",B816&lt;&gt;"",C816&lt;&gt;"",D816&lt;&gt;"",F816&lt;&gt;"",G816&lt;&gt;"",H816&lt;&gt;"",ISERROR(SEARCH("по паспорту",G816)),ISERROR(SEARCH("по паспорту",H816)),I816&lt;&gt;"",J816&lt;&gt;"",K816&lt;&gt;"",L816&lt;&gt;"",M816&lt;&gt;""),"ГОТОВО","НЕ ГОТОВО"))</f>
        <v/>
      </c>
      <c r="Q816" s="205">
        <f>IF(P816&lt;&gt;"ГОТОВО","", "Предварительное заключение: "&amp;A816&amp;", скв. "&amp;B816&amp;". МРП: "&amp;E816&amp;" сут. ГНО: "&amp;F816&amp;", типоразмер "&amp;G816&amp;", марка "&amp;H816&amp;". Событие: "&amp;I816&amp;". Признак: "&amp;J816&amp;". Узел: "&amp;K816&amp;". Предварительная причина: "&amp;L816&amp;". Основное осложнение: "&amp;M816&amp;IF(N816&lt;&gt;"","; сопутствующее: "&amp;N816,"")&amp;IF(O816&lt;&gt;"","; дополнительно: "&amp;O816,"")&amp;".")</f>
        <v/>
      </c>
      <c r="R816" s="172">
        <f>IF('Оперативный ввод'!P816="","",'Оперативный ввод'!P816)</f>
        <v/>
      </c>
      <c r="S816" s="172">
        <f>IF('Оперативный ввод'!Q816="","",'Оперативный ввод'!Q816)</f>
        <v/>
      </c>
      <c r="T816" s="172">
        <f>IF('Оперативный ввод'!R816="","",'Оперативный ввод'!R816)</f>
        <v/>
      </c>
      <c r="U816" s="172">
        <f>IF('Оперативный ввод'!S816="","",'Оперативный ввод'!S816)</f>
        <v/>
      </c>
      <c r="V816" s="172">
        <f>IF('Оперативный ввод'!T816="","",'Оперативный ввод'!T816)</f>
        <v/>
      </c>
      <c r="W816" s="172" t="n"/>
      <c r="X816" s="172" t="n"/>
      <c r="Y816" s="172" t="n"/>
      <c r="Z816" s="172" t="n"/>
      <c r="AA816" s="172">
        <f>IF('Оперативный ввод'!U816="","",'Оперативный ввод'!U816)</f>
        <v/>
      </c>
      <c r="AB816" s="172">
        <f>IF('Оперативный ввод'!V816="","",'Оперативный ввод'!V816)</f>
        <v/>
      </c>
      <c r="AC816" s="172">
        <f>IF('Оперативный ввод'!W816="","",'Оперативный ввод'!W816)</f>
        <v/>
      </c>
      <c r="BB816" s="172" t="n"/>
      <c r="BC816" s="172" t="n"/>
      <c r="BD816" s="205">
        <f>IF(AND(A816="",B816=""),"",IF(AND(P816="ГОТОВО",R816&lt;&gt;"",T816&lt;&gt;"",U816&lt;&gt;"",AA816&lt;&gt;"",AB816&lt;&gt;"",AC816&lt;&gt;"",BB816&lt;&gt;"",BC816&lt;&gt;""),"ГОТОВО","НЕ ГОТОВО"))</f>
        <v/>
      </c>
      <c r="BE816" s="205">
        <f>IF(BD816&lt;&gt;"ГОТОВО","","Полное заключение: "&amp;A816&amp;", скв. "&amp;B816&amp;". МРП: "&amp;E816&amp;" сут. ГНО: "&amp;F816&amp;"; причина: "&amp;U816&amp;"; категория: "&amp;V816&amp;"; решение комиссии: "&amp;BB816&amp;".")</f>
        <v/>
      </c>
      <c r="BF816" s="173">
        <f>IF('Оперативный ввод'!X816="","",'Оперативный ввод'!X816)</f>
        <v/>
      </c>
    </row>
    <row r="817">
      <c r="A817" s="171">
        <f>IF('Оперативный ввод'!A817="","",'Оперативный ввод'!A817)</f>
        <v/>
      </c>
      <c r="B817" s="172">
        <f>IF('Оперативный ввод'!B817="","",'Оперативный ввод'!B817)</f>
        <v/>
      </c>
      <c r="C817" s="270">
        <f>IF('Оперативный ввод'!C817="","",'Оперативный ввод'!C817)</f>
        <v/>
      </c>
      <c r="D817" s="270">
        <f>IF('Оперативный ввод'!D817="","",'Оперативный ввод'!D817)</f>
        <v/>
      </c>
      <c r="E817" s="271">
        <f>IF(OR(C817="",D817=""),"",D817-C817)</f>
        <v/>
      </c>
      <c r="F817" s="172">
        <f>IF('Оперативный ввод'!F817="","",'Оперативный ввод'!F817)</f>
        <v/>
      </c>
      <c r="G817" s="172">
        <f>IF('Оперативный ввод'!G817="","",'Оперативный ввод'!G817)</f>
        <v/>
      </c>
      <c r="H817" s="172">
        <f>IF('Оперативный ввод'!H817="","",'Оперативный ввод'!H817)</f>
        <v/>
      </c>
      <c r="I817" s="172">
        <f>IF('Оперативный ввод'!I817="","",'Оперативный ввод'!I817)</f>
        <v/>
      </c>
      <c r="J817" s="172">
        <f>IF('Оперативный ввод'!J817="","",'Оперативный ввод'!J817)</f>
        <v/>
      </c>
      <c r="K817" s="172">
        <f>IF('Оперативный ввод'!K817="","",'Оперативный ввод'!K817)</f>
        <v/>
      </c>
      <c r="L817" s="172">
        <f>IF('Оперативный ввод'!L817="","",'Оперативный ввод'!L817)</f>
        <v/>
      </c>
      <c r="M817" s="172">
        <f>IF('Оперативный ввод'!M817="","",'Оперативный ввод'!M817)</f>
        <v/>
      </c>
      <c r="N817" s="172">
        <f>IF('Оперативный ввод'!N817="","",'Оперативный ввод'!N817)</f>
        <v/>
      </c>
      <c r="O817" s="172">
        <f>IF('Оперативный ввод'!O817="","",'Оперативный ввод'!O817)</f>
        <v/>
      </c>
      <c r="P817" s="205">
        <f>IF(AND(A817="",B817=""),"",IF(AND(A817&lt;&gt;"",B817&lt;&gt;"",C817&lt;&gt;"",D817&lt;&gt;"",F817&lt;&gt;"",G817&lt;&gt;"",H817&lt;&gt;"",ISERROR(SEARCH("по паспорту",G817)),ISERROR(SEARCH("по паспорту",H817)),I817&lt;&gt;"",J817&lt;&gt;"",K817&lt;&gt;"",L817&lt;&gt;"",M817&lt;&gt;""),"ГОТОВО","НЕ ГОТОВО"))</f>
        <v/>
      </c>
      <c r="Q817" s="205">
        <f>IF(P817&lt;&gt;"ГОТОВО","", "Предварительное заключение: "&amp;A817&amp;", скв. "&amp;B817&amp;". МРП: "&amp;E817&amp;" сут. ГНО: "&amp;F817&amp;", типоразмер "&amp;G817&amp;", марка "&amp;H817&amp;". Событие: "&amp;I817&amp;". Признак: "&amp;J817&amp;". Узел: "&amp;K817&amp;". Предварительная причина: "&amp;L817&amp;". Основное осложнение: "&amp;M817&amp;IF(N817&lt;&gt;"","; сопутствующее: "&amp;N817,"")&amp;IF(O817&lt;&gt;"","; дополнительно: "&amp;O817,"")&amp;".")</f>
        <v/>
      </c>
      <c r="R817" s="172">
        <f>IF('Оперативный ввод'!P817="","",'Оперативный ввод'!P817)</f>
        <v/>
      </c>
      <c r="S817" s="172">
        <f>IF('Оперативный ввод'!Q817="","",'Оперативный ввод'!Q817)</f>
        <v/>
      </c>
      <c r="T817" s="172">
        <f>IF('Оперативный ввод'!R817="","",'Оперативный ввод'!R817)</f>
        <v/>
      </c>
      <c r="U817" s="172">
        <f>IF('Оперативный ввод'!S817="","",'Оперативный ввод'!S817)</f>
        <v/>
      </c>
      <c r="V817" s="172">
        <f>IF('Оперативный ввод'!T817="","",'Оперативный ввод'!T817)</f>
        <v/>
      </c>
      <c r="W817" s="172" t="n"/>
      <c r="X817" s="172" t="n"/>
      <c r="Y817" s="172" t="n"/>
      <c r="Z817" s="172" t="n"/>
      <c r="AA817" s="172">
        <f>IF('Оперативный ввод'!U817="","",'Оперативный ввод'!U817)</f>
        <v/>
      </c>
      <c r="AB817" s="172">
        <f>IF('Оперативный ввод'!V817="","",'Оперативный ввод'!V817)</f>
        <v/>
      </c>
      <c r="AC817" s="172">
        <f>IF('Оперативный ввод'!W817="","",'Оперативный ввод'!W817)</f>
        <v/>
      </c>
      <c r="BB817" s="172" t="n"/>
      <c r="BC817" s="172" t="n"/>
      <c r="BD817" s="205">
        <f>IF(AND(A817="",B817=""),"",IF(AND(P817="ГОТОВО",R817&lt;&gt;"",T817&lt;&gt;"",U817&lt;&gt;"",AA817&lt;&gt;"",AB817&lt;&gt;"",AC817&lt;&gt;"",BB817&lt;&gt;"",BC817&lt;&gt;""),"ГОТОВО","НЕ ГОТОВО"))</f>
        <v/>
      </c>
      <c r="BE817" s="205">
        <f>IF(BD817&lt;&gt;"ГОТОВО","","Полное заключение: "&amp;A817&amp;", скв. "&amp;B817&amp;". МРП: "&amp;E817&amp;" сут. ГНО: "&amp;F817&amp;"; причина: "&amp;U817&amp;"; категория: "&amp;V817&amp;"; решение комиссии: "&amp;BB817&amp;".")</f>
        <v/>
      </c>
      <c r="BF817" s="173">
        <f>IF('Оперативный ввод'!X817="","",'Оперативный ввод'!X817)</f>
        <v/>
      </c>
    </row>
    <row r="818">
      <c r="A818" s="171">
        <f>IF('Оперативный ввод'!A818="","",'Оперативный ввод'!A818)</f>
        <v/>
      </c>
      <c r="B818" s="172">
        <f>IF('Оперативный ввод'!B818="","",'Оперативный ввод'!B818)</f>
        <v/>
      </c>
      <c r="C818" s="270">
        <f>IF('Оперативный ввод'!C818="","",'Оперативный ввод'!C818)</f>
        <v/>
      </c>
      <c r="D818" s="270">
        <f>IF('Оперативный ввод'!D818="","",'Оперативный ввод'!D818)</f>
        <v/>
      </c>
      <c r="E818" s="271">
        <f>IF(OR(C818="",D818=""),"",D818-C818)</f>
        <v/>
      </c>
      <c r="F818" s="172">
        <f>IF('Оперативный ввод'!F818="","",'Оперативный ввод'!F818)</f>
        <v/>
      </c>
      <c r="G818" s="172">
        <f>IF('Оперативный ввод'!G818="","",'Оперативный ввод'!G818)</f>
        <v/>
      </c>
      <c r="H818" s="172">
        <f>IF('Оперативный ввод'!H818="","",'Оперативный ввод'!H818)</f>
        <v/>
      </c>
      <c r="I818" s="172">
        <f>IF('Оперативный ввод'!I818="","",'Оперативный ввод'!I818)</f>
        <v/>
      </c>
      <c r="J818" s="172">
        <f>IF('Оперативный ввод'!J818="","",'Оперативный ввод'!J818)</f>
        <v/>
      </c>
      <c r="K818" s="172">
        <f>IF('Оперативный ввод'!K818="","",'Оперативный ввод'!K818)</f>
        <v/>
      </c>
      <c r="L818" s="172">
        <f>IF('Оперативный ввод'!L818="","",'Оперативный ввод'!L818)</f>
        <v/>
      </c>
      <c r="M818" s="172">
        <f>IF('Оперативный ввод'!M818="","",'Оперативный ввод'!M818)</f>
        <v/>
      </c>
      <c r="N818" s="172">
        <f>IF('Оперативный ввод'!N818="","",'Оперативный ввод'!N818)</f>
        <v/>
      </c>
      <c r="O818" s="172">
        <f>IF('Оперативный ввод'!O818="","",'Оперативный ввод'!O818)</f>
        <v/>
      </c>
      <c r="P818" s="205">
        <f>IF(AND(A818="",B818=""),"",IF(AND(A818&lt;&gt;"",B818&lt;&gt;"",C818&lt;&gt;"",D818&lt;&gt;"",F818&lt;&gt;"",G818&lt;&gt;"",H818&lt;&gt;"",ISERROR(SEARCH("по паспорту",G818)),ISERROR(SEARCH("по паспорту",H818)),I818&lt;&gt;"",J818&lt;&gt;"",K818&lt;&gt;"",L818&lt;&gt;"",M818&lt;&gt;""),"ГОТОВО","НЕ ГОТОВО"))</f>
        <v/>
      </c>
      <c r="Q818" s="205">
        <f>IF(P818&lt;&gt;"ГОТОВО","", "Предварительное заключение: "&amp;A818&amp;", скв. "&amp;B818&amp;". МРП: "&amp;E818&amp;" сут. ГНО: "&amp;F818&amp;", типоразмер "&amp;G818&amp;", марка "&amp;H818&amp;". Событие: "&amp;I818&amp;". Признак: "&amp;J818&amp;". Узел: "&amp;K818&amp;". Предварительная причина: "&amp;L818&amp;". Основное осложнение: "&amp;M818&amp;IF(N818&lt;&gt;"","; сопутствующее: "&amp;N818,"")&amp;IF(O818&lt;&gt;"","; дополнительно: "&amp;O818,"")&amp;".")</f>
        <v/>
      </c>
      <c r="R818" s="172">
        <f>IF('Оперативный ввод'!P818="","",'Оперативный ввод'!P818)</f>
        <v/>
      </c>
      <c r="S818" s="172">
        <f>IF('Оперативный ввод'!Q818="","",'Оперативный ввод'!Q818)</f>
        <v/>
      </c>
      <c r="T818" s="172">
        <f>IF('Оперативный ввод'!R818="","",'Оперативный ввод'!R818)</f>
        <v/>
      </c>
      <c r="U818" s="172">
        <f>IF('Оперативный ввод'!S818="","",'Оперативный ввод'!S818)</f>
        <v/>
      </c>
      <c r="V818" s="172">
        <f>IF('Оперативный ввод'!T818="","",'Оперативный ввод'!T818)</f>
        <v/>
      </c>
      <c r="W818" s="172" t="n"/>
      <c r="X818" s="172" t="n"/>
      <c r="Y818" s="172" t="n"/>
      <c r="Z818" s="172" t="n"/>
      <c r="AA818" s="172">
        <f>IF('Оперативный ввод'!U818="","",'Оперативный ввод'!U818)</f>
        <v/>
      </c>
      <c r="AB818" s="172">
        <f>IF('Оперативный ввод'!V818="","",'Оперативный ввод'!V818)</f>
        <v/>
      </c>
      <c r="AC818" s="172">
        <f>IF('Оперативный ввод'!W818="","",'Оперативный ввод'!W818)</f>
        <v/>
      </c>
      <c r="BB818" s="172" t="n"/>
      <c r="BC818" s="172" t="n"/>
      <c r="BD818" s="205">
        <f>IF(AND(A818="",B818=""),"",IF(AND(P818="ГОТОВО",R818&lt;&gt;"",T818&lt;&gt;"",U818&lt;&gt;"",AA818&lt;&gt;"",AB818&lt;&gt;"",AC818&lt;&gt;"",BB818&lt;&gt;"",BC818&lt;&gt;""),"ГОТОВО","НЕ ГОТОВО"))</f>
        <v/>
      </c>
      <c r="BE818" s="205">
        <f>IF(BD818&lt;&gt;"ГОТОВО","","Полное заключение: "&amp;A818&amp;", скв. "&amp;B818&amp;". МРП: "&amp;E818&amp;" сут. ГНО: "&amp;F818&amp;"; причина: "&amp;U818&amp;"; категория: "&amp;V818&amp;"; решение комиссии: "&amp;BB818&amp;".")</f>
        <v/>
      </c>
      <c r="BF818" s="173">
        <f>IF('Оперативный ввод'!X818="","",'Оперативный ввод'!X818)</f>
        <v/>
      </c>
    </row>
    <row r="819">
      <c r="A819" s="171">
        <f>IF('Оперативный ввод'!A819="","",'Оперативный ввод'!A819)</f>
        <v/>
      </c>
      <c r="B819" s="172">
        <f>IF('Оперативный ввод'!B819="","",'Оперативный ввод'!B819)</f>
        <v/>
      </c>
      <c r="C819" s="270">
        <f>IF('Оперативный ввод'!C819="","",'Оперативный ввод'!C819)</f>
        <v/>
      </c>
      <c r="D819" s="270">
        <f>IF('Оперативный ввод'!D819="","",'Оперативный ввод'!D819)</f>
        <v/>
      </c>
      <c r="E819" s="271">
        <f>IF(OR(C819="",D819=""),"",D819-C819)</f>
        <v/>
      </c>
      <c r="F819" s="172">
        <f>IF('Оперативный ввод'!F819="","",'Оперативный ввод'!F819)</f>
        <v/>
      </c>
      <c r="G819" s="172">
        <f>IF('Оперативный ввод'!G819="","",'Оперативный ввод'!G819)</f>
        <v/>
      </c>
      <c r="H819" s="172">
        <f>IF('Оперативный ввод'!H819="","",'Оперативный ввод'!H819)</f>
        <v/>
      </c>
      <c r="I819" s="172">
        <f>IF('Оперативный ввод'!I819="","",'Оперативный ввод'!I819)</f>
        <v/>
      </c>
      <c r="J819" s="172">
        <f>IF('Оперативный ввод'!J819="","",'Оперативный ввод'!J819)</f>
        <v/>
      </c>
      <c r="K819" s="172">
        <f>IF('Оперативный ввод'!K819="","",'Оперативный ввод'!K819)</f>
        <v/>
      </c>
      <c r="L819" s="172">
        <f>IF('Оперативный ввод'!L819="","",'Оперативный ввод'!L819)</f>
        <v/>
      </c>
      <c r="M819" s="172">
        <f>IF('Оперативный ввод'!M819="","",'Оперативный ввод'!M819)</f>
        <v/>
      </c>
      <c r="N819" s="172">
        <f>IF('Оперативный ввод'!N819="","",'Оперативный ввод'!N819)</f>
        <v/>
      </c>
      <c r="O819" s="172">
        <f>IF('Оперативный ввод'!O819="","",'Оперативный ввод'!O819)</f>
        <v/>
      </c>
      <c r="P819" s="205">
        <f>IF(AND(A819="",B819=""),"",IF(AND(A819&lt;&gt;"",B819&lt;&gt;"",C819&lt;&gt;"",D819&lt;&gt;"",F819&lt;&gt;"",G819&lt;&gt;"",H819&lt;&gt;"",ISERROR(SEARCH("по паспорту",G819)),ISERROR(SEARCH("по паспорту",H819)),I819&lt;&gt;"",J819&lt;&gt;"",K819&lt;&gt;"",L819&lt;&gt;"",M819&lt;&gt;""),"ГОТОВО","НЕ ГОТОВО"))</f>
        <v/>
      </c>
      <c r="Q819" s="205">
        <f>IF(P819&lt;&gt;"ГОТОВО","", "Предварительное заключение: "&amp;A819&amp;", скв. "&amp;B819&amp;". МРП: "&amp;E819&amp;" сут. ГНО: "&amp;F819&amp;", типоразмер "&amp;G819&amp;", марка "&amp;H819&amp;". Событие: "&amp;I819&amp;". Признак: "&amp;J819&amp;". Узел: "&amp;K819&amp;". Предварительная причина: "&amp;L819&amp;". Основное осложнение: "&amp;M819&amp;IF(N819&lt;&gt;"","; сопутствующее: "&amp;N819,"")&amp;IF(O819&lt;&gt;"","; дополнительно: "&amp;O819,"")&amp;".")</f>
        <v/>
      </c>
      <c r="R819" s="172">
        <f>IF('Оперативный ввод'!P819="","",'Оперативный ввод'!P819)</f>
        <v/>
      </c>
      <c r="S819" s="172">
        <f>IF('Оперативный ввод'!Q819="","",'Оперативный ввод'!Q819)</f>
        <v/>
      </c>
      <c r="T819" s="172">
        <f>IF('Оперативный ввод'!R819="","",'Оперативный ввод'!R819)</f>
        <v/>
      </c>
      <c r="U819" s="172">
        <f>IF('Оперативный ввод'!S819="","",'Оперативный ввод'!S819)</f>
        <v/>
      </c>
      <c r="V819" s="172">
        <f>IF('Оперативный ввод'!T819="","",'Оперативный ввод'!T819)</f>
        <v/>
      </c>
      <c r="W819" s="172" t="n"/>
      <c r="X819" s="172" t="n"/>
      <c r="Y819" s="172" t="n"/>
      <c r="Z819" s="172" t="n"/>
      <c r="AA819" s="172">
        <f>IF('Оперативный ввод'!U819="","",'Оперативный ввод'!U819)</f>
        <v/>
      </c>
      <c r="AB819" s="172">
        <f>IF('Оперативный ввод'!V819="","",'Оперативный ввод'!V819)</f>
        <v/>
      </c>
      <c r="AC819" s="172">
        <f>IF('Оперативный ввод'!W819="","",'Оперативный ввод'!W819)</f>
        <v/>
      </c>
      <c r="BB819" s="172" t="n"/>
      <c r="BC819" s="172" t="n"/>
      <c r="BD819" s="205">
        <f>IF(AND(A819="",B819=""),"",IF(AND(P819="ГОТОВО",R819&lt;&gt;"",T819&lt;&gt;"",U819&lt;&gt;"",AA819&lt;&gt;"",AB819&lt;&gt;"",AC819&lt;&gt;"",BB819&lt;&gt;"",BC819&lt;&gt;""),"ГОТОВО","НЕ ГОТОВО"))</f>
        <v/>
      </c>
      <c r="BE819" s="205">
        <f>IF(BD819&lt;&gt;"ГОТОВО","","Полное заключение: "&amp;A819&amp;", скв. "&amp;B819&amp;". МРП: "&amp;E819&amp;" сут. ГНО: "&amp;F819&amp;"; причина: "&amp;U819&amp;"; категория: "&amp;V819&amp;"; решение комиссии: "&amp;BB819&amp;".")</f>
        <v/>
      </c>
      <c r="BF819" s="173">
        <f>IF('Оперативный ввод'!X819="","",'Оперативный ввод'!X819)</f>
        <v/>
      </c>
    </row>
    <row r="820">
      <c r="A820" s="171">
        <f>IF('Оперативный ввод'!A820="","",'Оперативный ввод'!A820)</f>
        <v/>
      </c>
      <c r="B820" s="172">
        <f>IF('Оперативный ввод'!B820="","",'Оперативный ввод'!B820)</f>
        <v/>
      </c>
      <c r="C820" s="270">
        <f>IF('Оперативный ввод'!C820="","",'Оперативный ввод'!C820)</f>
        <v/>
      </c>
      <c r="D820" s="270">
        <f>IF('Оперативный ввод'!D820="","",'Оперативный ввод'!D820)</f>
        <v/>
      </c>
      <c r="E820" s="271">
        <f>IF(OR(C820="",D820=""),"",D820-C820)</f>
        <v/>
      </c>
      <c r="F820" s="172">
        <f>IF('Оперативный ввод'!F820="","",'Оперативный ввод'!F820)</f>
        <v/>
      </c>
      <c r="G820" s="172">
        <f>IF('Оперативный ввод'!G820="","",'Оперативный ввод'!G820)</f>
        <v/>
      </c>
      <c r="H820" s="172">
        <f>IF('Оперативный ввод'!H820="","",'Оперативный ввод'!H820)</f>
        <v/>
      </c>
      <c r="I820" s="172">
        <f>IF('Оперативный ввод'!I820="","",'Оперативный ввод'!I820)</f>
        <v/>
      </c>
      <c r="J820" s="172">
        <f>IF('Оперативный ввод'!J820="","",'Оперативный ввод'!J820)</f>
        <v/>
      </c>
      <c r="K820" s="172">
        <f>IF('Оперативный ввод'!K820="","",'Оперативный ввод'!K820)</f>
        <v/>
      </c>
      <c r="L820" s="172">
        <f>IF('Оперативный ввод'!L820="","",'Оперативный ввод'!L820)</f>
        <v/>
      </c>
      <c r="M820" s="172">
        <f>IF('Оперативный ввод'!M820="","",'Оперативный ввод'!M820)</f>
        <v/>
      </c>
      <c r="N820" s="172">
        <f>IF('Оперативный ввод'!N820="","",'Оперативный ввод'!N820)</f>
        <v/>
      </c>
      <c r="O820" s="172">
        <f>IF('Оперативный ввод'!O820="","",'Оперативный ввод'!O820)</f>
        <v/>
      </c>
      <c r="P820" s="205">
        <f>IF(AND(A820="",B820=""),"",IF(AND(A820&lt;&gt;"",B820&lt;&gt;"",C820&lt;&gt;"",D820&lt;&gt;"",F820&lt;&gt;"",G820&lt;&gt;"",H820&lt;&gt;"",ISERROR(SEARCH("по паспорту",G820)),ISERROR(SEARCH("по паспорту",H820)),I820&lt;&gt;"",J820&lt;&gt;"",K820&lt;&gt;"",L820&lt;&gt;"",M820&lt;&gt;""),"ГОТОВО","НЕ ГОТОВО"))</f>
        <v/>
      </c>
      <c r="Q820" s="205">
        <f>IF(P820&lt;&gt;"ГОТОВО","", "Предварительное заключение: "&amp;A820&amp;", скв. "&amp;B820&amp;". МРП: "&amp;E820&amp;" сут. ГНО: "&amp;F820&amp;", типоразмер "&amp;G820&amp;", марка "&amp;H820&amp;". Событие: "&amp;I820&amp;". Признак: "&amp;J820&amp;". Узел: "&amp;K820&amp;". Предварительная причина: "&amp;L820&amp;". Основное осложнение: "&amp;M820&amp;IF(N820&lt;&gt;"","; сопутствующее: "&amp;N820,"")&amp;IF(O820&lt;&gt;"","; дополнительно: "&amp;O820,"")&amp;".")</f>
        <v/>
      </c>
      <c r="R820" s="172">
        <f>IF('Оперативный ввод'!P820="","",'Оперативный ввод'!P820)</f>
        <v/>
      </c>
      <c r="S820" s="172">
        <f>IF('Оперативный ввод'!Q820="","",'Оперативный ввод'!Q820)</f>
        <v/>
      </c>
      <c r="T820" s="172">
        <f>IF('Оперативный ввод'!R820="","",'Оперативный ввод'!R820)</f>
        <v/>
      </c>
      <c r="U820" s="172">
        <f>IF('Оперативный ввод'!S820="","",'Оперативный ввод'!S820)</f>
        <v/>
      </c>
      <c r="V820" s="172">
        <f>IF('Оперативный ввод'!T820="","",'Оперативный ввод'!T820)</f>
        <v/>
      </c>
      <c r="W820" s="172" t="n"/>
      <c r="X820" s="172" t="n"/>
      <c r="Y820" s="172" t="n"/>
      <c r="Z820" s="172" t="n"/>
      <c r="AA820" s="172">
        <f>IF('Оперативный ввод'!U820="","",'Оперативный ввод'!U820)</f>
        <v/>
      </c>
      <c r="AB820" s="172">
        <f>IF('Оперативный ввод'!V820="","",'Оперативный ввод'!V820)</f>
        <v/>
      </c>
      <c r="AC820" s="172">
        <f>IF('Оперативный ввод'!W820="","",'Оперативный ввод'!W820)</f>
        <v/>
      </c>
      <c r="BB820" s="172" t="n"/>
      <c r="BC820" s="172" t="n"/>
      <c r="BD820" s="205">
        <f>IF(AND(A820="",B820=""),"",IF(AND(P820="ГОТОВО",R820&lt;&gt;"",T820&lt;&gt;"",U820&lt;&gt;"",AA820&lt;&gt;"",AB820&lt;&gt;"",AC820&lt;&gt;"",BB820&lt;&gt;"",BC820&lt;&gt;""),"ГОТОВО","НЕ ГОТОВО"))</f>
        <v/>
      </c>
      <c r="BE820" s="205">
        <f>IF(BD820&lt;&gt;"ГОТОВО","","Полное заключение: "&amp;A820&amp;", скв. "&amp;B820&amp;". МРП: "&amp;E820&amp;" сут. ГНО: "&amp;F820&amp;"; причина: "&amp;U820&amp;"; категория: "&amp;V820&amp;"; решение комиссии: "&amp;BB820&amp;".")</f>
        <v/>
      </c>
      <c r="BF820" s="173">
        <f>IF('Оперативный ввод'!X820="","",'Оперативный ввод'!X820)</f>
        <v/>
      </c>
    </row>
    <row r="821">
      <c r="A821" s="171">
        <f>IF('Оперативный ввод'!A821="","",'Оперативный ввод'!A821)</f>
        <v/>
      </c>
      <c r="B821" s="172">
        <f>IF('Оперативный ввод'!B821="","",'Оперативный ввод'!B821)</f>
        <v/>
      </c>
      <c r="C821" s="270">
        <f>IF('Оперативный ввод'!C821="","",'Оперативный ввод'!C821)</f>
        <v/>
      </c>
      <c r="D821" s="270">
        <f>IF('Оперативный ввод'!D821="","",'Оперативный ввод'!D821)</f>
        <v/>
      </c>
      <c r="E821" s="271">
        <f>IF(OR(C821="",D821=""),"",D821-C821)</f>
        <v/>
      </c>
      <c r="F821" s="172">
        <f>IF('Оперативный ввод'!F821="","",'Оперативный ввод'!F821)</f>
        <v/>
      </c>
      <c r="G821" s="172">
        <f>IF('Оперативный ввод'!G821="","",'Оперативный ввод'!G821)</f>
        <v/>
      </c>
      <c r="H821" s="172">
        <f>IF('Оперативный ввод'!H821="","",'Оперативный ввод'!H821)</f>
        <v/>
      </c>
      <c r="I821" s="172">
        <f>IF('Оперативный ввод'!I821="","",'Оперативный ввод'!I821)</f>
        <v/>
      </c>
      <c r="J821" s="172">
        <f>IF('Оперативный ввод'!J821="","",'Оперативный ввод'!J821)</f>
        <v/>
      </c>
      <c r="K821" s="172">
        <f>IF('Оперативный ввод'!K821="","",'Оперативный ввод'!K821)</f>
        <v/>
      </c>
      <c r="L821" s="172">
        <f>IF('Оперативный ввод'!L821="","",'Оперативный ввод'!L821)</f>
        <v/>
      </c>
      <c r="M821" s="172">
        <f>IF('Оперативный ввод'!M821="","",'Оперативный ввод'!M821)</f>
        <v/>
      </c>
      <c r="N821" s="172">
        <f>IF('Оперативный ввод'!N821="","",'Оперативный ввод'!N821)</f>
        <v/>
      </c>
      <c r="O821" s="172">
        <f>IF('Оперативный ввод'!O821="","",'Оперативный ввод'!O821)</f>
        <v/>
      </c>
      <c r="P821" s="205">
        <f>IF(AND(A821="",B821=""),"",IF(AND(A821&lt;&gt;"",B821&lt;&gt;"",C821&lt;&gt;"",D821&lt;&gt;"",F821&lt;&gt;"",G821&lt;&gt;"",H821&lt;&gt;"",ISERROR(SEARCH("по паспорту",G821)),ISERROR(SEARCH("по паспорту",H821)),I821&lt;&gt;"",J821&lt;&gt;"",K821&lt;&gt;"",L821&lt;&gt;"",M821&lt;&gt;""),"ГОТОВО","НЕ ГОТОВО"))</f>
        <v/>
      </c>
      <c r="Q821" s="205">
        <f>IF(P821&lt;&gt;"ГОТОВО","", "Предварительное заключение: "&amp;A821&amp;", скв. "&amp;B821&amp;". МРП: "&amp;E821&amp;" сут. ГНО: "&amp;F821&amp;", типоразмер "&amp;G821&amp;", марка "&amp;H821&amp;". Событие: "&amp;I821&amp;". Признак: "&amp;J821&amp;". Узел: "&amp;K821&amp;". Предварительная причина: "&amp;L821&amp;". Основное осложнение: "&amp;M821&amp;IF(N821&lt;&gt;"","; сопутствующее: "&amp;N821,"")&amp;IF(O821&lt;&gt;"","; дополнительно: "&amp;O821,"")&amp;".")</f>
        <v/>
      </c>
      <c r="R821" s="172">
        <f>IF('Оперативный ввод'!P821="","",'Оперативный ввод'!P821)</f>
        <v/>
      </c>
      <c r="S821" s="172">
        <f>IF('Оперативный ввод'!Q821="","",'Оперативный ввод'!Q821)</f>
        <v/>
      </c>
      <c r="T821" s="172">
        <f>IF('Оперативный ввод'!R821="","",'Оперативный ввод'!R821)</f>
        <v/>
      </c>
      <c r="U821" s="172">
        <f>IF('Оперативный ввод'!S821="","",'Оперативный ввод'!S821)</f>
        <v/>
      </c>
      <c r="V821" s="172">
        <f>IF('Оперативный ввод'!T821="","",'Оперативный ввод'!T821)</f>
        <v/>
      </c>
      <c r="W821" s="172" t="n"/>
      <c r="X821" s="172" t="n"/>
      <c r="Y821" s="172" t="n"/>
      <c r="Z821" s="172" t="n"/>
      <c r="AA821" s="172">
        <f>IF('Оперативный ввод'!U821="","",'Оперативный ввод'!U821)</f>
        <v/>
      </c>
      <c r="AB821" s="172">
        <f>IF('Оперативный ввод'!V821="","",'Оперативный ввод'!V821)</f>
        <v/>
      </c>
      <c r="AC821" s="172">
        <f>IF('Оперативный ввод'!W821="","",'Оперативный ввод'!W821)</f>
        <v/>
      </c>
      <c r="BB821" s="172" t="n"/>
      <c r="BC821" s="172" t="n"/>
      <c r="BD821" s="205">
        <f>IF(AND(A821="",B821=""),"",IF(AND(P821="ГОТОВО",R821&lt;&gt;"",T821&lt;&gt;"",U821&lt;&gt;"",AA821&lt;&gt;"",AB821&lt;&gt;"",AC821&lt;&gt;"",BB821&lt;&gt;"",BC821&lt;&gt;""),"ГОТОВО","НЕ ГОТОВО"))</f>
        <v/>
      </c>
      <c r="BE821" s="205">
        <f>IF(BD821&lt;&gt;"ГОТОВО","","Полное заключение: "&amp;A821&amp;", скв. "&amp;B821&amp;". МРП: "&amp;E821&amp;" сут. ГНО: "&amp;F821&amp;"; причина: "&amp;U821&amp;"; категория: "&amp;V821&amp;"; решение комиссии: "&amp;BB821&amp;".")</f>
        <v/>
      </c>
      <c r="BF821" s="173">
        <f>IF('Оперативный ввод'!X821="","",'Оперативный ввод'!X821)</f>
        <v/>
      </c>
    </row>
    <row r="822">
      <c r="A822" s="171">
        <f>IF('Оперативный ввод'!A822="","",'Оперативный ввод'!A822)</f>
        <v/>
      </c>
      <c r="B822" s="172">
        <f>IF('Оперативный ввод'!B822="","",'Оперативный ввод'!B822)</f>
        <v/>
      </c>
      <c r="C822" s="270">
        <f>IF('Оперативный ввод'!C822="","",'Оперативный ввод'!C822)</f>
        <v/>
      </c>
      <c r="D822" s="270">
        <f>IF('Оперативный ввод'!D822="","",'Оперативный ввод'!D822)</f>
        <v/>
      </c>
      <c r="E822" s="271">
        <f>IF(OR(C822="",D822=""),"",D822-C822)</f>
        <v/>
      </c>
      <c r="F822" s="172">
        <f>IF('Оперативный ввод'!F822="","",'Оперативный ввод'!F822)</f>
        <v/>
      </c>
      <c r="G822" s="172">
        <f>IF('Оперативный ввод'!G822="","",'Оперативный ввод'!G822)</f>
        <v/>
      </c>
      <c r="H822" s="172">
        <f>IF('Оперативный ввод'!H822="","",'Оперативный ввод'!H822)</f>
        <v/>
      </c>
      <c r="I822" s="172">
        <f>IF('Оперативный ввод'!I822="","",'Оперативный ввод'!I822)</f>
        <v/>
      </c>
      <c r="J822" s="172">
        <f>IF('Оперативный ввод'!J822="","",'Оперативный ввод'!J822)</f>
        <v/>
      </c>
      <c r="K822" s="172">
        <f>IF('Оперативный ввод'!K822="","",'Оперативный ввод'!K822)</f>
        <v/>
      </c>
      <c r="L822" s="172">
        <f>IF('Оперативный ввод'!L822="","",'Оперативный ввод'!L822)</f>
        <v/>
      </c>
      <c r="M822" s="172">
        <f>IF('Оперативный ввод'!M822="","",'Оперативный ввод'!M822)</f>
        <v/>
      </c>
      <c r="N822" s="172">
        <f>IF('Оперативный ввод'!N822="","",'Оперативный ввод'!N822)</f>
        <v/>
      </c>
      <c r="O822" s="172">
        <f>IF('Оперативный ввод'!O822="","",'Оперативный ввод'!O822)</f>
        <v/>
      </c>
      <c r="P822" s="205">
        <f>IF(AND(A822="",B822=""),"",IF(AND(A822&lt;&gt;"",B822&lt;&gt;"",C822&lt;&gt;"",D822&lt;&gt;"",F822&lt;&gt;"",G822&lt;&gt;"",H822&lt;&gt;"",ISERROR(SEARCH("по паспорту",G822)),ISERROR(SEARCH("по паспорту",H822)),I822&lt;&gt;"",J822&lt;&gt;"",K822&lt;&gt;"",L822&lt;&gt;"",M822&lt;&gt;""),"ГОТОВО","НЕ ГОТОВО"))</f>
        <v/>
      </c>
      <c r="Q822" s="205">
        <f>IF(P822&lt;&gt;"ГОТОВО","", "Предварительное заключение: "&amp;A822&amp;", скв. "&amp;B822&amp;". МРП: "&amp;E822&amp;" сут. ГНО: "&amp;F822&amp;", типоразмер "&amp;G822&amp;", марка "&amp;H822&amp;". Событие: "&amp;I822&amp;". Признак: "&amp;J822&amp;". Узел: "&amp;K822&amp;". Предварительная причина: "&amp;L822&amp;". Основное осложнение: "&amp;M822&amp;IF(N822&lt;&gt;"","; сопутствующее: "&amp;N822,"")&amp;IF(O822&lt;&gt;"","; дополнительно: "&amp;O822,"")&amp;".")</f>
        <v/>
      </c>
      <c r="R822" s="172">
        <f>IF('Оперативный ввод'!P822="","",'Оперативный ввод'!P822)</f>
        <v/>
      </c>
      <c r="S822" s="172">
        <f>IF('Оперативный ввод'!Q822="","",'Оперативный ввод'!Q822)</f>
        <v/>
      </c>
      <c r="T822" s="172">
        <f>IF('Оперативный ввод'!R822="","",'Оперативный ввод'!R822)</f>
        <v/>
      </c>
      <c r="U822" s="172">
        <f>IF('Оперативный ввод'!S822="","",'Оперативный ввод'!S822)</f>
        <v/>
      </c>
      <c r="V822" s="172">
        <f>IF('Оперативный ввод'!T822="","",'Оперативный ввод'!T822)</f>
        <v/>
      </c>
      <c r="W822" s="172" t="n"/>
      <c r="X822" s="172" t="n"/>
      <c r="Y822" s="172" t="n"/>
      <c r="Z822" s="172" t="n"/>
      <c r="AA822" s="172">
        <f>IF('Оперативный ввод'!U822="","",'Оперативный ввод'!U822)</f>
        <v/>
      </c>
      <c r="AB822" s="172">
        <f>IF('Оперативный ввод'!V822="","",'Оперативный ввод'!V822)</f>
        <v/>
      </c>
      <c r="AC822" s="172">
        <f>IF('Оперативный ввод'!W822="","",'Оперативный ввод'!W822)</f>
        <v/>
      </c>
      <c r="BB822" s="172" t="n"/>
      <c r="BC822" s="172" t="n"/>
      <c r="BD822" s="205">
        <f>IF(AND(A822="",B822=""),"",IF(AND(P822="ГОТОВО",R822&lt;&gt;"",T822&lt;&gt;"",U822&lt;&gt;"",AA822&lt;&gt;"",AB822&lt;&gt;"",AC822&lt;&gt;"",BB822&lt;&gt;"",BC822&lt;&gt;""),"ГОТОВО","НЕ ГОТОВО"))</f>
        <v/>
      </c>
      <c r="BE822" s="205">
        <f>IF(BD822&lt;&gt;"ГОТОВО","","Полное заключение: "&amp;A822&amp;", скв. "&amp;B822&amp;". МРП: "&amp;E822&amp;" сут. ГНО: "&amp;F822&amp;"; причина: "&amp;U822&amp;"; категория: "&amp;V822&amp;"; решение комиссии: "&amp;BB822&amp;".")</f>
        <v/>
      </c>
      <c r="BF822" s="173">
        <f>IF('Оперативный ввод'!X822="","",'Оперативный ввод'!X822)</f>
        <v/>
      </c>
    </row>
    <row r="823">
      <c r="A823" s="171">
        <f>IF('Оперативный ввод'!A823="","",'Оперативный ввод'!A823)</f>
        <v/>
      </c>
      <c r="B823" s="172">
        <f>IF('Оперативный ввод'!B823="","",'Оперативный ввод'!B823)</f>
        <v/>
      </c>
      <c r="C823" s="270">
        <f>IF('Оперативный ввод'!C823="","",'Оперативный ввод'!C823)</f>
        <v/>
      </c>
      <c r="D823" s="270">
        <f>IF('Оперативный ввод'!D823="","",'Оперативный ввод'!D823)</f>
        <v/>
      </c>
      <c r="E823" s="271">
        <f>IF(OR(C823="",D823=""),"",D823-C823)</f>
        <v/>
      </c>
      <c r="F823" s="172">
        <f>IF('Оперативный ввод'!F823="","",'Оперативный ввод'!F823)</f>
        <v/>
      </c>
      <c r="G823" s="172">
        <f>IF('Оперативный ввод'!G823="","",'Оперативный ввод'!G823)</f>
        <v/>
      </c>
      <c r="H823" s="172">
        <f>IF('Оперативный ввод'!H823="","",'Оперативный ввод'!H823)</f>
        <v/>
      </c>
      <c r="I823" s="172">
        <f>IF('Оперативный ввод'!I823="","",'Оперативный ввод'!I823)</f>
        <v/>
      </c>
      <c r="J823" s="172">
        <f>IF('Оперативный ввод'!J823="","",'Оперативный ввод'!J823)</f>
        <v/>
      </c>
      <c r="K823" s="172">
        <f>IF('Оперативный ввод'!K823="","",'Оперативный ввод'!K823)</f>
        <v/>
      </c>
      <c r="L823" s="172">
        <f>IF('Оперативный ввод'!L823="","",'Оперативный ввод'!L823)</f>
        <v/>
      </c>
      <c r="M823" s="172">
        <f>IF('Оперативный ввод'!M823="","",'Оперативный ввод'!M823)</f>
        <v/>
      </c>
      <c r="N823" s="172">
        <f>IF('Оперативный ввод'!N823="","",'Оперативный ввод'!N823)</f>
        <v/>
      </c>
      <c r="O823" s="172">
        <f>IF('Оперативный ввод'!O823="","",'Оперативный ввод'!O823)</f>
        <v/>
      </c>
      <c r="P823" s="205">
        <f>IF(AND(A823="",B823=""),"",IF(AND(A823&lt;&gt;"",B823&lt;&gt;"",C823&lt;&gt;"",D823&lt;&gt;"",F823&lt;&gt;"",G823&lt;&gt;"",H823&lt;&gt;"",ISERROR(SEARCH("по паспорту",G823)),ISERROR(SEARCH("по паспорту",H823)),I823&lt;&gt;"",J823&lt;&gt;"",K823&lt;&gt;"",L823&lt;&gt;"",M823&lt;&gt;""),"ГОТОВО","НЕ ГОТОВО"))</f>
        <v/>
      </c>
      <c r="Q823" s="205">
        <f>IF(P823&lt;&gt;"ГОТОВО","", "Предварительное заключение: "&amp;A823&amp;", скв. "&amp;B823&amp;". МРП: "&amp;E823&amp;" сут. ГНО: "&amp;F823&amp;", типоразмер "&amp;G823&amp;", марка "&amp;H823&amp;". Событие: "&amp;I823&amp;". Признак: "&amp;J823&amp;". Узел: "&amp;K823&amp;". Предварительная причина: "&amp;L823&amp;". Основное осложнение: "&amp;M823&amp;IF(N823&lt;&gt;"","; сопутствующее: "&amp;N823,"")&amp;IF(O823&lt;&gt;"","; дополнительно: "&amp;O823,"")&amp;".")</f>
        <v/>
      </c>
      <c r="R823" s="172">
        <f>IF('Оперативный ввод'!P823="","",'Оперативный ввод'!P823)</f>
        <v/>
      </c>
      <c r="S823" s="172">
        <f>IF('Оперативный ввод'!Q823="","",'Оперативный ввод'!Q823)</f>
        <v/>
      </c>
      <c r="T823" s="172">
        <f>IF('Оперативный ввод'!R823="","",'Оперативный ввод'!R823)</f>
        <v/>
      </c>
      <c r="U823" s="172">
        <f>IF('Оперативный ввод'!S823="","",'Оперативный ввод'!S823)</f>
        <v/>
      </c>
      <c r="V823" s="172">
        <f>IF('Оперативный ввод'!T823="","",'Оперативный ввод'!T823)</f>
        <v/>
      </c>
      <c r="W823" s="172" t="n"/>
      <c r="X823" s="172" t="n"/>
      <c r="Y823" s="172" t="n"/>
      <c r="Z823" s="172" t="n"/>
      <c r="AA823" s="172">
        <f>IF('Оперативный ввод'!U823="","",'Оперативный ввод'!U823)</f>
        <v/>
      </c>
      <c r="AB823" s="172">
        <f>IF('Оперативный ввод'!V823="","",'Оперативный ввод'!V823)</f>
        <v/>
      </c>
      <c r="AC823" s="172">
        <f>IF('Оперативный ввод'!W823="","",'Оперативный ввод'!W823)</f>
        <v/>
      </c>
      <c r="BB823" s="172" t="n"/>
      <c r="BC823" s="172" t="n"/>
      <c r="BD823" s="205">
        <f>IF(AND(A823="",B823=""),"",IF(AND(P823="ГОТОВО",R823&lt;&gt;"",T823&lt;&gt;"",U823&lt;&gt;"",AA823&lt;&gt;"",AB823&lt;&gt;"",AC823&lt;&gt;"",BB823&lt;&gt;"",BC823&lt;&gt;""),"ГОТОВО","НЕ ГОТОВО"))</f>
        <v/>
      </c>
      <c r="BE823" s="205">
        <f>IF(BD823&lt;&gt;"ГОТОВО","","Полное заключение: "&amp;A823&amp;", скв. "&amp;B823&amp;". МРП: "&amp;E823&amp;" сут. ГНО: "&amp;F823&amp;"; причина: "&amp;U823&amp;"; категория: "&amp;V823&amp;"; решение комиссии: "&amp;BB823&amp;".")</f>
        <v/>
      </c>
      <c r="BF823" s="173">
        <f>IF('Оперативный ввод'!X823="","",'Оперативный ввод'!X823)</f>
        <v/>
      </c>
    </row>
    <row r="824">
      <c r="A824" s="171">
        <f>IF('Оперативный ввод'!A824="","",'Оперативный ввод'!A824)</f>
        <v/>
      </c>
      <c r="B824" s="172">
        <f>IF('Оперативный ввод'!B824="","",'Оперативный ввод'!B824)</f>
        <v/>
      </c>
      <c r="C824" s="270">
        <f>IF('Оперативный ввод'!C824="","",'Оперативный ввод'!C824)</f>
        <v/>
      </c>
      <c r="D824" s="270">
        <f>IF('Оперативный ввод'!D824="","",'Оперативный ввод'!D824)</f>
        <v/>
      </c>
      <c r="E824" s="271">
        <f>IF(OR(C824="",D824=""),"",D824-C824)</f>
        <v/>
      </c>
      <c r="F824" s="172">
        <f>IF('Оперативный ввод'!F824="","",'Оперативный ввод'!F824)</f>
        <v/>
      </c>
      <c r="G824" s="172">
        <f>IF('Оперативный ввод'!G824="","",'Оперативный ввод'!G824)</f>
        <v/>
      </c>
      <c r="H824" s="172">
        <f>IF('Оперативный ввод'!H824="","",'Оперативный ввод'!H824)</f>
        <v/>
      </c>
      <c r="I824" s="172">
        <f>IF('Оперативный ввод'!I824="","",'Оперативный ввод'!I824)</f>
        <v/>
      </c>
      <c r="J824" s="172">
        <f>IF('Оперативный ввод'!J824="","",'Оперативный ввод'!J824)</f>
        <v/>
      </c>
      <c r="K824" s="172">
        <f>IF('Оперативный ввод'!K824="","",'Оперативный ввод'!K824)</f>
        <v/>
      </c>
      <c r="L824" s="172">
        <f>IF('Оперативный ввод'!L824="","",'Оперативный ввод'!L824)</f>
        <v/>
      </c>
      <c r="M824" s="172">
        <f>IF('Оперативный ввод'!M824="","",'Оперативный ввод'!M824)</f>
        <v/>
      </c>
      <c r="N824" s="172">
        <f>IF('Оперативный ввод'!N824="","",'Оперативный ввод'!N824)</f>
        <v/>
      </c>
      <c r="O824" s="172">
        <f>IF('Оперативный ввод'!O824="","",'Оперативный ввод'!O824)</f>
        <v/>
      </c>
      <c r="P824" s="205">
        <f>IF(AND(A824="",B824=""),"",IF(AND(A824&lt;&gt;"",B824&lt;&gt;"",C824&lt;&gt;"",D824&lt;&gt;"",F824&lt;&gt;"",G824&lt;&gt;"",H824&lt;&gt;"",ISERROR(SEARCH("по паспорту",G824)),ISERROR(SEARCH("по паспорту",H824)),I824&lt;&gt;"",J824&lt;&gt;"",K824&lt;&gt;"",L824&lt;&gt;"",M824&lt;&gt;""),"ГОТОВО","НЕ ГОТОВО"))</f>
        <v/>
      </c>
      <c r="Q824" s="205">
        <f>IF(P824&lt;&gt;"ГОТОВО","", "Предварительное заключение: "&amp;A824&amp;", скв. "&amp;B824&amp;". МРП: "&amp;E824&amp;" сут. ГНО: "&amp;F824&amp;", типоразмер "&amp;G824&amp;", марка "&amp;H824&amp;". Событие: "&amp;I824&amp;". Признак: "&amp;J824&amp;". Узел: "&amp;K824&amp;". Предварительная причина: "&amp;L824&amp;". Основное осложнение: "&amp;M824&amp;IF(N824&lt;&gt;"","; сопутствующее: "&amp;N824,"")&amp;IF(O824&lt;&gt;"","; дополнительно: "&amp;O824,"")&amp;".")</f>
        <v/>
      </c>
      <c r="R824" s="172">
        <f>IF('Оперативный ввод'!P824="","",'Оперативный ввод'!P824)</f>
        <v/>
      </c>
      <c r="S824" s="172">
        <f>IF('Оперативный ввод'!Q824="","",'Оперативный ввод'!Q824)</f>
        <v/>
      </c>
      <c r="T824" s="172">
        <f>IF('Оперативный ввод'!R824="","",'Оперативный ввод'!R824)</f>
        <v/>
      </c>
      <c r="U824" s="172">
        <f>IF('Оперативный ввод'!S824="","",'Оперативный ввод'!S824)</f>
        <v/>
      </c>
      <c r="V824" s="172">
        <f>IF('Оперативный ввод'!T824="","",'Оперативный ввод'!T824)</f>
        <v/>
      </c>
      <c r="W824" s="172" t="n"/>
      <c r="X824" s="172" t="n"/>
      <c r="Y824" s="172" t="n"/>
      <c r="Z824" s="172" t="n"/>
      <c r="AA824" s="172">
        <f>IF('Оперативный ввод'!U824="","",'Оперативный ввод'!U824)</f>
        <v/>
      </c>
      <c r="AB824" s="172">
        <f>IF('Оперативный ввод'!V824="","",'Оперативный ввод'!V824)</f>
        <v/>
      </c>
      <c r="AC824" s="172">
        <f>IF('Оперативный ввод'!W824="","",'Оперативный ввод'!W824)</f>
        <v/>
      </c>
      <c r="BB824" s="172" t="n"/>
      <c r="BC824" s="172" t="n"/>
      <c r="BD824" s="205">
        <f>IF(AND(A824="",B824=""),"",IF(AND(P824="ГОТОВО",R824&lt;&gt;"",T824&lt;&gt;"",U824&lt;&gt;"",AA824&lt;&gt;"",AB824&lt;&gt;"",AC824&lt;&gt;"",BB824&lt;&gt;"",BC824&lt;&gt;""),"ГОТОВО","НЕ ГОТОВО"))</f>
        <v/>
      </c>
      <c r="BE824" s="205">
        <f>IF(BD824&lt;&gt;"ГОТОВО","","Полное заключение: "&amp;A824&amp;", скв. "&amp;B824&amp;". МРП: "&amp;E824&amp;" сут. ГНО: "&amp;F824&amp;"; причина: "&amp;U824&amp;"; категория: "&amp;V824&amp;"; решение комиссии: "&amp;BB824&amp;".")</f>
        <v/>
      </c>
      <c r="BF824" s="173">
        <f>IF('Оперативный ввод'!X824="","",'Оперативный ввод'!X824)</f>
        <v/>
      </c>
    </row>
    <row r="825">
      <c r="A825" s="171">
        <f>IF('Оперативный ввод'!A825="","",'Оперативный ввод'!A825)</f>
        <v/>
      </c>
      <c r="B825" s="172">
        <f>IF('Оперативный ввод'!B825="","",'Оперативный ввод'!B825)</f>
        <v/>
      </c>
      <c r="C825" s="270">
        <f>IF('Оперативный ввод'!C825="","",'Оперативный ввод'!C825)</f>
        <v/>
      </c>
      <c r="D825" s="270">
        <f>IF('Оперативный ввод'!D825="","",'Оперативный ввод'!D825)</f>
        <v/>
      </c>
      <c r="E825" s="271">
        <f>IF(OR(C825="",D825=""),"",D825-C825)</f>
        <v/>
      </c>
      <c r="F825" s="172">
        <f>IF('Оперативный ввод'!F825="","",'Оперативный ввод'!F825)</f>
        <v/>
      </c>
      <c r="G825" s="172">
        <f>IF('Оперативный ввод'!G825="","",'Оперативный ввод'!G825)</f>
        <v/>
      </c>
      <c r="H825" s="172">
        <f>IF('Оперативный ввод'!H825="","",'Оперативный ввод'!H825)</f>
        <v/>
      </c>
      <c r="I825" s="172">
        <f>IF('Оперативный ввод'!I825="","",'Оперативный ввод'!I825)</f>
        <v/>
      </c>
      <c r="J825" s="172">
        <f>IF('Оперативный ввод'!J825="","",'Оперативный ввод'!J825)</f>
        <v/>
      </c>
      <c r="K825" s="172">
        <f>IF('Оперативный ввод'!K825="","",'Оперативный ввод'!K825)</f>
        <v/>
      </c>
      <c r="L825" s="172">
        <f>IF('Оперативный ввод'!L825="","",'Оперативный ввод'!L825)</f>
        <v/>
      </c>
      <c r="M825" s="172">
        <f>IF('Оперативный ввод'!M825="","",'Оперативный ввод'!M825)</f>
        <v/>
      </c>
      <c r="N825" s="172">
        <f>IF('Оперативный ввод'!N825="","",'Оперативный ввод'!N825)</f>
        <v/>
      </c>
      <c r="O825" s="172">
        <f>IF('Оперативный ввод'!O825="","",'Оперативный ввод'!O825)</f>
        <v/>
      </c>
      <c r="P825" s="205">
        <f>IF(AND(A825="",B825=""),"",IF(AND(A825&lt;&gt;"",B825&lt;&gt;"",C825&lt;&gt;"",D825&lt;&gt;"",F825&lt;&gt;"",G825&lt;&gt;"",H825&lt;&gt;"",ISERROR(SEARCH("по паспорту",G825)),ISERROR(SEARCH("по паспорту",H825)),I825&lt;&gt;"",J825&lt;&gt;"",K825&lt;&gt;"",L825&lt;&gt;"",M825&lt;&gt;""),"ГОТОВО","НЕ ГОТОВО"))</f>
        <v/>
      </c>
      <c r="Q825" s="205">
        <f>IF(P825&lt;&gt;"ГОТОВО","", "Предварительное заключение: "&amp;A825&amp;", скв. "&amp;B825&amp;". МРП: "&amp;E825&amp;" сут. ГНО: "&amp;F825&amp;", типоразмер "&amp;G825&amp;", марка "&amp;H825&amp;". Событие: "&amp;I825&amp;". Признак: "&amp;J825&amp;". Узел: "&amp;K825&amp;". Предварительная причина: "&amp;L825&amp;". Основное осложнение: "&amp;M825&amp;IF(N825&lt;&gt;"","; сопутствующее: "&amp;N825,"")&amp;IF(O825&lt;&gt;"","; дополнительно: "&amp;O825,"")&amp;".")</f>
        <v/>
      </c>
      <c r="R825" s="172">
        <f>IF('Оперативный ввод'!P825="","",'Оперативный ввод'!P825)</f>
        <v/>
      </c>
      <c r="S825" s="172">
        <f>IF('Оперативный ввод'!Q825="","",'Оперативный ввод'!Q825)</f>
        <v/>
      </c>
      <c r="T825" s="172">
        <f>IF('Оперативный ввод'!R825="","",'Оперативный ввод'!R825)</f>
        <v/>
      </c>
      <c r="U825" s="172">
        <f>IF('Оперативный ввод'!S825="","",'Оперативный ввод'!S825)</f>
        <v/>
      </c>
      <c r="V825" s="172">
        <f>IF('Оперативный ввод'!T825="","",'Оперативный ввод'!T825)</f>
        <v/>
      </c>
      <c r="W825" s="172" t="n"/>
      <c r="X825" s="172" t="n"/>
      <c r="Y825" s="172" t="n"/>
      <c r="Z825" s="172" t="n"/>
      <c r="AA825" s="172">
        <f>IF('Оперативный ввод'!U825="","",'Оперативный ввод'!U825)</f>
        <v/>
      </c>
      <c r="AB825" s="172">
        <f>IF('Оперативный ввод'!V825="","",'Оперативный ввод'!V825)</f>
        <v/>
      </c>
      <c r="AC825" s="172">
        <f>IF('Оперативный ввод'!W825="","",'Оперативный ввод'!W825)</f>
        <v/>
      </c>
      <c r="BB825" s="172" t="n"/>
      <c r="BC825" s="172" t="n"/>
      <c r="BD825" s="205">
        <f>IF(AND(A825="",B825=""),"",IF(AND(P825="ГОТОВО",R825&lt;&gt;"",T825&lt;&gt;"",U825&lt;&gt;"",AA825&lt;&gt;"",AB825&lt;&gt;"",AC825&lt;&gt;"",BB825&lt;&gt;"",BC825&lt;&gt;""),"ГОТОВО","НЕ ГОТОВО"))</f>
        <v/>
      </c>
      <c r="BE825" s="205">
        <f>IF(BD825&lt;&gt;"ГОТОВО","","Полное заключение: "&amp;A825&amp;", скв. "&amp;B825&amp;". МРП: "&amp;E825&amp;" сут. ГНО: "&amp;F825&amp;"; причина: "&amp;U825&amp;"; категория: "&amp;V825&amp;"; решение комиссии: "&amp;BB825&amp;".")</f>
        <v/>
      </c>
      <c r="BF825" s="173">
        <f>IF('Оперативный ввод'!X825="","",'Оперативный ввод'!X825)</f>
        <v/>
      </c>
    </row>
    <row r="826">
      <c r="A826" s="171">
        <f>IF('Оперативный ввод'!A826="","",'Оперативный ввод'!A826)</f>
        <v/>
      </c>
      <c r="B826" s="172">
        <f>IF('Оперативный ввод'!B826="","",'Оперативный ввод'!B826)</f>
        <v/>
      </c>
      <c r="C826" s="270">
        <f>IF('Оперативный ввод'!C826="","",'Оперативный ввод'!C826)</f>
        <v/>
      </c>
      <c r="D826" s="270">
        <f>IF('Оперативный ввод'!D826="","",'Оперативный ввод'!D826)</f>
        <v/>
      </c>
      <c r="E826" s="271">
        <f>IF(OR(C826="",D826=""),"",D826-C826)</f>
        <v/>
      </c>
      <c r="F826" s="172">
        <f>IF('Оперативный ввод'!F826="","",'Оперативный ввод'!F826)</f>
        <v/>
      </c>
      <c r="G826" s="172">
        <f>IF('Оперативный ввод'!G826="","",'Оперативный ввод'!G826)</f>
        <v/>
      </c>
      <c r="H826" s="172">
        <f>IF('Оперативный ввод'!H826="","",'Оперативный ввод'!H826)</f>
        <v/>
      </c>
      <c r="I826" s="172">
        <f>IF('Оперативный ввод'!I826="","",'Оперативный ввод'!I826)</f>
        <v/>
      </c>
      <c r="J826" s="172">
        <f>IF('Оперативный ввод'!J826="","",'Оперативный ввод'!J826)</f>
        <v/>
      </c>
      <c r="K826" s="172">
        <f>IF('Оперативный ввод'!K826="","",'Оперативный ввод'!K826)</f>
        <v/>
      </c>
      <c r="L826" s="172">
        <f>IF('Оперативный ввод'!L826="","",'Оперативный ввод'!L826)</f>
        <v/>
      </c>
      <c r="M826" s="172">
        <f>IF('Оперативный ввод'!M826="","",'Оперативный ввод'!M826)</f>
        <v/>
      </c>
      <c r="N826" s="172">
        <f>IF('Оперативный ввод'!N826="","",'Оперативный ввод'!N826)</f>
        <v/>
      </c>
      <c r="O826" s="172">
        <f>IF('Оперативный ввод'!O826="","",'Оперативный ввод'!O826)</f>
        <v/>
      </c>
      <c r="P826" s="205">
        <f>IF(AND(A826="",B826=""),"",IF(AND(A826&lt;&gt;"",B826&lt;&gt;"",C826&lt;&gt;"",D826&lt;&gt;"",F826&lt;&gt;"",G826&lt;&gt;"",H826&lt;&gt;"",ISERROR(SEARCH("по паспорту",G826)),ISERROR(SEARCH("по паспорту",H826)),I826&lt;&gt;"",J826&lt;&gt;"",K826&lt;&gt;"",L826&lt;&gt;"",M826&lt;&gt;""),"ГОТОВО","НЕ ГОТОВО"))</f>
        <v/>
      </c>
      <c r="Q826" s="205">
        <f>IF(P826&lt;&gt;"ГОТОВО","", "Предварительное заключение: "&amp;A826&amp;", скв. "&amp;B826&amp;". МРП: "&amp;E826&amp;" сут. ГНО: "&amp;F826&amp;", типоразмер "&amp;G826&amp;", марка "&amp;H826&amp;". Событие: "&amp;I826&amp;". Признак: "&amp;J826&amp;". Узел: "&amp;K826&amp;". Предварительная причина: "&amp;L826&amp;". Основное осложнение: "&amp;M826&amp;IF(N826&lt;&gt;"","; сопутствующее: "&amp;N826,"")&amp;IF(O826&lt;&gt;"","; дополнительно: "&amp;O826,"")&amp;".")</f>
        <v/>
      </c>
      <c r="R826" s="172">
        <f>IF('Оперативный ввод'!P826="","",'Оперативный ввод'!P826)</f>
        <v/>
      </c>
      <c r="S826" s="172">
        <f>IF('Оперативный ввод'!Q826="","",'Оперативный ввод'!Q826)</f>
        <v/>
      </c>
      <c r="T826" s="172">
        <f>IF('Оперативный ввод'!R826="","",'Оперативный ввод'!R826)</f>
        <v/>
      </c>
      <c r="U826" s="172">
        <f>IF('Оперативный ввод'!S826="","",'Оперативный ввод'!S826)</f>
        <v/>
      </c>
      <c r="V826" s="172">
        <f>IF('Оперативный ввод'!T826="","",'Оперативный ввод'!T826)</f>
        <v/>
      </c>
      <c r="W826" s="172" t="n"/>
      <c r="X826" s="172" t="n"/>
      <c r="Y826" s="172" t="n"/>
      <c r="Z826" s="172" t="n"/>
      <c r="AA826" s="172">
        <f>IF('Оперативный ввод'!U826="","",'Оперативный ввод'!U826)</f>
        <v/>
      </c>
      <c r="AB826" s="172">
        <f>IF('Оперативный ввод'!V826="","",'Оперативный ввод'!V826)</f>
        <v/>
      </c>
      <c r="AC826" s="172">
        <f>IF('Оперативный ввод'!W826="","",'Оперативный ввод'!W826)</f>
        <v/>
      </c>
      <c r="BB826" s="172" t="n"/>
      <c r="BC826" s="172" t="n"/>
      <c r="BD826" s="205">
        <f>IF(AND(A826="",B826=""),"",IF(AND(P826="ГОТОВО",R826&lt;&gt;"",T826&lt;&gt;"",U826&lt;&gt;"",AA826&lt;&gt;"",AB826&lt;&gt;"",AC826&lt;&gt;"",BB826&lt;&gt;"",BC826&lt;&gt;""),"ГОТОВО","НЕ ГОТОВО"))</f>
        <v/>
      </c>
      <c r="BE826" s="205">
        <f>IF(BD826&lt;&gt;"ГОТОВО","","Полное заключение: "&amp;A826&amp;", скв. "&amp;B826&amp;". МРП: "&amp;E826&amp;" сут. ГНО: "&amp;F826&amp;"; причина: "&amp;U826&amp;"; категория: "&amp;V826&amp;"; решение комиссии: "&amp;BB826&amp;".")</f>
        <v/>
      </c>
      <c r="BF826" s="173">
        <f>IF('Оперативный ввод'!X826="","",'Оперативный ввод'!X826)</f>
        <v/>
      </c>
    </row>
    <row r="827">
      <c r="A827" s="171">
        <f>IF('Оперативный ввод'!A827="","",'Оперативный ввод'!A827)</f>
        <v/>
      </c>
      <c r="B827" s="172">
        <f>IF('Оперативный ввод'!B827="","",'Оперативный ввод'!B827)</f>
        <v/>
      </c>
      <c r="C827" s="270">
        <f>IF('Оперативный ввод'!C827="","",'Оперативный ввод'!C827)</f>
        <v/>
      </c>
      <c r="D827" s="270">
        <f>IF('Оперативный ввод'!D827="","",'Оперативный ввод'!D827)</f>
        <v/>
      </c>
      <c r="E827" s="271">
        <f>IF(OR(C827="",D827=""),"",D827-C827)</f>
        <v/>
      </c>
      <c r="F827" s="172">
        <f>IF('Оперативный ввод'!F827="","",'Оперативный ввод'!F827)</f>
        <v/>
      </c>
      <c r="G827" s="172">
        <f>IF('Оперативный ввод'!G827="","",'Оперативный ввод'!G827)</f>
        <v/>
      </c>
      <c r="H827" s="172">
        <f>IF('Оперативный ввод'!H827="","",'Оперативный ввод'!H827)</f>
        <v/>
      </c>
      <c r="I827" s="172">
        <f>IF('Оперативный ввод'!I827="","",'Оперативный ввод'!I827)</f>
        <v/>
      </c>
      <c r="J827" s="172">
        <f>IF('Оперативный ввод'!J827="","",'Оперативный ввод'!J827)</f>
        <v/>
      </c>
      <c r="K827" s="172">
        <f>IF('Оперативный ввод'!K827="","",'Оперативный ввод'!K827)</f>
        <v/>
      </c>
      <c r="L827" s="172">
        <f>IF('Оперативный ввод'!L827="","",'Оперативный ввод'!L827)</f>
        <v/>
      </c>
      <c r="M827" s="172">
        <f>IF('Оперативный ввод'!M827="","",'Оперативный ввод'!M827)</f>
        <v/>
      </c>
      <c r="N827" s="172">
        <f>IF('Оперативный ввод'!N827="","",'Оперативный ввод'!N827)</f>
        <v/>
      </c>
      <c r="O827" s="172">
        <f>IF('Оперативный ввод'!O827="","",'Оперативный ввод'!O827)</f>
        <v/>
      </c>
      <c r="P827" s="205">
        <f>IF(AND(A827="",B827=""),"",IF(AND(A827&lt;&gt;"",B827&lt;&gt;"",C827&lt;&gt;"",D827&lt;&gt;"",F827&lt;&gt;"",G827&lt;&gt;"",H827&lt;&gt;"",ISERROR(SEARCH("по паспорту",G827)),ISERROR(SEARCH("по паспорту",H827)),I827&lt;&gt;"",J827&lt;&gt;"",K827&lt;&gt;"",L827&lt;&gt;"",M827&lt;&gt;""),"ГОТОВО","НЕ ГОТОВО"))</f>
        <v/>
      </c>
      <c r="Q827" s="205">
        <f>IF(P827&lt;&gt;"ГОТОВО","", "Предварительное заключение: "&amp;A827&amp;", скв. "&amp;B827&amp;". МРП: "&amp;E827&amp;" сут. ГНО: "&amp;F827&amp;", типоразмер "&amp;G827&amp;", марка "&amp;H827&amp;". Событие: "&amp;I827&amp;". Признак: "&amp;J827&amp;". Узел: "&amp;K827&amp;". Предварительная причина: "&amp;L827&amp;". Основное осложнение: "&amp;M827&amp;IF(N827&lt;&gt;"","; сопутствующее: "&amp;N827,"")&amp;IF(O827&lt;&gt;"","; дополнительно: "&amp;O827,"")&amp;".")</f>
        <v/>
      </c>
      <c r="R827" s="172">
        <f>IF('Оперативный ввод'!P827="","",'Оперативный ввод'!P827)</f>
        <v/>
      </c>
      <c r="S827" s="172">
        <f>IF('Оперативный ввод'!Q827="","",'Оперативный ввод'!Q827)</f>
        <v/>
      </c>
      <c r="T827" s="172">
        <f>IF('Оперативный ввод'!R827="","",'Оперативный ввод'!R827)</f>
        <v/>
      </c>
      <c r="U827" s="172">
        <f>IF('Оперативный ввод'!S827="","",'Оперативный ввод'!S827)</f>
        <v/>
      </c>
      <c r="V827" s="172">
        <f>IF('Оперативный ввод'!T827="","",'Оперативный ввод'!T827)</f>
        <v/>
      </c>
      <c r="W827" s="172" t="n"/>
      <c r="X827" s="172" t="n"/>
      <c r="Y827" s="172" t="n"/>
      <c r="Z827" s="172" t="n"/>
      <c r="AA827" s="172">
        <f>IF('Оперативный ввод'!U827="","",'Оперативный ввод'!U827)</f>
        <v/>
      </c>
      <c r="AB827" s="172">
        <f>IF('Оперативный ввод'!V827="","",'Оперативный ввод'!V827)</f>
        <v/>
      </c>
      <c r="AC827" s="172">
        <f>IF('Оперативный ввод'!W827="","",'Оперативный ввод'!W827)</f>
        <v/>
      </c>
      <c r="BB827" s="172" t="n"/>
      <c r="BC827" s="172" t="n"/>
      <c r="BD827" s="205">
        <f>IF(AND(A827="",B827=""),"",IF(AND(P827="ГОТОВО",R827&lt;&gt;"",T827&lt;&gt;"",U827&lt;&gt;"",AA827&lt;&gt;"",AB827&lt;&gt;"",AC827&lt;&gt;"",BB827&lt;&gt;"",BC827&lt;&gt;""),"ГОТОВО","НЕ ГОТОВО"))</f>
        <v/>
      </c>
      <c r="BE827" s="205">
        <f>IF(BD827&lt;&gt;"ГОТОВО","","Полное заключение: "&amp;A827&amp;", скв. "&amp;B827&amp;". МРП: "&amp;E827&amp;" сут. ГНО: "&amp;F827&amp;"; причина: "&amp;U827&amp;"; категория: "&amp;V827&amp;"; решение комиссии: "&amp;BB827&amp;".")</f>
        <v/>
      </c>
      <c r="BF827" s="173">
        <f>IF('Оперативный ввод'!X827="","",'Оперативный ввод'!X827)</f>
        <v/>
      </c>
    </row>
    <row r="828">
      <c r="A828" s="171">
        <f>IF('Оперативный ввод'!A828="","",'Оперативный ввод'!A828)</f>
        <v/>
      </c>
      <c r="B828" s="172">
        <f>IF('Оперативный ввод'!B828="","",'Оперативный ввод'!B828)</f>
        <v/>
      </c>
      <c r="C828" s="270">
        <f>IF('Оперативный ввод'!C828="","",'Оперативный ввод'!C828)</f>
        <v/>
      </c>
      <c r="D828" s="270">
        <f>IF('Оперативный ввод'!D828="","",'Оперативный ввод'!D828)</f>
        <v/>
      </c>
      <c r="E828" s="271">
        <f>IF(OR(C828="",D828=""),"",D828-C828)</f>
        <v/>
      </c>
      <c r="F828" s="172">
        <f>IF('Оперативный ввод'!F828="","",'Оперативный ввод'!F828)</f>
        <v/>
      </c>
      <c r="G828" s="172">
        <f>IF('Оперативный ввод'!G828="","",'Оперативный ввод'!G828)</f>
        <v/>
      </c>
      <c r="H828" s="172">
        <f>IF('Оперативный ввод'!H828="","",'Оперативный ввод'!H828)</f>
        <v/>
      </c>
      <c r="I828" s="172">
        <f>IF('Оперативный ввод'!I828="","",'Оперативный ввод'!I828)</f>
        <v/>
      </c>
      <c r="J828" s="172">
        <f>IF('Оперативный ввод'!J828="","",'Оперативный ввод'!J828)</f>
        <v/>
      </c>
      <c r="K828" s="172">
        <f>IF('Оперативный ввод'!K828="","",'Оперативный ввод'!K828)</f>
        <v/>
      </c>
      <c r="L828" s="172">
        <f>IF('Оперативный ввод'!L828="","",'Оперативный ввод'!L828)</f>
        <v/>
      </c>
      <c r="M828" s="172">
        <f>IF('Оперативный ввод'!M828="","",'Оперативный ввод'!M828)</f>
        <v/>
      </c>
      <c r="N828" s="172">
        <f>IF('Оперативный ввод'!N828="","",'Оперативный ввод'!N828)</f>
        <v/>
      </c>
      <c r="O828" s="172">
        <f>IF('Оперативный ввод'!O828="","",'Оперативный ввод'!O828)</f>
        <v/>
      </c>
      <c r="P828" s="205">
        <f>IF(AND(A828="",B828=""),"",IF(AND(A828&lt;&gt;"",B828&lt;&gt;"",C828&lt;&gt;"",D828&lt;&gt;"",F828&lt;&gt;"",G828&lt;&gt;"",H828&lt;&gt;"",ISERROR(SEARCH("по паспорту",G828)),ISERROR(SEARCH("по паспорту",H828)),I828&lt;&gt;"",J828&lt;&gt;"",K828&lt;&gt;"",L828&lt;&gt;"",M828&lt;&gt;""),"ГОТОВО","НЕ ГОТОВО"))</f>
        <v/>
      </c>
      <c r="Q828" s="205">
        <f>IF(P828&lt;&gt;"ГОТОВО","", "Предварительное заключение: "&amp;A828&amp;", скв. "&amp;B828&amp;". МРП: "&amp;E828&amp;" сут. ГНО: "&amp;F828&amp;", типоразмер "&amp;G828&amp;", марка "&amp;H828&amp;". Событие: "&amp;I828&amp;". Признак: "&amp;J828&amp;". Узел: "&amp;K828&amp;". Предварительная причина: "&amp;L828&amp;". Основное осложнение: "&amp;M828&amp;IF(N828&lt;&gt;"","; сопутствующее: "&amp;N828,"")&amp;IF(O828&lt;&gt;"","; дополнительно: "&amp;O828,"")&amp;".")</f>
        <v/>
      </c>
      <c r="R828" s="172">
        <f>IF('Оперативный ввод'!P828="","",'Оперативный ввод'!P828)</f>
        <v/>
      </c>
      <c r="S828" s="172">
        <f>IF('Оперативный ввод'!Q828="","",'Оперативный ввод'!Q828)</f>
        <v/>
      </c>
      <c r="T828" s="172">
        <f>IF('Оперативный ввод'!R828="","",'Оперативный ввод'!R828)</f>
        <v/>
      </c>
      <c r="U828" s="172">
        <f>IF('Оперативный ввод'!S828="","",'Оперативный ввод'!S828)</f>
        <v/>
      </c>
      <c r="V828" s="172">
        <f>IF('Оперативный ввод'!T828="","",'Оперативный ввод'!T828)</f>
        <v/>
      </c>
      <c r="W828" s="172" t="n"/>
      <c r="X828" s="172" t="n"/>
      <c r="Y828" s="172" t="n"/>
      <c r="Z828" s="172" t="n"/>
      <c r="AA828" s="172">
        <f>IF('Оперативный ввод'!U828="","",'Оперативный ввод'!U828)</f>
        <v/>
      </c>
      <c r="AB828" s="172">
        <f>IF('Оперативный ввод'!V828="","",'Оперативный ввод'!V828)</f>
        <v/>
      </c>
      <c r="AC828" s="172">
        <f>IF('Оперативный ввод'!W828="","",'Оперативный ввод'!W828)</f>
        <v/>
      </c>
      <c r="BB828" s="172" t="n"/>
      <c r="BC828" s="172" t="n"/>
      <c r="BD828" s="205">
        <f>IF(AND(A828="",B828=""),"",IF(AND(P828="ГОТОВО",R828&lt;&gt;"",T828&lt;&gt;"",U828&lt;&gt;"",AA828&lt;&gt;"",AB828&lt;&gt;"",AC828&lt;&gt;"",BB828&lt;&gt;"",BC828&lt;&gt;""),"ГОТОВО","НЕ ГОТОВО"))</f>
        <v/>
      </c>
      <c r="BE828" s="205">
        <f>IF(BD828&lt;&gt;"ГОТОВО","","Полное заключение: "&amp;A828&amp;", скв. "&amp;B828&amp;". МРП: "&amp;E828&amp;" сут. ГНО: "&amp;F828&amp;"; причина: "&amp;U828&amp;"; категория: "&amp;V828&amp;"; решение комиссии: "&amp;BB828&amp;".")</f>
        <v/>
      </c>
      <c r="BF828" s="173">
        <f>IF('Оперативный ввод'!X828="","",'Оперативный ввод'!X828)</f>
        <v/>
      </c>
    </row>
    <row r="829">
      <c r="A829" s="171">
        <f>IF('Оперативный ввод'!A829="","",'Оперативный ввод'!A829)</f>
        <v/>
      </c>
      <c r="B829" s="172">
        <f>IF('Оперативный ввод'!B829="","",'Оперативный ввод'!B829)</f>
        <v/>
      </c>
      <c r="C829" s="270">
        <f>IF('Оперативный ввод'!C829="","",'Оперативный ввод'!C829)</f>
        <v/>
      </c>
      <c r="D829" s="270">
        <f>IF('Оперативный ввод'!D829="","",'Оперативный ввод'!D829)</f>
        <v/>
      </c>
      <c r="E829" s="271">
        <f>IF(OR(C829="",D829=""),"",D829-C829)</f>
        <v/>
      </c>
      <c r="F829" s="172">
        <f>IF('Оперативный ввод'!F829="","",'Оперативный ввод'!F829)</f>
        <v/>
      </c>
      <c r="G829" s="172">
        <f>IF('Оперативный ввод'!G829="","",'Оперативный ввод'!G829)</f>
        <v/>
      </c>
      <c r="H829" s="172">
        <f>IF('Оперативный ввод'!H829="","",'Оперативный ввод'!H829)</f>
        <v/>
      </c>
      <c r="I829" s="172">
        <f>IF('Оперативный ввод'!I829="","",'Оперативный ввод'!I829)</f>
        <v/>
      </c>
      <c r="J829" s="172">
        <f>IF('Оперативный ввод'!J829="","",'Оперативный ввод'!J829)</f>
        <v/>
      </c>
      <c r="K829" s="172">
        <f>IF('Оперативный ввод'!K829="","",'Оперативный ввод'!K829)</f>
        <v/>
      </c>
      <c r="L829" s="172">
        <f>IF('Оперативный ввод'!L829="","",'Оперативный ввод'!L829)</f>
        <v/>
      </c>
      <c r="M829" s="172">
        <f>IF('Оперативный ввод'!M829="","",'Оперативный ввод'!M829)</f>
        <v/>
      </c>
      <c r="N829" s="172">
        <f>IF('Оперативный ввод'!N829="","",'Оперативный ввод'!N829)</f>
        <v/>
      </c>
      <c r="O829" s="172">
        <f>IF('Оперативный ввод'!O829="","",'Оперативный ввод'!O829)</f>
        <v/>
      </c>
      <c r="P829" s="205">
        <f>IF(AND(A829="",B829=""),"",IF(AND(A829&lt;&gt;"",B829&lt;&gt;"",C829&lt;&gt;"",D829&lt;&gt;"",F829&lt;&gt;"",G829&lt;&gt;"",H829&lt;&gt;"",ISERROR(SEARCH("по паспорту",G829)),ISERROR(SEARCH("по паспорту",H829)),I829&lt;&gt;"",J829&lt;&gt;"",K829&lt;&gt;"",L829&lt;&gt;"",M829&lt;&gt;""),"ГОТОВО","НЕ ГОТОВО"))</f>
        <v/>
      </c>
      <c r="Q829" s="205">
        <f>IF(P829&lt;&gt;"ГОТОВО","", "Предварительное заключение: "&amp;A829&amp;", скв. "&amp;B829&amp;". МРП: "&amp;E829&amp;" сут. ГНО: "&amp;F829&amp;", типоразмер "&amp;G829&amp;", марка "&amp;H829&amp;". Событие: "&amp;I829&amp;". Признак: "&amp;J829&amp;". Узел: "&amp;K829&amp;". Предварительная причина: "&amp;L829&amp;". Основное осложнение: "&amp;M829&amp;IF(N829&lt;&gt;"","; сопутствующее: "&amp;N829,"")&amp;IF(O829&lt;&gt;"","; дополнительно: "&amp;O829,"")&amp;".")</f>
        <v/>
      </c>
      <c r="R829" s="172">
        <f>IF('Оперативный ввод'!P829="","",'Оперативный ввод'!P829)</f>
        <v/>
      </c>
      <c r="S829" s="172">
        <f>IF('Оперативный ввод'!Q829="","",'Оперативный ввод'!Q829)</f>
        <v/>
      </c>
      <c r="T829" s="172">
        <f>IF('Оперативный ввод'!R829="","",'Оперативный ввод'!R829)</f>
        <v/>
      </c>
      <c r="U829" s="172">
        <f>IF('Оперативный ввод'!S829="","",'Оперативный ввод'!S829)</f>
        <v/>
      </c>
      <c r="V829" s="172">
        <f>IF('Оперативный ввод'!T829="","",'Оперативный ввод'!T829)</f>
        <v/>
      </c>
      <c r="W829" s="172" t="n"/>
      <c r="X829" s="172" t="n"/>
      <c r="Y829" s="172" t="n"/>
      <c r="Z829" s="172" t="n"/>
      <c r="AA829" s="172">
        <f>IF('Оперативный ввод'!U829="","",'Оперативный ввод'!U829)</f>
        <v/>
      </c>
      <c r="AB829" s="172">
        <f>IF('Оперативный ввод'!V829="","",'Оперативный ввод'!V829)</f>
        <v/>
      </c>
      <c r="AC829" s="172">
        <f>IF('Оперативный ввод'!W829="","",'Оперативный ввод'!W829)</f>
        <v/>
      </c>
      <c r="BB829" s="172" t="n"/>
      <c r="BC829" s="172" t="n"/>
      <c r="BD829" s="205">
        <f>IF(AND(A829="",B829=""),"",IF(AND(P829="ГОТОВО",R829&lt;&gt;"",T829&lt;&gt;"",U829&lt;&gt;"",AA829&lt;&gt;"",AB829&lt;&gt;"",AC829&lt;&gt;"",BB829&lt;&gt;"",BC829&lt;&gt;""),"ГОТОВО","НЕ ГОТОВО"))</f>
        <v/>
      </c>
      <c r="BE829" s="205">
        <f>IF(BD829&lt;&gt;"ГОТОВО","","Полное заключение: "&amp;A829&amp;", скв. "&amp;B829&amp;". МРП: "&amp;E829&amp;" сут. ГНО: "&amp;F829&amp;"; причина: "&amp;U829&amp;"; категория: "&amp;V829&amp;"; решение комиссии: "&amp;BB829&amp;".")</f>
        <v/>
      </c>
      <c r="BF829" s="173">
        <f>IF('Оперативный ввод'!X829="","",'Оперативный ввод'!X829)</f>
        <v/>
      </c>
    </row>
    <row r="830">
      <c r="A830" s="171">
        <f>IF('Оперативный ввод'!A830="","",'Оперативный ввод'!A830)</f>
        <v/>
      </c>
      <c r="B830" s="172">
        <f>IF('Оперативный ввод'!B830="","",'Оперативный ввод'!B830)</f>
        <v/>
      </c>
      <c r="C830" s="270">
        <f>IF('Оперативный ввод'!C830="","",'Оперативный ввод'!C830)</f>
        <v/>
      </c>
      <c r="D830" s="270">
        <f>IF('Оперативный ввод'!D830="","",'Оперативный ввод'!D830)</f>
        <v/>
      </c>
      <c r="E830" s="271">
        <f>IF(OR(C830="",D830=""),"",D830-C830)</f>
        <v/>
      </c>
      <c r="F830" s="172">
        <f>IF('Оперативный ввод'!F830="","",'Оперативный ввод'!F830)</f>
        <v/>
      </c>
      <c r="G830" s="172">
        <f>IF('Оперативный ввод'!G830="","",'Оперативный ввод'!G830)</f>
        <v/>
      </c>
      <c r="H830" s="172">
        <f>IF('Оперативный ввод'!H830="","",'Оперативный ввод'!H830)</f>
        <v/>
      </c>
      <c r="I830" s="172">
        <f>IF('Оперативный ввод'!I830="","",'Оперативный ввод'!I830)</f>
        <v/>
      </c>
      <c r="J830" s="172">
        <f>IF('Оперативный ввод'!J830="","",'Оперативный ввод'!J830)</f>
        <v/>
      </c>
      <c r="K830" s="172">
        <f>IF('Оперативный ввод'!K830="","",'Оперативный ввод'!K830)</f>
        <v/>
      </c>
      <c r="L830" s="172">
        <f>IF('Оперативный ввод'!L830="","",'Оперативный ввод'!L830)</f>
        <v/>
      </c>
      <c r="M830" s="172">
        <f>IF('Оперативный ввод'!M830="","",'Оперативный ввод'!M830)</f>
        <v/>
      </c>
      <c r="N830" s="172">
        <f>IF('Оперативный ввод'!N830="","",'Оперативный ввод'!N830)</f>
        <v/>
      </c>
      <c r="O830" s="172">
        <f>IF('Оперативный ввод'!O830="","",'Оперативный ввод'!O830)</f>
        <v/>
      </c>
      <c r="P830" s="205">
        <f>IF(AND(A830="",B830=""),"",IF(AND(A830&lt;&gt;"",B830&lt;&gt;"",C830&lt;&gt;"",D830&lt;&gt;"",F830&lt;&gt;"",G830&lt;&gt;"",H830&lt;&gt;"",ISERROR(SEARCH("по паспорту",G830)),ISERROR(SEARCH("по паспорту",H830)),I830&lt;&gt;"",J830&lt;&gt;"",K830&lt;&gt;"",L830&lt;&gt;"",M830&lt;&gt;""),"ГОТОВО","НЕ ГОТОВО"))</f>
        <v/>
      </c>
      <c r="Q830" s="205">
        <f>IF(P830&lt;&gt;"ГОТОВО","", "Предварительное заключение: "&amp;A830&amp;", скв. "&amp;B830&amp;". МРП: "&amp;E830&amp;" сут. ГНО: "&amp;F830&amp;", типоразмер "&amp;G830&amp;", марка "&amp;H830&amp;". Событие: "&amp;I830&amp;". Признак: "&amp;J830&amp;". Узел: "&amp;K830&amp;". Предварительная причина: "&amp;L830&amp;". Основное осложнение: "&amp;M830&amp;IF(N830&lt;&gt;"","; сопутствующее: "&amp;N830,"")&amp;IF(O830&lt;&gt;"","; дополнительно: "&amp;O830,"")&amp;".")</f>
        <v/>
      </c>
      <c r="R830" s="172">
        <f>IF('Оперативный ввод'!P830="","",'Оперативный ввод'!P830)</f>
        <v/>
      </c>
      <c r="S830" s="172">
        <f>IF('Оперативный ввод'!Q830="","",'Оперативный ввод'!Q830)</f>
        <v/>
      </c>
      <c r="T830" s="172">
        <f>IF('Оперативный ввод'!R830="","",'Оперативный ввод'!R830)</f>
        <v/>
      </c>
      <c r="U830" s="172">
        <f>IF('Оперативный ввод'!S830="","",'Оперативный ввод'!S830)</f>
        <v/>
      </c>
      <c r="V830" s="172">
        <f>IF('Оперативный ввод'!T830="","",'Оперативный ввод'!T830)</f>
        <v/>
      </c>
      <c r="W830" s="172" t="n"/>
      <c r="X830" s="172" t="n"/>
      <c r="Y830" s="172" t="n"/>
      <c r="Z830" s="172" t="n"/>
      <c r="AA830" s="172">
        <f>IF('Оперативный ввод'!U830="","",'Оперативный ввод'!U830)</f>
        <v/>
      </c>
      <c r="AB830" s="172">
        <f>IF('Оперативный ввод'!V830="","",'Оперативный ввод'!V830)</f>
        <v/>
      </c>
      <c r="AC830" s="172">
        <f>IF('Оперативный ввод'!W830="","",'Оперативный ввод'!W830)</f>
        <v/>
      </c>
      <c r="BB830" s="172" t="n"/>
      <c r="BC830" s="172" t="n"/>
      <c r="BD830" s="205">
        <f>IF(AND(A830="",B830=""),"",IF(AND(P830="ГОТОВО",R830&lt;&gt;"",T830&lt;&gt;"",U830&lt;&gt;"",AA830&lt;&gt;"",AB830&lt;&gt;"",AC830&lt;&gt;"",BB830&lt;&gt;"",BC830&lt;&gt;""),"ГОТОВО","НЕ ГОТОВО"))</f>
        <v/>
      </c>
      <c r="BE830" s="205">
        <f>IF(BD830&lt;&gt;"ГОТОВО","","Полное заключение: "&amp;A830&amp;", скв. "&amp;B830&amp;". МРП: "&amp;E830&amp;" сут. ГНО: "&amp;F830&amp;"; причина: "&amp;U830&amp;"; категория: "&amp;V830&amp;"; решение комиссии: "&amp;BB830&amp;".")</f>
        <v/>
      </c>
      <c r="BF830" s="173">
        <f>IF('Оперативный ввод'!X830="","",'Оперативный ввод'!X830)</f>
        <v/>
      </c>
    </row>
    <row r="831">
      <c r="A831" s="171">
        <f>IF('Оперативный ввод'!A831="","",'Оперативный ввод'!A831)</f>
        <v/>
      </c>
      <c r="B831" s="172">
        <f>IF('Оперативный ввод'!B831="","",'Оперативный ввод'!B831)</f>
        <v/>
      </c>
      <c r="C831" s="270">
        <f>IF('Оперативный ввод'!C831="","",'Оперативный ввод'!C831)</f>
        <v/>
      </c>
      <c r="D831" s="270">
        <f>IF('Оперативный ввод'!D831="","",'Оперативный ввод'!D831)</f>
        <v/>
      </c>
      <c r="E831" s="271">
        <f>IF(OR(C831="",D831=""),"",D831-C831)</f>
        <v/>
      </c>
      <c r="F831" s="172">
        <f>IF('Оперативный ввод'!F831="","",'Оперативный ввод'!F831)</f>
        <v/>
      </c>
      <c r="G831" s="172">
        <f>IF('Оперативный ввод'!G831="","",'Оперативный ввод'!G831)</f>
        <v/>
      </c>
      <c r="H831" s="172">
        <f>IF('Оперативный ввод'!H831="","",'Оперативный ввод'!H831)</f>
        <v/>
      </c>
      <c r="I831" s="172">
        <f>IF('Оперативный ввод'!I831="","",'Оперативный ввод'!I831)</f>
        <v/>
      </c>
      <c r="J831" s="172">
        <f>IF('Оперативный ввод'!J831="","",'Оперативный ввод'!J831)</f>
        <v/>
      </c>
      <c r="K831" s="172">
        <f>IF('Оперативный ввод'!K831="","",'Оперативный ввод'!K831)</f>
        <v/>
      </c>
      <c r="L831" s="172">
        <f>IF('Оперативный ввод'!L831="","",'Оперативный ввод'!L831)</f>
        <v/>
      </c>
      <c r="M831" s="172">
        <f>IF('Оперативный ввод'!M831="","",'Оперативный ввод'!M831)</f>
        <v/>
      </c>
      <c r="N831" s="172">
        <f>IF('Оперативный ввод'!N831="","",'Оперативный ввод'!N831)</f>
        <v/>
      </c>
      <c r="O831" s="172">
        <f>IF('Оперативный ввод'!O831="","",'Оперативный ввод'!O831)</f>
        <v/>
      </c>
      <c r="P831" s="205">
        <f>IF(AND(A831="",B831=""),"",IF(AND(A831&lt;&gt;"",B831&lt;&gt;"",C831&lt;&gt;"",D831&lt;&gt;"",F831&lt;&gt;"",G831&lt;&gt;"",H831&lt;&gt;"",ISERROR(SEARCH("по паспорту",G831)),ISERROR(SEARCH("по паспорту",H831)),I831&lt;&gt;"",J831&lt;&gt;"",K831&lt;&gt;"",L831&lt;&gt;"",M831&lt;&gt;""),"ГОТОВО","НЕ ГОТОВО"))</f>
        <v/>
      </c>
      <c r="Q831" s="205">
        <f>IF(P831&lt;&gt;"ГОТОВО","", "Предварительное заключение: "&amp;A831&amp;", скв. "&amp;B831&amp;". МРП: "&amp;E831&amp;" сут. ГНО: "&amp;F831&amp;", типоразмер "&amp;G831&amp;", марка "&amp;H831&amp;". Событие: "&amp;I831&amp;". Признак: "&amp;J831&amp;". Узел: "&amp;K831&amp;". Предварительная причина: "&amp;L831&amp;". Основное осложнение: "&amp;M831&amp;IF(N831&lt;&gt;"","; сопутствующее: "&amp;N831,"")&amp;IF(O831&lt;&gt;"","; дополнительно: "&amp;O831,"")&amp;".")</f>
        <v/>
      </c>
      <c r="R831" s="172">
        <f>IF('Оперативный ввод'!P831="","",'Оперативный ввод'!P831)</f>
        <v/>
      </c>
      <c r="S831" s="172">
        <f>IF('Оперативный ввод'!Q831="","",'Оперативный ввод'!Q831)</f>
        <v/>
      </c>
      <c r="T831" s="172">
        <f>IF('Оперативный ввод'!R831="","",'Оперативный ввод'!R831)</f>
        <v/>
      </c>
      <c r="U831" s="172">
        <f>IF('Оперативный ввод'!S831="","",'Оперативный ввод'!S831)</f>
        <v/>
      </c>
      <c r="V831" s="172">
        <f>IF('Оперативный ввод'!T831="","",'Оперативный ввод'!T831)</f>
        <v/>
      </c>
      <c r="W831" s="172" t="n"/>
      <c r="X831" s="172" t="n"/>
      <c r="Y831" s="172" t="n"/>
      <c r="Z831" s="172" t="n"/>
      <c r="AA831" s="172">
        <f>IF('Оперативный ввод'!U831="","",'Оперативный ввод'!U831)</f>
        <v/>
      </c>
      <c r="AB831" s="172">
        <f>IF('Оперативный ввод'!V831="","",'Оперативный ввод'!V831)</f>
        <v/>
      </c>
      <c r="AC831" s="172">
        <f>IF('Оперативный ввод'!W831="","",'Оперативный ввод'!W831)</f>
        <v/>
      </c>
      <c r="BB831" s="172" t="n"/>
      <c r="BC831" s="172" t="n"/>
      <c r="BD831" s="205">
        <f>IF(AND(A831="",B831=""),"",IF(AND(P831="ГОТОВО",R831&lt;&gt;"",T831&lt;&gt;"",U831&lt;&gt;"",AA831&lt;&gt;"",AB831&lt;&gt;"",AC831&lt;&gt;"",BB831&lt;&gt;"",BC831&lt;&gt;""),"ГОТОВО","НЕ ГОТОВО"))</f>
        <v/>
      </c>
      <c r="BE831" s="205">
        <f>IF(BD831&lt;&gt;"ГОТОВО","","Полное заключение: "&amp;A831&amp;", скв. "&amp;B831&amp;". МРП: "&amp;E831&amp;" сут. ГНО: "&amp;F831&amp;"; причина: "&amp;U831&amp;"; категория: "&amp;V831&amp;"; решение комиссии: "&amp;BB831&amp;".")</f>
        <v/>
      </c>
      <c r="BF831" s="173">
        <f>IF('Оперативный ввод'!X831="","",'Оперативный ввод'!X831)</f>
        <v/>
      </c>
    </row>
    <row r="832">
      <c r="A832" s="171">
        <f>IF('Оперативный ввод'!A832="","",'Оперативный ввод'!A832)</f>
        <v/>
      </c>
      <c r="B832" s="172">
        <f>IF('Оперативный ввод'!B832="","",'Оперативный ввод'!B832)</f>
        <v/>
      </c>
      <c r="C832" s="270">
        <f>IF('Оперативный ввод'!C832="","",'Оперативный ввод'!C832)</f>
        <v/>
      </c>
      <c r="D832" s="270">
        <f>IF('Оперативный ввод'!D832="","",'Оперативный ввод'!D832)</f>
        <v/>
      </c>
      <c r="E832" s="271">
        <f>IF(OR(C832="",D832=""),"",D832-C832)</f>
        <v/>
      </c>
      <c r="F832" s="172">
        <f>IF('Оперативный ввод'!F832="","",'Оперативный ввод'!F832)</f>
        <v/>
      </c>
      <c r="G832" s="172">
        <f>IF('Оперативный ввод'!G832="","",'Оперативный ввод'!G832)</f>
        <v/>
      </c>
      <c r="H832" s="172">
        <f>IF('Оперативный ввод'!H832="","",'Оперативный ввод'!H832)</f>
        <v/>
      </c>
      <c r="I832" s="172">
        <f>IF('Оперативный ввод'!I832="","",'Оперативный ввод'!I832)</f>
        <v/>
      </c>
      <c r="J832" s="172">
        <f>IF('Оперативный ввод'!J832="","",'Оперативный ввод'!J832)</f>
        <v/>
      </c>
      <c r="K832" s="172">
        <f>IF('Оперативный ввод'!K832="","",'Оперативный ввод'!K832)</f>
        <v/>
      </c>
      <c r="L832" s="172">
        <f>IF('Оперативный ввод'!L832="","",'Оперативный ввод'!L832)</f>
        <v/>
      </c>
      <c r="M832" s="172">
        <f>IF('Оперативный ввод'!M832="","",'Оперативный ввод'!M832)</f>
        <v/>
      </c>
      <c r="N832" s="172">
        <f>IF('Оперативный ввод'!N832="","",'Оперативный ввод'!N832)</f>
        <v/>
      </c>
      <c r="O832" s="172">
        <f>IF('Оперативный ввод'!O832="","",'Оперативный ввод'!O832)</f>
        <v/>
      </c>
      <c r="P832" s="205">
        <f>IF(AND(A832="",B832=""),"",IF(AND(A832&lt;&gt;"",B832&lt;&gt;"",C832&lt;&gt;"",D832&lt;&gt;"",F832&lt;&gt;"",G832&lt;&gt;"",H832&lt;&gt;"",ISERROR(SEARCH("по паспорту",G832)),ISERROR(SEARCH("по паспорту",H832)),I832&lt;&gt;"",J832&lt;&gt;"",K832&lt;&gt;"",L832&lt;&gt;"",M832&lt;&gt;""),"ГОТОВО","НЕ ГОТОВО"))</f>
        <v/>
      </c>
      <c r="Q832" s="205">
        <f>IF(P832&lt;&gt;"ГОТОВО","", "Предварительное заключение: "&amp;A832&amp;", скв. "&amp;B832&amp;". МРП: "&amp;E832&amp;" сут. ГНО: "&amp;F832&amp;", типоразмер "&amp;G832&amp;", марка "&amp;H832&amp;". Событие: "&amp;I832&amp;". Признак: "&amp;J832&amp;". Узел: "&amp;K832&amp;". Предварительная причина: "&amp;L832&amp;". Основное осложнение: "&amp;M832&amp;IF(N832&lt;&gt;"","; сопутствующее: "&amp;N832,"")&amp;IF(O832&lt;&gt;"","; дополнительно: "&amp;O832,"")&amp;".")</f>
        <v/>
      </c>
      <c r="R832" s="172">
        <f>IF('Оперативный ввод'!P832="","",'Оперативный ввод'!P832)</f>
        <v/>
      </c>
      <c r="S832" s="172">
        <f>IF('Оперативный ввод'!Q832="","",'Оперативный ввод'!Q832)</f>
        <v/>
      </c>
      <c r="T832" s="172">
        <f>IF('Оперативный ввод'!R832="","",'Оперативный ввод'!R832)</f>
        <v/>
      </c>
      <c r="U832" s="172">
        <f>IF('Оперативный ввод'!S832="","",'Оперативный ввод'!S832)</f>
        <v/>
      </c>
      <c r="V832" s="172">
        <f>IF('Оперативный ввод'!T832="","",'Оперативный ввод'!T832)</f>
        <v/>
      </c>
      <c r="W832" s="172" t="n"/>
      <c r="X832" s="172" t="n"/>
      <c r="Y832" s="172" t="n"/>
      <c r="Z832" s="172" t="n"/>
      <c r="AA832" s="172">
        <f>IF('Оперативный ввод'!U832="","",'Оперативный ввод'!U832)</f>
        <v/>
      </c>
      <c r="AB832" s="172">
        <f>IF('Оперативный ввод'!V832="","",'Оперативный ввод'!V832)</f>
        <v/>
      </c>
      <c r="AC832" s="172">
        <f>IF('Оперативный ввод'!W832="","",'Оперативный ввод'!W832)</f>
        <v/>
      </c>
      <c r="BB832" s="172" t="n"/>
      <c r="BC832" s="172" t="n"/>
      <c r="BD832" s="205">
        <f>IF(AND(A832="",B832=""),"",IF(AND(P832="ГОТОВО",R832&lt;&gt;"",T832&lt;&gt;"",U832&lt;&gt;"",AA832&lt;&gt;"",AB832&lt;&gt;"",AC832&lt;&gt;"",BB832&lt;&gt;"",BC832&lt;&gt;""),"ГОТОВО","НЕ ГОТОВО"))</f>
        <v/>
      </c>
      <c r="BE832" s="205">
        <f>IF(BD832&lt;&gt;"ГОТОВО","","Полное заключение: "&amp;A832&amp;", скв. "&amp;B832&amp;". МРП: "&amp;E832&amp;" сут. ГНО: "&amp;F832&amp;"; причина: "&amp;U832&amp;"; категория: "&amp;V832&amp;"; решение комиссии: "&amp;BB832&amp;".")</f>
        <v/>
      </c>
      <c r="BF832" s="173">
        <f>IF('Оперативный ввод'!X832="","",'Оперативный ввод'!X832)</f>
        <v/>
      </c>
    </row>
    <row r="833">
      <c r="A833" s="171">
        <f>IF('Оперативный ввод'!A833="","",'Оперативный ввод'!A833)</f>
        <v/>
      </c>
      <c r="B833" s="172">
        <f>IF('Оперативный ввод'!B833="","",'Оперативный ввод'!B833)</f>
        <v/>
      </c>
      <c r="C833" s="270">
        <f>IF('Оперативный ввод'!C833="","",'Оперативный ввод'!C833)</f>
        <v/>
      </c>
      <c r="D833" s="270">
        <f>IF('Оперативный ввод'!D833="","",'Оперативный ввод'!D833)</f>
        <v/>
      </c>
      <c r="E833" s="271">
        <f>IF(OR(C833="",D833=""),"",D833-C833)</f>
        <v/>
      </c>
      <c r="F833" s="172">
        <f>IF('Оперативный ввод'!F833="","",'Оперативный ввод'!F833)</f>
        <v/>
      </c>
      <c r="G833" s="172">
        <f>IF('Оперативный ввод'!G833="","",'Оперативный ввод'!G833)</f>
        <v/>
      </c>
      <c r="H833" s="172">
        <f>IF('Оперативный ввод'!H833="","",'Оперативный ввод'!H833)</f>
        <v/>
      </c>
      <c r="I833" s="172">
        <f>IF('Оперативный ввод'!I833="","",'Оперативный ввод'!I833)</f>
        <v/>
      </c>
      <c r="J833" s="172">
        <f>IF('Оперативный ввод'!J833="","",'Оперативный ввод'!J833)</f>
        <v/>
      </c>
      <c r="K833" s="172">
        <f>IF('Оперативный ввод'!K833="","",'Оперативный ввод'!K833)</f>
        <v/>
      </c>
      <c r="L833" s="172">
        <f>IF('Оперативный ввод'!L833="","",'Оперативный ввод'!L833)</f>
        <v/>
      </c>
      <c r="M833" s="172">
        <f>IF('Оперативный ввод'!M833="","",'Оперативный ввод'!M833)</f>
        <v/>
      </c>
      <c r="N833" s="172">
        <f>IF('Оперативный ввод'!N833="","",'Оперативный ввод'!N833)</f>
        <v/>
      </c>
      <c r="O833" s="172">
        <f>IF('Оперативный ввод'!O833="","",'Оперативный ввод'!O833)</f>
        <v/>
      </c>
      <c r="P833" s="205">
        <f>IF(AND(A833="",B833=""),"",IF(AND(A833&lt;&gt;"",B833&lt;&gt;"",C833&lt;&gt;"",D833&lt;&gt;"",F833&lt;&gt;"",G833&lt;&gt;"",H833&lt;&gt;"",ISERROR(SEARCH("по паспорту",G833)),ISERROR(SEARCH("по паспорту",H833)),I833&lt;&gt;"",J833&lt;&gt;"",K833&lt;&gt;"",L833&lt;&gt;"",M833&lt;&gt;""),"ГОТОВО","НЕ ГОТОВО"))</f>
        <v/>
      </c>
      <c r="Q833" s="205">
        <f>IF(P833&lt;&gt;"ГОТОВО","", "Предварительное заключение: "&amp;A833&amp;", скв. "&amp;B833&amp;". МРП: "&amp;E833&amp;" сут. ГНО: "&amp;F833&amp;", типоразмер "&amp;G833&amp;", марка "&amp;H833&amp;". Событие: "&amp;I833&amp;". Признак: "&amp;J833&amp;". Узел: "&amp;K833&amp;". Предварительная причина: "&amp;L833&amp;". Основное осложнение: "&amp;M833&amp;IF(N833&lt;&gt;"","; сопутствующее: "&amp;N833,"")&amp;IF(O833&lt;&gt;"","; дополнительно: "&amp;O833,"")&amp;".")</f>
        <v/>
      </c>
      <c r="R833" s="172">
        <f>IF('Оперативный ввод'!P833="","",'Оперативный ввод'!P833)</f>
        <v/>
      </c>
      <c r="S833" s="172">
        <f>IF('Оперативный ввод'!Q833="","",'Оперативный ввод'!Q833)</f>
        <v/>
      </c>
      <c r="T833" s="172">
        <f>IF('Оперативный ввод'!R833="","",'Оперативный ввод'!R833)</f>
        <v/>
      </c>
      <c r="U833" s="172">
        <f>IF('Оперативный ввод'!S833="","",'Оперативный ввод'!S833)</f>
        <v/>
      </c>
      <c r="V833" s="172">
        <f>IF('Оперативный ввод'!T833="","",'Оперативный ввод'!T833)</f>
        <v/>
      </c>
      <c r="W833" s="172" t="n"/>
      <c r="X833" s="172" t="n"/>
      <c r="Y833" s="172" t="n"/>
      <c r="Z833" s="172" t="n"/>
      <c r="AA833" s="172">
        <f>IF('Оперативный ввод'!U833="","",'Оперативный ввод'!U833)</f>
        <v/>
      </c>
      <c r="AB833" s="172">
        <f>IF('Оперативный ввод'!V833="","",'Оперативный ввод'!V833)</f>
        <v/>
      </c>
      <c r="AC833" s="172">
        <f>IF('Оперативный ввод'!W833="","",'Оперативный ввод'!W833)</f>
        <v/>
      </c>
      <c r="BB833" s="172" t="n"/>
      <c r="BC833" s="172" t="n"/>
      <c r="BD833" s="205">
        <f>IF(AND(A833="",B833=""),"",IF(AND(P833="ГОТОВО",R833&lt;&gt;"",T833&lt;&gt;"",U833&lt;&gt;"",AA833&lt;&gt;"",AB833&lt;&gt;"",AC833&lt;&gt;"",BB833&lt;&gt;"",BC833&lt;&gt;""),"ГОТОВО","НЕ ГОТОВО"))</f>
        <v/>
      </c>
      <c r="BE833" s="205">
        <f>IF(BD833&lt;&gt;"ГОТОВО","","Полное заключение: "&amp;A833&amp;", скв. "&amp;B833&amp;". МРП: "&amp;E833&amp;" сут. ГНО: "&amp;F833&amp;"; причина: "&amp;U833&amp;"; категория: "&amp;V833&amp;"; решение комиссии: "&amp;BB833&amp;".")</f>
        <v/>
      </c>
      <c r="BF833" s="173">
        <f>IF('Оперативный ввод'!X833="","",'Оперативный ввод'!X833)</f>
        <v/>
      </c>
    </row>
    <row r="834">
      <c r="A834" s="171">
        <f>IF('Оперативный ввод'!A834="","",'Оперативный ввод'!A834)</f>
        <v/>
      </c>
      <c r="B834" s="172">
        <f>IF('Оперативный ввод'!B834="","",'Оперативный ввод'!B834)</f>
        <v/>
      </c>
      <c r="C834" s="270">
        <f>IF('Оперативный ввод'!C834="","",'Оперативный ввод'!C834)</f>
        <v/>
      </c>
      <c r="D834" s="270">
        <f>IF('Оперативный ввод'!D834="","",'Оперативный ввод'!D834)</f>
        <v/>
      </c>
      <c r="E834" s="271">
        <f>IF(OR(C834="",D834=""),"",D834-C834)</f>
        <v/>
      </c>
      <c r="F834" s="172">
        <f>IF('Оперативный ввод'!F834="","",'Оперативный ввод'!F834)</f>
        <v/>
      </c>
      <c r="G834" s="172">
        <f>IF('Оперативный ввод'!G834="","",'Оперативный ввод'!G834)</f>
        <v/>
      </c>
      <c r="H834" s="172">
        <f>IF('Оперативный ввод'!H834="","",'Оперативный ввод'!H834)</f>
        <v/>
      </c>
      <c r="I834" s="172">
        <f>IF('Оперативный ввод'!I834="","",'Оперативный ввод'!I834)</f>
        <v/>
      </c>
      <c r="J834" s="172">
        <f>IF('Оперативный ввод'!J834="","",'Оперативный ввод'!J834)</f>
        <v/>
      </c>
      <c r="K834" s="172">
        <f>IF('Оперативный ввод'!K834="","",'Оперативный ввод'!K834)</f>
        <v/>
      </c>
      <c r="L834" s="172">
        <f>IF('Оперативный ввод'!L834="","",'Оперативный ввод'!L834)</f>
        <v/>
      </c>
      <c r="M834" s="172">
        <f>IF('Оперативный ввод'!M834="","",'Оперативный ввод'!M834)</f>
        <v/>
      </c>
      <c r="N834" s="172">
        <f>IF('Оперативный ввод'!N834="","",'Оперативный ввод'!N834)</f>
        <v/>
      </c>
      <c r="O834" s="172">
        <f>IF('Оперативный ввод'!O834="","",'Оперативный ввод'!O834)</f>
        <v/>
      </c>
      <c r="P834" s="205">
        <f>IF(AND(A834="",B834=""),"",IF(AND(A834&lt;&gt;"",B834&lt;&gt;"",C834&lt;&gt;"",D834&lt;&gt;"",F834&lt;&gt;"",G834&lt;&gt;"",H834&lt;&gt;"",ISERROR(SEARCH("по паспорту",G834)),ISERROR(SEARCH("по паспорту",H834)),I834&lt;&gt;"",J834&lt;&gt;"",K834&lt;&gt;"",L834&lt;&gt;"",M834&lt;&gt;""),"ГОТОВО","НЕ ГОТОВО"))</f>
        <v/>
      </c>
      <c r="Q834" s="205">
        <f>IF(P834&lt;&gt;"ГОТОВО","", "Предварительное заключение: "&amp;A834&amp;", скв. "&amp;B834&amp;". МРП: "&amp;E834&amp;" сут. ГНО: "&amp;F834&amp;", типоразмер "&amp;G834&amp;", марка "&amp;H834&amp;". Событие: "&amp;I834&amp;". Признак: "&amp;J834&amp;". Узел: "&amp;K834&amp;". Предварительная причина: "&amp;L834&amp;". Основное осложнение: "&amp;M834&amp;IF(N834&lt;&gt;"","; сопутствующее: "&amp;N834,"")&amp;IF(O834&lt;&gt;"","; дополнительно: "&amp;O834,"")&amp;".")</f>
        <v/>
      </c>
      <c r="R834" s="172">
        <f>IF('Оперативный ввод'!P834="","",'Оперативный ввод'!P834)</f>
        <v/>
      </c>
      <c r="S834" s="172">
        <f>IF('Оперативный ввод'!Q834="","",'Оперативный ввод'!Q834)</f>
        <v/>
      </c>
      <c r="T834" s="172">
        <f>IF('Оперативный ввод'!R834="","",'Оперативный ввод'!R834)</f>
        <v/>
      </c>
      <c r="U834" s="172">
        <f>IF('Оперативный ввод'!S834="","",'Оперативный ввод'!S834)</f>
        <v/>
      </c>
      <c r="V834" s="172">
        <f>IF('Оперативный ввод'!T834="","",'Оперативный ввод'!T834)</f>
        <v/>
      </c>
      <c r="W834" s="172" t="n"/>
      <c r="X834" s="172" t="n"/>
      <c r="Y834" s="172" t="n"/>
      <c r="Z834" s="172" t="n"/>
      <c r="AA834" s="172">
        <f>IF('Оперативный ввод'!U834="","",'Оперативный ввод'!U834)</f>
        <v/>
      </c>
      <c r="AB834" s="172">
        <f>IF('Оперативный ввод'!V834="","",'Оперативный ввод'!V834)</f>
        <v/>
      </c>
      <c r="AC834" s="172">
        <f>IF('Оперативный ввод'!W834="","",'Оперативный ввод'!W834)</f>
        <v/>
      </c>
      <c r="BB834" s="172" t="n"/>
      <c r="BC834" s="172" t="n"/>
      <c r="BD834" s="205">
        <f>IF(AND(A834="",B834=""),"",IF(AND(P834="ГОТОВО",R834&lt;&gt;"",T834&lt;&gt;"",U834&lt;&gt;"",AA834&lt;&gt;"",AB834&lt;&gt;"",AC834&lt;&gt;"",BB834&lt;&gt;"",BC834&lt;&gt;""),"ГОТОВО","НЕ ГОТОВО"))</f>
        <v/>
      </c>
      <c r="BE834" s="205">
        <f>IF(BD834&lt;&gt;"ГОТОВО","","Полное заключение: "&amp;A834&amp;", скв. "&amp;B834&amp;". МРП: "&amp;E834&amp;" сут. ГНО: "&amp;F834&amp;"; причина: "&amp;U834&amp;"; категория: "&amp;V834&amp;"; решение комиссии: "&amp;BB834&amp;".")</f>
        <v/>
      </c>
      <c r="BF834" s="173">
        <f>IF('Оперативный ввод'!X834="","",'Оперативный ввод'!X834)</f>
        <v/>
      </c>
    </row>
    <row r="835">
      <c r="A835" s="171">
        <f>IF('Оперативный ввод'!A835="","",'Оперативный ввод'!A835)</f>
        <v/>
      </c>
      <c r="B835" s="172">
        <f>IF('Оперативный ввод'!B835="","",'Оперативный ввод'!B835)</f>
        <v/>
      </c>
      <c r="C835" s="270">
        <f>IF('Оперативный ввод'!C835="","",'Оперативный ввод'!C835)</f>
        <v/>
      </c>
      <c r="D835" s="270">
        <f>IF('Оперативный ввод'!D835="","",'Оперативный ввод'!D835)</f>
        <v/>
      </c>
      <c r="E835" s="271">
        <f>IF(OR(C835="",D835=""),"",D835-C835)</f>
        <v/>
      </c>
      <c r="F835" s="172">
        <f>IF('Оперативный ввод'!F835="","",'Оперативный ввод'!F835)</f>
        <v/>
      </c>
      <c r="G835" s="172">
        <f>IF('Оперативный ввод'!G835="","",'Оперативный ввод'!G835)</f>
        <v/>
      </c>
      <c r="H835" s="172">
        <f>IF('Оперативный ввод'!H835="","",'Оперативный ввод'!H835)</f>
        <v/>
      </c>
      <c r="I835" s="172">
        <f>IF('Оперативный ввод'!I835="","",'Оперативный ввод'!I835)</f>
        <v/>
      </c>
      <c r="J835" s="172">
        <f>IF('Оперативный ввод'!J835="","",'Оперативный ввод'!J835)</f>
        <v/>
      </c>
      <c r="K835" s="172">
        <f>IF('Оперативный ввод'!K835="","",'Оперативный ввод'!K835)</f>
        <v/>
      </c>
      <c r="L835" s="172">
        <f>IF('Оперативный ввод'!L835="","",'Оперативный ввод'!L835)</f>
        <v/>
      </c>
      <c r="M835" s="172">
        <f>IF('Оперативный ввод'!M835="","",'Оперативный ввод'!M835)</f>
        <v/>
      </c>
      <c r="N835" s="172">
        <f>IF('Оперативный ввод'!N835="","",'Оперативный ввод'!N835)</f>
        <v/>
      </c>
      <c r="O835" s="172">
        <f>IF('Оперативный ввод'!O835="","",'Оперативный ввод'!O835)</f>
        <v/>
      </c>
      <c r="P835" s="205">
        <f>IF(AND(A835="",B835=""),"",IF(AND(A835&lt;&gt;"",B835&lt;&gt;"",C835&lt;&gt;"",D835&lt;&gt;"",F835&lt;&gt;"",G835&lt;&gt;"",H835&lt;&gt;"",ISERROR(SEARCH("по паспорту",G835)),ISERROR(SEARCH("по паспорту",H835)),I835&lt;&gt;"",J835&lt;&gt;"",K835&lt;&gt;"",L835&lt;&gt;"",M835&lt;&gt;""),"ГОТОВО","НЕ ГОТОВО"))</f>
        <v/>
      </c>
      <c r="Q835" s="205">
        <f>IF(P835&lt;&gt;"ГОТОВО","", "Предварительное заключение: "&amp;A835&amp;", скв. "&amp;B835&amp;". МРП: "&amp;E835&amp;" сут. ГНО: "&amp;F835&amp;", типоразмер "&amp;G835&amp;", марка "&amp;H835&amp;". Событие: "&amp;I835&amp;". Признак: "&amp;J835&amp;". Узел: "&amp;K835&amp;". Предварительная причина: "&amp;L835&amp;". Основное осложнение: "&amp;M835&amp;IF(N835&lt;&gt;"","; сопутствующее: "&amp;N835,"")&amp;IF(O835&lt;&gt;"","; дополнительно: "&amp;O835,"")&amp;".")</f>
        <v/>
      </c>
      <c r="R835" s="172">
        <f>IF('Оперативный ввод'!P835="","",'Оперативный ввод'!P835)</f>
        <v/>
      </c>
      <c r="S835" s="172">
        <f>IF('Оперативный ввод'!Q835="","",'Оперативный ввод'!Q835)</f>
        <v/>
      </c>
      <c r="T835" s="172">
        <f>IF('Оперативный ввод'!R835="","",'Оперативный ввод'!R835)</f>
        <v/>
      </c>
      <c r="U835" s="172">
        <f>IF('Оперативный ввод'!S835="","",'Оперативный ввод'!S835)</f>
        <v/>
      </c>
      <c r="V835" s="172">
        <f>IF('Оперативный ввод'!T835="","",'Оперативный ввод'!T835)</f>
        <v/>
      </c>
      <c r="W835" s="172" t="n"/>
      <c r="X835" s="172" t="n"/>
      <c r="Y835" s="172" t="n"/>
      <c r="Z835" s="172" t="n"/>
      <c r="AA835" s="172">
        <f>IF('Оперативный ввод'!U835="","",'Оперативный ввод'!U835)</f>
        <v/>
      </c>
      <c r="AB835" s="172">
        <f>IF('Оперативный ввод'!V835="","",'Оперативный ввод'!V835)</f>
        <v/>
      </c>
      <c r="AC835" s="172">
        <f>IF('Оперативный ввод'!W835="","",'Оперативный ввод'!W835)</f>
        <v/>
      </c>
      <c r="BB835" s="172" t="n"/>
      <c r="BC835" s="172" t="n"/>
      <c r="BD835" s="205">
        <f>IF(AND(A835="",B835=""),"",IF(AND(P835="ГОТОВО",R835&lt;&gt;"",T835&lt;&gt;"",U835&lt;&gt;"",AA835&lt;&gt;"",AB835&lt;&gt;"",AC835&lt;&gt;"",BB835&lt;&gt;"",BC835&lt;&gt;""),"ГОТОВО","НЕ ГОТОВО"))</f>
        <v/>
      </c>
      <c r="BE835" s="205">
        <f>IF(BD835&lt;&gt;"ГОТОВО","","Полное заключение: "&amp;A835&amp;", скв. "&amp;B835&amp;". МРП: "&amp;E835&amp;" сут. ГНО: "&amp;F835&amp;"; причина: "&amp;U835&amp;"; категория: "&amp;V835&amp;"; решение комиссии: "&amp;BB835&amp;".")</f>
        <v/>
      </c>
      <c r="BF835" s="173">
        <f>IF('Оперативный ввод'!X835="","",'Оперативный ввод'!X835)</f>
        <v/>
      </c>
    </row>
    <row r="836">
      <c r="A836" s="171">
        <f>IF('Оперативный ввод'!A836="","",'Оперативный ввод'!A836)</f>
        <v/>
      </c>
      <c r="B836" s="172">
        <f>IF('Оперативный ввод'!B836="","",'Оперативный ввод'!B836)</f>
        <v/>
      </c>
      <c r="C836" s="270">
        <f>IF('Оперативный ввод'!C836="","",'Оперативный ввод'!C836)</f>
        <v/>
      </c>
      <c r="D836" s="270">
        <f>IF('Оперативный ввод'!D836="","",'Оперативный ввод'!D836)</f>
        <v/>
      </c>
      <c r="E836" s="271">
        <f>IF(OR(C836="",D836=""),"",D836-C836)</f>
        <v/>
      </c>
      <c r="F836" s="172">
        <f>IF('Оперативный ввод'!F836="","",'Оперативный ввод'!F836)</f>
        <v/>
      </c>
      <c r="G836" s="172">
        <f>IF('Оперативный ввод'!G836="","",'Оперативный ввод'!G836)</f>
        <v/>
      </c>
      <c r="H836" s="172">
        <f>IF('Оперативный ввод'!H836="","",'Оперативный ввод'!H836)</f>
        <v/>
      </c>
      <c r="I836" s="172">
        <f>IF('Оперативный ввод'!I836="","",'Оперативный ввод'!I836)</f>
        <v/>
      </c>
      <c r="J836" s="172">
        <f>IF('Оперативный ввод'!J836="","",'Оперативный ввод'!J836)</f>
        <v/>
      </c>
      <c r="K836" s="172">
        <f>IF('Оперативный ввод'!K836="","",'Оперативный ввод'!K836)</f>
        <v/>
      </c>
      <c r="L836" s="172">
        <f>IF('Оперативный ввод'!L836="","",'Оперативный ввод'!L836)</f>
        <v/>
      </c>
      <c r="M836" s="172">
        <f>IF('Оперативный ввод'!M836="","",'Оперативный ввод'!M836)</f>
        <v/>
      </c>
      <c r="N836" s="172">
        <f>IF('Оперативный ввод'!N836="","",'Оперативный ввод'!N836)</f>
        <v/>
      </c>
      <c r="O836" s="172">
        <f>IF('Оперативный ввод'!O836="","",'Оперативный ввод'!O836)</f>
        <v/>
      </c>
      <c r="P836" s="205">
        <f>IF(AND(A836="",B836=""),"",IF(AND(A836&lt;&gt;"",B836&lt;&gt;"",C836&lt;&gt;"",D836&lt;&gt;"",F836&lt;&gt;"",G836&lt;&gt;"",H836&lt;&gt;"",ISERROR(SEARCH("по паспорту",G836)),ISERROR(SEARCH("по паспорту",H836)),I836&lt;&gt;"",J836&lt;&gt;"",K836&lt;&gt;"",L836&lt;&gt;"",M836&lt;&gt;""),"ГОТОВО","НЕ ГОТОВО"))</f>
        <v/>
      </c>
      <c r="Q836" s="205">
        <f>IF(P836&lt;&gt;"ГОТОВО","", "Предварительное заключение: "&amp;A836&amp;", скв. "&amp;B836&amp;". МРП: "&amp;E836&amp;" сут. ГНО: "&amp;F836&amp;", типоразмер "&amp;G836&amp;", марка "&amp;H836&amp;". Событие: "&amp;I836&amp;". Признак: "&amp;J836&amp;". Узел: "&amp;K836&amp;". Предварительная причина: "&amp;L836&amp;". Основное осложнение: "&amp;M836&amp;IF(N836&lt;&gt;"","; сопутствующее: "&amp;N836,"")&amp;IF(O836&lt;&gt;"","; дополнительно: "&amp;O836,"")&amp;".")</f>
        <v/>
      </c>
      <c r="R836" s="172">
        <f>IF('Оперативный ввод'!P836="","",'Оперативный ввод'!P836)</f>
        <v/>
      </c>
      <c r="S836" s="172">
        <f>IF('Оперативный ввод'!Q836="","",'Оперативный ввод'!Q836)</f>
        <v/>
      </c>
      <c r="T836" s="172">
        <f>IF('Оперативный ввод'!R836="","",'Оперативный ввод'!R836)</f>
        <v/>
      </c>
      <c r="U836" s="172">
        <f>IF('Оперативный ввод'!S836="","",'Оперативный ввод'!S836)</f>
        <v/>
      </c>
      <c r="V836" s="172">
        <f>IF('Оперативный ввод'!T836="","",'Оперативный ввод'!T836)</f>
        <v/>
      </c>
      <c r="W836" s="172" t="n"/>
      <c r="X836" s="172" t="n"/>
      <c r="Y836" s="172" t="n"/>
      <c r="Z836" s="172" t="n"/>
      <c r="AA836" s="172">
        <f>IF('Оперативный ввод'!U836="","",'Оперативный ввод'!U836)</f>
        <v/>
      </c>
      <c r="AB836" s="172">
        <f>IF('Оперативный ввод'!V836="","",'Оперативный ввод'!V836)</f>
        <v/>
      </c>
      <c r="AC836" s="172">
        <f>IF('Оперативный ввод'!W836="","",'Оперативный ввод'!W836)</f>
        <v/>
      </c>
      <c r="BB836" s="172" t="n"/>
      <c r="BC836" s="172" t="n"/>
      <c r="BD836" s="205">
        <f>IF(AND(A836="",B836=""),"",IF(AND(P836="ГОТОВО",R836&lt;&gt;"",T836&lt;&gt;"",U836&lt;&gt;"",AA836&lt;&gt;"",AB836&lt;&gt;"",AC836&lt;&gt;"",BB836&lt;&gt;"",BC836&lt;&gt;""),"ГОТОВО","НЕ ГОТОВО"))</f>
        <v/>
      </c>
      <c r="BE836" s="205">
        <f>IF(BD836&lt;&gt;"ГОТОВО","","Полное заключение: "&amp;A836&amp;", скв. "&amp;B836&amp;". МРП: "&amp;E836&amp;" сут. ГНО: "&amp;F836&amp;"; причина: "&amp;U836&amp;"; категория: "&amp;V836&amp;"; решение комиссии: "&amp;BB836&amp;".")</f>
        <v/>
      </c>
      <c r="BF836" s="173">
        <f>IF('Оперативный ввод'!X836="","",'Оперативный ввод'!X836)</f>
        <v/>
      </c>
    </row>
    <row r="837">
      <c r="A837" s="171">
        <f>IF('Оперативный ввод'!A837="","",'Оперативный ввод'!A837)</f>
        <v/>
      </c>
      <c r="B837" s="172">
        <f>IF('Оперативный ввод'!B837="","",'Оперативный ввод'!B837)</f>
        <v/>
      </c>
      <c r="C837" s="270">
        <f>IF('Оперативный ввод'!C837="","",'Оперативный ввод'!C837)</f>
        <v/>
      </c>
      <c r="D837" s="270">
        <f>IF('Оперативный ввод'!D837="","",'Оперативный ввод'!D837)</f>
        <v/>
      </c>
      <c r="E837" s="271">
        <f>IF(OR(C837="",D837=""),"",D837-C837)</f>
        <v/>
      </c>
      <c r="F837" s="172">
        <f>IF('Оперативный ввод'!F837="","",'Оперативный ввод'!F837)</f>
        <v/>
      </c>
      <c r="G837" s="172">
        <f>IF('Оперативный ввод'!G837="","",'Оперативный ввод'!G837)</f>
        <v/>
      </c>
      <c r="H837" s="172">
        <f>IF('Оперативный ввод'!H837="","",'Оперативный ввод'!H837)</f>
        <v/>
      </c>
      <c r="I837" s="172">
        <f>IF('Оперативный ввод'!I837="","",'Оперативный ввод'!I837)</f>
        <v/>
      </c>
      <c r="J837" s="172">
        <f>IF('Оперативный ввод'!J837="","",'Оперативный ввод'!J837)</f>
        <v/>
      </c>
      <c r="K837" s="172">
        <f>IF('Оперативный ввод'!K837="","",'Оперативный ввод'!K837)</f>
        <v/>
      </c>
      <c r="L837" s="172">
        <f>IF('Оперативный ввод'!L837="","",'Оперативный ввод'!L837)</f>
        <v/>
      </c>
      <c r="M837" s="172">
        <f>IF('Оперативный ввод'!M837="","",'Оперативный ввод'!M837)</f>
        <v/>
      </c>
      <c r="N837" s="172">
        <f>IF('Оперативный ввод'!N837="","",'Оперативный ввод'!N837)</f>
        <v/>
      </c>
      <c r="O837" s="172">
        <f>IF('Оперативный ввод'!O837="","",'Оперативный ввод'!O837)</f>
        <v/>
      </c>
      <c r="P837" s="205">
        <f>IF(AND(A837="",B837=""),"",IF(AND(A837&lt;&gt;"",B837&lt;&gt;"",C837&lt;&gt;"",D837&lt;&gt;"",F837&lt;&gt;"",G837&lt;&gt;"",H837&lt;&gt;"",ISERROR(SEARCH("по паспорту",G837)),ISERROR(SEARCH("по паспорту",H837)),I837&lt;&gt;"",J837&lt;&gt;"",K837&lt;&gt;"",L837&lt;&gt;"",M837&lt;&gt;""),"ГОТОВО","НЕ ГОТОВО"))</f>
        <v/>
      </c>
      <c r="Q837" s="205">
        <f>IF(P837&lt;&gt;"ГОТОВО","", "Предварительное заключение: "&amp;A837&amp;", скв. "&amp;B837&amp;". МРП: "&amp;E837&amp;" сут. ГНО: "&amp;F837&amp;", типоразмер "&amp;G837&amp;", марка "&amp;H837&amp;". Событие: "&amp;I837&amp;". Признак: "&amp;J837&amp;". Узел: "&amp;K837&amp;". Предварительная причина: "&amp;L837&amp;". Основное осложнение: "&amp;M837&amp;IF(N837&lt;&gt;"","; сопутствующее: "&amp;N837,"")&amp;IF(O837&lt;&gt;"","; дополнительно: "&amp;O837,"")&amp;".")</f>
        <v/>
      </c>
      <c r="R837" s="172">
        <f>IF('Оперативный ввод'!P837="","",'Оперативный ввод'!P837)</f>
        <v/>
      </c>
      <c r="S837" s="172">
        <f>IF('Оперативный ввод'!Q837="","",'Оперативный ввод'!Q837)</f>
        <v/>
      </c>
      <c r="T837" s="172">
        <f>IF('Оперативный ввод'!R837="","",'Оперативный ввод'!R837)</f>
        <v/>
      </c>
      <c r="U837" s="172">
        <f>IF('Оперативный ввод'!S837="","",'Оперативный ввод'!S837)</f>
        <v/>
      </c>
      <c r="V837" s="172">
        <f>IF('Оперативный ввод'!T837="","",'Оперативный ввод'!T837)</f>
        <v/>
      </c>
      <c r="W837" s="172" t="n"/>
      <c r="X837" s="172" t="n"/>
      <c r="Y837" s="172" t="n"/>
      <c r="Z837" s="172" t="n"/>
      <c r="AA837" s="172">
        <f>IF('Оперативный ввод'!U837="","",'Оперативный ввод'!U837)</f>
        <v/>
      </c>
      <c r="AB837" s="172">
        <f>IF('Оперативный ввод'!V837="","",'Оперативный ввод'!V837)</f>
        <v/>
      </c>
      <c r="AC837" s="172">
        <f>IF('Оперативный ввод'!W837="","",'Оперативный ввод'!W837)</f>
        <v/>
      </c>
      <c r="BB837" s="172" t="n"/>
      <c r="BC837" s="172" t="n"/>
      <c r="BD837" s="205">
        <f>IF(AND(A837="",B837=""),"",IF(AND(P837="ГОТОВО",R837&lt;&gt;"",T837&lt;&gt;"",U837&lt;&gt;"",AA837&lt;&gt;"",AB837&lt;&gt;"",AC837&lt;&gt;"",BB837&lt;&gt;"",BC837&lt;&gt;""),"ГОТОВО","НЕ ГОТОВО"))</f>
        <v/>
      </c>
      <c r="BE837" s="205">
        <f>IF(BD837&lt;&gt;"ГОТОВО","","Полное заключение: "&amp;A837&amp;", скв. "&amp;B837&amp;". МРП: "&amp;E837&amp;" сут. ГНО: "&amp;F837&amp;"; причина: "&amp;U837&amp;"; категория: "&amp;V837&amp;"; решение комиссии: "&amp;BB837&amp;".")</f>
        <v/>
      </c>
      <c r="BF837" s="173">
        <f>IF('Оперативный ввод'!X837="","",'Оперативный ввод'!X837)</f>
        <v/>
      </c>
    </row>
    <row r="838">
      <c r="A838" s="171">
        <f>IF('Оперативный ввод'!A838="","",'Оперативный ввод'!A838)</f>
        <v/>
      </c>
      <c r="B838" s="172">
        <f>IF('Оперативный ввод'!B838="","",'Оперативный ввод'!B838)</f>
        <v/>
      </c>
      <c r="C838" s="270">
        <f>IF('Оперативный ввод'!C838="","",'Оперативный ввод'!C838)</f>
        <v/>
      </c>
      <c r="D838" s="270">
        <f>IF('Оперативный ввод'!D838="","",'Оперативный ввод'!D838)</f>
        <v/>
      </c>
      <c r="E838" s="271">
        <f>IF(OR(C838="",D838=""),"",D838-C838)</f>
        <v/>
      </c>
      <c r="F838" s="172">
        <f>IF('Оперативный ввод'!F838="","",'Оперативный ввод'!F838)</f>
        <v/>
      </c>
      <c r="G838" s="172">
        <f>IF('Оперативный ввод'!G838="","",'Оперативный ввод'!G838)</f>
        <v/>
      </c>
      <c r="H838" s="172">
        <f>IF('Оперативный ввод'!H838="","",'Оперативный ввод'!H838)</f>
        <v/>
      </c>
      <c r="I838" s="172">
        <f>IF('Оперативный ввод'!I838="","",'Оперативный ввод'!I838)</f>
        <v/>
      </c>
      <c r="J838" s="172">
        <f>IF('Оперативный ввод'!J838="","",'Оперативный ввод'!J838)</f>
        <v/>
      </c>
      <c r="K838" s="172">
        <f>IF('Оперативный ввод'!K838="","",'Оперативный ввод'!K838)</f>
        <v/>
      </c>
      <c r="L838" s="172">
        <f>IF('Оперативный ввод'!L838="","",'Оперативный ввод'!L838)</f>
        <v/>
      </c>
      <c r="M838" s="172">
        <f>IF('Оперативный ввод'!M838="","",'Оперативный ввод'!M838)</f>
        <v/>
      </c>
      <c r="N838" s="172">
        <f>IF('Оперативный ввод'!N838="","",'Оперативный ввод'!N838)</f>
        <v/>
      </c>
      <c r="O838" s="172">
        <f>IF('Оперативный ввод'!O838="","",'Оперативный ввод'!O838)</f>
        <v/>
      </c>
      <c r="P838" s="205">
        <f>IF(AND(A838="",B838=""),"",IF(AND(A838&lt;&gt;"",B838&lt;&gt;"",C838&lt;&gt;"",D838&lt;&gt;"",F838&lt;&gt;"",G838&lt;&gt;"",H838&lt;&gt;"",ISERROR(SEARCH("по паспорту",G838)),ISERROR(SEARCH("по паспорту",H838)),I838&lt;&gt;"",J838&lt;&gt;"",K838&lt;&gt;"",L838&lt;&gt;"",M838&lt;&gt;""),"ГОТОВО","НЕ ГОТОВО"))</f>
        <v/>
      </c>
      <c r="Q838" s="205">
        <f>IF(P838&lt;&gt;"ГОТОВО","", "Предварительное заключение: "&amp;A838&amp;", скв. "&amp;B838&amp;". МРП: "&amp;E838&amp;" сут. ГНО: "&amp;F838&amp;", типоразмер "&amp;G838&amp;", марка "&amp;H838&amp;". Событие: "&amp;I838&amp;". Признак: "&amp;J838&amp;". Узел: "&amp;K838&amp;". Предварительная причина: "&amp;L838&amp;". Основное осложнение: "&amp;M838&amp;IF(N838&lt;&gt;"","; сопутствующее: "&amp;N838,"")&amp;IF(O838&lt;&gt;"","; дополнительно: "&amp;O838,"")&amp;".")</f>
        <v/>
      </c>
      <c r="R838" s="172">
        <f>IF('Оперативный ввод'!P838="","",'Оперативный ввод'!P838)</f>
        <v/>
      </c>
      <c r="S838" s="172">
        <f>IF('Оперативный ввод'!Q838="","",'Оперативный ввод'!Q838)</f>
        <v/>
      </c>
      <c r="T838" s="172">
        <f>IF('Оперативный ввод'!R838="","",'Оперативный ввод'!R838)</f>
        <v/>
      </c>
      <c r="U838" s="172">
        <f>IF('Оперативный ввод'!S838="","",'Оперативный ввод'!S838)</f>
        <v/>
      </c>
      <c r="V838" s="172">
        <f>IF('Оперативный ввод'!T838="","",'Оперативный ввод'!T838)</f>
        <v/>
      </c>
      <c r="W838" s="172" t="n"/>
      <c r="X838" s="172" t="n"/>
      <c r="Y838" s="172" t="n"/>
      <c r="Z838" s="172" t="n"/>
      <c r="AA838" s="172">
        <f>IF('Оперативный ввод'!U838="","",'Оперативный ввод'!U838)</f>
        <v/>
      </c>
      <c r="AB838" s="172">
        <f>IF('Оперативный ввод'!V838="","",'Оперативный ввод'!V838)</f>
        <v/>
      </c>
      <c r="AC838" s="172">
        <f>IF('Оперативный ввод'!W838="","",'Оперативный ввод'!W838)</f>
        <v/>
      </c>
      <c r="BB838" s="172" t="n"/>
      <c r="BC838" s="172" t="n"/>
      <c r="BD838" s="205">
        <f>IF(AND(A838="",B838=""),"",IF(AND(P838="ГОТОВО",R838&lt;&gt;"",T838&lt;&gt;"",U838&lt;&gt;"",AA838&lt;&gt;"",AB838&lt;&gt;"",AC838&lt;&gt;"",BB838&lt;&gt;"",BC838&lt;&gt;""),"ГОТОВО","НЕ ГОТОВО"))</f>
        <v/>
      </c>
      <c r="BE838" s="205">
        <f>IF(BD838&lt;&gt;"ГОТОВО","","Полное заключение: "&amp;A838&amp;", скв. "&amp;B838&amp;". МРП: "&amp;E838&amp;" сут. ГНО: "&amp;F838&amp;"; причина: "&amp;U838&amp;"; категория: "&amp;V838&amp;"; решение комиссии: "&amp;BB838&amp;".")</f>
        <v/>
      </c>
      <c r="BF838" s="173">
        <f>IF('Оперативный ввод'!X838="","",'Оперативный ввод'!X838)</f>
        <v/>
      </c>
    </row>
    <row r="839">
      <c r="A839" s="171">
        <f>IF('Оперативный ввод'!A839="","",'Оперативный ввод'!A839)</f>
        <v/>
      </c>
      <c r="B839" s="172">
        <f>IF('Оперативный ввод'!B839="","",'Оперативный ввод'!B839)</f>
        <v/>
      </c>
      <c r="C839" s="270">
        <f>IF('Оперативный ввод'!C839="","",'Оперативный ввод'!C839)</f>
        <v/>
      </c>
      <c r="D839" s="270">
        <f>IF('Оперативный ввод'!D839="","",'Оперативный ввод'!D839)</f>
        <v/>
      </c>
      <c r="E839" s="271">
        <f>IF(OR(C839="",D839=""),"",D839-C839)</f>
        <v/>
      </c>
      <c r="F839" s="172">
        <f>IF('Оперативный ввод'!F839="","",'Оперативный ввод'!F839)</f>
        <v/>
      </c>
      <c r="G839" s="172">
        <f>IF('Оперативный ввод'!G839="","",'Оперативный ввод'!G839)</f>
        <v/>
      </c>
      <c r="H839" s="172">
        <f>IF('Оперативный ввод'!H839="","",'Оперативный ввод'!H839)</f>
        <v/>
      </c>
      <c r="I839" s="172">
        <f>IF('Оперативный ввод'!I839="","",'Оперативный ввод'!I839)</f>
        <v/>
      </c>
      <c r="J839" s="172">
        <f>IF('Оперативный ввод'!J839="","",'Оперативный ввод'!J839)</f>
        <v/>
      </c>
      <c r="K839" s="172">
        <f>IF('Оперативный ввод'!K839="","",'Оперативный ввод'!K839)</f>
        <v/>
      </c>
      <c r="L839" s="172">
        <f>IF('Оперативный ввод'!L839="","",'Оперативный ввод'!L839)</f>
        <v/>
      </c>
      <c r="M839" s="172">
        <f>IF('Оперативный ввод'!M839="","",'Оперативный ввод'!M839)</f>
        <v/>
      </c>
      <c r="N839" s="172">
        <f>IF('Оперативный ввод'!N839="","",'Оперативный ввод'!N839)</f>
        <v/>
      </c>
      <c r="O839" s="172">
        <f>IF('Оперативный ввод'!O839="","",'Оперативный ввод'!O839)</f>
        <v/>
      </c>
      <c r="P839" s="205">
        <f>IF(AND(A839="",B839=""),"",IF(AND(A839&lt;&gt;"",B839&lt;&gt;"",C839&lt;&gt;"",D839&lt;&gt;"",F839&lt;&gt;"",G839&lt;&gt;"",H839&lt;&gt;"",ISERROR(SEARCH("по паспорту",G839)),ISERROR(SEARCH("по паспорту",H839)),I839&lt;&gt;"",J839&lt;&gt;"",K839&lt;&gt;"",L839&lt;&gt;"",M839&lt;&gt;""),"ГОТОВО","НЕ ГОТОВО"))</f>
        <v/>
      </c>
      <c r="Q839" s="205">
        <f>IF(P839&lt;&gt;"ГОТОВО","", "Предварительное заключение: "&amp;A839&amp;", скв. "&amp;B839&amp;". МРП: "&amp;E839&amp;" сут. ГНО: "&amp;F839&amp;", типоразмер "&amp;G839&amp;", марка "&amp;H839&amp;". Событие: "&amp;I839&amp;". Признак: "&amp;J839&amp;". Узел: "&amp;K839&amp;". Предварительная причина: "&amp;L839&amp;". Основное осложнение: "&amp;M839&amp;IF(N839&lt;&gt;"","; сопутствующее: "&amp;N839,"")&amp;IF(O839&lt;&gt;"","; дополнительно: "&amp;O839,"")&amp;".")</f>
        <v/>
      </c>
      <c r="R839" s="172">
        <f>IF('Оперативный ввод'!P839="","",'Оперативный ввод'!P839)</f>
        <v/>
      </c>
      <c r="S839" s="172">
        <f>IF('Оперативный ввод'!Q839="","",'Оперативный ввод'!Q839)</f>
        <v/>
      </c>
      <c r="T839" s="172">
        <f>IF('Оперативный ввод'!R839="","",'Оперативный ввод'!R839)</f>
        <v/>
      </c>
      <c r="U839" s="172">
        <f>IF('Оперативный ввод'!S839="","",'Оперативный ввод'!S839)</f>
        <v/>
      </c>
      <c r="V839" s="172">
        <f>IF('Оперативный ввод'!T839="","",'Оперативный ввод'!T839)</f>
        <v/>
      </c>
      <c r="W839" s="172" t="n"/>
      <c r="X839" s="172" t="n"/>
      <c r="Y839" s="172" t="n"/>
      <c r="Z839" s="172" t="n"/>
      <c r="AA839" s="172">
        <f>IF('Оперативный ввод'!U839="","",'Оперативный ввод'!U839)</f>
        <v/>
      </c>
      <c r="AB839" s="172">
        <f>IF('Оперативный ввод'!V839="","",'Оперативный ввод'!V839)</f>
        <v/>
      </c>
      <c r="AC839" s="172">
        <f>IF('Оперативный ввод'!W839="","",'Оперативный ввод'!W839)</f>
        <v/>
      </c>
      <c r="BB839" s="172" t="n"/>
      <c r="BC839" s="172" t="n"/>
      <c r="BD839" s="205">
        <f>IF(AND(A839="",B839=""),"",IF(AND(P839="ГОТОВО",R839&lt;&gt;"",T839&lt;&gt;"",U839&lt;&gt;"",AA839&lt;&gt;"",AB839&lt;&gt;"",AC839&lt;&gt;"",BB839&lt;&gt;"",BC839&lt;&gt;""),"ГОТОВО","НЕ ГОТОВО"))</f>
        <v/>
      </c>
      <c r="BE839" s="205">
        <f>IF(BD839&lt;&gt;"ГОТОВО","","Полное заключение: "&amp;A839&amp;", скв. "&amp;B839&amp;". МРП: "&amp;E839&amp;" сут. ГНО: "&amp;F839&amp;"; причина: "&amp;U839&amp;"; категория: "&amp;V839&amp;"; решение комиссии: "&amp;BB839&amp;".")</f>
        <v/>
      </c>
      <c r="BF839" s="173">
        <f>IF('Оперативный ввод'!X839="","",'Оперативный ввод'!X839)</f>
        <v/>
      </c>
    </row>
    <row r="840">
      <c r="A840" s="171">
        <f>IF('Оперативный ввод'!A840="","",'Оперативный ввод'!A840)</f>
        <v/>
      </c>
      <c r="B840" s="172">
        <f>IF('Оперативный ввод'!B840="","",'Оперативный ввод'!B840)</f>
        <v/>
      </c>
      <c r="C840" s="270">
        <f>IF('Оперативный ввод'!C840="","",'Оперативный ввод'!C840)</f>
        <v/>
      </c>
      <c r="D840" s="270">
        <f>IF('Оперативный ввод'!D840="","",'Оперативный ввод'!D840)</f>
        <v/>
      </c>
      <c r="E840" s="271">
        <f>IF(OR(C840="",D840=""),"",D840-C840)</f>
        <v/>
      </c>
      <c r="F840" s="172">
        <f>IF('Оперативный ввод'!F840="","",'Оперативный ввод'!F840)</f>
        <v/>
      </c>
      <c r="G840" s="172">
        <f>IF('Оперативный ввод'!G840="","",'Оперативный ввод'!G840)</f>
        <v/>
      </c>
      <c r="H840" s="172">
        <f>IF('Оперативный ввод'!H840="","",'Оперативный ввод'!H840)</f>
        <v/>
      </c>
      <c r="I840" s="172">
        <f>IF('Оперативный ввод'!I840="","",'Оперативный ввод'!I840)</f>
        <v/>
      </c>
      <c r="J840" s="172">
        <f>IF('Оперативный ввод'!J840="","",'Оперативный ввод'!J840)</f>
        <v/>
      </c>
      <c r="K840" s="172">
        <f>IF('Оперативный ввод'!K840="","",'Оперативный ввод'!K840)</f>
        <v/>
      </c>
      <c r="L840" s="172">
        <f>IF('Оперативный ввод'!L840="","",'Оперативный ввод'!L840)</f>
        <v/>
      </c>
      <c r="M840" s="172">
        <f>IF('Оперативный ввод'!M840="","",'Оперативный ввод'!M840)</f>
        <v/>
      </c>
      <c r="N840" s="172">
        <f>IF('Оперативный ввод'!N840="","",'Оперативный ввод'!N840)</f>
        <v/>
      </c>
      <c r="O840" s="172">
        <f>IF('Оперативный ввод'!O840="","",'Оперативный ввод'!O840)</f>
        <v/>
      </c>
      <c r="P840" s="205">
        <f>IF(AND(A840="",B840=""),"",IF(AND(A840&lt;&gt;"",B840&lt;&gt;"",C840&lt;&gt;"",D840&lt;&gt;"",F840&lt;&gt;"",G840&lt;&gt;"",H840&lt;&gt;"",ISERROR(SEARCH("по паспорту",G840)),ISERROR(SEARCH("по паспорту",H840)),I840&lt;&gt;"",J840&lt;&gt;"",K840&lt;&gt;"",L840&lt;&gt;"",M840&lt;&gt;""),"ГОТОВО","НЕ ГОТОВО"))</f>
        <v/>
      </c>
      <c r="Q840" s="205">
        <f>IF(P840&lt;&gt;"ГОТОВО","", "Предварительное заключение: "&amp;A840&amp;", скв. "&amp;B840&amp;". МРП: "&amp;E840&amp;" сут. ГНО: "&amp;F840&amp;", типоразмер "&amp;G840&amp;", марка "&amp;H840&amp;". Событие: "&amp;I840&amp;". Признак: "&amp;J840&amp;". Узел: "&amp;K840&amp;". Предварительная причина: "&amp;L840&amp;". Основное осложнение: "&amp;M840&amp;IF(N840&lt;&gt;"","; сопутствующее: "&amp;N840,"")&amp;IF(O840&lt;&gt;"","; дополнительно: "&amp;O840,"")&amp;".")</f>
        <v/>
      </c>
      <c r="R840" s="172">
        <f>IF('Оперативный ввод'!P840="","",'Оперативный ввод'!P840)</f>
        <v/>
      </c>
      <c r="S840" s="172">
        <f>IF('Оперативный ввод'!Q840="","",'Оперативный ввод'!Q840)</f>
        <v/>
      </c>
      <c r="T840" s="172">
        <f>IF('Оперативный ввод'!R840="","",'Оперативный ввод'!R840)</f>
        <v/>
      </c>
      <c r="U840" s="172">
        <f>IF('Оперативный ввод'!S840="","",'Оперативный ввод'!S840)</f>
        <v/>
      </c>
      <c r="V840" s="172">
        <f>IF('Оперативный ввод'!T840="","",'Оперативный ввод'!T840)</f>
        <v/>
      </c>
      <c r="W840" s="172" t="n"/>
      <c r="X840" s="172" t="n"/>
      <c r="Y840" s="172" t="n"/>
      <c r="Z840" s="172" t="n"/>
      <c r="AA840" s="172">
        <f>IF('Оперативный ввод'!U840="","",'Оперативный ввод'!U840)</f>
        <v/>
      </c>
      <c r="AB840" s="172">
        <f>IF('Оперативный ввод'!V840="","",'Оперативный ввод'!V840)</f>
        <v/>
      </c>
      <c r="AC840" s="172">
        <f>IF('Оперативный ввод'!W840="","",'Оперативный ввод'!W840)</f>
        <v/>
      </c>
      <c r="BB840" s="172" t="n"/>
      <c r="BC840" s="172" t="n"/>
      <c r="BD840" s="205">
        <f>IF(AND(A840="",B840=""),"",IF(AND(P840="ГОТОВО",R840&lt;&gt;"",T840&lt;&gt;"",U840&lt;&gt;"",AA840&lt;&gt;"",AB840&lt;&gt;"",AC840&lt;&gt;"",BB840&lt;&gt;"",BC840&lt;&gt;""),"ГОТОВО","НЕ ГОТОВО"))</f>
        <v/>
      </c>
      <c r="BE840" s="205">
        <f>IF(BD840&lt;&gt;"ГОТОВО","","Полное заключение: "&amp;A840&amp;", скв. "&amp;B840&amp;". МРП: "&amp;E840&amp;" сут. ГНО: "&amp;F840&amp;"; причина: "&amp;U840&amp;"; категория: "&amp;V840&amp;"; решение комиссии: "&amp;BB840&amp;".")</f>
        <v/>
      </c>
      <c r="BF840" s="173">
        <f>IF('Оперативный ввод'!X840="","",'Оперативный ввод'!X840)</f>
        <v/>
      </c>
    </row>
    <row r="841">
      <c r="A841" s="171">
        <f>IF('Оперативный ввод'!A841="","",'Оперативный ввод'!A841)</f>
        <v/>
      </c>
      <c r="B841" s="172">
        <f>IF('Оперативный ввод'!B841="","",'Оперативный ввод'!B841)</f>
        <v/>
      </c>
      <c r="C841" s="270">
        <f>IF('Оперативный ввод'!C841="","",'Оперативный ввод'!C841)</f>
        <v/>
      </c>
      <c r="D841" s="270">
        <f>IF('Оперативный ввод'!D841="","",'Оперативный ввод'!D841)</f>
        <v/>
      </c>
      <c r="E841" s="271">
        <f>IF(OR(C841="",D841=""),"",D841-C841)</f>
        <v/>
      </c>
      <c r="F841" s="172">
        <f>IF('Оперативный ввод'!F841="","",'Оперативный ввод'!F841)</f>
        <v/>
      </c>
      <c r="G841" s="172">
        <f>IF('Оперативный ввод'!G841="","",'Оперативный ввод'!G841)</f>
        <v/>
      </c>
      <c r="H841" s="172">
        <f>IF('Оперативный ввод'!H841="","",'Оперативный ввод'!H841)</f>
        <v/>
      </c>
      <c r="I841" s="172">
        <f>IF('Оперативный ввод'!I841="","",'Оперативный ввод'!I841)</f>
        <v/>
      </c>
      <c r="J841" s="172">
        <f>IF('Оперативный ввод'!J841="","",'Оперативный ввод'!J841)</f>
        <v/>
      </c>
      <c r="K841" s="172">
        <f>IF('Оперативный ввод'!K841="","",'Оперативный ввод'!K841)</f>
        <v/>
      </c>
      <c r="L841" s="172">
        <f>IF('Оперативный ввод'!L841="","",'Оперативный ввод'!L841)</f>
        <v/>
      </c>
      <c r="M841" s="172">
        <f>IF('Оперативный ввод'!M841="","",'Оперативный ввод'!M841)</f>
        <v/>
      </c>
      <c r="N841" s="172">
        <f>IF('Оперативный ввод'!N841="","",'Оперативный ввод'!N841)</f>
        <v/>
      </c>
      <c r="O841" s="172">
        <f>IF('Оперативный ввод'!O841="","",'Оперативный ввод'!O841)</f>
        <v/>
      </c>
      <c r="P841" s="205">
        <f>IF(AND(A841="",B841=""),"",IF(AND(A841&lt;&gt;"",B841&lt;&gt;"",C841&lt;&gt;"",D841&lt;&gt;"",F841&lt;&gt;"",G841&lt;&gt;"",H841&lt;&gt;"",ISERROR(SEARCH("по паспорту",G841)),ISERROR(SEARCH("по паспорту",H841)),I841&lt;&gt;"",J841&lt;&gt;"",K841&lt;&gt;"",L841&lt;&gt;"",M841&lt;&gt;""),"ГОТОВО","НЕ ГОТОВО"))</f>
        <v/>
      </c>
      <c r="Q841" s="205">
        <f>IF(P841&lt;&gt;"ГОТОВО","", "Предварительное заключение: "&amp;A841&amp;", скв. "&amp;B841&amp;". МРП: "&amp;E841&amp;" сут. ГНО: "&amp;F841&amp;", типоразмер "&amp;G841&amp;", марка "&amp;H841&amp;". Событие: "&amp;I841&amp;". Признак: "&amp;J841&amp;". Узел: "&amp;K841&amp;". Предварительная причина: "&amp;L841&amp;". Основное осложнение: "&amp;M841&amp;IF(N841&lt;&gt;"","; сопутствующее: "&amp;N841,"")&amp;IF(O841&lt;&gt;"","; дополнительно: "&amp;O841,"")&amp;".")</f>
        <v/>
      </c>
      <c r="R841" s="172">
        <f>IF('Оперативный ввод'!P841="","",'Оперативный ввод'!P841)</f>
        <v/>
      </c>
      <c r="S841" s="172">
        <f>IF('Оперативный ввод'!Q841="","",'Оперативный ввод'!Q841)</f>
        <v/>
      </c>
      <c r="T841" s="172">
        <f>IF('Оперативный ввод'!R841="","",'Оперативный ввод'!R841)</f>
        <v/>
      </c>
      <c r="U841" s="172">
        <f>IF('Оперативный ввод'!S841="","",'Оперативный ввод'!S841)</f>
        <v/>
      </c>
      <c r="V841" s="172">
        <f>IF('Оперативный ввод'!T841="","",'Оперативный ввод'!T841)</f>
        <v/>
      </c>
      <c r="W841" s="172" t="n"/>
      <c r="X841" s="172" t="n"/>
      <c r="Y841" s="172" t="n"/>
      <c r="Z841" s="172" t="n"/>
      <c r="AA841" s="172">
        <f>IF('Оперативный ввод'!U841="","",'Оперативный ввод'!U841)</f>
        <v/>
      </c>
      <c r="AB841" s="172">
        <f>IF('Оперативный ввод'!V841="","",'Оперативный ввод'!V841)</f>
        <v/>
      </c>
      <c r="AC841" s="172">
        <f>IF('Оперативный ввод'!W841="","",'Оперативный ввод'!W841)</f>
        <v/>
      </c>
      <c r="BB841" s="172" t="n"/>
      <c r="BC841" s="172" t="n"/>
      <c r="BD841" s="205">
        <f>IF(AND(A841="",B841=""),"",IF(AND(P841="ГОТОВО",R841&lt;&gt;"",T841&lt;&gt;"",U841&lt;&gt;"",AA841&lt;&gt;"",AB841&lt;&gt;"",AC841&lt;&gt;"",BB841&lt;&gt;"",BC841&lt;&gt;""),"ГОТОВО","НЕ ГОТОВО"))</f>
        <v/>
      </c>
      <c r="BE841" s="205">
        <f>IF(BD841&lt;&gt;"ГОТОВО","","Полное заключение: "&amp;A841&amp;", скв. "&amp;B841&amp;". МРП: "&amp;E841&amp;" сут. ГНО: "&amp;F841&amp;"; причина: "&amp;U841&amp;"; категория: "&amp;V841&amp;"; решение комиссии: "&amp;BB841&amp;".")</f>
        <v/>
      </c>
      <c r="BF841" s="173">
        <f>IF('Оперативный ввод'!X841="","",'Оперативный ввод'!X841)</f>
        <v/>
      </c>
    </row>
    <row r="842">
      <c r="A842" s="171">
        <f>IF('Оперативный ввод'!A842="","",'Оперативный ввод'!A842)</f>
        <v/>
      </c>
      <c r="B842" s="172">
        <f>IF('Оперативный ввод'!B842="","",'Оперативный ввод'!B842)</f>
        <v/>
      </c>
      <c r="C842" s="270">
        <f>IF('Оперативный ввод'!C842="","",'Оперативный ввод'!C842)</f>
        <v/>
      </c>
      <c r="D842" s="270">
        <f>IF('Оперативный ввод'!D842="","",'Оперативный ввод'!D842)</f>
        <v/>
      </c>
      <c r="E842" s="271">
        <f>IF(OR(C842="",D842=""),"",D842-C842)</f>
        <v/>
      </c>
      <c r="F842" s="172">
        <f>IF('Оперативный ввод'!F842="","",'Оперативный ввод'!F842)</f>
        <v/>
      </c>
      <c r="G842" s="172">
        <f>IF('Оперативный ввод'!G842="","",'Оперативный ввод'!G842)</f>
        <v/>
      </c>
      <c r="H842" s="172">
        <f>IF('Оперативный ввод'!H842="","",'Оперативный ввод'!H842)</f>
        <v/>
      </c>
      <c r="I842" s="172">
        <f>IF('Оперативный ввод'!I842="","",'Оперативный ввод'!I842)</f>
        <v/>
      </c>
      <c r="J842" s="172">
        <f>IF('Оперативный ввод'!J842="","",'Оперативный ввод'!J842)</f>
        <v/>
      </c>
      <c r="K842" s="172">
        <f>IF('Оперативный ввод'!K842="","",'Оперативный ввод'!K842)</f>
        <v/>
      </c>
      <c r="L842" s="172">
        <f>IF('Оперативный ввод'!L842="","",'Оперативный ввод'!L842)</f>
        <v/>
      </c>
      <c r="M842" s="172">
        <f>IF('Оперативный ввод'!M842="","",'Оперативный ввод'!M842)</f>
        <v/>
      </c>
      <c r="N842" s="172">
        <f>IF('Оперативный ввод'!N842="","",'Оперативный ввод'!N842)</f>
        <v/>
      </c>
      <c r="O842" s="172">
        <f>IF('Оперативный ввод'!O842="","",'Оперативный ввод'!O842)</f>
        <v/>
      </c>
      <c r="P842" s="205">
        <f>IF(AND(A842="",B842=""),"",IF(AND(A842&lt;&gt;"",B842&lt;&gt;"",C842&lt;&gt;"",D842&lt;&gt;"",F842&lt;&gt;"",G842&lt;&gt;"",H842&lt;&gt;"",ISERROR(SEARCH("по паспорту",G842)),ISERROR(SEARCH("по паспорту",H842)),I842&lt;&gt;"",J842&lt;&gt;"",K842&lt;&gt;"",L842&lt;&gt;"",M842&lt;&gt;""),"ГОТОВО","НЕ ГОТОВО"))</f>
        <v/>
      </c>
      <c r="Q842" s="205">
        <f>IF(P842&lt;&gt;"ГОТОВО","", "Предварительное заключение: "&amp;A842&amp;", скв. "&amp;B842&amp;". МРП: "&amp;E842&amp;" сут. ГНО: "&amp;F842&amp;", типоразмер "&amp;G842&amp;", марка "&amp;H842&amp;". Событие: "&amp;I842&amp;". Признак: "&amp;J842&amp;". Узел: "&amp;K842&amp;". Предварительная причина: "&amp;L842&amp;". Основное осложнение: "&amp;M842&amp;IF(N842&lt;&gt;"","; сопутствующее: "&amp;N842,"")&amp;IF(O842&lt;&gt;"","; дополнительно: "&amp;O842,"")&amp;".")</f>
        <v/>
      </c>
      <c r="R842" s="172">
        <f>IF('Оперативный ввод'!P842="","",'Оперативный ввод'!P842)</f>
        <v/>
      </c>
      <c r="S842" s="172">
        <f>IF('Оперативный ввод'!Q842="","",'Оперативный ввод'!Q842)</f>
        <v/>
      </c>
      <c r="T842" s="172">
        <f>IF('Оперативный ввод'!R842="","",'Оперативный ввод'!R842)</f>
        <v/>
      </c>
      <c r="U842" s="172">
        <f>IF('Оперативный ввод'!S842="","",'Оперативный ввод'!S842)</f>
        <v/>
      </c>
      <c r="V842" s="172">
        <f>IF('Оперативный ввод'!T842="","",'Оперативный ввод'!T842)</f>
        <v/>
      </c>
      <c r="W842" s="172" t="n"/>
      <c r="X842" s="172" t="n"/>
      <c r="Y842" s="172" t="n"/>
      <c r="Z842" s="172" t="n"/>
      <c r="AA842" s="172">
        <f>IF('Оперативный ввод'!U842="","",'Оперативный ввод'!U842)</f>
        <v/>
      </c>
      <c r="AB842" s="172">
        <f>IF('Оперативный ввод'!V842="","",'Оперативный ввод'!V842)</f>
        <v/>
      </c>
      <c r="AC842" s="172">
        <f>IF('Оперативный ввод'!W842="","",'Оперативный ввод'!W842)</f>
        <v/>
      </c>
      <c r="BB842" s="172" t="n"/>
      <c r="BC842" s="172" t="n"/>
      <c r="BD842" s="205">
        <f>IF(AND(A842="",B842=""),"",IF(AND(P842="ГОТОВО",R842&lt;&gt;"",T842&lt;&gt;"",U842&lt;&gt;"",AA842&lt;&gt;"",AB842&lt;&gt;"",AC842&lt;&gt;"",BB842&lt;&gt;"",BC842&lt;&gt;""),"ГОТОВО","НЕ ГОТОВО"))</f>
        <v/>
      </c>
      <c r="BE842" s="205">
        <f>IF(BD842&lt;&gt;"ГОТОВО","","Полное заключение: "&amp;A842&amp;", скв. "&amp;B842&amp;". МРП: "&amp;E842&amp;" сут. ГНО: "&amp;F842&amp;"; причина: "&amp;U842&amp;"; категория: "&amp;V842&amp;"; решение комиссии: "&amp;BB842&amp;".")</f>
        <v/>
      </c>
      <c r="BF842" s="173">
        <f>IF('Оперативный ввод'!X842="","",'Оперативный ввод'!X842)</f>
        <v/>
      </c>
    </row>
    <row r="843">
      <c r="A843" s="171">
        <f>IF('Оперативный ввод'!A843="","",'Оперативный ввод'!A843)</f>
        <v/>
      </c>
      <c r="B843" s="172">
        <f>IF('Оперативный ввод'!B843="","",'Оперативный ввод'!B843)</f>
        <v/>
      </c>
      <c r="C843" s="270">
        <f>IF('Оперативный ввод'!C843="","",'Оперативный ввод'!C843)</f>
        <v/>
      </c>
      <c r="D843" s="270">
        <f>IF('Оперативный ввод'!D843="","",'Оперативный ввод'!D843)</f>
        <v/>
      </c>
      <c r="E843" s="271">
        <f>IF(OR(C843="",D843=""),"",D843-C843)</f>
        <v/>
      </c>
      <c r="F843" s="172">
        <f>IF('Оперативный ввод'!F843="","",'Оперативный ввод'!F843)</f>
        <v/>
      </c>
      <c r="G843" s="172">
        <f>IF('Оперативный ввод'!G843="","",'Оперативный ввод'!G843)</f>
        <v/>
      </c>
      <c r="H843" s="172">
        <f>IF('Оперативный ввод'!H843="","",'Оперативный ввод'!H843)</f>
        <v/>
      </c>
      <c r="I843" s="172">
        <f>IF('Оперативный ввод'!I843="","",'Оперативный ввод'!I843)</f>
        <v/>
      </c>
      <c r="J843" s="172">
        <f>IF('Оперативный ввод'!J843="","",'Оперативный ввод'!J843)</f>
        <v/>
      </c>
      <c r="K843" s="172">
        <f>IF('Оперативный ввод'!K843="","",'Оперативный ввод'!K843)</f>
        <v/>
      </c>
      <c r="L843" s="172">
        <f>IF('Оперативный ввод'!L843="","",'Оперативный ввод'!L843)</f>
        <v/>
      </c>
      <c r="M843" s="172">
        <f>IF('Оперативный ввод'!M843="","",'Оперативный ввод'!M843)</f>
        <v/>
      </c>
      <c r="N843" s="172">
        <f>IF('Оперативный ввод'!N843="","",'Оперативный ввод'!N843)</f>
        <v/>
      </c>
      <c r="O843" s="172">
        <f>IF('Оперативный ввод'!O843="","",'Оперативный ввод'!O843)</f>
        <v/>
      </c>
      <c r="P843" s="205">
        <f>IF(AND(A843="",B843=""),"",IF(AND(A843&lt;&gt;"",B843&lt;&gt;"",C843&lt;&gt;"",D843&lt;&gt;"",F843&lt;&gt;"",G843&lt;&gt;"",H843&lt;&gt;"",ISERROR(SEARCH("по паспорту",G843)),ISERROR(SEARCH("по паспорту",H843)),I843&lt;&gt;"",J843&lt;&gt;"",K843&lt;&gt;"",L843&lt;&gt;"",M843&lt;&gt;""),"ГОТОВО","НЕ ГОТОВО"))</f>
        <v/>
      </c>
      <c r="Q843" s="205">
        <f>IF(P843&lt;&gt;"ГОТОВО","", "Предварительное заключение: "&amp;A843&amp;", скв. "&amp;B843&amp;". МРП: "&amp;E843&amp;" сут. ГНО: "&amp;F843&amp;", типоразмер "&amp;G843&amp;", марка "&amp;H843&amp;". Событие: "&amp;I843&amp;". Признак: "&amp;J843&amp;". Узел: "&amp;K843&amp;". Предварительная причина: "&amp;L843&amp;". Основное осложнение: "&amp;M843&amp;IF(N843&lt;&gt;"","; сопутствующее: "&amp;N843,"")&amp;IF(O843&lt;&gt;"","; дополнительно: "&amp;O843,"")&amp;".")</f>
        <v/>
      </c>
      <c r="R843" s="172">
        <f>IF('Оперативный ввод'!P843="","",'Оперативный ввод'!P843)</f>
        <v/>
      </c>
      <c r="S843" s="172">
        <f>IF('Оперативный ввод'!Q843="","",'Оперативный ввод'!Q843)</f>
        <v/>
      </c>
      <c r="T843" s="172">
        <f>IF('Оперативный ввод'!R843="","",'Оперативный ввод'!R843)</f>
        <v/>
      </c>
      <c r="U843" s="172">
        <f>IF('Оперативный ввод'!S843="","",'Оперативный ввод'!S843)</f>
        <v/>
      </c>
      <c r="V843" s="172">
        <f>IF('Оперативный ввод'!T843="","",'Оперативный ввод'!T843)</f>
        <v/>
      </c>
      <c r="W843" s="172" t="n"/>
      <c r="X843" s="172" t="n"/>
      <c r="Y843" s="172" t="n"/>
      <c r="Z843" s="172" t="n"/>
      <c r="AA843" s="172">
        <f>IF('Оперативный ввод'!U843="","",'Оперативный ввод'!U843)</f>
        <v/>
      </c>
      <c r="AB843" s="172">
        <f>IF('Оперативный ввод'!V843="","",'Оперативный ввод'!V843)</f>
        <v/>
      </c>
      <c r="AC843" s="172">
        <f>IF('Оперативный ввод'!W843="","",'Оперативный ввод'!W843)</f>
        <v/>
      </c>
      <c r="BB843" s="172" t="n"/>
      <c r="BC843" s="172" t="n"/>
      <c r="BD843" s="205">
        <f>IF(AND(A843="",B843=""),"",IF(AND(P843="ГОТОВО",R843&lt;&gt;"",T843&lt;&gt;"",U843&lt;&gt;"",AA843&lt;&gt;"",AB843&lt;&gt;"",AC843&lt;&gt;"",BB843&lt;&gt;"",BC843&lt;&gt;""),"ГОТОВО","НЕ ГОТОВО"))</f>
        <v/>
      </c>
      <c r="BE843" s="205">
        <f>IF(BD843&lt;&gt;"ГОТОВО","","Полное заключение: "&amp;A843&amp;", скв. "&amp;B843&amp;". МРП: "&amp;E843&amp;" сут. ГНО: "&amp;F843&amp;"; причина: "&amp;U843&amp;"; категория: "&amp;V843&amp;"; решение комиссии: "&amp;BB843&amp;".")</f>
        <v/>
      </c>
      <c r="BF843" s="173">
        <f>IF('Оперативный ввод'!X843="","",'Оперативный ввод'!X843)</f>
        <v/>
      </c>
    </row>
    <row r="844">
      <c r="A844" s="171">
        <f>IF('Оперативный ввод'!A844="","",'Оперативный ввод'!A844)</f>
        <v/>
      </c>
      <c r="B844" s="172">
        <f>IF('Оперативный ввод'!B844="","",'Оперативный ввод'!B844)</f>
        <v/>
      </c>
      <c r="C844" s="270">
        <f>IF('Оперативный ввод'!C844="","",'Оперативный ввод'!C844)</f>
        <v/>
      </c>
      <c r="D844" s="270">
        <f>IF('Оперативный ввод'!D844="","",'Оперативный ввод'!D844)</f>
        <v/>
      </c>
      <c r="E844" s="271">
        <f>IF(OR(C844="",D844=""),"",D844-C844)</f>
        <v/>
      </c>
      <c r="F844" s="172">
        <f>IF('Оперативный ввод'!F844="","",'Оперативный ввод'!F844)</f>
        <v/>
      </c>
      <c r="G844" s="172">
        <f>IF('Оперативный ввод'!G844="","",'Оперативный ввод'!G844)</f>
        <v/>
      </c>
      <c r="H844" s="172">
        <f>IF('Оперативный ввод'!H844="","",'Оперативный ввод'!H844)</f>
        <v/>
      </c>
      <c r="I844" s="172">
        <f>IF('Оперативный ввод'!I844="","",'Оперативный ввод'!I844)</f>
        <v/>
      </c>
      <c r="J844" s="172">
        <f>IF('Оперативный ввод'!J844="","",'Оперативный ввод'!J844)</f>
        <v/>
      </c>
      <c r="K844" s="172">
        <f>IF('Оперативный ввод'!K844="","",'Оперативный ввод'!K844)</f>
        <v/>
      </c>
      <c r="L844" s="172">
        <f>IF('Оперативный ввод'!L844="","",'Оперативный ввод'!L844)</f>
        <v/>
      </c>
      <c r="M844" s="172">
        <f>IF('Оперативный ввод'!M844="","",'Оперативный ввод'!M844)</f>
        <v/>
      </c>
      <c r="N844" s="172">
        <f>IF('Оперативный ввод'!N844="","",'Оперативный ввод'!N844)</f>
        <v/>
      </c>
      <c r="O844" s="172">
        <f>IF('Оперативный ввод'!O844="","",'Оперативный ввод'!O844)</f>
        <v/>
      </c>
      <c r="P844" s="205">
        <f>IF(AND(A844="",B844=""),"",IF(AND(A844&lt;&gt;"",B844&lt;&gt;"",C844&lt;&gt;"",D844&lt;&gt;"",F844&lt;&gt;"",G844&lt;&gt;"",H844&lt;&gt;"",ISERROR(SEARCH("по паспорту",G844)),ISERROR(SEARCH("по паспорту",H844)),I844&lt;&gt;"",J844&lt;&gt;"",K844&lt;&gt;"",L844&lt;&gt;"",M844&lt;&gt;""),"ГОТОВО","НЕ ГОТОВО"))</f>
        <v/>
      </c>
      <c r="Q844" s="205">
        <f>IF(P844&lt;&gt;"ГОТОВО","", "Предварительное заключение: "&amp;A844&amp;", скв. "&amp;B844&amp;". МРП: "&amp;E844&amp;" сут. ГНО: "&amp;F844&amp;", типоразмер "&amp;G844&amp;", марка "&amp;H844&amp;". Событие: "&amp;I844&amp;". Признак: "&amp;J844&amp;". Узел: "&amp;K844&amp;". Предварительная причина: "&amp;L844&amp;". Основное осложнение: "&amp;M844&amp;IF(N844&lt;&gt;"","; сопутствующее: "&amp;N844,"")&amp;IF(O844&lt;&gt;"","; дополнительно: "&amp;O844,"")&amp;".")</f>
        <v/>
      </c>
      <c r="R844" s="172">
        <f>IF('Оперативный ввод'!P844="","",'Оперативный ввод'!P844)</f>
        <v/>
      </c>
      <c r="S844" s="172">
        <f>IF('Оперативный ввод'!Q844="","",'Оперативный ввод'!Q844)</f>
        <v/>
      </c>
      <c r="T844" s="172">
        <f>IF('Оперативный ввод'!R844="","",'Оперативный ввод'!R844)</f>
        <v/>
      </c>
      <c r="U844" s="172">
        <f>IF('Оперативный ввод'!S844="","",'Оперативный ввод'!S844)</f>
        <v/>
      </c>
      <c r="V844" s="172">
        <f>IF('Оперативный ввод'!T844="","",'Оперативный ввод'!T844)</f>
        <v/>
      </c>
      <c r="W844" s="172" t="n"/>
      <c r="X844" s="172" t="n"/>
      <c r="Y844" s="172" t="n"/>
      <c r="Z844" s="172" t="n"/>
      <c r="AA844" s="172">
        <f>IF('Оперативный ввод'!U844="","",'Оперативный ввод'!U844)</f>
        <v/>
      </c>
      <c r="AB844" s="172">
        <f>IF('Оперативный ввод'!V844="","",'Оперативный ввод'!V844)</f>
        <v/>
      </c>
      <c r="AC844" s="172">
        <f>IF('Оперативный ввод'!W844="","",'Оперативный ввод'!W844)</f>
        <v/>
      </c>
      <c r="BB844" s="172" t="n"/>
      <c r="BC844" s="172" t="n"/>
      <c r="BD844" s="205">
        <f>IF(AND(A844="",B844=""),"",IF(AND(P844="ГОТОВО",R844&lt;&gt;"",T844&lt;&gt;"",U844&lt;&gt;"",AA844&lt;&gt;"",AB844&lt;&gt;"",AC844&lt;&gt;"",BB844&lt;&gt;"",BC844&lt;&gt;""),"ГОТОВО","НЕ ГОТОВО"))</f>
        <v/>
      </c>
      <c r="BE844" s="205">
        <f>IF(BD844&lt;&gt;"ГОТОВО","","Полное заключение: "&amp;A844&amp;", скв. "&amp;B844&amp;". МРП: "&amp;E844&amp;" сут. ГНО: "&amp;F844&amp;"; причина: "&amp;U844&amp;"; категория: "&amp;V844&amp;"; решение комиссии: "&amp;BB844&amp;".")</f>
        <v/>
      </c>
      <c r="BF844" s="173">
        <f>IF('Оперативный ввод'!X844="","",'Оперативный ввод'!X844)</f>
        <v/>
      </c>
    </row>
    <row r="845">
      <c r="A845" s="171">
        <f>IF('Оперативный ввод'!A845="","",'Оперативный ввод'!A845)</f>
        <v/>
      </c>
      <c r="B845" s="172">
        <f>IF('Оперативный ввод'!B845="","",'Оперативный ввод'!B845)</f>
        <v/>
      </c>
      <c r="C845" s="270">
        <f>IF('Оперативный ввод'!C845="","",'Оперативный ввод'!C845)</f>
        <v/>
      </c>
      <c r="D845" s="270">
        <f>IF('Оперативный ввод'!D845="","",'Оперативный ввод'!D845)</f>
        <v/>
      </c>
      <c r="E845" s="271">
        <f>IF(OR(C845="",D845=""),"",D845-C845)</f>
        <v/>
      </c>
      <c r="F845" s="172">
        <f>IF('Оперативный ввод'!F845="","",'Оперативный ввод'!F845)</f>
        <v/>
      </c>
      <c r="G845" s="172">
        <f>IF('Оперативный ввод'!G845="","",'Оперативный ввод'!G845)</f>
        <v/>
      </c>
      <c r="H845" s="172">
        <f>IF('Оперативный ввод'!H845="","",'Оперативный ввод'!H845)</f>
        <v/>
      </c>
      <c r="I845" s="172">
        <f>IF('Оперативный ввод'!I845="","",'Оперативный ввод'!I845)</f>
        <v/>
      </c>
      <c r="J845" s="172">
        <f>IF('Оперативный ввод'!J845="","",'Оперативный ввод'!J845)</f>
        <v/>
      </c>
      <c r="K845" s="172">
        <f>IF('Оперативный ввод'!K845="","",'Оперативный ввод'!K845)</f>
        <v/>
      </c>
      <c r="L845" s="172">
        <f>IF('Оперативный ввод'!L845="","",'Оперативный ввод'!L845)</f>
        <v/>
      </c>
      <c r="M845" s="172">
        <f>IF('Оперативный ввод'!M845="","",'Оперативный ввод'!M845)</f>
        <v/>
      </c>
      <c r="N845" s="172">
        <f>IF('Оперативный ввод'!N845="","",'Оперативный ввод'!N845)</f>
        <v/>
      </c>
      <c r="O845" s="172">
        <f>IF('Оперативный ввод'!O845="","",'Оперативный ввод'!O845)</f>
        <v/>
      </c>
      <c r="P845" s="205">
        <f>IF(AND(A845="",B845=""),"",IF(AND(A845&lt;&gt;"",B845&lt;&gt;"",C845&lt;&gt;"",D845&lt;&gt;"",F845&lt;&gt;"",G845&lt;&gt;"",H845&lt;&gt;"",ISERROR(SEARCH("по паспорту",G845)),ISERROR(SEARCH("по паспорту",H845)),I845&lt;&gt;"",J845&lt;&gt;"",K845&lt;&gt;"",L845&lt;&gt;"",M845&lt;&gt;""),"ГОТОВО","НЕ ГОТОВО"))</f>
        <v/>
      </c>
      <c r="Q845" s="205">
        <f>IF(P845&lt;&gt;"ГОТОВО","", "Предварительное заключение: "&amp;A845&amp;", скв. "&amp;B845&amp;". МРП: "&amp;E845&amp;" сут. ГНО: "&amp;F845&amp;", типоразмер "&amp;G845&amp;", марка "&amp;H845&amp;". Событие: "&amp;I845&amp;". Признак: "&amp;J845&amp;". Узел: "&amp;K845&amp;". Предварительная причина: "&amp;L845&amp;". Основное осложнение: "&amp;M845&amp;IF(N845&lt;&gt;"","; сопутствующее: "&amp;N845,"")&amp;IF(O845&lt;&gt;"","; дополнительно: "&amp;O845,"")&amp;".")</f>
        <v/>
      </c>
      <c r="R845" s="172">
        <f>IF('Оперативный ввод'!P845="","",'Оперативный ввод'!P845)</f>
        <v/>
      </c>
      <c r="S845" s="172">
        <f>IF('Оперативный ввод'!Q845="","",'Оперативный ввод'!Q845)</f>
        <v/>
      </c>
      <c r="T845" s="172">
        <f>IF('Оперативный ввод'!R845="","",'Оперативный ввод'!R845)</f>
        <v/>
      </c>
      <c r="U845" s="172">
        <f>IF('Оперативный ввод'!S845="","",'Оперативный ввод'!S845)</f>
        <v/>
      </c>
      <c r="V845" s="172">
        <f>IF('Оперативный ввод'!T845="","",'Оперативный ввод'!T845)</f>
        <v/>
      </c>
      <c r="W845" s="172" t="n"/>
      <c r="X845" s="172" t="n"/>
      <c r="Y845" s="172" t="n"/>
      <c r="Z845" s="172" t="n"/>
      <c r="AA845" s="172">
        <f>IF('Оперативный ввод'!U845="","",'Оперативный ввод'!U845)</f>
        <v/>
      </c>
      <c r="AB845" s="172">
        <f>IF('Оперативный ввод'!V845="","",'Оперативный ввод'!V845)</f>
        <v/>
      </c>
      <c r="AC845" s="172">
        <f>IF('Оперативный ввод'!W845="","",'Оперативный ввод'!W845)</f>
        <v/>
      </c>
      <c r="BB845" s="172" t="n"/>
      <c r="BC845" s="172" t="n"/>
      <c r="BD845" s="205">
        <f>IF(AND(A845="",B845=""),"",IF(AND(P845="ГОТОВО",R845&lt;&gt;"",T845&lt;&gt;"",U845&lt;&gt;"",AA845&lt;&gt;"",AB845&lt;&gt;"",AC845&lt;&gt;"",BB845&lt;&gt;"",BC845&lt;&gt;""),"ГОТОВО","НЕ ГОТОВО"))</f>
        <v/>
      </c>
      <c r="BE845" s="205">
        <f>IF(BD845&lt;&gt;"ГОТОВО","","Полное заключение: "&amp;A845&amp;", скв. "&amp;B845&amp;". МРП: "&amp;E845&amp;" сут. ГНО: "&amp;F845&amp;"; причина: "&amp;U845&amp;"; категория: "&amp;V845&amp;"; решение комиссии: "&amp;BB845&amp;".")</f>
        <v/>
      </c>
      <c r="BF845" s="173">
        <f>IF('Оперативный ввод'!X845="","",'Оперативный ввод'!X845)</f>
        <v/>
      </c>
    </row>
    <row r="846">
      <c r="A846" s="171">
        <f>IF('Оперативный ввод'!A846="","",'Оперативный ввод'!A846)</f>
        <v/>
      </c>
      <c r="B846" s="172">
        <f>IF('Оперативный ввод'!B846="","",'Оперативный ввод'!B846)</f>
        <v/>
      </c>
      <c r="C846" s="270">
        <f>IF('Оперативный ввод'!C846="","",'Оперативный ввод'!C846)</f>
        <v/>
      </c>
      <c r="D846" s="270">
        <f>IF('Оперативный ввод'!D846="","",'Оперативный ввод'!D846)</f>
        <v/>
      </c>
      <c r="E846" s="271">
        <f>IF(OR(C846="",D846=""),"",D846-C846)</f>
        <v/>
      </c>
      <c r="F846" s="172">
        <f>IF('Оперативный ввод'!F846="","",'Оперативный ввод'!F846)</f>
        <v/>
      </c>
      <c r="G846" s="172">
        <f>IF('Оперативный ввод'!G846="","",'Оперативный ввод'!G846)</f>
        <v/>
      </c>
      <c r="H846" s="172">
        <f>IF('Оперативный ввод'!H846="","",'Оперативный ввод'!H846)</f>
        <v/>
      </c>
      <c r="I846" s="172">
        <f>IF('Оперативный ввод'!I846="","",'Оперативный ввод'!I846)</f>
        <v/>
      </c>
      <c r="J846" s="172">
        <f>IF('Оперативный ввод'!J846="","",'Оперативный ввод'!J846)</f>
        <v/>
      </c>
      <c r="K846" s="172">
        <f>IF('Оперативный ввод'!K846="","",'Оперативный ввод'!K846)</f>
        <v/>
      </c>
      <c r="L846" s="172">
        <f>IF('Оперативный ввод'!L846="","",'Оперативный ввод'!L846)</f>
        <v/>
      </c>
      <c r="M846" s="172">
        <f>IF('Оперативный ввод'!M846="","",'Оперативный ввод'!M846)</f>
        <v/>
      </c>
      <c r="N846" s="172">
        <f>IF('Оперативный ввод'!N846="","",'Оперативный ввод'!N846)</f>
        <v/>
      </c>
      <c r="O846" s="172">
        <f>IF('Оперативный ввод'!O846="","",'Оперативный ввод'!O846)</f>
        <v/>
      </c>
      <c r="P846" s="205">
        <f>IF(AND(A846="",B846=""),"",IF(AND(A846&lt;&gt;"",B846&lt;&gt;"",C846&lt;&gt;"",D846&lt;&gt;"",F846&lt;&gt;"",G846&lt;&gt;"",H846&lt;&gt;"",ISERROR(SEARCH("по паспорту",G846)),ISERROR(SEARCH("по паспорту",H846)),I846&lt;&gt;"",J846&lt;&gt;"",K846&lt;&gt;"",L846&lt;&gt;"",M846&lt;&gt;""),"ГОТОВО","НЕ ГОТОВО"))</f>
        <v/>
      </c>
      <c r="Q846" s="205">
        <f>IF(P846&lt;&gt;"ГОТОВО","", "Предварительное заключение: "&amp;A846&amp;", скв. "&amp;B846&amp;". МРП: "&amp;E846&amp;" сут. ГНО: "&amp;F846&amp;", типоразмер "&amp;G846&amp;", марка "&amp;H846&amp;". Событие: "&amp;I846&amp;". Признак: "&amp;J846&amp;". Узел: "&amp;K846&amp;". Предварительная причина: "&amp;L846&amp;". Основное осложнение: "&amp;M846&amp;IF(N846&lt;&gt;"","; сопутствующее: "&amp;N846,"")&amp;IF(O846&lt;&gt;"","; дополнительно: "&amp;O846,"")&amp;".")</f>
        <v/>
      </c>
      <c r="R846" s="172">
        <f>IF('Оперативный ввод'!P846="","",'Оперативный ввод'!P846)</f>
        <v/>
      </c>
      <c r="S846" s="172">
        <f>IF('Оперативный ввод'!Q846="","",'Оперативный ввод'!Q846)</f>
        <v/>
      </c>
      <c r="T846" s="172">
        <f>IF('Оперативный ввод'!R846="","",'Оперативный ввод'!R846)</f>
        <v/>
      </c>
      <c r="U846" s="172">
        <f>IF('Оперативный ввод'!S846="","",'Оперативный ввод'!S846)</f>
        <v/>
      </c>
      <c r="V846" s="172">
        <f>IF('Оперативный ввод'!T846="","",'Оперативный ввод'!T846)</f>
        <v/>
      </c>
      <c r="W846" s="172" t="n"/>
      <c r="X846" s="172" t="n"/>
      <c r="Y846" s="172" t="n"/>
      <c r="Z846" s="172" t="n"/>
      <c r="AA846" s="172">
        <f>IF('Оперативный ввод'!U846="","",'Оперативный ввод'!U846)</f>
        <v/>
      </c>
      <c r="AB846" s="172">
        <f>IF('Оперативный ввод'!V846="","",'Оперативный ввод'!V846)</f>
        <v/>
      </c>
      <c r="AC846" s="172">
        <f>IF('Оперативный ввод'!W846="","",'Оперативный ввод'!W846)</f>
        <v/>
      </c>
      <c r="BB846" s="172" t="n"/>
      <c r="BC846" s="172" t="n"/>
      <c r="BD846" s="205">
        <f>IF(AND(A846="",B846=""),"",IF(AND(P846="ГОТОВО",R846&lt;&gt;"",T846&lt;&gt;"",U846&lt;&gt;"",AA846&lt;&gt;"",AB846&lt;&gt;"",AC846&lt;&gt;"",BB846&lt;&gt;"",BC846&lt;&gt;""),"ГОТОВО","НЕ ГОТОВО"))</f>
        <v/>
      </c>
      <c r="BE846" s="205">
        <f>IF(BD846&lt;&gt;"ГОТОВО","","Полное заключение: "&amp;A846&amp;", скв. "&amp;B846&amp;". МРП: "&amp;E846&amp;" сут. ГНО: "&amp;F846&amp;"; причина: "&amp;U846&amp;"; категория: "&amp;V846&amp;"; решение комиссии: "&amp;BB846&amp;".")</f>
        <v/>
      </c>
      <c r="BF846" s="173">
        <f>IF('Оперативный ввод'!X846="","",'Оперативный ввод'!X846)</f>
        <v/>
      </c>
    </row>
    <row r="847">
      <c r="A847" s="171">
        <f>IF('Оперативный ввод'!A847="","",'Оперативный ввод'!A847)</f>
        <v/>
      </c>
      <c r="B847" s="172">
        <f>IF('Оперативный ввод'!B847="","",'Оперативный ввод'!B847)</f>
        <v/>
      </c>
      <c r="C847" s="270">
        <f>IF('Оперативный ввод'!C847="","",'Оперативный ввод'!C847)</f>
        <v/>
      </c>
      <c r="D847" s="270">
        <f>IF('Оперативный ввод'!D847="","",'Оперативный ввод'!D847)</f>
        <v/>
      </c>
      <c r="E847" s="271">
        <f>IF(OR(C847="",D847=""),"",D847-C847)</f>
        <v/>
      </c>
      <c r="F847" s="172">
        <f>IF('Оперативный ввод'!F847="","",'Оперативный ввод'!F847)</f>
        <v/>
      </c>
      <c r="G847" s="172">
        <f>IF('Оперативный ввод'!G847="","",'Оперативный ввод'!G847)</f>
        <v/>
      </c>
      <c r="H847" s="172">
        <f>IF('Оперативный ввод'!H847="","",'Оперативный ввод'!H847)</f>
        <v/>
      </c>
      <c r="I847" s="172">
        <f>IF('Оперативный ввод'!I847="","",'Оперативный ввод'!I847)</f>
        <v/>
      </c>
      <c r="J847" s="172">
        <f>IF('Оперативный ввод'!J847="","",'Оперативный ввод'!J847)</f>
        <v/>
      </c>
      <c r="K847" s="172">
        <f>IF('Оперативный ввод'!K847="","",'Оперативный ввод'!K847)</f>
        <v/>
      </c>
      <c r="L847" s="172">
        <f>IF('Оперативный ввод'!L847="","",'Оперативный ввод'!L847)</f>
        <v/>
      </c>
      <c r="M847" s="172">
        <f>IF('Оперативный ввод'!M847="","",'Оперативный ввод'!M847)</f>
        <v/>
      </c>
      <c r="N847" s="172">
        <f>IF('Оперативный ввод'!N847="","",'Оперативный ввод'!N847)</f>
        <v/>
      </c>
      <c r="O847" s="172">
        <f>IF('Оперативный ввод'!O847="","",'Оперативный ввод'!O847)</f>
        <v/>
      </c>
      <c r="P847" s="205">
        <f>IF(AND(A847="",B847=""),"",IF(AND(A847&lt;&gt;"",B847&lt;&gt;"",C847&lt;&gt;"",D847&lt;&gt;"",F847&lt;&gt;"",G847&lt;&gt;"",H847&lt;&gt;"",ISERROR(SEARCH("по паспорту",G847)),ISERROR(SEARCH("по паспорту",H847)),I847&lt;&gt;"",J847&lt;&gt;"",K847&lt;&gt;"",L847&lt;&gt;"",M847&lt;&gt;""),"ГОТОВО","НЕ ГОТОВО"))</f>
        <v/>
      </c>
      <c r="Q847" s="205">
        <f>IF(P847&lt;&gt;"ГОТОВО","", "Предварительное заключение: "&amp;A847&amp;", скв. "&amp;B847&amp;". МРП: "&amp;E847&amp;" сут. ГНО: "&amp;F847&amp;", типоразмер "&amp;G847&amp;", марка "&amp;H847&amp;". Событие: "&amp;I847&amp;". Признак: "&amp;J847&amp;". Узел: "&amp;K847&amp;". Предварительная причина: "&amp;L847&amp;". Основное осложнение: "&amp;M847&amp;IF(N847&lt;&gt;"","; сопутствующее: "&amp;N847,"")&amp;IF(O847&lt;&gt;"","; дополнительно: "&amp;O847,"")&amp;".")</f>
        <v/>
      </c>
      <c r="R847" s="172">
        <f>IF('Оперативный ввод'!P847="","",'Оперативный ввод'!P847)</f>
        <v/>
      </c>
      <c r="S847" s="172">
        <f>IF('Оперативный ввод'!Q847="","",'Оперативный ввод'!Q847)</f>
        <v/>
      </c>
      <c r="T847" s="172">
        <f>IF('Оперативный ввод'!R847="","",'Оперативный ввод'!R847)</f>
        <v/>
      </c>
      <c r="U847" s="172">
        <f>IF('Оперативный ввод'!S847="","",'Оперативный ввод'!S847)</f>
        <v/>
      </c>
      <c r="V847" s="172">
        <f>IF('Оперативный ввод'!T847="","",'Оперативный ввод'!T847)</f>
        <v/>
      </c>
      <c r="W847" s="172" t="n"/>
      <c r="X847" s="172" t="n"/>
      <c r="Y847" s="172" t="n"/>
      <c r="Z847" s="172" t="n"/>
      <c r="AA847" s="172">
        <f>IF('Оперативный ввод'!U847="","",'Оперативный ввод'!U847)</f>
        <v/>
      </c>
      <c r="AB847" s="172">
        <f>IF('Оперативный ввод'!V847="","",'Оперативный ввод'!V847)</f>
        <v/>
      </c>
      <c r="AC847" s="172">
        <f>IF('Оперативный ввод'!W847="","",'Оперативный ввод'!W847)</f>
        <v/>
      </c>
      <c r="BB847" s="172" t="n"/>
      <c r="BC847" s="172" t="n"/>
      <c r="BD847" s="205">
        <f>IF(AND(A847="",B847=""),"",IF(AND(P847="ГОТОВО",R847&lt;&gt;"",T847&lt;&gt;"",U847&lt;&gt;"",AA847&lt;&gt;"",AB847&lt;&gt;"",AC847&lt;&gt;"",BB847&lt;&gt;"",BC847&lt;&gt;""),"ГОТОВО","НЕ ГОТОВО"))</f>
        <v/>
      </c>
      <c r="BE847" s="205">
        <f>IF(BD847&lt;&gt;"ГОТОВО","","Полное заключение: "&amp;A847&amp;", скв. "&amp;B847&amp;". МРП: "&amp;E847&amp;" сут. ГНО: "&amp;F847&amp;"; причина: "&amp;U847&amp;"; категория: "&amp;V847&amp;"; решение комиссии: "&amp;BB847&amp;".")</f>
        <v/>
      </c>
      <c r="BF847" s="173">
        <f>IF('Оперативный ввод'!X847="","",'Оперативный ввод'!X847)</f>
        <v/>
      </c>
    </row>
    <row r="848">
      <c r="A848" s="171">
        <f>IF('Оперативный ввод'!A848="","",'Оперативный ввод'!A848)</f>
        <v/>
      </c>
      <c r="B848" s="172">
        <f>IF('Оперативный ввод'!B848="","",'Оперативный ввод'!B848)</f>
        <v/>
      </c>
      <c r="C848" s="270">
        <f>IF('Оперативный ввод'!C848="","",'Оперативный ввод'!C848)</f>
        <v/>
      </c>
      <c r="D848" s="270">
        <f>IF('Оперативный ввод'!D848="","",'Оперативный ввод'!D848)</f>
        <v/>
      </c>
      <c r="E848" s="271">
        <f>IF(OR(C848="",D848=""),"",D848-C848)</f>
        <v/>
      </c>
      <c r="F848" s="172">
        <f>IF('Оперативный ввод'!F848="","",'Оперативный ввод'!F848)</f>
        <v/>
      </c>
      <c r="G848" s="172">
        <f>IF('Оперативный ввод'!G848="","",'Оперативный ввод'!G848)</f>
        <v/>
      </c>
      <c r="H848" s="172">
        <f>IF('Оперативный ввод'!H848="","",'Оперативный ввод'!H848)</f>
        <v/>
      </c>
      <c r="I848" s="172">
        <f>IF('Оперативный ввод'!I848="","",'Оперативный ввод'!I848)</f>
        <v/>
      </c>
      <c r="J848" s="172">
        <f>IF('Оперативный ввод'!J848="","",'Оперативный ввод'!J848)</f>
        <v/>
      </c>
      <c r="K848" s="172">
        <f>IF('Оперативный ввод'!K848="","",'Оперативный ввод'!K848)</f>
        <v/>
      </c>
      <c r="L848" s="172">
        <f>IF('Оперативный ввод'!L848="","",'Оперативный ввод'!L848)</f>
        <v/>
      </c>
      <c r="M848" s="172">
        <f>IF('Оперативный ввод'!M848="","",'Оперативный ввод'!M848)</f>
        <v/>
      </c>
      <c r="N848" s="172">
        <f>IF('Оперативный ввод'!N848="","",'Оперативный ввод'!N848)</f>
        <v/>
      </c>
      <c r="O848" s="172">
        <f>IF('Оперативный ввод'!O848="","",'Оперативный ввод'!O848)</f>
        <v/>
      </c>
      <c r="P848" s="205">
        <f>IF(AND(A848="",B848=""),"",IF(AND(A848&lt;&gt;"",B848&lt;&gt;"",C848&lt;&gt;"",D848&lt;&gt;"",F848&lt;&gt;"",G848&lt;&gt;"",H848&lt;&gt;"",ISERROR(SEARCH("по паспорту",G848)),ISERROR(SEARCH("по паспорту",H848)),I848&lt;&gt;"",J848&lt;&gt;"",K848&lt;&gt;"",L848&lt;&gt;"",M848&lt;&gt;""),"ГОТОВО","НЕ ГОТОВО"))</f>
        <v/>
      </c>
      <c r="Q848" s="205">
        <f>IF(P848&lt;&gt;"ГОТОВО","", "Предварительное заключение: "&amp;A848&amp;", скв. "&amp;B848&amp;". МРП: "&amp;E848&amp;" сут. ГНО: "&amp;F848&amp;", типоразмер "&amp;G848&amp;", марка "&amp;H848&amp;". Событие: "&amp;I848&amp;". Признак: "&amp;J848&amp;". Узел: "&amp;K848&amp;". Предварительная причина: "&amp;L848&amp;". Основное осложнение: "&amp;M848&amp;IF(N848&lt;&gt;"","; сопутствующее: "&amp;N848,"")&amp;IF(O848&lt;&gt;"","; дополнительно: "&amp;O848,"")&amp;".")</f>
        <v/>
      </c>
      <c r="R848" s="172">
        <f>IF('Оперативный ввод'!P848="","",'Оперативный ввод'!P848)</f>
        <v/>
      </c>
      <c r="S848" s="172">
        <f>IF('Оперативный ввод'!Q848="","",'Оперативный ввод'!Q848)</f>
        <v/>
      </c>
      <c r="T848" s="172">
        <f>IF('Оперативный ввод'!R848="","",'Оперативный ввод'!R848)</f>
        <v/>
      </c>
      <c r="U848" s="172">
        <f>IF('Оперативный ввод'!S848="","",'Оперативный ввод'!S848)</f>
        <v/>
      </c>
      <c r="V848" s="172">
        <f>IF('Оперативный ввод'!T848="","",'Оперативный ввод'!T848)</f>
        <v/>
      </c>
      <c r="W848" s="172" t="n"/>
      <c r="X848" s="172" t="n"/>
      <c r="Y848" s="172" t="n"/>
      <c r="Z848" s="172" t="n"/>
      <c r="AA848" s="172">
        <f>IF('Оперативный ввод'!U848="","",'Оперативный ввод'!U848)</f>
        <v/>
      </c>
      <c r="AB848" s="172">
        <f>IF('Оперативный ввод'!V848="","",'Оперативный ввод'!V848)</f>
        <v/>
      </c>
      <c r="AC848" s="172">
        <f>IF('Оперативный ввод'!W848="","",'Оперативный ввод'!W848)</f>
        <v/>
      </c>
      <c r="BB848" s="172" t="n"/>
      <c r="BC848" s="172" t="n"/>
      <c r="BD848" s="205">
        <f>IF(AND(A848="",B848=""),"",IF(AND(P848="ГОТОВО",R848&lt;&gt;"",T848&lt;&gt;"",U848&lt;&gt;"",AA848&lt;&gt;"",AB848&lt;&gt;"",AC848&lt;&gt;"",BB848&lt;&gt;"",BC848&lt;&gt;""),"ГОТОВО","НЕ ГОТОВО"))</f>
        <v/>
      </c>
      <c r="BE848" s="205">
        <f>IF(BD848&lt;&gt;"ГОТОВО","","Полное заключение: "&amp;A848&amp;", скв. "&amp;B848&amp;". МРП: "&amp;E848&amp;" сут. ГНО: "&amp;F848&amp;"; причина: "&amp;U848&amp;"; категория: "&amp;V848&amp;"; решение комиссии: "&amp;BB848&amp;".")</f>
        <v/>
      </c>
      <c r="BF848" s="173">
        <f>IF('Оперативный ввод'!X848="","",'Оперативный ввод'!X848)</f>
        <v/>
      </c>
    </row>
    <row r="849">
      <c r="A849" s="171">
        <f>IF('Оперативный ввод'!A849="","",'Оперативный ввод'!A849)</f>
        <v/>
      </c>
      <c r="B849" s="172">
        <f>IF('Оперативный ввод'!B849="","",'Оперативный ввод'!B849)</f>
        <v/>
      </c>
      <c r="C849" s="270">
        <f>IF('Оперативный ввод'!C849="","",'Оперативный ввод'!C849)</f>
        <v/>
      </c>
      <c r="D849" s="270">
        <f>IF('Оперативный ввод'!D849="","",'Оперативный ввод'!D849)</f>
        <v/>
      </c>
      <c r="E849" s="271">
        <f>IF(OR(C849="",D849=""),"",D849-C849)</f>
        <v/>
      </c>
      <c r="F849" s="172">
        <f>IF('Оперативный ввод'!F849="","",'Оперативный ввод'!F849)</f>
        <v/>
      </c>
      <c r="G849" s="172">
        <f>IF('Оперативный ввод'!G849="","",'Оперативный ввод'!G849)</f>
        <v/>
      </c>
      <c r="H849" s="172">
        <f>IF('Оперативный ввод'!H849="","",'Оперативный ввод'!H849)</f>
        <v/>
      </c>
      <c r="I849" s="172">
        <f>IF('Оперативный ввод'!I849="","",'Оперативный ввод'!I849)</f>
        <v/>
      </c>
      <c r="J849" s="172">
        <f>IF('Оперативный ввод'!J849="","",'Оперативный ввод'!J849)</f>
        <v/>
      </c>
      <c r="K849" s="172">
        <f>IF('Оперативный ввод'!K849="","",'Оперативный ввод'!K849)</f>
        <v/>
      </c>
      <c r="L849" s="172">
        <f>IF('Оперативный ввод'!L849="","",'Оперативный ввод'!L849)</f>
        <v/>
      </c>
      <c r="M849" s="172">
        <f>IF('Оперативный ввод'!M849="","",'Оперативный ввод'!M849)</f>
        <v/>
      </c>
      <c r="N849" s="172">
        <f>IF('Оперативный ввод'!N849="","",'Оперативный ввод'!N849)</f>
        <v/>
      </c>
      <c r="O849" s="172">
        <f>IF('Оперативный ввод'!O849="","",'Оперативный ввод'!O849)</f>
        <v/>
      </c>
      <c r="P849" s="205">
        <f>IF(AND(A849="",B849=""),"",IF(AND(A849&lt;&gt;"",B849&lt;&gt;"",C849&lt;&gt;"",D849&lt;&gt;"",F849&lt;&gt;"",G849&lt;&gt;"",H849&lt;&gt;"",ISERROR(SEARCH("по паспорту",G849)),ISERROR(SEARCH("по паспорту",H849)),I849&lt;&gt;"",J849&lt;&gt;"",K849&lt;&gt;"",L849&lt;&gt;"",M849&lt;&gt;""),"ГОТОВО","НЕ ГОТОВО"))</f>
        <v/>
      </c>
      <c r="Q849" s="205">
        <f>IF(P849&lt;&gt;"ГОТОВО","", "Предварительное заключение: "&amp;A849&amp;", скв. "&amp;B849&amp;". МРП: "&amp;E849&amp;" сут. ГНО: "&amp;F849&amp;", типоразмер "&amp;G849&amp;", марка "&amp;H849&amp;". Событие: "&amp;I849&amp;". Признак: "&amp;J849&amp;". Узел: "&amp;K849&amp;". Предварительная причина: "&amp;L849&amp;". Основное осложнение: "&amp;M849&amp;IF(N849&lt;&gt;"","; сопутствующее: "&amp;N849,"")&amp;IF(O849&lt;&gt;"","; дополнительно: "&amp;O849,"")&amp;".")</f>
        <v/>
      </c>
      <c r="R849" s="172">
        <f>IF('Оперативный ввод'!P849="","",'Оперативный ввод'!P849)</f>
        <v/>
      </c>
      <c r="S849" s="172">
        <f>IF('Оперативный ввод'!Q849="","",'Оперативный ввод'!Q849)</f>
        <v/>
      </c>
      <c r="T849" s="172">
        <f>IF('Оперативный ввод'!R849="","",'Оперативный ввод'!R849)</f>
        <v/>
      </c>
      <c r="U849" s="172">
        <f>IF('Оперативный ввод'!S849="","",'Оперативный ввод'!S849)</f>
        <v/>
      </c>
      <c r="V849" s="172">
        <f>IF('Оперативный ввод'!T849="","",'Оперативный ввод'!T849)</f>
        <v/>
      </c>
      <c r="W849" s="172" t="n"/>
      <c r="X849" s="172" t="n"/>
      <c r="Y849" s="172" t="n"/>
      <c r="Z849" s="172" t="n"/>
      <c r="AA849" s="172">
        <f>IF('Оперативный ввод'!U849="","",'Оперативный ввод'!U849)</f>
        <v/>
      </c>
      <c r="AB849" s="172">
        <f>IF('Оперативный ввод'!V849="","",'Оперативный ввод'!V849)</f>
        <v/>
      </c>
      <c r="AC849" s="172">
        <f>IF('Оперативный ввод'!W849="","",'Оперативный ввод'!W849)</f>
        <v/>
      </c>
      <c r="BB849" s="172" t="n"/>
      <c r="BC849" s="172" t="n"/>
      <c r="BD849" s="205">
        <f>IF(AND(A849="",B849=""),"",IF(AND(P849="ГОТОВО",R849&lt;&gt;"",T849&lt;&gt;"",U849&lt;&gt;"",AA849&lt;&gt;"",AB849&lt;&gt;"",AC849&lt;&gt;"",BB849&lt;&gt;"",BC849&lt;&gt;""),"ГОТОВО","НЕ ГОТОВО"))</f>
        <v/>
      </c>
      <c r="BE849" s="205">
        <f>IF(BD849&lt;&gt;"ГОТОВО","","Полное заключение: "&amp;A849&amp;", скв. "&amp;B849&amp;". МРП: "&amp;E849&amp;" сут. ГНО: "&amp;F849&amp;"; причина: "&amp;U849&amp;"; категория: "&amp;V849&amp;"; решение комиссии: "&amp;BB849&amp;".")</f>
        <v/>
      </c>
      <c r="BF849" s="173">
        <f>IF('Оперативный ввод'!X849="","",'Оперативный ввод'!X849)</f>
        <v/>
      </c>
    </row>
    <row r="850">
      <c r="A850" s="171">
        <f>IF('Оперативный ввод'!A850="","",'Оперативный ввод'!A850)</f>
        <v/>
      </c>
      <c r="B850" s="172">
        <f>IF('Оперативный ввод'!B850="","",'Оперативный ввод'!B850)</f>
        <v/>
      </c>
      <c r="C850" s="270">
        <f>IF('Оперативный ввод'!C850="","",'Оперативный ввод'!C850)</f>
        <v/>
      </c>
      <c r="D850" s="270">
        <f>IF('Оперативный ввод'!D850="","",'Оперативный ввод'!D850)</f>
        <v/>
      </c>
      <c r="E850" s="271">
        <f>IF(OR(C850="",D850=""),"",D850-C850)</f>
        <v/>
      </c>
      <c r="F850" s="172">
        <f>IF('Оперативный ввод'!F850="","",'Оперативный ввод'!F850)</f>
        <v/>
      </c>
      <c r="G850" s="172">
        <f>IF('Оперативный ввод'!G850="","",'Оперативный ввод'!G850)</f>
        <v/>
      </c>
      <c r="H850" s="172">
        <f>IF('Оперативный ввод'!H850="","",'Оперативный ввод'!H850)</f>
        <v/>
      </c>
      <c r="I850" s="172">
        <f>IF('Оперативный ввод'!I850="","",'Оперативный ввод'!I850)</f>
        <v/>
      </c>
      <c r="J850" s="172">
        <f>IF('Оперативный ввод'!J850="","",'Оперативный ввод'!J850)</f>
        <v/>
      </c>
      <c r="K850" s="172">
        <f>IF('Оперативный ввод'!K850="","",'Оперативный ввод'!K850)</f>
        <v/>
      </c>
      <c r="L850" s="172">
        <f>IF('Оперативный ввод'!L850="","",'Оперативный ввод'!L850)</f>
        <v/>
      </c>
      <c r="M850" s="172">
        <f>IF('Оперативный ввод'!M850="","",'Оперативный ввод'!M850)</f>
        <v/>
      </c>
      <c r="N850" s="172">
        <f>IF('Оперативный ввод'!N850="","",'Оперативный ввод'!N850)</f>
        <v/>
      </c>
      <c r="O850" s="172">
        <f>IF('Оперативный ввод'!O850="","",'Оперативный ввод'!O850)</f>
        <v/>
      </c>
      <c r="P850" s="205">
        <f>IF(AND(A850="",B850=""),"",IF(AND(A850&lt;&gt;"",B850&lt;&gt;"",C850&lt;&gt;"",D850&lt;&gt;"",F850&lt;&gt;"",G850&lt;&gt;"",H850&lt;&gt;"",ISERROR(SEARCH("по паспорту",G850)),ISERROR(SEARCH("по паспорту",H850)),I850&lt;&gt;"",J850&lt;&gt;"",K850&lt;&gt;"",L850&lt;&gt;"",M850&lt;&gt;""),"ГОТОВО","НЕ ГОТОВО"))</f>
        <v/>
      </c>
      <c r="Q850" s="205">
        <f>IF(P850&lt;&gt;"ГОТОВО","", "Предварительное заключение: "&amp;A850&amp;", скв. "&amp;B850&amp;". МРП: "&amp;E850&amp;" сут. ГНО: "&amp;F850&amp;", типоразмер "&amp;G850&amp;", марка "&amp;H850&amp;". Событие: "&amp;I850&amp;". Признак: "&amp;J850&amp;". Узел: "&amp;K850&amp;". Предварительная причина: "&amp;L850&amp;". Основное осложнение: "&amp;M850&amp;IF(N850&lt;&gt;"","; сопутствующее: "&amp;N850,"")&amp;IF(O850&lt;&gt;"","; дополнительно: "&amp;O850,"")&amp;".")</f>
        <v/>
      </c>
      <c r="R850" s="172">
        <f>IF('Оперативный ввод'!P850="","",'Оперативный ввод'!P850)</f>
        <v/>
      </c>
      <c r="S850" s="172">
        <f>IF('Оперативный ввод'!Q850="","",'Оперативный ввод'!Q850)</f>
        <v/>
      </c>
      <c r="T850" s="172">
        <f>IF('Оперативный ввод'!R850="","",'Оперативный ввод'!R850)</f>
        <v/>
      </c>
      <c r="U850" s="172">
        <f>IF('Оперативный ввод'!S850="","",'Оперативный ввод'!S850)</f>
        <v/>
      </c>
      <c r="V850" s="172">
        <f>IF('Оперативный ввод'!T850="","",'Оперативный ввод'!T850)</f>
        <v/>
      </c>
      <c r="W850" s="172" t="n"/>
      <c r="X850" s="172" t="n"/>
      <c r="Y850" s="172" t="n"/>
      <c r="Z850" s="172" t="n"/>
      <c r="AA850" s="172">
        <f>IF('Оперативный ввод'!U850="","",'Оперативный ввод'!U850)</f>
        <v/>
      </c>
      <c r="AB850" s="172">
        <f>IF('Оперативный ввод'!V850="","",'Оперативный ввод'!V850)</f>
        <v/>
      </c>
      <c r="AC850" s="172">
        <f>IF('Оперативный ввод'!W850="","",'Оперативный ввод'!W850)</f>
        <v/>
      </c>
      <c r="BB850" s="172" t="n"/>
      <c r="BC850" s="172" t="n"/>
      <c r="BD850" s="205">
        <f>IF(AND(A850="",B850=""),"",IF(AND(P850="ГОТОВО",R850&lt;&gt;"",T850&lt;&gt;"",U850&lt;&gt;"",AA850&lt;&gt;"",AB850&lt;&gt;"",AC850&lt;&gt;"",BB850&lt;&gt;"",BC850&lt;&gt;""),"ГОТОВО","НЕ ГОТОВО"))</f>
        <v/>
      </c>
      <c r="BE850" s="205">
        <f>IF(BD850&lt;&gt;"ГОТОВО","","Полное заключение: "&amp;A850&amp;", скв. "&amp;B850&amp;". МРП: "&amp;E850&amp;" сут. ГНО: "&amp;F850&amp;"; причина: "&amp;U850&amp;"; категория: "&amp;V850&amp;"; решение комиссии: "&amp;BB850&amp;".")</f>
        <v/>
      </c>
      <c r="BF850" s="173">
        <f>IF('Оперативный ввод'!X850="","",'Оперативный ввод'!X850)</f>
        <v/>
      </c>
    </row>
    <row r="851">
      <c r="A851" s="171">
        <f>IF('Оперативный ввод'!A851="","",'Оперативный ввод'!A851)</f>
        <v/>
      </c>
      <c r="B851" s="172">
        <f>IF('Оперативный ввод'!B851="","",'Оперативный ввод'!B851)</f>
        <v/>
      </c>
      <c r="C851" s="270">
        <f>IF('Оперативный ввод'!C851="","",'Оперативный ввод'!C851)</f>
        <v/>
      </c>
      <c r="D851" s="270">
        <f>IF('Оперативный ввод'!D851="","",'Оперативный ввод'!D851)</f>
        <v/>
      </c>
      <c r="E851" s="271">
        <f>IF(OR(C851="",D851=""),"",D851-C851)</f>
        <v/>
      </c>
      <c r="F851" s="172">
        <f>IF('Оперативный ввод'!F851="","",'Оперативный ввод'!F851)</f>
        <v/>
      </c>
      <c r="G851" s="172">
        <f>IF('Оперативный ввод'!G851="","",'Оперативный ввод'!G851)</f>
        <v/>
      </c>
      <c r="H851" s="172">
        <f>IF('Оперативный ввод'!H851="","",'Оперативный ввод'!H851)</f>
        <v/>
      </c>
      <c r="I851" s="172">
        <f>IF('Оперативный ввод'!I851="","",'Оперативный ввод'!I851)</f>
        <v/>
      </c>
      <c r="J851" s="172">
        <f>IF('Оперативный ввод'!J851="","",'Оперативный ввод'!J851)</f>
        <v/>
      </c>
      <c r="K851" s="172">
        <f>IF('Оперативный ввод'!K851="","",'Оперативный ввод'!K851)</f>
        <v/>
      </c>
      <c r="L851" s="172">
        <f>IF('Оперативный ввод'!L851="","",'Оперативный ввод'!L851)</f>
        <v/>
      </c>
      <c r="M851" s="172">
        <f>IF('Оперативный ввод'!M851="","",'Оперативный ввод'!M851)</f>
        <v/>
      </c>
      <c r="N851" s="172">
        <f>IF('Оперативный ввод'!N851="","",'Оперативный ввод'!N851)</f>
        <v/>
      </c>
      <c r="O851" s="172">
        <f>IF('Оперативный ввод'!O851="","",'Оперативный ввод'!O851)</f>
        <v/>
      </c>
      <c r="P851" s="205">
        <f>IF(AND(A851="",B851=""),"",IF(AND(A851&lt;&gt;"",B851&lt;&gt;"",C851&lt;&gt;"",D851&lt;&gt;"",F851&lt;&gt;"",G851&lt;&gt;"",H851&lt;&gt;"",ISERROR(SEARCH("по паспорту",G851)),ISERROR(SEARCH("по паспорту",H851)),I851&lt;&gt;"",J851&lt;&gt;"",K851&lt;&gt;"",L851&lt;&gt;"",M851&lt;&gt;""),"ГОТОВО","НЕ ГОТОВО"))</f>
        <v/>
      </c>
      <c r="Q851" s="205">
        <f>IF(P851&lt;&gt;"ГОТОВО","", "Предварительное заключение: "&amp;A851&amp;", скв. "&amp;B851&amp;". МРП: "&amp;E851&amp;" сут. ГНО: "&amp;F851&amp;", типоразмер "&amp;G851&amp;", марка "&amp;H851&amp;". Событие: "&amp;I851&amp;". Признак: "&amp;J851&amp;". Узел: "&amp;K851&amp;". Предварительная причина: "&amp;L851&amp;". Основное осложнение: "&amp;M851&amp;IF(N851&lt;&gt;"","; сопутствующее: "&amp;N851,"")&amp;IF(O851&lt;&gt;"","; дополнительно: "&amp;O851,"")&amp;".")</f>
        <v/>
      </c>
      <c r="R851" s="172">
        <f>IF('Оперативный ввод'!P851="","",'Оперативный ввод'!P851)</f>
        <v/>
      </c>
      <c r="S851" s="172">
        <f>IF('Оперативный ввод'!Q851="","",'Оперативный ввод'!Q851)</f>
        <v/>
      </c>
      <c r="T851" s="172">
        <f>IF('Оперативный ввод'!R851="","",'Оперативный ввод'!R851)</f>
        <v/>
      </c>
      <c r="U851" s="172">
        <f>IF('Оперативный ввод'!S851="","",'Оперативный ввод'!S851)</f>
        <v/>
      </c>
      <c r="V851" s="172">
        <f>IF('Оперативный ввод'!T851="","",'Оперативный ввод'!T851)</f>
        <v/>
      </c>
      <c r="W851" s="172" t="n"/>
      <c r="X851" s="172" t="n"/>
      <c r="Y851" s="172" t="n"/>
      <c r="Z851" s="172" t="n"/>
      <c r="AA851" s="172">
        <f>IF('Оперативный ввод'!U851="","",'Оперативный ввод'!U851)</f>
        <v/>
      </c>
      <c r="AB851" s="172">
        <f>IF('Оперативный ввод'!V851="","",'Оперативный ввод'!V851)</f>
        <v/>
      </c>
      <c r="AC851" s="172">
        <f>IF('Оперативный ввод'!W851="","",'Оперативный ввод'!W851)</f>
        <v/>
      </c>
      <c r="BB851" s="172" t="n"/>
      <c r="BC851" s="172" t="n"/>
      <c r="BD851" s="205">
        <f>IF(AND(A851="",B851=""),"",IF(AND(P851="ГОТОВО",R851&lt;&gt;"",T851&lt;&gt;"",U851&lt;&gt;"",AA851&lt;&gt;"",AB851&lt;&gt;"",AC851&lt;&gt;"",BB851&lt;&gt;"",BC851&lt;&gt;""),"ГОТОВО","НЕ ГОТОВО"))</f>
        <v/>
      </c>
      <c r="BE851" s="205">
        <f>IF(BD851&lt;&gt;"ГОТОВО","","Полное заключение: "&amp;A851&amp;", скв. "&amp;B851&amp;". МРП: "&amp;E851&amp;" сут. ГНО: "&amp;F851&amp;"; причина: "&amp;U851&amp;"; категория: "&amp;V851&amp;"; решение комиссии: "&amp;BB851&amp;".")</f>
        <v/>
      </c>
      <c r="BF851" s="173">
        <f>IF('Оперативный ввод'!X851="","",'Оперативный ввод'!X851)</f>
        <v/>
      </c>
    </row>
    <row r="852">
      <c r="A852" s="171">
        <f>IF('Оперативный ввод'!A852="","",'Оперативный ввод'!A852)</f>
        <v/>
      </c>
      <c r="B852" s="172">
        <f>IF('Оперативный ввод'!B852="","",'Оперативный ввод'!B852)</f>
        <v/>
      </c>
      <c r="C852" s="270">
        <f>IF('Оперативный ввод'!C852="","",'Оперативный ввод'!C852)</f>
        <v/>
      </c>
      <c r="D852" s="270">
        <f>IF('Оперативный ввод'!D852="","",'Оперативный ввод'!D852)</f>
        <v/>
      </c>
      <c r="E852" s="271">
        <f>IF(OR(C852="",D852=""),"",D852-C852)</f>
        <v/>
      </c>
      <c r="F852" s="172">
        <f>IF('Оперативный ввод'!F852="","",'Оперативный ввод'!F852)</f>
        <v/>
      </c>
      <c r="G852" s="172">
        <f>IF('Оперативный ввод'!G852="","",'Оперативный ввод'!G852)</f>
        <v/>
      </c>
      <c r="H852" s="172">
        <f>IF('Оперативный ввод'!H852="","",'Оперативный ввод'!H852)</f>
        <v/>
      </c>
      <c r="I852" s="172">
        <f>IF('Оперативный ввод'!I852="","",'Оперативный ввод'!I852)</f>
        <v/>
      </c>
      <c r="J852" s="172">
        <f>IF('Оперативный ввод'!J852="","",'Оперативный ввод'!J852)</f>
        <v/>
      </c>
      <c r="K852" s="172">
        <f>IF('Оперативный ввод'!K852="","",'Оперативный ввод'!K852)</f>
        <v/>
      </c>
      <c r="L852" s="172">
        <f>IF('Оперативный ввод'!L852="","",'Оперативный ввод'!L852)</f>
        <v/>
      </c>
      <c r="M852" s="172">
        <f>IF('Оперативный ввод'!M852="","",'Оперативный ввод'!M852)</f>
        <v/>
      </c>
      <c r="N852" s="172">
        <f>IF('Оперативный ввод'!N852="","",'Оперативный ввод'!N852)</f>
        <v/>
      </c>
      <c r="O852" s="172">
        <f>IF('Оперативный ввод'!O852="","",'Оперативный ввод'!O852)</f>
        <v/>
      </c>
      <c r="P852" s="205">
        <f>IF(AND(A852="",B852=""),"",IF(AND(A852&lt;&gt;"",B852&lt;&gt;"",C852&lt;&gt;"",D852&lt;&gt;"",F852&lt;&gt;"",G852&lt;&gt;"",H852&lt;&gt;"",ISERROR(SEARCH("по паспорту",G852)),ISERROR(SEARCH("по паспорту",H852)),I852&lt;&gt;"",J852&lt;&gt;"",K852&lt;&gt;"",L852&lt;&gt;"",M852&lt;&gt;""),"ГОТОВО","НЕ ГОТОВО"))</f>
        <v/>
      </c>
      <c r="Q852" s="205">
        <f>IF(P852&lt;&gt;"ГОТОВО","", "Предварительное заключение: "&amp;A852&amp;", скв. "&amp;B852&amp;". МРП: "&amp;E852&amp;" сут. ГНО: "&amp;F852&amp;", типоразмер "&amp;G852&amp;", марка "&amp;H852&amp;". Событие: "&amp;I852&amp;". Признак: "&amp;J852&amp;". Узел: "&amp;K852&amp;". Предварительная причина: "&amp;L852&amp;". Основное осложнение: "&amp;M852&amp;IF(N852&lt;&gt;"","; сопутствующее: "&amp;N852,"")&amp;IF(O852&lt;&gt;"","; дополнительно: "&amp;O852,"")&amp;".")</f>
        <v/>
      </c>
      <c r="R852" s="172">
        <f>IF('Оперативный ввод'!P852="","",'Оперативный ввод'!P852)</f>
        <v/>
      </c>
      <c r="S852" s="172">
        <f>IF('Оперативный ввод'!Q852="","",'Оперативный ввод'!Q852)</f>
        <v/>
      </c>
      <c r="T852" s="172">
        <f>IF('Оперативный ввод'!R852="","",'Оперативный ввод'!R852)</f>
        <v/>
      </c>
      <c r="U852" s="172">
        <f>IF('Оперативный ввод'!S852="","",'Оперативный ввод'!S852)</f>
        <v/>
      </c>
      <c r="V852" s="172">
        <f>IF('Оперативный ввод'!T852="","",'Оперативный ввод'!T852)</f>
        <v/>
      </c>
      <c r="W852" s="172" t="n"/>
      <c r="X852" s="172" t="n"/>
      <c r="Y852" s="172" t="n"/>
      <c r="Z852" s="172" t="n"/>
      <c r="AA852" s="172">
        <f>IF('Оперативный ввод'!U852="","",'Оперативный ввод'!U852)</f>
        <v/>
      </c>
      <c r="AB852" s="172">
        <f>IF('Оперативный ввод'!V852="","",'Оперативный ввод'!V852)</f>
        <v/>
      </c>
      <c r="AC852" s="172">
        <f>IF('Оперативный ввод'!W852="","",'Оперативный ввод'!W852)</f>
        <v/>
      </c>
      <c r="BB852" s="172" t="n"/>
      <c r="BC852" s="172" t="n"/>
      <c r="BD852" s="205">
        <f>IF(AND(A852="",B852=""),"",IF(AND(P852="ГОТОВО",R852&lt;&gt;"",T852&lt;&gt;"",U852&lt;&gt;"",AA852&lt;&gt;"",AB852&lt;&gt;"",AC852&lt;&gt;"",BB852&lt;&gt;"",BC852&lt;&gt;""),"ГОТОВО","НЕ ГОТОВО"))</f>
        <v/>
      </c>
      <c r="BE852" s="205">
        <f>IF(BD852&lt;&gt;"ГОТОВО","","Полное заключение: "&amp;A852&amp;", скв. "&amp;B852&amp;". МРП: "&amp;E852&amp;" сут. ГНО: "&amp;F852&amp;"; причина: "&amp;U852&amp;"; категория: "&amp;V852&amp;"; решение комиссии: "&amp;BB852&amp;".")</f>
        <v/>
      </c>
      <c r="BF852" s="173">
        <f>IF('Оперативный ввод'!X852="","",'Оперативный ввод'!X852)</f>
        <v/>
      </c>
    </row>
    <row r="853">
      <c r="A853" s="171">
        <f>IF('Оперативный ввод'!A853="","",'Оперативный ввод'!A853)</f>
        <v/>
      </c>
      <c r="B853" s="172">
        <f>IF('Оперативный ввод'!B853="","",'Оперативный ввод'!B853)</f>
        <v/>
      </c>
      <c r="C853" s="270">
        <f>IF('Оперативный ввод'!C853="","",'Оперативный ввод'!C853)</f>
        <v/>
      </c>
      <c r="D853" s="270">
        <f>IF('Оперативный ввод'!D853="","",'Оперативный ввод'!D853)</f>
        <v/>
      </c>
      <c r="E853" s="271">
        <f>IF(OR(C853="",D853=""),"",D853-C853)</f>
        <v/>
      </c>
      <c r="F853" s="172">
        <f>IF('Оперативный ввод'!F853="","",'Оперативный ввод'!F853)</f>
        <v/>
      </c>
      <c r="G853" s="172">
        <f>IF('Оперативный ввод'!G853="","",'Оперативный ввод'!G853)</f>
        <v/>
      </c>
      <c r="H853" s="172">
        <f>IF('Оперативный ввод'!H853="","",'Оперативный ввод'!H853)</f>
        <v/>
      </c>
      <c r="I853" s="172">
        <f>IF('Оперативный ввод'!I853="","",'Оперативный ввод'!I853)</f>
        <v/>
      </c>
      <c r="J853" s="172">
        <f>IF('Оперативный ввод'!J853="","",'Оперативный ввод'!J853)</f>
        <v/>
      </c>
      <c r="K853" s="172">
        <f>IF('Оперативный ввод'!K853="","",'Оперативный ввод'!K853)</f>
        <v/>
      </c>
      <c r="L853" s="172">
        <f>IF('Оперативный ввод'!L853="","",'Оперативный ввод'!L853)</f>
        <v/>
      </c>
      <c r="M853" s="172">
        <f>IF('Оперативный ввод'!M853="","",'Оперативный ввод'!M853)</f>
        <v/>
      </c>
      <c r="N853" s="172">
        <f>IF('Оперативный ввод'!N853="","",'Оперативный ввод'!N853)</f>
        <v/>
      </c>
      <c r="O853" s="172">
        <f>IF('Оперативный ввод'!O853="","",'Оперативный ввод'!O853)</f>
        <v/>
      </c>
      <c r="P853" s="205">
        <f>IF(AND(A853="",B853=""),"",IF(AND(A853&lt;&gt;"",B853&lt;&gt;"",C853&lt;&gt;"",D853&lt;&gt;"",F853&lt;&gt;"",G853&lt;&gt;"",H853&lt;&gt;"",ISERROR(SEARCH("по паспорту",G853)),ISERROR(SEARCH("по паспорту",H853)),I853&lt;&gt;"",J853&lt;&gt;"",K853&lt;&gt;"",L853&lt;&gt;"",M853&lt;&gt;""),"ГОТОВО","НЕ ГОТОВО"))</f>
        <v/>
      </c>
      <c r="Q853" s="205">
        <f>IF(P853&lt;&gt;"ГОТОВО","", "Предварительное заключение: "&amp;A853&amp;", скв. "&amp;B853&amp;". МРП: "&amp;E853&amp;" сут. ГНО: "&amp;F853&amp;", типоразмер "&amp;G853&amp;", марка "&amp;H853&amp;". Событие: "&amp;I853&amp;". Признак: "&amp;J853&amp;". Узел: "&amp;K853&amp;". Предварительная причина: "&amp;L853&amp;". Основное осложнение: "&amp;M853&amp;IF(N853&lt;&gt;"","; сопутствующее: "&amp;N853,"")&amp;IF(O853&lt;&gt;"","; дополнительно: "&amp;O853,"")&amp;".")</f>
        <v/>
      </c>
      <c r="R853" s="172">
        <f>IF('Оперативный ввод'!P853="","",'Оперативный ввод'!P853)</f>
        <v/>
      </c>
      <c r="S853" s="172">
        <f>IF('Оперативный ввод'!Q853="","",'Оперативный ввод'!Q853)</f>
        <v/>
      </c>
      <c r="T853" s="172">
        <f>IF('Оперативный ввод'!R853="","",'Оперативный ввод'!R853)</f>
        <v/>
      </c>
      <c r="U853" s="172">
        <f>IF('Оперативный ввод'!S853="","",'Оперативный ввод'!S853)</f>
        <v/>
      </c>
      <c r="V853" s="172">
        <f>IF('Оперативный ввод'!T853="","",'Оперативный ввод'!T853)</f>
        <v/>
      </c>
      <c r="W853" s="172" t="n"/>
      <c r="X853" s="172" t="n"/>
      <c r="Y853" s="172" t="n"/>
      <c r="Z853" s="172" t="n"/>
      <c r="AA853" s="172">
        <f>IF('Оперативный ввод'!U853="","",'Оперативный ввод'!U853)</f>
        <v/>
      </c>
      <c r="AB853" s="172">
        <f>IF('Оперативный ввод'!V853="","",'Оперативный ввод'!V853)</f>
        <v/>
      </c>
      <c r="AC853" s="172">
        <f>IF('Оперативный ввод'!W853="","",'Оперативный ввод'!W853)</f>
        <v/>
      </c>
      <c r="BB853" s="172" t="n"/>
      <c r="BC853" s="172" t="n"/>
      <c r="BD853" s="205">
        <f>IF(AND(A853="",B853=""),"",IF(AND(P853="ГОТОВО",R853&lt;&gt;"",T853&lt;&gt;"",U853&lt;&gt;"",AA853&lt;&gt;"",AB853&lt;&gt;"",AC853&lt;&gt;"",BB853&lt;&gt;"",BC853&lt;&gt;""),"ГОТОВО","НЕ ГОТОВО"))</f>
        <v/>
      </c>
      <c r="BE853" s="205">
        <f>IF(BD853&lt;&gt;"ГОТОВО","","Полное заключение: "&amp;A853&amp;", скв. "&amp;B853&amp;". МРП: "&amp;E853&amp;" сут. ГНО: "&amp;F853&amp;"; причина: "&amp;U853&amp;"; категория: "&amp;V853&amp;"; решение комиссии: "&amp;BB853&amp;".")</f>
        <v/>
      </c>
      <c r="BF853" s="173">
        <f>IF('Оперативный ввод'!X853="","",'Оперативный ввод'!X853)</f>
        <v/>
      </c>
    </row>
    <row r="854">
      <c r="A854" s="171">
        <f>IF('Оперативный ввод'!A854="","",'Оперативный ввод'!A854)</f>
        <v/>
      </c>
      <c r="B854" s="172">
        <f>IF('Оперативный ввод'!B854="","",'Оперативный ввод'!B854)</f>
        <v/>
      </c>
      <c r="C854" s="270">
        <f>IF('Оперативный ввод'!C854="","",'Оперативный ввод'!C854)</f>
        <v/>
      </c>
      <c r="D854" s="270">
        <f>IF('Оперативный ввод'!D854="","",'Оперативный ввод'!D854)</f>
        <v/>
      </c>
      <c r="E854" s="271">
        <f>IF(OR(C854="",D854=""),"",D854-C854)</f>
        <v/>
      </c>
      <c r="F854" s="172">
        <f>IF('Оперативный ввод'!F854="","",'Оперативный ввод'!F854)</f>
        <v/>
      </c>
      <c r="G854" s="172">
        <f>IF('Оперативный ввод'!G854="","",'Оперативный ввод'!G854)</f>
        <v/>
      </c>
      <c r="H854" s="172">
        <f>IF('Оперативный ввод'!H854="","",'Оперативный ввод'!H854)</f>
        <v/>
      </c>
      <c r="I854" s="172">
        <f>IF('Оперативный ввод'!I854="","",'Оперативный ввод'!I854)</f>
        <v/>
      </c>
      <c r="J854" s="172">
        <f>IF('Оперативный ввод'!J854="","",'Оперативный ввод'!J854)</f>
        <v/>
      </c>
      <c r="K854" s="172">
        <f>IF('Оперативный ввод'!K854="","",'Оперативный ввод'!K854)</f>
        <v/>
      </c>
      <c r="L854" s="172">
        <f>IF('Оперативный ввод'!L854="","",'Оперативный ввод'!L854)</f>
        <v/>
      </c>
      <c r="M854" s="172">
        <f>IF('Оперативный ввод'!M854="","",'Оперативный ввод'!M854)</f>
        <v/>
      </c>
      <c r="N854" s="172">
        <f>IF('Оперативный ввод'!N854="","",'Оперативный ввод'!N854)</f>
        <v/>
      </c>
      <c r="O854" s="172">
        <f>IF('Оперативный ввод'!O854="","",'Оперативный ввод'!O854)</f>
        <v/>
      </c>
      <c r="P854" s="205">
        <f>IF(AND(A854="",B854=""),"",IF(AND(A854&lt;&gt;"",B854&lt;&gt;"",C854&lt;&gt;"",D854&lt;&gt;"",F854&lt;&gt;"",G854&lt;&gt;"",H854&lt;&gt;"",ISERROR(SEARCH("по паспорту",G854)),ISERROR(SEARCH("по паспорту",H854)),I854&lt;&gt;"",J854&lt;&gt;"",K854&lt;&gt;"",L854&lt;&gt;"",M854&lt;&gt;""),"ГОТОВО","НЕ ГОТОВО"))</f>
        <v/>
      </c>
      <c r="Q854" s="205">
        <f>IF(P854&lt;&gt;"ГОТОВО","", "Предварительное заключение: "&amp;A854&amp;", скв. "&amp;B854&amp;". МРП: "&amp;E854&amp;" сут. ГНО: "&amp;F854&amp;", типоразмер "&amp;G854&amp;", марка "&amp;H854&amp;". Событие: "&amp;I854&amp;". Признак: "&amp;J854&amp;". Узел: "&amp;K854&amp;". Предварительная причина: "&amp;L854&amp;". Основное осложнение: "&amp;M854&amp;IF(N854&lt;&gt;"","; сопутствующее: "&amp;N854,"")&amp;IF(O854&lt;&gt;"","; дополнительно: "&amp;O854,"")&amp;".")</f>
        <v/>
      </c>
      <c r="R854" s="172">
        <f>IF('Оперативный ввод'!P854="","",'Оперативный ввод'!P854)</f>
        <v/>
      </c>
      <c r="S854" s="172">
        <f>IF('Оперативный ввод'!Q854="","",'Оперативный ввод'!Q854)</f>
        <v/>
      </c>
      <c r="T854" s="172">
        <f>IF('Оперативный ввод'!R854="","",'Оперативный ввод'!R854)</f>
        <v/>
      </c>
      <c r="U854" s="172">
        <f>IF('Оперативный ввод'!S854="","",'Оперативный ввод'!S854)</f>
        <v/>
      </c>
      <c r="V854" s="172">
        <f>IF('Оперативный ввод'!T854="","",'Оперативный ввод'!T854)</f>
        <v/>
      </c>
      <c r="W854" s="172" t="n"/>
      <c r="X854" s="172" t="n"/>
      <c r="Y854" s="172" t="n"/>
      <c r="Z854" s="172" t="n"/>
      <c r="AA854" s="172">
        <f>IF('Оперативный ввод'!U854="","",'Оперативный ввод'!U854)</f>
        <v/>
      </c>
      <c r="AB854" s="172">
        <f>IF('Оперативный ввод'!V854="","",'Оперативный ввод'!V854)</f>
        <v/>
      </c>
      <c r="AC854" s="172">
        <f>IF('Оперативный ввод'!W854="","",'Оперативный ввод'!W854)</f>
        <v/>
      </c>
      <c r="BB854" s="172" t="n"/>
      <c r="BC854" s="172" t="n"/>
      <c r="BD854" s="205">
        <f>IF(AND(A854="",B854=""),"",IF(AND(P854="ГОТОВО",R854&lt;&gt;"",T854&lt;&gt;"",U854&lt;&gt;"",AA854&lt;&gt;"",AB854&lt;&gt;"",AC854&lt;&gt;"",BB854&lt;&gt;"",BC854&lt;&gt;""),"ГОТОВО","НЕ ГОТОВО"))</f>
        <v/>
      </c>
      <c r="BE854" s="205">
        <f>IF(BD854&lt;&gt;"ГОТОВО","","Полное заключение: "&amp;A854&amp;", скв. "&amp;B854&amp;". МРП: "&amp;E854&amp;" сут. ГНО: "&amp;F854&amp;"; причина: "&amp;U854&amp;"; категория: "&amp;V854&amp;"; решение комиссии: "&amp;BB854&amp;".")</f>
        <v/>
      </c>
      <c r="BF854" s="173">
        <f>IF('Оперативный ввод'!X854="","",'Оперативный ввод'!X854)</f>
        <v/>
      </c>
    </row>
    <row r="855">
      <c r="A855" s="171">
        <f>IF('Оперативный ввод'!A855="","",'Оперативный ввод'!A855)</f>
        <v/>
      </c>
      <c r="B855" s="172">
        <f>IF('Оперативный ввод'!B855="","",'Оперативный ввод'!B855)</f>
        <v/>
      </c>
      <c r="C855" s="270">
        <f>IF('Оперативный ввод'!C855="","",'Оперативный ввод'!C855)</f>
        <v/>
      </c>
      <c r="D855" s="270">
        <f>IF('Оперативный ввод'!D855="","",'Оперативный ввод'!D855)</f>
        <v/>
      </c>
      <c r="E855" s="271">
        <f>IF(OR(C855="",D855=""),"",D855-C855)</f>
        <v/>
      </c>
      <c r="F855" s="172">
        <f>IF('Оперативный ввод'!F855="","",'Оперативный ввод'!F855)</f>
        <v/>
      </c>
      <c r="G855" s="172">
        <f>IF('Оперативный ввод'!G855="","",'Оперативный ввод'!G855)</f>
        <v/>
      </c>
      <c r="H855" s="172">
        <f>IF('Оперативный ввод'!H855="","",'Оперативный ввод'!H855)</f>
        <v/>
      </c>
      <c r="I855" s="172">
        <f>IF('Оперативный ввод'!I855="","",'Оперативный ввод'!I855)</f>
        <v/>
      </c>
      <c r="J855" s="172">
        <f>IF('Оперативный ввод'!J855="","",'Оперативный ввод'!J855)</f>
        <v/>
      </c>
      <c r="K855" s="172">
        <f>IF('Оперативный ввод'!K855="","",'Оперативный ввод'!K855)</f>
        <v/>
      </c>
      <c r="L855" s="172">
        <f>IF('Оперативный ввод'!L855="","",'Оперативный ввод'!L855)</f>
        <v/>
      </c>
      <c r="M855" s="172">
        <f>IF('Оперативный ввод'!M855="","",'Оперативный ввод'!M855)</f>
        <v/>
      </c>
      <c r="N855" s="172">
        <f>IF('Оперативный ввод'!N855="","",'Оперативный ввод'!N855)</f>
        <v/>
      </c>
      <c r="O855" s="172">
        <f>IF('Оперативный ввод'!O855="","",'Оперативный ввод'!O855)</f>
        <v/>
      </c>
      <c r="P855" s="205">
        <f>IF(AND(A855="",B855=""),"",IF(AND(A855&lt;&gt;"",B855&lt;&gt;"",C855&lt;&gt;"",D855&lt;&gt;"",F855&lt;&gt;"",G855&lt;&gt;"",H855&lt;&gt;"",ISERROR(SEARCH("по паспорту",G855)),ISERROR(SEARCH("по паспорту",H855)),I855&lt;&gt;"",J855&lt;&gt;"",K855&lt;&gt;"",L855&lt;&gt;"",M855&lt;&gt;""),"ГОТОВО","НЕ ГОТОВО"))</f>
        <v/>
      </c>
      <c r="Q855" s="205">
        <f>IF(P855&lt;&gt;"ГОТОВО","", "Предварительное заключение: "&amp;A855&amp;", скв. "&amp;B855&amp;". МРП: "&amp;E855&amp;" сут. ГНО: "&amp;F855&amp;", типоразмер "&amp;G855&amp;", марка "&amp;H855&amp;". Событие: "&amp;I855&amp;". Признак: "&amp;J855&amp;". Узел: "&amp;K855&amp;". Предварительная причина: "&amp;L855&amp;". Основное осложнение: "&amp;M855&amp;IF(N855&lt;&gt;"","; сопутствующее: "&amp;N855,"")&amp;IF(O855&lt;&gt;"","; дополнительно: "&amp;O855,"")&amp;".")</f>
        <v/>
      </c>
      <c r="R855" s="172">
        <f>IF('Оперативный ввод'!P855="","",'Оперативный ввод'!P855)</f>
        <v/>
      </c>
      <c r="S855" s="172">
        <f>IF('Оперативный ввод'!Q855="","",'Оперативный ввод'!Q855)</f>
        <v/>
      </c>
      <c r="T855" s="172">
        <f>IF('Оперативный ввод'!R855="","",'Оперативный ввод'!R855)</f>
        <v/>
      </c>
      <c r="U855" s="172">
        <f>IF('Оперативный ввод'!S855="","",'Оперативный ввод'!S855)</f>
        <v/>
      </c>
      <c r="V855" s="172">
        <f>IF('Оперативный ввод'!T855="","",'Оперативный ввод'!T855)</f>
        <v/>
      </c>
      <c r="W855" s="172" t="n"/>
      <c r="X855" s="172" t="n"/>
      <c r="Y855" s="172" t="n"/>
      <c r="Z855" s="172" t="n"/>
      <c r="AA855" s="172">
        <f>IF('Оперативный ввод'!U855="","",'Оперативный ввод'!U855)</f>
        <v/>
      </c>
      <c r="AB855" s="172">
        <f>IF('Оперативный ввод'!V855="","",'Оперативный ввод'!V855)</f>
        <v/>
      </c>
      <c r="AC855" s="172">
        <f>IF('Оперативный ввод'!W855="","",'Оперативный ввод'!W855)</f>
        <v/>
      </c>
      <c r="BB855" s="172" t="n"/>
      <c r="BC855" s="172" t="n"/>
      <c r="BD855" s="205">
        <f>IF(AND(A855="",B855=""),"",IF(AND(P855="ГОТОВО",R855&lt;&gt;"",T855&lt;&gt;"",U855&lt;&gt;"",AA855&lt;&gt;"",AB855&lt;&gt;"",AC855&lt;&gt;"",BB855&lt;&gt;"",BC855&lt;&gt;""),"ГОТОВО","НЕ ГОТОВО"))</f>
        <v/>
      </c>
      <c r="BE855" s="205">
        <f>IF(BD855&lt;&gt;"ГОТОВО","","Полное заключение: "&amp;A855&amp;", скв. "&amp;B855&amp;". МРП: "&amp;E855&amp;" сут. ГНО: "&amp;F855&amp;"; причина: "&amp;U855&amp;"; категория: "&amp;V855&amp;"; решение комиссии: "&amp;BB855&amp;".")</f>
        <v/>
      </c>
      <c r="BF855" s="173">
        <f>IF('Оперативный ввод'!X855="","",'Оперативный ввод'!X855)</f>
        <v/>
      </c>
    </row>
    <row r="856">
      <c r="A856" s="171">
        <f>IF('Оперативный ввод'!A856="","",'Оперативный ввод'!A856)</f>
        <v/>
      </c>
      <c r="B856" s="172">
        <f>IF('Оперативный ввод'!B856="","",'Оперативный ввод'!B856)</f>
        <v/>
      </c>
      <c r="C856" s="270">
        <f>IF('Оперативный ввод'!C856="","",'Оперативный ввод'!C856)</f>
        <v/>
      </c>
      <c r="D856" s="270">
        <f>IF('Оперативный ввод'!D856="","",'Оперативный ввод'!D856)</f>
        <v/>
      </c>
      <c r="E856" s="271">
        <f>IF(OR(C856="",D856=""),"",D856-C856)</f>
        <v/>
      </c>
      <c r="F856" s="172">
        <f>IF('Оперативный ввод'!F856="","",'Оперативный ввод'!F856)</f>
        <v/>
      </c>
      <c r="G856" s="172">
        <f>IF('Оперативный ввод'!G856="","",'Оперативный ввод'!G856)</f>
        <v/>
      </c>
      <c r="H856" s="172">
        <f>IF('Оперативный ввод'!H856="","",'Оперативный ввод'!H856)</f>
        <v/>
      </c>
      <c r="I856" s="172">
        <f>IF('Оперативный ввод'!I856="","",'Оперативный ввод'!I856)</f>
        <v/>
      </c>
      <c r="J856" s="172">
        <f>IF('Оперативный ввод'!J856="","",'Оперативный ввод'!J856)</f>
        <v/>
      </c>
      <c r="K856" s="172">
        <f>IF('Оперативный ввод'!K856="","",'Оперативный ввод'!K856)</f>
        <v/>
      </c>
      <c r="L856" s="172">
        <f>IF('Оперативный ввод'!L856="","",'Оперативный ввод'!L856)</f>
        <v/>
      </c>
      <c r="M856" s="172">
        <f>IF('Оперативный ввод'!M856="","",'Оперативный ввод'!M856)</f>
        <v/>
      </c>
      <c r="N856" s="172">
        <f>IF('Оперативный ввод'!N856="","",'Оперативный ввод'!N856)</f>
        <v/>
      </c>
      <c r="O856" s="172">
        <f>IF('Оперативный ввод'!O856="","",'Оперативный ввод'!O856)</f>
        <v/>
      </c>
      <c r="P856" s="205">
        <f>IF(AND(A856="",B856=""),"",IF(AND(A856&lt;&gt;"",B856&lt;&gt;"",C856&lt;&gt;"",D856&lt;&gt;"",F856&lt;&gt;"",G856&lt;&gt;"",H856&lt;&gt;"",ISERROR(SEARCH("по паспорту",G856)),ISERROR(SEARCH("по паспорту",H856)),I856&lt;&gt;"",J856&lt;&gt;"",K856&lt;&gt;"",L856&lt;&gt;"",M856&lt;&gt;""),"ГОТОВО","НЕ ГОТОВО"))</f>
        <v/>
      </c>
      <c r="Q856" s="205">
        <f>IF(P856&lt;&gt;"ГОТОВО","", "Предварительное заключение: "&amp;A856&amp;", скв. "&amp;B856&amp;". МРП: "&amp;E856&amp;" сут. ГНО: "&amp;F856&amp;", типоразмер "&amp;G856&amp;", марка "&amp;H856&amp;". Событие: "&amp;I856&amp;". Признак: "&amp;J856&amp;". Узел: "&amp;K856&amp;". Предварительная причина: "&amp;L856&amp;". Основное осложнение: "&amp;M856&amp;IF(N856&lt;&gt;"","; сопутствующее: "&amp;N856,"")&amp;IF(O856&lt;&gt;"","; дополнительно: "&amp;O856,"")&amp;".")</f>
        <v/>
      </c>
      <c r="R856" s="172">
        <f>IF('Оперативный ввод'!P856="","",'Оперативный ввод'!P856)</f>
        <v/>
      </c>
      <c r="S856" s="172">
        <f>IF('Оперативный ввод'!Q856="","",'Оперативный ввод'!Q856)</f>
        <v/>
      </c>
      <c r="T856" s="172">
        <f>IF('Оперативный ввод'!R856="","",'Оперативный ввод'!R856)</f>
        <v/>
      </c>
      <c r="U856" s="172">
        <f>IF('Оперативный ввод'!S856="","",'Оперативный ввод'!S856)</f>
        <v/>
      </c>
      <c r="V856" s="172">
        <f>IF('Оперативный ввод'!T856="","",'Оперативный ввод'!T856)</f>
        <v/>
      </c>
      <c r="W856" s="172" t="n"/>
      <c r="X856" s="172" t="n"/>
      <c r="Y856" s="172" t="n"/>
      <c r="Z856" s="172" t="n"/>
      <c r="AA856" s="172">
        <f>IF('Оперативный ввод'!U856="","",'Оперативный ввод'!U856)</f>
        <v/>
      </c>
      <c r="AB856" s="172">
        <f>IF('Оперативный ввод'!V856="","",'Оперативный ввод'!V856)</f>
        <v/>
      </c>
      <c r="AC856" s="172">
        <f>IF('Оперативный ввод'!W856="","",'Оперативный ввод'!W856)</f>
        <v/>
      </c>
      <c r="BB856" s="172" t="n"/>
      <c r="BC856" s="172" t="n"/>
      <c r="BD856" s="205">
        <f>IF(AND(A856="",B856=""),"",IF(AND(P856="ГОТОВО",R856&lt;&gt;"",T856&lt;&gt;"",U856&lt;&gt;"",AA856&lt;&gt;"",AB856&lt;&gt;"",AC856&lt;&gt;"",BB856&lt;&gt;"",BC856&lt;&gt;""),"ГОТОВО","НЕ ГОТОВО"))</f>
        <v/>
      </c>
      <c r="BE856" s="205">
        <f>IF(BD856&lt;&gt;"ГОТОВО","","Полное заключение: "&amp;A856&amp;", скв. "&amp;B856&amp;". МРП: "&amp;E856&amp;" сут. ГНО: "&amp;F856&amp;"; причина: "&amp;U856&amp;"; категория: "&amp;V856&amp;"; решение комиссии: "&amp;BB856&amp;".")</f>
        <v/>
      </c>
      <c r="BF856" s="173">
        <f>IF('Оперативный ввод'!X856="","",'Оперативный ввод'!X856)</f>
        <v/>
      </c>
    </row>
    <row r="857">
      <c r="A857" s="171">
        <f>IF('Оперативный ввод'!A857="","",'Оперативный ввод'!A857)</f>
        <v/>
      </c>
      <c r="B857" s="172">
        <f>IF('Оперативный ввод'!B857="","",'Оперативный ввод'!B857)</f>
        <v/>
      </c>
      <c r="C857" s="270">
        <f>IF('Оперативный ввод'!C857="","",'Оперативный ввод'!C857)</f>
        <v/>
      </c>
      <c r="D857" s="270">
        <f>IF('Оперативный ввод'!D857="","",'Оперативный ввод'!D857)</f>
        <v/>
      </c>
      <c r="E857" s="271">
        <f>IF(OR(C857="",D857=""),"",D857-C857)</f>
        <v/>
      </c>
      <c r="F857" s="172">
        <f>IF('Оперативный ввод'!F857="","",'Оперативный ввод'!F857)</f>
        <v/>
      </c>
      <c r="G857" s="172">
        <f>IF('Оперативный ввод'!G857="","",'Оперативный ввод'!G857)</f>
        <v/>
      </c>
      <c r="H857" s="172">
        <f>IF('Оперативный ввод'!H857="","",'Оперативный ввод'!H857)</f>
        <v/>
      </c>
      <c r="I857" s="172">
        <f>IF('Оперативный ввод'!I857="","",'Оперативный ввод'!I857)</f>
        <v/>
      </c>
      <c r="J857" s="172">
        <f>IF('Оперативный ввод'!J857="","",'Оперативный ввод'!J857)</f>
        <v/>
      </c>
      <c r="K857" s="172">
        <f>IF('Оперативный ввод'!K857="","",'Оперативный ввод'!K857)</f>
        <v/>
      </c>
      <c r="L857" s="172">
        <f>IF('Оперативный ввод'!L857="","",'Оперативный ввод'!L857)</f>
        <v/>
      </c>
      <c r="M857" s="172">
        <f>IF('Оперативный ввод'!M857="","",'Оперативный ввод'!M857)</f>
        <v/>
      </c>
      <c r="N857" s="172">
        <f>IF('Оперативный ввод'!N857="","",'Оперативный ввод'!N857)</f>
        <v/>
      </c>
      <c r="O857" s="172">
        <f>IF('Оперативный ввод'!O857="","",'Оперативный ввод'!O857)</f>
        <v/>
      </c>
      <c r="P857" s="205">
        <f>IF(AND(A857="",B857=""),"",IF(AND(A857&lt;&gt;"",B857&lt;&gt;"",C857&lt;&gt;"",D857&lt;&gt;"",F857&lt;&gt;"",G857&lt;&gt;"",H857&lt;&gt;"",ISERROR(SEARCH("по паспорту",G857)),ISERROR(SEARCH("по паспорту",H857)),I857&lt;&gt;"",J857&lt;&gt;"",K857&lt;&gt;"",L857&lt;&gt;"",M857&lt;&gt;""),"ГОТОВО","НЕ ГОТОВО"))</f>
        <v/>
      </c>
      <c r="Q857" s="205">
        <f>IF(P857&lt;&gt;"ГОТОВО","", "Предварительное заключение: "&amp;A857&amp;", скв. "&amp;B857&amp;". МРП: "&amp;E857&amp;" сут. ГНО: "&amp;F857&amp;", типоразмер "&amp;G857&amp;", марка "&amp;H857&amp;". Событие: "&amp;I857&amp;". Признак: "&amp;J857&amp;". Узел: "&amp;K857&amp;". Предварительная причина: "&amp;L857&amp;". Основное осложнение: "&amp;M857&amp;IF(N857&lt;&gt;"","; сопутствующее: "&amp;N857,"")&amp;IF(O857&lt;&gt;"","; дополнительно: "&amp;O857,"")&amp;".")</f>
        <v/>
      </c>
      <c r="R857" s="172">
        <f>IF('Оперативный ввод'!P857="","",'Оперативный ввод'!P857)</f>
        <v/>
      </c>
      <c r="S857" s="172">
        <f>IF('Оперативный ввод'!Q857="","",'Оперативный ввод'!Q857)</f>
        <v/>
      </c>
      <c r="T857" s="172">
        <f>IF('Оперативный ввод'!R857="","",'Оперативный ввод'!R857)</f>
        <v/>
      </c>
      <c r="U857" s="172">
        <f>IF('Оперативный ввод'!S857="","",'Оперативный ввод'!S857)</f>
        <v/>
      </c>
      <c r="V857" s="172">
        <f>IF('Оперативный ввод'!T857="","",'Оперативный ввод'!T857)</f>
        <v/>
      </c>
      <c r="W857" s="172" t="n"/>
      <c r="X857" s="172" t="n"/>
      <c r="Y857" s="172" t="n"/>
      <c r="Z857" s="172" t="n"/>
      <c r="AA857" s="172">
        <f>IF('Оперативный ввод'!U857="","",'Оперативный ввод'!U857)</f>
        <v/>
      </c>
      <c r="AB857" s="172">
        <f>IF('Оперативный ввод'!V857="","",'Оперативный ввод'!V857)</f>
        <v/>
      </c>
      <c r="AC857" s="172">
        <f>IF('Оперативный ввод'!W857="","",'Оперативный ввод'!W857)</f>
        <v/>
      </c>
      <c r="BB857" s="172" t="n"/>
      <c r="BC857" s="172" t="n"/>
      <c r="BD857" s="205">
        <f>IF(AND(A857="",B857=""),"",IF(AND(P857="ГОТОВО",R857&lt;&gt;"",T857&lt;&gt;"",U857&lt;&gt;"",AA857&lt;&gt;"",AB857&lt;&gt;"",AC857&lt;&gt;"",BB857&lt;&gt;"",BC857&lt;&gt;""),"ГОТОВО","НЕ ГОТОВО"))</f>
        <v/>
      </c>
      <c r="BE857" s="205">
        <f>IF(BD857&lt;&gt;"ГОТОВО","","Полное заключение: "&amp;A857&amp;", скв. "&amp;B857&amp;". МРП: "&amp;E857&amp;" сут. ГНО: "&amp;F857&amp;"; причина: "&amp;U857&amp;"; категория: "&amp;V857&amp;"; решение комиссии: "&amp;BB857&amp;".")</f>
        <v/>
      </c>
      <c r="BF857" s="173">
        <f>IF('Оперативный ввод'!X857="","",'Оперативный ввод'!X857)</f>
        <v/>
      </c>
    </row>
    <row r="858">
      <c r="A858" s="171">
        <f>IF('Оперативный ввод'!A858="","",'Оперативный ввод'!A858)</f>
        <v/>
      </c>
      <c r="B858" s="172">
        <f>IF('Оперативный ввод'!B858="","",'Оперативный ввод'!B858)</f>
        <v/>
      </c>
      <c r="C858" s="270">
        <f>IF('Оперативный ввод'!C858="","",'Оперативный ввод'!C858)</f>
        <v/>
      </c>
      <c r="D858" s="270">
        <f>IF('Оперативный ввод'!D858="","",'Оперативный ввод'!D858)</f>
        <v/>
      </c>
      <c r="E858" s="271">
        <f>IF(OR(C858="",D858=""),"",D858-C858)</f>
        <v/>
      </c>
      <c r="F858" s="172">
        <f>IF('Оперативный ввод'!F858="","",'Оперативный ввод'!F858)</f>
        <v/>
      </c>
      <c r="G858" s="172">
        <f>IF('Оперативный ввод'!G858="","",'Оперативный ввод'!G858)</f>
        <v/>
      </c>
      <c r="H858" s="172">
        <f>IF('Оперативный ввод'!H858="","",'Оперативный ввод'!H858)</f>
        <v/>
      </c>
      <c r="I858" s="172">
        <f>IF('Оперативный ввод'!I858="","",'Оперативный ввод'!I858)</f>
        <v/>
      </c>
      <c r="J858" s="172">
        <f>IF('Оперативный ввод'!J858="","",'Оперативный ввод'!J858)</f>
        <v/>
      </c>
      <c r="K858" s="172">
        <f>IF('Оперативный ввод'!K858="","",'Оперативный ввод'!K858)</f>
        <v/>
      </c>
      <c r="L858" s="172">
        <f>IF('Оперативный ввод'!L858="","",'Оперативный ввод'!L858)</f>
        <v/>
      </c>
      <c r="M858" s="172">
        <f>IF('Оперативный ввод'!M858="","",'Оперативный ввод'!M858)</f>
        <v/>
      </c>
      <c r="N858" s="172">
        <f>IF('Оперативный ввод'!N858="","",'Оперативный ввод'!N858)</f>
        <v/>
      </c>
      <c r="O858" s="172">
        <f>IF('Оперативный ввод'!O858="","",'Оперативный ввод'!O858)</f>
        <v/>
      </c>
      <c r="P858" s="205">
        <f>IF(AND(A858="",B858=""),"",IF(AND(A858&lt;&gt;"",B858&lt;&gt;"",C858&lt;&gt;"",D858&lt;&gt;"",F858&lt;&gt;"",G858&lt;&gt;"",H858&lt;&gt;"",ISERROR(SEARCH("по паспорту",G858)),ISERROR(SEARCH("по паспорту",H858)),I858&lt;&gt;"",J858&lt;&gt;"",K858&lt;&gt;"",L858&lt;&gt;"",M858&lt;&gt;""),"ГОТОВО","НЕ ГОТОВО"))</f>
        <v/>
      </c>
      <c r="Q858" s="205">
        <f>IF(P858&lt;&gt;"ГОТОВО","", "Предварительное заключение: "&amp;A858&amp;", скв. "&amp;B858&amp;". МРП: "&amp;E858&amp;" сут. ГНО: "&amp;F858&amp;", типоразмер "&amp;G858&amp;", марка "&amp;H858&amp;". Событие: "&amp;I858&amp;". Признак: "&amp;J858&amp;". Узел: "&amp;K858&amp;". Предварительная причина: "&amp;L858&amp;". Основное осложнение: "&amp;M858&amp;IF(N858&lt;&gt;"","; сопутствующее: "&amp;N858,"")&amp;IF(O858&lt;&gt;"","; дополнительно: "&amp;O858,"")&amp;".")</f>
        <v/>
      </c>
      <c r="R858" s="172">
        <f>IF('Оперативный ввод'!P858="","",'Оперативный ввод'!P858)</f>
        <v/>
      </c>
      <c r="S858" s="172">
        <f>IF('Оперативный ввод'!Q858="","",'Оперативный ввод'!Q858)</f>
        <v/>
      </c>
      <c r="T858" s="172">
        <f>IF('Оперативный ввод'!R858="","",'Оперативный ввод'!R858)</f>
        <v/>
      </c>
      <c r="U858" s="172">
        <f>IF('Оперативный ввод'!S858="","",'Оперативный ввод'!S858)</f>
        <v/>
      </c>
      <c r="V858" s="172">
        <f>IF('Оперативный ввод'!T858="","",'Оперативный ввод'!T858)</f>
        <v/>
      </c>
      <c r="W858" s="172" t="n"/>
      <c r="X858" s="172" t="n"/>
      <c r="Y858" s="172" t="n"/>
      <c r="Z858" s="172" t="n"/>
      <c r="AA858" s="172">
        <f>IF('Оперативный ввод'!U858="","",'Оперативный ввод'!U858)</f>
        <v/>
      </c>
      <c r="AB858" s="172">
        <f>IF('Оперативный ввод'!V858="","",'Оперативный ввод'!V858)</f>
        <v/>
      </c>
      <c r="AC858" s="172">
        <f>IF('Оперативный ввод'!W858="","",'Оперативный ввод'!W858)</f>
        <v/>
      </c>
      <c r="BB858" s="172" t="n"/>
      <c r="BC858" s="172" t="n"/>
      <c r="BD858" s="205">
        <f>IF(AND(A858="",B858=""),"",IF(AND(P858="ГОТОВО",R858&lt;&gt;"",T858&lt;&gt;"",U858&lt;&gt;"",AA858&lt;&gt;"",AB858&lt;&gt;"",AC858&lt;&gt;"",BB858&lt;&gt;"",BC858&lt;&gt;""),"ГОТОВО","НЕ ГОТОВО"))</f>
        <v/>
      </c>
      <c r="BE858" s="205">
        <f>IF(BD858&lt;&gt;"ГОТОВО","","Полное заключение: "&amp;A858&amp;", скв. "&amp;B858&amp;". МРП: "&amp;E858&amp;" сут. ГНО: "&amp;F858&amp;"; причина: "&amp;U858&amp;"; категория: "&amp;V858&amp;"; решение комиссии: "&amp;BB858&amp;".")</f>
        <v/>
      </c>
      <c r="BF858" s="173">
        <f>IF('Оперативный ввод'!X858="","",'Оперативный ввод'!X858)</f>
        <v/>
      </c>
    </row>
    <row r="859">
      <c r="A859" s="171">
        <f>IF('Оперативный ввод'!A859="","",'Оперативный ввод'!A859)</f>
        <v/>
      </c>
      <c r="B859" s="172">
        <f>IF('Оперативный ввод'!B859="","",'Оперативный ввод'!B859)</f>
        <v/>
      </c>
      <c r="C859" s="270">
        <f>IF('Оперативный ввод'!C859="","",'Оперативный ввод'!C859)</f>
        <v/>
      </c>
      <c r="D859" s="270">
        <f>IF('Оперативный ввод'!D859="","",'Оперативный ввод'!D859)</f>
        <v/>
      </c>
      <c r="E859" s="271">
        <f>IF(OR(C859="",D859=""),"",D859-C859)</f>
        <v/>
      </c>
      <c r="F859" s="172">
        <f>IF('Оперативный ввод'!F859="","",'Оперативный ввод'!F859)</f>
        <v/>
      </c>
      <c r="G859" s="172">
        <f>IF('Оперативный ввод'!G859="","",'Оперативный ввод'!G859)</f>
        <v/>
      </c>
      <c r="H859" s="172">
        <f>IF('Оперативный ввод'!H859="","",'Оперативный ввод'!H859)</f>
        <v/>
      </c>
      <c r="I859" s="172">
        <f>IF('Оперативный ввод'!I859="","",'Оперативный ввод'!I859)</f>
        <v/>
      </c>
      <c r="J859" s="172">
        <f>IF('Оперативный ввод'!J859="","",'Оперативный ввод'!J859)</f>
        <v/>
      </c>
      <c r="K859" s="172">
        <f>IF('Оперативный ввод'!K859="","",'Оперативный ввод'!K859)</f>
        <v/>
      </c>
      <c r="L859" s="172">
        <f>IF('Оперативный ввод'!L859="","",'Оперативный ввод'!L859)</f>
        <v/>
      </c>
      <c r="M859" s="172">
        <f>IF('Оперативный ввод'!M859="","",'Оперативный ввод'!M859)</f>
        <v/>
      </c>
      <c r="N859" s="172">
        <f>IF('Оперативный ввод'!N859="","",'Оперативный ввод'!N859)</f>
        <v/>
      </c>
      <c r="O859" s="172">
        <f>IF('Оперативный ввод'!O859="","",'Оперативный ввод'!O859)</f>
        <v/>
      </c>
      <c r="P859" s="205">
        <f>IF(AND(A859="",B859=""),"",IF(AND(A859&lt;&gt;"",B859&lt;&gt;"",C859&lt;&gt;"",D859&lt;&gt;"",F859&lt;&gt;"",G859&lt;&gt;"",H859&lt;&gt;"",ISERROR(SEARCH("по паспорту",G859)),ISERROR(SEARCH("по паспорту",H859)),I859&lt;&gt;"",J859&lt;&gt;"",K859&lt;&gt;"",L859&lt;&gt;"",M859&lt;&gt;""),"ГОТОВО","НЕ ГОТОВО"))</f>
        <v/>
      </c>
      <c r="Q859" s="205">
        <f>IF(P859&lt;&gt;"ГОТОВО","", "Предварительное заключение: "&amp;A859&amp;", скв. "&amp;B859&amp;". МРП: "&amp;E859&amp;" сут. ГНО: "&amp;F859&amp;", типоразмер "&amp;G859&amp;", марка "&amp;H859&amp;". Событие: "&amp;I859&amp;". Признак: "&amp;J859&amp;". Узел: "&amp;K859&amp;". Предварительная причина: "&amp;L859&amp;". Основное осложнение: "&amp;M859&amp;IF(N859&lt;&gt;"","; сопутствующее: "&amp;N859,"")&amp;IF(O859&lt;&gt;"","; дополнительно: "&amp;O859,"")&amp;".")</f>
        <v/>
      </c>
      <c r="R859" s="172">
        <f>IF('Оперативный ввод'!P859="","",'Оперативный ввод'!P859)</f>
        <v/>
      </c>
      <c r="S859" s="172">
        <f>IF('Оперативный ввод'!Q859="","",'Оперативный ввод'!Q859)</f>
        <v/>
      </c>
      <c r="T859" s="172">
        <f>IF('Оперативный ввод'!R859="","",'Оперативный ввод'!R859)</f>
        <v/>
      </c>
      <c r="U859" s="172">
        <f>IF('Оперативный ввод'!S859="","",'Оперативный ввод'!S859)</f>
        <v/>
      </c>
      <c r="V859" s="172">
        <f>IF('Оперативный ввод'!T859="","",'Оперативный ввод'!T859)</f>
        <v/>
      </c>
      <c r="W859" s="172" t="n"/>
      <c r="X859" s="172" t="n"/>
      <c r="Y859" s="172" t="n"/>
      <c r="Z859" s="172" t="n"/>
      <c r="AA859" s="172">
        <f>IF('Оперативный ввод'!U859="","",'Оперативный ввод'!U859)</f>
        <v/>
      </c>
      <c r="AB859" s="172">
        <f>IF('Оперативный ввод'!V859="","",'Оперативный ввод'!V859)</f>
        <v/>
      </c>
      <c r="AC859" s="172">
        <f>IF('Оперативный ввод'!W859="","",'Оперативный ввод'!W859)</f>
        <v/>
      </c>
      <c r="BB859" s="172" t="n"/>
      <c r="BC859" s="172" t="n"/>
      <c r="BD859" s="205">
        <f>IF(AND(A859="",B859=""),"",IF(AND(P859="ГОТОВО",R859&lt;&gt;"",T859&lt;&gt;"",U859&lt;&gt;"",AA859&lt;&gt;"",AB859&lt;&gt;"",AC859&lt;&gt;"",BB859&lt;&gt;"",BC859&lt;&gt;""),"ГОТОВО","НЕ ГОТОВО"))</f>
        <v/>
      </c>
      <c r="BE859" s="205">
        <f>IF(BD859&lt;&gt;"ГОТОВО","","Полное заключение: "&amp;A859&amp;", скв. "&amp;B859&amp;". МРП: "&amp;E859&amp;" сут. ГНО: "&amp;F859&amp;"; причина: "&amp;U859&amp;"; категория: "&amp;V859&amp;"; решение комиссии: "&amp;BB859&amp;".")</f>
        <v/>
      </c>
      <c r="BF859" s="173">
        <f>IF('Оперативный ввод'!X859="","",'Оперативный ввод'!X859)</f>
        <v/>
      </c>
    </row>
    <row r="860">
      <c r="A860" s="171">
        <f>IF('Оперативный ввод'!A860="","",'Оперативный ввод'!A860)</f>
        <v/>
      </c>
      <c r="B860" s="172">
        <f>IF('Оперативный ввод'!B860="","",'Оперативный ввод'!B860)</f>
        <v/>
      </c>
      <c r="C860" s="270">
        <f>IF('Оперативный ввод'!C860="","",'Оперативный ввод'!C860)</f>
        <v/>
      </c>
      <c r="D860" s="270">
        <f>IF('Оперативный ввод'!D860="","",'Оперативный ввод'!D860)</f>
        <v/>
      </c>
      <c r="E860" s="271">
        <f>IF(OR(C860="",D860=""),"",D860-C860)</f>
        <v/>
      </c>
      <c r="F860" s="172">
        <f>IF('Оперативный ввод'!F860="","",'Оперативный ввод'!F860)</f>
        <v/>
      </c>
      <c r="G860" s="172">
        <f>IF('Оперативный ввод'!G860="","",'Оперативный ввод'!G860)</f>
        <v/>
      </c>
      <c r="H860" s="172">
        <f>IF('Оперативный ввод'!H860="","",'Оперативный ввод'!H860)</f>
        <v/>
      </c>
      <c r="I860" s="172">
        <f>IF('Оперативный ввод'!I860="","",'Оперативный ввод'!I860)</f>
        <v/>
      </c>
      <c r="J860" s="172">
        <f>IF('Оперативный ввод'!J860="","",'Оперативный ввод'!J860)</f>
        <v/>
      </c>
      <c r="K860" s="172">
        <f>IF('Оперативный ввод'!K860="","",'Оперативный ввод'!K860)</f>
        <v/>
      </c>
      <c r="L860" s="172">
        <f>IF('Оперативный ввод'!L860="","",'Оперативный ввод'!L860)</f>
        <v/>
      </c>
      <c r="M860" s="172">
        <f>IF('Оперативный ввод'!M860="","",'Оперативный ввод'!M860)</f>
        <v/>
      </c>
      <c r="N860" s="172">
        <f>IF('Оперативный ввод'!N860="","",'Оперативный ввод'!N860)</f>
        <v/>
      </c>
      <c r="O860" s="172">
        <f>IF('Оперативный ввод'!O860="","",'Оперативный ввод'!O860)</f>
        <v/>
      </c>
      <c r="P860" s="205">
        <f>IF(AND(A860="",B860=""),"",IF(AND(A860&lt;&gt;"",B860&lt;&gt;"",C860&lt;&gt;"",D860&lt;&gt;"",F860&lt;&gt;"",G860&lt;&gt;"",H860&lt;&gt;"",ISERROR(SEARCH("по паспорту",G860)),ISERROR(SEARCH("по паспорту",H860)),I860&lt;&gt;"",J860&lt;&gt;"",K860&lt;&gt;"",L860&lt;&gt;"",M860&lt;&gt;""),"ГОТОВО","НЕ ГОТОВО"))</f>
        <v/>
      </c>
      <c r="Q860" s="205">
        <f>IF(P860&lt;&gt;"ГОТОВО","", "Предварительное заключение: "&amp;A860&amp;", скв. "&amp;B860&amp;". МРП: "&amp;E860&amp;" сут. ГНО: "&amp;F860&amp;", типоразмер "&amp;G860&amp;", марка "&amp;H860&amp;". Событие: "&amp;I860&amp;". Признак: "&amp;J860&amp;". Узел: "&amp;K860&amp;". Предварительная причина: "&amp;L860&amp;". Основное осложнение: "&amp;M860&amp;IF(N860&lt;&gt;"","; сопутствующее: "&amp;N860,"")&amp;IF(O860&lt;&gt;"","; дополнительно: "&amp;O860,"")&amp;".")</f>
        <v/>
      </c>
      <c r="R860" s="172">
        <f>IF('Оперативный ввод'!P860="","",'Оперативный ввод'!P860)</f>
        <v/>
      </c>
      <c r="S860" s="172">
        <f>IF('Оперативный ввод'!Q860="","",'Оперативный ввод'!Q860)</f>
        <v/>
      </c>
      <c r="T860" s="172">
        <f>IF('Оперативный ввод'!R860="","",'Оперативный ввод'!R860)</f>
        <v/>
      </c>
      <c r="U860" s="172">
        <f>IF('Оперативный ввод'!S860="","",'Оперативный ввод'!S860)</f>
        <v/>
      </c>
      <c r="V860" s="172">
        <f>IF('Оперативный ввод'!T860="","",'Оперативный ввод'!T860)</f>
        <v/>
      </c>
      <c r="W860" s="172" t="n"/>
      <c r="X860" s="172" t="n"/>
      <c r="Y860" s="172" t="n"/>
      <c r="Z860" s="172" t="n"/>
      <c r="AA860" s="172">
        <f>IF('Оперативный ввод'!U860="","",'Оперативный ввод'!U860)</f>
        <v/>
      </c>
      <c r="AB860" s="172">
        <f>IF('Оперативный ввод'!V860="","",'Оперативный ввод'!V860)</f>
        <v/>
      </c>
      <c r="AC860" s="172">
        <f>IF('Оперативный ввод'!W860="","",'Оперативный ввод'!W860)</f>
        <v/>
      </c>
      <c r="BB860" s="172" t="n"/>
      <c r="BC860" s="172" t="n"/>
      <c r="BD860" s="205">
        <f>IF(AND(A860="",B860=""),"",IF(AND(P860="ГОТОВО",R860&lt;&gt;"",T860&lt;&gt;"",U860&lt;&gt;"",AA860&lt;&gt;"",AB860&lt;&gt;"",AC860&lt;&gt;"",BB860&lt;&gt;"",BC860&lt;&gt;""),"ГОТОВО","НЕ ГОТОВО"))</f>
        <v/>
      </c>
      <c r="BE860" s="205">
        <f>IF(BD860&lt;&gt;"ГОТОВО","","Полное заключение: "&amp;A860&amp;", скв. "&amp;B860&amp;". МРП: "&amp;E860&amp;" сут. ГНО: "&amp;F860&amp;"; причина: "&amp;U860&amp;"; категория: "&amp;V860&amp;"; решение комиссии: "&amp;BB860&amp;".")</f>
        <v/>
      </c>
      <c r="BF860" s="173">
        <f>IF('Оперативный ввод'!X860="","",'Оперативный ввод'!X860)</f>
        <v/>
      </c>
    </row>
    <row r="861">
      <c r="A861" s="171">
        <f>IF('Оперативный ввод'!A861="","",'Оперативный ввод'!A861)</f>
        <v/>
      </c>
      <c r="B861" s="172">
        <f>IF('Оперативный ввод'!B861="","",'Оперативный ввод'!B861)</f>
        <v/>
      </c>
      <c r="C861" s="270">
        <f>IF('Оперативный ввод'!C861="","",'Оперативный ввод'!C861)</f>
        <v/>
      </c>
      <c r="D861" s="270">
        <f>IF('Оперативный ввод'!D861="","",'Оперативный ввод'!D861)</f>
        <v/>
      </c>
      <c r="E861" s="271">
        <f>IF(OR(C861="",D861=""),"",D861-C861)</f>
        <v/>
      </c>
      <c r="F861" s="172">
        <f>IF('Оперативный ввод'!F861="","",'Оперативный ввод'!F861)</f>
        <v/>
      </c>
      <c r="G861" s="172">
        <f>IF('Оперативный ввод'!G861="","",'Оперативный ввод'!G861)</f>
        <v/>
      </c>
      <c r="H861" s="172">
        <f>IF('Оперативный ввод'!H861="","",'Оперативный ввод'!H861)</f>
        <v/>
      </c>
      <c r="I861" s="172">
        <f>IF('Оперативный ввод'!I861="","",'Оперативный ввод'!I861)</f>
        <v/>
      </c>
      <c r="J861" s="172">
        <f>IF('Оперативный ввод'!J861="","",'Оперативный ввод'!J861)</f>
        <v/>
      </c>
      <c r="K861" s="172">
        <f>IF('Оперативный ввод'!K861="","",'Оперативный ввод'!K861)</f>
        <v/>
      </c>
      <c r="L861" s="172">
        <f>IF('Оперативный ввод'!L861="","",'Оперативный ввод'!L861)</f>
        <v/>
      </c>
      <c r="M861" s="172">
        <f>IF('Оперативный ввод'!M861="","",'Оперативный ввод'!M861)</f>
        <v/>
      </c>
      <c r="N861" s="172">
        <f>IF('Оперативный ввод'!N861="","",'Оперативный ввод'!N861)</f>
        <v/>
      </c>
      <c r="O861" s="172">
        <f>IF('Оперативный ввод'!O861="","",'Оперативный ввод'!O861)</f>
        <v/>
      </c>
      <c r="P861" s="205">
        <f>IF(AND(A861="",B861=""),"",IF(AND(A861&lt;&gt;"",B861&lt;&gt;"",C861&lt;&gt;"",D861&lt;&gt;"",F861&lt;&gt;"",G861&lt;&gt;"",H861&lt;&gt;"",ISERROR(SEARCH("по паспорту",G861)),ISERROR(SEARCH("по паспорту",H861)),I861&lt;&gt;"",J861&lt;&gt;"",K861&lt;&gt;"",L861&lt;&gt;"",M861&lt;&gt;""),"ГОТОВО","НЕ ГОТОВО"))</f>
        <v/>
      </c>
      <c r="Q861" s="205">
        <f>IF(P861&lt;&gt;"ГОТОВО","", "Предварительное заключение: "&amp;A861&amp;", скв. "&amp;B861&amp;". МРП: "&amp;E861&amp;" сут. ГНО: "&amp;F861&amp;", типоразмер "&amp;G861&amp;", марка "&amp;H861&amp;". Событие: "&amp;I861&amp;". Признак: "&amp;J861&amp;". Узел: "&amp;K861&amp;". Предварительная причина: "&amp;L861&amp;". Основное осложнение: "&amp;M861&amp;IF(N861&lt;&gt;"","; сопутствующее: "&amp;N861,"")&amp;IF(O861&lt;&gt;"","; дополнительно: "&amp;O861,"")&amp;".")</f>
        <v/>
      </c>
      <c r="R861" s="172">
        <f>IF('Оперативный ввод'!P861="","",'Оперативный ввод'!P861)</f>
        <v/>
      </c>
      <c r="S861" s="172">
        <f>IF('Оперативный ввод'!Q861="","",'Оперативный ввод'!Q861)</f>
        <v/>
      </c>
      <c r="T861" s="172">
        <f>IF('Оперативный ввод'!R861="","",'Оперативный ввод'!R861)</f>
        <v/>
      </c>
      <c r="U861" s="172">
        <f>IF('Оперативный ввод'!S861="","",'Оперативный ввод'!S861)</f>
        <v/>
      </c>
      <c r="V861" s="172">
        <f>IF('Оперативный ввод'!T861="","",'Оперативный ввод'!T861)</f>
        <v/>
      </c>
      <c r="W861" s="172" t="n"/>
      <c r="X861" s="172" t="n"/>
      <c r="Y861" s="172" t="n"/>
      <c r="Z861" s="172" t="n"/>
      <c r="AA861" s="172">
        <f>IF('Оперативный ввод'!U861="","",'Оперативный ввод'!U861)</f>
        <v/>
      </c>
      <c r="AB861" s="172">
        <f>IF('Оперативный ввод'!V861="","",'Оперативный ввод'!V861)</f>
        <v/>
      </c>
      <c r="AC861" s="172">
        <f>IF('Оперативный ввод'!W861="","",'Оперативный ввод'!W861)</f>
        <v/>
      </c>
      <c r="BB861" s="172" t="n"/>
      <c r="BC861" s="172" t="n"/>
      <c r="BD861" s="205">
        <f>IF(AND(A861="",B861=""),"",IF(AND(P861="ГОТОВО",R861&lt;&gt;"",T861&lt;&gt;"",U861&lt;&gt;"",AA861&lt;&gt;"",AB861&lt;&gt;"",AC861&lt;&gt;"",BB861&lt;&gt;"",BC861&lt;&gt;""),"ГОТОВО","НЕ ГОТОВО"))</f>
        <v/>
      </c>
      <c r="BE861" s="205">
        <f>IF(BD861&lt;&gt;"ГОТОВО","","Полное заключение: "&amp;A861&amp;", скв. "&amp;B861&amp;". МРП: "&amp;E861&amp;" сут. ГНО: "&amp;F861&amp;"; причина: "&amp;U861&amp;"; категория: "&amp;V861&amp;"; решение комиссии: "&amp;BB861&amp;".")</f>
        <v/>
      </c>
      <c r="BF861" s="173">
        <f>IF('Оперативный ввод'!X861="","",'Оперативный ввод'!X861)</f>
        <v/>
      </c>
    </row>
    <row r="862">
      <c r="A862" s="171">
        <f>IF('Оперативный ввод'!A862="","",'Оперативный ввод'!A862)</f>
        <v/>
      </c>
      <c r="B862" s="172">
        <f>IF('Оперативный ввод'!B862="","",'Оперативный ввод'!B862)</f>
        <v/>
      </c>
      <c r="C862" s="270">
        <f>IF('Оперативный ввод'!C862="","",'Оперативный ввод'!C862)</f>
        <v/>
      </c>
      <c r="D862" s="270">
        <f>IF('Оперативный ввод'!D862="","",'Оперативный ввод'!D862)</f>
        <v/>
      </c>
      <c r="E862" s="271">
        <f>IF(OR(C862="",D862=""),"",D862-C862)</f>
        <v/>
      </c>
      <c r="F862" s="172">
        <f>IF('Оперативный ввод'!F862="","",'Оперативный ввод'!F862)</f>
        <v/>
      </c>
      <c r="G862" s="172">
        <f>IF('Оперативный ввод'!G862="","",'Оперативный ввод'!G862)</f>
        <v/>
      </c>
      <c r="H862" s="172">
        <f>IF('Оперативный ввод'!H862="","",'Оперативный ввод'!H862)</f>
        <v/>
      </c>
      <c r="I862" s="172">
        <f>IF('Оперативный ввод'!I862="","",'Оперативный ввод'!I862)</f>
        <v/>
      </c>
      <c r="J862" s="172">
        <f>IF('Оперативный ввод'!J862="","",'Оперативный ввод'!J862)</f>
        <v/>
      </c>
      <c r="K862" s="172">
        <f>IF('Оперативный ввод'!K862="","",'Оперативный ввод'!K862)</f>
        <v/>
      </c>
      <c r="L862" s="172">
        <f>IF('Оперативный ввод'!L862="","",'Оперативный ввод'!L862)</f>
        <v/>
      </c>
      <c r="M862" s="172">
        <f>IF('Оперативный ввод'!M862="","",'Оперативный ввод'!M862)</f>
        <v/>
      </c>
      <c r="N862" s="172">
        <f>IF('Оперативный ввод'!N862="","",'Оперативный ввод'!N862)</f>
        <v/>
      </c>
      <c r="O862" s="172">
        <f>IF('Оперативный ввод'!O862="","",'Оперативный ввод'!O862)</f>
        <v/>
      </c>
      <c r="P862" s="205">
        <f>IF(AND(A862="",B862=""),"",IF(AND(A862&lt;&gt;"",B862&lt;&gt;"",C862&lt;&gt;"",D862&lt;&gt;"",F862&lt;&gt;"",G862&lt;&gt;"",H862&lt;&gt;"",ISERROR(SEARCH("по паспорту",G862)),ISERROR(SEARCH("по паспорту",H862)),I862&lt;&gt;"",J862&lt;&gt;"",K862&lt;&gt;"",L862&lt;&gt;"",M862&lt;&gt;""),"ГОТОВО","НЕ ГОТОВО"))</f>
        <v/>
      </c>
      <c r="Q862" s="205">
        <f>IF(P862&lt;&gt;"ГОТОВО","", "Предварительное заключение: "&amp;A862&amp;", скв. "&amp;B862&amp;". МРП: "&amp;E862&amp;" сут. ГНО: "&amp;F862&amp;", типоразмер "&amp;G862&amp;", марка "&amp;H862&amp;". Событие: "&amp;I862&amp;". Признак: "&amp;J862&amp;". Узел: "&amp;K862&amp;". Предварительная причина: "&amp;L862&amp;". Основное осложнение: "&amp;M862&amp;IF(N862&lt;&gt;"","; сопутствующее: "&amp;N862,"")&amp;IF(O862&lt;&gt;"","; дополнительно: "&amp;O862,"")&amp;".")</f>
        <v/>
      </c>
      <c r="R862" s="172">
        <f>IF('Оперативный ввод'!P862="","",'Оперативный ввод'!P862)</f>
        <v/>
      </c>
      <c r="S862" s="172">
        <f>IF('Оперативный ввод'!Q862="","",'Оперативный ввод'!Q862)</f>
        <v/>
      </c>
      <c r="T862" s="172">
        <f>IF('Оперативный ввод'!R862="","",'Оперативный ввод'!R862)</f>
        <v/>
      </c>
      <c r="U862" s="172">
        <f>IF('Оперативный ввод'!S862="","",'Оперативный ввод'!S862)</f>
        <v/>
      </c>
      <c r="V862" s="172">
        <f>IF('Оперативный ввод'!T862="","",'Оперативный ввод'!T862)</f>
        <v/>
      </c>
      <c r="W862" s="172" t="n"/>
      <c r="X862" s="172" t="n"/>
      <c r="Y862" s="172" t="n"/>
      <c r="Z862" s="172" t="n"/>
      <c r="AA862" s="172">
        <f>IF('Оперативный ввод'!U862="","",'Оперативный ввод'!U862)</f>
        <v/>
      </c>
      <c r="AB862" s="172">
        <f>IF('Оперативный ввод'!V862="","",'Оперативный ввод'!V862)</f>
        <v/>
      </c>
      <c r="AC862" s="172">
        <f>IF('Оперативный ввод'!W862="","",'Оперативный ввод'!W862)</f>
        <v/>
      </c>
      <c r="BB862" s="172" t="n"/>
      <c r="BC862" s="172" t="n"/>
      <c r="BD862" s="205">
        <f>IF(AND(A862="",B862=""),"",IF(AND(P862="ГОТОВО",R862&lt;&gt;"",T862&lt;&gt;"",U862&lt;&gt;"",AA862&lt;&gt;"",AB862&lt;&gt;"",AC862&lt;&gt;"",BB862&lt;&gt;"",BC862&lt;&gt;""),"ГОТОВО","НЕ ГОТОВО"))</f>
        <v/>
      </c>
      <c r="BE862" s="205">
        <f>IF(BD862&lt;&gt;"ГОТОВО","","Полное заключение: "&amp;A862&amp;", скв. "&amp;B862&amp;". МРП: "&amp;E862&amp;" сут. ГНО: "&amp;F862&amp;"; причина: "&amp;U862&amp;"; категория: "&amp;V862&amp;"; решение комиссии: "&amp;BB862&amp;".")</f>
        <v/>
      </c>
      <c r="BF862" s="173">
        <f>IF('Оперативный ввод'!X862="","",'Оперативный ввод'!X862)</f>
        <v/>
      </c>
    </row>
    <row r="863">
      <c r="A863" s="171">
        <f>IF('Оперативный ввод'!A863="","",'Оперативный ввод'!A863)</f>
        <v/>
      </c>
      <c r="B863" s="172">
        <f>IF('Оперативный ввод'!B863="","",'Оперативный ввод'!B863)</f>
        <v/>
      </c>
      <c r="C863" s="270">
        <f>IF('Оперативный ввод'!C863="","",'Оперативный ввод'!C863)</f>
        <v/>
      </c>
      <c r="D863" s="270">
        <f>IF('Оперативный ввод'!D863="","",'Оперативный ввод'!D863)</f>
        <v/>
      </c>
      <c r="E863" s="271">
        <f>IF(OR(C863="",D863=""),"",D863-C863)</f>
        <v/>
      </c>
      <c r="F863" s="172">
        <f>IF('Оперативный ввод'!F863="","",'Оперативный ввод'!F863)</f>
        <v/>
      </c>
      <c r="G863" s="172">
        <f>IF('Оперативный ввод'!G863="","",'Оперативный ввод'!G863)</f>
        <v/>
      </c>
      <c r="H863" s="172">
        <f>IF('Оперативный ввод'!H863="","",'Оперативный ввод'!H863)</f>
        <v/>
      </c>
      <c r="I863" s="172">
        <f>IF('Оперативный ввод'!I863="","",'Оперативный ввод'!I863)</f>
        <v/>
      </c>
      <c r="J863" s="172">
        <f>IF('Оперативный ввод'!J863="","",'Оперативный ввод'!J863)</f>
        <v/>
      </c>
      <c r="K863" s="172">
        <f>IF('Оперативный ввод'!K863="","",'Оперативный ввод'!K863)</f>
        <v/>
      </c>
      <c r="L863" s="172">
        <f>IF('Оперативный ввод'!L863="","",'Оперативный ввод'!L863)</f>
        <v/>
      </c>
      <c r="M863" s="172">
        <f>IF('Оперативный ввод'!M863="","",'Оперативный ввод'!M863)</f>
        <v/>
      </c>
      <c r="N863" s="172">
        <f>IF('Оперативный ввод'!N863="","",'Оперативный ввод'!N863)</f>
        <v/>
      </c>
      <c r="O863" s="172">
        <f>IF('Оперативный ввод'!O863="","",'Оперативный ввод'!O863)</f>
        <v/>
      </c>
      <c r="P863" s="205">
        <f>IF(AND(A863="",B863=""),"",IF(AND(A863&lt;&gt;"",B863&lt;&gt;"",C863&lt;&gt;"",D863&lt;&gt;"",F863&lt;&gt;"",G863&lt;&gt;"",H863&lt;&gt;"",ISERROR(SEARCH("по паспорту",G863)),ISERROR(SEARCH("по паспорту",H863)),I863&lt;&gt;"",J863&lt;&gt;"",K863&lt;&gt;"",L863&lt;&gt;"",M863&lt;&gt;""),"ГОТОВО","НЕ ГОТОВО"))</f>
        <v/>
      </c>
      <c r="Q863" s="205">
        <f>IF(P863&lt;&gt;"ГОТОВО","", "Предварительное заключение: "&amp;A863&amp;", скв. "&amp;B863&amp;". МРП: "&amp;E863&amp;" сут. ГНО: "&amp;F863&amp;", типоразмер "&amp;G863&amp;", марка "&amp;H863&amp;". Событие: "&amp;I863&amp;". Признак: "&amp;J863&amp;". Узел: "&amp;K863&amp;". Предварительная причина: "&amp;L863&amp;". Основное осложнение: "&amp;M863&amp;IF(N863&lt;&gt;"","; сопутствующее: "&amp;N863,"")&amp;IF(O863&lt;&gt;"","; дополнительно: "&amp;O863,"")&amp;".")</f>
        <v/>
      </c>
      <c r="R863" s="172">
        <f>IF('Оперативный ввод'!P863="","",'Оперативный ввод'!P863)</f>
        <v/>
      </c>
      <c r="S863" s="172">
        <f>IF('Оперативный ввод'!Q863="","",'Оперативный ввод'!Q863)</f>
        <v/>
      </c>
      <c r="T863" s="172">
        <f>IF('Оперативный ввод'!R863="","",'Оперативный ввод'!R863)</f>
        <v/>
      </c>
      <c r="U863" s="172">
        <f>IF('Оперативный ввод'!S863="","",'Оперативный ввод'!S863)</f>
        <v/>
      </c>
      <c r="V863" s="172">
        <f>IF('Оперативный ввод'!T863="","",'Оперативный ввод'!T863)</f>
        <v/>
      </c>
      <c r="W863" s="172" t="n"/>
      <c r="X863" s="172" t="n"/>
      <c r="Y863" s="172" t="n"/>
      <c r="Z863" s="172" t="n"/>
      <c r="AA863" s="172">
        <f>IF('Оперативный ввод'!U863="","",'Оперативный ввод'!U863)</f>
        <v/>
      </c>
      <c r="AB863" s="172">
        <f>IF('Оперативный ввод'!V863="","",'Оперативный ввод'!V863)</f>
        <v/>
      </c>
      <c r="AC863" s="172">
        <f>IF('Оперативный ввод'!W863="","",'Оперативный ввод'!W863)</f>
        <v/>
      </c>
      <c r="BB863" s="172" t="n"/>
      <c r="BC863" s="172" t="n"/>
      <c r="BD863" s="205">
        <f>IF(AND(A863="",B863=""),"",IF(AND(P863="ГОТОВО",R863&lt;&gt;"",T863&lt;&gt;"",U863&lt;&gt;"",AA863&lt;&gt;"",AB863&lt;&gt;"",AC863&lt;&gt;"",BB863&lt;&gt;"",BC863&lt;&gt;""),"ГОТОВО","НЕ ГОТОВО"))</f>
        <v/>
      </c>
      <c r="BE863" s="205">
        <f>IF(BD863&lt;&gt;"ГОТОВО","","Полное заключение: "&amp;A863&amp;", скв. "&amp;B863&amp;". МРП: "&amp;E863&amp;" сут. ГНО: "&amp;F863&amp;"; причина: "&amp;U863&amp;"; категория: "&amp;V863&amp;"; решение комиссии: "&amp;BB863&amp;".")</f>
        <v/>
      </c>
      <c r="BF863" s="173">
        <f>IF('Оперативный ввод'!X863="","",'Оперативный ввод'!X863)</f>
        <v/>
      </c>
    </row>
    <row r="864">
      <c r="A864" s="171">
        <f>IF('Оперативный ввод'!A864="","",'Оперативный ввод'!A864)</f>
        <v/>
      </c>
      <c r="B864" s="172">
        <f>IF('Оперативный ввод'!B864="","",'Оперативный ввод'!B864)</f>
        <v/>
      </c>
      <c r="C864" s="270">
        <f>IF('Оперативный ввод'!C864="","",'Оперативный ввод'!C864)</f>
        <v/>
      </c>
      <c r="D864" s="270">
        <f>IF('Оперативный ввод'!D864="","",'Оперативный ввод'!D864)</f>
        <v/>
      </c>
      <c r="E864" s="271">
        <f>IF(OR(C864="",D864=""),"",D864-C864)</f>
        <v/>
      </c>
      <c r="F864" s="172">
        <f>IF('Оперативный ввод'!F864="","",'Оперативный ввод'!F864)</f>
        <v/>
      </c>
      <c r="G864" s="172">
        <f>IF('Оперативный ввод'!G864="","",'Оперативный ввод'!G864)</f>
        <v/>
      </c>
      <c r="H864" s="172">
        <f>IF('Оперативный ввод'!H864="","",'Оперативный ввод'!H864)</f>
        <v/>
      </c>
      <c r="I864" s="172">
        <f>IF('Оперативный ввод'!I864="","",'Оперативный ввод'!I864)</f>
        <v/>
      </c>
      <c r="J864" s="172">
        <f>IF('Оперативный ввод'!J864="","",'Оперативный ввод'!J864)</f>
        <v/>
      </c>
      <c r="K864" s="172">
        <f>IF('Оперативный ввод'!K864="","",'Оперативный ввод'!K864)</f>
        <v/>
      </c>
      <c r="L864" s="172">
        <f>IF('Оперативный ввод'!L864="","",'Оперативный ввод'!L864)</f>
        <v/>
      </c>
      <c r="M864" s="172">
        <f>IF('Оперативный ввод'!M864="","",'Оперативный ввод'!M864)</f>
        <v/>
      </c>
      <c r="N864" s="172">
        <f>IF('Оперативный ввод'!N864="","",'Оперативный ввод'!N864)</f>
        <v/>
      </c>
      <c r="O864" s="172">
        <f>IF('Оперативный ввод'!O864="","",'Оперативный ввод'!O864)</f>
        <v/>
      </c>
      <c r="P864" s="205">
        <f>IF(AND(A864="",B864=""),"",IF(AND(A864&lt;&gt;"",B864&lt;&gt;"",C864&lt;&gt;"",D864&lt;&gt;"",F864&lt;&gt;"",G864&lt;&gt;"",H864&lt;&gt;"",ISERROR(SEARCH("по паспорту",G864)),ISERROR(SEARCH("по паспорту",H864)),I864&lt;&gt;"",J864&lt;&gt;"",K864&lt;&gt;"",L864&lt;&gt;"",M864&lt;&gt;""),"ГОТОВО","НЕ ГОТОВО"))</f>
        <v/>
      </c>
      <c r="Q864" s="205">
        <f>IF(P864&lt;&gt;"ГОТОВО","", "Предварительное заключение: "&amp;A864&amp;", скв. "&amp;B864&amp;". МРП: "&amp;E864&amp;" сут. ГНО: "&amp;F864&amp;", типоразмер "&amp;G864&amp;", марка "&amp;H864&amp;". Событие: "&amp;I864&amp;". Признак: "&amp;J864&amp;". Узел: "&amp;K864&amp;". Предварительная причина: "&amp;L864&amp;". Основное осложнение: "&amp;M864&amp;IF(N864&lt;&gt;"","; сопутствующее: "&amp;N864,"")&amp;IF(O864&lt;&gt;"","; дополнительно: "&amp;O864,"")&amp;".")</f>
        <v/>
      </c>
      <c r="R864" s="172">
        <f>IF('Оперативный ввод'!P864="","",'Оперативный ввод'!P864)</f>
        <v/>
      </c>
      <c r="S864" s="172">
        <f>IF('Оперативный ввод'!Q864="","",'Оперативный ввод'!Q864)</f>
        <v/>
      </c>
      <c r="T864" s="172">
        <f>IF('Оперативный ввод'!R864="","",'Оперативный ввод'!R864)</f>
        <v/>
      </c>
      <c r="U864" s="172">
        <f>IF('Оперативный ввод'!S864="","",'Оперативный ввод'!S864)</f>
        <v/>
      </c>
      <c r="V864" s="172">
        <f>IF('Оперативный ввод'!T864="","",'Оперативный ввод'!T864)</f>
        <v/>
      </c>
      <c r="W864" s="172" t="n"/>
      <c r="X864" s="172" t="n"/>
      <c r="Y864" s="172" t="n"/>
      <c r="Z864" s="172" t="n"/>
      <c r="AA864" s="172">
        <f>IF('Оперативный ввод'!U864="","",'Оперативный ввод'!U864)</f>
        <v/>
      </c>
      <c r="AB864" s="172">
        <f>IF('Оперативный ввод'!V864="","",'Оперативный ввод'!V864)</f>
        <v/>
      </c>
      <c r="AC864" s="172">
        <f>IF('Оперативный ввод'!W864="","",'Оперативный ввод'!W864)</f>
        <v/>
      </c>
      <c r="BB864" s="172" t="n"/>
      <c r="BC864" s="172" t="n"/>
      <c r="BD864" s="205">
        <f>IF(AND(A864="",B864=""),"",IF(AND(P864="ГОТОВО",R864&lt;&gt;"",T864&lt;&gt;"",U864&lt;&gt;"",AA864&lt;&gt;"",AB864&lt;&gt;"",AC864&lt;&gt;"",BB864&lt;&gt;"",BC864&lt;&gt;""),"ГОТОВО","НЕ ГОТОВО"))</f>
        <v/>
      </c>
      <c r="BE864" s="205">
        <f>IF(BD864&lt;&gt;"ГОТОВО","","Полное заключение: "&amp;A864&amp;", скв. "&amp;B864&amp;". МРП: "&amp;E864&amp;" сут. ГНО: "&amp;F864&amp;"; причина: "&amp;U864&amp;"; категория: "&amp;V864&amp;"; решение комиссии: "&amp;BB864&amp;".")</f>
        <v/>
      </c>
      <c r="BF864" s="173">
        <f>IF('Оперативный ввод'!X864="","",'Оперативный ввод'!X864)</f>
        <v/>
      </c>
    </row>
    <row r="865">
      <c r="A865" s="171">
        <f>IF('Оперативный ввод'!A865="","",'Оперативный ввод'!A865)</f>
        <v/>
      </c>
      <c r="B865" s="172">
        <f>IF('Оперативный ввод'!B865="","",'Оперативный ввод'!B865)</f>
        <v/>
      </c>
      <c r="C865" s="270">
        <f>IF('Оперативный ввод'!C865="","",'Оперативный ввод'!C865)</f>
        <v/>
      </c>
      <c r="D865" s="270">
        <f>IF('Оперативный ввод'!D865="","",'Оперативный ввод'!D865)</f>
        <v/>
      </c>
      <c r="E865" s="271">
        <f>IF(OR(C865="",D865=""),"",D865-C865)</f>
        <v/>
      </c>
      <c r="F865" s="172">
        <f>IF('Оперативный ввод'!F865="","",'Оперативный ввод'!F865)</f>
        <v/>
      </c>
      <c r="G865" s="172">
        <f>IF('Оперативный ввод'!G865="","",'Оперативный ввод'!G865)</f>
        <v/>
      </c>
      <c r="H865" s="172">
        <f>IF('Оперативный ввод'!H865="","",'Оперативный ввод'!H865)</f>
        <v/>
      </c>
      <c r="I865" s="172">
        <f>IF('Оперативный ввод'!I865="","",'Оперативный ввод'!I865)</f>
        <v/>
      </c>
      <c r="J865" s="172">
        <f>IF('Оперативный ввод'!J865="","",'Оперативный ввод'!J865)</f>
        <v/>
      </c>
      <c r="K865" s="172">
        <f>IF('Оперативный ввод'!K865="","",'Оперативный ввод'!K865)</f>
        <v/>
      </c>
      <c r="L865" s="172">
        <f>IF('Оперативный ввод'!L865="","",'Оперативный ввод'!L865)</f>
        <v/>
      </c>
      <c r="M865" s="172">
        <f>IF('Оперативный ввод'!M865="","",'Оперативный ввод'!M865)</f>
        <v/>
      </c>
      <c r="N865" s="172">
        <f>IF('Оперативный ввод'!N865="","",'Оперативный ввод'!N865)</f>
        <v/>
      </c>
      <c r="O865" s="172">
        <f>IF('Оперативный ввод'!O865="","",'Оперативный ввод'!O865)</f>
        <v/>
      </c>
      <c r="P865" s="205">
        <f>IF(AND(A865="",B865=""),"",IF(AND(A865&lt;&gt;"",B865&lt;&gt;"",C865&lt;&gt;"",D865&lt;&gt;"",F865&lt;&gt;"",G865&lt;&gt;"",H865&lt;&gt;"",ISERROR(SEARCH("по паспорту",G865)),ISERROR(SEARCH("по паспорту",H865)),I865&lt;&gt;"",J865&lt;&gt;"",K865&lt;&gt;"",L865&lt;&gt;"",M865&lt;&gt;""),"ГОТОВО","НЕ ГОТОВО"))</f>
        <v/>
      </c>
      <c r="Q865" s="205">
        <f>IF(P865&lt;&gt;"ГОТОВО","", "Предварительное заключение: "&amp;A865&amp;", скв. "&amp;B865&amp;". МРП: "&amp;E865&amp;" сут. ГНО: "&amp;F865&amp;", типоразмер "&amp;G865&amp;", марка "&amp;H865&amp;". Событие: "&amp;I865&amp;". Признак: "&amp;J865&amp;". Узел: "&amp;K865&amp;". Предварительная причина: "&amp;L865&amp;". Основное осложнение: "&amp;M865&amp;IF(N865&lt;&gt;"","; сопутствующее: "&amp;N865,"")&amp;IF(O865&lt;&gt;"","; дополнительно: "&amp;O865,"")&amp;".")</f>
        <v/>
      </c>
      <c r="R865" s="172">
        <f>IF('Оперативный ввод'!P865="","",'Оперативный ввод'!P865)</f>
        <v/>
      </c>
      <c r="S865" s="172">
        <f>IF('Оперативный ввод'!Q865="","",'Оперативный ввод'!Q865)</f>
        <v/>
      </c>
      <c r="T865" s="172">
        <f>IF('Оперативный ввод'!R865="","",'Оперативный ввод'!R865)</f>
        <v/>
      </c>
      <c r="U865" s="172">
        <f>IF('Оперативный ввод'!S865="","",'Оперативный ввод'!S865)</f>
        <v/>
      </c>
      <c r="V865" s="172">
        <f>IF('Оперативный ввод'!T865="","",'Оперативный ввод'!T865)</f>
        <v/>
      </c>
      <c r="W865" s="172" t="n"/>
      <c r="X865" s="172" t="n"/>
      <c r="Y865" s="172" t="n"/>
      <c r="Z865" s="172" t="n"/>
      <c r="AA865" s="172">
        <f>IF('Оперативный ввод'!U865="","",'Оперативный ввод'!U865)</f>
        <v/>
      </c>
      <c r="AB865" s="172">
        <f>IF('Оперативный ввод'!V865="","",'Оперативный ввод'!V865)</f>
        <v/>
      </c>
      <c r="AC865" s="172">
        <f>IF('Оперативный ввод'!W865="","",'Оперативный ввод'!W865)</f>
        <v/>
      </c>
      <c r="BB865" s="172" t="n"/>
      <c r="BC865" s="172" t="n"/>
      <c r="BD865" s="205">
        <f>IF(AND(A865="",B865=""),"",IF(AND(P865="ГОТОВО",R865&lt;&gt;"",T865&lt;&gt;"",U865&lt;&gt;"",AA865&lt;&gt;"",AB865&lt;&gt;"",AC865&lt;&gt;"",BB865&lt;&gt;"",BC865&lt;&gt;""),"ГОТОВО","НЕ ГОТОВО"))</f>
        <v/>
      </c>
      <c r="BE865" s="205">
        <f>IF(BD865&lt;&gt;"ГОТОВО","","Полное заключение: "&amp;A865&amp;", скв. "&amp;B865&amp;". МРП: "&amp;E865&amp;" сут. ГНО: "&amp;F865&amp;"; причина: "&amp;U865&amp;"; категория: "&amp;V865&amp;"; решение комиссии: "&amp;BB865&amp;".")</f>
        <v/>
      </c>
      <c r="BF865" s="173">
        <f>IF('Оперативный ввод'!X865="","",'Оперативный ввод'!X865)</f>
        <v/>
      </c>
    </row>
    <row r="866">
      <c r="A866" s="171">
        <f>IF('Оперативный ввод'!A866="","",'Оперативный ввод'!A866)</f>
        <v/>
      </c>
      <c r="B866" s="172">
        <f>IF('Оперативный ввод'!B866="","",'Оперативный ввод'!B866)</f>
        <v/>
      </c>
      <c r="C866" s="270">
        <f>IF('Оперативный ввод'!C866="","",'Оперативный ввод'!C866)</f>
        <v/>
      </c>
      <c r="D866" s="270">
        <f>IF('Оперативный ввод'!D866="","",'Оперативный ввод'!D866)</f>
        <v/>
      </c>
      <c r="E866" s="271">
        <f>IF(OR(C866="",D866=""),"",D866-C866)</f>
        <v/>
      </c>
      <c r="F866" s="172">
        <f>IF('Оперативный ввод'!F866="","",'Оперативный ввод'!F866)</f>
        <v/>
      </c>
      <c r="G866" s="172">
        <f>IF('Оперативный ввод'!G866="","",'Оперативный ввод'!G866)</f>
        <v/>
      </c>
      <c r="H866" s="172">
        <f>IF('Оперативный ввод'!H866="","",'Оперативный ввод'!H866)</f>
        <v/>
      </c>
      <c r="I866" s="172">
        <f>IF('Оперативный ввод'!I866="","",'Оперативный ввод'!I866)</f>
        <v/>
      </c>
      <c r="J866" s="172">
        <f>IF('Оперативный ввод'!J866="","",'Оперативный ввод'!J866)</f>
        <v/>
      </c>
      <c r="K866" s="172">
        <f>IF('Оперативный ввод'!K866="","",'Оперативный ввод'!K866)</f>
        <v/>
      </c>
      <c r="L866" s="172">
        <f>IF('Оперативный ввод'!L866="","",'Оперативный ввод'!L866)</f>
        <v/>
      </c>
      <c r="M866" s="172">
        <f>IF('Оперативный ввод'!M866="","",'Оперативный ввод'!M866)</f>
        <v/>
      </c>
      <c r="N866" s="172">
        <f>IF('Оперативный ввод'!N866="","",'Оперативный ввод'!N866)</f>
        <v/>
      </c>
      <c r="O866" s="172">
        <f>IF('Оперативный ввод'!O866="","",'Оперативный ввод'!O866)</f>
        <v/>
      </c>
      <c r="P866" s="205">
        <f>IF(AND(A866="",B866=""),"",IF(AND(A866&lt;&gt;"",B866&lt;&gt;"",C866&lt;&gt;"",D866&lt;&gt;"",F866&lt;&gt;"",G866&lt;&gt;"",H866&lt;&gt;"",ISERROR(SEARCH("по паспорту",G866)),ISERROR(SEARCH("по паспорту",H866)),I866&lt;&gt;"",J866&lt;&gt;"",K866&lt;&gt;"",L866&lt;&gt;"",M866&lt;&gt;""),"ГОТОВО","НЕ ГОТОВО"))</f>
        <v/>
      </c>
      <c r="Q866" s="205">
        <f>IF(P866&lt;&gt;"ГОТОВО","", "Предварительное заключение: "&amp;A866&amp;", скв. "&amp;B866&amp;". МРП: "&amp;E866&amp;" сут. ГНО: "&amp;F866&amp;", типоразмер "&amp;G866&amp;", марка "&amp;H866&amp;". Событие: "&amp;I866&amp;". Признак: "&amp;J866&amp;". Узел: "&amp;K866&amp;". Предварительная причина: "&amp;L866&amp;". Основное осложнение: "&amp;M866&amp;IF(N866&lt;&gt;"","; сопутствующее: "&amp;N866,"")&amp;IF(O866&lt;&gt;"","; дополнительно: "&amp;O866,"")&amp;".")</f>
        <v/>
      </c>
      <c r="R866" s="172">
        <f>IF('Оперативный ввод'!P866="","",'Оперативный ввод'!P866)</f>
        <v/>
      </c>
      <c r="S866" s="172">
        <f>IF('Оперативный ввод'!Q866="","",'Оперативный ввод'!Q866)</f>
        <v/>
      </c>
      <c r="T866" s="172">
        <f>IF('Оперативный ввод'!R866="","",'Оперативный ввод'!R866)</f>
        <v/>
      </c>
      <c r="U866" s="172">
        <f>IF('Оперативный ввод'!S866="","",'Оперативный ввод'!S866)</f>
        <v/>
      </c>
      <c r="V866" s="172">
        <f>IF('Оперативный ввод'!T866="","",'Оперативный ввод'!T866)</f>
        <v/>
      </c>
      <c r="W866" s="172" t="n"/>
      <c r="X866" s="172" t="n"/>
      <c r="Y866" s="172" t="n"/>
      <c r="Z866" s="172" t="n"/>
      <c r="AA866" s="172">
        <f>IF('Оперативный ввод'!U866="","",'Оперативный ввод'!U866)</f>
        <v/>
      </c>
      <c r="AB866" s="172">
        <f>IF('Оперативный ввод'!V866="","",'Оперативный ввод'!V866)</f>
        <v/>
      </c>
      <c r="AC866" s="172">
        <f>IF('Оперативный ввод'!W866="","",'Оперативный ввод'!W866)</f>
        <v/>
      </c>
      <c r="BB866" s="172" t="n"/>
      <c r="BC866" s="172" t="n"/>
      <c r="BD866" s="205">
        <f>IF(AND(A866="",B866=""),"",IF(AND(P866="ГОТОВО",R866&lt;&gt;"",T866&lt;&gt;"",U866&lt;&gt;"",AA866&lt;&gt;"",AB866&lt;&gt;"",AC866&lt;&gt;"",BB866&lt;&gt;"",BC866&lt;&gt;""),"ГОТОВО","НЕ ГОТОВО"))</f>
        <v/>
      </c>
      <c r="BE866" s="205">
        <f>IF(BD866&lt;&gt;"ГОТОВО","","Полное заключение: "&amp;A866&amp;", скв. "&amp;B866&amp;". МРП: "&amp;E866&amp;" сут. ГНО: "&amp;F866&amp;"; причина: "&amp;U866&amp;"; категория: "&amp;V866&amp;"; решение комиссии: "&amp;BB866&amp;".")</f>
        <v/>
      </c>
      <c r="BF866" s="173">
        <f>IF('Оперативный ввод'!X866="","",'Оперативный ввод'!X866)</f>
        <v/>
      </c>
    </row>
    <row r="867">
      <c r="A867" s="171">
        <f>IF('Оперативный ввод'!A867="","",'Оперативный ввод'!A867)</f>
        <v/>
      </c>
      <c r="B867" s="172">
        <f>IF('Оперативный ввод'!B867="","",'Оперативный ввод'!B867)</f>
        <v/>
      </c>
      <c r="C867" s="270">
        <f>IF('Оперативный ввод'!C867="","",'Оперативный ввод'!C867)</f>
        <v/>
      </c>
      <c r="D867" s="270">
        <f>IF('Оперативный ввод'!D867="","",'Оперативный ввод'!D867)</f>
        <v/>
      </c>
      <c r="E867" s="271">
        <f>IF(OR(C867="",D867=""),"",D867-C867)</f>
        <v/>
      </c>
      <c r="F867" s="172">
        <f>IF('Оперативный ввод'!F867="","",'Оперативный ввод'!F867)</f>
        <v/>
      </c>
      <c r="G867" s="172">
        <f>IF('Оперативный ввод'!G867="","",'Оперативный ввод'!G867)</f>
        <v/>
      </c>
      <c r="H867" s="172">
        <f>IF('Оперативный ввод'!H867="","",'Оперативный ввод'!H867)</f>
        <v/>
      </c>
      <c r="I867" s="172">
        <f>IF('Оперативный ввод'!I867="","",'Оперативный ввод'!I867)</f>
        <v/>
      </c>
      <c r="J867" s="172">
        <f>IF('Оперативный ввод'!J867="","",'Оперативный ввод'!J867)</f>
        <v/>
      </c>
      <c r="K867" s="172">
        <f>IF('Оперативный ввод'!K867="","",'Оперативный ввод'!K867)</f>
        <v/>
      </c>
      <c r="L867" s="172">
        <f>IF('Оперативный ввод'!L867="","",'Оперативный ввод'!L867)</f>
        <v/>
      </c>
      <c r="M867" s="172">
        <f>IF('Оперативный ввод'!M867="","",'Оперативный ввод'!M867)</f>
        <v/>
      </c>
      <c r="N867" s="172">
        <f>IF('Оперативный ввод'!N867="","",'Оперативный ввод'!N867)</f>
        <v/>
      </c>
      <c r="O867" s="172">
        <f>IF('Оперативный ввод'!O867="","",'Оперативный ввод'!O867)</f>
        <v/>
      </c>
      <c r="P867" s="205">
        <f>IF(AND(A867="",B867=""),"",IF(AND(A867&lt;&gt;"",B867&lt;&gt;"",C867&lt;&gt;"",D867&lt;&gt;"",F867&lt;&gt;"",G867&lt;&gt;"",H867&lt;&gt;"",ISERROR(SEARCH("по паспорту",G867)),ISERROR(SEARCH("по паспорту",H867)),I867&lt;&gt;"",J867&lt;&gt;"",K867&lt;&gt;"",L867&lt;&gt;"",M867&lt;&gt;""),"ГОТОВО","НЕ ГОТОВО"))</f>
        <v/>
      </c>
      <c r="Q867" s="205">
        <f>IF(P867&lt;&gt;"ГОТОВО","", "Предварительное заключение: "&amp;A867&amp;", скв. "&amp;B867&amp;". МРП: "&amp;E867&amp;" сут. ГНО: "&amp;F867&amp;", типоразмер "&amp;G867&amp;", марка "&amp;H867&amp;". Событие: "&amp;I867&amp;". Признак: "&amp;J867&amp;". Узел: "&amp;K867&amp;". Предварительная причина: "&amp;L867&amp;". Основное осложнение: "&amp;M867&amp;IF(N867&lt;&gt;"","; сопутствующее: "&amp;N867,"")&amp;IF(O867&lt;&gt;"","; дополнительно: "&amp;O867,"")&amp;".")</f>
        <v/>
      </c>
      <c r="R867" s="172">
        <f>IF('Оперативный ввод'!P867="","",'Оперативный ввод'!P867)</f>
        <v/>
      </c>
      <c r="S867" s="172">
        <f>IF('Оперативный ввод'!Q867="","",'Оперативный ввод'!Q867)</f>
        <v/>
      </c>
      <c r="T867" s="172">
        <f>IF('Оперативный ввод'!R867="","",'Оперативный ввод'!R867)</f>
        <v/>
      </c>
      <c r="U867" s="172">
        <f>IF('Оперативный ввод'!S867="","",'Оперативный ввод'!S867)</f>
        <v/>
      </c>
      <c r="V867" s="172">
        <f>IF('Оперативный ввод'!T867="","",'Оперативный ввод'!T867)</f>
        <v/>
      </c>
      <c r="W867" s="172" t="n"/>
      <c r="X867" s="172" t="n"/>
      <c r="Y867" s="172" t="n"/>
      <c r="Z867" s="172" t="n"/>
      <c r="AA867" s="172">
        <f>IF('Оперативный ввод'!U867="","",'Оперативный ввод'!U867)</f>
        <v/>
      </c>
      <c r="AB867" s="172">
        <f>IF('Оперативный ввод'!V867="","",'Оперативный ввод'!V867)</f>
        <v/>
      </c>
      <c r="AC867" s="172">
        <f>IF('Оперативный ввод'!W867="","",'Оперативный ввод'!W867)</f>
        <v/>
      </c>
      <c r="BB867" s="172" t="n"/>
      <c r="BC867" s="172" t="n"/>
      <c r="BD867" s="205">
        <f>IF(AND(A867="",B867=""),"",IF(AND(P867="ГОТОВО",R867&lt;&gt;"",T867&lt;&gt;"",U867&lt;&gt;"",AA867&lt;&gt;"",AB867&lt;&gt;"",AC867&lt;&gt;"",BB867&lt;&gt;"",BC867&lt;&gt;""),"ГОТОВО","НЕ ГОТОВО"))</f>
        <v/>
      </c>
      <c r="BE867" s="205">
        <f>IF(BD867&lt;&gt;"ГОТОВО","","Полное заключение: "&amp;A867&amp;", скв. "&amp;B867&amp;". МРП: "&amp;E867&amp;" сут. ГНО: "&amp;F867&amp;"; причина: "&amp;U867&amp;"; категория: "&amp;V867&amp;"; решение комиссии: "&amp;BB867&amp;".")</f>
        <v/>
      </c>
      <c r="BF867" s="173">
        <f>IF('Оперативный ввод'!X867="","",'Оперативный ввод'!X867)</f>
        <v/>
      </c>
    </row>
    <row r="868">
      <c r="A868" s="171">
        <f>IF('Оперативный ввод'!A868="","",'Оперативный ввод'!A868)</f>
        <v/>
      </c>
      <c r="B868" s="172">
        <f>IF('Оперативный ввод'!B868="","",'Оперативный ввод'!B868)</f>
        <v/>
      </c>
      <c r="C868" s="270">
        <f>IF('Оперативный ввод'!C868="","",'Оперативный ввод'!C868)</f>
        <v/>
      </c>
      <c r="D868" s="270">
        <f>IF('Оперативный ввод'!D868="","",'Оперативный ввод'!D868)</f>
        <v/>
      </c>
      <c r="E868" s="271">
        <f>IF(OR(C868="",D868=""),"",D868-C868)</f>
        <v/>
      </c>
      <c r="F868" s="172">
        <f>IF('Оперативный ввод'!F868="","",'Оперативный ввод'!F868)</f>
        <v/>
      </c>
      <c r="G868" s="172">
        <f>IF('Оперативный ввод'!G868="","",'Оперативный ввод'!G868)</f>
        <v/>
      </c>
      <c r="H868" s="172">
        <f>IF('Оперативный ввод'!H868="","",'Оперативный ввод'!H868)</f>
        <v/>
      </c>
      <c r="I868" s="172">
        <f>IF('Оперативный ввод'!I868="","",'Оперативный ввод'!I868)</f>
        <v/>
      </c>
      <c r="J868" s="172">
        <f>IF('Оперативный ввод'!J868="","",'Оперативный ввод'!J868)</f>
        <v/>
      </c>
      <c r="K868" s="172">
        <f>IF('Оперативный ввод'!K868="","",'Оперативный ввод'!K868)</f>
        <v/>
      </c>
      <c r="L868" s="172">
        <f>IF('Оперативный ввод'!L868="","",'Оперативный ввод'!L868)</f>
        <v/>
      </c>
      <c r="M868" s="172">
        <f>IF('Оперативный ввод'!M868="","",'Оперативный ввод'!M868)</f>
        <v/>
      </c>
      <c r="N868" s="172">
        <f>IF('Оперативный ввод'!N868="","",'Оперативный ввод'!N868)</f>
        <v/>
      </c>
      <c r="O868" s="172">
        <f>IF('Оперативный ввод'!O868="","",'Оперативный ввод'!O868)</f>
        <v/>
      </c>
      <c r="P868" s="205">
        <f>IF(AND(A868="",B868=""),"",IF(AND(A868&lt;&gt;"",B868&lt;&gt;"",C868&lt;&gt;"",D868&lt;&gt;"",F868&lt;&gt;"",G868&lt;&gt;"",H868&lt;&gt;"",ISERROR(SEARCH("по паспорту",G868)),ISERROR(SEARCH("по паспорту",H868)),I868&lt;&gt;"",J868&lt;&gt;"",K868&lt;&gt;"",L868&lt;&gt;"",M868&lt;&gt;""),"ГОТОВО","НЕ ГОТОВО"))</f>
        <v/>
      </c>
      <c r="Q868" s="205">
        <f>IF(P868&lt;&gt;"ГОТОВО","", "Предварительное заключение: "&amp;A868&amp;", скв. "&amp;B868&amp;". МРП: "&amp;E868&amp;" сут. ГНО: "&amp;F868&amp;", типоразмер "&amp;G868&amp;", марка "&amp;H868&amp;". Событие: "&amp;I868&amp;". Признак: "&amp;J868&amp;". Узел: "&amp;K868&amp;". Предварительная причина: "&amp;L868&amp;". Основное осложнение: "&amp;M868&amp;IF(N868&lt;&gt;"","; сопутствующее: "&amp;N868,"")&amp;IF(O868&lt;&gt;"","; дополнительно: "&amp;O868,"")&amp;".")</f>
        <v/>
      </c>
      <c r="R868" s="172">
        <f>IF('Оперативный ввод'!P868="","",'Оперативный ввод'!P868)</f>
        <v/>
      </c>
      <c r="S868" s="172">
        <f>IF('Оперативный ввод'!Q868="","",'Оперативный ввод'!Q868)</f>
        <v/>
      </c>
      <c r="T868" s="172">
        <f>IF('Оперативный ввод'!R868="","",'Оперативный ввод'!R868)</f>
        <v/>
      </c>
      <c r="U868" s="172">
        <f>IF('Оперативный ввод'!S868="","",'Оперативный ввод'!S868)</f>
        <v/>
      </c>
      <c r="V868" s="172">
        <f>IF('Оперативный ввод'!T868="","",'Оперативный ввод'!T868)</f>
        <v/>
      </c>
      <c r="W868" s="172" t="n"/>
      <c r="X868" s="172" t="n"/>
      <c r="Y868" s="172" t="n"/>
      <c r="Z868" s="172" t="n"/>
      <c r="AA868" s="172">
        <f>IF('Оперативный ввод'!U868="","",'Оперативный ввод'!U868)</f>
        <v/>
      </c>
      <c r="AB868" s="172">
        <f>IF('Оперативный ввод'!V868="","",'Оперативный ввод'!V868)</f>
        <v/>
      </c>
      <c r="AC868" s="172">
        <f>IF('Оперативный ввод'!W868="","",'Оперативный ввод'!W868)</f>
        <v/>
      </c>
      <c r="BB868" s="172" t="n"/>
      <c r="BC868" s="172" t="n"/>
      <c r="BD868" s="205">
        <f>IF(AND(A868="",B868=""),"",IF(AND(P868="ГОТОВО",R868&lt;&gt;"",T868&lt;&gt;"",U868&lt;&gt;"",AA868&lt;&gt;"",AB868&lt;&gt;"",AC868&lt;&gt;"",BB868&lt;&gt;"",BC868&lt;&gt;""),"ГОТОВО","НЕ ГОТОВО"))</f>
        <v/>
      </c>
      <c r="BE868" s="205">
        <f>IF(BD868&lt;&gt;"ГОТОВО","","Полное заключение: "&amp;A868&amp;", скв. "&amp;B868&amp;". МРП: "&amp;E868&amp;" сут. ГНО: "&amp;F868&amp;"; причина: "&amp;U868&amp;"; категория: "&amp;V868&amp;"; решение комиссии: "&amp;BB868&amp;".")</f>
        <v/>
      </c>
      <c r="BF868" s="173">
        <f>IF('Оперативный ввод'!X868="","",'Оперативный ввод'!X868)</f>
        <v/>
      </c>
    </row>
    <row r="869">
      <c r="A869" s="171">
        <f>IF('Оперативный ввод'!A869="","",'Оперативный ввод'!A869)</f>
        <v/>
      </c>
      <c r="B869" s="172">
        <f>IF('Оперативный ввод'!B869="","",'Оперативный ввод'!B869)</f>
        <v/>
      </c>
      <c r="C869" s="270">
        <f>IF('Оперативный ввод'!C869="","",'Оперативный ввод'!C869)</f>
        <v/>
      </c>
      <c r="D869" s="270">
        <f>IF('Оперативный ввод'!D869="","",'Оперативный ввод'!D869)</f>
        <v/>
      </c>
      <c r="E869" s="271">
        <f>IF(OR(C869="",D869=""),"",D869-C869)</f>
        <v/>
      </c>
      <c r="F869" s="172">
        <f>IF('Оперативный ввод'!F869="","",'Оперативный ввод'!F869)</f>
        <v/>
      </c>
      <c r="G869" s="172">
        <f>IF('Оперативный ввод'!G869="","",'Оперативный ввод'!G869)</f>
        <v/>
      </c>
      <c r="H869" s="172">
        <f>IF('Оперативный ввод'!H869="","",'Оперативный ввод'!H869)</f>
        <v/>
      </c>
      <c r="I869" s="172">
        <f>IF('Оперативный ввод'!I869="","",'Оперативный ввод'!I869)</f>
        <v/>
      </c>
      <c r="J869" s="172">
        <f>IF('Оперативный ввод'!J869="","",'Оперативный ввод'!J869)</f>
        <v/>
      </c>
      <c r="K869" s="172">
        <f>IF('Оперативный ввод'!K869="","",'Оперативный ввод'!K869)</f>
        <v/>
      </c>
      <c r="L869" s="172">
        <f>IF('Оперативный ввод'!L869="","",'Оперативный ввод'!L869)</f>
        <v/>
      </c>
      <c r="M869" s="172">
        <f>IF('Оперативный ввод'!M869="","",'Оперативный ввод'!M869)</f>
        <v/>
      </c>
      <c r="N869" s="172">
        <f>IF('Оперативный ввод'!N869="","",'Оперативный ввод'!N869)</f>
        <v/>
      </c>
      <c r="O869" s="172">
        <f>IF('Оперативный ввод'!O869="","",'Оперативный ввод'!O869)</f>
        <v/>
      </c>
      <c r="P869" s="205">
        <f>IF(AND(A869="",B869=""),"",IF(AND(A869&lt;&gt;"",B869&lt;&gt;"",C869&lt;&gt;"",D869&lt;&gt;"",F869&lt;&gt;"",G869&lt;&gt;"",H869&lt;&gt;"",ISERROR(SEARCH("по паспорту",G869)),ISERROR(SEARCH("по паспорту",H869)),I869&lt;&gt;"",J869&lt;&gt;"",K869&lt;&gt;"",L869&lt;&gt;"",M869&lt;&gt;""),"ГОТОВО","НЕ ГОТОВО"))</f>
        <v/>
      </c>
      <c r="Q869" s="205">
        <f>IF(P869&lt;&gt;"ГОТОВО","", "Предварительное заключение: "&amp;A869&amp;", скв. "&amp;B869&amp;". МРП: "&amp;E869&amp;" сут. ГНО: "&amp;F869&amp;", типоразмер "&amp;G869&amp;", марка "&amp;H869&amp;". Событие: "&amp;I869&amp;". Признак: "&amp;J869&amp;". Узел: "&amp;K869&amp;". Предварительная причина: "&amp;L869&amp;". Основное осложнение: "&amp;M869&amp;IF(N869&lt;&gt;"","; сопутствующее: "&amp;N869,"")&amp;IF(O869&lt;&gt;"","; дополнительно: "&amp;O869,"")&amp;".")</f>
        <v/>
      </c>
      <c r="R869" s="172">
        <f>IF('Оперативный ввод'!P869="","",'Оперативный ввод'!P869)</f>
        <v/>
      </c>
      <c r="S869" s="172">
        <f>IF('Оперативный ввод'!Q869="","",'Оперативный ввод'!Q869)</f>
        <v/>
      </c>
      <c r="T869" s="172">
        <f>IF('Оперативный ввод'!R869="","",'Оперативный ввод'!R869)</f>
        <v/>
      </c>
      <c r="U869" s="172">
        <f>IF('Оперативный ввод'!S869="","",'Оперативный ввод'!S869)</f>
        <v/>
      </c>
      <c r="V869" s="172">
        <f>IF('Оперативный ввод'!T869="","",'Оперативный ввод'!T869)</f>
        <v/>
      </c>
      <c r="W869" s="172" t="n"/>
      <c r="X869" s="172" t="n"/>
      <c r="Y869" s="172" t="n"/>
      <c r="Z869" s="172" t="n"/>
      <c r="AA869" s="172">
        <f>IF('Оперативный ввод'!U869="","",'Оперативный ввод'!U869)</f>
        <v/>
      </c>
      <c r="AB869" s="172">
        <f>IF('Оперативный ввод'!V869="","",'Оперативный ввод'!V869)</f>
        <v/>
      </c>
      <c r="AC869" s="172">
        <f>IF('Оперативный ввод'!W869="","",'Оперативный ввод'!W869)</f>
        <v/>
      </c>
      <c r="BB869" s="172" t="n"/>
      <c r="BC869" s="172" t="n"/>
      <c r="BD869" s="205">
        <f>IF(AND(A869="",B869=""),"",IF(AND(P869="ГОТОВО",R869&lt;&gt;"",T869&lt;&gt;"",U869&lt;&gt;"",AA869&lt;&gt;"",AB869&lt;&gt;"",AC869&lt;&gt;"",BB869&lt;&gt;"",BC869&lt;&gt;""),"ГОТОВО","НЕ ГОТОВО"))</f>
        <v/>
      </c>
      <c r="BE869" s="205">
        <f>IF(BD869&lt;&gt;"ГОТОВО","","Полное заключение: "&amp;A869&amp;", скв. "&amp;B869&amp;". МРП: "&amp;E869&amp;" сут. ГНО: "&amp;F869&amp;"; причина: "&amp;U869&amp;"; категория: "&amp;V869&amp;"; решение комиссии: "&amp;BB869&amp;".")</f>
        <v/>
      </c>
      <c r="BF869" s="173">
        <f>IF('Оперативный ввод'!X869="","",'Оперативный ввод'!X869)</f>
        <v/>
      </c>
    </row>
    <row r="870">
      <c r="A870" s="171">
        <f>IF('Оперативный ввод'!A870="","",'Оперативный ввод'!A870)</f>
        <v/>
      </c>
      <c r="B870" s="172">
        <f>IF('Оперативный ввод'!B870="","",'Оперативный ввод'!B870)</f>
        <v/>
      </c>
      <c r="C870" s="270">
        <f>IF('Оперативный ввод'!C870="","",'Оперативный ввод'!C870)</f>
        <v/>
      </c>
      <c r="D870" s="270">
        <f>IF('Оперативный ввод'!D870="","",'Оперативный ввод'!D870)</f>
        <v/>
      </c>
      <c r="E870" s="271">
        <f>IF(OR(C870="",D870=""),"",D870-C870)</f>
        <v/>
      </c>
      <c r="F870" s="172">
        <f>IF('Оперативный ввод'!F870="","",'Оперативный ввод'!F870)</f>
        <v/>
      </c>
      <c r="G870" s="172">
        <f>IF('Оперативный ввод'!G870="","",'Оперативный ввод'!G870)</f>
        <v/>
      </c>
      <c r="H870" s="172">
        <f>IF('Оперативный ввод'!H870="","",'Оперативный ввод'!H870)</f>
        <v/>
      </c>
      <c r="I870" s="172">
        <f>IF('Оперативный ввод'!I870="","",'Оперативный ввод'!I870)</f>
        <v/>
      </c>
      <c r="J870" s="172">
        <f>IF('Оперативный ввод'!J870="","",'Оперативный ввод'!J870)</f>
        <v/>
      </c>
      <c r="K870" s="172">
        <f>IF('Оперативный ввод'!K870="","",'Оперативный ввод'!K870)</f>
        <v/>
      </c>
      <c r="L870" s="172">
        <f>IF('Оперативный ввод'!L870="","",'Оперативный ввод'!L870)</f>
        <v/>
      </c>
      <c r="M870" s="172">
        <f>IF('Оперативный ввод'!M870="","",'Оперативный ввод'!M870)</f>
        <v/>
      </c>
      <c r="N870" s="172">
        <f>IF('Оперативный ввод'!N870="","",'Оперативный ввод'!N870)</f>
        <v/>
      </c>
      <c r="O870" s="172">
        <f>IF('Оперативный ввод'!O870="","",'Оперативный ввод'!O870)</f>
        <v/>
      </c>
      <c r="P870" s="205">
        <f>IF(AND(A870="",B870=""),"",IF(AND(A870&lt;&gt;"",B870&lt;&gt;"",C870&lt;&gt;"",D870&lt;&gt;"",F870&lt;&gt;"",G870&lt;&gt;"",H870&lt;&gt;"",ISERROR(SEARCH("по паспорту",G870)),ISERROR(SEARCH("по паспорту",H870)),I870&lt;&gt;"",J870&lt;&gt;"",K870&lt;&gt;"",L870&lt;&gt;"",M870&lt;&gt;""),"ГОТОВО","НЕ ГОТОВО"))</f>
        <v/>
      </c>
      <c r="Q870" s="205">
        <f>IF(P870&lt;&gt;"ГОТОВО","", "Предварительное заключение: "&amp;A870&amp;", скв. "&amp;B870&amp;". МРП: "&amp;E870&amp;" сут. ГНО: "&amp;F870&amp;", типоразмер "&amp;G870&amp;", марка "&amp;H870&amp;". Событие: "&amp;I870&amp;". Признак: "&amp;J870&amp;". Узел: "&amp;K870&amp;". Предварительная причина: "&amp;L870&amp;". Основное осложнение: "&amp;M870&amp;IF(N870&lt;&gt;"","; сопутствующее: "&amp;N870,"")&amp;IF(O870&lt;&gt;"","; дополнительно: "&amp;O870,"")&amp;".")</f>
        <v/>
      </c>
      <c r="R870" s="172">
        <f>IF('Оперативный ввод'!P870="","",'Оперативный ввод'!P870)</f>
        <v/>
      </c>
      <c r="S870" s="172">
        <f>IF('Оперативный ввод'!Q870="","",'Оперативный ввод'!Q870)</f>
        <v/>
      </c>
      <c r="T870" s="172">
        <f>IF('Оперативный ввод'!R870="","",'Оперативный ввод'!R870)</f>
        <v/>
      </c>
      <c r="U870" s="172">
        <f>IF('Оперативный ввод'!S870="","",'Оперативный ввод'!S870)</f>
        <v/>
      </c>
      <c r="V870" s="172">
        <f>IF('Оперативный ввод'!T870="","",'Оперативный ввод'!T870)</f>
        <v/>
      </c>
      <c r="W870" s="172" t="n"/>
      <c r="X870" s="172" t="n"/>
      <c r="Y870" s="172" t="n"/>
      <c r="Z870" s="172" t="n"/>
      <c r="AA870" s="172">
        <f>IF('Оперативный ввод'!U870="","",'Оперативный ввод'!U870)</f>
        <v/>
      </c>
      <c r="AB870" s="172">
        <f>IF('Оперативный ввод'!V870="","",'Оперативный ввод'!V870)</f>
        <v/>
      </c>
      <c r="AC870" s="172">
        <f>IF('Оперативный ввод'!W870="","",'Оперативный ввод'!W870)</f>
        <v/>
      </c>
      <c r="BB870" s="172" t="n"/>
      <c r="BC870" s="172" t="n"/>
      <c r="BD870" s="205">
        <f>IF(AND(A870="",B870=""),"",IF(AND(P870="ГОТОВО",R870&lt;&gt;"",T870&lt;&gt;"",U870&lt;&gt;"",AA870&lt;&gt;"",AB870&lt;&gt;"",AC870&lt;&gt;"",BB870&lt;&gt;"",BC870&lt;&gt;""),"ГОТОВО","НЕ ГОТОВО"))</f>
        <v/>
      </c>
      <c r="BE870" s="205">
        <f>IF(BD870&lt;&gt;"ГОТОВО","","Полное заключение: "&amp;A870&amp;", скв. "&amp;B870&amp;". МРП: "&amp;E870&amp;" сут. ГНО: "&amp;F870&amp;"; причина: "&amp;U870&amp;"; категория: "&amp;V870&amp;"; решение комиссии: "&amp;BB870&amp;".")</f>
        <v/>
      </c>
      <c r="BF870" s="173">
        <f>IF('Оперативный ввод'!X870="","",'Оперативный ввод'!X870)</f>
        <v/>
      </c>
    </row>
    <row r="871">
      <c r="A871" s="171">
        <f>IF('Оперативный ввод'!A871="","",'Оперативный ввод'!A871)</f>
        <v/>
      </c>
      <c r="B871" s="172">
        <f>IF('Оперативный ввод'!B871="","",'Оперативный ввод'!B871)</f>
        <v/>
      </c>
      <c r="C871" s="270">
        <f>IF('Оперативный ввод'!C871="","",'Оперативный ввод'!C871)</f>
        <v/>
      </c>
      <c r="D871" s="270">
        <f>IF('Оперативный ввод'!D871="","",'Оперативный ввод'!D871)</f>
        <v/>
      </c>
      <c r="E871" s="271">
        <f>IF(OR(C871="",D871=""),"",D871-C871)</f>
        <v/>
      </c>
      <c r="F871" s="172">
        <f>IF('Оперативный ввод'!F871="","",'Оперативный ввод'!F871)</f>
        <v/>
      </c>
      <c r="G871" s="172">
        <f>IF('Оперативный ввод'!G871="","",'Оперативный ввод'!G871)</f>
        <v/>
      </c>
      <c r="H871" s="172">
        <f>IF('Оперативный ввод'!H871="","",'Оперативный ввод'!H871)</f>
        <v/>
      </c>
      <c r="I871" s="172">
        <f>IF('Оперативный ввод'!I871="","",'Оперативный ввод'!I871)</f>
        <v/>
      </c>
      <c r="J871" s="172">
        <f>IF('Оперативный ввод'!J871="","",'Оперативный ввод'!J871)</f>
        <v/>
      </c>
      <c r="K871" s="172">
        <f>IF('Оперативный ввод'!K871="","",'Оперативный ввод'!K871)</f>
        <v/>
      </c>
      <c r="L871" s="172">
        <f>IF('Оперативный ввод'!L871="","",'Оперативный ввод'!L871)</f>
        <v/>
      </c>
      <c r="M871" s="172">
        <f>IF('Оперативный ввод'!M871="","",'Оперативный ввод'!M871)</f>
        <v/>
      </c>
      <c r="N871" s="172">
        <f>IF('Оперативный ввод'!N871="","",'Оперативный ввод'!N871)</f>
        <v/>
      </c>
      <c r="O871" s="172">
        <f>IF('Оперативный ввод'!O871="","",'Оперативный ввод'!O871)</f>
        <v/>
      </c>
      <c r="P871" s="205">
        <f>IF(AND(A871="",B871=""),"",IF(AND(A871&lt;&gt;"",B871&lt;&gt;"",C871&lt;&gt;"",D871&lt;&gt;"",F871&lt;&gt;"",G871&lt;&gt;"",H871&lt;&gt;"",ISERROR(SEARCH("по паспорту",G871)),ISERROR(SEARCH("по паспорту",H871)),I871&lt;&gt;"",J871&lt;&gt;"",K871&lt;&gt;"",L871&lt;&gt;"",M871&lt;&gt;""),"ГОТОВО","НЕ ГОТОВО"))</f>
        <v/>
      </c>
      <c r="Q871" s="205">
        <f>IF(P871&lt;&gt;"ГОТОВО","", "Предварительное заключение: "&amp;A871&amp;", скв. "&amp;B871&amp;". МРП: "&amp;E871&amp;" сут. ГНО: "&amp;F871&amp;", типоразмер "&amp;G871&amp;", марка "&amp;H871&amp;". Событие: "&amp;I871&amp;". Признак: "&amp;J871&amp;". Узел: "&amp;K871&amp;". Предварительная причина: "&amp;L871&amp;". Основное осложнение: "&amp;M871&amp;IF(N871&lt;&gt;"","; сопутствующее: "&amp;N871,"")&amp;IF(O871&lt;&gt;"","; дополнительно: "&amp;O871,"")&amp;".")</f>
        <v/>
      </c>
      <c r="R871" s="172">
        <f>IF('Оперативный ввод'!P871="","",'Оперативный ввод'!P871)</f>
        <v/>
      </c>
      <c r="S871" s="172">
        <f>IF('Оперативный ввод'!Q871="","",'Оперативный ввод'!Q871)</f>
        <v/>
      </c>
      <c r="T871" s="172">
        <f>IF('Оперативный ввод'!R871="","",'Оперативный ввод'!R871)</f>
        <v/>
      </c>
      <c r="U871" s="172">
        <f>IF('Оперативный ввод'!S871="","",'Оперативный ввод'!S871)</f>
        <v/>
      </c>
      <c r="V871" s="172">
        <f>IF('Оперативный ввод'!T871="","",'Оперативный ввод'!T871)</f>
        <v/>
      </c>
      <c r="W871" s="172" t="n"/>
      <c r="X871" s="172" t="n"/>
      <c r="Y871" s="172" t="n"/>
      <c r="Z871" s="172" t="n"/>
      <c r="AA871" s="172">
        <f>IF('Оперативный ввод'!U871="","",'Оперативный ввод'!U871)</f>
        <v/>
      </c>
      <c r="AB871" s="172">
        <f>IF('Оперативный ввод'!V871="","",'Оперативный ввод'!V871)</f>
        <v/>
      </c>
      <c r="AC871" s="172">
        <f>IF('Оперативный ввод'!W871="","",'Оперативный ввод'!W871)</f>
        <v/>
      </c>
      <c r="BB871" s="172" t="n"/>
      <c r="BC871" s="172" t="n"/>
      <c r="BD871" s="205">
        <f>IF(AND(A871="",B871=""),"",IF(AND(P871="ГОТОВО",R871&lt;&gt;"",T871&lt;&gt;"",U871&lt;&gt;"",AA871&lt;&gt;"",AB871&lt;&gt;"",AC871&lt;&gt;"",BB871&lt;&gt;"",BC871&lt;&gt;""),"ГОТОВО","НЕ ГОТОВО"))</f>
        <v/>
      </c>
      <c r="BE871" s="205">
        <f>IF(BD871&lt;&gt;"ГОТОВО","","Полное заключение: "&amp;A871&amp;", скв. "&amp;B871&amp;". МРП: "&amp;E871&amp;" сут. ГНО: "&amp;F871&amp;"; причина: "&amp;U871&amp;"; категория: "&amp;V871&amp;"; решение комиссии: "&amp;BB871&amp;".")</f>
        <v/>
      </c>
      <c r="BF871" s="173">
        <f>IF('Оперативный ввод'!X871="","",'Оперативный ввод'!X871)</f>
        <v/>
      </c>
    </row>
    <row r="872">
      <c r="A872" s="171">
        <f>IF('Оперативный ввод'!A872="","",'Оперативный ввод'!A872)</f>
        <v/>
      </c>
      <c r="B872" s="172">
        <f>IF('Оперативный ввод'!B872="","",'Оперативный ввод'!B872)</f>
        <v/>
      </c>
      <c r="C872" s="270">
        <f>IF('Оперативный ввод'!C872="","",'Оперативный ввод'!C872)</f>
        <v/>
      </c>
      <c r="D872" s="270">
        <f>IF('Оперативный ввод'!D872="","",'Оперативный ввод'!D872)</f>
        <v/>
      </c>
      <c r="E872" s="271">
        <f>IF(OR(C872="",D872=""),"",D872-C872)</f>
        <v/>
      </c>
      <c r="F872" s="172">
        <f>IF('Оперативный ввод'!F872="","",'Оперативный ввод'!F872)</f>
        <v/>
      </c>
      <c r="G872" s="172">
        <f>IF('Оперативный ввод'!G872="","",'Оперативный ввод'!G872)</f>
        <v/>
      </c>
      <c r="H872" s="172">
        <f>IF('Оперативный ввод'!H872="","",'Оперативный ввод'!H872)</f>
        <v/>
      </c>
      <c r="I872" s="172">
        <f>IF('Оперативный ввод'!I872="","",'Оперативный ввод'!I872)</f>
        <v/>
      </c>
      <c r="J872" s="172">
        <f>IF('Оперативный ввод'!J872="","",'Оперативный ввод'!J872)</f>
        <v/>
      </c>
      <c r="K872" s="172">
        <f>IF('Оперативный ввод'!K872="","",'Оперативный ввод'!K872)</f>
        <v/>
      </c>
      <c r="L872" s="172">
        <f>IF('Оперативный ввод'!L872="","",'Оперативный ввод'!L872)</f>
        <v/>
      </c>
      <c r="M872" s="172">
        <f>IF('Оперативный ввод'!M872="","",'Оперативный ввод'!M872)</f>
        <v/>
      </c>
      <c r="N872" s="172">
        <f>IF('Оперативный ввод'!N872="","",'Оперативный ввод'!N872)</f>
        <v/>
      </c>
      <c r="O872" s="172">
        <f>IF('Оперативный ввод'!O872="","",'Оперативный ввод'!O872)</f>
        <v/>
      </c>
      <c r="P872" s="205">
        <f>IF(AND(A872="",B872=""),"",IF(AND(A872&lt;&gt;"",B872&lt;&gt;"",C872&lt;&gt;"",D872&lt;&gt;"",F872&lt;&gt;"",G872&lt;&gt;"",H872&lt;&gt;"",ISERROR(SEARCH("по паспорту",G872)),ISERROR(SEARCH("по паспорту",H872)),I872&lt;&gt;"",J872&lt;&gt;"",K872&lt;&gt;"",L872&lt;&gt;"",M872&lt;&gt;""),"ГОТОВО","НЕ ГОТОВО"))</f>
        <v/>
      </c>
      <c r="Q872" s="205">
        <f>IF(P872&lt;&gt;"ГОТОВО","", "Предварительное заключение: "&amp;A872&amp;", скв. "&amp;B872&amp;". МРП: "&amp;E872&amp;" сут. ГНО: "&amp;F872&amp;", типоразмер "&amp;G872&amp;", марка "&amp;H872&amp;". Событие: "&amp;I872&amp;". Признак: "&amp;J872&amp;". Узел: "&amp;K872&amp;". Предварительная причина: "&amp;L872&amp;". Основное осложнение: "&amp;M872&amp;IF(N872&lt;&gt;"","; сопутствующее: "&amp;N872,"")&amp;IF(O872&lt;&gt;"","; дополнительно: "&amp;O872,"")&amp;".")</f>
        <v/>
      </c>
      <c r="R872" s="172">
        <f>IF('Оперативный ввод'!P872="","",'Оперативный ввод'!P872)</f>
        <v/>
      </c>
      <c r="S872" s="172">
        <f>IF('Оперативный ввод'!Q872="","",'Оперативный ввод'!Q872)</f>
        <v/>
      </c>
      <c r="T872" s="172">
        <f>IF('Оперативный ввод'!R872="","",'Оперативный ввод'!R872)</f>
        <v/>
      </c>
      <c r="U872" s="172">
        <f>IF('Оперативный ввод'!S872="","",'Оперативный ввод'!S872)</f>
        <v/>
      </c>
      <c r="V872" s="172">
        <f>IF('Оперативный ввод'!T872="","",'Оперативный ввод'!T872)</f>
        <v/>
      </c>
      <c r="W872" s="172" t="n"/>
      <c r="X872" s="172" t="n"/>
      <c r="Y872" s="172" t="n"/>
      <c r="Z872" s="172" t="n"/>
      <c r="AA872" s="172">
        <f>IF('Оперативный ввод'!U872="","",'Оперативный ввод'!U872)</f>
        <v/>
      </c>
      <c r="AB872" s="172">
        <f>IF('Оперативный ввод'!V872="","",'Оперативный ввод'!V872)</f>
        <v/>
      </c>
      <c r="AC872" s="172">
        <f>IF('Оперативный ввод'!W872="","",'Оперативный ввод'!W872)</f>
        <v/>
      </c>
      <c r="BB872" s="172" t="n"/>
      <c r="BC872" s="172" t="n"/>
      <c r="BD872" s="205">
        <f>IF(AND(A872="",B872=""),"",IF(AND(P872="ГОТОВО",R872&lt;&gt;"",T872&lt;&gt;"",U872&lt;&gt;"",AA872&lt;&gt;"",AB872&lt;&gt;"",AC872&lt;&gt;"",BB872&lt;&gt;"",BC872&lt;&gt;""),"ГОТОВО","НЕ ГОТОВО"))</f>
        <v/>
      </c>
      <c r="BE872" s="205">
        <f>IF(BD872&lt;&gt;"ГОТОВО","","Полное заключение: "&amp;A872&amp;", скв. "&amp;B872&amp;". МРП: "&amp;E872&amp;" сут. ГНО: "&amp;F872&amp;"; причина: "&amp;U872&amp;"; категория: "&amp;V872&amp;"; решение комиссии: "&amp;BB872&amp;".")</f>
        <v/>
      </c>
      <c r="BF872" s="173">
        <f>IF('Оперативный ввод'!X872="","",'Оперативный ввод'!X872)</f>
        <v/>
      </c>
    </row>
    <row r="873">
      <c r="A873" s="171">
        <f>IF('Оперативный ввод'!A873="","",'Оперативный ввод'!A873)</f>
        <v/>
      </c>
      <c r="B873" s="172">
        <f>IF('Оперативный ввод'!B873="","",'Оперативный ввод'!B873)</f>
        <v/>
      </c>
      <c r="C873" s="270">
        <f>IF('Оперативный ввод'!C873="","",'Оперативный ввод'!C873)</f>
        <v/>
      </c>
      <c r="D873" s="270">
        <f>IF('Оперативный ввод'!D873="","",'Оперативный ввод'!D873)</f>
        <v/>
      </c>
      <c r="E873" s="271">
        <f>IF(OR(C873="",D873=""),"",D873-C873)</f>
        <v/>
      </c>
      <c r="F873" s="172">
        <f>IF('Оперативный ввод'!F873="","",'Оперативный ввод'!F873)</f>
        <v/>
      </c>
      <c r="G873" s="172">
        <f>IF('Оперативный ввод'!G873="","",'Оперативный ввод'!G873)</f>
        <v/>
      </c>
      <c r="H873" s="172">
        <f>IF('Оперативный ввод'!H873="","",'Оперативный ввод'!H873)</f>
        <v/>
      </c>
      <c r="I873" s="172">
        <f>IF('Оперативный ввод'!I873="","",'Оперативный ввод'!I873)</f>
        <v/>
      </c>
      <c r="J873" s="172">
        <f>IF('Оперативный ввод'!J873="","",'Оперативный ввод'!J873)</f>
        <v/>
      </c>
      <c r="K873" s="172">
        <f>IF('Оперативный ввод'!K873="","",'Оперативный ввод'!K873)</f>
        <v/>
      </c>
      <c r="L873" s="172">
        <f>IF('Оперативный ввод'!L873="","",'Оперативный ввод'!L873)</f>
        <v/>
      </c>
      <c r="M873" s="172">
        <f>IF('Оперативный ввод'!M873="","",'Оперативный ввод'!M873)</f>
        <v/>
      </c>
      <c r="N873" s="172">
        <f>IF('Оперативный ввод'!N873="","",'Оперативный ввод'!N873)</f>
        <v/>
      </c>
      <c r="O873" s="172">
        <f>IF('Оперативный ввод'!O873="","",'Оперативный ввод'!O873)</f>
        <v/>
      </c>
      <c r="P873" s="205">
        <f>IF(AND(A873="",B873=""),"",IF(AND(A873&lt;&gt;"",B873&lt;&gt;"",C873&lt;&gt;"",D873&lt;&gt;"",F873&lt;&gt;"",G873&lt;&gt;"",H873&lt;&gt;"",ISERROR(SEARCH("по паспорту",G873)),ISERROR(SEARCH("по паспорту",H873)),I873&lt;&gt;"",J873&lt;&gt;"",K873&lt;&gt;"",L873&lt;&gt;"",M873&lt;&gt;""),"ГОТОВО","НЕ ГОТОВО"))</f>
        <v/>
      </c>
      <c r="Q873" s="205">
        <f>IF(P873&lt;&gt;"ГОТОВО","", "Предварительное заключение: "&amp;A873&amp;", скв. "&amp;B873&amp;". МРП: "&amp;E873&amp;" сут. ГНО: "&amp;F873&amp;", типоразмер "&amp;G873&amp;", марка "&amp;H873&amp;". Событие: "&amp;I873&amp;". Признак: "&amp;J873&amp;". Узел: "&amp;K873&amp;". Предварительная причина: "&amp;L873&amp;". Основное осложнение: "&amp;M873&amp;IF(N873&lt;&gt;"","; сопутствующее: "&amp;N873,"")&amp;IF(O873&lt;&gt;"","; дополнительно: "&amp;O873,"")&amp;".")</f>
        <v/>
      </c>
      <c r="R873" s="172">
        <f>IF('Оперативный ввод'!P873="","",'Оперативный ввод'!P873)</f>
        <v/>
      </c>
      <c r="S873" s="172">
        <f>IF('Оперативный ввод'!Q873="","",'Оперативный ввод'!Q873)</f>
        <v/>
      </c>
      <c r="T873" s="172">
        <f>IF('Оперативный ввод'!R873="","",'Оперативный ввод'!R873)</f>
        <v/>
      </c>
      <c r="U873" s="172">
        <f>IF('Оперативный ввод'!S873="","",'Оперативный ввод'!S873)</f>
        <v/>
      </c>
      <c r="V873" s="172">
        <f>IF('Оперативный ввод'!T873="","",'Оперативный ввод'!T873)</f>
        <v/>
      </c>
      <c r="W873" s="172" t="n"/>
      <c r="X873" s="172" t="n"/>
      <c r="Y873" s="172" t="n"/>
      <c r="Z873" s="172" t="n"/>
      <c r="AA873" s="172">
        <f>IF('Оперативный ввод'!U873="","",'Оперативный ввод'!U873)</f>
        <v/>
      </c>
      <c r="AB873" s="172">
        <f>IF('Оперативный ввод'!V873="","",'Оперативный ввод'!V873)</f>
        <v/>
      </c>
      <c r="AC873" s="172">
        <f>IF('Оперативный ввод'!W873="","",'Оперативный ввод'!W873)</f>
        <v/>
      </c>
      <c r="BB873" s="172" t="n"/>
      <c r="BC873" s="172" t="n"/>
      <c r="BD873" s="205">
        <f>IF(AND(A873="",B873=""),"",IF(AND(P873="ГОТОВО",R873&lt;&gt;"",T873&lt;&gt;"",U873&lt;&gt;"",AA873&lt;&gt;"",AB873&lt;&gt;"",AC873&lt;&gt;"",BB873&lt;&gt;"",BC873&lt;&gt;""),"ГОТОВО","НЕ ГОТОВО"))</f>
        <v/>
      </c>
      <c r="BE873" s="205">
        <f>IF(BD873&lt;&gt;"ГОТОВО","","Полное заключение: "&amp;A873&amp;", скв. "&amp;B873&amp;". МРП: "&amp;E873&amp;" сут. ГНО: "&amp;F873&amp;"; причина: "&amp;U873&amp;"; категория: "&amp;V873&amp;"; решение комиссии: "&amp;BB873&amp;".")</f>
        <v/>
      </c>
      <c r="BF873" s="173">
        <f>IF('Оперативный ввод'!X873="","",'Оперативный ввод'!X873)</f>
        <v/>
      </c>
    </row>
    <row r="874">
      <c r="A874" s="171">
        <f>IF('Оперативный ввод'!A874="","",'Оперативный ввод'!A874)</f>
        <v/>
      </c>
      <c r="B874" s="172">
        <f>IF('Оперативный ввод'!B874="","",'Оперативный ввод'!B874)</f>
        <v/>
      </c>
      <c r="C874" s="270">
        <f>IF('Оперативный ввод'!C874="","",'Оперативный ввод'!C874)</f>
        <v/>
      </c>
      <c r="D874" s="270">
        <f>IF('Оперативный ввод'!D874="","",'Оперативный ввод'!D874)</f>
        <v/>
      </c>
      <c r="E874" s="271">
        <f>IF(OR(C874="",D874=""),"",D874-C874)</f>
        <v/>
      </c>
      <c r="F874" s="172">
        <f>IF('Оперативный ввод'!F874="","",'Оперативный ввод'!F874)</f>
        <v/>
      </c>
      <c r="G874" s="172">
        <f>IF('Оперативный ввод'!G874="","",'Оперативный ввод'!G874)</f>
        <v/>
      </c>
      <c r="H874" s="172">
        <f>IF('Оперативный ввод'!H874="","",'Оперативный ввод'!H874)</f>
        <v/>
      </c>
      <c r="I874" s="172">
        <f>IF('Оперативный ввод'!I874="","",'Оперативный ввод'!I874)</f>
        <v/>
      </c>
      <c r="J874" s="172">
        <f>IF('Оперативный ввод'!J874="","",'Оперативный ввод'!J874)</f>
        <v/>
      </c>
      <c r="K874" s="172">
        <f>IF('Оперативный ввод'!K874="","",'Оперативный ввод'!K874)</f>
        <v/>
      </c>
      <c r="L874" s="172">
        <f>IF('Оперативный ввод'!L874="","",'Оперативный ввод'!L874)</f>
        <v/>
      </c>
      <c r="M874" s="172">
        <f>IF('Оперативный ввод'!M874="","",'Оперативный ввод'!M874)</f>
        <v/>
      </c>
      <c r="N874" s="172">
        <f>IF('Оперативный ввод'!N874="","",'Оперативный ввод'!N874)</f>
        <v/>
      </c>
      <c r="O874" s="172">
        <f>IF('Оперативный ввод'!O874="","",'Оперативный ввод'!O874)</f>
        <v/>
      </c>
      <c r="P874" s="205">
        <f>IF(AND(A874="",B874=""),"",IF(AND(A874&lt;&gt;"",B874&lt;&gt;"",C874&lt;&gt;"",D874&lt;&gt;"",F874&lt;&gt;"",G874&lt;&gt;"",H874&lt;&gt;"",ISERROR(SEARCH("по паспорту",G874)),ISERROR(SEARCH("по паспорту",H874)),I874&lt;&gt;"",J874&lt;&gt;"",K874&lt;&gt;"",L874&lt;&gt;"",M874&lt;&gt;""),"ГОТОВО","НЕ ГОТОВО"))</f>
        <v/>
      </c>
      <c r="Q874" s="205">
        <f>IF(P874&lt;&gt;"ГОТОВО","", "Предварительное заключение: "&amp;A874&amp;", скв. "&amp;B874&amp;". МРП: "&amp;E874&amp;" сут. ГНО: "&amp;F874&amp;", типоразмер "&amp;G874&amp;", марка "&amp;H874&amp;". Событие: "&amp;I874&amp;". Признак: "&amp;J874&amp;". Узел: "&amp;K874&amp;". Предварительная причина: "&amp;L874&amp;". Основное осложнение: "&amp;M874&amp;IF(N874&lt;&gt;"","; сопутствующее: "&amp;N874,"")&amp;IF(O874&lt;&gt;"","; дополнительно: "&amp;O874,"")&amp;".")</f>
        <v/>
      </c>
      <c r="R874" s="172">
        <f>IF('Оперативный ввод'!P874="","",'Оперативный ввод'!P874)</f>
        <v/>
      </c>
      <c r="S874" s="172">
        <f>IF('Оперативный ввод'!Q874="","",'Оперативный ввод'!Q874)</f>
        <v/>
      </c>
      <c r="T874" s="172">
        <f>IF('Оперативный ввод'!R874="","",'Оперативный ввод'!R874)</f>
        <v/>
      </c>
      <c r="U874" s="172">
        <f>IF('Оперативный ввод'!S874="","",'Оперативный ввод'!S874)</f>
        <v/>
      </c>
      <c r="V874" s="172">
        <f>IF('Оперативный ввод'!T874="","",'Оперативный ввод'!T874)</f>
        <v/>
      </c>
      <c r="W874" s="172" t="n"/>
      <c r="X874" s="172" t="n"/>
      <c r="Y874" s="172" t="n"/>
      <c r="Z874" s="172" t="n"/>
      <c r="AA874" s="172">
        <f>IF('Оперативный ввод'!U874="","",'Оперативный ввод'!U874)</f>
        <v/>
      </c>
      <c r="AB874" s="172">
        <f>IF('Оперативный ввод'!V874="","",'Оперативный ввод'!V874)</f>
        <v/>
      </c>
      <c r="AC874" s="172">
        <f>IF('Оперативный ввод'!W874="","",'Оперативный ввод'!W874)</f>
        <v/>
      </c>
      <c r="BB874" s="172" t="n"/>
      <c r="BC874" s="172" t="n"/>
      <c r="BD874" s="205">
        <f>IF(AND(A874="",B874=""),"",IF(AND(P874="ГОТОВО",R874&lt;&gt;"",T874&lt;&gt;"",U874&lt;&gt;"",AA874&lt;&gt;"",AB874&lt;&gt;"",AC874&lt;&gt;"",BB874&lt;&gt;"",BC874&lt;&gt;""),"ГОТОВО","НЕ ГОТОВО"))</f>
        <v/>
      </c>
      <c r="BE874" s="205">
        <f>IF(BD874&lt;&gt;"ГОТОВО","","Полное заключение: "&amp;A874&amp;", скв. "&amp;B874&amp;". МРП: "&amp;E874&amp;" сут. ГНО: "&amp;F874&amp;"; причина: "&amp;U874&amp;"; категория: "&amp;V874&amp;"; решение комиссии: "&amp;BB874&amp;".")</f>
        <v/>
      </c>
      <c r="BF874" s="173">
        <f>IF('Оперативный ввод'!X874="","",'Оперативный ввод'!X874)</f>
        <v/>
      </c>
    </row>
    <row r="875">
      <c r="A875" s="171">
        <f>IF('Оперативный ввод'!A875="","",'Оперативный ввод'!A875)</f>
        <v/>
      </c>
      <c r="B875" s="172">
        <f>IF('Оперативный ввод'!B875="","",'Оперативный ввод'!B875)</f>
        <v/>
      </c>
      <c r="C875" s="270">
        <f>IF('Оперативный ввод'!C875="","",'Оперативный ввод'!C875)</f>
        <v/>
      </c>
      <c r="D875" s="270">
        <f>IF('Оперативный ввод'!D875="","",'Оперативный ввод'!D875)</f>
        <v/>
      </c>
      <c r="E875" s="271">
        <f>IF(OR(C875="",D875=""),"",D875-C875)</f>
        <v/>
      </c>
      <c r="F875" s="172">
        <f>IF('Оперативный ввод'!F875="","",'Оперативный ввод'!F875)</f>
        <v/>
      </c>
      <c r="G875" s="172">
        <f>IF('Оперативный ввод'!G875="","",'Оперативный ввод'!G875)</f>
        <v/>
      </c>
      <c r="H875" s="172">
        <f>IF('Оперативный ввод'!H875="","",'Оперативный ввод'!H875)</f>
        <v/>
      </c>
      <c r="I875" s="172">
        <f>IF('Оперативный ввод'!I875="","",'Оперативный ввод'!I875)</f>
        <v/>
      </c>
      <c r="J875" s="172">
        <f>IF('Оперативный ввод'!J875="","",'Оперативный ввод'!J875)</f>
        <v/>
      </c>
      <c r="K875" s="172">
        <f>IF('Оперативный ввод'!K875="","",'Оперативный ввод'!K875)</f>
        <v/>
      </c>
      <c r="L875" s="172">
        <f>IF('Оперативный ввод'!L875="","",'Оперативный ввод'!L875)</f>
        <v/>
      </c>
      <c r="M875" s="172">
        <f>IF('Оперативный ввод'!M875="","",'Оперативный ввод'!M875)</f>
        <v/>
      </c>
      <c r="N875" s="172">
        <f>IF('Оперативный ввод'!N875="","",'Оперативный ввод'!N875)</f>
        <v/>
      </c>
      <c r="O875" s="172">
        <f>IF('Оперативный ввод'!O875="","",'Оперативный ввод'!O875)</f>
        <v/>
      </c>
      <c r="P875" s="205">
        <f>IF(AND(A875="",B875=""),"",IF(AND(A875&lt;&gt;"",B875&lt;&gt;"",C875&lt;&gt;"",D875&lt;&gt;"",F875&lt;&gt;"",G875&lt;&gt;"",H875&lt;&gt;"",ISERROR(SEARCH("по паспорту",G875)),ISERROR(SEARCH("по паспорту",H875)),I875&lt;&gt;"",J875&lt;&gt;"",K875&lt;&gt;"",L875&lt;&gt;"",M875&lt;&gt;""),"ГОТОВО","НЕ ГОТОВО"))</f>
        <v/>
      </c>
      <c r="Q875" s="205">
        <f>IF(P875&lt;&gt;"ГОТОВО","", "Предварительное заключение: "&amp;A875&amp;", скв. "&amp;B875&amp;". МРП: "&amp;E875&amp;" сут. ГНО: "&amp;F875&amp;", типоразмер "&amp;G875&amp;", марка "&amp;H875&amp;". Событие: "&amp;I875&amp;". Признак: "&amp;J875&amp;". Узел: "&amp;K875&amp;". Предварительная причина: "&amp;L875&amp;". Основное осложнение: "&amp;M875&amp;IF(N875&lt;&gt;"","; сопутствующее: "&amp;N875,"")&amp;IF(O875&lt;&gt;"","; дополнительно: "&amp;O875,"")&amp;".")</f>
        <v/>
      </c>
      <c r="R875" s="172">
        <f>IF('Оперативный ввод'!P875="","",'Оперативный ввод'!P875)</f>
        <v/>
      </c>
      <c r="S875" s="172">
        <f>IF('Оперативный ввод'!Q875="","",'Оперативный ввод'!Q875)</f>
        <v/>
      </c>
      <c r="T875" s="172">
        <f>IF('Оперативный ввод'!R875="","",'Оперативный ввод'!R875)</f>
        <v/>
      </c>
      <c r="U875" s="172">
        <f>IF('Оперативный ввод'!S875="","",'Оперативный ввод'!S875)</f>
        <v/>
      </c>
      <c r="V875" s="172">
        <f>IF('Оперативный ввод'!T875="","",'Оперативный ввод'!T875)</f>
        <v/>
      </c>
      <c r="W875" s="172" t="n"/>
      <c r="X875" s="172" t="n"/>
      <c r="Y875" s="172" t="n"/>
      <c r="Z875" s="172" t="n"/>
      <c r="AA875" s="172">
        <f>IF('Оперативный ввод'!U875="","",'Оперативный ввод'!U875)</f>
        <v/>
      </c>
      <c r="AB875" s="172">
        <f>IF('Оперативный ввод'!V875="","",'Оперативный ввод'!V875)</f>
        <v/>
      </c>
      <c r="AC875" s="172">
        <f>IF('Оперативный ввод'!W875="","",'Оперативный ввод'!W875)</f>
        <v/>
      </c>
      <c r="BB875" s="172" t="n"/>
      <c r="BC875" s="172" t="n"/>
      <c r="BD875" s="205">
        <f>IF(AND(A875="",B875=""),"",IF(AND(P875="ГОТОВО",R875&lt;&gt;"",T875&lt;&gt;"",U875&lt;&gt;"",AA875&lt;&gt;"",AB875&lt;&gt;"",AC875&lt;&gt;"",BB875&lt;&gt;"",BC875&lt;&gt;""),"ГОТОВО","НЕ ГОТОВО"))</f>
        <v/>
      </c>
      <c r="BE875" s="205">
        <f>IF(BD875&lt;&gt;"ГОТОВО","","Полное заключение: "&amp;A875&amp;", скв. "&amp;B875&amp;". МРП: "&amp;E875&amp;" сут. ГНО: "&amp;F875&amp;"; причина: "&amp;U875&amp;"; категория: "&amp;V875&amp;"; решение комиссии: "&amp;BB875&amp;".")</f>
        <v/>
      </c>
      <c r="BF875" s="173">
        <f>IF('Оперативный ввод'!X875="","",'Оперативный ввод'!X875)</f>
        <v/>
      </c>
    </row>
    <row r="876">
      <c r="A876" s="171">
        <f>IF('Оперативный ввод'!A876="","",'Оперативный ввод'!A876)</f>
        <v/>
      </c>
      <c r="B876" s="172">
        <f>IF('Оперативный ввод'!B876="","",'Оперативный ввод'!B876)</f>
        <v/>
      </c>
      <c r="C876" s="270">
        <f>IF('Оперативный ввод'!C876="","",'Оперативный ввод'!C876)</f>
        <v/>
      </c>
      <c r="D876" s="270">
        <f>IF('Оперативный ввод'!D876="","",'Оперативный ввод'!D876)</f>
        <v/>
      </c>
      <c r="E876" s="271">
        <f>IF(OR(C876="",D876=""),"",D876-C876)</f>
        <v/>
      </c>
      <c r="F876" s="172">
        <f>IF('Оперативный ввод'!F876="","",'Оперативный ввод'!F876)</f>
        <v/>
      </c>
      <c r="G876" s="172">
        <f>IF('Оперативный ввод'!G876="","",'Оперативный ввод'!G876)</f>
        <v/>
      </c>
      <c r="H876" s="172">
        <f>IF('Оперативный ввод'!H876="","",'Оперативный ввод'!H876)</f>
        <v/>
      </c>
      <c r="I876" s="172">
        <f>IF('Оперативный ввод'!I876="","",'Оперативный ввод'!I876)</f>
        <v/>
      </c>
      <c r="J876" s="172">
        <f>IF('Оперативный ввод'!J876="","",'Оперативный ввод'!J876)</f>
        <v/>
      </c>
      <c r="K876" s="172">
        <f>IF('Оперативный ввод'!K876="","",'Оперативный ввод'!K876)</f>
        <v/>
      </c>
      <c r="L876" s="172">
        <f>IF('Оперативный ввод'!L876="","",'Оперативный ввод'!L876)</f>
        <v/>
      </c>
      <c r="M876" s="172">
        <f>IF('Оперативный ввод'!M876="","",'Оперативный ввод'!M876)</f>
        <v/>
      </c>
      <c r="N876" s="172">
        <f>IF('Оперативный ввод'!N876="","",'Оперативный ввод'!N876)</f>
        <v/>
      </c>
      <c r="O876" s="172">
        <f>IF('Оперативный ввод'!O876="","",'Оперативный ввод'!O876)</f>
        <v/>
      </c>
      <c r="P876" s="205">
        <f>IF(AND(A876="",B876=""),"",IF(AND(A876&lt;&gt;"",B876&lt;&gt;"",C876&lt;&gt;"",D876&lt;&gt;"",F876&lt;&gt;"",G876&lt;&gt;"",H876&lt;&gt;"",ISERROR(SEARCH("по паспорту",G876)),ISERROR(SEARCH("по паспорту",H876)),I876&lt;&gt;"",J876&lt;&gt;"",K876&lt;&gt;"",L876&lt;&gt;"",M876&lt;&gt;""),"ГОТОВО","НЕ ГОТОВО"))</f>
        <v/>
      </c>
      <c r="Q876" s="205">
        <f>IF(P876&lt;&gt;"ГОТОВО","", "Предварительное заключение: "&amp;A876&amp;", скв. "&amp;B876&amp;". МРП: "&amp;E876&amp;" сут. ГНО: "&amp;F876&amp;", типоразмер "&amp;G876&amp;", марка "&amp;H876&amp;". Событие: "&amp;I876&amp;". Признак: "&amp;J876&amp;". Узел: "&amp;K876&amp;". Предварительная причина: "&amp;L876&amp;". Основное осложнение: "&amp;M876&amp;IF(N876&lt;&gt;"","; сопутствующее: "&amp;N876,"")&amp;IF(O876&lt;&gt;"","; дополнительно: "&amp;O876,"")&amp;".")</f>
        <v/>
      </c>
      <c r="R876" s="172">
        <f>IF('Оперативный ввод'!P876="","",'Оперативный ввод'!P876)</f>
        <v/>
      </c>
      <c r="S876" s="172">
        <f>IF('Оперативный ввод'!Q876="","",'Оперативный ввод'!Q876)</f>
        <v/>
      </c>
      <c r="T876" s="172">
        <f>IF('Оперативный ввод'!R876="","",'Оперативный ввод'!R876)</f>
        <v/>
      </c>
      <c r="U876" s="172">
        <f>IF('Оперативный ввод'!S876="","",'Оперативный ввод'!S876)</f>
        <v/>
      </c>
      <c r="V876" s="172">
        <f>IF('Оперативный ввод'!T876="","",'Оперативный ввод'!T876)</f>
        <v/>
      </c>
      <c r="W876" s="172" t="n"/>
      <c r="X876" s="172" t="n"/>
      <c r="Y876" s="172" t="n"/>
      <c r="Z876" s="172" t="n"/>
      <c r="AA876" s="172">
        <f>IF('Оперативный ввод'!U876="","",'Оперативный ввод'!U876)</f>
        <v/>
      </c>
      <c r="AB876" s="172">
        <f>IF('Оперативный ввод'!V876="","",'Оперативный ввод'!V876)</f>
        <v/>
      </c>
      <c r="AC876" s="172">
        <f>IF('Оперативный ввод'!W876="","",'Оперативный ввод'!W876)</f>
        <v/>
      </c>
      <c r="BB876" s="172" t="n"/>
      <c r="BC876" s="172" t="n"/>
      <c r="BD876" s="205">
        <f>IF(AND(A876="",B876=""),"",IF(AND(P876="ГОТОВО",R876&lt;&gt;"",T876&lt;&gt;"",U876&lt;&gt;"",AA876&lt;&gt;"",AB876&lt;&gt;"",AC876&lt;&gt;"",BB876&lt;&gt;"",BC876&lt;&gt;""),"ГОТОВО","НЕ ГОТОВО"))</f>
        <v/>
      </c>
      <c r="BE876" s="205">
        <f>IF(BD876&lt;&gt;"ГОТОВО","","Полное заключение: "&amp;A876&amp;", скв. "&amp;B876&amp;". МРП: "&amp;E876&amp;" сут. ГНО: "&amp;F876&amp;"; причина: "&amp;U876&amp;"; категория: "&amp;V876&amp;"; решение комиссии: "&amp;BB876&amp;".")</f>
        <v/>
      </c>
      <c r="BF876" s="173">
        <f>IF('Оперативный ввод'!X876="","",'Оперативный ввод'!X876)</f>
        <v/>
      </c>
    </row>
    <row r="877">
      <c r="A877" s="171">
        <f>IF('Оперативный ввод'!A877="","",'Оперативный ввод'!A877)</f>
        <v/>
      </c>
      <c r="B877" s="172">
        <f>IF('Оперативный ввод'!B877="","",'Оперативный ввод'!B877)</f>
        <v/>
      </c>
      <c r="C877" s="270">
        <f>IF('Оперативный ввод'!C877="","",'Оперативный ввод'!C877)</f>
        <v/>
      </c>
      <c r="D877" s="270">
        <f>IF('Оперативный ввод'!D877="","",'Оперативный ввод'!D877)</f>
        <v/>
      </c>
      <c r="E877" s="271">
        <f>IF(OR(C877="",D877=""),"",D877-C877)</f>
        <v/>
      </c>
      <c r="F877" s="172">
        <f>IF('Оперативный ввод'!F877="","",'Оперативный ввод'!F877)</f>
        <v/>
      </c>
      <c r="G877" s="172">
        <f>IF('Оперативный ввод'!G877="","",'Оперативный ввод'!G877)</f>
        <v/>
      </c>
      <c r="H877" s="172">
        <f>IF('Оперативный ввод'!H877="","",'Оперативный ввод'!H877)</f>
        <v/>
      </c>
      <c r="I877" s="172">
        <f>IF('Оперативный ввод'!I877="","",'Оперативный ввод'!I877)</f>
        <v/>
      </c>
      <c r="J877" s="172">
        <f>IF('Оперативный ввод'!J877="","",'Оперативный ввод'!J877)</f>
        <v/>
      </c>
      <c r="K877" s="172">
        <f>IF('Оперативный ввод'!K877="","",'Оперативный ввод'!K877)</f>
        <v/>
      </c>
      <c r="L877" s="172">
        <f>IF('Оперативный ввод'!L877="","",'Оперативный ввод'!L877)</f>
        <v/>
      </c>
      <c r="M877" s="172">
        <f>IF('Оперативный ввод'!M877="","",'Оперативный ввод'!M877)</f>
        <v/>
      </c>
      <c r="N877" s="172">
        <f>IF('Оперативный ввод'!N877="","",'Оперативный ввод'!N877)</f>
        <v/>
      </c>
      <c r="O877" s="172">
        <f>IF('Оперативный ввод'!O877="","",'Оперативный ввод'!O877)</f>
        <v/>
      </c>
      <c r="P877" s="205">
        <f>IF(AND(A877="",B877=""),"",IF(AND(A877&lt;&gt;"",B877&lt;&gt;"",C877&lt;&gt;"",D877&lt;&gt;"",F877&lt;&gt;"",G877&lt;&gt;"",H877&lt;&gt;"",ISERROR(SEARCH("по паспорту",G877)),ISERROR(SEARCH("по паспорту",H877)),I877&lt;&gt;"",J877&lt;&gt;"",K877&lt;&gt;"",L877&lt;&gt;"",M877&lt;&gt;""),"ГОТОВО","НЕ ГОТОВО"))</f>
        <v/>
      </c>
      <c r="Q877" s="205">
        <f>IF(P877&lt;&gt;"ГОТОВО","", "Предварительное заключение: "&amp;A877&amp;", скв. "&amp;B877&amp;". МРП: "&amp;E877&amp;" сут. ГНО: "&amp;F877&amp;", типоразмер "&amp;G877&amp;", марка "&amp;H877&amp;". Событие: "&amp;I877&amp;". Признак: "&amp;J877&amp;". Узел: "&amp;K877&amp;". Предварительная причина: "&amp;L877&amp;". Основное осложнение: "&amp;M877&amp;IF(N877&lt;&gt;"","; сопутствующее: "&amp;N877,"")&amp;IF(O877&lt;&gt;"","; дополнительно: "&amp;O877,"")&amp;".")</f>
        <v/>
      </c>
      <c r="R877" s="172">
        <f>IF('Оперативный ввод'!P877="","",'Оперативный ввод'!P877)</f>
        <v/>
      </c>
      <c r="S877" s="172">
        <f>IF('Оперативный ввод'!Q877="","",'Оперативный ввод'!Q877)</f>
        <v/>
      </c>
      <c r="T877" s="172">
        <f>IF('Оперативный ввод'!R877="","",'Оперативный ввод'!R877)</f>
        <v/>
      </c>
      <c r="U877" s="172">
        <f>IF('Оперативный ввод'!S877="","",'Оперативный ввод'!S877)</f>
        <v/>
      </c>
      <c r="V877" s="172">
        <f>IF('Оперативный ввод'!T877="","",'Оперативный ввод'!T877)</f>
        <v/>
      </c>
      <c r="W877" s="172" t="n"/>
      <c r="X877" s="172" t="n"/>
      <c r="Y877" s="172" t="n"/>
      <c r="Z877" s="172" t="n"/>
      <c r="AA877" s="172">
        <f>IF('Оперативный ввод'!U877="","",'Оперативный ввод'!U877)</f>
        <v/>
      </c>
      <c r="AB877" s="172">
        <f>IF('Оперативный ввод'!V877="","",'Оперативный ввод'!V877)</f>
        <v/>
      </c>
      <c r="AC877" s="172">
        <f>IF('Оперативный ввод'!W877="","",'Оперативный ввод'!W877)</f>
        <v/>
      </c>
      <c r="BB877" s="172" t="n"/>
      <c r="BC877" s="172" t="n"/>
      <c r="BD877" s="205">
        <f>IF(AND(A877="",B877=""),"",IF(AND(P877="ГОТОВО",R877&lt;&gt;"",T877&lt;&gt;"",U877&lt;&gt;"",AA877&lt;&gt;"",AB877&lt;&gt;"",AC877&lt;&gt;"",BB877&lt;&gt;"",BC877&lt;&gt;""),"ГОТОВО","НЕ ГОТОВО"))</f>
        <v/>
      </c>
      <c r="BE877" s="205">
        <f>IF(BD877&lt;&gt;"ГОТОВО","","Полное заключение: "&amp;A877&amp;", скв. "&amp;B877&amp;". МРП: "&amp;E877&amp;" сут. ГНО: "&amp;F877&amp;"; причина: "&amp;U877&amp;"; категория: "&amp;V877&amp;"; решение комиссии: "&amp;BB877&amp;".")</f>
        <v/>
      </c>
      <c r="BF877" s="173">
        <f>IF('Оперативный ввод'!X877="","",'Оперативный ввод'!X877)</f>
        <v/>
      </c>
    </row>
    <row r="878">
      <c r="A878" s="171">
        <f>IF('Оперативный ввод'!A878="","",'Оперативный ввод'!A878)</f>
        <v/>
      </c>
      <c r="B878" s="172">
        <f>IF('Оперативный ввод'!B878="","",'Оперативный ввод'!B878)</f>
        <v/>
      </c>
      <c r="C878" s="270">
        <f>IF('Оперативный ввод'!C878="","",'Оперативный ввод'!C878)</f>
        <v/>
      </c>
      <c r="D878" s="270">
        <f>IF('Оперативный ввод'!D878="","",'Оперативный ввод'!D878)</f>
        <v/>
      </c>
      <c r="E878" s="271">
        <f>IF(OR(C878="",D878=""),"",D878-C878)</f>
        <v/>
      </c>
      <c r="F878" s="172">
        <f>IF('Оперативный ввод'!F878="","",'Оперативный ввод'!F878)</f>
        <v/>
      </c>
      <c r="G878" s="172">
        <f>IF('Оперативный ввод'!G878="","",'Оперативный ввод'!G878)</f>
        <v/>
      </c>
      <c r="H878" s="172">
        <f>IF('Оперативный ввод'!H878="","",'Оперативный ввод'!H878)</f>
        <v/>
      </c>
      <c r="I878" s="172">
        <f>IF('Оперативный ввод'!I878="","",'Оперативный ввод'!I878)</f>
        <v/>
      </c>
      <c r="J878" s="172">
        <f>IF('Оперативный ввод'!J878="","",'Оперативный ввод'!J878)</f>
        <v/>
      </c>
      <c r="K878" s="172">
        <f>IF('Оперативный ввод'!K878="","",'Оперативный ввод'!K878)</f>
        <v/>
      </c>
      <c r="L878" s="172">
        <f>IF('Оперативный ввод'!L878="","",'Оперативный ввод'!L878)</f>
        <v/>
      </c>
      <c r="M878" s="172">
        <f>IF('Оперативный ввод'!M878="","",'Оперативный ввод'!M878)</f>
        <v/>
      </c>
      <c r="N878" s="172">
        <f>IF('Оперативный ввод'!N878="","",'Оперативный ввод'!N878)</f>
        <v/>
      </c>
      <c r="O878" s="172">
        <f>IF('Оперативный ввод'!O878="","",'Оперативный ввод'!O878)</f>
        <v/>
      </c>
      <c r="P878" s="205">
        <f>IF(AND(A878="",B878=""),"",IF(AND(A878&lt;&gt;"",B878&lt;&gt;"",C878&lt;&gt;"",D878&lt;&gt;"",F878&lt;&gt;"",G878&lt;&gt;"",H878&lt;&gt;"",ISERROR(SEARCH("по паспорту",G878)),ISERROR(SEARCH("по паспорту",H878)),I878&lt;&gt;"",J878&lt;&gt;"",K878&lt;&gt;"",L878&lt;&gt;"",M878&lt;&gt;""),"ГОТОВО","НЕ ГОТОВО"))</f>
        <v/>
      </c>
      <c r="Q878" s="205">
        <f>IF(P878&lt;&gt;"ГОТОВО","", "Предварительное заключение: "&amp;A878&amp;", скв. "&amp;B878&amp;". МРП: "&amp;E878&amp;" сут. ГНО: "&amp;F878&amp;", типоразмер "&amp;G878&amp;", марка "&amp;H878&amp;". Событие: "&amp;I878&amp;". Признак: "&amp;J878&amp;". Узел: "&amp;K878&amp;". Предварительная причина: "&amp;L878&amp;". Основное осложнение: "&amp;M878&amp;IF(N878&lt;&gt;"","; сопутствующее: "&amp;N878,"")&amp;IF(O878&lt;&gt;"","; дополнительно: "&amp;O878,"")&amp;".")</f>
        <v/>
      </c>
      <c r="R878" s="172">
        <f>IF('Оперативный ввод'!P878="","",'Оперативный ввод'!P878)</f>
        <v/>
      </c>
      <c r="S878" s="172">
        <f>IF('Оперативный ввод'!Q878="","",'Оперативный ввод'!Q878)</f>
        <v/>
      </c>
      <c r="T878" s="172">
        <f>IF('Оперативный ввод'!R878="","",'Оперативный ввод'!R878)</f>
        <v/>
      </c>
      <c r="U878" s="172">
        <f>IF('Оперативный ввод'!S878="","",'Оперативный ввод'!S878)</f>
        <v/>
      </c>
      <c r="V878" s="172">
        <f>IF('Оперативный ввод'!T878="","",'Оперативный ввод'!T878)</f>
        <v/>
      </c>
      <c r="W878" s="172" t="n"/>
      <c r="X878" s="172" t="n"/>
      <c r="Y878" s="172" t="n"/>
      <c r="Z878" s="172" t="n"/>
      <c r="AA878" s="172">
        <f>IF('Оперативный ввод'!U878="","",'Оперативный ввод'!U878)</f>
        <v/>
      </c>
      <c r="AB878" s="172">
        <f>IF('Оперативный ввод'!V878="","",'Оперативный ввод'!V878)</f>
        <v/>
      </c>
      <c r="AC878" s="172">
        <f>IF('Оперативный ввод'!W878="","",'Оперативный ввод'!W878)</f>
        <v/>
      </c>
      <c r="BB878" s="172" t="n"/>
      <c r="BC878" s="172" t="n"/>
      <c r="BD878" s="205">
        <f>IF(AND(A878="",B878=""),"",IF(AND(P878="ГОТОВО",R878&lt;&gt;"",T878&lt;&gt;"",U878&lt;&gt;"",AA878&lt;&gt;"",AB878&lt;&gt;"",AC878&lt;&gt;"",BB878&lt;&gt;"",BC878&lt;&gt;""),"ГОТОВО","НЕ ГОТОВО"))</f>
        <v/>
      </c>
      <c r="BE878" s="205">
        <f>IF(BD878&lt;&gt;"ГОТОВО","","Полное заключение: "&amp;A878&amp;", скв. "&amp;B878&amp;". МРП: "&amp;E878&amp;" сут. ГНО: "&amp;F878&amp;"; причина: "&amp;U878&amp;"; категория: "&amp;V878&amp;"; решение комиссии: "&amp;BB878&amp;".")</f>
        <v/>
      </c>
      <c r="BF878" s="173">
        <f>IF('Оперативный ввод'!X878="","",'Оперативный ввод'!X878)</f>
        <v/>
      </c>
    </row>
    <row r="879">
      <c r="A879" s="171">
        <f>IF('Оперативный ввод'!A879="","",'Оперативный ввод'!A879)</f>
        <v/>
      </c>
      <c r="B879" s="172">
        <f>IF('Оперативный ввод'!B879="","",'Оперативный ввод'!B879)</f>
        <v/>
      </c>
      <c r="C879" s="270">
        <f>IF('Оперативный ввод'!C879="","",'Оперативный ввод'!C879)</f>
        <v/>
      </c>
      <c r="D879" s="270">
        <f>IF('Оперативный ввод'!D879="","",'Оперативный ввод'!D879)</f>
        <v/>
      </c>
      <c r="E879" s="271">
        <f>IF(OR(C879="",D879=""),"",D879-C879)</f>
        <v/>
      </c>
      <c r="F879" s="172">
        <f>IF('Оперативный ввод'!F879="","",'Оперативный ввод'!F879)</f>
        <v/>
      </c>
      <c r="G879" s="172">
        <f>IF('Оперативный ввод'!G879="","",'Оперативный ввод'!G879)</f>
        <v/>
      </c>
      <c r="H879" s="172">
        <f>IF('Оперативный ввод'!H879="","",'Оперативный ввод'!H879)</f>
        <v/>
      </c>
      <c r="I879" s="172">
        <f>IF('Оперативный ввод'!I879="","",'Оперативный ввод'!I879)</f>
        <v/>
      </c>
      <c r="J879" s="172">
        <f>IF('Оперативный ввод'!J879="","",'Оперативный ввод'!J879)</f>
        <v/>
      </c>
      <c r="K879" s="172">
        <f>IF('Оперативный ввод'!K879="","",'Оперативный ввод'!K879)</f>
        <v/>
      </c>
      <c r="L879" s="172">
        <f>IF('Оперативный ввод'!L879="","",'Оперативный ввод'!L879)</f>
        <v/>
      </c>
      <c r="M879" s="172">
        <f>IF('Оперативный ввод'!M879="","",'Оперативный ввод'!M879)</f>
        <v/>
      </c>
      <c r="N879" s="172">
        <f>IF('Оперативный ввод'!N879="","",'Оперативный ввод'!N879)</f>
        <v/>
      </c>
      <c r="O879" s="172">
        <f>IF('Оперативный ввод'!O879="","",'Оперативный ввод'!O879)</f>
        <v/>
      </c>
      <c r="P879" s="205">
        <f>IF(AND(A879="",B879=""),"",IF(AND(A879&lt;&gt;"",B879&lt;&gt;"",C879&lt;&gt;"",D879&lt;&gt;"",F879&lt;&gt;"",G879&lt;&gt;"",H879&lt;&gt;"",ISERROR(SEARCH("по паспорту",G879)),ISERROR(SEARCH("по паспорту",H879)),I879&lt;&gt;"",J879&lt;&gt;"",K879&lt;&gt;"",L879&lt;&gt;"",M879&lt;&gt;""),"ГОТОВО","НЕ ГОТОВО"))</f>
        <v/>
      </c>
      <c r="Q879" s="205">
        <f>IF(P879&lt;&gt;"ГОТОВО","", "Предварительное заключение: "&amp;A879&amp;", скв. "&amp;B879&amp;". МРП: "&amp;E879&amp;" сут. ГНО: "&amp;F879&amp;", типоразмер "&amp;G879&amp;", марка "&amp;H879&amp;". Событие: "&amp;I879&amp;". Признак: "&amp;J879&amp;". Узел: "&amp;K879&amp;". Предварительная причина: "&amp;L879&amp;". Основное осложнение: "&amp;M879&amp;IF(N879&lt;&gt;"","; сопутствующее: "&amp;N879,"")&amp;IF(O879&lt;&gt;"","; дополнительно: "&amp;O879,"")&amp;".")</f>
        <v/>
      </c>
      <c r="R879" s="172">
        <f>IF('Оперативный ввод'!P879="","",'Оперативный ввод'!P879)</f>
        <v/>
      </c>
      <c r="S879" s="172">
        <f>IF('Оперативный ввод'!Q879="","",'Оперативный ввод'!Q879)</f>
        <v/>
      </c>
      <c r="T879" s="172">
        <f>IF('Оперативный ввод'!R879="","",'Оперативный ввод'!R879)</f>
        <v/>
      </c>
      <c r="U879" s="172">
        <f>IF('Оперативный ввод'!S879="","",'Оперативный ввод'!S879)</f>
        <v/>
      </c>
      <c r="V879" s="172">
        <f>IF('Оперативный ввод'!T879="","",'Оперативный ввод'!T879)</f>
        <v/>
      </c>
      <c r="W879" s="172" t="n"/>
      <c r="X879" s="172" t="n"/>
      <c r="Y879" s="172" t="n"/>
      <c r="Z879" s="172" t="n"/>
      <c r="AA879" s="172">
        <f>IF('Оперативный ввод'!U879="","",'Оперативный ввод'!U879)</f>
        <v/>
      </c>
      <c r="AB879" s="172">
        <f>IF('Оперативный ввод'!V879="","",'Оперативный ввод'!V879)</f>
        <v/>
      </c>
      <c r="AC879" s="172">
        <f>IF('Оперативный ввод'!W879="","",'Оперативный ввод'!W879)</f>
        <v/>
      </c>
      <c r="BB879" s="172" t="n"/>
      <c r="BC879" s="172" t="n"/>
      <c r="BD879" s="205">
        <f>IF(AND(A879="",B879=""),"",IF(AND(P879="ГОТОВО",R879&lt;&gt;"",T879&lt;&gt;"",U879&lt;&gt;"",AA879&lt;&gt;"",AB879&lt;&gt;"",AC879&lt;&gt;"",BB879&lt;&gt;"",BC879&lt;&gt;""),"ГОТОВО","НЕ ГОТОВО"))</f>
        <v/>
      </c>
      <c r="BE879" s="205">
        <f>IF(BD879&lt;&gt;"ГОТОВО","","Полное заключение: "&amp;A879&amp;", скв. "&amp;B879&amp;". МРП: "&amp;E879&amp;" сут. ГНО: "&amp;F879&amp;"; причина: "&amp;U879&amp;"; категория: "&amp;V879&amp;"; решение комиссии: "&amp;BB879&amp;".")</f>
        <v/>
      </c>
      <c r="BF879" s="173">
        <f>IF('Оперативный ввод'!X879="","",'Оперативный ввод'!X879)</f>
        <v/>
      </c>
    </row>
    <row r="880">
      <c r="A880" s="171">
        <f>IF('Оперативный ввод'!A880="","",'Оперативный ввод'!A880)</f>
        <v/>
      </c>
      <c r="B880" s="172">
        <f>IF('Оперативный ввод'!B880="","",'Оперативный ввод'!B880)</f>
        <v/>
      </c>
      <c r="C880" s="270">
        <f>IF('Оперативный ввод'!C880="","",'Оперативный ввод'!C880)</f>
        <v/>
      </c>
      <c r="D880" s="270">
        <f>IF('Оперативный ввод'!D880="","",'Оперативный ввод'!D880)</f>
        <v/>
      </c>
      <c r="E880" s="271">
        <f>IF(OR(C880="",D880=""),"",D880-C880)</f>
        <v/>
      </c>
      <c r="F880" s="172">
        <f>IF('Оперативный ввод'!F880="","",'Оперативный ввод'!F880)</f>
        <v/>
      </c>
      <c r="G880" s="172">
        <f>IF('Оперативный ввод'!G880="","",'Оперативный ввод'!G880)</f>
        <v/>
      </c>
      <c r="H880" s="172">
        <f>IF('Оперативный ввод'!H880="","",'Оперативный ввод'!H880)</f>
        <v/>
      </c>
      <c r="I880" s="172">
        <f>IF('Оперативный ввод'!I880="","",'Оперативный ввод'!I880)</f>
        <v/>
      </c>
      <c r="J880" s="172">
        <f>IF('Оперативный ввод'!J880="","",'Оперативный ввод'!J880)</f>
        <v/>
      </c>
      <c r="K880" s="172">
        <f>IF('Оперативный ввод'!K880="","",'Оперативный ввод'!K880)</f>
        <v/>
      </c>
      <c r="L880" s="172">
        <f>IF('Оперативный ввод'!L880="","",'Оперативный ввод'!L880)</f>
        <v/>
      </c>
      <c r="M880" s="172">
        <f>IF('Оперативный ввод'!M880="","",'Оперативный ввод'!M880)</f>
        <v/>
      </c>
      <c r="N880" s="172">
        <f>IF('Оперативный ввод'!N880="","",'Оперативный ввод'!N880)</f>
        <v/>
      </c>
      <c r="O880" s="172">
        <f>IF('Оперативный ввод'!O880="","",'Оперативный ввод'!O880)</f>
        <v/>
      </c>
      <c r="P880" s="205">
        <f>IF(AND(A880="",B880=""),"",IF(AND(A880&lt;&gt;"",B880&lt;&gt;"",C880&lt;&gt;"",D880&lt;&gt;"",F880&lt;&gt;"",G880&lt;&gt;"",H880&lt;&gt;"",ISERROR(SEARCH("по паспорту",G880)),ISERROR(SEARCH("по паспорту",H880)),I880&lt;&gt;"",J880&lt;&gt;"",K880&lt;&gt;"",L880&lt;&gt;"",M880&lt;&gt;""),"ГОТОВО","НЕ ГОТОВО"))</f>
        <v/>
      </c>
      <c r="Q880" s="205">
        <f>IF(P880&lt;&gt;"ГОТОВО","", "Предварительное заключение: "&amp;A880&amp;", скв. "&amp;B880&amp;". МРП: "&amp;E880&amp;" сут. ГНО: "&amp;F880&amp;", типоразмер "&amp;G880&amp;", марка "&amp;H880&amp;". Событие: "&amp;I880&amp;". Признак: "&amp;J880&amp;". Узел: "&amp;K880&amp;". Предварительная причина: "&amp;L880&amp;". Основное осложнение: "&amp;M880&amp;IF(N880&lt;&gt;"","; сопутствующее: "&amp;N880,"")&amp;IF(O880&lt;&gt;"","; дополнительно: "&amp;O880,"")&amp;".")</f>
        <v/>
      </c>
      <c r="R880" s="172">
        <f>IF('Оперативный ввод'!P880="","",'Оперативный ввод'!P880)</f>
        <v/>
      </c>
      <c r="S880" s="172">
        <f>IF('Оперативный ввод'!Q880="","",'Оперативный ввод'!Q880)</f>
        <v/>
      </c>
      <c r="T880" s="172">
        <f>IF('Оперативный ввод'!R880="","",'Оперативный ввод'!R880)</f>
        <v/>
      </c>
      <c r="U880" s="172">
        <f>IF('Оперативный ввод'!S880="","",'Оперативный ввод'!S880)</f>
        <v/>
      </c>
      <c r="V880" s="172">
        <f>IF('Оперативный ввод'!T880="","",'Оперативный ввод'!T880)</f>
        <v/>
      </c>
      <c r="W880" s="172" t="n"/>
      <c r="X880" s="172" t="n"/>
      <c r="Y880" s="172" t="n"/>
      <c r="Z880" s="172" t="n"/>
      <c r="AA880" s="172">
        <f>IF('Оперативный ввод'!U880="","",'Оперативный ввод'!U880)</f>
        <v/>
      </c>
      <c r="AB880" s="172">
        <f>IF('Оперативный ввод'!V880="","",'Оперативный ввод'!V880)</f>
        <v/>
      </c>
      <c r="AC880" s="172">
        <f>IF('Оперативный ввод'!W880="","",'Оперативный ввод'!W880)</f>
        <v/>
      </c>
      <c r="BB880" s="172" t="n"/>
      <c r="BC880" s="172" t="n"/>
      <c r="BD880" s="205">
        <f>IF(AND(A880="",B880=""),"",IF(AND(P880="ГОТОВО",R880&lt;&gt;"",T880&lt;&gt;"",U880&lt;&gt;"",AA880&lt;&gt;"",AB880&lt;&gt;"",AC880&lt;&gt;"",BB880&lt;&gt;"",BC880&lt;&gt;""),"ГОТОВО","НЕ ГОТОВО"))</f>
        <v/>
      </c>
      <c r="BE880" s="205">
        <f>IF(BD880&lt;&gt;"ГОТОВО","","Полное заключение: "&amp;A880&amp;", скв. "&amp;B880&amp;". МРП: "&amp;E880&amp;" сут. ГНО: "&amp;F880&amp;"; причина: "&amp;U880&amp;"; категория: "&amp;V880&amp;"; решение комиссии: "&amp;BB880&amp;".")</f>
        <v/>
      </c>
      <c r="BF880" s="173">
        <f>IF('Оперативный ввод'!X880="","",'Оперативный ввод'!X880)</f>
        <v/>
      </c>
    </row>
    <row r="881">
      <c r="A881" s="171">
        <f>IF('Оперативный ввод'!A881="","",'Оперативный ввод'!A881)</f>
        <v/>
      </c>
      <c r="B881" s="172">
        <f>IF('Оперативный ввод'!B881="","",'Оперативный ввод'!B881)</f>
        <v/>
      </c>
      <c r="C881" s="270">
        <f>IF('Оперативный ввод'!C881="","",'Оперативный ввод'!C881)</f>
        <v/>
      </c>
      <c r="D881" s="270">
        <f>IF('Оперативный ввод'!D881="","",'Оперативный ввод'!D881)</f>
        <v/>
      </c>
      <c r="E881" s="271">
        <f>IF(OR(C881="",D881=""),"",D881-C881)</f>
        <v/>
      </c>
      <c r="F881" s="172">
        <f>IF('Оперативный ввод'!F881="","",'Оперативный ввод'!F881)</f>
        <v/>
      </c>
      <c r="G881" s="172">
        <f>IF('Оперативный ввод'!G881="","",'Оперативный ввод'!G881)</f>
        <v/>
      </c>
      <c r="H881" s="172">
        <f>IF('Оперативный ввод'!H881="","",'Оперативный ввод'!H881)</f>
        <v/>
      </c>
      <c r="I881" s="172">
        <f>IF('Оперативный ввод'!I881="","",'Оперативный ввод'!I881)</f>
        <v/>
      </c>
      <c r="J881" s="172">
        <f>IF('Оперативный ввод'!J881="","",'Оперативный ввод'!J881)</f>
        <v/>
      </c>
      <c r="K881" s="172">
        <f>IF('Оперативный ввод'!K881="","",'Оперативный ввод'!K881)</f>
        <v/>
      </c>
      <c r="L881" s="172">
        <f>IF('Оперативный ввод'!L881="","",'Оперативный ввод'!L881)</f>
        <v/>
      </c>
      <c r="M881" s="172">
        <f>IF('Оперативный ввод'!M881="","",'Оперативный ввод'!M881)</f>
        <v/>
      </c>
      <c r="N881" s="172">
        <f>IF('Оперативный ввод'!N881="","",'Оперативный ввод'!N881)</f>
        <v/>
      </c>
      <c r="O881" s="172">
        <f>IF('Оперативный ввод'!O881="","",'Оперативный ввод'!O881)</f>
        <v/>
      </c>
      <c r="P881" s="205">
        <f>IF(AND(A881="",B881=""),"",IF(AND(A881&lt;&gt;"",B881&lt;&gt;"",C881&lt;&gt;"",D881&lt;&gt;"",F881&lt;&gt;"",G881&lt;&gt;"",H881&lt;&gt;"",ISERROR(SEARCH("по паспорту",G881)),ISERROR(SEARCH("по паспорту",H881)),I881&lt;&gt;"",J881&lt;&gt;"",K881&lt;&gt;"",L881&lt;&gt;"",M881&lt;&gt;""),"ГОТОВО","НЕ ГОТОВО"))</f>
        <v/>
      </c>
      <c r="Q881" s="205">
        <f>IF(P881&lt;&gt;"ГОТОВО","", "Предварительное заключение: "&amp;A881&amp;", скв. "&amp;B881&amp;". МРП: "&amp;E881&amp;" сут. ГНО: "&amp;F881&amp;", типоразмер "&amp;G881&amp;", марка "&amp;H881&amp;". Событие: "&amp;I881&amp;". Признак: "&amp;J881&amp;". Узел: "&amp;K881&amp;". Предварительная причина: "&amp;L881&amp;". Основное осложнение: "&amp;M881&amp;IF(N881&lt;&gt;"","; сопутствующее: "&amp;N881,"")&amp;IF(O881&lt;&gt;"","; дополнительно: "&amp;O881,"")&amp;".")</f>
        <v/>
      </c>
      <c r="R881" s="172">
        <f>IF('Оперативный ввод'!P881="","",'Оперативный ввод'!P881)</f>
        <v/>
      </c>
      <c r="S881" s="172">
        <f>IF('Оперативный ввод'!Q881="","",'Оперативный ввод'!Q881)</f>
        <v/>
      </c>
      <c r="T881" s="172">
        <f>IF('Оперативный ввод'!R881="","",'Оперативный ввод'!R881)</f>
        <v/>
      </c>
      <c r="U881" s="172">
        <f>IF('Оперативный ввод'!S881="","",'Оперативный ввод'!S881)</f>
        <v/>
      </c>
      <c r="V881" s="172">
        <f>IF('Оперативный ввод'!T881="","",'Оперативный ввод'!T881)</f>
        <v/>
      </c>
      <c r="W881" s="172" t="n"/>
      <c r="X881" s="172" t="n"/>
      <c r="Y881" s="172" t="n"/>
      <c r="Z881" s="172" t="n"/>
      <c r="AA881" s="172">
        <f>IF('Оперативный ввод'!U881="","",'Оперативный ввод'!U881)</f>
        <v/>
      </c>
      <c r="AB881" s="172">
        <f>IF('Оперативный ввод'!V881="","",'Оперативный ввод'!V881)</f>
        <v/>
      </c>
      <c r="AC881" s="172">
        <f>IF('Оперативный ввод'!W881="","",'Оперативный ввод'!W881)</f>
        <v/>
      </c>
      <c r="BB881" s="172" t="n"/>
      <c r="BC881" s="172" t="n"/>
      <c r="BD881" s="205">
        <f>IF(AND(A881="",B881=""),"",IF(AND(P881="ГОТОВО",R881&lt;&gt;"",T881&lt;&gt;"",U881&lt;&gt;"",AA881&lt;&gt;"",AB881&lt;&gt;"",AC881&lt;&gt;"",BB881&lt;&gt;"",BC881&lt;&gt;""),"ГОТОВО","НЕ ГОТОВО"))</f>
        <v/>
      </c>
      <c r="BE881" s="205">
        <f>IF(BD881&lt;&gt;"ГОТОВО","","Полное заключение: "&amp;A881&amp;", скв. "&amp;B881&amp;". МРП: "&amp;E881&amp;" сут. ГНО: "&amp;F881&amp;"; причина: "&amp;U881&amp;"; категория: "&amp;V881&amp;"; решение комиссии: "&amp;BB881&amp;".")</f>
        <v/>
      </c>
      <c r="BF881" s="173">
        <f>IF('Оперативный ввод'!X881="","",'Оперативный ввод'!X881)</f>
        <v/>
      </c>
    </row>
    <row r="882">
      <c r="A882" s="171">
        <f>IF('Оперативный ввод'!A882="","",'Оперативный ввод'!A882)</f>
        <v/>
      </c>
      <c r="B882" s="172">
        <f>IF('Оперативный ввод'!B882="","",'Оперативный ввод'!B882)</f>
        <v/>
      </c>
      <c r="C882" s="270">
        <f>IF('Оперативный ввод'!C882="","",'Оперативный ввод'!C882)</f>
        <v/>
      </c>
      <c r="D882" s="270">
        <f>IF('Оперативный ввод'!D882="","",'Оперативный ввод'!D882)</f>
        <v/>
      </c>
      <c r="E882" s="271">
        <f>IF(OR(C882="",D882=""),"",D882-C882)</f>
        <v/>
      </c>
      <c r="F882" s="172">
        <f>IF('Оперативный ввод'!F882="","",'Оперативный ввод'!F882)</f>
        <v/>
      </c>
      <c r="G882" s="172">
        <f>IF('Оперативный ввод'!G882="","",'Оперативный ввод'!G882)</f>
        <v/>
      </c>
      <c r="H882" s="172">
        <f>IF('Оперативный ввод'!H882="","",'Оперативный ввод'!H882)</f>
        <v/>
      </c>
      <c r="I882" s="172">
        <f>IF('Оперативный ввод'!I882="","",'Оперативный ввод'!I882)</f>
        <v/>
      </c>
      <c r="J882" s="172">
        <f>IF('Оперативный ввод'!J882="","",'Оперативный ввод'!J882)</f>
        <v/>
      </c>
      <c r="K882" s="172">
        <f>IF('Оперативный ввод'!K882="","",'Оперативный ввод'!K882)</f>
        <v/>
      </c>
      <c r="L882" s="172">
        <f>IF('Оперативный ввод'!L882="","",'Оперативный ввод'!L882)</f>
        <v/>
      </c>
      <c r="M882" s="172">
        <f>IF('Оперативный ввод'!M882="","",'Оперативный ввод'!M882)</f>
        <v/>
      </c>
      <c r="N882" s="172">
        <f>IF('Оперативный ввод'!N882="","",'Оперативный ввод'!N882)</f>
        <v/>
      </c>
      <c r="O882" s="172">
        <f>IF('Оперативный ввод'!O882="","",'Оперативный ввод'!O882)</f>
        <v/>
      </c>
      <c r="P882" s="205">
        <f>IF(AND(A882="",B882=""),"",IF(AND(A882&lt;&gt;"",B882&lt;&gt;"",C882&lt;&gt;"",D882&lt;&gt;"",F882&lt;&gt;"",G882&lt;&gt;"",H882&lt;&gt;"",ISERROR(SEARCH("по паспорту",G882)),ISERROR(SEARCH("по паспорту",H882)),I882&lt;&gt;"",J882&lt;&gt;"",K882&lt;&gt;"",L882&lt;&gt;"",M882&lt;&gt;""),"ГОТОВО","НЕ ГОТОВО"))</f>
        <v/>
      </c>
      <c r="Q882" s="205">
        <f>IF(P882&lt;&gt;"ГОТОВО","", "Предварительное заключение: "&amp;A882&amp;", скв. "&amp;B882&amp;". МРП: "&amp;E882&amp;" сут. ГНО: "&amp;F882&amp;", типоразмер "&amp;G882&amp;", марка "&amp;H882&amp;". Событие: "&amp;I882&amp;". Признак: "&amp;J882&amp;". Узел: "&amp;K882&amp;". Предварительная причина: "&amp;L882&amp;". Основное осложнение: "&amp;M882&amp;IF(N882&lt;&gt;"","; сопутствующее: "&amp;N882,"")&amp;IF(O882&lt;&gt;"","; дополнительно: "&amp;O882,"")&amp;".")</f>
        <v/>
      </c>
      <c r="R882" s="172">
        <f>IF('Оперативный ввод'!P882="","",'Оперативный ввод'!P882)</f>
        <v/>
      </c>
      <c r="S882" s="172">
        <f>IF('Оперативный ввод'!Q882="","",'Оперативный ввод'!Q882)</f>
        <v/>
      </c>
      <c r="T882" s="172">
        <f>IF('Оперативный ввод'!R882="","",'Оперативный ввод'!R882)</f>
        <v/>
      </c>
      <c r="U882" s="172">
        <f>IF('Оперативный ввод'!S882="","",'Оперативный ввод'!S882)</f>
        <v/>
      </c>
      <c r="V882" s="172">
        <f>IF('Оперативный ввод'!T882="","",'Оперативный ввод'!T882)</f>
        <v/>
      </c>
      <c r="W882" s="172" t="n"/>
      <c r="X882" s="172" t="n"/>
      <c r="Y882" s="172" t="n"/>
      <c r="Z882" s="172" t="n"/>
      <c r="AA882" s="172">
        <f>IF('Оперативный ввод'!U882="","",'Оперативный ввод'!U882)</f>
        <v/>
      </c>
      <c r="AB882" s="172">
        <f>IF('Оперативный ввод'!V882="","",'Оперативный ввод'!V882)</f>
        <v/>
      </c>
      <c r="AC882" s="172">
        <f>IF('Оперативный ввод'!W882="","",'Оперативный ввод'!W882)</f>
        <v/>
      </c>
      <c r="BB882" s="172" t="n"/>
      <c r="BC882" s="172" t="n"/>
      <c r="BD882" s="205">
        <f>IF(AND(A882="",B882=""),"",IF(AND(P882="ГОТОВО",R882&lt;&gt;"",T882&lt;&gt;"",U882&lt;&gt;"",AA882&lt;&gt;"",AB882&lt;&gt;"",AC882&lt;&gt;"",BB882&lt;&gt;"",BC882&lt;&gt;""),"ГОТОВО","НЕ ГОТОВО"))</f>
        <v/>
      </c>
      <c r="BE882" s="205">
        <f>IF(BD882&lt;&gt;"ГОТОВО","","Полное заключение: "&amp;A882&amp;", скв. "&amp;B882&amp;". МРП: "&amp;E882&amp;" сут. ГНО: "&amp;F882&amp;"; причина: "&amp;U882&amp;"; категория: "&amp;V882&amp;"; решение комиссии: "&amp;BB882&amp;".")</f>
        <v/>
      </c>
      <c r="BF882" s="173">
        <f>IF('Оперативный ввод'!X882="","",'Оперативный ввод'!X882)</f>
        <v/>
      </c>
    </row>
    <row r="883">
      <c r="A883" s="171">
        <f>IF('Оперативный ввод'!A883="","",'Оперативный ввод'!A883)</f>
        <v/>
      </c>
      <c r="B883" s="172">
        <f>IF('Оперативный ввод'!B883="","",'Оперативный ввод'!B883)</f>
        <v/>
      </c>
      <c r="C883" s="270">
        <f>IF('Оперативный ввод'!C883="","",'Оперативный ввод'!C883)</f>
        <v/>
      </c>
      <c r="D883" s="270">
        <f>IF('Оперативный ввод'!D883="","",'Оперативный ввод'!D883)</f>
        <v/>
      </c>
      <c r="E883" s="271">
        <f>IF(OR(C883="",D883=""),"",D883-C883)</f>
        <v/>
      </c>
      <c r="F883" s="172">
        <f>IF('Оперативный ввод'!F883="","",'Оперативный ввод'!F883)</f>
        <v/>
      </c>
      <c r="G883" s="172">
        <f>IF('Оперативный ввод'!G883="","",'Оперативный ввод'!G883)</f>
        <v/>
      </c>
      <c r="H883" s="172">
        <f>IF('Оперативный ввод'!H883="","",'Оперативный ввод'!H883)</f>
        <v/>
      </c>
      <c r="I883" s="172">
        <f>IF('Оперативный ввод'!I883="","",'Оперативный ввод'!I883)</f>
        <v/>
      </c>
      <c r="J883" s="172">
        <f>IF('Оперативный ввод'!J883="","",'Оперативный ввод'!J883)</f>
        <v/>
      </c>
      <c r="K883" s="172">
        <f>IF('Оперативный ввод'!K883="","",'Оперативный ввод'!K883)</f>
        <v/>
      </c>
      <c r="L883" s="172">
        <f>IF('Оперативный ввод'!L883="","",'Оперативный ввод'!L883)</f>
        <v/>
      </c>
      <c r="M883" s="172">
        <f>IF('Оперативный ввод'!M883="","",'Оперативный ввод'!M883)</f>
        <v/>
      </c>
      <c r="N883" s="172">
        <f>IF('Оперативный ввод'!N883="","",'Оперативный ввод'!N883)</f>
        <v/>
      </c>
      <c r="O883" s="172">
        <f>IF('Оперативный ввод'!O883="","",'Оперативный ввод'!O883)</f>
        <v/>
      </c>
      <c r="P883" s="205">
        <f>IF(AND(A883="",B883=""),"",IF(AND(A883&lt;&gt;"",B883&lt;&gt;"",C883&lt;&gt;"",D883&lt;&gt;"",F883&lt;&gt;"",G883&lt;&gt;"",H883&lt;&gt;"",ISERROR(SEARCH("по паспорту",G883)),ISERROR(SEARCH("по паспорту",H883)),I883&lt;&gt;"",J883&lt;&gt;"",K883&lt;&gt;"",L883&lt;&gt;"",M883&lt;&gt;""),"ГОТОВО","НЕ ГОТОВО"))</f>
        <v/>
      </c>
      <c r="Q883" s="205">
        <f>IF(P883&lt;&gt;"ГОТОВО","", "Предварительное заключение: "&amp;A883&amp;", скв. "&amp;B883&amp;". МРП: "&amp;E883&amp;" сут. ГНО: "&amp;F883&amp;", типоразмер "&amp;G883&amp;", марка "&amp;H883&amp;". Событие: "&amp;I883&amp;". Признак: "&amp;J883&amp;". Узел: "&amp;K883&amp;". Предварительная причина: "&amp;L883&amp;". Основное осложнение: "&amp;M883&amp;IF(N883&lt;&gt;"","; сопутствующее: "&amp;N883,"")&amp;IF(O883&lt;&gt;"","; дополнительно: "&amp;O883,"")&amp;".")</f>
        <v/>
      </c>
      <c r="R883" s="172">
        <f>IF('Оперативный ввод'!P883="","",'Оперативный ввод'!P883)</f>
        <v/>
      </c>
      <c r="S883" s="172">
        <f>IF('Оперативный ввод'!Q883="","",'Оперативный ввод'!Q883)</f>
        <v/>
      </c>
      <c r="T883" s="172">
        <f>IF('Оперативный ввод'!R883="","",'Оперативный ввод'!R883)</f>
        <v/>
      </c>
      <c r="U883" s="172">
        <f>IF('Оперативный ввод'!S883="","",'Оперативный ввод'!S883)</f>
        <v/>
      </c>
      <c r="V883" s="172">
        <f>IF('Оперативный ввод'!T883="","",'Оперативный ввод'!T883)</f>
        <v/>
      </c>
      <c r="W883" s="172" t="n"/>
      <c r="X883" s="172" t="n"/>
      <c r="Y883" s="172" t="n"/>
      <c r="Z883" s="172" t="n"/>
      <c r="AA883" s="172">
        <f>IF('Оперативный ввод'!U883="","",'Оперативный ввод'!U883)</f>
        <v/>
      </c>
      <c r="AB883" s="172">
        <f>IF('Оперативный ввод'!V883="","",'Оперативный ввод'!V883)</f>
        <v/>
      </c>
      <c r="AC883" s="172">
        <f>IF('Оперативный ввод'!W883="","",'Оперативный ввод'!W883)</f>
        <v/>
      </c>
      <c r="BB883" s="172" t="n"/>
      <c r="BC883" s="172" t="n"/>
      <c r="BD883" s="205">
        <f>IF(AND(A883="",B883=""),"",IF(AND(P883="ГОТОВО",R883&lt;&gt;"",T883&lt;&gt;"",U883&lt;&gt;"",AA883&lt;&gt;"",AB883&lt;&gt;"",AC883&lt;&gt;"",BB883&lt;&gt;"",BC883&lt;&gt;""),"ГОТОВО","НЕ ГОТОВО"))</f>
        <v/>
      </c>
      <c r="BE883" s="205">
        <f>IF(BD883&lt;&gt;"ГОТОВО","","Полное заключение: "&amp;A883&amp;", скв. "&amp;B883&amp;". МРП: "&amp;E883&amp;" сут. ГНО: "&amp;F883&amp;"; причина: "&amp;U883&amp;"; категория: "&amp;V883&amp;"; решение комиссии: "&amp;BB883&amp;".")</f>
        <v/>
      </c>
      <c r="BF883" s="173">
        <f>IF('Оперативный ввод'!X883="","",'Оперативный ввод'!X883)</f>
        <v/>
      </c>
    </row>
    <row r="884">
      <c r="A884" s="171">
        <f>IF('Оперативный ввод'!A884="","",'Оперативный ввод'!A884)</f>
        <v/>
      </c>
      <c r="B884" s="172">
        <f>IF('Оперативный ввод'!B884="","",'Оперативный ввод'!B884)</f>
        <v/>
      </c>
      <c r="C884" s="270">
        <f>IF('Оперативный ввод'!C884="","",'Оперативный ввод'!C884)</f>
        <v/>
      </c>
      <c r="D884" s="270">
        <f>IF('Оперативный ввод'!D884="","",'Оперативный ввод'!D884)</f>
        <v/>
      </c>
      <c r="E884" s="271">
        <f>IF(OR(C884="",D884=""),"",D884-C884)</f>
        <v/>
      </c>
      <c r="F884" s="172">
        <f>IF('Оперативный ввод'!F884="","",'Оперативный ввод'!F884)</f>
        <v/>
      </c>
      <c r="G884" s="172">
        <f>IF('Оперативный ввод'!G884="","",'Оперативный ввод'!G884)</f>
        <v/>
      </c>
      <c r="H884" s="172">
        <f>IF('Оперативный ввод'!H884="","",'Оперативный ввод'!H884)</f>
        <v/>
      </c>
      <c r="I884" s="172">
        <f>IF('Оперативный ввод'!I884="","",'Оперативный ввод'!I884)</f>
        <v/>
      </c>
      <c r="J884" s="172">
        <f>IF('Оперативный ввод'!J884="","",'Оперативный ввод'!J884)</f>
        <v/>
      </c>
      <c r="K884" s="172">
        <f>IF('Оперативный ввод'!K884="","",'Оперативный ввод'!K884)</f>
        <v/>
      </c>
      <c r="L884" s="172">
        <f>IF('Оперативный ввод'!L884="","",'Оперативный ввод'!L884)</f>
        <v/>
      </c>
      <c r="M884" s="172">
        <f>IF('Оперативный ввод'!M884="","",'Оперативный ввод'!M884)</f>
        <v/>
      </c>
      <c r="N884" s="172">
        <f>IF('Оперативный ввод'!N884="","",'Оперативный ввод'!N884)</f>
        <v/>
      </c>
      <c r="O884" s="172">
        <f>IF('Оперативный ввод'!O884="","",'Оперативный ввод'!O884)</f>
        <v/>
      </c>
      <c r="P884" s="205">
        <f>IF(AND(A884="",B884=""),"",IF(AND(A884&lt;&gt;"",B884&lt;&gt;"",C884&lt;&gt;"",D884&lt;&gt;"",F884&lt;&gt;"",G884&lt;&gt;"",H884&lt;&gt;"",ISERROR(SEARCH("по паспорту",G884)),ISERROR(SEARCH("по паспорту",H884)),I884&lt;&gt;"",J884&lt;&gt;"",K884&lt;&gt;"",L884&lt;&gt;"",M884&lt;&gt;""),"ГОТОВО","НЕ ГОТОВО"))</f>
        <v/>
      </c>
      <c r="Q884" s="205">
        <f>IF(P884&lt;&gt;"ГОТОВО","", "Предварительное заключение: "&amp;A884&amp;", скв. "&amp;B884&amp;". МРП: "&amp;E884&amp;" сут. ГНО: "&amp;F884&amp;", типоразмер "&amp;G884&amp;", марка "&amp;H884&amp;". Событие: "&amp;I884&amp;". Признак: "&amp;J884&amp;". Узел: "&amp;K884&amp;". Предварительная причина: "&amp;L884&amp;". Основное осложнение: "&amp;M884&amp;IF(N884&lt;&gt;"","; сопутствующее: "&amp;N884,"")&amp;IF(O884&lt;&gt;"","; дополнительно: "&amp;O884,"")&amp;".")</f>
        <v/>
      </c>
      <c r="R884" s="172">
        <f>IF('Оперативный ввод'!P884="","",'Оперативный ввод'!P884)</f>
        <v/>
      </c>
      <c r="S884" s="172">
        <f>IF('Оперативный ввод'!Q884="","",'Оперативный ввод'!Q884)</f>
        <v/>
      </c>
      <c r="T884" s="172">
        <f>IF('Оперативный ввод'!R884="","",'Оперативный ввод'!R884)</f>
        <v/>
      </c>
      <c r="U884" s="172">
        <f>IF('Оперативный ввод'!S884="","",'Оперативный ввод'!S884)</f>
        <v/>
      </c>
      <c r="V884" s="172">
        <f>IF('Оперативный ввод'!T884="","",'Оперативный ввод'!T884)</f>
        <v/>
      </c>
      <c r="W884" s="172" t="n"/>
      <c r="X884" s="172" t="n"/>
      <c r="Y884" s="172" t="n"/>
      <c r="Z884" s="172" t="n"/>
      <c r="AA884" s="172">
        <f>IF('Оперативный ввод'!U884="","",'Оперативный ввод'!U884)</f>
        <v/>
      </c>
      <c r="AB884" s="172">
        <f>IF('Оперативный ввод'!V884="","",'Оперативный ввод'!V884)</f>
        <v/>
      </c>
      <c r="AC884" s="172">
        <f>IF('Оперативный ввод'!W884="","",'Оперативный ввод'!W884)</f>
        <v/>
      </c>
      <c r="BB884" s="172" t="n"/>
      <c r="BC884" s="172" t="n"/>
      <c r="BD884" s="205">
        <f>IF(AND(A884="",B884=""),"",IF(AND(P884="ГОТОВО",R884&lt;&gt;"",T884&lt;&gt;"",U884&lt;&gt;"",AA884&lt;&gt;"",AB884&lt;&gt;"",AC884&lt;&gt;"",BB884&lt;&gt;"",BC884&lt;&gt;""),"ГОТОВО","НЕ ГОТОВО"))</f>
        <v/>
      </c>
      <c r="BE884" s="205">
        <f>IF(BD884&lt;&gt;"ГОТОВО","","Полное заключение: "&amp;A884&amp;", скв. "&amp;B884&amp;". МРП: "&amp;E884&amp;" сут. ГНО: "&amp;F884&amp;"; причина: "&amp;U884&amp;"; категория: "&amp;V884&amp;"; решение комиссии: "&amp;BB884&amp;".")</f>
        <v/>
      </c>
      <c r="BF884" s="173">
        <f>IF('Оперативный ввод'!X884="","",'Оперативный ввод'!X884)</f>
        <v/>
      </c>
    </row>
    <row r="885">
      <c r="A885" s="171">
        <f>IF('Оперативный ввод'!A885="","",'Оперативный ввод'!A885)</f>
        <v/>
      </c>
      <c r="B885" s="172">
        <f>IF('Оперативный ввод'!B885="","",'Оперативный ввод'!B885)</f>
        <v/>
      </c>
      <c r="C885" s="270">
        <f>IF('Оперативный ввод'!C885="","",'Оперативный ввод'!C885)</f>
        <v/>
      </c>
      <c r="D885" s="270">
        <f>IF('Оперативный ввод'!D885="","",'Оперативный ввод'!D885)</f>
        <v/>
      </c>
      <c r="E885" s="271">
        <f>IF(OR(C885="",D885=""),"",D885-C885)</f>
        <v/>
      </c>
      <c r="F885" s="172">
        <f>IF('Оперативный ввод'!F885="","",'Оперативный ввод'!F885)</f>
        <v/>
      </c>
      <c r="G885" s="172">
        <f>IF('Оперативный ввод'!G885="","",'Оперативный ввод'!G885)</f>
        <v/>
      </c>
      <c r="H885" s="172">
        <f>IF('Оперативный ввод'!H885="","",'Оперативный ввод'!H885)</f>
        <v/>
      </c>
      <c r="I885" s="172">
        <f>IF('Оперативный ввод'!I885="","",'Оперативный ввод'!I885)</f>
        <v/>
      </c>
      <c r="J885" s="172">
        <f>IF('Оперативный ввод'!J885="","",'Оперативный ввод'!J885)</f>
        <v/>
      </c>
      <c r="K885" s="172">
        <f>IF('Оперативный ввод'!K885="","",'Оперативный ввод'!K885)</f>
        <v/>
      </c>
      <c r="L885" s="172">
        <f>IF('Оперативный ввод'!L885="","",'Оперативный ввод'!L885)</f>
        <v/>
      </c>
      <c r="M885" s="172">
        <f>IF('Оперативный ввод'!M885="","",'Оперативный ввод'!M885)</f>
        <v/>
      </c>
      <c r="N885" s="172">
        <f>IF('Оперативный ввод'!N885="","",'Оперативный ввод'!N885)</f>
        <v/>
      </c>
      <c r="O885" s="172">
        <f>IF('Оперативный ввод'!O885="","",'Оперативный ввод'!O885)</f>
        <v/>
      </c>
      <c r="P885" s="205">
        <f>IF(AND(A885="",B885=""),"",IF(AND(A885&lt;&gt;"",B885&lt;&gt;"",C885&lt;&gt;"",D885&lt;&gt;"",F885&lt;&gt;"",G885&lt;&gt;"",H885&lt;&gt;"",ISERROR(SEARCH("по паспорту",G885)),ISERROR(SEARCH("по паспорту",H885)),I885&lt;&gt;"",J885&lt;&gt;"",K885&lt;&gt;"",L885&lt;&gt;"",M885&lt;&gt;""),"ГОТОВО","НЕ ГОТОВО"))</f>
        <v/>
      </c>
      <c r="Q885" s="205">
        <f>IF(P885&lt;&gt;"ГОТОВО","", "Предварительное заключение: "&amp;A885&amp;", скв. "&amp;B885&amp;". МРП: "&amp;E885&amp;" сут. ГНО: "&amp;F885&amp;", типоразмер "&amp;G885&amp;", марка "&amp;H885&amp;". Событие: "&amp;I885&amp;". Признак: "&amp;J885&amp;". Узел: "&amp;K885&amp;". Предварительная причина: "&amp;L885&amp;". Основное осложнение: "&amp;M885&amp;IF(N885&lt;&gt;"","; сопутствующее: "&amp;N885,"")&amp;IF(O885&lt;&gt;"","; дополнительно: "&amp;O885,"")&amp;".")</f>
        <v/>
      </c>
      <c r="R885" s="172">
        <f>IF('Оперативный ввод'!P885="","",'Оперативный ввод'!P885)</f>
        <v/>
      </c>
      <c r="S885" s="172">
        <f>IF('Оперативный ввод'!Q885="","",'Оперативный ввод'!Q885)</f>
        <v/>
      </c>
      <c r="T885" s="172">
        <f>IF('Оперативный ввод'!R885="","",'Оперативный ввод'!R885)</f>
        <v/>
      </c>
      <c r="U885" s="172">
        <f>IF('Оперативный ввод'!S885="","",'Оперативный ввод'!S885)</f>
        <v/>
      </c>
      <c r="V885" s="172">
        <f>IF('Оперативный ввод'!T885="","",'Оперативный ввод'!T885)</f>
        <v/>
      </c>
      <c r="W885" s="172" t="n"/>
      <c r="X885" s="172" t="n"/>
      <c r="Y885" s="172" t="n"/>
      <c r="Z885" s="172" t="n"/>
      <c r="AA885" s="172">
        <f>IF('Оперативный ввод'!U885="","",'Оперативный ввод'!U885)</f>
        <v/>
      </c>
      <c r="AB885" s="172">
        <f>IF('Оперативный ввод'!V885="","",'Оперативный ввод'!V885)</f>
        <v/>
      </c>
      <c r="AC885" s="172">
        <f>IF('Оперативный ввод'!W885="","",'Оперативный ввод'!W885)</f>
        <v/>
      </c>
      <c r="BB885" s="172" t="n"/>
      <c r="BC885" s="172" t="n"/>
      <c r="BD885" s="205">
        <f>IF(AND(A885="",B885=""),"",IF(AND(P885="ГОТОВО",R885&lt;&gt;"",T885&lt;&gt;"",U885&lt;&gt;"",AA885&lt;&gt;"",AB885&lt;&gt;"",AC885&lt;&gt;"",BB885&lt;&gt;"",BC885&lt;&gt;""),"ГОТОВО","НЕ ГОТОВО"))</f>
        <v/>
      </c>
      <c r="BE885" s="205">
        <f>IF(BD885&lt;&gt;"ГОТОВО","","Полное заключение: "&amp;A885&amp;", скв. "&amp;B885&amp;". МРП: "&amp;E885&amp;" сут. ГНО: "&amp;F885&amp;"; причина: "&amp;U885&amp;"; категория: "&amp;V885&amp;"; решение комиссии: "&amp;BB885&amp;".")</f>
        <v/>
      </c>
      <c r="BF885" s="173">
        <f>IF('Оперативный ввод'!X885="","",'Оперативный ввод'!X885)</f>
        <v/>
      </c>
    </row>
    <row r="886">
      <c r="A886" s="171">
        <f>IF('Оперативный ввод'!A886="","",'Оперативный ввод'!A886)</f>
        <v/>
      </c>
      <c r="B886" s="172">
        <f>IF('Оперативный ввод'!B886="","",'Оперативный ввод'!B886)</f>
        <v/>
      </c>
      <c r="C886" s="270">
        <f>IF('Оперативный ввод'!C886="","",'Оперативный ввод'!C886)</f>
        <v/>
      </c>
      <c r="D886" s="270">
        <f>IF('Оперативный ввод'!D886="","",'Оперативный ввод'!D886)</f>
        <v/>
      </c>
      <c r="E886" s="271">
        <f>IF(OR(C886="",D886=""),"",D886-C886)</f>
        <v/>
      </c>
      <c r="F886" s="172">
        <f>IF('Оперативный ввод'!F886="","",'Оперативный ввод'!F886)</f>
        <v/>
      </c>
      <c r="G886" s="172">
        <f>IF('Оперативный ввод'!G886="","",'Оперативный ввод'!G886)</f>
        <v/>
      </c>
      <c r="H886" s="172">
        <f>IF('Оперативный ввод'!H886="","",'Оперативный ввод'!H886)</f>
        <v/>
      </c>
      <c r="I886" s="172">
        <f>IF('Оперативный ввод'!I886="","",'Оперативный ввод'!I886)</f>
        <v/>
      </c>
      <c r="J886" s="172">
        <f>IF('Оперативный ввод'!J886="","",'Оперативный ввод'!J886)</f>
        <v/>
      </c>
      <c r="K886" s="172">
        <f>IF('Оперативный ввод'!K886="","",'Оперативный ввод'!K886)</f>
        <v/>
      </c>
      <c r="L886" s="172">
        <f>IF('Оперативный ввод'!L886="","",'Оперативный ввод'!L886)</f>
        <v/>
      </c>
      <c r="M886" s="172">
        <f>IF('Оперативный ввод'!M886="","",'Оперативный ввод'!M886)</f>
        <v/>
      </c>
      <c r="N886" s="172">
        <f>IF('Оперативный ввод'!N886="","",'Оперативный ввод'!N886)</f>
        <v/>
      </c>
      <c r="O886" s="172">
        <f>IF('Оперативный ввод'!O886="","",'Оперативный ввод'!O886)</f>
        <v/>
      </c>
      <c r="P886" s="205">
        <f>IF(AND(A886="",B886=""),"",IF(AND(A886&lt;&gt;"",B886&lt;&gt;"",C886&lt;&gt;"",D886&lt;&gt;"",F886&lt;&gt;"",G886&lt;&gt;"",H886&lt;&gt;"",ISERROR(SEARCH("по паспорту",G886)),ISERROR(SEARCH("по паспорту",H886)),I886&lt;&gt;"",J886&lt;&gt;"",K886&lt;&gt;"",L886&lt;&gt;"",M886&lt;&gt;""),"ГОТОВО","НЕ ГОТОВО"))</f>
        <v/>
      </c>
      <c r="Q886" s="205">
        <f>IF(P886&lt;&gt;"ГОТОВО","", "Предварительное заключение: "&amp;A886&amp;", скв. "&amp;B886&amp;". МРП: "&amp;E886&amp;" сут. ГНО: "&amp;F886&amp;", типоразмер "&amp;G886&amp;", марка "&amp;H886&amp;". Событие: "&amp;I886&amp;". Признак: "&amp;J886&amp;". Узел: "&amp;K886&amp;". Предварительная причина: "&amp;L886&amp;". Основное осложнение: "&amp;M886&amp;IF(N886&lt;&gt;"","; сопутствующее: "&amp;N886,"")&amp;IF(O886&lt;&gt;"","; дополнительно: "&amp;O886,"")&amp;".")</f>
        <v/>
      </c>
      <c r="R886" s="172">
        <f>IF('Оперативный ввод'!P886="","",'Оперативный ввод'!P886)</f>
        <v/>
      </c>
      <c r="S886" s="172">
        <f>IF('Оперативный ввод'!Q886="","",'Оперативный ввод'!Q886)</f>
        <v/>
      </c>
      <c r="T886" s="172">
        <f>IF('Оперативный ввод'!R886="","",'Оперативный ввод'!R886)</f>
        <v/>
      </c>
      <c r="U886" s="172">
        <f>IF('Оперативный ввод'!S886="","",'Оперативный ввод'!S886)</f>
        <v/>
      </c>
      <c r="V886" s="172">
        <f>IF('Оперативный ввод'!T886="","",'Оперативный ввод'!T886)</f>
        <v/>
      </c>
      <c r="W886" s="172" t="n"/>
      <c r="X886" s="172" t="n"/>
      <c r="Y886" s="172" t="n"/>
      <c r="Z886" s="172" t="n"/>
      <c r="AA886" s="172">
        <f>IF('Оперативный ввод'!U886="","",'Оперативный ввод'!U886)</f>
        <v/>
      </c>
      <c r="AB886" s="172">
        <f>IF('Оперативный ввод'!V886="","",'Оперативный ввод'!V886)</f>
        <v/>
      </c>
      <c r="AC886" s="172">
        <f>IF('Оперативный ввод'!W886="","",'Оперативный ввод'!W886)</f>
        <v/>
      </c>
      <c r="BB886" s="172" t="n"/>
      <c r="BC886" s="172" t="n"/>
      <c r="BD886" s="205">
        <f>IF(AND(A886="",B886=""),"",IF(AND(P886="ГОТОВО",R886&lt;&gt;"",T886&lt;&gt;"",U886&lt;&gt;"",AA886&lt;&gt;"",AB886&lt;&gt;"",AC886&lt;&gt;"",BB886&lt;&gt;"",BC886&lt;&gt;""),"ГОТОВО","НЕ ГОТОВО"))</f>
        <v/>
      </c>
      <c r="BE886" s="205">
        <f>IF(BD886&lt;&gt;"ГОТОВО","","Полное заключение: "&amp;A886&amp;", скв. "&amp;B886&amp;". МРП: "&amp;E886&amp;" сут. ГНО: "&amp;F886&amp;"; причина: "&amp;U886&amp;"; категория: "&amp;V886&amp;"; решение комиссии: "&amp;BB886&amp;".")</f>
        <v/>
      </c>
      <c r="BF886" s="173">
        <f>IF('Оперативный ввод'!X886="","",'Оперативный ввод'!X886)</f>
        <v/>
      </c>
    </row>
    <row r="887">
      <c r="A887" s="171">
        <f>IF('Оперативный ввод'!A887="","",'Оперативный ввод'!A887)</f>
        <v/>
      </c>
      <c r="B887" s="172">
        <f>IF('Оперативный ввод'!B887="","",'Оперативный ввод'!B887)</f>
        <v/>
      </c>
      <c r="C887" s="270">
        <f>IF('Оперативный ввод'!C887="","",'Оперативный ввод'!C887)</f>
        <v/>
      </c>
      <c r="D887" s="270">
        <f>IF('Оперативный ввод'!D887="","",'Оперативный ввод'!D887)</f>
        <v/>
      </c>
      <c r="E887" s="271">
        <f>IF(OR(C887="",D887=""),"",D887-C887)</f>
        <v/>
      </c>
      <c r="F887" s="172">
        <f>IF('Оперативный ввод'!F887="","",'Оперативный ввод'!F887)</f>
        <v/>
      </c>
      <c r="G887" s="172">
        <f>IF('Оперативный ввод'!G887="","",'Оперативный ввод'!G887)</f>
        <v/>
      </c>
      <c r="H887" s="172">
        <f>IF('Оперативный ввод'!H887="","",'Оперативный ввод'!H887)</f>
        <v/>
      </c>
      <c r="I887" s="172">
        <f>IF('Оперативный ввод'!I887="","",'Оперативный ввод'!I887)</f>
        <v/>
      </c>
      <c r="J887" s="172">
        <f>IF('Оперативный ввод'!J887="","",'Оперативный ввод'!J887)</f>
        <v/>
      </c>
      <c r="K887" s="172">
        <f>IF('Оперативный ввод'!K887="","",'Оперативный ввод'!K887)</f>
        <v/>
      </c>
      <c r="L887" s="172">
        <f>IF('Оперативный ввод'!L887="","",'Оперативный ввод'!L887)</f>
        <v/>
      </c>
      <c r="M887" s="172">
        <f>IF('Оперативный ввод'!M887="","",'Оперативный ввод'!M887)</f>
        <v/>
      </c>
      <c r="N887" s="172">
        <f>IF('Оперативный ввод'!N887="","",'Оперативный ввод'!N887)</f>
        <v/>
      </c>
      <c r="O887" s="172">
        <f>IF('Оперативный ввод'!O887="","",'Оперативный ввод'!O887)</f>
        <v/>
      </c>
      <c r="P887" s="205">
        <f>IF(AND(A887="",B887=""),"",IF(AND(A887&lt;&gt;"",B887&lt;&gt;"",C887&lt;&gt;"",D887&lt;&gt;"",F887&lt;&gt;"",G887&lt;&gt;"",H887&lt;&gt;"",ISERROR(SEARCH("по паспорту",G887)),ISERROR(SEARCH("по паспорту",H887)),I887&lt;&gt;"",J887&lt;&gt;"",K887&lt;&gt;"",L887&lt;&gt;"",M887&lt;&gt;""),"ГОТОВО","НЕ ГОТОВО"))</f>
        <v/>
      </c>
      <c r="Q887" s="205">
        <f>IF(P887&lt;&gt;"ГОТОВО","", "Предварительное заключение: "&amp;A887&amp;", скв. "&amp;B887&amp;". МРП: "&amp;E887&amp;" сут. ГНО: "&amp;F887&amp;", типоразмер "&amp;G887&amp;", марка "&amp;H887&amp;". Событие: "&amp;I887&amp;". Признак: "&amp;J887&amp;". Узел: "&amp;K887&amp;". Предварительная причина: "&amp;L887&amp;". Основное осложнение: "&amp;M887&amp;IF(N887&lt;&gt;"","; сопутствующее: "&amp;N887,"")&amp;IF(O887&lt;&gt;"","; дополнительно: "&amp;O887,"")&amp;".")</f>
        <v/>
      </c>
      <c r="R887" s="172">
        <f>IF('Оперативный ввод'!P887="","",'Оперативный ввод'!P887)</f>
        <v/>
      </c>
      <c r="S887" s="172">
        <f>IF('Оперативный ввод'!Q887="","",'Оперативный ввод'!Q887)</f>
        <v/>
      </c>
      <c r="T887" s="172">
        <f>IF('Оперативный ввод'!R887="","",'Оперативный ввод'!R887)</f>
        <v/>
      </c>
      <c r="U887" s="172">
        <f>IF('Оперативный ввод'!S887="","",'Оперативный ввод'!S887)</f>
        <v/>
      </c>
      <c r="V887" s="172">
        <f>IF('Оперативный ввод'!T887="","",'Оперативный ввод'!T887)</f>
        <v/>
      </c>
      <c r="W887" s="172" t="n"/>
      <c r="X887" s="172" t="n"/>
      <c r="Y887" s="172" t="n"/>
      <c r="Z887" s="172" t="n"/>
      <c r="AA887" s="172">
        <f>IF('Оперативный ввод'!U887="","",'Оперативный ввод'!U887)</f>
        <v/>
      </c>
      <c r="AB887" s="172">
        <f>IF('Оперативный ввод'!V887="","",'Оперативный ввод'!V887)</f>
        <v/>
      </c>
      <c r="AC887" s="172">
        <f>IF('Оперативный ввод'!W887="","",'Оперативный ввод'!W887)</f>
        <v/>
      </c>
      <c r="BB887" s="172" t="n"/>
      <c r="BC887" s="172" t="n"/>
      <c r="BD887" s="205">
        <f>IF(AND(A887="",B887=""),"",IF(AND(P887="ГОТОВО",R887&lt;&gt;"",T887&lt;&gt;"",U887&lt;&gt;"",AA887&lt;&gt;"",AB887&lt;&gt;"",AC887&lt;&gt;"",BB887&lt;&gt;"",BC887&lt;&gt;""),"ГОТОВО","НЕ ГОТОВО"))</f>
        <v/>
      </c>
      <c r="BE887" s="205">
        <f>IF(BD887&lt;&gt;"ГОТОВО","","Полное заключение: "&amp;A887&amp;", скв. "&amp;B887&amp;". МРП: "&amp;E887&amp;" сут. ГНО: "&amp;F887&amp;"; причина: "&amp;U887&amp;"; категория: "&amp;V887&amp;"; решение комиссии: "&amp;BB887&amp;".")</f>
        <v/>
      </c>
      <c r="BF887" s="173">
        <f>IF('Оперативный ввод'!X887="","",'Оперативный ввод'!X887)</f>
        <v/>
      </c>
    </row>
    <row r="888">
      <c r="A888" s="171">
        <f>IF('Оперативный ввод'!A888="","",'Оперативный ввод'!A888)</f>
        <v/>
      </c>
      <c r="B888" s="172">
        <f>IF('Оперативный ввод'!B888="","",'Оперативный ввод'!B888)</f>
        <v/>
      </c>
      <c r="C888" s="270">
        <f>IF('Оперативный ввод'!C888="","",'Оперативный ввод'!C888)</f>
        <v/>
      </c>
      <c r="D888" s="270">
        <f>IF('Оперативный ввод'!D888="","",'Оперативный ввод'!D888)</f>
        <v/>
      </c>
      <c r="E888" s="271">
        <f>IF(OR(C888="",D888=""),"",D888-C888)</f>
        <v/>
      </c>
      <c r="F888" s="172">
        <f>IF('Оперативный ввод'!F888="","",'Оперативный ввод'!F888)</f>
        <v/>
      </c>
      <c r="G888" s="172">
        <f>IF('Оперативный ввод'!G888="","",'Оперативный ввод'!G888)</f>
        <v/>
      </c>
      <c r="H888" s="172">
        <f>IF('Оперативный ввод'!H888="","",'Оперативный ввод'!H888)</f>
        <v/>
      </c>
      <c r="I888" s="172">
        <f>IF('Оперативный ввод'!I888="","",'Оперативный ввод'!I888)</f>
        <v/>
      </c>
      <c r="J888" s="172">
        <f>IF('Оперативный ввод'!J888="","",'Оперативный ввод'!J888)</f>
        <v/>
      </c>
      <c r="K888" s="172">
        <f>IF('Оперативный ввод'!K888="","",'Оперативный ввод'!K888)</f>
        <v/>
      </c>
      <c r="L888" s="172">
        <f>IF('Оперативный ввод'!L888="","",'Оперативный ввод'!L888)</f>
        <v/>
      </c>
      <c r="M888" s="172">
        <f>IF('Оперативный ввод'!M888="","",'Оперативный ввод'!M888)</f>
        <v/>
      </c>
      <c r="N888" s="172">
        <f>IF('Оперативный ввод'!N888="","",'Оперативный ввод'!N888)</f>
        <v/>
      </c>
      <c r="O888" s="172">
        <f>IF('Оперативный ввод'!O888="","",'Оперативный ввод'!O888)</f>
        <v/>
      </c>
      <c r="P888" s="205">
        <f>IF(AND(A888="",B888=""),"",IF(AND(A888&lt;&gt;"",B888&lt;&gt;"",C888&lt;&gt;"",D888&lt;&gt;"",F888&lt;&gt;"",G888&lt;&gt;"",H888&lt;&gt;"",ISERROR(SEARCH("по паспорту",G888)),ISERROR(SEARCH("по паспорту",H888)),I888&lt;&gt;"",J888&lt;&gt;"",K888&lt;&gt;"",L888&lt;&gt;"",M888&lt;&gt;""),"ГОТОВО","НЕ ГОТОВО"))</f>
        <v/>
      </c>
      <c r="Q888" s="205">
        <f>IF(P888&lt;&gt;"ГОТОВО","", "Предварительное заключение: "&amp;A888&amp;", скв. "&amp;B888&amp;". МРП: "&amp;E888&amp;" сут. ГНО: "&amp;F888&amp;", типоразмер "&amp;G888&amp;", марка "&amp;H888&amp;". Событие: "&amp;I888&amp;". Признак: "&amp;J888&amp;". Узел: "&amp;K888&amp;". Предварительная причина: "&amp;L888&amp;". Основное осложнение: "&amp;M888&amp;IF(N888&lt;&gt;"","; сопутствующее: "&amp;N888,"")&amp;IF(O888&lt;&gt;"","; дополнительно: "&amp;O888,"")&amp;".")</f>
        <v/>
      </c>
      <c r="R888" s="172">
        <f>IF('Оперативный ввод'!P888="","",'Оперативный ввод'!P888)</f>
        <v/>
      </c>
      <c r="S888" s="172">
        <f>IF('Оперативный ввод'!Q888="","",'Оперативный ввод'!Q888)</f>
        <v/>
      </c>
      <c r="T888" s="172">
        <f>IF('Оперативный ввод'!R888="","",'Оперативный ввод'!R888)</f>
        <v/>
      </c>
      <c r="U888" s="172">
        <f>IF('Оперативный ввод'!S888="","",'Оперативный ввод'!S888)</f>
        <v/>
      </c>
      <c r="V888" s="172">
        <f>IF('Оперативный ввод'!T888="","",'Оперативный ввод'!T888)</f>
        <v/>
      </c>
      <c r="W888" s="172" t="n"/>
      <c r="X888" s="172" t="n"/>
      <c r="Y888" s="172" t="n"/>
      <c r="Z888" s="172" t="n"/>
      <c r="AA888" s="172">
        <f>IF('Оперативный ввод'!U888="","",'Оперативный ввод'!U888)</f>
        <v/>
      </c>
      <c r="AB888" s="172">
        <f>IF('Оперативный ввод'!V888="","",'Оперативный ввод'!V888)</f>
        <v/>
      </c>
      <c r="AC888" s="172">
        <f>IF('Оперативный ввод'!W888="","",'Оперативный ввод'!W888)</f>
        <v/>
      </c>
      <c r="BB888" s="172" t="n"/>
      <c r="BC888" s="172" t="n"/>
      <c r="BD888" s="205">
        <f>IF(AND(A888="",B888=""),"",IF(AND(P888="ГОТОВО",R888&lt;&gt;"",T888&lt;&gt;"",U888&lt;&gt;"",AA888&lt;&gt;"",AB888&lt;&gt;"",AC888&lt;&gt;"",BB888&lt;&gt;"",BC888&lt;&gt;""),"ГОТОВО","НЕ ГОТОВО"))</f>
        <v/>
      </c>
      <c r="BE888" s="205">
        <f>IF(BD888&lt;&gt;"ГОТОВО","","Полное заключение: "&amp;A888&amp;", скв. "&amp;B888&amp;". МРП: "&amp;E888&amp;" сут. ГНО: "&amp;F888&amp;"; причина: "&amp;U888&amp;"; категория: "&amp;V888&amp;"; решение комиссии: "&amp;BB888&amp;".")</f>
        <v/>
      </c>
      <c r="BF888" s="173">
        <f>IF('Оперативный ввод'!X888="","",'Оперативный ввод'!X888)</f>
        <v/>
      </c>
    </row>
    <row r="889">
      <c r="A889" s="171">
        <f>IF('Оперативный ввод'!A889="","",'Оперативный ввод'!A889)</f>
        <v/>
      </c>
      <c r="B889" s="172">
        <f>IF('Оперативный ввод'!B889="","",'Оперативный ввод'!B889)</f>
        <v/>
      </c>
      <c r="C889" s="270">
        <f>IF('Оперативный ввод'!C889="","",'Оперативный ввод'!C889)</f>
        <v/>
      </c>
      <c r="D889" s="270">
        <f>IF('Оперативный ввод'!D889="","",'Оперативный ввод'!D889)</f>
        <v/>
      </c>
      <c r="E889" s="271">
        <f>IF(OR(C889="",D889=""),"",D889-C889)</f>
        <v/>
      </c>
      <c r="F889" s="172">
        <f>IF('Оперативный ввод'!F889="","",'Оперативный ввод'!F889)</f>
        <v/>
      </c>
      <c r="G889" s="172">
        <f>IF('Оперативный ввод'!G889="","",'Оперативный ввод'!G889)</f>
        <v/>
      </c>
      <c r="H889" s="172">
        <f>IF('Оперативный ввод'!H889="","",'Оперативный ввод'!H889)</f>
        <v/>
      </c>
      <c r="I889" s="172">
        <f>IF('Оперативный ввод'!I889="","",'Оперативный ввод'!I889)</f>
        <v/>
      </c>
      <c r="J889" s="172">
        <f>IF('Оперативный ввод'!J889="","",'Оперативный ввод'!J889)</f>
        <v/>
      </c>
      <c r="K889" s="172">
        <f>IF('Оперативный ввод'!K889="","",'Оперативный ввод'!K889)</f>
        <v/>
      </c>
      <c r="L889" s="172">
        <f>IF('Оперативный ввод'!L889="","",'Оперативный ввод'!L889)</f>
        <v/>
      </c>
      <c r="M889" s="172">
        <f>IF('Оперативный ввод'!M889="","",'Оперативный ввод'!M889)</f>
        <v/>
      </c>
      <c r="N889" s="172">
        <f>IF('Оперативный ввод'!N889="","",'Оперативный ввод'!N889)</f>
        <v/>
      </c>
      <c r="O889" s="172">
        <f>IF('Оперативный ввод'!O889="","",'Оперативный ввод'!O889)</f>
        <v/>
      </c>
      <c r="P889" s="205">
        <f>IF(AND(A889="",B889=""),"",IF(AND(A889&lt;&gt;"",B889&lt;&gt;"",C889&lt;&gt;"",D889&lt;&gt;"",F889&lt;&gt;"",G889&lt;&gt;"",H889&lt;&gt;"",ISERROR(SEARCH("по паспорту",G889)),ISERROR(SEARCH("по паспорту",H889)),I889&lt;&gt;"",J889&lt;&gt;"",K889&lt;&gt;"",L889&lt;&gt;"",M889&lt;&gt;""),"ГОТОВО","НЕ ГОТОВО"))</f>
        <v/>
      </c>
      <c r="Q889" s="205">
        <f>IF(P889&lt;&gt;"ГОТОВО","", "Предварительное заключение: "&amp;A889&amp;", скв. "&amp;B889&amp;". МРП: "&amp;E889&amp;" сут. ГНО: "&amp;F889&amp;", типоразмер "&amp;G889&amp;", марка "&amp;H889&amp;". Событие: "&amp;I889&amp;". Признак: "&amp;J889&amp;". Узел: "&amp;K889&amp;". Предварительная причина: "&amp;L889&amp;". Основное осложнение: "&amp;M889&amp;IF(N889&lt;&gt;"","; сопутствующее: "&amp;N889,"")&amp;IF(O889&lt;&gt;"","; дополнительно: "&amp;O889,"")&amp;".")</f>
        <v/>
      </c>
      <c r="R889" s="172">
        <f>IF('Оперативный ввод'!P889="","",'Оперативный ввод'!P889)</f>
        <v/>
      </c>
      <c r="S889" s="172">
        <f>IF('Оперативный ввод'!Q889="","",'Оперативный ввод'!Q889)</f>
        <v/>
      </c>
      <c r="T889" s="172">
        <f>IF('Оперативный ввод'!R889="","",'Оперативный ввод'!R889)</f>
        <v/>
      </c>
      <c r="U889" s="172">
        <f>IF('Оперативный ввод'!S889="","",'Оперативный ввод'!S889)</f>
        <v/>
      </c>
      <c r="V889" s="172">
        <f>IF('Оперативный ввод'!T889="","",'Оперативный ввод'!T889)</f>
        <v/>
      </c>
      <c r="W889" s="172" t="n"/>
      <c r="X889" s="172" t="n"/>
      <c r="Y889" s="172" t="n"/>
      <c r="Z889" s="172" t="n"/>
      <c r="AA889" s="172">
        <f>IF('Оперативный ввод'!U889="","",'Оперативный ввод'!U889)</f>
        <v/>
      </c>
      <c r="AB889" s="172">
        <f>IF('Оперативный ввод'!V889="","",'Оперативный ввод'!V889)</f>
        <v/>
      </c>
      <c r="AC889" s="172">
        <f>IF('Оперативный ввод'!W889="","",'Оперативный ввод'!W889)</f>
        <v/>
      </c>
      <c r="BB889" s="172" t="n"/>
      <c r="BC889" s="172" t="n"/>
      <c r="BD889" s="205">
        <f>IF(AND(A889="",B889=""),"",IF(AND(P889="ГОТОВО",R889&lt;&gt;"",T889&lt;&gt;"",U889&lt;&gt;"",AA889&lt;&gt;"",AB889&lt;&gt;"",AC889&lt;&gt;"",BB889&lt;&gt;"",BC889&lt;&gt;""),"ГОТОВО","НЕ ГОТОВО"))</f>
        <v/>
      </c>
      <c r="BE889" s="205">
        <f>IF(BD889&lt;&gt;"ГОТОВО","","Полное заключение: "&amp;A889&amp;", скв. "&amp;B889&amp;". МРП: "&amp;E889&amp;" сут. ГНО: "&amp;F889&amp;"; причина: "&amp;U889&amp;"; категория: "&amp;V889&amp;"; решение комиссии: "&amp;BB889&amp;".")</f>
        <v/>
      </c>
      <c r="BF889" s="173">
        <f>IF('Оперативный ввод'!X889="","",'Оперативный ввод'!X889)</f>
        <v/>
      </c>
    </row>
    <row r="890">
      <c r="A890" s="171">
        <f>IF('Оперативный ввод'!A890="","",'Оперативный ввод'!A890)</f>
        <v/>
      </c>
      <c r="B890" s="172">
        <f>IF('Оперативный ввод'!B890="","",'Оперативный ввод'!B890)</f>
        <v/>
      </c>
      <c r="C890" s="270">
        <f>IF('Оперативный ввод'!C890="","",'Оперативный ввод'!C890)</f>
        <v/>
      </c>
      <c r="D890" s="270">
        <f>IF('Оперативный ввод'!D890="","",'Оперативный ввод'!D890)</f>
        <v/>
      </c>
      <c r="E890" s="271">
        <f>IF(OR(C890="",D890=""),"",D890-C890)</f>
        <v/>
      </c>
      <c r="F890" s="172">
        <f>IF('Оперативный ввод'!F890="","",'Оперативный ввод'!F890)</f>
        <v/>
      </c>
      <c r="G890" s="172">
        <f>IF('Оперативный ввод'!G890="","",'Оперативный ввод'!G890)</f>
        <v/>
      </c>
      <c r="H890" s="172">
        <f>IF('Оперативный ввод'!H890="","",'Оперативный ввод'!H890)</f>
        <v/>
      </c>
      <c r="I890" s="172">
        <f>IF('Оперативный ввод'!I890="","",'Оперативный ввод'!I890)</f>
        <v/>
      </c>
      <c r="J890" s="172">
        <f>IF('Оперативный ввод'!J890="","",'Оперативный ввод'!J890)</f>
        <v/>
      </c>
      <c r="K890" s="172">
        <f>IF('Оперативный ввод'!K890="","",'Оперативный ввод'!K890)</f>
        <v/>
      </c>
      <c r="L890" s="172">
        <f>IF('Оперативный ввод'!L890="","",'Оперативный ввод'!L890)</f>
        <v/>
      </c>
      <c r="M890" s="172">
        <f>IF('Оперативный ввод'!M890="","",'Оперативный ввод'!M890)</f>
        <v/>
      </c>
      <c r="N890" s="172">
        <f>IF('Оперативный ввод'!N890="","",'Оперативный ввод'!N890)</f>
        <v/>
      </c>
      <c r="O890" s="172">
        <f>IF('Оперативный ввод'!O890="","",'Оперативный ввод'!O890)</f>
        <v/>
      </c>
      <c r="P890" s="205">
        <f>IF(AND(A890="",B890=""),"",IF(AND(A890&lt;&gt;"",B890&lt;&gt;"",C890&lt;&gt;"",D890&lt;&gt;"",F890&lt;&gt;"",G890&lt;&gt;"",H890&lt;&gt;"",ISERROR(SEARCH("по паспорту",G890)),ISERROR(SEARCH("по паспорту",H890)),I890&lt;&gt;"",J890&lt;&gt;"",K890&lt;&gt;"",L890&lt;&gt;"",M890&lt;&gt;""),"ГОТОВО","НЕ ГОТОВО"))</f>
        <v/>
      </c>
      <c r="Q890" s="205">
        <f>IF(P890&lt;&gt;"ГОТОВО","", "Предварительное заключение: "&amp;A890&amp;", скв. "&amp;B890&amp;". МРП: "&amp;E890&amp;" сут. ГНО: "&amp;F890&amp;", типоразмер "&amp;G890&amp;", марка "&amp;H890&amp;". Событие: "&amp;I890&amp;". Признак: "&amp;J890&amp;". Узел: "&amp;K890&amp;". Предварительная причина: "&amp;L890&amp;". Основное осложнение: "&amp;M890&amp;IF(N890&lt;&gt;"","; сопутствующее: "&amp;N890,"")&amp;IF(O890&lt;&gt;"","; дополнительно: "&amp;O890,"")&amp;".")</f>
        <v/>
      </c>
      <c r="R890" s="172">
        <f>IF('Оперативный ввод'!P890="","",'Оперативный ввод'!P890)</f>
        <v/>
      </c>
      <c r="S890" s="172">
        <f>IF('Оперативный ввод'!Q890="","",'Оперативный ввод'!Q890)</f>
        <v/>
      </c>
      <c r="T890" s="172">
        <f>IF('Оперативный ввод'!R890="","",'Оперативный ввод'!R890)</f>
        <v/>
      </c>
      <c r="U890" s="172">
        <f>IF('Оперативный ввод'!S890="","",'Оперативный ввод'!S890)</f>
        <v/>
      </c>
      <c r="V890" s="172">
        <f>IF('Оперативный ввод'!T890="","",'Оперативный ввод'!T890)</f>
        <v/>
      </c>
      <c r="W890" s="172" t="n"/>
      <c r="X890" s="172" t="n"/>
      <c r="Y890" s="172" t="n"/>
      <c r="Z890" s="172" t="n"/>
      <c r="AA890" s="172">
        <f>IF('Оперативный ввод'!U890="","",'Оперативный ввод'!U890)</f>
        <v/>
      </c>
      <c r="AB890" s="172">
        <f>IF('Оперативный ввод'!V890="","",'Оперативный ввод'!V890)</f>
        <v/>
      </c>
      <c r="AC890" s="172">
        <f>IF('Оперативный ввод'!W890="","",'Оперативный ввод'!W890)</f>
        <v/>
      </c>
      <c r="BB890" s="172" t="n"/>
      <c r="BC890" s="172" t="n"/>
      <c r="BD890" s="205">
        <f>IF(AND(A890="",B890=""),"",IF(AND(P890="ГОТОВО",R890&lt;&gt;"",T890&lt;&gt;"",U890&lt;&gt;"",AA890&lt;&gt;"",AB890&lt;&gt;"",AC890&lt;&gt;"",BB890&lt;&gt;"",BC890&lt;&gt;""),"ГОТОВО","НЕ ГОТОВО"))</f>
        <v/>
      </c>
      <c r="BE890" s="205">
        <f>IF(BD890&lt;&gt;"ГОТОВО","","Полное заключение: "&amp;A890&amp;", скв. "&amp;B890&amp;". МРП: "&amp;E890&amp;" сут. ГНО: "&amp;F890&amp;"; причина: "&amp;U890&amp;"; категория: "&amp;V890&amp;"; решение комиссии: "&amp;BB890&amp;".")</f>
        <v/>
      </c>
      <c r="BF890" s="173">
        <f>IF('Оперативный ввод'!X890="","",'Оперативный ввод'!X890)</f>
        <v/>
      </c>
    </row>
    <row r="891">
      <c r="A891" s="171">
        <f>IF('Оперативный ввод'!A891="","",'Оперативный ввод'!A891)</f>
        <v/>
      </c>
      <c r="B891" s="172">
        <f>IF('Оперативный ввод'!B891="","",'Оперативный ввод'!B891)</f>
        <v/>
      </c>
      <c r="C891" s="270">
        <f>IF('Оперативный ввод'!C891="","",'Оперативный ввод'!C891)</f>
        <v/>
      </c>
      <c r="D891" s="270">
        <f>IF('Оперативный ввод'!D891="","",'Оперативный ввод'!D891)</f>
        <v/>
      </c>
      <c r="E891" s="271">
        <f>IF(OR(C891="",D891=""),"",D891-C891)</f>
        <v/>
      </c>
      <c r="F891" s="172">
        <f>IF('Оперативный ввод'!F891="","",'Оперативный ввод'!F891)</f>
        <v/>
      </c>
      <c r="G891" s="172">
        <f>IF('Оперативный ввод'!G891="","",'Оперативный ввод'!G891)</f>
        <v/>
      </c>
      <c r="H891" s="172">
        <f>IF('Оперативный ввод'!H891="","",'Оперативный ввод'!H891)</f>
        <v/>
      </c>
      <c r="I891" s="172">
        <f>IF('Оперативный ввод'!I891="","",'Оперативный ввод'!I891)</f>
        <v/>
      </c>
      <c r="J891" s="172">
        <f>IF('Оперативный ввод'!J891="","",'Оперативный ввод'!J891)</f>
        <v/>
      </c>
      <c r="K891" s="172">
        <f>IF('Оперативный ввод'!K891="","",'Оперативный ввод'!K891)</f>
        <v/>
      </c>
      <c r="L891" s="172">
        <f>IF('Оперативный ввод'!L891="","",'Оперативный ввод'!L891)</f>
        <v/>
      </c>
      <c r="M891" s="172">
        <f>IF('Оперативный ввод'!M891="","",'Оперативный ввод'!M891)</f>
        <v/>
      </c>
      <c r="N891" s="172">
        <f>IF('Оперативный ввод'!N891="","",'Оперативный ввод'!N891)</f>
        <v/>
      </c>
      <c r="O891" s="172">
        <f>IF('Оперативный ввод'!O891="","",'Оперативный ввод'!O891)</f>
        <v/>
      </c>
      <c r="P891" s="205">
        <f>IF(AND(A891="",B891=""),"",IF(AND(A891&lt;&gt;"",B891&lt;&gt;"",C891&lt;&gt;"",D891&lt;&gt;"",F891&lt;&gt;"",G891&lt;&gt;"",H891&lt;&gt;"",ISERROR(SEARCH("по паспорту",G891)),ISERROR(SEARCH("по паспорту",H891)),I891&lt;&gt;"",J891&lt;&gt;"",K891&lt;&gt;"",L891&lt;&gt;"",M891&lt;&gt;""),"ГОТОВО","НЕ ГОТОВО"))</f>
        <v/>
      </c>
      <c r="Q891" s="205">
        <f>IF(P891&lt;&gt;"ГОТОВО","", "Предварительное заключение: "&amp;A891&amp;", скв. "&amp;B891&amp;". МРП: "&amp;E891&amp;" сут. ГНО: "&amp;F891&amp;", типоразмер "&amp;G891&amp;", марка "&amp;H891&amp;". Событие: "&amp;I891&amp;". Признак: "&amp;J891&amp;". Узел: "&amp;K891&amp;". Предварительная причина: "&amp;L891&amp;". Основное осложнение: "&amp;M891&amp;IF(N891&lt;&gt;"","; сопутствующее: "&amp;N891,"")&amp;IF(O891&lt;&gt;"","; дополнительно: "&amp;O891,"")&amp;".")</f>
        <v/>
      </c>
      <c r="R891" s="172">
        <f>IF('Оперативный ввод'!P891="","",'Оперативный ввод'!P891)</f>
        <v/>
      </c>
      <c r="S891" s="172">
        <f>IF('Оперативный ввод'!Q891="","",'Оперативный ввод'!Q891)</f>
        <v/>
      </c>
      <c r="T891" s="172">
        <f>IF('Оперативный ввод'!R891="","",'Оперативный ввод'!R891)</f>
        <v/>
      </c>
      <c r="U891" s="172">
        <f>IF('Оперативный ввод'!S891="","",'Оперативный ввод'!S891)</f>
        <v/>
      </c>
      <c r="V891" s="172">
        <f>IF('Оперативный ввод'!T891="","",'Оперативный ввод'!T891)</f>
        <v/>
      </c>
      <c r="W891" s="172" t="n"/>
      <c r="X891" s="172" t="n"/>
      <c r="Y891" s="172" t="n"/>
      <c r="Z891" s="172" t="n"/>
      <c r="AA891" s="172">
        <f>IF('Оперативный ввод'!U891="","",'Оперативный ввод'!U891)</f>
        <v/>
      </c>
      <c r="AB891" s="172">
        <f>IF('Оперативный ввод'!V891="","",'Оперативный ввод'!V891)</f>
        <v/>
      </c>
      <c r="AC891" s="172">
        <f>IF('Оперативный ввод'!W891="","",'Оперативный ввод'!W891)</f>
        <v/>
      </c>
      <c r="BB891" s="172" t="n"/>
      <c r="BC891" s="172" t="n"/>
      <c r="BD891" s="205">
        <f>IF(AND(A891="",B891=""),"",IF(AND(P891="ГОТОВО",R891&lt;&gt;"",T891&lt;&gt;"",U891&lt;&gt;"",AA891&lt;&gt;"",AB891&lt;&gt;"",AC891&lt;&gt;"",BB891&lt;&gt;"",BC891&lt;&gt;""),"ГОТОВО","НЕ ГОТОВО"))</f>
        <v/>
      </c>
      <c r="BE891" s="205">
        <f>IF(BD891&lt;&gt;"ГОТОВО","","Полное заключение: "&amp;A891&amp;", скв. "&amp;B891&amp;". МРП: "&amp;E891&amp;" сут. ГНО: "&amp;F891&amp;"; причина: "&amp;U891&amp;"; категория: "&amp;V891&amp;"; решение комиссии: "&amp;BB891&amp;".")</f>
        <v/>
      </c>
      <c r="BF891" s="173">
        <f>IF('Оперативный ввод'!X891="","",'Оперативный ввод'!X891)</f>
        <v/>
      </c>
    </row>
    <row r="892">
      <c r="A892" s="171">
        <f>IF('Оперативный ввод'!A892="","",'Оперативный ввод'!A892)</f>
        <v/>
      </c>
      <c r="B892" s="172">
        <f>IF('Оперативный ввод'!B892="","",'Оперативный ввод'!B892)</f>
        <v/>
      </c>
      <c r="C892" s="270">
        <f>IF('Оперативный ввод'!C892="","",'Оперативный ввод'!C892)</f>
        <v/>
      </c>
      <c r="D892" s="270">
        <f>IF('Оперативный ввод'!D892="","",'Оперативный ввод'!D892)</f>
        <v/>
      </c>
      <c r="E892" s="271">
        <f>IF(OR(C892="",D892=""),"",D892-C892)</f>
        <v/>
      </c>
      <c r="F892" s="172">
        <f>IF('Оперативный ввод'!F892="","",'Оперативный ввод'!F892)</f>
        <v/>
      </c>
      <c r="G892" s="172">
        <f>IF('Оперативный ввод'!G892="","",'Оперативный ввод'!G892)</f>
        <v/>
      </c>
      <c r="H892" s="172">
        <f>IF('Оперативный ввод'!H892="","",'Оперативный ввод'!H892)</f>
        <v/>
      </c>
      <c r="I892" s="172">
        <f>IF('Оперативный ввод'!I892="","",'Оперативный ввод'!I892)</f>
        <v/>
      </c>
      <c r="J892" s="172">
        <f>IF('Оперативный ввод'!J892="","",'Оперативный ввод'!J892)</f>
        <v/>
      </c>
      <c r="K892" s="172">
        <f>IF('Оперативный ввод'!K892="","",'Оперативный ввод'!K892)</f>
        <v/>
      </c>
      <c r="L892" s="172">
        <f>IF('Оперативный ввод'!L892="","",'Оперативный ввод'!L892)</f>
        <v/>
      </c>
      <c r="M892" s="172">
        <f>IF('Оперативный ввод'!M892="","",'Оперативный ввод'!M892)</f>
        <v/>
      </c>
      <c r="N892" s="172">
        <f>IF('Оперативный ввод'!N892="","",'Оперативный ввод'!N892)</f>
        <v/>
      </c>
      <c r="O892" s="172">
        <f>IF('Оперативный ввод'!O892="","",'Оперативный ввод'!O892)</f>
        <v/>
      </c>
      <c r="P892" s="205">
        <f>IF(AND(A892="",B892=""),"",IF(AND(A892&lt;&gt;"",B892&lt;&gt;"",C892&lt;&gt;"",D892&lt;&gt;"",F892&lt;&gt;"",G892&lt;&gt;"",H892&lt;&gt;"",ISERROR(SEARCH("по паспорту",G892)),ISERROR(SEARCH("по паспорту",H892)),I892&lt;&gt;"",J892&lt;&gt;"",K892&lt;&gt;"",L892&lt;&gt;"",M892&lt;&gt;""),"ГОТОВО","НЕ ГОТОВО"))</f>
        <v/>
      </c>
      <c r="Q892" s="205">
        <f>IF(P892&lt;&gt;"ГОТОВО","", "Предварительное заключение: "&amp;A892&amp;", скв. "&amp;B892&amp;". МРП: "&amp;E892&amp;" сут. ГНО: "&amp;F892&amp;", типоразмер "&amp;G892&amp;", марка "&amp;H892&amp;". Событие: "&amp;I892&amp;". Признак: "&amp;J892&amp;". Узел: "&amp;K892&amp;". Предварительная причина: "&amp;L892&amp;". Основное осложнение: "&amp;M892&amp;IF(N892&lt;&gt;"","; сопутствующее: "&amp;N892,"")&amp;IF(O892&lt;&gt;"","; дополнительно: "&amp;O892,"")&amp;".")</f>
        <v/>
      </c>
      <c r="R892" s="172">
        <f>IF('Оперативный ввод'!P892="","",'Оперативный ввод'!P892)</f>
        <v/>
      </c>
      <c r="S892" s="172">
        <f>IF('Оперативный ввод'!Q892="","",'Оперативный ввод'!Q892)</f>
        <v/>
      </c>
      <c r="T892" s="172">
        <f>IF('Оперативный ввод'!R892="","",'Оперативный ввод'!R892)</f>
        <v/>
      </c>
      <c r="U892" s="172">
        <f>IF('Оперативный ввод'!S892="","",'Оперативный ввод'!S892)</f>
        <v/>
      </c>
      <c r="V892" s="172">
        <f>IF('Оперативный ввод'!T892="","",'Оперативный ввод'!T892)</f>
        <v/>
      </c>
      <c r="W892" s="172" t="n"/>
      <c r="X892" s="172" t="n"/>
      <c r="Y892" s="172" t="n"/>
      <c r="Z892" s="172" t="n"/>
      <c r="AA892" s="172">
        <f>IF('Оперативный ввод'!U892="","",'Оперативный ввод'!U892)</f>
        <v/>
      </c>
      <c r="AB892" s="172">
        <f>IF('Оперативный ввод'!V892="","",'Оперативный ввод'!V892)</f>
        <v/>
      </c>
      <c r="AC892" s="172">
        <f>IF('Оперативный ввод'!W892="","",'Оперативный ввод'!W892)</f>
        <v/>
      </c>
      <c r="BB892" s="172" t="n"/>
      <c r="BC892" s="172" t="n"/>
      <c r="BD892" s="205">
        <f>IF(AND(A892="",B892=""),"",IF(AND(P892="ГОТОВО",R892&lt;&gt;"",T892&lt;&gt;"",U892&lt;&gt;"",AA892&lt;&gt;"",AB892&lt;&gt;"",AC892&lt;&gt;"",BB892&lt;&gt;"",BC892&lt;&gt;""),"ГОТОВО","НЕ ГОТОВО"))</f>
        <v/>
      </c>
      <c r="BE892" s="205">
        <f>IF(BD892&lt;&gt;"ГОТОВО","","Полное заключение: "&amp;A892&amp;", скв. "&amp;B892&amp;". МРП: "&amp;E892&amp;" сут. ГНО: "&amp;F892&amp;"; причина: "&amp;U892&amp;"; категория: "&amp;V892&amp;"; решение комиссии: "&amp;BB892&amp;".")</f>
        <v/>
      </c>
      <c r="BF892" s="173">
        <f>IF('Оперативный ввод'!X892="","",'Оперативный ввод'!X892)</f>
        <v/>
      </c>
    </row>
    <row r="893">
      <c r="A893" s="171">
        <f>IF('Оперативный ввод'!A893="","",'Оперативный ввод'!A893)</f>
        <v/>
      </c>
      <c r="B893" s="172">
        <f>IF('Оперативный ввод'!B893="","",'Оперативный ввод'!B893)</f>
        <v/>
      </c>
      <c r="C893" s="270">
        <f>IF('Оперативный ввод'!C893="","",'Оперативный ввод'!C893)</f>
        <v/>
      </c>
      <c r="D893" s="270">
        <f>IF('Оперативный ввод'!D893="","",'Оперативный ввод'!D893)</f>
        <v/>
      </c>
      <c r="E893" s="271">
        <f>IF(OR(C893="",D893=""),"",D893-C893)</f>
        <v/>
      </c>
      <c r="F893" s="172">
        <f>IF('Оперативный ввод'!F893="","",'Оперативный ввод'!F893)</f>
        <v/>
      </c>
      <c r="G893" s="172">
        <f>IF('Оперативный ввод'!G893="","",'Оперативный ввод'!G893)</f>
        <v/>
      </c>
      <c r="H893" s="172">
        <f>IF('Оперативный ввод'!H893="","",'Оперативный ввод'!H893)</f>
        <v/>
      </c>
      <c r="I893" s="172">
        <f>IF('Оперативный ввод'!I893="","",'Оперативный ввод'!I893)</f>
        <v/>
      </c>
      <c r="J893" s="172">
        <f>IF('Оперативный ввод'!J893="","",'Оперативный ввод'!J893)</f>
        <v/>
      </c>
      <c r="K893" s="172">
        <f>IF('Оперативный ввод'!K893="","",'Оперативный ввод'!K893)</f>
        <v/>
      </c>
      <c r="L893" s="172">
        <f>IF('Оперативный ввод'!L893="","",'Оперативный ввод'!L893)</f>
        <v/>
      </c>
      <c r="M893" s="172">
        <f>IF('Оперативный ввод'!M893="","",'Оперативный ввод'!M893)</f>
        <v/>
      </c>
      <c r="N893" s="172">
        <f>IF('Оперативный ввод'!N893="","",'Оперативный ввод'!N893)</f>
        <v/>
      </c>
      <c r="O893" s="172">
        <f>IF('Оперативный ввод'!O893="","",'Оперативный ввод'!O893)</f>
        <v/>
      </c>
      <c r="P893" s="205">
        <f>IF(AND(A893="",B893=""),"",IF(AND(A893&lt;&gt;"",B893&lt;&gt;"",C893&lt;&gt;"",D893&lt;&gt;"",F893&lt;&gt;"",G893&lt;&gt;"",H893&lt;&gt;"",ISERROR(SEARCH("по паспорту",G893)),ISERROR(SEARCH("по паспорту",H893)),I893&lt;&gt;"",J893&lt;&gt;"",K893&lt;&gt;"",L893&lt;&gt;"",M893&lt;&gt;""),"ГОТОВО","НЕ ГОТОВО"))</f>
        <v/>
      </c>
      <c r="Q893" s="205">
        <f>IF(P893&lt;&gt;"ГОТОВО","", "Предварительное заключение: "&amp;A893&amp;", скв. "&amp;B893&amp;". МРП: "&amp;E893&amp;" сут. ГНО: "&amp;F893&amp;", типоразмер "&amp;G893&amp;", марка "&amp;H893&amp;". Событие: "&amp;I893&amp;". Признак: "&amp;J893&amp;". Узел: "&amp;K893&amp;". Предварительная причина: "&amp;L893&amp;". Основное осложнение: "&amp;M893&amp;IF(N893&lt;&gt;"","; сопутствующее: "&amp;N893,"")&amp;IF(O893&lt;&gt;"","; дополнительно: "&amp;O893,"")&amp;".")</f>
        <v/>
      </c>
      <c r="R893" s="172">
        <f>IF('Оперативный ввод'!P893="","",'Оперативный ввод'!P893)</f>
        <v/>
      </c>
      <c r="S893" s="172">
        <f>IF('Оперативный ввод'!Q893="","",'Оперативный ввод'!Q893)</f>
        <v/>
      </c>
      <c r="T893" s="172">
        <f>IF('Оперативный ввод'!R893="","",'Оперативный ввод'!R893)</f>
        <v/>
      </c>
      <c r="U893" s="172">
        <f>IF('Оперативный ввод'!S893="","",'Оперативный ввод'!S893)</f>
        <v/>
      </c>
      <c r="V893" s="172">
        <f>IF('Оперативный ввод'!T893="","",'Оперативный ввод'!T893)</f>
        <v/>
      </c>
      <c r="W893" s="172" t="n"/>
      <c r="X893" s="172" t="n"/>
      <c r="Y893" s="172" t="n"/>
      <c r="Z893" s="172" t="n"/>
      <c r="AA893" s="172">
        <f>IF('Оперативный ввод'!U893="","",'Оперативный ввод'!U893)</f>
        <v/>
      </c>
      <c r="AB893" s="172">
        <f>IF('Оперативный ввод'!V893="","",'Оперативный ввод'!V893)</f>
        <v/>
      </c>
      <c r="AC893" s="172">
        <f>IF('Оперативный ввод'!W893="","",'Оперативный ввод'!W893)</f>
        <v/>
      </c>
      <c r="BB893" s="172" t="n"/>
      <c r="BC893" s="172" t="n"/>
      <c r="BD893" s="205">
        <f>IF(AND(A893="",B893=""),"",IF(AND(P893="ГОТОВО",R893&lt;&gt;"",T893&lt;&gt;"",U893&lt;&gt;"",AA893&lt;&gt;"",AB893&lt;&gt;"",AC893&lt;&gt;"",BB893&lt;&gt;"",BC893&lt;&gt;""),"ГОТОВО","НЕ ГОТОВО"))</f>
        <v/>
      </c>
      <c r="BE893" s="205">
        <f>IF(BD893&lt;&gt;"ГОТОВО","","Полное заключение: "&amp;A893&amp;", скв. "&amp;B893&amp;". МРП: "&amp;E893&amp;" сут. ГНО: "&amp;F893&amp;"; причина: "&amp;U893&amp;"; категория: "&amp;V893&amp;"; решение комиссии: "&amp;BB893&amp;".")</f>
        <v/>
      </c>
      <c r="BF893" s="173">
        <f>IF('Оперативный ввод'!X893="","",'Оперативный ввод'!X893)</f>
        <v/>
      </c>
    </row>
    <row r="894">
      <c r="A894" s="171">
        <f>IF('Оперативный ввод'!A894="","",'Оперативный ввод'!A894)</f>
        <v/>
      </c>
      <c r="B894" s="172">
        <f>IF('Оперативный ввод'!B894="","",'Оперативный ввод'!B894)</f>
        <v/>
      </c>
      <c r="C894" s="270">
        <f>IF('Оперативный ввод'!C894="","",'Оперативный ввод'!C894)</f>
        <v/>
      </c>
      <c r="D894" s="270">
        <f>IF('Оперативный ввод'!D894="","",'Оперативный ввод'!D894)</f>
        <v/>
      </c>
      <c r="E894" s="271">
        <f>IF(OR(C894="",D894=""),"",D894-C894)</f>
        <v/>
      </c>
      <c r="F894" s="172">
        <f>IF('Оперативный ввод'!F894="","",'Оперативный ввод'!F894)</f>
        <v/>
      </c>
      <c r="G894" s="172">
        <f>IF('Оперативный ввод'!G894="","",'Оперативный ввод'!G894)</f>
        <v/>
      </c>
      <c r="H894" s="172">
        <f>IF('Оперативный ввод'!H894="","",'Оперативный ввод'!H894)</f>
        <v/>
      </c>
      <c r="I894" s="172">
        <f>IF('Оперативный ввод'!I894="","",'Оперативный ввод'!I894)</f>
        <v/>
      </c>
      <c r="J894" s="172">
        <f>IF('Оперативный ввод'!J894="","",'Оперативный ввод'!J894)</f>
        <v/>
      </c>
      <c r="K894" s="172">
        <f>IF('Оперативный ввод'!K894="","",'Оперативный ввод'!K894)</f>
        <v/>
      </c>
      <c r="L894" s="172">
        <f>IF('Оперативный ввод'!L894="","",'Оперативный ввод'!L894)</f>
        <v/>
      </c>
      <c r="M894" s="172">
        <f>IF('Оперативный ввод'!M894="","",'Оперативный ввод'!M894)</f>
        <v/>
      </c>
      <c r="N894" s="172">
        <f>IF('Оперативный ввод'!N894="","",'Оперативный ввод'!N894)</f>
        <v/>
      </c>
      <c r="O894" s="172">
        <f>IF('Оперативный ввод'!O894="","",'Оперативный ввод'!O894)</f>
        <v/>
      </c>
      <c r="P894" s="205">
        <f>IF(AND(A894="",B894=""),"",IF(AND(A894&lt;&gt;"",B894&lt;&gt;"",C894&lt;&gt;"",D894&lt;&gt;"",F894&lt;&gt;"",G894&lt;&gt;"",H894&lt;&gt;"",ISERROR(SEARCH("по паспорту",G894)),ISERROR(SEARCH("по паспорту",H894)),I894&lt;&gt;"",J894&lt;&gt;"",K894&lt;&gt;"",L894&lt;&gt;"",M894&lt;&gt;""),"ГОТОВО","НЕ ГОТОВО"))</f>
        <v/>
      </c>
      <c r="Q894" s="205">
        <f>IF(P894&lt;&gt;"ГОТОВО","", "Предварительное заключение: "&amp;A894&amp;", скв. "&amp;B894&amp;". МРП: "&amp;E894&amp;" сут. ГНО: "&amp;F894&amp;", типоразмер "&amp;G894&amp;", марка "&amp;H894&amp;". Событие: "&amp;I894&amp;". Признак: "&amp;J894&amp;". Узел: "&amp;K894&amp;". Предварительная причина: "&amp;L894&amp;". Основное осложнение: "&amp;M894&amp;IF(N894&lt;&gt;"","; сопутствующее: "&amp;N894,"")&amp;IF(O894&lt;&gt;"","; дополнительно: "&amp;O894,"")&amp;".")</f>
        <v/>
      </c>
      <c r="R894" s="172">
        <f>IF('Оперативный ввод'!P894="","",'Оперативный ввод'!P894)</f>
        <v/>
      </c>
      <c r="S894" s="172">
        <f>IF('Оперативный ввод'!Q894="","",'Оперативный ввод'!Q894)</f>
        <v/>
      </c>
      <c r="T894" s="172">
        <f>IF('Оперативный ввод'!R894="","",'Оперативный ввод'!R894)</f>
        <v/>
      </c>
      <c r="U894" s="172">
        <f>IF('Оперативный ввод'!S894="","",'Оперативный ввод'!S894)</f>
        <v/>
      </c>
      <c r="V894" s="172">
        <f>IF('Оперативный ввод'!T894="","",'Оперативный ввод'!T894)</f>
        <v/>
      </c>
      <c r="W894" s="172" t="n"/>
      <c r="X894" s="172" t="n"/>
      <c r="Y894" s="172" t="n"/>
      <c r="Z894" s="172" t="n"/>
      <c r="AA894" s="172">
        <f>IF('Оперативный ввод'!U894="","",'Оперативный ввод'!U894)</f>
        <v/>
      </c>
      <c r="AB894" s="172">
        <f>IF('Оперативный ввод'!V894="","",'Оперативный ввод'!V894)</f>
        <v/>
      </c>
      <c r="AC894" s="172">
        <f>IF('Оперативный ввод'!W894="","",'Оперативный ввод'!W894)</f>
        <v/>
      </c>
      <c r="BB894" s="172" t="n"/>
      <c r="BC894" s="172" t="n"/>
      <c r="BD894" s="205">
        <f>IF(AND(A894="",B894=""),"",IF(AND(P894="ГОТОВО",R894&lt;&gt;"",T894&lt;&gt;"",U894&lt;&gt;"",AA894&lt;&gt;"",AB894&lt;&gt;"",AC894&lt;&gt;"",BB894&lt;&gt;"",BC894&lt;&gt;""),"ГОТОВО","НЕ ГОТОВО"))</f>
        <v/>
      </c>
      <c r="BE894" s="205">
        <f>IF(BD894&lt;&gt;"ГОТОВО","","Полное заключение: "&amp;A894&amp;", скв. "&amp;B894&amp;". МРП: "&amp;E894&amp;" сут. ГНО: "&amp;F894&amp;"; причина: "&amp;U894&amp;"; категория: "&amp;V894&amp;"; решение комиссии: "&amp;BB894&amp;".")</f>
        <v/>
      </c>
      <c r="BF894" s="173">
        <f>IF('Оперативный ввод'!X894="","",'Оперативный ввод'!X894)</f>
        <v/>
      </c>
    </row>
    <row r="895">
      <c r="A895" s="171">
        <f>IF('Оперативный ввод'!A895="","",'Оперативный ввод'!A895)</f>
        <v/>
      </c>
      <c r="B895" s="172">
        <f>IF('Оперативный ввод'!B895="","",'Оперативный ввод'!B895)</f>
        <v/>
      </c>
      <c r="C895" s="270">
        <f>IF('Оперативный ввод'!C895="","",'Оперативный ввод'!C895)</f>
        <v/>
      </c>
      <c r="D895" s="270">
        <f>IF('Оперативный ввод'!D895="","",'Оперативный ввод'!D895)</f>
        <v/>
      </c>
      <c r="E895" s="271">
        <f>IF(OR(C895="",D895=""),"",D895-C895)</f>
        <v/>
      </c>
      <c r="F895" s="172">
        <f>IF('Оперативный ввод'!F895="","",'Оперативный ввод'!F895)</f>
        <v/>
      </c>
      <c r="G895" s="172">
        <f>IF('Оперативный ввод'!G895="","",'Оперативный ввод'!G895)</f>
        <v/>
      </c>
      <c r="H895" s="172">
        <f>IF('Оперативный ввод'!H895="","",'Оперативный ввод'!H895)</f>
        <v/>
      </c>
      <c r="I895" s="172">
        <f>IF('Оперативный ввод'!I895="","",'Оперативный ввод'!I895)</f>
        <v/>
      </c>
      <c r="J895" s="172">
        <f>IF('Оперативный ввод'!J895="","",'Оперативный ввод'!J895)</f>
        <v/>
      </c>
      <c r="K895" s="172">
        <f>IF('Оперативный ввод'!K895="","",'Оперативный ввод'!K895)</f>
        <v/>
      </c>
      <c r="L895" s="172">
        <f>IF('Оперативный ввод'!L895="","",'Оперативный ввод'!L895)</f>
        <v/>
      </c>
      <c r="M895" s="172">
        <f>IF('Оперативный ввод'!M895="","",'Оперативный ввод'!M895)</f>
        <v/>
      </c>
      <c r="N895" s="172">
        <f>IF('Оперативный ввод'!N895="","",'Оперативный ввод'!N895)</f>
        <v/>
      </c>
      <c r="O895" s="172">
        <f>IF('Оперативный ввод'!O895="","",'Оперативный ввод'!O895)</f>
        <v/>
      </c>
      <c r="P895" s="205">
        <f>IF(AND(A895="",B895=""),"",IF(AND(A895&lt;&gt;"",B895&lt;&gt;"",C895&lt;&gt;"",D895&lt;&gt;"",F895&lt;&gt;"",G895&lt;&gt;"",H895&lt;&gt;"",ISERROR(SEARCH("по паспорту",G895)),ISERROR(SEARCH("по паспорту",H895)),I895&lt;&gt;"",J895&lt;&gt;"",K895&lt;&gt;"",L895&lt;&gt;"",M895&lt;&gt;""),"ГОТОВО","НЕ ГОТОВО"))</f>
        <v/>
      </c>
      <c r="Q895" s="205">
        <f>IF(P895&lt;&gt;"ГОТОВО","", "Предварительное заключение: "&amp;A895&amp;", скв. "&amp;B895&amp;". МРП: "&amp;E895&amp;" сут. ГНО: "&amp;F895&amp;", типоразмер "&amp;G895&amp;", марка "&amp;H895&amp;". Событие: "&amp;I895&amp;". Признак: "&amp;J895&amp;". Узел: "&amp;K895&amp;". Предварительная причина: "&amp;L895&amp;". Основное осложнение: "&amp;M895&amp;IF(N895&lt;&gt;"","; сопутствующее: "&amp;N895,"")&amp;IF(O895&lt;&gt;"","; дополнительно: "&amp;O895,"")&amp;".")</f>
        <v/>
      </c>
      <c r="R895" s="172">
        <f>IF('Оперативный ввод'!P895="","",'Оперативный ввод'!P895)</f>
        <v/>
      </c>
      <c r="S895" s="172">
        <f>IF('Оперативный ввод'!Q895="","",'Оперативный ввод'!Q895)</f>
        <v/>
      </c>
      <c r="T895" s="172">
        <f>IF('Оперативный ввод'!R895="","",'Оперативный ввод'!R895)</f>
        <v/>
      </c>
      <c r="U895" s="172">
        <f>IF('Оперативный ввод'!S895="","",'Оперативный ввод'!S895)</f>
        <v/>
      </c>
      <c r="V895" s="172">
        <f>IF('Оперативный ввод'!T895="","",'Оперативный ввод'!T895)</f>
        <v/>
      </c>
      <c r="W895" s="172" t="n"/>
      <c r="X895" s="172" t="n"/>
      <c r="Y895" s="172" t="n"/>
      <c r="Z895" s="172" t="n"/>
      <c r="AA895" s="172">
        <f>IF('Оперативный ввод'!U895="","",'Оперативный ввод'!U895)</f>
        <v/>
      </c>
      <c r="AB895" s="172">
        <f>IF('Оперативный ввод'!V895="","",'Оперативный ввод'!V895)</f>
        <v/>
      </c>
      <c r="AC895" s="172">
        <f>IF('Оперативный ввод'!W895="","",'Оперативный ввод'!W895)</f>
        <v/>
      </c>
      <c r="BB895" s="172" t="n"/>
      <c r="BC895" s="172" t="n"/>
      <c r="BD895" s="205">
        <f>IF(AND(A895="",B895=""),"",IF(AND(P895="ГОТОВО",R895&lt;&gt;"",T895&lt;&gt;"",U895&lt;&gt;"",AA895&lt;&gt;"",AB895&lt;&gt;"",AC895&lt;&gt;"",BB895&lt;&gt;"",BC895&lt;&gt;""),"ГОТОВО","НЕ ГОТОВО"))</f>
        <v/>
      </c>
      <c r="BE895" s="205">
        <f>IF(BD895&lt;&gt;"ГОТОВО","","Полное заключение: "&amp;A895&amp;", скв. "&amp;B895&amp;". МРП: "&amp;E895&amp;" сут. ГНО: "&amp;F895&amp;"; причина: "&amp;U895&amp;"; категория: "&amp;V895&amp;"; решение комиссии: "&amp;BB895&amp;".")</f>
        <v/>
      </c>
      <c r="BF895" s="173">
        <f>IF('Оперативный ввод'!X895="","",'Оперативный ввод'!X895)</f>
        <v/>
      </c>
    </row>
    <row r="896">
      <c r="A896" s="171">
        <f>IF('Оперативный ввод'!A896="","",'Оперативный ввод'!A896)</f>
        <v/>
      </c>
      <c r="B896" s="172">
        <f>IF('Оперативный ввод'!B896="","",'Оперативный ввод'!B896)</f>
        <v/>
      </c>
      <c r="C896" s="270">
        <f>IF('Оперативный ввод'!C896="","",'Оперативный ввод'!C896)</f>
        <v/>
      </c>
      <c r="D896" s="270">
        <f>IF('Оперативный ввод'!D896="","",'Оперативный ввод'!D896)</f>
        <v/>
      </c>
      <c r="E896" s="271">
        <f>IF(OR(C896="",D896=""),"",D896-C896)</f>
        <v/>
      </c>
      <c r="F896" s="172">
        <f>IF('Оперативный ввод'!F896="","",'Оперативный ввод'!F896)</f>
        <v/>
      </c>
      <c r="G896" s="172">
        <f>IF('Оперативный ввод'!G896="","",'Оперативный ввод'!G896)</f>
        <v/>
      </c>
      <c r="H896" s="172">
        <f>IF('Оперативный ввод'!H896="","",'Оперативный ввод'!H896)</f>
        <v/>
      </c>
      <c r="I896" s="172">
        <f>IF('Оперативный ввод'!I896="","",'Оперативный ввод'!I896)</f>
        <v/>
      </c>
      <c r="J896" s="172">
        <f>IF('Оперативный ввод'!J896="","",'Оперативный ввод'!J896)</f>
        <v/>
      </c>
      <c r="K896" s="172">
        <f>IF('Оперативный ввод'!K896="","",'Оперативный ввод'!K896)</f>
        <v/>
      </c>
      <c r="L896" s="172">
        <f>IF('Оперативный ввод'!L896="","",'Оперативный ввод'!L896)</f>
        <v/>
      </c>
      <c r="M896" s="172">
        <f>IF('Оперативный ввод'!M896="","",'Оперативный ввод'!M896)</f>
        <v/>
      </c>
      <c r="N896" s="172">
        <f>IF('Оперативный ввод'!N896="","",'Оперативный ввод'!N896)</f>
        <v/>
      </c>
      <c r="O896" s="172">
        <f>IF('Оперативный ввод'!O896="","",'Оперативный ввод'!O896)</f>
        <v/>
      </c>
      <c r="P896" s="205">
        <f>IF(AND(A896="",B896=""),"",IF(AND(A896&lt;&gt;"",B896&lt;&gt;"",C896&lt;&gt;"",D896&lt;&gt;"",F896&lt;&gt;"",G896&lt;&gt;"",H896&lt;&gt;"",ISERROR(SEARCH("по паспорту",G896)),ISERROR(SEARCH("по паспорту",H896)),I896&lt;&gt;"",J896&lt;&gt;"",K896&lt;&gt;"",L896&lt;&gt;"",M896&lt;&gt;""),"ГОТОВО","НЕ ГОТОВО"))</f>
        <v/>
      </c>
      <c r="Q896" s="205">
        <f>IF(P896&lt;&gt;"ГОТОВО","", "Предварительное заключение: "&amp;A896&amp;", скв. "&amp;B896&amp;". МРП: "&amp;E896&amp;" сут. ГНО: "&amp;F896&amp;", типоразмер "&amp;G896&amp;", марка "&amp;H896&amp;". Событие: "&amp;I896&amp;". Признак: "&amp;J896&amp;". Узел: "&amp;K896&amp;". Предварительная причина: "&amp;L896&amp;". Основное осложнение: "&amp;M896&amp;IF(N896&lt;&gt;"","; сопутствующее: "&amp;N896,"")&amp;IF(O896&lt;&gt;"","; дополнительно: "&amp;O896,"")&amp;".")</f>
        <v/>
      </c>
      <c r="R896" s="172">
        <f>IF('Оперативный ввод'!P896="","",'Оперативный ввод'!P896)</f>
        <v/>
      </c>
      <c r="S896" s="172">
        <f>IF('Оперативный ввод'!Q896="","",'Оперативный ввод'!Q896)</f>
        <v/>
      </c>
      <c r="T896" s="172">
        <f>IF('Оперативный ввод'!R896="","",'Оперативный ввод'!R896)</f>
        <v/>
      </c>
      <c r="U896" s="172">
        <f>IF('Оперативный ввод'!S896="","",'Оперативный ввод'!S896)</f>
        <v/>
      </c>
      <c r="V896" s="172">
        <f>IF('Оперативный ввод'!T896="","",'Оперативный ввод'!T896)</f>
        <v/>
      </c>
      <c r="W896" s="172" t="n"/>
      <c r="X896" s="172" t="n"/>
      <c r="Y896" s="172" t="n"/>
      <c r="Z896" s="172" t="n"/>
      <c r="AA896" s="172">
        <f>IF('Оперативный ввод'!U896="","",'Оперативный ввод'!U896)</f>
        <v/>
      </c>
      <c r="AB896" s="172">
        <f>IF('Оперативный ввод'!V896="","",'Оперативный ввод'!V896)</f>
        <v/>
      </c>
      <c r="AC896" s="172">
        <f>IF('Оперативный ввод'!W896="","",'Оперативный ввод'!W896)</f>
        <v/>
      </c>
      <c r="BB896" s="172" t="n"/>
      <c r="BC896" s="172" t="n"/>
      <c r="BD896" s="205">
        <f>IF(AND(A896="",B896=""),"",IF(AND(P896="ГОТОВО",R896&lt;&gt;"",T896&lt;&gt;"",U896&lt;&gt;"",AA896&lt;&gt;"",AB896&lt;&gt;"",AC896&lt;&gt;"",BB896&lt;&gt;"",BC896&lt;&gt;""),"ГОТОВО","НЕ ГОТОВО"))</f>
        <v/>
      </c>
      <c r="BE896" s="205">
        <f>IF(BD896&lt;&gt;"ГОТОВО","","Полное заключение: "&amp;A896&amp;", скв. "&amp;B896&amp;". МРП: "&amp;E896&amp;" сут. ГНО: "&amp;F896&amp;"; причина: "&amp;U896&amp;"; категория: "&amp;V896&amp;"; решение комиссии: "&amp;BB896&amp;".")</f>
        <v/>
      </c>
      <c r="BF896" s="173">
        <f>IF('Оперативный ввод'!X896="","",'Оперативный ввод'!X896)</f>
        <v/>
      </c>
    </row>
    <row r="897">
      <c r="A897" s="171">
        <f>IF('Оперативный ввод'!A897="","",'Оперативный ввод'!A897)</f>
        <v/>
      </c>
      <c r="B897" s="172">
        <f>IF('Оперативный ввод'!B897="","",'Оперативный ввод'!B897)</f>
        <v/>
      </c>
      <c r="C897" s="270">
        <f>IF('Оперативный ввод'!C897="","",'Оперативный ввод'!C897)</f>
        <v/>
      </c>
      <c r="D897" s="270">
        <f>IF('Оперативный ввод'!D897="","",'Оперативный ввод'!D897)</f>
        <v/>
      </c>
      <c r="E897" s="271">
        <f>IF(OR(C897="",D897=""),"",D897-C897)</f>
        <v/>
      </c>
      <c r="F897" s="172">
        <f>IF('Оперативный ввод'!F897="","",'Оперативный ввод'!F897)</f>
        <v/>
      </c>
      <c r="G897" s="172">
        <f>IF('Оперативный ввод'!G897="","",'Оперативный ввод'!G897)</f>
        <v/>
      </c>
      <c r="H897" s="172">
        <f>IF('Оперативный ввод'!H897="","",'Оперативный ввод'!H897)</f>
        <v/>
      </c>
      <c r="I897" s="172">
        <f>IF('Оперативный ввод'!I897="","",'Оперативный ввод'!I897)</f>
        <v/>
      </c>
      <c r="J897" s="172">
        <f>IF('Оперативный ввод'!J897="","",'Оперативный ввод'!J897)</f>
        <v/>
      </c>
      <c r="K897" s="172">
        <f>IF('Оперативный ввод'!K897="","",'Оперативный ввод'!K897)</f>
        <v/>
      </c>
      <c r="L897" s="172">
        <f>IF('Оперативный ввод'!L897="","",'Оперативный ввод'!L897)</f>
        <v/>
      </c>
      <c r="M897" s="172">
        <f>IF('Оперативный ввод'!M897="","",'Оперативный ввод'!M897)</f>
        <v/>
      </c>
      <c r="N897" s="172">
        <f>IF('Оперативный ввод'!N897="","",'Оперативный ввод'!N897)</f>
        <v/>
      </c>
      <c r="O897" s="172">
        <f>IF('Оперативный ввод'!O897="","",'Оперативный ввод'!O897)</f>
        <v/>
      </c>
      <c r="P897" s="205">
        <f>IF(AND(A897="",B897=""),"",IF(AND(A897&lt;&gt;"",B897&lt;&gt;"",C897&lt;&gt;"",D897&lt;&gt;"",F897&lt;&gt;"",G897&lt;&gt;"",H897&lt;&gt;"",ISERROR(SEARCH("по паспорту",G897)),ISERROR(SEARCH("по паспорту",H897)),I897&lt;&gt;"",J897&lt;&gt;"",K897&lt;&gt;"",L897&lt;&gt;"",M897&lt;&gt;""),"ГОТОВО","НЕ ГОТОВО"))</f>
        <v/>
      </c>
      <c r="Q897" s="205">
        <f>IF(P897&lt;&gt;"ГОТОВО","", "Предварительное заключение: "&amp;A897&amp;", скв. "&amp;B897&amp;". МРП: "&amp;E897&amp;" сут. ГНО: "&amp;F897&amp;", типоразмер "&amp;G897&amp;", марка "&amp;H897&amp;". Событие: "&amp;I897&amp;". Признак: "&amp;J897&amp;". Узел: "&amp;K897&amp;". Предварительная причина: "&amp;L897&amp;". Основное осложнение: "&amp;M897&amp;IF(N897&lt;&gt;"","; сопутствующее: "&amp;N897,"")&amp;IF(O897&lt;&gt;"","; дополнительно: "&amp;O897,"")&amp;".")</f>
        <v/>
      </c>
      <c r="R897" s="172">
        <f>IF('Оперативный ввод'!P897="","",'Оперативный ввод'!P897)</f>
        <v/>
      </c>
      <c r="S897" s="172">
        <f>IF('Оперативный ввод'!Q897="","",'Оперативный ввод'!Q897)</f>
        <v/>
      </c>
      <c r="T897" s="172">
        <f>IF('Оперативный ввод'!R897="","",'Оперативный ввод'!R897)</f>
        <v/>
      </c>
      <c r="U897" s="172">
        <f>IF('Оперативный ввод'!S897="","",'Оперативный ввод'!S897)</f>
        <v/>
      </c>
      <c r="V897" s="172">
        <f>IF('Оперативный ввод'!T897="","",'Оперативный ввод'!T897)</f>
        <v/>
      </c>
      <c r="W897" s="172" t="n"/>
      <c r="X897" s="172" t="n"/>
      <c r="Y897" s="172" t="n"/>
      <c r="Z897" s="172" t="n"/>
      <c r="AA897" s="172">
        <f>IF('Оперативный ввод'!U897="","",'Оперативный ввод'!U897)</f>
        <v/>
      </c>
      <c r="AB897" s="172">
        <f>IF('Оперативный ввод'!V897="","",'Оперативный ввод'!V897)</f>
        <v/>
      </c>
      <c r="AC897" s="172">
        <f>IF('Оперативный ввод'!W897="","",'Оперативный ввод'!W897)</f>
        <v/>
      </c>
      <c r="BB897" s="172" t="n"/>
      <c r="BC897" s="172" t="n"/>
      <c r="BD897" s="205">
        <f>IF(AND(A897="",B897=""),"",IF(AND(P897="ГОТОВО",R897&lt;&gt;"",T897&lt;&gt;"",U897&lt;&gt;"",AA897&lt;&gt;"",AB897&lt;&gt;"",AC897&lt;&gt;"",BB897&lt;&gt;"",BC897&lt;&gt;""),"ГОТОВО","НЕ ГОТОВО"))</f>
        <v/>
      </c>
      <c r="BE897" s="205">
        <f>IF(BD897&lt;&gt;"ГОТОВО","","Полное заключение: "&amp;A897&amp;", скв. "&amp;B897&amp;". МРП: "&amp;E897&amp;" сут. ГНО: "&amp;F897&amp;"; причина: "&amp;U897&amp;"; категория: "&amp;V897&amp;"; решение комиссии: "&amp;BB897&amp;".")</f>
        <v/>
      </c>
      <c r="BF897" s="173">
        <f>IF('Оперативный ввод'!X897="","",'Оперативный ввод'!X897)</f>
        <v/>
      </c>
    </row>
    <row r="898">
      <c r="A898" s="171">
        <f>IF('Оперативный ввод'!A898="","",'Оперативный ввод'!A898)</f>
        <v/>
      </c>
      <c r="B898" s="172">
        <f>IF('Оперативный ввод'!B898="","",'Оперативный ввод'!B898)</f>
        <v/>
      </c>
      <c r="C898" s="270">
        <f>IF('Оперативный ввод'!C898="","",'Оперативный ввод'!C898)</f>
        <v/>
      </c>
      <c r="D898" s="270">
        <f>IF('Оперативный ввод'!D898="","",'Оперативный ввод'!D898)</f>
        <v/>
      </c>
      <c r="E898" s="271">
        <f>IF(OR(C898="",D898=""),"",D898-C898)</f>
        <v/>
      </c>
      <c r="F898" s="172">
        <f>IF('Оперативный ввод'!F898="","",'Оперативный ввод'!F898)</f>
        <v/>
      </c>
      <c r="G898" s="172">
        <f>IF('Оперативный ввод'!G898="","",'Оперативный ввод'!G898)</f>
        <v/>
      </c>
      <c r="H898" s="172">
        <f>IF('Оперативный ввод'!H898="","",'Оперативный ввод'!H898)</f>
        <v/>
      </c>
      <c r="I898" s="172">
        <f>IF('Оперативный ввод'!I898="","",'Оперативный ввод'!I898)</f>
        <v/>
      </c>
      <c r="J898" s="172">
        <f>IF('Оперативный ввод'!J898="","",'Оперативный ввод'!J898)</f>
        <v/>
      </c>
      <c r="K898" s="172">
        <f>IF('Оперативный ввод'!K898="","",'Оперативный ввод'!K898)</f>
        <v/>
      </c>
      <c r="L898" s="172">
        <f>IF('Оперативный ввод'!L898="","",'Оперативный ввод'!L898)</f>
        <v/>
      </c>
      <c r="M898" s="172">
        <f>IF('Оперативный ввод'!M898="","",'Оперативный ввод'!M898)</f>
        <v/>
      </c>
      <c r="N898" s="172">
        <f>IF('Оперативный ввод'!N898="","",'Оперативный ввод'!N898)</f>
        <v/>
      </c>
      <c r="O898" s="172">
        <f>IF('Оперативный ввод'!O898="","",'Оперативный ввод'!O898)</f>
        <v/>
      </c>
      <c r="P898" s="205">
        <f>IF(AND(A898="",B898=""),"",IF(AND(A898&lt;&gt;"",B898&lt;&gt;"",C898&lt;&gt;"",D898&lt;&gt;"",F898&lt;&gt;"",G898&lt;&gt;"",H898&lt;&gt;"",ISERROR(SEARCH("по паспорту",G898)),ISERROR(SEARCH("по паспорту",H898)),I898&lt;&gt;"",J898&lt;&gt;"",K898&lt;&gt;"",L898&lt;&gt;"",M898&lt;&gt;""),"ГОТОВО","НЕ ГОТОВО"))</f>
        <v/>
      </c>
      <c r="Q898" s="205">
        <f>IF(P898&lt;&gt;"ГОТОВО","", "Предварительное заключение: "&amp;A898&amp;", скв. "&amp;B898&amp;". МРП: "&amp;E898&amp;" сут. ГНО: "&amp;F898&amp;", типоразмер "&amp;G898&amp;", марка "&amp;H898&amp;". Событие: "&amp;I898&amp;". Признак: "&amp;J898&amp;". Узел: "&amp;K898&amp;". Предварительная причина: "&amp;L898&amp;". Основное осложнение: "&amp;M898&amp;IF(N898&lt;&gt;"","; сопутствующее: "&amp;N898,"")&amp;IF(O898&lt;&gt;"","; дополнительно: "&amp;O898,"")&amp;".")</f>
        <v/>
      </c>
      <c r="R898" s="172">
        <f>IF('Оперативный ввод'!P898="","",'Оперативный ввод'!P898)</f>
        <v/>
      </c>
      <c r="S898" s="172">
        <f>IF('Оперативный ввод'!Q898="","",'Оперативный ввод'!Q898)</f>
        <v/>
      </c>
      <c r="T898" s="172">
        <f>IF('Оперативный ввод'!R898="","",'Оперативный ввод'!R898)</f>
        <v/>
      </c>
      <c r="U898" s="172">
        <f>IF('Оперативный ввод'!S898="","",'Оперативный ввод'!S898)</f>
        <v/>
      </c>
      <c r="V898" s="172">
        <f>IF('Оперативный ввод'!T898="","",'Оперативный ввод'!T898)</f>
        <v/>
      </c>
      <c r="W898" s="172" t="n"/>
      <c r="X898" s="172" t="n"/>
      <c r="Y898" s="172" t="n"/>
      <c r="Z898" s="172" t="n"/>
      <c r="AA898" s="172">
        <f>IF('Оперативный ввод'!U898="","",'Оперативный ввод'!U898)</f>
        <v/>
      </c>
      <c r="AB898" s="172">
        <f>IF('Оперативный ввод'!V898="","",'Оперативный ввод'!V898)</f>
        <v/>
      </c>
      <c r="AC898" s="172">
        <f>IF('Оперативный ввод'!W898="","",'Оперативный ввод'!W898)</f>
        <v/>
      </c>
      <c r="BB898" s="172" t="n"/>
      <c r="BC898" s="172" t="n"/>
      <c r="BD898" s="205">
        <f>IF(AND(A898="",B898=""),"",IF(AND(P898="ГОТОВО",R898&lt;&gt;"",T898&lt;&gt;"",U898&lt;&gt;"",AA898&lt;&gt;"",AB898&lt;&gt;"",AC898&lt;&gt;"",BB898&lt;&gt;"",BC898&lt;&gt;""),"ГОТОВО","НЕ ГОТОВО"))</f>
        <v/>
      </c>
      <c r="BE898" s="205">
        <f>IF(BD898&lt;&gt;"ГОТОВО","","Полное заключение: "&amp;A898&amp;", скв. "&amp;B898&amp;". МРП: "&amp;E898&amp;" сут. ГНО: "&amp;F898&amp;"; причина: "&amp;U898&amp;"; категория: "&amp;V898&amp;"; решение комиссии: "&amp;BB898&amp;".")</f>
        <v/>
      </c>
      <c r="BF898" s="173">
        <f>IF('Оперативный ввод'!X898="","",'Оперативный ввод'!X898)</f>
        <v/>
      </c>
    </row>
    <row r="899">
      <c r="A899" s="171">
        <f>IF('Оперативный ввод'!A899="","",'Оперативный ввод'!A899)</f>
        <v/>
      </c>
      <c r="B899" s="172">
        <f>IF('Оперативный ввод'!B899="","",'Оперативный ввод'!B899)</f>
        <v/>
      </c>
      <c r="C899" s="270">
        <f>IF('Оперативный ввод'!C899="","",'Оперативный ввод'!C899)</f>
        <v/>
      </c>
      <c r="D899" s="270">
        <f>IF('Оперативный ввод'!D899="","",'Оперативный ввод'!D899)</f>
        <v/>
      </c>
      <c r="E899" s="271">
        <f>IF(OR(C899="",D899=""),"",D899-C899)</f>
        <v/>
      </c>
      <c r="F899" s="172">
        <f>IF('Оперативный ввод'!F899="","",'Оперативный ввод'!F899)</f>
        <v/>
      </c>
      <c r="G899" s="172">
        <f>IF('Оперативный ввод'!G899="","",'Оперативный ввод'!G899)</f>
        <v/>
      </c>
      <c r="H899" s="172">
        <f>IF('Оперативный ввод'!H899="","",'Оперативный ввод'!H899)</f>
        <v/>
      </c>
      <c r="I899" s="172">
        <f>IF('Оперативный ввод'!I899="","",'Оперативный ввод'!I899)</f>
        <v/>
      </c>
      <c r="J899" s="172">
        <f>IF('Оперативный ввод'!J899="","",'Оперативный ввод'!J899)</f>
        <v/>
      </c>
      <c r="K899" s="172">
        <f>IF('Оперативный ввод'!K899="","",'Оперативный ввод'!K899)</f>
        <v/>
      </c>
      <c r="L899" s="172">
        <f>IF('Оперативный ввод'!L899="","",'Оперативный ввод'!L899)</f>
        <v/>
      </c>
      <c r="M899" s="172">
        <f>IF('Оперативный ввод'!M899="","",'Оперативный ввод'!M899)</f>
        <v/>
      </c>
      <c r="N899" s="172">
        <f>IF('Оперативный ввод'!N899="","",'Оперативный ввод'!N899)</f>
        <v/>
      </c>
      <c r="O899" s="172">
        <f>IF('Оперативный ввод'!O899="","",'Оперативный ввод'!O899)</f>
        <v/>
      </c>
      <c r="P899" s="205">
        <f>IF(AND(A899="",B899=""),"",IF(AND(A899&lt;&gt;"",B899&lt;&gt;"",C899&lt;&gt;"",D899&lt;&gt;"",F899&lt;&gt;"",G899&lt;&gt;"",H899&lt;&gt;"",ISERROR(SEARCH("по паспорту",G899)),ISERROR(SEARCH("по паспорту",H899)),I899&lt;&gt;"",J899&lt;&gt;"",K899&lt;&gt;"",L899&lt;&gt;"",M899&lt;&gt;""),"ГОТОВО","НЕ ГОТОВО"))</f>
        <v/>
      </c>
      <c r="Q899" s="205">
        <f>IF(P899&lt;&gt;"ГОТОВО","", "Предварительное заключение: "&amp;A899&amp;", скв. "&amp;B899&amp;". МРП: "&amp;E899&amp;" сут. ГНО: "&amp;F899&amp;", типоразмер "&amp;G899&amp;", марка "&amp;H899&amp;". Событие: "&amp;I899&amp;". Признак: "&amp;J899&amp;". Узел: "&amp;K899&amp;". Предварительная причина: "&amp;L899&amp;". Основное осложнение: "&amp;M899&amp;IF(N899&lt;&gt;"","; сопутствующее: "&amp;N899,"")&amp;IF(O899&lt;&gt;"","; дополнительно: "&amp;O899,"")&amp;".")</f>
        <v/>
      </c>
      <c r="R899" s="172">
        <f>IF('Оперативный ввод'!P899="","",'Оперативный ввод'!P899)</f>
        <v/>
      </c>
      <c r="S899" s="172">
        <f>IF('Оперативный ввод'!Q899="","",'Оперативный ввод'!Q899)</f>
        <v/>
      </c>
      <c r="T899" s="172">
        <f>IF('Оперативный ввод'!R899="","",'Оперативный ввод'!R899)</f>
        <v/>
      </c>
      <c r="U899" s="172">
        <f>IF('Оперативный ввод'!S899="","",'Оперативный ввод'!S899)</f>
        <v/>
      </c>
      <c r="V899" s="172">
        <f>IF('Оперативный ввод'!T899="","",'Оперативный ввод'!T899)</f>
        <v/>
      </c>
      <c r="W899" s="172" t="n"/>
      <c r="X899" s="172" t="n"/>
      <c r="Y899" s="172" t="n"/>
      <c r="Z899" s="172" t="n"/>
      <c r="AA899" s="172">
        <f>IF('Оперативный ввод'!U899="","",'Оперативный ввод'!U899)</f>
        <v/>
      </c>
      <c r="AB899" s="172">
        <f>IF('Оперативный ввод'!V899="","",'Оперативный ввод'!V899)</f>
        <v/>
      </c>
      <c r="AC899" s="172">
        <f>IF('Оперативный ввод'!W899="","",'Оперативный ввод'!W899)</f>
        <v/>
      </c>
      <c r="BB899" s="172" t="n"/>
      <c r="BC899" s="172" t="n"/>
      <c r="BD899" s="205">
        <f>IF(AND(A899="",B899=""),"",IF(AND(P899="ГОТОВО",R899&lt;&gt;"",T899&lt;&gt;"",U899&lt;&gt;"",AA899&lt;&gt;"",AB899&lt;&gt;"",AC899&lt;&gt;"",BB899&lt;&gt;"",BC899&lt;&gt;""),"ГОТОВО","НЕ ГОТОВО"))</f>
        <v/>
      </c>
      <c r="BE899" s="205">
        <f>IF(BD899&lt;&gt;"ГОТОВО","","Полное заключение: "&amp;A899&amp;", скв. "&amp;B899&amp;". МРП: "&amp;E899&amp;" сут. ГНО: "&amp;F899&amp;"; причина: "&amp;U899&amp;"; категория: "&amp;V899&amp;"; решение комиссии: "&amp;BB899&amp;".")</f>
        <v/>
      </c>
      <c r="BF899" s="173">
        <f>IF('Оперативный ввод'!X899="","",'Оперативный ввод'!X899)</f>
        <v/>
      </c>
    </row>
    <row r="900">
      <c r="A900" s="171">
        <f>IF('Оперативный ввод'!A900="","",'Оперативный ввод'!A900)</f>
        <v/>
      </c>
      <c r="B900" s="172">
        <f>IF('Оперативный ввод'!B900="","",'Оперативный ввод'!B900)</f>
        <v/>
      </c>
      <c r="C900" s="270">
        <f>IF('Оперативный ввод'!C900="","",'Оперативный ввод'!C900)</f>
        <v/>
      </c>
      <c r="D900" s="270">
        <f>IF('Оперативный ввод'!D900="","",'Оперативный ввод'!D900)</f>
        <v/>
      </c>
      <c r="E900" s="271">
        <f>IF(OR(C900="",D900=""),"",D900-C900)</f>
        <v/>
      </c>
      <c r="F900" s="172">
        <f>IF('Оперативный ввод'!F900="","",'Оперативный ввод'!F900)</f>
        <v/>
      </c>
      <c r="G900" s="172">
        <f>IF('Оперативный ввод'!G900="","",'Оперативный ввод'!G900)</f>
        <v/>
      </c>
      <c r="H900" s="172">
        <f>IF('Оперативный ввод'!H900="","",'Оперативный ввод'!H900)</f>
        <v/>
      </c>
      <c r="I900" s="172">
        <f>IF('Оперативный ввод'!I900="","",'Оперативный ввод'!I900)</f>
        <v/>
      </c>
      <c r="J900" s="172">
        <f>IF('Оперативный ввод'!J900="","",'Оперативный ввод'!J900)</f>
        <v/>
      </c>
      <c r="K900" s="172">
        <f>IF('Оперативный ввод'!K900="","",'Оперативный ввод'!K900)</f>
        <v/>
      </c>
      <c r="L900" s="172">
        <f>IF('Оперативный ввод'!L900="","",'Оперативный ввод'!L900)</f>
        <v/>
      </c>
      <c r="M900" s="172">
        <f>IF('Оперативный ввод'!M900="","",'Оперативный ввод'!M900)</f>
        <v/>
      </c>
      <c r="N900" s="172">
        <f>IF('Оперативный ввод'!N900="","",'Оперативный ввод'!N900)</f>
        <v/>
      </c>
      <c r="O900" s="172">
        <f>IF('Оперативный ввод'!O900="","",'Оперативный ввод'!O900)</f>
        <v/>
      </c>
      <c r="P900" s="205">
        <f>IF(AND(A900="",B900=""),"",IF(AND(A900&lt;&gt;"",B900&lt;&gt;"",C900&lt;&gt;"",D900&lt;&gt;"",F900&lt;&gt;"",G900&lt;&gt;"",H900&lt;&gt;"",ISERROR(SEARCH("по паспорту",G900)),ISERROR(SEARCH("по паспорту",H900)),I900&lt;&gt;"",J900&lt;&gt;"",K900&lt;&gt;"",L900&lt;&gt;"",M900&lt;&gt;""),"ГОТОВО","НЕ ГОТОВО"))</f>
        <v/>
      </c>
      <c r="Q900" s="205">
        <f>IF(P900&lt;&gt;"ГОТОВО","", "Предварительное заключение: "&amp;A900&amp;", скв. "&amp;B900&amp;". МРП: "&amp;E900&amp;" сут. ГНО: "&amp;F900&amp;", типоразмер "&amp;G900&amp;", марка "&amp;H900&amp;". Событие: "&amp;I900&amp;". Признак: "&amp;J900&amp;". Узел: "&amp;K900&amp;". Предварительная причина: "&amp;L900&amp;". Основное осложнение: "&amp;M900&amp;IF(N900&lt;&gt;"","; сопутствующее: "&amp;N900,"")&amp;IF(O900&lt;&gt;"","; дополнительно: "&amp;O900,"")&amp;".")</f>
        <v/>
      </c>
      <c r="R900" s="172">
        <f>IF('Оперативный ввод'!P900="","",'Оперативный ввод'!P900)</f>
        <v/>
      </c>
      <c r="S900" s="172">
        <f>IF('Оперативный ввод'!Q900="","",'Оперативный ввод'!Q900)</f>
        <v/>
      </c>
      <c r="T900" s="172">
        <f>IF('Оперативный ввод'!R900="","",'Оперативный ввод'!R900)</f>
        <v/>
      </c>
      <c r="U900" s="172">
        <f>IF('Оперативный ввод'!S900="","",'Оперативный ввод'!S900)</f>
        <v/>
      </c>
      <c r="V900" s="172">
        <f>IF('Оперативный ввод'!T900="","",'Оперативный ввод'!T900)</f>
        <v/>
      </c>
      <c r="W900" s="172" t="n"/>
      <c r="X900" s="172" t="n"/>
      <c r="Y900" s="172" t="n"/>
      <c r="Z900" s="172" t="n"/>
      <c r="AA900" s="172">
        <f>IF('Оперативный ввод'!U900="","",'Оперативный ввод'!U900)</f>
        <v/>
      </c>
      <c r="AB900" s="172">
        <f>IF('Оперативный ввод'!V900="","",'Оперативный ввод'!V900)</f>
        <v/>
      </c>
      <c r="AC900" s="172">
        <f>IF('Оперативный ввод'!W900="","",'Оперативный ввод'!W900)</f>
        <v/>
      </c>
      <c r="BB900" s="172" t="n"/>
      <c r="BC900" s="172" t="n"/>
      <c r="BD900" s="205">
        <f>IF(AND(A900="",B900=""),"",IF(AND(P900="ГОТОВО",R900&lt;&gt;"",T900&lt;&gt;"",U900&lt;&gt;"",AA900&lt;&gt;"",AB900&lt;&gt;"",AC900&lt;&gt;"",BB900&lt;&gt;"",BC900&lt;&gt;""),"ГОТОВО","НЕ ГОТОВО"))</f>
        <v/>
      </c>
      <c r="BE900" s="205">
        <f>IF(BD900&lt;&gt;"ГОТОВО","","Полное заключение: "&amp;A900&amp;", скв. "&amp;B900&amp;". МРП: "&amp;E900&amp;" сут. ГНО: "&amp;F900&amp;"; причина: "&amp;U900&amp;"; категория: "&amp;V900&amp;"; решение комиссии: "&amp;BB900&amp;".")</f>
        <v/>
      </c>
      <c r="BF900" s="173">
        <f>IF('Оперативный ввод'!X900="","",'Оперативный ввод'!X900)</f>
        <v/>
      </c>
    </row>
    <row r="901">
      <c r="A901" s="171">
        <f>IF('Оперативный ввод'!A901="","",'Оперативный ввод'!A901)</f>
        <v/>
      </c>
      <c r="B901" s="172">
        <f>IF('Оперативный ввод'!B901="","",'Оперативный ввод'!B901)</f>
        <v/>
      </c>
      <c r="C901" s="270">
        <f>IF('Оперативный ввод'!C901="","",'Оперативный ввод'!C901)</f>
        <v/>
      </c>
      <c r="D901" s="270">
        <f>IF('Оперативный ввод'!D901="","",'Оперативный ввод'!D901)</f>
        <v/>
      </c>
      <c r="E901" s="271">
        <f>IF(OR(C901="",D901=""),"",D901-C901)</f>
        <v/>
      </c>
      <c r="F901" s="172">
        <f>IF('Оперативный ввод'!F901="","",'Оперативный ввод'!F901)</f>
        <v/>
      </c>
      <c r="G901" s="172">
        <f>IF('Оперативный ввод'!G901="","",'Оперативный ввод'!G901)</f>
        <v/>
      </c>
      <c r="H901" s="172">
        <f>IF('Оперативный ввод'!H901="","",'Оперативный ввод'!H901)</f>
        <v/>
      </c>
      <c r="I901" s="172">
        <f>IF('Оперативный ввод'!I901="","",'Оперативный ввод'!I901)</f>
        <v/>
      </c>
      <c r="J901" s="172">
        <f>IF('Оперативный ввод'!J901="","",'Оперативный ввод'!J901)</f>
        <v/>
      </c>
      <c r="K901" s="172">
        <f>IF('Оперативный ввод'!K901="","",'Оперативный ввод'!K901)</f>
        <v/>
      </c>
      <c r="L901" s="172">
        <f>IF('Оперативный ввод'!L901="","",'Оперативный ввод'!L901)</f>
        <v/>
      </c>
      <c r="M901" s="172">
        <f>IF('Оперативный ввод'!M901="","",'Оперативный ввод'!M901)</f>
        <v/>
      </c>
      <c r="N901" s="172">
        <f>IF('Оперативный ввод'!N901="","",'Оперативный ввод'!N901)</f>
        <v/>
      </c>
      <c r="O901" s="172">
        <f>IF('Оперативный ввод'!O901="","",'Оперативный ввод'!O901)</f>
        <v/>
      </c>
      <c r="P901" s="205">
        <f>IF(AND(A901="",B901=""),"",IF(AND(A901&lt;&gt;"",B901&lt;&gt;"",C901&lt;&gt;"",D901&lt;&gt;"",F901&lt;&gt;"",G901&lt;&gt;"",H901&lt;&gt;"",ISERROR(SEARCH("по паспорту",G901)),ISERROR(SEARCH("по паспорту",H901)),I901&lt;&gt;"",J901&lt;&gt;"",K901&lt;&gt;"",L901&lt;&gt;"",M901&lt;&gt;""),"ГОТОВО","НЕ ГОТОВО"))</f>
        <v/>
      </c>
      <c r="Q901" s="205">
        <f>IF(P901&lt;&gt;"ГОТОВО","", "Предварительное заключение: "&amp;A901&amp;", скв. "&amp;B901&amp;". МРП: "&amp;E901&amp;" сут. ГНО: "&amp;F901&amp;", типоразмер "&amp;G901&amp;", марка "&amp;H901&amp;". Событие: "&amp;I901&amp;". Признак: "&amp;J901&amp;". Узел: "&amp;K901&amp;". Предварительная причина: "&amp;L901&amp;". Основное осложнение: "&amp;M901&amp;IF(N901&lt;&gt;"","; сопутствующее: "&amp;N901,"")&amp;IF(O901&lt;&gt;"","; дополнительно: "&amp;O901,"")&amp;".")</f>
        <v/>
      </c>
      <c r="R901" s="172">
        <f>IF('Оперативный ввод'!P901="","",'Оперативный ввод'!P901)</f>
        <v/>
      </c>
      <c r="S901" s="172">
        <f>IF('Оперативный ввод'!Q901="","",'Оперативный ввод'!Q901)</f>
        <v/>
      </c>
      <c r="T901" s="172">
        <f>IF('Оперативный ввод'!R901="","",'Оперативный ввод'!R901)</f>
        <v/>
      </c>
      <c r="U901" s="172">
        <f>IF('Оперативный ввод'!S901="","",'Оперативный ввод'!S901)</f>
        <v/>
      </c>
      <c r="V901" s="172">
        <f>IF('Оперативный ввод'!T901="","",'Оперативный ввод'!T901)</f>
        <v/>
      </c>
      <c r="W901" s="172" t="n"/>
      <c r="X901" s="172" t="n"/>
      <c r="Y901" s="172" t="n"/>
      <c r="Z901" s="172" t="n"/>
      <c r="AA901" s="172">
        <f>IF('Оперативный ввод'!U901="","",'Оперативный ввод'!U901)</f>
        <v/>
      </c>
      <c r="AB901" s="172">
        <f>IF('Оперативный ввод'!V901="","",'Оперативный ввод'!V901)</f>
        <v/>
      </c>
      <c r="AC901" s="172">
        <f>IF('Оперативный ввод'!W901="","",'Оперативный ввод'!W901)</f>
        <v/>
      </c>
      <c r="BB901" s="172" t="n"/>
      <c r="BC901" s="172" t="n"/>
      <c r="BD901" s="205">
        <f>IF(AND(A901="",B901=""),"",IF(AND(P901="ГОТОВО",R901&lt;&gt;"",T901&lt;&gt;"",U901&lt;&gt;"",AA901&lt;&gt;"",AB901&lt;&gt;"",AC901&lt;&gt;"",BB901&lt;&gt;"",BC901&lt;&gt;""),"ГОТОВО","НЕ ГОТОВО"))</f>
        <v/>
      </c>
      <c r="BE901" s="205">
        <f>IF(BD901&lt;&gt;"ГОТОВО","","Полное заключение: "&amp;A901&amp;", скв. "&amp;B901&amp;". МРП: "&amp;E901&amp;" сут. ГНО: "&amp;F901&amp;"; причина: "&amp;U901&amp;"; категория: "&amp;V901&amp;"; решение комиссии: "&amp;BB901&amp;".")</f>
        <v/>
      </c>
      <c r="BF901" s="173">
        <f>IF('Оперативный ввод'!X901="","",'Оперативный ввод'!X901)</f>
        <v/>
      </c>
    </row>
    <row r="902">
      <c r="A902" s="171">
        <f>IF('Оперативный ввод'!A902="","",'Оперативный ввод'!A902)</f>
        <v/>
      </c>
      <c r="B902" s="172">
        <f>IF('Оперативный ввод'!B902="","",'Оперативный ввод'!B902)</f>
        <v/>
      </c>
      <c r="C902" s="270">
        <f>IF('Оперативный ввод'!C902="","",'Оперативный ввод'!C902)</f>
        <v/>
      </c>
      <c r="D902" s="270">
        <f>IF('Оперативный ввод'!D902="","",'Оперативный ввод'!D902)</f>
        <v/>
      </c>
      <c r="E902" s="271">
        <f>IF(OR(C902="",D902=""),"",D902-C902)</f>
        <v/>
      </c>
      <c r="F902" s="172">
        <f>IF('Оперативный ввод'!F902="","",'Оперативный ввод'!F902)</f>
        <v/>
      </c>
      <c r="G902" s="172">
        <f>IF('Оперативный ввод'!G902="","",'Оперативный ввод'!G902)</f>
        <v/>
      </c>
      <c r="H902" s="172">
        <f>IF('Оперативный ввод'!H902="","",'Оперативный ввод'!H902)</f>
        <v/>
      </c>
      <c r="I902" s="172">
        <f>IF('Оперативный ввод'!I902="","",'Оперативный ввод'!I902)</f>
        <v/>
      </c>
      <c r="J902" s="172">
        <f>IF('Оперативный ввод'!J902="","",'Оперативный ввод'!J902)</f>
        <v/>
      </c>
      <c r="K902" s="172">
        <f>IF('Оперативный ввод'!K902="","",'Оперативный ввод'!K902)</f>
        <v/>
      </c>
      <c r="L902" s="172">
        <f>IF('Оперативный ввод'!L902="","",'Оперативный ввод'!L902)</f>
        <v/>
      </c>
      <c r="M902" s="172">
        <f>IF('Оперативный ввод'!M902="","",'Оперативный ввод'!M902)</f>
        <v/>
      </c>
      <c r="N902" s="172">
        <f>IF('Оперативный ввод'!N902="","",'Оперативный ввод'!N902)</f>
        <v/>
      </c>
      <c r="O902" s="172">
        <f>IF('Оперативный ввод'!O902="","",'Оперативный ввод'!O902)</f>
        <v/>
      </c>
      <c r="P902" s="205">
        <f>IF(AND(A902="",B902=""),"",IF(AND(A902&lt;&gt;"",B902&lt;&gt;"",C902&lt;&gt;"",D902&lt;&gt;"",F902&lt;&gt;"",G902&lt;&gt;"",H902&lt;&gt;"",ISERROR(SEARCH("по паспорту",G902)),ISERROR(SEARCH("по паспорту",H902)),I902&lt;&gt;"",J902&lt;&gt;"",K902&lt;&gt;"",L902&lt;&gt;"",M902&lt;&gt;""),"ГОТОВО","НЕ ГОТОВО"))</f>
        <v/>
      </c>
      <c r="Q902" s="205">
        <f>IF(P902&lt;&gt;"ГОТОВО","", "Предварительное заключение: "&amp;A902&amp;", скв. "&amp;B902&amp;". МРП: "&amp;E902&amp;" сут. ГНО: "&amp;F902&amp;", типоразмер "&amp;G902&amp;", марка "&amp;H902&amp;". Событие: "&amp;I902&amp;". Признак: "&amp;J902&amp;". Узел: "&amp;K902&amp;". Предварительная причина: "&amp;L902&amp;". Основное осложнение: "&amp;M902&amp;IF(N902&lt;&gt;"","; сопутствующее: "&amp;N902,"")&amp;IF(O902&lt;&gt;"","; дополнительно: "&amp;O902,"")&amp;".")</f>
        <v/>
      </c>
      <c r="R902" s="172">
        <f>IF('Оперативный ввод'!P902="","",'Оперативный ввод'!P902)</f>
        <v/>
      </c>
      <c r="S902" s="172">
        <f>IF('Оперативный ввод'!Q902="","",'Оперативный ввод'!Q902)</f>
        <v/>
      </c>
      <c r="T902" s="172">
        <f>IF('Оперативный ввод'!R902="","",'Оперативный ввод'!R902)</f>
        <v/>
      </c>
      <c r="U902" s="172">
        <f>IF('Оперативный ввод'!S902="","",'Оперативный ввод'!S902)</f>
        <v/>
      </c>
      <c r="V902" s="172">
        <f>IF('Оперативный ввод'!T902="","",'Оперативный ввод'!T902)</f>
        <v/>
      </c>
      <c r="W902" s="172" t="n"/>
      <c r="X902" s="172" t="n"/>
      <c r="Y902" s="172" t="n"/>
      <c r="Z902" s="172" t="n"/>
      <c r="AA902" s="172">
        <f>IF('Оперативный ввод'!U902="","",'Оперативный ввод'!U902)</f>
        <v/>
      </c>
      <c r="AB902" s="172">
        <f>IF('Оперативный ввод'!V902="","",'Оперативный ввод'!V902)</f>
        <v/>
      </c>
      <c r="AC902" s="172">
        <f>IF('Оперативный ввод'!W902="","",'Оперативный ввод'!W902)</f>
        <v/>
      </c>
      <c r="BB902" s="172" t="n"/>
      <c r="BC902" s="172" t="n"/>
      <c r="BD902" s="205">
        <f>IF(AND(A902="",B902=""),"",IF(AND(P902="ГОТОВО",R902&lt;&gt;"",T902&lt;&gt;"",U902&lt;&gt;"",AA902&lt;&gt;"",AB902&lt;&gt;"",AC902&lt;&gt;"",BB902&lt;&gt;"",BC902&lt;&gt;""),"ГОТОВО","НЕ ГОТОВО"))</f>
        <v/>
      </c>
      <c r="BE902" s="205">
        <f>IF(BD902&lt;&gt;"ГОТОВО","","Полное заключение: "&amp;A902&amp;", скв. "&amp;B902&amp;". МРП: "&amp;E902&amp;" сут. ГНО: "&amp;F902&amp;"; причина: "&amp;U902&amp;"; категория: "&amp;V902&amp;"; решение комиссии: "&amp;BB902&amp;".")</f>
        <v/>
      </c>
      <c r="BF902" s="173">
        <f>IF('Оперативный ввод'!X902="","",'Оперативный ввод'!X902)</f>
        <v/>
      </c>
    </row>
    <row r="903">
      <c r="A903" s="171">
        <f>IF('Оперативный ввод'!A903="","",'Оперативный ввод'!A903)</f>
        <v/>
      </c>
      <c r="B903" s="172">
        <f>IF('Оперативный ввод'!B903="","",'Оперативный ввод'!B903)</f>
        <v/>
      </c>
      <c r="C903" s="270">
        <f>IF('Оперативный ввод'!C903="","",'Оперативный ввод'!C903)</f>
        <v/>
      </c>
      <c r="D903" s="270">
        <f>IF('Оперативный ввод'!D903="","",'Оперативный ввод'!D903)</f>
        <v/>
      </c>
      <c r="E903" s="271">
        <f>IF(OR(C903="",D903=""),"",D903-C903)</f>
        <v/>
      </c>
      <c r="F903" s="172">
        <f>IF('Оперативный ввод'!F903="","",'Оперативный ввод'!F903)</f>
        <v/>
      </c>
      <c r="G903" s="172">
        <f>IF('Оперативный ввод'!G903="","",'Оперативный ввод'!G903)</f>
        <v/>
      </c>
      <c r="H903" s="172">
        <f>IF('Оперативный ввод'!H903="","",'Оперативный ввод'!H903)</f>
        <v/>
      </c>
      <c r="I903" s="172">
        <f>IF('Оперативный ввод'!I903="","",'Оперативный ввод'!I903)</f>
        <v/>
      </c>
      <c r="J903" s="172">
        <f>IF('Оперативный ввод'!J903="","",'Оперативный ввод'!J903)</f>
        <v/>
      </c>
      <c r="K903" s="172">
        <f>IF('Оперативный ввод'!K903="","",'Оперативный ввод'!K903)</f>
        <v/>
      </c>
      <c r="L903" s="172">
        <f>IF('Оперативный ввод'!L903="","",'Оперативный ввод'!L903)</f>
        <v/>
      </c>
      <c r="M903" s="172">
        <f>IF('Оперативный ввод'!M903="","",'Оперативный ввод'!M903)</f>
        <v/>
      </c>
      <c r="N903" s="172">
        <f>IF('Оперативный ввод'!N903="","",'Оперативный ввод'!N903)</f>
        <v/>
      </c>
      <c r="O903" s="172">
        <f>IF('Оперативный ввод'!O903="","",'Оперативный ввод'!O903)</f>
        <v/>
      </c>
      <c r="P903" s="205">
        <f>IF(AND(A903="",B903=""),"",IF(AND(A903&lt;&gt;"",B903&lt;&gt;"",C903&lt;&gt;"",D903&lt;&gt;"",F903&lt;&gt;"",G903&lt;&gt;"",H903&lt;&gt;"",ISERROR(SEARCH("по паспорту",G903)),ISERROR(SEARCH("по паспорту",H903)),I903&lt;&gt;"",J903&lt;&gt;"",K903&lt;&gt;"",L903&lt;&gt;"",M903&lt;&gt;""),"ГОТОВО","НЕ ГОТОВО"))</f>
        <v/>
      </c>
      <c r="Q903" s="205">
        <f>IF(P903&lt;&gt;"ГОТОВО","", "Предварительное заключение: "&amp;A903&amp;", скв. "&amp;B903&amp;". МРП: "&amp;E903&amp;" сут. ГНО: "&amp;F903&amp;", типоразмер "&amp;G903&amp;", марка "&amp;H903&amp;". Событие: "&amp;I903&amp;". Признак: "&amp;J903&amp;". Узел: "&amp;K903&amp;". Предварительная причина: "&amp;L903&amp;". Основное осложнение: "&amp;M903&amp;IF(N903&lt;&gt;"","; сопутствующее: "&amp;N903,"")&amp;IF(O903&lt;&gt;"","; дополнительно: "&amp;O903,"")&amp;".")</f>
        <v/>
      </c>
      <c r="R903" s="172">
        <f>IF('Оперативный ввод'!P903="","",'Оперативный ввод'!P903)</f>
        <v/>
      </c>
      <c r="S903" s="172">
        <f>IF('Оперативный ввод'!Q903="","",'Оперативный ввод'!Q903)</f>
        <v/>
      </c>
      <c r="T903" s="172">
        <f>IF('Оперативный ввод'!R903="","",'Оперативный ввод'!R903)</f>
        <v/>
      </c>
      <c r="U903" s="172">
        <f>IF('Оперативный ввод'!S903="","",'Оперативный ввод'!S903)</f>
        <v/>
      </c>
      <c r="V903" s="172">
        <f>IF('Оперативный ввод'!T903="","",'Оперативный ввод'!T903)</f>
        <v/>
      </c>
      <c r="W903" s="172" t="n"/>
      <c r="X903" s="172" t="n"/>
      <c r="Y903" s="172" t="n"/>
      <c r="Z903" s="172" t="n"/>
      <c r="AA903" s="172">
        <f>IF('Оперативный ввод'!U903="","",'Оперативный ввод'!U903)</f>
        <v/>
      </c>
      <c r="AB903" s="172">
        <f>IF('Оперативный ввод'!V903="","",'Оперативный ввод'!V903)</f>
        <v/>
      </c>
      <c r="AC903" s="172">
        <f>IF('Оперативный ввод'!W903="","",'Оперативный ввод'!W903)</f>
        <v/>
      </c>
      <c r="BB903" s="172" t="n"/>
      <c r="BC903" s="172" t="n"/>
      <c r="BD903" s="205">
        <f>IF(AND(A903="",B903=""),"",IF(AND(P903="ГОТОВО",R903&lt;&gt;"",T903&lt;&gt;"",U903&lt;&gt;"",AA903&lt;&gt;"",AB903&lt;&gt;"",AC903&lt;&gt;"",BB903&lt;&gt;"",BC903&lt;&gt;""),"ГОТОВО","НЕ ГОТОВО"))</f>
        <v/>
      </c>
      <c r="BE903" s="205">
        <f>IF(BD903&lt;&gt;"ГОТОВО","","Полное заключение: "&amp;A903&amp;", скв. "&amp;B903&amp;". МРП: "&amp;E903&amp;" сут. ГНО: "&amp;F903&amp;"; причина: "&amp;U903&amp;"; категория: "&amp;V903&amp;"; решение комиссии: "&amp;BB903&amp;".")</f>
        <v/>
      </c>
      <c r="BF903" s="173">
        <f>IF('Оперативный ввод'!X903="","",'Оперативный ввод'!X903)</f>
        <v/>
      </c>
    </row>
    <row r="904">
      <c r="A904" s="171">
        <f>IF('Оперативный ввод'!A904="","",'Оперативный ввод'!A904)</f>
        <v/>
      </c>
      <c r="B904" s="172">
        <f>IF('Оперативный ввод'!B904="","",'Оперативный ввод'!B904)</f>
        <v/>
      </c>
      <c r="C904" s="270">
        <f>IF('Оперативный ввод'!C904="","",'Оперативный ввод'!C904)</f>
        <v/>
      </c>
      <c r="D904" s="270">
        <f>IF('Оперативный ввод'!D904="","",'Оперативный ввод'!D904)</f>
        <v/>
      </c>
      <c r="E904" s="271">
        <f>IF(OR(C904="",D904=""),"",D904-C904)</f>
        <v/>
      </c>
      <c r="F904" s="172">
        <f>IF('Оперативный ввод'!F904="","",'Оперативный ввод'!F904)</f>
        <v/>
      </c>
      <c r="G904" s="172">
        <f>IF('Оперативный ввод'!G904="","",'Оперативный ввод'!G904)</f>
        <v/>
      </c>
      <c r="H904" s="172">
        <f>IF('Оперативный ввод'!H904="","",'Оперативный ввод'!H904)</f>
        <v/>
      </c>
      <c r="I904" s="172">
        <f>IF('Оперативный ввод'!I904="","",'Оперативный ввод'!I904)</f>
        <v/>
      </c>
      <c r="J904" s="172">
        <f>IF('Оперативный ввод'!J904="","",'Оперативный ввод'!J904)</f>
        <v/>
      </c>
      <c r="K904" s="172">
        <f>IF('Оперативный ввод'!K904="","",'Оперативный ввод'!K904)</f>
        <v/>
      </c>
      <c r="L904" s="172">
        <f>IF('Оперативный ввод'!L904="","",'Оперативный ввод'!L904)</f>
        <v/>
      </c>
      <c r="M904" s="172">
        <f>IF('Оперативный ввод'!M904="","",'Оперативный ввод'!M904)</f>
        <v/>
      </c>
      <c r="N904" s="172">
        <f>IF('Оперативный ввод'!N904="","",'Оперативный ввод'!N904)</f>
        <v/>
      </c>
      <c r="O904" s="172">
        <f>IF('Оперативный ввод'!O904="","",'Оперативный ввод'!O904)</f>
        <v/>
      </c>
      <c r="P904" s="205">
        <f>IF(AND(A904="",B904=""),"",IF(AND(A904&lt;&gt;"",B904&lt;&gt;"",C904&lt;&gt;"",D904&lt;&gt;"",F904&lt;&gt;"",G904&lt;&gt;"",H904&lt;&gt;"",ISERROR(SEARCH("по паспорту",G904)),ISERROR(SEARCH("по паспорту",H904)),I904&lt;&gt;"",J904&lt;&gt;"",K904&lt;&gt;"",L904&lt;&gt;"",M904&lt;&gt;""),"ГОТОВО","НЕ ГОТОВО"))</f>
        <v/>
      </c>
      <c r="Q904" s="205">
        <f>IF(P904&lt;&gt;"ГОТОВО","", "Предварительное заключение: "&amp;A904&amp;", скв. "&amp;B904&amp;". МРП: "&amp;E904&amp;" сут. ГНО: "&amp;F904&amp;", типоразмер "&amp;G904&amp;", марка "&amp;H904&amp;". Событие: "&amp;I904&amp;". Признак: "&amp;J904&amp;". Узел: "&amp;K904&amp;". Предварительная причина: "&amp;L904&amp;". Основное осложнение: "&amp;M904&amp;IF(N904&lt;&gt;"","; сопутствующее: "&amp;N904,"")&amp;IF(O904&lt;&gt;"","; дополнительно: "&amp;O904,"")&amp;".")</f>
        <v/>
      </c>
      <c r="R904" s="172">
        <f>IF('Оперативный ввод'!P904="","",'Оперативный ввод'!P904)</f>
        <v/>
      </c>
      <c r="S904" s="172">
        <f>IF('Оперативный ввод'!Q904="","",'Оперативный ввод'!Q904)</f>
        <v/>
      </c>
      <c r="T904" s="172">
        <f>IF('Оперативный ввод'!R904="","",'Оперативный ввод'!R904)</f>
        <v/>
      </c>
      <c r="U904" s="172">
        <f>IF('Оперативный ввод'!S904="","",'Оперативный ввод'!S904)</f>
        <v/>
      </c>
      <c r="V904" s="172">
        <f>IF('Оперативный ввод'!T904="","",'Оперативный ввод'!T904)</f>
        <v/>
      </c>
      <c r="W904" s="172" t="n"/>
      <c r="X904" s="172" t="n"/>
      <c r="Y904" s="172" t="n"/>
      <c r="Z904" s="172" t="n"/>
      <c r="AA904" s="172">
        <f>IF('Оперативный ввод'!U904="","",'Оперативный ввод'!U904)</f>
        <v/>
      </c>
      <c r="AB904" s="172">
        <f>IF('Оперативный ввод'!V904="","",'Оперативный ввод'!V904)</f>
        <v/>
      </c>
      <c r="AC904" s="172">
        <f>IF('Оперативный ввод'!W904="","",'Оперативный ввод'!W904)</f>
        <v/>
      </c>
      <c r="BB904" s="172" t="n"/>
      <c r="BC904" s="172" t="n"/>
      <c r="BD904" s="205">
        <f>IF(AND(A904="",B904=""),"",IF(AND(P904="ГОТОВО",R904&lt;&gt;"",T904&lt;&gt;"",U904&lt;&gt;"",AA904&lt;&gt;"",AB904&lt;&gt;"",AC904&lt;&gt;"",BB904&lt;&gt;"",BC904&lt;&gt;""),"ГОТОВО","НЕ ГОТОВО"))</f>
        <v/>
      </c>
      <c r="BE904" s="205">
        <f>IF(BD904&lt;&gt;"ГОТОВО","","Полное заключение: "&amp;A904&amp;", скв. "&amp;B904&amp;". МРП: "&amp;E904&amp;" сут. ГНО: "&amp;F904&amp;"; причина: "&amp;U904&amp;"; категория: "&amp;V904&amp;"; решение комиссии: "&amp;BB904&amp;".")</f>
        <v/>
      </c>
      <c r="BF904" s="173">
        <f>IF('Оперативный ввод'!X904="","",'Оперативный ввод'!X904)</f>
        <v/>
      </c>
    </row>
    <row r="905">
      <c r="A905" s="171">
        <f>IF('Оперативный ввод'!A905="","",'Оперативный ввод'!A905)</f>
        <v/>
      </c>
      <c r="B905" s="172">
        <f>IF('Оперативный ввод'!B905="","",'Оперативный ввод'!B905)</f>
        <v/>
      </c>
      <c r="C905" s="270">
        <f>IF('Оперативный ввод'!C905="","",'Оперативный ввод'!C905)</f>
        <v/>
      </c>
      <c r="D905" s="270">
        <f>IF('Оперативный ввод'!D905="","",'Оперативный ввод'!D905)</f>
        <v/>
      </c>
      <c r="E905" s="271">
        <f>IF(OR(C905="",D905=""),"",D905-C905)</f>
        <v/>
      </c>
      <c r="F905" s="172">
        <f>IF('Оперативный ввод'!F905="","",'Оперативный ввод'!F905)</f>
        <v/>
      </c>
      <c r="G905" s="172">
        <f>IF('Оперативный ввод'!G905="","",'Оперативный ввод'!G905)</f>
        <v/>
      </c>
      <c r="H905" s="172">
        <f>IF('Оперативный ввод'!H905="","",'Оперативный ввод'!H905)</f>
        <v/>
      </c>
      <c r="I905" s="172">
        <f>IF('Оперативный ввод'!I905="","",'Оперативный ввод'!I905)</f>
        <v/>
      </c>
      <c r="J905" s="172">
        <f>IF('Оперативный ввод'!J905="","",'Оперативный ввод'!J905)</f>
        <v/>
      </c>
      <c r="K905" s="172">
        <f>IF('Оперативный ввод'!K905="","",'Оперативный ввод'!K905)</f>
        <v/>
      </c>
      <c r="L905" s="172">
        <f>IF('Оперативный ввод'!L905="","",'Оперативный ввод'!L905)</f>
        <v/>
      </c>
      <c r="M905" s="172">
        <f>IF('Оперативный ввод'!M905="","",'Оперативный ввод'!M905)</f>
        <v/>
      </c>
      <c r="N905" s="172">
        <f>IF('Оперативный ввод'!N905="","",'Оперативный ввод'!N905)</f>
        <v/>
      </c>
      <c r="O905" s="172">
        <f>IF('Оперативный ввод'!O905="","",'Оперативный ввод'!O905)</f>
        <v/>
      </c>
      <c r="P905" s="205">
        <f>IF(AND(A905="",B905=""),"",IF(AND(A905&lt;&gt;"",B905&lt;&gt;"",C905&lt;&gt;"",D905&lt;&gt;"",F905&lt;&gt;"",G905&lt;&gt;"",H905&lt;&gt;"",ISERROR(SEARCH("по паспорту",G905)),ISERROR(SEARCH("по паспорту",H905)),I905&lt;&gt;"",J905&lt;&gt;"",K905&lt;&gt;"",L905&lt;&gt;"",M905&lt;&gt;""),"ГОТОВО","НЕ ГОТОВО"))</f>
        <v/>
      </c>
      <c r="Q905" s="205">
        <f>IF(P905&lt;&gt;"ГОТОВО","", "Предварительное заключение: "&amp;A905&amp;", скв. "&amp;B905&amp;". МРП: "&amp;E905&amp;" сут. ГНО: "&amp;F905&amp;", типоразмер "&amp;G905&amp;", марка "&amp;H905&amp;". Событие: "&amp;I905&amp;". Признак: "&amp;J905&amp;". Узел: "&amp;K905&amp;". Предварительная причина: "&amp;L905&amp;". Основное осложнение: "&amp;M905&amp;IF(N905&lt;&gt;"","; сопутствующее: "&amp;N905,"")&amp;IF(O905&lt;&gt;"","; дополнительно: "&amp;O905,"")&amp;".")</f>
        <v/>
      </c>
      <c r="R905" s="172">
        <f>IF('Оперативный ввод'!P905="","",'Оперативный ввод'!P905)</f>
        <v/>
      </c>
      <c r="S905" s="172">
        <f>IF('Оперативный ввод'!Q905="","",'Оперативный ввод'!Q905)</f>
        <v/>
      </c>
      <c r="T905" s="172">
        <f>IF('Оперативный ввод'!R905="","",'Оперативный ввод'!R905)</f>
        <v/>
      </c>
      <c r="U905" s="172">
        <f>IF('Оперативный ввод'!S905="","",'Оперативный ввод'!S905)</f>
        <v/>
      </c>
      <c r="V905" s="172">
        <f>IF('Оперативный ввод'!T905="","",'Оперативный ввод'!T905)</f>
        <v/>
      </c>
      <c r="W905" s="172" t="n"/>
      <c r="X905" s="172" t="n"/>
      <c r="Y905" s="172" t="n"/>
      <c r="Z905" s="172" t="n"/>
      <c r="AA905" s="172">
        <f>IF('Оперативный ввод'!U905="","",'Оперативный ввод'!U905)</f>
        <v/>
      </c>
      <c r="AB905" s="172">
        <f>IF('Оперативный ввод'!V905="","",'Оперативный ввод'!V905)</f>
        <v/>
      </c>
      <c r="AC905" s="172">
        <f>IF('Оперативный ввод'!W905="","",'Оперативный ввод'!W905)</f>
        <v/>
      </c>
      <c r="BB905" s="172" t="n"/>
      <c r="BC905" s="172" t="n"/>
      <c r="BD905" s="205">
        <f>IF(AND(A905="",B905=""),"",IF(AND(P905="ГОТОВО",R905&lt;&gt;"",T905&lt;&gt;"",U905&lt;&gt;"",AA905&lt;&gt;"",AB905&lt;&gt;"",AC905&lt;&gt;"",BB905&lt;&gt;"",BC905&lt;&gt;""),"ГОТОВО","НЕ ГОТОВО"))</f>
        <v/>
      </c>
      <c r="BE905" s="205">
        <f>IF(BD905&lt;&gt;"ГОТОВО","","Полное заключение: "&amp;A905&amp;", скв. "&amp;B905&amp;". МРП: "&amp;E905&amp;" сут. ГНО: "&amp;F905&amp;"; причина: "&amp;U905&amp;"; категория: "&amp;V905&amp;"; решение комиссии: "&amp;BB905&amp;".")</f>
        <v/>
      </c>
      <c r="BF905" s="173">
        <f>IF('Оперативный ввод'!X905="","",'Оперативный ввод'!X905)</f>
        <v/>
      </c>
    </row>
    <row r="906">
      <c r="A906" s="171">
        <f>IF('Оперативный ввод'!A906="","",'Оперативный ввод'!A906)</f>
        <v/>
      </c>
      <c r="B906" s="172">
        <f>IF('Оперативный ввод'!B906="","",'Оперативный ввод'!B906)</f>
        <v/>
      </c>
      <c r="C906" s="270">
        <f>IF('Оперативный ввод'!C906="","",'Оперативный ввод'!C906)</f>
        <v/>
      </c>
      <c r="D906" s="270">
        <f>IF('Оперативный ввод'!D906="","",'Оперативный ввод'!D906)</f>
        <v/>
      </c>
      <c r="E906" s="271">
        <f>IF(OR(C906="",D906=""),"",D906-C906)</f>
        <v/>
      </c>
      <c r="F906" s="172">
        <f>IF('Оперативный ввод'!F906="","",'Оперативный ввод'!F906)</f>
        <v/>
      </c>
      <c r="G906" s="172">
        <f>IF('Оперативный ввод'!G906="","",'Оперативный ввод'!G906)</f>
        <v/>
      </c>
      <c r="H906" s="172">
        <f>IF('Оперативный ввод'!H906="","",'Оперативный ввод'!H906)</f>
        <v/>
      </c>
      <c r="I906" s="172">
        <f>IF('Оперативный ввод'!I906="","",'Оперативный ввод'!I906)</f>
        <v/>
      </c>
      <c r="J906" s="172">
        <f>IF('Оперативный ввод'!J906="","",'Оперативный ввод'!J906)</f>
        <v/>
      </c>
      <c r="K906" s="172">
        <f>IF('Оперативный ввод'!K906="","",'Оперативный ввод'!K906)</f>
        <v/>
      </c>
      <c r="L906" s="172">
        <f>IF('Оперативный ввод'!L906="","",'Оперативный ввод'!L906)</f>
        <v/>
      </c>
      <c r="M906" s="172">
        <f>IF('Оперативный ввод'!M906="","",'Оперативный ввод'!M906)</f>
        <v/>
      </c>
      <c r="N906" s="172">
        <f>IF('Оперативный ввод'!N906="","",'Оперативный ввод'!N906)</f>
        <v/>
      </c>
      <c r="O906" s="172">
        <f>IF('Оперативный ввод'!O906="","",'Оперативный ввод'!O906)</f>
        <v/>
      </c>
      <c r="P906" s="205">
        <f>IF(AND(A906="",B906=""),"",IF(AND(A906&lt;&gt;"",B906&lt;&gt;"",C906&lt;&gt;"",D906&lt;&gt;"",F906&lt;&gt;"",G906&lt;&gt;"",H906&lt;&gt;"",ISERROR(SEARCH("по паспорту",G906)),ISERROR(SEARCH("по паспорту",H906)),I906&lt;&gt;"",J906&lt;&gt;"",K906&lt;&gt;"",L906&lt;&gt;"",M906&lt;&gt;""),"ГОТОВО","НЕ ГОТОВО"))</f>
        <v/>
      </c>
      <c r="Q906" s="205">
        <f>IF(P906&lt;&gt;"ГОТОВО","", "Предварительное заключение: "&amp;A906&amp;", скв. "&amp;B906&amp;". МРП: "&amp;E906&amp;" сут. ГНО: "&amp;F906&amp;", типоразмер "&amp;G906&amp;", марка "&amp;H906&amp;". Событие: "&amp;I906&amp;". Признак: "&amp;J906&amp;". Узел: "&amp;K906&amp;". Предварительная причина: "&amp;L906&amp;". Основное осложнение: "&amp;M906&amp;IF(N906&lt;&gt;"","; сопутствующее: "&amp;N906,"")&amp;IF(O906&lt;&gt;"","; дополнительно: "&amp;O906,"")&amp;".")</f>
        <v/>
      </c>
      <c r="R906" s="172">
        <f>IF('Оперативный ввод'!P906="","",'Оперативный ввод'!P906)</f>
        <v/>
      </c>
      <c r="S906" s="172">
        <f>IF('Оперативный ввод'!Q906="","",'Оперативный ввод'!Q906)</f>
        <v/>
      </c>
      <c r="T906" s="172">
        <f>IF('Оперативный ввод'!R906="","",'Оперативный ввод'!R906)</f>
        <v/>
      </c>
      <c r="U906" s="172">
        <f>IF('Оперативный ввод'!S906="","",'Оперативный ввод'!S906)</f>
        <v/>
      </c>
      <c r="V906" s="172">
        <f>IF('Оперативный ввод'!T906="","",'Оперативный ввод'!T906)</f>
        <v/>
      </c>
      <c r="W906" s="172" t="n"/>
      <c r="X906" s="172" t="n"/>
      <c r="Y906" s="172" t="n"/>
      <c r="Z906" s="172" t="n"/>
      <c r="AA906" s="172">
        <f>IF('Оперативный ввод'!U906="","",'Оперативный ввод'!U906)</f>
        <v/>
      </c>
      <c r="AB906" s="172">
        <f>IF('Оперативный ввод'!V906="","",'Оперативный ввод'!V906)</f>
        <v/>
      </c>
      <c r="AC906" s="172">
        <f>IF('Оперативный ввод'!W906="","",'Оперативный ввод'!W906)</f>
        <v/>
      </c>
      <c r="BB906" s="172" t="n"/>
      <c r="BC906" s="172" t="n"/>
      <c r="BD906" s="205">
        <f>IF(AND(A906="",B906=""),"",IF(AND(P906="ГОТОВО",R906&lt;&gt;"",T906&lt;&gt;"",U906&lt;&gt;"",AA906&lt;&gt;"",AB906&lt;&gt;"",AC906&lt;&gt;"",BB906&lt;&gt;"",BC906&lt;&gt;""),"ГОТОВО","НЕ ГОТОВО"))</f>
        <v/>
      </c>
      <c r="BE906" s="205">
        <f>IF(BD906&lt;&gt;"ГОТОВО","","Полное заключение: "&amp;A906&amp;", скв. "&amp;B906&amp;". МРП: "&amp;E906&amp;" сут. ГНО: "&amp;F906&amp;"; причина: "&amp;U906&amp;"; категория: "&amp;V906&amp;"; решение комиссии: "&amp;BB906&amp;".")</f>
        <v/>
      </c>
      <c r="BF906" s="173">
        <f>IF('Оперативный ввод'!X906="","",'Оперативный ввод'!X906)</f>
        <v/>
      </c>
    </row>
    <row r="907">
      <c r="A907" s="171">
        <f>IF('Оперативный ввод'!A907="","",'Оперативный ввод'!A907)</f>
        <v/>
      </c>
      <c r="B907" s="172">
        <f>IF('Оперативный ввод'!B907="","",'Оперативный ввод'!B907)</f>
        <v/>
      </c>
      <c r="C907" s="270">
        <f>IF('Оперативный ввод'!C907="","",'Оперативный ввод'!C907)</f>
        <v/>
      </c>
      <c r="D907" s="270">
        <f>IF('Оперативный ввод'!D907="","",'Оперативный ввод'!D907)</f>
        <v/>
      </c>
      <c r="E907" s="271">
        <f>IF(OR(C907="",D907=""),"",D907-C907)</f>
        <v/>
      </c>
      <c r="F907" s="172">
        <f>IF('Оперативный ввод'!F907="","",'Оперативный ввод'!F907)</f>
        <v/>
      </c>
      <c r="G907" s="172">
        <f>IF('Оперативный ввод'!G907="","",'Оперативный ввод'!G907)</f>
        <v/>
      </c>
      <c r="H907" s="172">
        <f>IF('Оперативный ввод'!H907="","",'Оперативный ввод'!H907)</f>
        <v/>
      </c>
      <c r="I907" s="172">
        <f>IF('Оперативный ввод'!I907="","",'Оперативный ввод'!I907)</f>
        <v/>
      </c>
      <c r="J907" s="172">
        <f>IF('Оперативный ввод'!J907="","",'Оперативный ввод'!J907)</f>
        <v/>
      </c>
      <c r="K907" s="172">
        <f>IF('Оперативный ввод'!K907="","",'Оперативный ввод'!K907)</f>
        <v/>
      </c>
      <c r="L907" s="172">
        <f>IF('Оперативный ввод'!L907="","",'Оперативный ввод'!L907)</f>
        <v/>
      </c>
      <c r="M907" s="172">
        <f>IF('Оперативный ввод'!M907="","",'Оперативный ввод'!M907)</f>
        <v/>
      </c>
      <c r="N907" s="172">
        <f>IF('Оперативный ввод'!N907="","",'Оперативный ввод'!N907)</f>
        <v/>
      </c>
      <c r="O907" s="172">
        <f>IF('Оперативный ввод'!O907="","",'Оперативный ввод'!O907)</f>
        <v/>
      </c>
      <c r="P907" s="205">
        <f>IF(AND(A907="",B907=""),"",IF(AND(A907&lt;&gt;"",B907&lt;&gt;"",C907&lt;&gt;"",D907&lt;&gt;"",F907&lt;&gt;"",G907&lt;&gt;"",H907&lt;&gt;"",ISERROR(SEARCH("по паспорту",G907)),ISERROR(SEARCH("по паспорту",H907)),I907&lt;&gt;"",J907&lt;&gt;"",K907&lt;&gt;"",L907&lt;&gt;"",M907&lt;&gt;""),"ГОТОВО","НЕ ГОТОВО"))</f>
        <v/>
      </c>
      <c r="Q907" s="205">
        <f>IF(P907&lt;&gt;"ГОТОВО","", "Предварительное заключение: "&amp;A907&amp;", скв. "&amp;B907&amp;". МРП: "&amp;E907&amp;" сут. ГНО: "&amp;F907&amp;", типоразмер "&amp;G907&amp;", марка "&amp;H907&amp;". Событие: "&amp;I907&amp;". Признак: "&amp;J907&amp;". Узел: "&amp;K907&amp;". Предварительная причина: "&amp;L907&amp;". Основное осложнение: "&amp;M907&amp;IF(N907&lt;&gt;"","; сопутствующее: "&amp;N907,"")&amp;IF(O907&lt;&gt;"","; дополнительно: "&amp;O907,"")&amp;".")</f>
        <v/>
      </c>
      <c r="R907" s="172">
        <f>IF('Оперативный ввод'!P907="","",'Оперативный ввод'!P907)</f>
        <v/>
      </c>
      <c r="S907" s="172">
        <f>IF('Оперативный ввод'!Q907="","",'Оперативный ввод'!Q907)</f>
        <v/>
      </c>
      <c r="T907" s="172">
        <f>IF('Оперативный ввод'!R907="","",'Оперативный ввод'!R907)</f>
        <v/>
      </c>
      <c r="U907" s="172">
        <f>IF('Оперативный ввод'!S907="","",'Оперативный ввод'!S907)</f>
        <v/>
      </c>
      <c r="V907" s="172">
        <f>IF('Оперативный ввод'!T907="","",'Оперативный ввод'!T907)</f>
        <v/>
      </c>
      <c r="W907" s="172" t="n"/>
      <c r="X907" s="172" t="n"/>
      <c r="Y907" s="172" t="n"/>
      <c r="Z907" s="172" t="n"/>
      <c r="AA907" s="172">
        <f>IF('Оперативный ввод'!U907="","",'Оперативный ввод'!U907)</f>
        <v/>
      </c>
      <c r="AB907" s="172">
        <f>IF('Оперативный ввод'!V907="","",'Оперативный ввод'!V907)</f>
        <v/>
      </c>
      <c r="AC907" s="172">
        <f>IF('Оперативный ввод'!W907="","",'Оперативный ввод'!W907)</f>
        <v/>
      </c>
      <c r="BB907" s="172" t="n"/>
      <c r="BC907" s="172" t="n"/>
      <c r="BD907" s="205">
        <f>IF(AND(A907="",B907=""),"",IF(AND(P907="ГОТОВО",R907&lt;&gt;"",T907&lt;&gt;"",U907&lt;&gt;"",AA907&lt;&gt;"",AB907&lt;&gt;"",AC907&lt;&gt;"",BB907&lt;&gt;"",BC907&lt;&gt;""),"ГОТОВО","НЕ ГОТОВО"))</f>
        <v/>
      </c>
      <c r="BE907" s="205">
        <f>IF(BD907&lt;&gt;"ГОТОВО","","Полное заключение: "&amp;A907&amp;", скв. "&amp;B907&amp;". МРП: "&amp;E907&amp;" сут. ГНО: "&amp;F907&amp;"; причина: "&amp;U907&amp;"; категория: "&amp;V907&amp;"; решение комиссии: "&amp;BB907&amp;".")</f>
        <v/>
      </c>
      <c r="BF907" s="173">
        <f>IF('Оперативный ввод'!X907="","",'Оперативный ввод'!X907)</f>
        <v/>
      </c>
    </row>
    <row r="908">
      <c r="A908" s="171">
        <f>IF('Оперативный ввод'!A908="","",'Оперативный ввод'!A908)</f>
        <v/>
      </c>
      <c r="B908" s="172">
        <f>IF('Оперативный ввод'!B908="","",'Оперативный ввод'!B908)</f>
        <v/>
      </c>
      <c r="C908" s="270">
        <f>IF('Оперативный ввод'!C908="","",'Оперативный ввод'!C908)</f>
        <v/>
      </c>
      <c r="D908" s="270">
        <f>IF('Оперативный ввод'!D908="","",'Оперативный ввод'!D908)</f>
        <v/>
      </c>
      <c r="E908" s="271">
        <f>IF(OR(C908="",D908=""),"",D908-C908)</f>
        <v/>
      </c>
      <c r="F908" s="172">
        <f>IF('Оперативный ввод'!F908="","",'Оперативный ввод'!F908)</f>
        <v/>
      </c>
      <c r="G908" s="172">
        <f>IF('Оперативный ввод'!G908="","",'Оперативный ввод'!G908)</f>
        <v/>
      </c>
      <c r="H908" s="172">
        <f>IF('Оперативный ввод'!H908="","",'Оперативный ввод'!H908)</f>
        <v/>
      </c>
      <c r="I908" s="172">
        <f>IF('Оперативный ввод'!I908="","",'Оперативный ввод'!I908)</f>
        <v/>
      </c>
      <c r="J908" s="172">
        <f>IF('Оперативный ввод'!J908="","",'Оперативный ввод'!J908)</f>
        <v/>
      </c>
      <c r="K908" s="172">
        <f>IF('Оперативный ввод'!K908="","",'Оперативный ввод'!K908)</f>
        <v/>
      </c>
      <c r="L908" s="172">
        <f>IF('Оперативный ввод'!L908="","",'Оперативный ввод'!L908)</f>
        <v/>
      </c>
      <c r="M908" s="172">
        <f>IF('Оперативный ввод'!M908="","",'Оперативный ввод'!M908)</f>
        <v/>
      </c>
      <c r="N908" s="172">
        <f>IF('Оперативный ввод'!N908="","",'Оперативный ввод'!N908)</f>
        <v/>
      </c>
      <c r="O908" s="172">
        <f>IF('Оперативный ввод'!O908="","",'Оперативный ввод'!O908)</f>
        <v/>
      </c>
      <c r="P908" s="205">
        <f>IF(AND(A908="",B908=""),"",IF(AND(A908&lt;&gt;"",B908&lt;&gt;"",C908&lt;&gt;"",D908&lt;&gt;"",F908&lt;&gt;"",G908&lt;&gt;"",H908&lt;&gt;"",ISERROR(SEARCH("по паспорту",G908)),ISERROR(SEARCH("по паспорту",H908)),I908&lt;&gt;"",J908&lt;&gt;"",K908&lt;&gt;"",L908&lt;&gt;"",M908&lt;&gt;""),"ГОТОВО","НЕ ГОТОВО"))</f>
        <v/>
      </c>
      <c r="Q908" s="205">
        <f>IF(P908&lt;&gt;"ГОТОВО","", "Предварительное заключение: "&amp;A908&amp;", скв. "&amp;B908&amp;". МРП: "&amp;E908&amp;" сут. ГНО: "&amp;F908&amp;", типоразмер "&amp;G908&amp;", марка "&amp;H908&amp;". Событие: "&amp;I908&amp;". Признак: "&amp;J908&amp;". Узел: "&amp;K908&amp;". Предварительная причина: "&amp;L908&amp;". Основное осложнение: "&amp;M908&amp;IF(N908&lt;&gt;"","; сопутствующее: "&amp;N908,"")&amp;IF(O908&lt;&gt;"","; дополнительно: "&amp;O908,"")&amp;".")</f>
        <v/>
      </c>
      <c r="R908" s="172">
        <f>IF('Оперативный ввод'!P908="","",'Оперативный ввод'!P908)</f>
        <v/>
      </c>
      <c r="S908" s="172">
        <f>IF('Оперативный ввод'!Q908="","",'Оперативный ввод'!Q908)</f>
        <v/>
      </c>
      <c r="T908" s="172">
        <f>IF('Оперативный ввод'!R908="","",'Оперативный ввод'!R908)</f>
        <v/>
      </c>
      <c r="U908" s="172">
        <f>IF('Оперативный ввод'!S908="","",'Оперативный ввод'!S908)</f>
        <v/>
      </c>
      <c r="V908" s="172">
        <f>IF('Оперативный ввод'!T908="","",'Оперативный ввод'!T908)</f>
        <v/>
      </c>
      <c r="W908" s="172" t="n"/>
      <c r="X908" s="172" t="n"/>
      <c r="Y908" s="172" t="n"/>
      <c r="Z908" s="172" t="n"/>
      <c r="AA908" s="172">
        <f>IF('Оперативный ввод'!U908="","",'Оперативный ввод'!U908)</f>
        <v/>
      </c>
      <c r="AB908" s="172">
        <f>IF('Оперативный ввод'!V908="","",'Оперативный ввод'!V908)</f>
        <v/>
      </c>
      <c r="AC908" s="172">
        <f>IF('Оперативный ввод'!W908="","",'Оперативный ввод'!W908)</f>
        <v/>
      </c>
      <c r="BB908" s="172" t="n"/>
      <c r="BC908" s="172" t="n"/>
      <c r="BD908" s="205">
        <f>IF(AND(A908="",B908=""),"",IF(AND(P908="ГОТОВО",R908&lt;&gt;"",T908&lt;&gt;"",U908&lt;&gt;"",AA908&lt;&gt;"",AB908&lt;&gt;"",AC908&lt;&gt;"",BB908&lt;&gt;"",BC908&lt;&gt;""),"ГОТОВО","НЕ ГОТОВО"))</f>
        <v/>
      </c>
      <c r="BE908" s="205">
        <f>IF(BD908&lt;&gt;"ГОТОВО","","Полное заключение: "&amp;A908&amp;", скв. "&amp;B908&amp;". МРП: "&amp;E908&amp;" сут. ГНО: "&amp;F908&amp;"; причина: "&amp;U908&amp;"; категория: "&amp;V908&amp;"; решение комиссии: "&amp;BB908&amp;".")</f>
        <v/>
      </c>
      <c r="BF908" s="173">
        <f>IF('Оперативный ввод'!X908="","",'Оперативный ввод'!X908)</f>
        <v/>
      </c>
    </row>
    <row r="909">
      <c r="A909" s="171">
        <f>IF('Оперативный ввод'!A909="","",'Оперативный ввод'!A909)</f>
        <v/>
      </c>
      <c r="B909" s="172">
        <f>IF('Оперативный ввод'!B909="","",'Оперативный ввод'!B909)</f>
        <v/>
      </c>
      <c r="C909" s="270">
        <f>IF('Оперативный ввод'!C909="","",'Оперативный ввод'!C909)</f>
        <v/>
      </c>
      <c r="D909" s="270">
        <f>IF('Оперативный ввод'!D909="","",'Оперативный ввод'!D909)</f>
        <v/>
      </c>
      <c r="E909" s="271">
        <f>IF(OR(C909="",D909=""),"",D909-C909)</f>
        <v/>
      </c>
      <c r="F909" s="172">
        <f>IF('Оперативный ввод'!F909="","",'Оперативный ввод'!F909)</f>
        <v/>
      </c>
      <c r="G909" s="172">
        <f>IF('Оперативный ввод'!G909="","",'Оперативный ввод'!G909)</f>
        <v/>
      </c>
      <c r="H909" s="172">
        <f>IF('Оперативный ввод'!H909="","",'Оперативный ввод'!H909)</f>
        <v/>
      </c>
      <c r="I909" s="172">
        <f>IF('Оперативный ввод'!I909="","",'Оперативный ввод'!I909)</f>
        <v/>
      </c>
      <c r="J909" s="172">
        <f>IF('Оперативный ввод'!J909="","",'Оперативный ввод'!J909)</f>
        <v/>
      </c>
      <c r="K909" s="172">
        <f>IF('Оперативный ввод'!K909="","",'Оперативный ввод'!K909)</f>
        <v/>
      </c>
      <c r="L909" s="172">
        <f>IF('Оперативный ввод'!L909="","",'Оперативный ввод'!L909)</f>
        <v/>
      </c>
      <c r="M909" s="172">
        <f>IF('Оперативный ввод'!M909="","",'Оперативный ввод'!M909)</f>
        <v/>
      </c>
      <c r="N909" s="172">
        <f>IF('Оперативный ввод'!N909="","",'Оперативный ввод'!N909)</f>
        <v/>
      </c>
      <c r="O909" s="172">
        <f>IF('Оперативный ввод'!O909="","",'Оперативный ввод'!O909)</f>
        <v/>
      </c>
      <c r="P909" s="205">
        <f>IF(AND(A909="",B909=""),"",IF(AND(A909&lt;&gt;"",B909&lt;&gt;"",C909&lt;&gt;"",D909&lt;&gt;"",F909&lt;&gt;"",G909&lt;&gt;"",H909&lt;&gt;"",ISERROR(SEARCH("по паспорту",G909)),ISERROR(SEARCH("по паспорту",H909)),I909&lt;&gt;"",J909&lt;&gt;"",K909&lt;&gt;"",L909&lt;&gt;"",M909&lt;&gt;""),"ГОТОВО","НЕ ГОТОВО"))</f>
        <v/>
      </c>
      <c r="Q909" s="205">
        <f>IF(P909&lt;&gt;"ГОТОВО","", "Предварительное заключение: "&amp;A909&amp;", скв. "&amp;B909&amp;". МРП: "&amp;E909&amp;" сут. ГНО: "&amp;F909&amp;", типоразмер "&amp;G909&amp;", марка "&amp;H909&amp;". Событие: "&amp;I909&amp;". Признак: "&amp;J909&amp;". Узел: "&amp;K909&amp;". Предварительная причина: "&amp;L909&amp;". Основное осложнение: "&amp;M909&amp;IF(N909&lt;&gt;"","; сопутствующее: "&amp;N909,"")&amp;IF(O909&lt;&gt;"","; дополнительно: "&amp;O909,"")&amp;".")</f>
        <v/>
      </c>
      <c r="R909" s="172">
        <f>IF('Оперативный ввод'!P909="","",'Оперативный ввод'!P909)</f>
        <v/>
      </c>
      <c r="S909" s="172">
        <f>IF('Оперативный ввод'!Q909="","",'Оперативный ввод'!Q909)</f>
        <v/>
      </c>
      <c r="T909" s="172">
        <f>IF('Оперативный ввод'!R909="","",'Оперативный ввод'!R909)</f>
        <v/>
      </c>
      <c r="U909" s="172">
        <f>IF('Оперативный ввод'!S909="","",'Оперативный ввод'!S909)</f>
        <v/>
      </c>
      <c r="V909" s="172">
        <f>IF('Оперативный ввод'!T909="","",'Оперативный ввод'!T909)</f>
        <v/>
      </c>
      <c r="W909" s="172" t="n"/>
      <c r="X909" s="172" t="n"/>
      <c r="Y909" s="172" t="n"/>
      <c r="Z909" s="172" t="n"/>
      <c r="AA909" s="172">
        <f>IF('Оперативный ввод'!U909="","",'Оперативный ввод'!U909)</f>
        <v/>
      </c>
      <c r="AB909" s="172">
        <f>IF('Оперативный ввод'!V909="","",'Оперативный ввод'!V909)</f>
        <v/>
      </c>
      <c r="AC909" s="172">
        <f>IF('Оперативный ввод'!W909="","",'Оперативный ввод'!W909)</f>
        <v/>
      </c>
      <c r="BB909" s="172" t="n"/>
      <c r="BC909" s="172" t="n"/>
      <c r="BD909" s="205">
        <f>IF(AND(A909="",B909=""),"",IF(AND(P909="ГОТОВО",R909&lt;&gt;"",T909&lt;&gt;"",U909&lt;&gt;"",AA909&lt;&gt;"",AB909&lt;&gt;"",AC909&lt;&gt;"",BB909&lt;&gt;"",BC909&lt;&gt;""),"ГОТОВО","НЕ ГОТОВО"))</f>
        <v/>
      </c>
      <c r="BE909" s="205">
        <f>IF(BD909&lt;&gt;"ГОТОВО","","Полное заключение: "&amp;A909&amp;", скв. "&amp;B909&amp;". МРП: "&amp;E909&amp;" сут. ГНО: "&amp;F909&amp;"; причина: "&amp;U909&amp;"; категория: "&amp;V909&amp;"; решение комиссии: "&amp;BB909&amp;".")</f>
        <v/>
      </c>
      <c r="BF909" s="173">
        <f>IF('Оперативный ввод'!X909="","",'Оперативный ввод'!X909)</f>
        <v/>
      </c>
    </row>
    <row r="910">
      <c r="A910" s="171">
        <f>IF('Оперативный ввод'!A910="","",'Оперативный ввод'!A910)</f>
        <v/>
      </c>
      <c r="B910" s="172">
        <f>IF('Оперативный ввод'!B910="","",'Оперативный ввод'!B910)</f>
        <v/>
      </c>
      <c r="C910" s="270">
        <f>IF('Оперативный ввод'!C910="","",'Оперативный ввод'!C910)</f>
        <v/>
      </c>
      <c r="D910" s="270">
        <f>IF('Оперативный ввод'!D910="","",'Оперативный ввод'!D910)</f>
        <v/>
      </c>
      <c r="E910" s="271">
        <f>IF(OR(C910="",D910=""),"",D910-C910)</f>
        <v/>
      </c>
      <c r="F910" s="172">
        <f>IF('Оперативный ввод'!F910="","",'Оперативный ввод'!F910)</f>
        <v/>
      </c>
      <c r="G910" s="172">
        <f>IF('Оперативный ввод'!G910="","",'Оперативный ввод'!G910)</f>
        <v/>
      </c>
      <c r="H910" s="172">
        <f>IF('Оперативный ввод'!H910="","",'Оперативный ввод'!H910)</f>
        <v/>
      </c>
      <c r="I910" s="172">
        <f>IF('Оперативный ввод'!I910="","",'Оперативный ввод'!I910)</f>
        <v/>
      </c>
      <c r="J910" s="172">
        <f>IF('Оперативный ввод'!J910="","",'Оперативный ввод'!J910)</f>
        <v/>
      </c>
      <c r="K910" s="172">
        <f>IF('Оперативный ввод'!K910="","",'Оперативный ввод'!K910)</f>
        <v/>
      </c>
      <c r="L910" s="172">
        <f>IF('Оперативный ввод'!L910="","",'Оперативный ввод'!L910)</f>
        <v/>
      </c>
      <c r="M910" s="172">
        <f>IF('Оперативный ввод'!M910="","",'Оперативный ввод'!M910)</f>
        <v/>
      </c>
      <c r="N910" s="172">
        <f>IF('Оперативный ввод'!N910="","",'Оперативный ввод'!N910)</f>
        <v/>
      </c>
      <c r="O910" s="172">
        <f>IF('Оперативный ввод'!O910="","",'Оперативный ввод'!O910)</f>
        <v/>
      </c>
      <c r="P910" s="205">
        <f>IF(AND(A910="",B910=""),"",IF(AND(A910&lt;&gt;"",B910&lt;&gt;"",C910&lt;&gt;"",D910&lt;&gt;"",F910&lt;&gt;"",G910&lt;&gt;"",H910&lt;&gt;"",ISERROR(SEARCH("по паспорту",G910)),ISERROR(SEARCH("по паспорту",H910)),I910&lt;&gt;"",J910&lt;&gt;"",K910&lt;&gt;"",L910&lt;&gt;"",M910&lt;&gt;""),"ГОТОВО","НЕ ГОТОВО"))</f>
        <v/>
      </c>
      <c r="Q910" s="205">
        <f>IF(P910&lt;&gt;"ГОТОВО","", "Предварительное заключение: "&amp;A910&amp;", скв. "&amp;B910&amp;". МРП: "&amp;E910&amp;" сут. ГНО: "&amp;F910&amp;", типоразмер "&amp;G910&amp;", марка "&amp;H910&amp;". Событие: "&amp;I910&amp;". Признак: "&amp;J910&amp;". Узел: "&amp;K910&amp;". Предварительная причина: "&amp;L910&amp;". Основное осложнение: "&amp;M910&amp;IF(N910&lt;&gt;"","; сопутствующее: "&amp;N910,"")&amp;IF(O910&lt;&gt;"","; дополнительно: "&amp;O910,"")&amp;".")</f>
        <v/>
      </c>
      <c r="R910" s="172">
        <f>IF('Оперативный ввод'!P910="","",'Оперативный ввод'!P910)</f>
        <v/>
      </c>
      <c r="S910" s="172">
        <f>IF('Оперативный ввод'!Q910="","",'Оперативный ввод'!Q910)</f>
        <v/>
      </c>
      <c r="T910" s="172">
        <f>IF('Оперативный ввод'!R910="","",'Оперативный ввод'!R910)</f>
        <v/>
      </c>
      <c r="U910" s="172">
        <f>IF('Оперативный ввод'!S910="","",'Оперативный ввод'!S910)</f>
        <v/>
      </c>
      <c r="V910" s="172">
        <f>IF('Оперативный ввод'!T910="","",'Оперативный ввод'!T910)</f>
        <v/>
      </c>
      <c r="W910" s="172" t="n"/>
      <c r="X910" s="172" t="n"/>
      <c r="Y910" s="172" t="n"/>
      <c r="Z910" s="172" t="n"/>
      <c r="AA910" s="172">
        <f>IF('Оперативный ввод'!U910="","",'Оперативный ввод'!U910)</f>
        <v/>
      </c>
      <c r="AB910" s="172">
        <f>IF('Оперативный ввод'!V910="","",'Оперативный ввод'!V910)</f>
        <v/>
      </c>
      <c r="AC910" s="172">
        <f>IF('Оперативный ввод'!W910="","",'Оперативный ввод'!W910)</f>
        <v/>
      </c>
      <c r="BB910" s="172" t="n"/>
      <c r="BC910" s="172" t="n"/>
      <c r="BD910" s="205">
        <f>IF(AND(A910="",B910=""),"",IF(AND(P910="ГОТОВО",R910&lt;&gt;"",T910&lt;&gt;"",U910&lt;&gt;"",AA910&lt;&gt;"",AB910&lt;&gt;"",AC910&lt;&gt;"",BB910&lt;&gt;"",BC910&lt;&gt;""),"ГОТОВО","НЕ ГОТОВО"))</f>
        <v/>
      </c>
      <c r="BE910" s="205">
        <f>IF(BD910&lt;&gt;"ГОТОВО","","Полное заключение: "&amp;A910&amp;", скв. "&amp;B910&amp;". МРП: "&amp;E910&amp;" сут. ГНО: "&amp;F910&amp;"; причина: "&amp;U910&amp;"; категория: "&amp;V910&amp;"; решение комиссии: "&amp;BB910&amp;".")</f>
        <v/>
      </c>
      <c r="BF910" s="173">
        <f>IF('Оперативный ввод'!X910="","",'Оперативный ввод'!X910)</f>
        <v/>
      </c>
    </row>
    <row r="911">
      <c r="A911" s="171">
        <f>IF('Оперативный ввод'!A911="","",'Оперативный ввод'!A911)</f>
        <v/>
      </c>
      <c r="B911" s="172">
        <f>IF('Оперативный ввод'!B911="","",'Оперативный ввод'!B911)</f>
        <v/>
      </c>
      <c r="C911" s="270">
        <f>IF('Оперативный ввод'!C911="","",'Оперативный ввод'!C911)</f>
        <v/>
      </c>
      <c r="D911" s="270">
        <f>IF('Оперативный ввод'!D911="","",'Оперативный ввод'!D911)</f>
        <v/>
      </c>
      <c r="E911" s="271">
        <f>IF(OR(C911="",D911=""),"",D911-C911)</f>
        <v/>
      </c>
      <c r="F911" s="172">
        <f>IF('Оперативный ввод'!F911="","",'Оперативный ввод'!F911)</f>
        <v/>
      </c>
      <c r="G911" s="172">
        <f>IF('Оперативный ввод'!G911="","",'Оперативный ввод'!G911)</f>
        <v/>
      </c>
      <c r="H911" s="172">
        <f>IF('Оперативный ввод'!H911="","",'Оперативный ввод'!H911)</f>
        <v/>
      </c>
      <c r="I911" s="172">
        <f>IF('Оперативный ввод'!I911="","",'Оперативный ввод'!I911)</f>
        <v/>
      </c>
      <c r="J911" s="172">
        <f>IF('Оперативный ввод'!J911="","",'Оперативный ввод'!J911)</f>
        <v/>
      </c>
      <c r="K911" s="172">
        <f>IF('Оперативный ввод'!K911="","",'Оперативный ввод'!K911)</f>
        <v/>
      </c>
      <c r="L911" s="172">
        <f>IF('Оперативный ввод'!L911="","",'Оперативный ввод'!L911)</f>
        <v/>
      </c>
      <c r="M911" s="172">
        <f>IF('Оперативный ввод'!M911="","",'Оперативный ввод'!M911)</f>
        <v/>
      </c>
      <c r="N911" s="172">
        <f>IF('Оперативный ввод'!N911="","",'Оперативный ввод'!N911)</f>
        <v/>
      </c>
      <c r="O911" s="172">
        <f>IF('Оперативный ввод'!O911="","",'Оперативный ввод'!O911)</f>
        <v/>
      </c>
      <c r="P911" s="205">
        <f>IF(AND(A911="",B911=""),"",IF(AND(A911&lt;&gt;"",B911&lt;&gt;"",C911&lt;&gt;"",D911&lt;&gt;"",F911&lt;&gt;"",G911&lt;&gt;"",H911&lt;&gt;"",ISERROR(SEARCH("по паспорту",G911)),ISERROR(SEARCH("по паспорту",H911)),I911&lt;&gt;"",J911&lt;&gt;"",K911&lt;&gt;"",L911&lt;&gt;"",M911&lt;&gt;""),"ГОТОВО","НЕ ГОТОВО"))</f>
        <v/>
      </c>
      <c r="Q911" s="205">
        <f>IF(P911&lt;&gt;"ГОТОВО","", "Предварительное заключение: "&amp;A911&amp;", скв. "&amp;B911&amp;". МРП: "&amp;E911&amp;" сут. ГНО: "&amp;F911&amp;", типоразмер "&amp;G911&amp;", марка "&amp;H911&amp;". Событие: "&amp;I911&amp;". Признак: "&amp;J911&amp;". Узел: "&amp;K911&amp;". Предварительная причина: "&amp;L911&amp;". Основное осложнение: "&amp;M911&amp;IF(N911&lt;&gt;"","; сопутствующее: "&amp;N911,"")&amp;IF(O911&lt;&gt;"","; дополнительно: "&amp;O911,"")&amp;".")</f>
        <v/>
      </c>
      <c r="R911" s="172">
        <f>IF('Оперативный ввод'!P911="","",'Оперативный ввод'!P911)</f>
        <v/>
      </c>
      <c r="S911" s="172">
        <f>IF('Оперативный ввод'!Q911="","",'Оперативный ввод'!Q911)</f>
        <v/>
      </c>
      <c r="T911" s="172">
        <f>IF('Оперативный ввод'!R911="","",'Оперативный ввод'!R911)</f>
        <v/>
      </c>
      <c r="U911" s="172">
        <f>IF('Оперативный ввод'!S911="","",'Оперативный ввод'!S911)</f>
        <v/>
      </c>
      <c r="V911" s="172">
        <f>IF('Оперативный ввод'!T911="","",'Оперативный ввод'!T911)</f>
        <v/>
      </c>
      <c r="W911" s="172" t="n"/>
      <c r="X911" s="172" t="n"/>
      <c r="Y911" s="172" t="n"/>
      <c r="Z911" s="172" t="n"/>
      <c r="AA911" s="172">
        <f>IF('Оперативный ввод'!U911="","",'Оперативный ввод'!U911)</f>
        <v/>
      </c>
      <c r="AB911" s="172">
        <f>IF('Оперативный ввод'!V911="","",'Оперативный ввод'!V911)</f>
        <v/>
      </c>
      <c r="AC911" s="172">
        <f>IF('Оперативный ввод'!W911="","",'Оперативный ввод'!W911)</f>
        <v/>
      </c>
      <c r="BB911" s="172" t="n"/>
      <c r="BC911" s="172" t="n"/>
      <c r="BD911" s="205">
        <f>IF(AND(A911="",B911=""),"",IF(AND(P911="ГОТОВО",R911&lt;&gt;"",T911&lt;&gt;"",U911&lt;&gt;"",AA911&lt;&gt;"",AB911&lt;&gt;"",AC911&lt;&gt;"",BB911&lt;&gt;"",BC911&lt;&gt;""),"ГОТОВО","НЕ ГОТОВО"))</f>
        <v/>
      </c>
      <c r="BE911" s="205">
        <f>IF(BD911&lt;&gt;"ГОТОВО","","Полное заключение: "&amp;A911&amp;", скв. "&amp;B911&amp;". МРП: "&amp;E911&amp;" сут. ГНО: "&amp;F911&amp;"; причина: "&amp;U911&amp;"; категория: "&amp;V911&amp;"; решение комиссии: "&amp;BB911&amp;".")</f>
        <v/>
      </c>
      <c r="BF911" s="173">
        <f>IF('Оперативный ввод'!X911="","",'Оперативный ввод'!X911)</f>
        <v/>
      </c>
    </row>
    <row r="912">
      <c r="A912" s="171">
        <f>IF('Оперативный ввод'!A912="","",'Оперативный ввод'!A912)</f>
        <v/>
      </c>
      <c r="B912" s="172">
        <f>IF('Оперативный ввод'!B912="","",'Оперативный ввод'!B912)</f>
        <v/>
      </c>
      <c r="C912" s="270">
        <f>IF('Оперативный ввод'!C912="","",'Оперативный ввод'!C912)</f>
        <v/>
      </c>
      <c r="D912" s="270">
        <f>IF('Оперативный ввод'!D912="","",'Оперативный ввод'!D912)</f>
        <v/>
      </c>
      <c r="E912" s="271">
        <f>IF(OR(C912="",D912=""),"",D912-C912)</f>
        <v/>
      </c>
      <c r="F912" s="172">
        <f>IF('Оперативный ввод'!F912="","",'Оперативный ввод'!F912)</f>
        <v/>
      </c>
      <c r="G912" s="172">
        <f>IF('Оперативный ввод'!G912="","",'Оперативный ввод'!G912)</f>
        <v/>
      </c>
      <c r="H912" s="172">
        <f>IF('Оперативный ввод'!H912="","",'Оперативный ввод'!H912)</f>
        <v/>
      </c>
      <c r="I912" s="172">
        <f>IF('Оперативный ввод'!I912="","",'Оперативный ввод'!I912)</f>
        <v/>
      </c>
      <c r="J912" s="172">
        <f>IF('Оперативный ввод'!J912="","",'Оперативный ввод'!J912)</f>
        <v/>
      </c>
      <c r="K912" s="172">
        <f>IF('Оперативный ввод'!K912="","",'Оперативный ввод'!K912)</f>
        <v/>
      </c>
      <c r="L912" s="172">
        <f>IF('Оперативный ввод'!L912="","",'Оперативный ввод'!L912)</f>
        <v/>
      </c>
      <c r="M912" s="172">
        <f>IF('Оперативный ввод'!M912="","",'Оперативный ввод'!M912)</f>
        <v/>
      </c>
      <c r="N912" s="172">
        <f>IF('Оперативный ввод'!N912="","",'Оперативный ввод'!N912)</f>
        <v/>
      </c>
      <c r="O912" s="172">
        <f>IF('Оперативный ввод'!O912="","",'Оперативный ввод'!O912)</f>
        <v/>
      </c>
      <c r="P912" s="205">
        <f>IF(AND(A912="",B912=""),"",IF(AND(A912&lt;&gt;"",B912&lt;&gt;"",C912&lt;&gt;"",D912&lt;&gt;"",F912&lt;&gt;"",G912&lt;&gt;"",H912&lt;&gt;"",ISERROR(SEARCH("по паспорту",G912)),ISERROR(SEARCH("по паспорту",H912)),I912&lt;&gt;"",J912&lt;&gt;"",K912&lt;&gt;"",L912&lt;&gt;"",M912&lt;&gt;""),"ГОТОВО","НЕ ГОТОВО"))</f>
        <v/>
      </c>
      <c r="Q912" s="205">
        <f>IF(P912&lt;&gt;"ГОТОВО","", "Предварительное заключение: "&amp;A912&amp;", скв. "&amp;B912&amp;". МРП: "&amp;E912&amp;" сут. ГНО: "&amp;F912&amp;", типоразмер "&amp;G912&amp;", марка "&amp;H912&amp;". Событие: "&amp;I912&amp;". Признак: "&amp;J912&amp;". Узел: "&amp;K912&amp;". Предварительная причина: "&amp;L912&amp;". Основное осложнение: "&amp;M912&amp;IF(N912&lt;&gt;"","; сопутствующее: "&amp;N912,"")&amp;IF(O912&lt;&gt;"","; дополнительно: "&amp;O912,"")&amp;".")</f>
        <v/>
      </c>
      <c r="R912" s="172">
        <f>IF('Оперативный ввод'!P912="","",'Оперативный ввод'!P912)</f>
        <v/>
      </c>
      <c r="S912" s="172">
        <f>IF('Оперативный ввод'!Q912="","",'Оперативный ввод'!Q912)</f>
        <v/>
      </c>
      <c r="T912" s="172">
        <f>IF('Оперативный ввод'!R912="","",'Оперативный ввод'!R912)</f>
        <v/>
      </c>
      <c r="U912" s="172">
        <f>IF('Оперативный ввод'!S912="","",'Оперативный ввод'!S912)</f>
        <v/>
      </c>
      <c r="V912" s="172">
        <f>IF('Оперативный ввод'!T912="","",'Оперативный ввод'!T912)</f>
        <v/>
      </c>
      <c r="W912" s="172" t="n"/>
      <c r="X912" s="172" t="n"/>
      <c r="Y912" s="172" t="n"/>
      <c r="Z912" s="172" t="n"/>
      <c r="AA912" s="172">
        <f>IF('Оперативный ввод'!U912="","",'Оперативный ввод'!U912)</f>
        <v/>
      </c>
      <c r="AB912" s="172">
        <f>IF('Оперативный ввод'!V912="","",'Оперативный ввод'!V912)</f>
        <v/>
      </c>
      <c r="AC912" s="172">
        <f>IF('Оперативный ввод'!W912="","",'Оперативный ввод'!W912)</f>
        <v/>
      </c>
      <c r="BB912" s="172" t="n"/>
      <c r="BC912" s="172" t="n"/>
      <c r="BD912" s="205">
        <f>IF(AND(A912="",B912=""),"",IF(AND(P912="ГОТОВО",R912&lt;&gt;"",T912&lt;&gt;"",U912&lt;&gt;"",AA912&lt;&gt;"",AB912&lt;&gt;"",AC912&lt;&gt;"",BB912&lt;&gt;"",BC912&lt;&gt;""),"ГОТОВО","НЕ ГОТОВО"))</f>
        <v/>
      </c>
      <c r="BE912" s="205">
        <f>IF(BD912&lt;&gt;"ГОТОВО","","Полное заключение: "&amp;A912&amp;", скв. "&amp;B912&amp;". МРП: "&amp;E912&amp;" сут. ГНО: "&amp;F912&amp;"; причина: "&amp;U912&amp;"; категория: "&amp;V912&amp;"; решение комиссии: "&amp;BB912&amp;".")</f>
        <v/>
      </c>
      <c r="BF912" s="173">
        <f>IF('Оперативный ввод'!X912="","",'Оперативный ввод'!X912)</f>
        <v/>
      </c>
    </row>
    <row r="913">
      <c r="A913" s="171">
        <f>IF('Оперативный ввод'!A913="","",'Оперативный ввод'!A913)</f>
        <v/>
      </c>
      <c r="B913" s="172">
        <f>IF('Оперативный ввод'!B913="","",'Оперативный ввод'!B913)</f>
        <v/>
      </c>
      <c r="C913" s="270">
        <f>IF('Оперативный ввод'!C913="","",'Оперативный ввод'!C913)</f>
        <v/>
      </c>
      <c r="D913" s="270">
        <f>IF('Оперативный ввод'!D913="","",'Оперативный ввод'!D913)</f>
        <v/>
      </c>
      <c r="E913" s="271">
        <f>IF(OR(C913="",D913=""),"",D913-C913)</f>
        <v/>
      </c>
      <c r="F913" s="172">
        <f>IF('Оперативный ввод'!F913="","",'Оперативный ввод'!F913)</f>
        <v/>
      </c>
      <c r="G913" s="172">
        <f>IF('Оперативный ввод'!G913="","",'Оперативный ввод'!G913)</f>
        <v/>
      </c>
      <c r="H913" s="172">
        <f>IF('Оперативный ввод'!H913="","",'Оперативный ввод'!H913)</f>
        <v/>
      </c>
      <c r="I913" s="172">
        <f>IF('Оперативный ввод'!I913="","",'Оперативный ввод'!I913)</f>
        <v/>
      </c>
      <c r="J913" s="172">
        <f>IF('Оперативный ввод'!J913="","",'Оперативный ввод'!J913)</f>
        <v/>
      </c>
      <c r="K913" s="172">
        <f>IF('Оперативный ввод'!K913="","",'Оперативный ввод'!K913)</f>
        <v/>
      </c>
      <c r="L913" s="172">
        <f>IF('Оперативный ввод'!L913="","",'Оперативный ввод'!L913)</f>
        <v/>
      </c>
      <c r="M913" s="172">
        <f>IF('Оперативный ввод'!M913="","",'Оперативный ввод'!M913)</f>
        <v/>
      </c>
      <c r="N913" s="172">
        <f>IF('Оперативный ввод'!N913="","",'Оперативный ввод'!N913)</f>
        <v/>
      </c>
      <c r="O913" s="172">
        <f>IF('Оперативный ввод'!O913="","",'Оперативный ввод'!O913)</f>
        <v/>
      </c>
      <c r="P913" s="205">
        <f>IF(AND(A913="",B913=""),"",IF(AND(A913&lt;&gt;"",B913&lt;&gt;"",C913&lt;&gt;"",D913&lt;&gt;"",F913&lt;&gt;"",G913&lt;&gt;"",H913&lt;&gt;"",ISERROR(SEARCH("по паспорту",G913)),ISERROR(SEARCH("по паспорту",H913)),I913&lt;&gt;"",J913&lt;&gt;"",K913&lt;&gt;"",L913&lt;&gt;"",M913&lt;&gt;""),"ГОТОВО","НЕ ГОТОВО"))</f>
        <v/>
      </c>
      <c r="Q913" s="205">
        <f>IF(P913&lt;&gt;"ГОТОВО","", "Предварительное заключение: "&amp;A913&amp;", скв. "&amp;B913&amp;". МРП: "&amp;E913&amp;" сут. ГНО: "&amp;F913&amp;", типоразмер "&amp;G913&amp;", марка "&amp;H913&amp;". Событие: "&amp;I913&amp;". Признак: "&amp;J913&amp;". Узел: "&amp;K913&amp;". Предварительная причина: "&amp;L913&amp;". Основное осложнение: "&amp;M913&amp;IF(N913&lt;&gt;"","; сопутствующее: "&amp;N913,"")&amp;IF(O913&lt;&gt;"","; дополнительно: "&amp;O913,"")&amp;".")</f>
        <v/>
      </c>
      <c r="R913" s="172">
        <f>IF('Оперативный ввод'!P913="","",'Оперативный ввод'!P913)</f>
        <v/>
      </c>
      <c r="S913" s="172">
        <f>IF('Оперативный ввод'!Q913="","",'Оперативный ввод'!Q913)</f>
        <v/>
      </c>
      <c r="T913" s="172">
        <f>IF('Оперативный ввод'!R913="","",'Оперативный ввод'!R913)</f>
        <v/>
      </c>
      <c r="U913" s="172">
        <f>IF('Оперативный ввод'!S913="","",'Оперативный ввод'!S913)</f>
        <v/>
      </c>
      <c r="V913" s="172">
        <f>IF('Оперативный ввод'!T913="","",'Оперативный ввод'!T913)</f>
        <v/>
      </c>
      <c r="W913" s="172" t="n"/>
      <c r="X913" s="172" t="n"/>
      <c r="Y913" s="172" t="n"/>
      <c r="Z913" s="172" t="n"/>
      <c r="AA913" s="172">
        <f>IF('Оперативный ввод'!U913="","",'Оперативный ввод'!U913)</f>
        <v/>
      </c>
      <c r="AB913" s="172">
        <f>IF('Оперативный ввод'!V913="","",'Оперативный ввод'!V913)</f>
        <v/>
      </c>
      <c r="AC913" s="172">
        <f>IF('Оперативный ввод'!W913="","",'Оперативный ввод'!W913)</f>
        <v/>
      </c>
      <c r="BB913" s="172" t="n"/>
      <c r="BC913" s="172" t="n"/>
      <c r="BD913" s="205">
        <f>IF(AND(A913="",B913=""),"",IF(AND(P913="ГОТОВО",R913&lt;&gt;"",T913&lt;&gt;"",U913&lt;&gt;"",AA913&lt;&gt;"",AB913&lt;&gt;"",AC913&lt;&gt;"",BB913&lt;&gt;"",BC913&lt;&gt;""),"ГОТОВО","НЕ ГОТОВО"))</f>
        <v/>
      </c>
      <c r="BE913" s="205">
        <f>IF(BD913&lt;&gt;"ГОТОВО","","Полное заключение: "&amp;A913&amp;", скв. "&amp;B913&amp;". МРП: "&amp;E913&amp;" сут. ГНО: "&amp;F913&amp;"; причина: "&amp;U913&amp;"; категория: "&amp;V913&amp;"; решение комиссии: "&amp;BB913&amp;".")</f>
        <v/>
      </c>
      <c r="BF913" s="173">
        <f>IF('Оперативный ввод'!X913="","",'Оперативный ввод'!X913)</f>
        <v/>
      </c>
    </row>
    <row r="914">
      <c r="A914" s="171">
        <f>IF('Оперативный ввод'!A914="","",'Оперативный ввод'!A914)</f>
        <v/>
      </c>
      <c r="B914" s="172">
        <f>IF('Оперативный ввод'!B914="","",'Оперативный ввод'!B914)</f>
        <v/>
      </c>
      <c r="C914" s="270">
        <f>IF('Оперативный ввод'!C914="","",'Оперативный ввод'!C914)</f>
        <v/>
      </c>
      <c r="D914" s="270">
        <f>IF('Оперативный ввод'!D914="","",'Оперативный ввод'!D914)</f>
        <v/>
      </c>
      <c r="E914" s="271">
        <f>IF(OR(C914="",D914=""),"",D914-C914)</f>
        <v/>
      </c>
      <c r="F914" s="172">
        <f>IF('Оперативный ввод'!F914="","",'Оперативный ввод'!F914)</f>
        <v/>
      </c>
      <c r="G914" s="172">
        <f>IF('Оперативный ввод'!G914="","",'Оперативный ввод'!G914)</f>
        <v/>
      </c>
      <c r="H914" s="172">
        <f>IF('Оперативный ввод'!H914="","",'Оперативный ввод'!H914)</f>
        <v/>
      </c>
      <c r="I914" s="172">
        <f>IF('Оперативный ввод'!I914="","",'Оперативный ввод'!I914)</f>
        <v/>
      </c>
      <c r="J914" s="172">
        <f>IF('Оперативный ввод'!J914="","",'Оперативный ввод'!J914)</f>
        <v/>
      </c>
      <c r="K914" s="172">
        <f>IF('Оперативный ввод'!K914="","",'Оперативный ввод'!K914)</f>
        <v/>
      </c>
      <c r="L914" s="172">
        <f>IF('Оперативный ввод'!L914="","",'Оперативный ввод'!L914)</f>
        <v/>
      </c>
      <c r="M914" s="172">
        <f>IF('Оперативный ввод'!M914="","",'Оперативный ввод'!M914)</f>
        <v/>
      </c>
      <c r="N914" s="172">
        <f>IF('Оперативный ввод'!N914="","",'Оперативный ввод'!N914)</f>
        <v/>
      </c>
      <c r="O914" s="172">
        <f>IF('Оперативный ввод'!O914="","",'Оперативный ввод'!O914)</f>
        <v/>
      </c>
      <c r="P914" s="205">
        <f>IF(AND(A914="",B914=""),"",IF(AND(A914&lt;&gt;"",B914&lt;&gt;"",C914&lt;&gt;"",D914&lt;&gt;"",F914&lt;&gt;"",G914&lt;&gt;"",H914&lt;&gt;"",ISERROR(SEARCH("по паспорту",G914)),ISERROR(SEARCH("по паспорту",H914)),I914&lt;&gt;"",J914&lt;&gt;"",K914&lt;&gt;"",L914&lt;&gt;"",M914&lt;&gt;""),"ГОТОВО","НЕ ГОТОВО"))</f>
        <v/>
      </c>
      <c r="Q914" s="205">
        <f>IF(P914&lt;&gt;"ГОТОВО","", "Предварительное заключение: "&amp;A914&amp;", скв. "&amp;B914&amp;". МРП: "&amp;E914&amp;" сут. ГНО: "&amp;F914&amp;", типоразмер "&amp;G914&amp;", марка "&amp;H914&amp;". Событие: "&amp;I914&amp;". Признак: "&amp;J914&amp;". Узел: "&amp;K914&amp;". Предварительная причина: "&amp;L914&amp;". Основное осложнение: "&amp;M914&amp;IF(N914&lt;&gt;"","; сопутствующее: "&amp;N914,"")&amp;IF(O914&lt;&gt;"","; дополнительно: "&amp;O914,"")&amp;".")</f>
        <v/>
      </c>
      <c r="R914" s="172">
        <f>IF('Оперативный ввод'!P914="","",'Оперативный ввод'!P914)</f>
        <v/>
      </c>
      <c r="S914" s="172">
        <f>IF('Оперативный ввод'!Q914="","",'Оперативный ввод'!Q914)</f>
        <v/>
      </c>
      <c r="T914" s="172">
        <f>IF('Оперативный ввод'!R914="","",'Оперативный ввод'!R914)</f>
        <v/>
      </c>
      <c r="U914" s="172">
        <f>IF('Оперативный ввод'!S914="","",'Оперативный ввод'!S914)</f>
        <v/>
      </c>
      <c r="V914" s="172">
        <f>IF('Оперативный ввод'!T914="","",'Оперативный ввод'!T914)</f>
        <v/>
      </c>
      <c r="W914" s="172" t="n"/>
      <c r="X914" s="172" t="n"/>
      <c r="Y914" s="172" t="n"/>
      <c r="Z914" s="172" t="n"/>
      <c r="AA914" s="172">
        <f>IF('Оперативный ввод'!U914="","",'Оперативный ввод'!U914)</f>
        <v/>
      </c>
      <c r="AB914" s="172">
        <f>IF('Оперативный ввод'!V914="","",'Оперативный ввод'!V914)</f>
        <v/>
      </c>
      <c r="AC914" s="172">
        <f>IF('Оперативный ввод'!W914="","",'Оперативный ввод'!W914)</f>
        <v/>
      </c>
      <c r="BB914" s="172" t="n"/>
      <c r="BC914" s="172" t="n"/>
      <c r="BD914" s="205">
        <f>IF(AND(A914="",B914=""),"",IF(AND(P914="ГОТОВО",R914&lt;&gt;"",T914&lt;&gt;"",U914&lt;&gt;"",AA914&lt;&gt;"",AB914&lt;&gt;"",AC914&lt;&gt;"",BB914&lt;&gt;"",BC914&lt;&gt;""),"ГОТОВО","НЕ ГОТОВО"))</f>
        <v/>
      </c>
      <c r="BE914" s="205">
        <f>IF(BD914&lt;&gt;"ГОТОВО","","Полное заключение: "&amp;A914&amp;", скв. "&amp;B914&amp;". МРП: "&amp;E914&amp;" сут. ГНО: "&amp;F914&amp;"; причина: "&amp;U914&amp;"; категория: "&amp;V914&amp;"; решение комиссии: "&amp;BB914&amp;".")</f>
        <v/>
      </c>
      <c r="BF914" s="173">
        <f>IF('Оперативный ввод'!X914="","",'Оперативный ввод'!X914)</f>
        <v/>
      </c>
    </row>
    <row r="915">
      <c r="A915" s="171">
        <f>IF('Оперативный ввод'!A915="","",'Оперативный ввод'!A915)</f>
        <v/>
      </c>
      <c r="B915" s="172">
        <f>IF('Оперативный ввод'!B915="","",'Оперативный ввод'!B915)</f>
        <v/>
      </c>
      <c r="C915" s="270">
        <f>IF('Оперативный ввод'!C915="","",'Оперативный ввод'!C915)</f>
        <v/>
      </c>
      <c r="D915" s="270">
        <f>IF('Оперативный ввод'!D915="","",'Оперативный ввод'!D915)</f>
        <v/>
      </c>
      <c r="E915" s="271">
        <f>IF(OR(C915="",D915=""),"",D915-C915)</f>
        <v/>
      </c>
      <c r="F915" s="172">
        <f>IF('Оперативный ввод'!F915="","",'Оперативный ввод'!F915)</f>
        <v/>
      </c>
      <c r="G915" s="172">
        <f>IF('Оперативный ввод'!G915="","",'Оперативный ввод'!G915)</f>
        <v/>
      </c>
      <c r="H915" s="172">
        <f>IF('Оперативный ввод'!H915="","",'Оперативный ввод'!H915)</f>
        <v/>
      </c>
      <c r="I915" s="172">
        <f>IF('Оперативный ввод'!I915="","",'Оперативный ввод'!I915)</f>
        <v/>
      </c>
      <c r="J915" s="172">
        <f>IF('Оперативный ввод'!J915="","",'Оперативный ввод'!J915)</f>
        <v/>
      </c>
      <c r="K915" s="172">
        <f>IF('Оперативный ввод'!K915="","",'Оперативный ввод'!K915)</f>
        <v/>
      </c>
      <c r="L915" s="172">
        <f>IF('Оперативный ввод'!L915="","",'Оперативный ввод'!L915)</f>
        <v/>
      </c>
      <c r="M915" s="172">
        <f>IF('Оперативный ввод'!M915="","",'Оперативный ввод'!M915)</f>
        <v/>
      </c>
      <c r="N915" s="172">
        <f>IF('Оперативный ввод'!N915="","",'Оперативный ввод'!N915)</f>
        <v/>
      </c>
      <c r="O915" s="172">
        <f>IF('Оперативный ввод'!O915="","",'Оперативный ввод'!O915)</f>
        <v/>
      </c>
      <c r="P915" s="205">
        <f>IF(AND(A915="",B915=""),"",IF(AND(A915&lt;&gt;"",B915&lt;&gt;"",C915&lt;&gt;"",D915&lt;&gt;"",F915&lt;&gt;"",G915&lt;&gt;"",H915&lt;&gt;"",ISERROR(SEARCH("по паспорту",G915)),ISERROR(SEARCH("по паспорту",H915)),I915&lt;&gt;"",J915&lt;&gt;"",K915&lt;&gt;"",L915&lt;&gt;"",M915&lt;&gt;""),"ГОТОВО","НЕ ГОТОВО"))</f>
        <v/>
      </c>
      <c r="Q915" s="205">
        <f>IF(P915&lt;&gt;"ГОТОВО","", "Предварительное заключение: "&amp;A915&amp;", скв. "&amp;B915&amp;". МРП: "&amp;E915&amp;" сут. ГНО: "&amp;F915&amp;", типоразмер "&amp;G915&amp;", марка "&amp;H915&amp;". Событие: "&amp;I915&amp;". Признак: "&amp;J915&amp;". Узел: "&amp;K915&amp;". Предварительная причина: "&amp;L915&amp;". Основное осложнение: "&amp;M915&amp;IF(N915&lt;&gt;"","; сопутствующее: "&amp;N915,"")&amp;IF(O915&lt;&gt;"","; дополнительно: "&amp;O915,"")&amp;".")</f>
        <v/>
      </c>
      <c r="R915" s="172">
        <f>IF('Оперативный ввод'!P915="","",'Оперативный ввод'!P915)</f>
        <v/>
      </c>
      <c r="S915" s="172">
        <f>IF('Оперативный ввод'!Q915="","",'Оперативный ввод'!Q915)</f>
        <v/>
      </c>
      <c r="T915" s="172">
        <f>IF('Оперативный ввод'!R915="","",'Оперативный ввод'!R915)</f>
        <v/>
      </c>
      <c r="U915" s="172">
        <f>IF('Оперативный ввод'!S915="","",'Оперативный ввод'!S915)</f>
        <v/>
      </c>
      <c r="V915" s="172">
        <f>IF('Оперативный ввод'!T915="","",'Оперативный ввод'!T915)</f>
        <v/>
      </c>
      <c r="W915" s="172" t="n"/>
      <c r="X915" s="172" t="n"/>
      <c r="Y915" s="172" t="n"/>
      <c r="Z915" s="172" t="n"/>
      <c r="AA915" s="172">
        <f>IF('Оперативный ввод'!U915="","",'Оперативный ввод'!U915)</f>
        <v/>
      </c>
      <c r="AB915" s="172">
        <f>IF('Оперативный ввод'!V915="","",'Оперативный ввод'!V915)</f>
        <v/>
      </c>
      <c r="AC915" s="172">
        <f>IF('Оперативный ввод'!W915="","",'Оперативный ввод'!W915)</f>
        <v/>
      </c>
      <c r="BB915" s="172" t="n"/>
      <c r="BC915" s="172" t="n"/>
      <c r="BD915" s="205">
        <f>IF(AND(A915="",B915=""),"",IF(AND(P915="ГОТОВО",R915&lt;&gt;"",T915&lt;&gt;"",U915&lt;&gt;"",AA915&lt;&gt;"",AB915&lt;&gt;"",AC915&lt;&gt;"",BB915&lt;&gt;"",BC915&lt;&gt;""),"ГОТОВО","НЕ ГОТОВО"))</f>
        <v/>
      </c>
      <c r="BE915" s="205">
        <f>IF(BD915&lt;&gt;"ГОТОВО","","Полное заключение: "&amp;A915&amp;", скв. "&amp;B915&amp;". МРП: "&amp;E915&amp;" сут. ГНО: "&amp;F915&amp;"; причина: "&amp;U915&amp;"; категория: "&amp;V915&amp;"; решение комиссии: "&amp;BB915&amp;".")</f>
        <v/>
      </c>
      <c r="BF915" s="173">
        <f>IF('Оперативный ввод'!X915="","",'Оперативный ввод'!X915)</f>
        <v/>
      </c>
    </row>
    <row r="916">
      <c r="A916" s="171">
        <f>IF('Оперативный ввод'!A916="","",'Оперативный ввод'!A916)</f>
        <v/>
      </c>
      <c r="B916" s="172">
        <f>IF('Оперативный ввод'!B916="","",'Оперативный ввод'!B916)</f>
        <v/>
      </c>
      <c r="C916" s="270">
        <f>IF('Оперативный ввод'!C916="","",'Оперативный ввод'!C916)</f>
        <v/>
      </c>
      <c r="D916" s="270">
        <f>IF('Оперативный ввод'!D916="","",'Оперативный ввод'!D916)</f>
        <v/>
      </c>
      <c r="E916" s="271">
        <f>IF(OR(C916="",D916=""),"",D916-C916)</f>
        <v/>
      </c>
      <c r="F916" s="172">
        <f>IF('Оперативный ввод'!F916="","",'Оперативный ввод'!F916)</f>
        <v/>
      </c>
      <c r="G916" s="172">
        <f>IF('Оперативный ввод'!G916="","",'Оперативный ввод'!G916)</f>
        <v/>
      </c>
      <c r="H916" s="172">
        <f>IF('Оперативный ввод'!H916="","",'Оперативный ввод'!H916)</f>
        <v/>
      </c>
      <c r="I916" s="172">
        <f>IF('Оперативный ввод'!I916="","",'Оперативный ввод'!I916)</f>
        <v/>
      </c>
      <c r="J916" s="172">
        <f>IF('Оперативный ввод'!J916="","",'Оперативный ввод'!J916)</f>
        <v/>
      </c>
      <c r="K916" s="172">
        <f>IF('Оперативный ввод'!K916="","",'Оперативный ввод'!K916)</f>
        <v/>
      </c>
      <c r="L916" s="172">
        <f>IF('Оперативный ввод'!L916="","",'Оперативный ввод'!L916)</f>
        <v/>
      </c>
      <c r="M916" s="172">
        <f>IF('Оперативный ввод'!M916="","",'Оперативный ввод'!M916)</f>
        <v/>
      </c>
      <c r="N916" s="172">
        <f>IF('Оперативный ввод'!N916="","",'Оперативный ввод'!N916)</f>
        <v/>
      </c>
      <c r="O916" s="172">
        <f>IF('Оперативный ввод'!O916="","",'Оперативный ввод'!O916)</f>
        <v/>
      </c>
      <c r="P916" s="205">
        <f>IF(AND(A916="",B916=""),"",IF(AND(A916&lt;&gt;"",B916&lt;&gt;"",C916&lt;&gt;"",D916&lt;&gt;"",F916&lt;&gt;"",G916&lt;&gt;"",H916&lt;&gt;"",ISERROR(SEARCH("по паспорту",G916)),ISERROR(SEARCH("по паспорту",H916)),I916&lt;&gt;"",J916&lt;&gt;"",K916&lt;&gt;"",L916&lt;&gt;"",M916&lt;&gt;""),"ГОТОВО","НЕ ГОТОВО"))</f>
        <v/>
      </c>
      <c r="Q916" s="205">
        <f>IF(P916&lt;&gt;"ГОТОВО","", "Предварительное заключение: "&amp;A916&amp;", скв. "&amp;B916&amp;". МРП: "&amp;E916&amp;" сут. ГНО: "&amp;F916&amp;", типоразмер "&amp;G916&amp;", марка "&amp;H916&amp;". Событие: "&amp;I916&amp;". Признак: "&amp;J916&amp;". Узел: "&amp;K916&amp;". Предварительная причина: "&amp;L916&amp;". Основное осложнение: "&amp;M916&amp;IF(N916&lt;&gt;"","; сопутствующее: "&amp;N916,"")&amp;IF(O916&lt;&gt;"","; дополнительно: "&amp;O916,"")&amp;".")</f>
        <v/>
      </c>
      <c r="R916" s="172">
        <f>IF('Оперативный ввод'!P916="","",'Оперативный ввод'!P916)</f>
        <v/>
      </c>
      <c r="S916" s="172">
        <f>IF('Оперативный ввод'!Q916="","",'Оперативный ввод'!Q916)</f>
        <v/>
      </c>
      <c r="T916" s="172">
        <f>IF('Оперативный ввод'!R916="","",'Оперативный ввод'!R916)</f>
        <v/>
      </c>
      <c r="U916" s="172">
        <f>IF('Оперативный ввод'!S916="","",'Оперативный ввод'!S916)</f>
        <v/>
      </c>
      <c r="V916" s="172">
        <f>IF('Оперативный ввод'!T916="","",'Оперативный ввод'!T916)</f>
        <v/>
      </c>
      <c r="W916" s="172" t="n"/>
      <c r="X916" s="172" t="n"/>
      <c r="Y916" s="172" t="n"/>
      <c r="Z916" s="172" t="n"/>
      <c r="AA916" s="172">
        <f>IF('Оперативный ввод'!U916="","",'Оперативный ввод'!U916)</f>
        <v/>
      </c>
      <c r="AB916" s="172">
        <f>IF('Оперативный ввод'!V916="","",'Оперативный ввод'!V916)</f>
        <v/>
      </c>
      <c r="AC916" s="172">
        <f>IF('Оперативный ввод'!W916="","",'Оперативный ввод'!W916)</f>
        <v/>
      </c>
      <c r="BB916" s="172" t="n"/>
      <c r="BC916" s="172" t="n"/>
      <c r="BD916" s="205">
        <f>IF(AND(A916="",B916=""),"",IF(AND(P916="ГОТОВО",R916&lt;&gt;"",T916&lt;&gt;"",U916&lt;&gt;"",AA916&lt;&gt;"",AB916&lt;&gt;"",AC916&lt;&gt;"",BB916&lt;&gt;"",BC916&lt;&gt;""),"ГОТОВО","НЕ ГОТОВО"))</f>
        <v/>
      </c>
      <c r="BE916" s="205">
        <f>IF(BD916&lt;&gt;"ГОТОВО","","Полное заключение: "&amp;A916&amp;", скв. "&amp;B916&amp;". МРП: "&amp;E916&amp;" сут. ГНО: "&amp;F916&amp;"; причина: "&amp;U916&amp;"; категория: "&amp;V916&amp;"; решение комиссии: "&amp;BB916&amp;".")</f>
        <v/>
      </c>
      <c r="BF916" s="173">
        <f>IF('Оперативный ввод'!X916="","",'Оперативный ввод'!X916)</f>
        <v/>
      </c>
    </row>
    <row r="917">
      <c r="A917" s="171">
        <f>IF('Оперативный ввод'!A917="","",'Оперативный ввод'!A917)</f>
        <v/>
      </c>
      <c r="B917" s="172">
        <f>IF('Оперативный ввод'!B917="","",'Оперативный ввод'!B917)</f>
        <v/>
      </c>
      <c r="C917" s="270">
        <f>IF('Оперативный ввод'!C917="","",'Оперативный ввод'!C917)</f>
        <v/>
      </c>
      <c r="D917" s="270">
        <f>IF('Оперативный ввод'!D917="","",'Оперативный ввод'!D917)</f>
        <v/>
      </c>
      <c r="E917" s="271">
        <f>IF(OR(C917="",D917=""),"",D917-C917)</f>
        <v/>
      </c>
      <c r="F917" s="172">
        <f>IF('Оперативный ввод'!F917="","",'Оперативный ввод'!F917)</f>
        <v/>
      </c>
      <c r="G917" s="172">
        <f>IF('Оперативный ввод'!G917="","",'Оперативный ввод'!G917)</f>
        <v/>
      </c>
      <c r="H917" s="172">
        <f>IF('Оперативный ввод'!H917="","",'Оперативный ввод'!H917)</f>
        <v/>
      </c>
      <c r="I917" s="172">
        <f>IF('Оперативный ввод'!I917="","",'Оперативный ввод'!I917)</f>
        <v/>
      </c>
      <c r="J917" s="172">
        <f>IF('Оперативный ввод'!J917="","",'Оперативный ввод'!J917)</f>
        <v/>
      </c>
      <c r="K917" s="172">
        <f>IF('Оперативный ввод'!K917="","",'Оперативный ввод'!K917)</f>
        <v/>
      </c>
      <c r="L917" s="172">
        <f>IF('Оперативный ввод'!L917="","",'Оперативный ввод'!L917)</f>
        <v/>
      </c>
      <c r="M917" s="172">
        <f>IF('Оперативный ввод'!M917="","",'Оперативный ввод'!M917)</f>
        <v/>
      </c>
      <c r="N917" s="172">
        <f>IF('Оперативный ввод'!N917="","",'Оперативный ввод'!N917)</f>
        <v/>
      </c>
      <c r="O917" s="172">
        <f>IF('Оперативный ввод'!O917="","",'Оперативный ввод'!O917)</f>
        <v/>
      </c>
      <c r="P917" s="205">
        <f>IF(AND(A917="",B917=""),"",IF(AND(A917&lt;&gt;"",B917&lt;&gt;"",C917&lt;&gt;"",D917&lt;&gt;"",F917&lt;&gt;"",G917&lt;&gt;"",H917&lt;&gt;"",ISERROR(SEARCH("по паспорту",G917)),ISERROR(SEARCH("по паспорту",H917)),I917&lt;&gt;"",J917&lt;&gt;"",K917&lt;&gt;"",L917&lt;&gt;"",M917&lt;&gt;""),"ГОТОВО","НЕ ГОТОВО"))</f>
        <v/>
      </c>
      <c r="Q917" s="205">
        <f>IF(P917&lt;&gt;"ГОТОВО","", "Предварительное заключение: "&amp;A917&amp;", скв. "&amp;B917&amp;". МРП: "&amp;E917&amp;" сут. ГНО: "&amp;F917&amp;", типоразмер "&amp;G917&amp;", марка "&amp;H917&amp;". Событие: "&amp;I917&amp;". Признак: "&amp;J917&amp;". Узел: "&amp;K917&amp;". Предварительная причина: "&amp;L917&amp;". Основное осложнение: "&amp;M917&amp;IF(N917&lt;&gt;"","; сопутствующее: "&amp;N917,"")&amp;IF(O917&lt;&gt;"","; дополнительно: "&amp;O917,"")&amp;".")</f>
        <v/>
      </c>
      <c r="R917" s="172">
        <f>IF('Оперативный ввод'!P917="","",'Оперативный ввод'!P917)</f>
        <v/>
      </c>
      <c r="S917" s="172">
        <f>IF('Оперативный ввод'!Q917="","",'Оперативный ввод'!Q917)</f>
        <v/>
      </c>
      <c r="T917" s="172">
        <f>IF('Оперативный ввод'!R917="","",'Оперативный ввод'!R917)</f>
        <v/>
      </c>
      <c r="U917" s="172">
        <f>IF('Оперативный ввод'!S917="","",'Оперативный ввод'!S917)</f>
        <v/>
      </c>
      <c r="V917" s="172">
        <f>IF('Оперативный ввод'!T917="","",'Оперативный ввод'!T917)</f>
        <v/>
      </c>
      <c r="W917" s="172" t="n"/>
      <c r="X917" s="172" t="n"/>
      <c r="Y917" s="172" t="n"/>
      <c r="Z917" s="172" t="n"/>
      <c r="AA917" s="172">
        <f>IF('Оперативный ввод'!U917="","",'Оперативный ввод'!U917)</f>
        <v/>
      </c>
      <c r="AB917" s="172">
        <f>IF('Оперативный ввод'!V917="","",'Оперативный ввод'!V917)</f>
        <v/>
      </c>
      <c r="AC917" s="172">
        <f>IF('Оперативный ввод'!W917="","",'Оперативный ввод'!W917)</f>
        <v/>
      </c>
      <c r="BB917" s="172" t="n"/>
      <c r="BC917" s="172" t="n"/>
      <c r="BD917" s="205">
        <f>IF(AND(A917="",B917=""),"",IF(AND(P917="ГОТОВО",R917&lt;&gt;"",T917&lt;&gt;"",U917&lt;&gt;"",AA917&lt;&gt;"",AB917&lt;&gt;"",AC917&lt;&gt;"",BB917&lt;&gt;"",BC917&lt;&gt;""),"ГОТОВО","НЕ ГОТОВО"))</f>
        <v/>
      </c>
      <c r="BE917" s="205">
        <f>IF(BD917&lt;&gt;"ГОТОВО","","Полное заключение: "&amp;A917&amp;", скв. "&amp;B917&amp;". МРП: "&amp;E917&amp;" сут. ГНО: "&amp;F917&amp;"; причина: "&amp;U917&amp;"; категория: "&amp;V917&amp;"; решение комиссии: "&amp;BB917&amp;".")</f>
        <v/>
      </c>
      <c r="BF917" s="173">
        <f>IF('Оперативный ввод'!X917="","",'Оперативный ввод'!X917)</f>
        <v/>
      </c>
    </row>
    <row r="918">
      <c r="A918" s="171">
        <f>IF('Оперативный ввод'!A918="","",'Оперативный ввод'!A918)</f>
        <v/>
      </c>
      <c r="B918" s="172">
        <f>IF('Оперативный ввод'!B918="","",'Оперативный ввод'!B918)</f>
        <v/>
      </c>
      <c r="C918" s="270">
        <f>IF('Оперативный ввод'!C918="","",'Оперативный ввод'!C918)</f>
        <v/>
      </c>
      <c r="D918" s="270">
        <f>IF('Оперативный ввод'!D918="","",'Оперативный ввод'!D918)</f>
        <v/>
      </c>
      <c r="E918" s="271">
        <f>IF(OR(C918="",D918=""),"",D918-C918)</f>
        <v/>
      </c>
      <c r="F918" s="172">
        <f>IF('Оперативный ввод'!F918="","",'Оперативный ввод'!F918)</f>
        <v/>
      </c>
      <c r="G918" s="172">
        <f>IF('Оперативный ввод'!G918="","",'Оперативный ввод'!G918)</f>
        <v/>
      </c>
      <c r="H918" s="172">
        <f>IF('Оперативный ввод'!H918="","",'Оперативный ввод'!H918)</f>
        <v/>
      </c>
      <c r="I918" s="172">
        <f>IF('Оперативный ввод'!I918="","",'Оперативный ввод'!I918)</f>
        <v/>
      </c>
      <c r="J918" s="172">
        <f>IF('Оперативный ввод'!J918="","",'Оперативный ввод'!J918)</f>
        <v/>
      </c>
      <c r="K918" s="172">
        <f>IF('Оперативный ввод'!K918="","",'Оперативный ввод'!K918)</f>
        <v/>
      </c>
      <c r="L918" s="172">
        <f>IF('Оперативный ввод'!L918="","",'Оперативный ввод'!L918)</f>
        <v/>
      </c>
      <c r="M918" s="172">
        <f>IF('Оперативный ввод'!M918="","",'Оперативный ввод'!M918)</f>
        <v/>
      </c>
      <c r="N918" s="172">
        <f>IF('Оперативный ввод'!N918="","",'Оперативный ввод'!N918)</f>
        <v/>
      </c>
      <c r="O918" s="172">
        <f>IF('Оперативный ввод'!O918="","",'Оперативный ввод'!O918)</f>
        <v/>
      </c>
      <c r="P918" s="205">
        <f>IF(AND(A918="",B918=""),"",IF(AND(A918&lt;&gt;"",B918&lt;&gt;"",C918&lt;&gt;"",D918&lt;&gt;"",F918&lt;&gt;"",G918&lt;&gt;"",H918&lt;&gt;"",ISERROR(SEARCH("по паспорту",G918)),ISERROR(SEARCH("по паспорту",H918)),I918&lt;&gt;"",J918&lt;&gt;"",K918&lt;&gt;"",L918&lt;&gt;"",M918&lt;&gt;""),"ГОТОВО","НЕ ГОТОВО"))</f>
        <v/>
      </c>
      <c r="Q918" s="205">
        <f>IF(P918&lt;&gt;"ГОТОВО","", "Предварительное заключение: "&amp;A918&amp;", скв. "&amp;B918&amp;". МРП: "&amp;E918&amp;" сут. ГНО: "&amp;F918&amp;", типоразмер "&amp;G918&amp;", марка "&amp;H918&amp;". Событие: "&amp;I918&amp;". Признак: "&amp;J918&amp;". Узел: "&amp;K918&amp;". Предварительная причина: "&amp;L918&amp;". Основное осложнение: "&amp;M918&amp;IF(N918&lt;&gt;"","; сопутствующее: "&amp;N918,"")&amp;IF(O918&lt;&gt;"","; дополнительно: "&amp;O918,"")&amp;".")</f>
        <v/>
      </c>
      <c r="R918" s="172">
        <f>IF('Оперативный ввод'!P918="","",'Оперативный ввод'!P918)</f>
        <v/>
      </c>
      <c r="S918" s="172">
        <f>IF('Оперативный ввод'!Q918="","",'Оперативный ввод'!Q918)</f>
        <v/>
      </c>
      <c r="T918" s="172">
        <f>IF('Оперативный ввод'!R918="","",'Оперативный ввод'!R918)</f>
        <v/>
      </c>
      <c r="U918" s="172">
        <f>IF('Оперативный ввод'!S918="","",'Оперативный ввод'!S918)</f>
        <v/>
      </c>
      <c r="V918" s="172">
        <f>IF('Оперативный ввод'!T918="","",'Оперативный ввод'!T918)</f>
        <v/>
      </c>
      <c r="W918" s="172" t="n"/>
      <c r="X918" s="172" t="n"/>
      <c r="Y918" s="172" t="n"/>
      <c r="Z918" s="172" t="n"/>
      <c r="AA918" s="172">
        <f>IF('Оперативный ввод'!U918="","",'Оперативный ввод'!U918)</f>
        <v/>
      </c>
      <c r="AB918" s="172">
        <f>IF('Оперативный ввод'!V918="","",'Оперативный ввод'!V918)</f>
        <v/>
      </c>
      <c r="AC918" s="172">
        <f>IF('Оперативный ввод'!W918="","",'Оперативный ввод'!W918)</f>
        <v/>
      </c>
      <c r="BB918" s="172" t="n"/>
      <c r="BC918" s="172" t="n"/>
      <c r="BD918" s="205">
        <f>IF(AND(A918="",B918=""),"",IF(AND(P918="ГОТОВО",R918&lt;&gt;"",T918&lt;&gt;"",U918&lt;&gt;"",AA918&lt;&gt;"",AB918&lt;&gt;"",AC918&lt;&gt;"",BB918&lt;&gt;"",BC918&lt;&gt;""),"ГОТОВО","НЕ ГОТОВО"))</f>
        <v/>
      </c>
      <c r="BE918" s="205">
        <f>IF(BD918&lt;&gt;"ГОТОВО","","Полное заключение: "&amp;A918&amp;", скв. "&amp;B918&amp;". МРП: "&amp;E918&amp;" сут. ГНО: "&amp;F918&amp;"; причина: "&amp;U918&amp;"; категория: "&amp;V918&amp;"; решение комиссии: "&amp;BB918&amp;".")</f>
        <v/>
      </c>
      <c r="BF918" s="173">
        <f>IF('Оперативный ввод'!X918="","",'Оперативный ввод'!X918)</f>
        <v/>
      </c>
    </row>
    <row r="919">
      <c r="A919" s="171">
        <f>IF('Оперативный ввод'!A919="","",'Оперативный ввод'!A919)</f>
        <v/>
      </c>
      <c r="B919" s="172">
        <f>IF('Оперативный ввод'!B919="","",'Оперативный ввод'!B919)</f>
        <v/>
      </c>
      <c r="C919" s="270">
        <f>IF('Оперативный ввод'!C919="","",'Оперативный ввод'!C919)</f>
        <v/>
      </c>
      <c r="D919" s="270">
        <f>IF('Оперативный ввод'!D919="","",'Оперативный ввод'!D919)</f>
        <v/>
      </c>
      <c r="E919" s="271">
        <f>IF(OR(C919="",D919=""),"",D919-C919)</f>
        <v/>
      </c>
      <c r="F919" s="172">
        <f>IF('Оперативный ввод'!F919="","",'Оперативный ввод'!F919)</f>
        <v/>
      </c>
      <c r="G919" s="172">
        <f>IF('Оперативный ввод'!G919="","",'Оперативный ввод'!G919)</f>
        <v/>
      </c>
      <c r="H919" s="172">
        <f>IF('Оперативный ввод'!H919="","",'Оперативный ввод'!H919)</f>
        <v/>
      </c>
      <c r="I919" s="172">
        <f>IF('Оперативный ввод'!I919="","",'Оперативный ввод'!I919)</f>
        <v/>
      </c>
      <c r="J919" s="172">
        <f>IF('Оперативный ввод'!J919="","",'Оперативный ввод'!J919)</f>
        <v/>
      </c>
      <c r="K919" s="172">
        <f>IF('Оперативный ввод'!K919="","",'Оперативный ввод'!K919)</f>
        <v/>
      </c>
      <c r="L919" s="172">
        <f>IF('Оперативный ввод'!L919="","",'Оперативный ввод'!L919)</f>
        <v/>
      </c>
      <c r="M919" s="172">
        <f>IF('Оперативный ввод'!M919="","",'Оперативный ввод'!M919)</f>
        <v/>
      </c>
      <c r="N919" s="172">
        <f>IF('Оперативный ввод'!N919="","",'Оперативный ввод'!N919)</f>
        <v/>
      </c>
      <c r="O919" s="172">
        <f>IF('Оперативный ввод'!O919="","",'Оперативный ввод'!O919)</f>
        <v/>
      </c>
      <c r="P919" s="205">
        <f>IF(AND(A919="",B919=""),"",IF(AND(A919&lt;&gt;"",B919&lt;&gt;"",C919&lt;&gt;"",D919&lt;&gt;"",F919&lt;&gt;"",G919&lt;&gt;"",H919&lt;&gt;"",ISERROR(SEARCH("по паспорту",G919)),ISERROR(SEARCH("по паспорту",H919)),I919&lt;&gt;"",J919&lt;&gt;"",K919&lt;&gt;"",L919&lt;&gt;"",M919&lt;&gt;""),"ГОТОВО","НЕ ГОТОВО"))</f>
        <v/>
      </c>
      <c r="Q919" s="205">
        <f>IF(P919&lt;&gt;"ГОТОВО","", "Предварительное заключение: "&amp;A919&amp;", скв. "&amp;B919&amp;". МРП: "&amp;E919&amp;" сут. ГНО: "&amp;F919&amp;", типоразмер "&amp;G919&amp;", марка "&amp;H919&amp;". Событие: "&amp;I919&amp;". Признак: "&amp;J919&amp;". Узел: "&amp;K919&amp;". Предварительная причина: "&amp;L919&amp;". Основное осложнение: "&amp;M919&amp;IF(N919&lt;&gt;"","; сопутствующее: "&amp;N919,"")&amp;IF(O919&lt;&gt;"","; дополнительно: "&amp;O919,"")&amp;".")</f>
        <v/>
      </c>
      <c r="R919" s="172">
        <f>IF('Оперативный ввод'!P919="","",'Оперативный ввод'!P919)</f>
        <v/>
      </c>
      <c r="S919" s="172">
        <f>IF('Оперативный ввод'!Q919="","",'Оперативный ввод'!Q919)</f>
        <v/>
      </c>
      <c r="T919" s="172">
        <f>IF('Оперативный ввод'!R919="","",'Оперативный ввод'!R919)</f>
        <v/>
      </c>
      <c r="U919" s="172">
        <f>IF('Оперативный ввод'!S919="","",'Оперативный ввод'!S919)</f>
        <v/>
      </c>
      <c r="V919" s="172">
        <f>IF('Оперативный ввод'!T919="","",'Оперативный ввод'!T919)</f>
        <v/>
      </c>
      <c r="W919" s="172" t="n"/>
      <c r="X919" s="172" t="n"/>
      <c r="Y919" s="172" t="n"/>
      <c r="Z919" s="172" t="n"/>
      <c r="AA919" s="172">
        <f>IF('Оперативный ввод'!U919="","",'Оперативный ввод'!U919)</f>
        <v/>
      </c>
      <c r="AB919" s="172">
        <f>IF('Оперативный ввод'!V919="","",'Оперативный ввод'!V919)</f>
        <v/>
      </c>
      <c r="AC919" s="172">
        <f>IF('Оперативный ввод'!W919="","",'Оперативный ввод'!W919)</f>
        <v/>
      </c>
      <c r="BB919" s="172" t="n"/>
      <c r="BC919" s="172" t="n"/>
      <c r="BD919" s="205">
        <f>IF(AND(A919="",B919=""),"",IF(AND(P919="ГОТОВО",R919&lt;&gt;"",T919&lt;&gt;"",U919&lt;&gt;"",AA919&lt;&gt;"",AB919&lt;&gt;"",AC919&lt;&gt;"",BB919&lt;&gt;"",BC919&lt;&gt;""),"ГОТОВО","НЕ ГОТОВО"))</f>
        <v/>
      </c>
      <c r="BE919" s="205">
        <f>IF(BD919&lt;&gt;"ГОТОВО","","Полное заключение: "&amp;A919&amp;", скв. "&amp;B919&amp;". МРП: "&amp;E919&amp;" сут. ГНО: "&amp;F919&amp;"; причина: "&amp;U919&amp;"; категория: "&amp;V919&amp;"; решение комиссии: "&amp;BB919&amp;".")</f>
        <v/>
      </c>
      <c r="BF919" s="173">
        <f>IF('Оперативный ввод'!X919="","",'Оперативный ввод'!X919)</f>
        <v/>
      </c>
    </row>
    <row r="920">
      <c r="A920" s="171">
        <f>IF('Оперативный ввод'!A920="","",'Оперативный ввод'!A920)</f>
        <v/>
      </c>
      <c r="B920" s="172">
        <f>IF('Оперативный ввод'!B920="","",'Оперативный ввод'!B920)</f>
        <v/>
      </c>
      <c r="C920" s="270">
        <f>IF('Оперативный ввод'!C920="","",'Оперативный ввод'!C920)</f>
        <v/>
      </c>
      <c r="D920" s="270">
        <f>IF('Оперативный ввод'!D920="","",'Оперативный ввод'!D920)</f>
        <v/>
      </c>
      <c r="E920" s="271">
        <f>IF(OR(C920="",D920=""),"",D920-C920)</f>
        <v/>
      </c>
      <c r="F920" s="172">
        <f>IF('Оперативный ввод'!F920="","",'Оперативный ввод'!F920)</f>
        <v/>
      </c>
      <c r="G920" s="172">
        <f>IF('Оперативный ввод'!G920="","",'Оперативный ввод'!G920)</f>
        <v/>
      </c>
      <c r="H920" s="172">
        <f>IF('Оперативный ввод'!H920="","",'Оперативный ввод'!H920)</f>
        <v/>
      </c>
      <c r="I920" s="172">
        <f>IF('Оперативный ввод'!I920="","",'Оперативный ввод'!I920)</f>
        <v/>
      </c>
      <c r="J920" s="172">
        <f>IF('Оперативный ввод'!J920="","",'Оперативный ввод'!J920)</f>
        <v/>
      </c>
      <c r="K920" s="172">
        <f>IF('Оперативный ввод'!K920="","",'Оперативный ввод'!K920)</f>
        <v/>
      </c>
      <c r="L920" s="172">
        <f>IF('Оперативный ввод'!L920="","",'Оперативный ввод'!L920)</f>
        <v/>
      </c>
      <c r="M920" s="172">
        <f>IF('Оперативный ввод'!M920="","",'Оперативный ввод'!M920)</f>
        <v/>
      </c>
      <c r="N920" s="172">
        <f>IF('Оперативный ввод'!N920="","",'Оперативный ввод'!N920)</f>
        <v/>
      </c>
      <c r="O920" s="172">
        <f>IF('Оперативный ввод'!O920="","",'Оперативный ввод'!O920)</f>
        <v/>
      </c>
      <c r="P920" s="205">
        <f>IF(AND(A920="",B920=""),"",IF(AND(A920&lt;&gt;"",B920&lt;&gt;"",C920&lt;&gt;"",D920&lt;&gt;"",F920&lt;&gt;"",G920&lt;&gt;"",H920&lt;&gt;"",ISERROR(SEARCH("по паспорту",G920)),ISERROR(SEARCH("по паспорту",H920)),I920&lt;&gt;"",J920&lt;&gt;"",K920&lt;&gt;"",L920&lt;&gt;"",M920&lt;&gt;""),"ГОТОВО","НЕ ГОТОВО"))</f>
        <v/>
      </c>
      <c r="Q920" s="205">
        <f>IF(P920&lt;&gt;"ГОТОВО","", "Предварительное заключение: "&amp;A920&amp;", скв. "&amp;B920&amp;". МРП: "&amp;E920&amp;" сут. ГНО: "&amp;F920&amp;", типоразмер "&amp;G920&amp;", марка "&amp;H920&amp;". Событие: "&amp;I920&amp;". Признак: "&amp;J920&amp;". Узел: "&amp;K920&amp;". Предварительная причина: "&amp;L920&amp;". Основное осложнение: "&amp;M920&amp;IF(N920&lt;&gt;"","; сопутствующее: "&amp;N920,"")&amp;IF(O920&lt;&gt;"","; дополнительно: "&amp;O920,"")&amp;".")</f>
        <v/>
      </c>
      <c r="R920" s="172">
        <f>IF('Оперативный ввод'!P920="","",'Оперативный ввод'!P920)</f>
        <v/>
      </c>
      <c r="S920" s="172">
        <f>IF('Оперативный ввод'!Q920="","",'Оперативный ввод'!Q920)</f>
        <v/>
      </c>
      <c r="T920" s="172">
        <f>IF('Оперативный ввод'!R920="","",'Оперативный ввод'!R920)</f>
        <v/>
      </c>
      <c r="U920" s="172">
        <f>IF('Оперативный ввод'!S920="","",'Оперативный ввод'!S920)</f>
        <v/>
      </c>
      <c r="V920" s="172">
        <f>IF('Оперативный ввод'!T920="","",'Оперативный ввод'!T920)</f>
        <v/>
      </c>
      <c r="W920" s="172" t="n"/>
      <c r="X920" s="172" t="n"/>
      <c r="Y920" s="172" t="n"/>
      <c r="Z920" s="172" t="n"/>
      <c r="AA920" s="172">
        <f>IF('Оперативный ввод'!U920="","",'Оперативный ввод'!U920)</f>
        <v/>
      </c>
      <c r="AB920" s="172">
        <f>IF('Оперативный ввод'!V920="","",'Оперативный ввод'!V920)</f>
        <v/>
      </c>
      <c r="AC920" s="172">
        <f>IF('Оперативный ввод'!W920="","",'Оперативный ввод'!W920)</f>
        <v/>
      </c>
      <c r="BB920" s="172" t="n"/>
      <c r="BC920" s="172" t="n"/>
      <c r="BD920" s="205">
        <f>IF(AND(A920="",B920=""),"",IF(AND(P920="ГОТОВО",R920&lt;&gt;"",T920&lt;&gt;"",U920&lt;&gt;"",AA920&lt;&gt;"",AB920&lt;&gt;"",AC920&lt;&gt;"",BB920&lt;&gt;"",BC920&lt;&gt;""),"ГОТОВО","НЕ ГОТОВО"))</f>
        <v/>
      </c>
      <c r="BE920" s="205">
        <f>IF(BD920&lt;&gt;"ГОТОВО","","Полное заключение: "&amp;A920&amp;", скв. "&amp;B920&amp;". МРП: "&amp;E920&amp;" сут. ГНО: "&amp;F920&amp;"; причина: "&amp;U920&amp;"; категория: "&amp;V920&amp;"; решение комиссии: "&amp;BB920&amp;".")</f>
        <v/>
      </c>
      <c r="BF920" s="173">
        <f>IF('Оперативный ввод'!X920="","",'Оперативный ввод'!X920)</f>
        <v/>
      </c>
    </row>
    <row r="921">
      <c r="A921" s="171">
        <f>IF('Оперативный ввод'!A921="","",'Оперативный ввод'!A921)</f>
        <v/>
      </c>
      <c r="B921" s="172">
        <f>IF('Оперативный ввод'!B921="","",'Оперативный ввод'!B921)</f>
        <v/>
      </c>
      <c r="C921" s="270">
        <f>IF('Оперативный ввод'!C921="","",'Оперативный ввод'!C921)</f>
        <v/>
      </c>
      <c r="D921" s="270">
        <f>IF('Оперативный ввод'!D921="","",'Оперативный ввод'!D921)</f>
        <v/>
      </c>
      <c r="E921" s="271">
        <f>IF(OR(C921="",D921=""),"",D921-C921)</f>
        <v/>
      </c>
      <c r="F921" s="172">
        <f>IF('Оперативный ввод'!F921="","",'Оперативный ввод'!F921)</f>
        <v/>
      </c>
      <c r="G921" s="172">
        <f>IF('Оперативный ввод'!G921="","",'Оперативный ввод'!G921)</f>
        <v/>
      </c>
      <c r="H921" s="172">
        <f>IF('Оперативный ввод'!H921="","",'Оперативный ввод'!H921)</f>
        <v/>
      </c>
      <c r="I921" s="172">
        <f>IF('Оперативный ввод'!I921="","",'Оперативный ввод'!I921)</f>
        <v/>
      </c>
      <c r="J921" s="172">
        <f>IF('Оперативный ввод'!J921="","",'Оперативный ввод'!J921)</f>
        <v/>
      </c>
      <c r="K921" s="172">
        <f>IF('Оперативный ввод'!K921="","",'Оперативный ввод'!K921)</f>
        <v/>
      </c>
      <c r="L921" s="172">
        <f>IF('Оперативный ввод'!L921="","",'Оперативный ввод'!L921)</f>
        <v/>
      </c>
      <c r="M921" s="172">
        <f>IF('Оперативный ввод'!M921="","",'Оперативный ввод'!M921)</f>
        <v/>
      </c>
      <c r="N921" s="172">
        <f>IF('Оперативный ввод'!N921="","",'Оперативный ввод'!N921)</f>
        <v/>
      </c>
      <c r="O921" s="172">
        <f>IF('Оперативный ввод'!O921="","",'Оперативный ввод'!O921)</f>
        <v/>
      </c>
      <c r="P921" s="205">
        <f>IF(AND(A921="",B921=""),"",IF(AND(A921&lt;&gt;"",B921&lt;&gt;"",C921&lt;&gt;"",D921&lt;&gt;"",F921&lt;&gt;"",G921&lt;&gt;"",H921&lt;&gt;"",ISERROR(SEARCH("по паспорту",G921)),ISERROR(SEARCH("по паспорту",H921)),I921&lt;&gt;"",J921&lt;&gt;"",K921&lt;&gt;"",L921&lt;&gt;"",M921&lt;&gt;""),"ГОТОВО","НЕ ГОТОВО"))</f>
        <v/>
      </c>
      <c r="Q921" s="205">
        <f>IF(P921&lt;&gt;"ГОТОВО","", "Предварительное заключение: "&amp;A921&amp;", скв. "&amp;B921&amp;". МРП: "&amp;E921&amp;" сут. ГНО: "&amp;F921&amp;", типоразмер "&amp;G921&amp;", марка "&amp;H921&amp;". Событие: "&amp;I921&amp;". Признак: "&amp;J921&amp;". Узел: "&amp;K921&amp;". Предварительная причина: "&amp;L921&amp;". Основное осложнение: "&amp;M921&amp;IF(N921&lt;&gt;"","; сопутствующее: "&amp;N921,"")&amp;IF(O921&lt;&gt;"","; дополнительно: "&amp;O921,"")&amp;".")</f>
        <v/>
      </c>
      <c r="R921" s="172">
        <f>IF('Оперативный ввод'!P921="","",'Оперативный ввод'!P921)</f>
        <v/>
      </c>
      <c r="S921" s="172">
        <f>IF('Оперативный ввод'!Q921="","",'Оперативный ввод'!Q921)</f>
        <v/>
      </c>
      <c r="T921" s="172">
        <f>IF('Оперативный ввод'!R921="","",'Оперативный ввод'!R921)</f>
        <v/>
      </c>
      <c r="U921" s="172">
        <f>IF('Оперативный ввод'!S921="","",'Оперативный ввод'!S921)</f>
        <v/>
      </c>
      <c r="V921" s="172">
        <f>IF('Оперативный ввод'!T921="","",'Оперативный ввод'!T921)</f>
        <v/>
      </c>
      <c r="W921" s="172" t="n"/>
      <c r="X921" s="172" t="n"/>
      <c r="Y921" s="172" t="n"/>
      <c r="Z921" s="172" t="n"/>
      <c r="AA921" s="172">
        <f>IF('Оперативный ввод'!U921="","",'Оперативный ввод'!U921)</f>
        <v/>
      </c>
      <c r="AB921" s="172">
        <f>IF('Оперативный ввод'!V921="","",'Оперативный ввод'!V921)</f>
        <v/>
      </c>
      <c r="AC921" s="172">
        <f>IF('Оперативный ввод'!W921="","",'Оперативный ввод'!W921)</f>
        <v/>
      </c>
      <c r="BB921" s="172" t="n"/>
      <c r="BC921" s="172" t="n"/>
      <c r="BD921" s="205">
        <f>IF(AND(A921="",B921=""),"",IF(AND(P921="ГОТОВО",R921&lt;&gt;"",T921&lt;&gt;"",U921&lt;&gt;"",AA921&lt;&gt;"",AB921&lt;&gt;"",AC921&lt;&gt;"",BB921&lt;&gt;"",BC921&lt;&gt;""),"ГОТОВО","НЕ ГОТОВО"))</f>
        <v/>
      </c>
      <c r="BE921" s="205">
        <f>IF(BD921&lt;&gt;"ГОТОВО","","Полное заключение: "&amp;A921&amp;", скв. "&amp;B921&amp;". МРП: "&amp;E921&amp;" сут. ГНО: "&amp;F921&amp;"; причина: "&amp;U921&amp;"; категория: "&amp;V921&amp;"; решение комиссии: "&amp;BB921&amp;".")</f>
        <v/>
      </c>
      <c r="BF921" s="173">
        <f>IF('Оперативный ввод'!X921="","",'Оперативный ввод'!X921)</f>
        <v/>
      </c>
    </row>
    <row r="922">
      <c r="A922" s="171">
        <f>IF('Оперативный ввод'!A922="","",'Оперативный ввод'!A922)</f>
        <v/>
      </c>
      <c r="B922" s="172">
        <f>IF('Оперативный ввод'!B922="","",'Оперативный ввод'!B922)</f>
        <v/>
      </c>
      <c r="C922" s="270">
        <f>IF('Оперативный ввод'!C922="","",'Оперативный ввод'!C922)</f>
        <v/>
      </c>
      <c r="D922" s="270">
        <f>IF('Оперативный ввод'!D922="","",'Оперативный ввод'!D922)</f>
        <v/>
      </c>
      <c r="E922" s="271">
        <f>IF(OR(C922="",D922=""),"",D922-C922)</f>
        <v/>
      </c>
      <c r="F922" s="172">
        <f>IF('Оперативный ввод'!F922="","",'Оперативный ввод'!F922)</f>
        <v/>
      </c>
      <c r="G922" s="172">
        <f>IF('Оперативный ввод'!G922="","",'Оперативный ввод'!G922)</f>
        <v/>
      </c>
      <c r="H922" s="172">
        <f>IF('Оперативный ввод'!H922="","",'Оперативный ввод'!H922)</f>
        <v/>
      </c>
      <c r="I922" s="172">
        <f>IF('Оперативный ввод'!I922="","",'Оперативный ввод'!I922)</f>
        <v/>
      </c>
      <c r="J922" s="172">
        <f>IF('Оперативный ввод'!J922="","",'Оперативный ввод'!J922)</f>
        <v/>
      </c>
      <c r="K922" s="172">
        <f>IF('Оперативный ввод'!K922="","",'Оперативный ввод'!K922)</f>
        <v/>
      </c>
      <c r="L922" s="172">
        <f>IF('Оперативный ввод'!L922="","",'Оперативный ввод'!L922)</f>
        <v/>
      </c>
      <c r="M922" s="172">
        <f>IF('Оперативный ввод'!M922="","",'Оперативный ввод'!M922)</f>
        <v/>
      </c>
      <c r="N922" s="172">
        <f>IF('Оперативный ввод'!N922="","",'Оперативный ввод'!N922)</f>
        <v/>
      </c>
      <c r="O922" s="172">
        <f>IF('Оперативный ввод'!O922="","",'Оперативный ввод'!O922)</f>
        <v/>
      </c>
      <c r="P922" s="205">
        <f>IF(AND(A922="",B922=""),"",IF(AND(A922&lt;&gt;"",B922&lt;&gt;"",C922&lt;&gt;"",D922&lt;&gt;"",F922&lt;&gt;"",G922&lt;&gt;"",H922&lt;&gt;"",ISERROR(SEARCH("по паспорту",G922)),ISERROR(SEARCH("по паспорту",H922)),I922&lt;&gt;"",J922&lt;&gt;"",K922&lt;&gt;"",L922&lt;&gt;"",M922&lt;&gt;""),"ГОТОВО","НЕ ГОТОВО"))</f>
        <v/>
      </c>
      <c r="Q922" s="205">
        <f>IF(P922&lt;&gt;"ГОТОВО","", "Предварительное заключение: "&amp;A922&amp;", скв. "&amp;B922&amp;". МРП: "&amp;E922&amp;" сут. ГНО: "&amp;F922&amp;", типоразмер "&amp;G922&amp;", марка "&amp;H922&amp;". Событие: "&amp;I922&amp;". Признак: "&amp;J922&amp;". Узел: "&amp;K922&amp;". Предварительная причина: "&amp;L922&amp;". Основное осложнение: "&amp;M922&amp;IF(N922&lt;&gt;"","; сопутствующее: "&amp;N922,"")&amp;IF(O922&lt;&gt;"","; дополнительно: "&amp;O922,"")&amp;".")</f>
        <v/>
      </c>
      <c r="R922" s="172">
        <f>IF('Оперативный ввод'!P922="","",'Оперативный ввод'!P922)</f>
        <v/>
      </c>
      <c r="S922" s="172">
        <f>IF('Оперативный ввод'!Q922="","",'Оперативный ввод'!Q922)</f>
        <v/>
      </c>
      <c r="T922" s="172">
        <f>IF('Оперативный ввод'!R922="","",'Оперативный ввод'!R922)</f>
        <v/>
      </c>
      <c r="U922" s="172">
        <f>IF('Оперативный ввод'!S922="","",'Оперативный ввод'!S922)</f>
        <v/>
      </c>
      <c r="V922" s="172">
        <f>IF('Оперативный ввод'!T922="","",'Оперативный ввод'!T922)</f>
        <v/>
      </c>
      <c r="W922" s="172" t="n"/>
      <c r="X922" s="172" t="n"/>
      <c r="Y922" s="172" t="n"/>
      <c r="Z922" s="172" t="n"/>
      <c r="AA922" s="172">
        <f>IF('Оперативный ввод'!U922="","",'Оперативный ввод'!U922)</f>
        <v/>
      </c>
      <c r="AB922" s="172">
        <f>IF('Оперативный ввод'!V922="","",'Оперативный ввод'!V922)</f>
        <v/>
      </c>
      <c r="AC922" s="172">
        <f>IF('Оперативный ввод'!W922="","",'Оперативный ввод'!W922)</f>
        <v/>
      </c>
      <c r="BB922" s="172" t="n"/>
      <c r="BC922" s="172" t="n"/>
      <c r="BD922" s="205">
        <f>IF(AND(A922="",B922=""),"",IF(AND(P922="ГОТОВО",R922&lt;&gt;"",T922&lt;&gt;"",U922&lt;&gt;"",AA922&lt;&gt;"",AB922&lt;&gt;"",AC922&lt;&gt;"",BB922&lt;&gt;"",BC922&lt;&gt;""),"ГОТОВО","НЕ ГОТОВО"))</f>
        <v/>
      </c>
      <c r="BE922" s="205">
        <f>IF(BD922&lt;&gt;"ГОТОВО","","Полное заключение: "&amp;A922&amp;", скв. "&amp;B922&amp;". МРП: "&amp;E922&amp;" сут. ГНО: "&amp;F922&amp;"; причина: "&amp;U922&amp;"; категория: "&amp;V922&amp;"; решение комиссии: "&amp;BB922&amp;".")</f>
        <v/>
      </c>
      <c r="BF922" s="173">
        <f>IF('Оперативный ввод'!X922="","",'Оперативный ввод'!X922)</f>
        <v/>
      </c>
    </row>
    <row r="923">
      <c r="A923" s="171">
        <f>IF('Оперативный ввод'!A923="","",'Оперативный ввод'!A923)</f>
        <v/>
      </c>
      <c r="B923" s="172">
        <f>IF('Оперативный ввод'!B923="","",'Оперативный ввод'!B923)</f>
        <v/>
      </c>
      <c r="C923" s="270">
        <f>IF('Оперативный ввод'!C923="","",'Оперативный ввод'!C923)</f>
        <v/>
      </c>
      <c r="D923" s="270">
        <f>IF('Оперативный ввод'!D923="","",'Оперативный ввод'!D923)</f>
        <v/>
      </c>
      <c r="E923" s="271">
        <f>IF(OR(C923="",D923=""),"",D923-C923)</f>
        <v/>
      </c>
      <c r="F923" s="172">
        <f>IF('Оперативный ввод'!F923="","",'Оперативный ввод'!F923)</f>
        <v/>
      </c>
      <c r="G923" s="172">
        <f>IF('Оперативный ввод'!G923="","",'Оперативный ввод'!G923)</f>
        <v/>
      </c>
      <c r="H923" s="172">
        <f>IF('Оперативный ввод'!H923="","",'Оперативный ввод'!H923)</f>
        <v/>
      </c>
      <c r="I923" s="172">
        <f>IF('Оперативный ввод'!I923="","",'Оперативный ввод'!I923)</f>
        <v/>
      </c>
      <c r="J923" s="172">
        <f>IF('Оперативный ввод'!J923="","",'Оперативный ввод'!J923)</f>
        <v/>
      </c>
      <c r="K923" s="172">
        <f>IF('Оперативный ввод'!K923="","",'Оперативный ввод'!K923)</f>
        <v/>
      </c>
      <c r="L923" s="172">
        <f>IF('Оперативный ввод'!L923="","",'Оперативный ввод'!L923)</f>
        <v/>
      </c>
      <c r="M923" s="172">
        <f>IF('Оперативный ввод'!M923="","",'Оперативный ввод'!M923)</f>
        <v/>
      </c>
      <c r="N923" s="172">
        <f>IF('Оперативный ввод'!N923="","",'Оперативный ввод'!N923)</f>
        <v/>
      </c>
      <c r="O923" s="172">
        <f>IF('Оперативный ввод'!O923="","",'Оперативный ввод'!O923)</f>
        <v/>
      </c>
      <c r="P923" s="205">
        <f>IF(AND(A923="",B923=""),"",IF(AND(A923&lt;&gt;"",B923&lt;&gt;"",C923&lt;&gt;"",D923&lt;&gt;"",F923&lt;&gt;"",G923&lt;&gt;"",H923&lt;&gt;"",ISERROR(SEARCH("по паспорту",G923)),ISERROR(SEARCH("по паспорту",H923)),I923&lt;&gt;"",J923&lt;&gt;"",K923&lt;&gt;"",L923&lt;&gt;"",M923&lt;&gt;""),"ГОТОВО","НЕ ГОТОВО"))</f>
        <v/>
      </c>
      <c r="Q923" s="205">
        <f>IF(P923&lt;&gt;"ГОТОВО","", "Предварительное заключение: "&amp;A923&amp;", скв. "&amp;B923&amp;". МРП: "&amp;E923&amp;" сут. ГНО: "&amp;F923&amp;", типоразмер "&amp;G923&amp;", марка "&amp;H923&amp;". Событие: "&amp;I923&amp;". Признак: "&amp;J923&amp;". Узел: "&amp;K923&amp;". Предварительная причина: "&amp;L923&amp;". Основное осложнение: "&amp;M923&amp;IF(N923&lt;&gt;"","; сопутствующее: "&amp;N923,"")&amp;IF(O923&lt;&gt;"","; дополнительно: "&amp;O923,"")&amp;".")</f>
        <v/>
      </c>
      <c r="R923" s="172">
        <f>IF('Оперативный ввод'!P923="","",'Оперативный ввод'!P923)</f>
        <v/>
      </c>
      <c r="S923" s="172">
        <f>IF('Оперативный ввод'!Q923="","",'Оперативный ввод'!Q923)</f>
        <v/>
      </c>
      <c r="T923" s="172">
        <f>IF('Оперативный ввод'!R923="","",'Оперативный ввод'!R923)</f>
        <v/>
      </c>
      <c r="U923" s="172">
        <f>IF('Оперативный ввод'!S923="","",'Оперативный ввод'!S923)</f>
        <v/>
      </c>
      <c r="V923" s="172">
        <f>IF('Оперативный ввод'!T923="","",'Оперативный ввод'!T923)</f>
        <v/>
      </c>
      <c r="W923" s="172" t="n"/>
      <c r="X923" s="172" t="n"/>
      <c r="Y923" s="172" t="n"/>
      <c r="Z923" s="172" t="n"/>
      <c r="AA923" s="172">
        <f>IF('Оперативный ввод'!U923="","",'Оперативный ввод'!U923)</f>
        <v/>
      </c>
      <c r="AB923" s="172">
        <f>IF('Оперативный ввод'!V923="","",'Оперативный ввод'!V923)</f>
        <v/>
      </c>
      <c r="AC923" s="172">
        <f>IF('Оперативный ввод'!W923="","",'Оперативный ввод'!W923)</f>
        <v/>
      </c>
      <c r="BB923" s="172" t="n"/>
      <c r="BC923" s="172" t="n"/>
      <c r="BD923" s="205">
        <f>IF(AND(A923="",B923=""),"",IF(AND(P923="ГОТОВО",R923&lt;&gt;"",T923&lt;&gt;"",U923&lt;&gt;"",AA923&lt;&gt;"",AB923&lt;&gt;"",AC923&lt;&gt;"",BB923&lt;&gt;"",BC923&lt;&gt;""),"ГОТОВО","НЕ ГОТОВО"))</f>
        <v/>
      </c>
      <c r="BE923" s="205">
        <f>IF(BD923&lt;&gt;"ГОТОВО","","Полное заключение: "&amp;A923&amp;", скв. "&amp;B923&amp;". МРП: "&amp;E923&amp;" сут. ГНО: "&amp;F923&amp;"; причина: "&amp;U923&amp;"; категория: "&amp;V923&amp;"; решение комиссии: "&amp;BB923&amp;".")</f>
        <v/>
      </c>
      <c r="BF923" s="173">
        <f>IF('Оперативный ввод'!X923="","",'Оперативный ввод'!X923)</f>
        <v/>
      </c>
    </row>
    <row r="924">
      <c r="A924" s="171">
        <f>IF('Оперативный ввод'!A924="","",'Оперативный ввод'!A924)</f>
        <v/>
      </c>
      <c r="B924" s="172">
        <f>IF('Оперативный ввод'!B924="","",'Оперативный ввод'!B924)</f>
        <v/>
      </c>
      <c r="C924" s="270">
        <f>IF('Оперативный ввод'!C924="","",'Оперативный ввод'!C924)</f>
        <v/>
      </c>
      <c r="D924" s="270">
        <f>IF('Оперативный ввод'!D924="","",'Оперативный ввод'!D924)</f>
        <v/>
      </c>
      <c r="E924" s="271">
        <f>IF(OR(C924="",D924=""),"",D924-C924)</f>
        <v/>
      </c>
      <c r="F924" s="172">
        <f>IF('Оперативный ввод'!F924="","",'Оперативный ввод'!F924)</f>
        <v/>
      </c>
      <c r="G924" s="172">
        <f>IF('Оперативный ввод'!G924="","",'Оперативный ввод'!G924)</f>
        <v/>
      </c>
      <c r="H924" s="172">
        <f>IF('Оперативный ввод'!H924="","",'Оперативный ввод'!H924)</f>
        <v/>
      </c>
      <c r="I924" s="172">
        <f>IF('Оперативный ввод'!I924="","",'Оперативный ввод'!I924)</f>
        <v/>
      </c>
      <c r="J924" s="172">
        <f>IF('Оперативный ввод'!J924="","",'Оперативный ввод'!J924)</f>
        <v/>
      </c>
      <c r="K924" s="172">
        <f>IF('Оперативный ввод'!K924="","",'Оперативный ввод'!K924)</f>
        <v/>
      </c>
      <c r="L924" s="172">
        <f>IF('Оперативный ввод'!L924="","",'Оперативный ввод'!L924)</f>
        <v/>
      </c>
      <c r="M924" s="172">
        <f>IF('Оперативный ввод'!M924="","",'Оперативный ввод'!M924)</f>
        <v/>
      </c>
      <c r="N924" s="172">
        <f>IF('Оперативный ввод'!N924="","",'Оперативный ввод'!N924)</f>
        <v/>
      </c>
      <c r="O924" s="172">
        <f>IF('Оперативный ввод'!O924="","",'Оперативный ввод'!O924)</f>
        <v/>
      </c>
      <c r="P924" s="205">
        <f>IF(AND(A924="",B924=""),"",IF(AND(A924&lt;&gt;"",B924&lt;&gt;"",C924&lt;&gt;"",D924&lt;&gt;"",F924&lt;&gt;"",G924&lt;&gt;"",H924&lt;&gt;"",ISERROR(SEARCH("по паспорту",G924)),ISERROR(SEARCH("по паспорту",H924)),I924&lt;&gt;"",J924&lt;&gt;"",K924&lt;&gt;"",L924&lt;&gt;"",M924&lt;&gt;""),"ГОТОВО","НЕ ГОТОВО"))</f>
        <v/>
      </c>
      <c r="Q924" s="205">
        <f>IF(P924&lt;&gt;"ГОТОВО","", "Предварительное заключение: "&amp;A924&amp;", скв. "&amp;B924&amp;". МРП: "&amp;E924&amp;" сут. ГНО: "&amp;F924&amp;", типоразмер "&amp;G924&amp;", марка "&amp;H924&amp;". Событие: "&amp;I924&amp;". Признак: "&amp;J924&amp;". Узел: "&amp;K924&amp;". Предварительная причина: "&amp;L924&amp;". Основное осложнение: "&amp;M924&amp;IF(N924&lt;&gt;"","; сопутствующее: "&amp;N924,"")&amp;IF(O924&lt;&gt;"","; дополнительно: "&amp;O924,"")&amp;".")</f>
        <v/>
      </c>
      <c r="R924" s="172">
        <f>IF('Оперативный ввод'!P924="","",'Оперативный ввод'!P924)</f>
        <v/>
      </c>
      <c r="S924" s="172">
        <f>IF('Оперативный ввод'!Q924="","",'Оперативный ввод'!Q924)</f>
        <v/>
      </c>
      <c r="T924" s="172">
        <f>IF('Оперативный ввод'!R924="","",'Оперативный ввод'!R924)</f>
        <v/>
      </c>
      <c r="U924" s="172">
        <f>IF('Оперативный ввод'!S924="","",'Оперативный ввод'!S924)</f>
        <v/>
      </c>
      <c r="V924" s="172">
        <f>IF('Оперативный ввод'!T924="","",'Оперативный ввод'!T924)</f>
        <v/>
      </c>
      <c r="W924" s="172" t="n"/>
      <c r="X924" s="172" t="n"/>
      <c r="Y924" s="172" t="n"/>
      <c r="Z924" s="172" t="n"/>
      <c r="AA924" s="172">
        <f>IF('Оперативный ввод'!U924="","",'Оперативный ввод'!U924)</f>
        <v/>
      </c>
      <c r="AB924" s="172">
        <f>IF('Оперативный ввод'!V924="","",'Оперативный ввод'!V924)</f>
        <v/>
      </c>
      <c r="AC924" s="172">
        <f>IF('Оперативный ввод'!W924="","",'Оперативный ввод'!W924)</f>
        <v/>
      </c>
      <c r="BB924" s="172" t="n"/>
      <c r="BC924" s="172" t="n"/>
      <c r="BD924" s="205">
        <f>IF(AND(A924="",B924=""),"",IF(AND(P924="ГОТОВО",R924&lt;&gt;"",T924&lt;&gt;"",U924&lt;&gt;"",AA924&lt;&gt;"",AB924&lt;&gt;"",AC924&lt;&gt;"",BB924&lt;&gt;"",BC924&lt;&gt;""),"ГОТОВО","НЕ ГОТОВО"))</f>
        <v/>
      </c>
      <c r="BE924" s="205">
        <f>IF(BD924&lt;&gt;"ГОТОВО","","Полное заключение: "&amp;A924&amp;", скв. "&amp;B924&amp;". МРП: "&amp;E924&amp;" сут. ГНО: "&amp;F924&amp;"; причина: "&amp;U924&amp;"; категория: "&amp;V924&amp;"; решение комиссии: "&amp;BB924&amp;".")</f>
        <v/>
      </c>
      <c r="BF924" s="173">
        <f>IF('Оперативный ввод'!X924="","",'Оперативный ввод'!X924)</f>
        <v/>
      </c>
    </row>
    <row r="925">
      <c r="A925" s="171">
        <f>IF('Оперативный ввод'!A925="","",'Оперативный ввод'!A925)</f>
        <v/>
      </c>
      <c r="B925" s="172">
        <f>IF('Оперативный ввод'!B925="","",'Оперативный ввод'!B925)</f>
        <v/>
      </c>
      <c r="C925" s="270">
        <f>IF('Оперативный ввод'!C925="","",'Оперативный ввод'!C925)</f>
        <v/>
      </c>
      <c r="D925" s="270">
        <f>IF('Оперативный ввод'!D925="","",'Оперативный ввод'!D925)</f>
        <v/>
      </c>
      <c r="E925" s="271">
        <f>IF(OR(C925="",D925=""),"",D925-C925)</f>
        <v/>
      </c>
      <c r="F925" s="172">
        <f>IF('Оперативный ввод'!F925="","",'Оперативный ввод'!F925)</f>
        <v/>
      </c>
      <c r="G925" s="172">
        <f>IF('Оперативный ввод'!G925="","",'Оперативный ввод'!G925)</f>
        <v/>
      </c>
      <c r="H925" s="172">
        <f>IF('Оперативный ввод'!H925="","",'Оперативный ввод'!H925)</f>
        <v/>
      </c>
      <c r="I925" s="172">
        <f>IF('Оперативный ввод'!I925="","",'Оперативный ввод'!I925)</f>
        <v/>
      </c>
      <c r="J925" s="172">
        <f>IF('Оперативный ввод'!J925="","",'Оперативный ввод'!J925)</f>
        <v/>
      </c>
      <c r="K925" s="172">
        <f>IF('Оперативный ввод'!K925="","",'Оперативный ввод'!K925)</f>
        <v/>
      </c>
      <c r="L925" s="172">
        <f>IF('Оперативный ввод'!L925="","",'Оперативный ввод'!L925)</f>
        <v/>
      </c>
      <c r="M925" s="172">
        <f>IF('Оперативный ввод'!M925="","",'Оперативный ввод'!M925)</f>
        <v/>
      </c>
      <c r="N925" s="172">
        <f>IF('Оперативный ввод'!N925="","",'Оперативный ввод'!N925)</f>
        <v/>
      </c>
      <c r="O925" s="172">
        <f>IF('Оперативный ввод'!O925="","",'Оперативный ввод'!O925)</f>
        <v/>
      </c>
      <c r="P925" s="205">
        <f>IF(AND(A925="",B925=""),"",IF(AND(A925&lt;&gt;"",B925&lt;&gt;"",C925&lt;&gt;"",D925&lt;&gt;"",F925&lt;&gt;"",G925&lt;&gt;"",H925&lt;&gt;"",ISERROR(SEARCH("по паспорту",G925)),ISERROR(SEARCH("по паспорту",H925)),I925&lt;&gt;"",J925&lt;&gt;"",K925&lt;&gt;"",L925&lt;&gt;"",M925&lt;&gt;""),"ГОТОВО","НЕ ГОТОВО"))</f>
        <v/>
      </c>
      <c r="Q925" s="205">
        <f>IF(P925&lt;&gt;"ГОТОВО","", "Предварительное заключение: "&amp;A925&amp;", скв. "&amp;B925&amp;". МРП: "&amp;E925&amp;" сут. ГНО: "&amp;F925&amp;", типоразмер "&amp;G925&amp;", марка "&amp;H925&amp;". Событие: "&amp;I925&amp;". Признак: "&amp;J925&amp;". Узел: "&amp;K925&amp;". Предварительная причина: "&amp;L925&amp;". Основное осложнение: "&amp;M925&amp;IF(N925&lt;&gt;"","; сопутствующее: "&amp;N925,"")&amp;IF(O925&lt;&gt;"","; дополнительно: "&amp;O925,"")&amp;".")</f>
        <v/>
      </c>
      <c r="R925" s="172">
        <f>IF('Оперативный ввод'!P925="","",'Оперативный ввод'!P925)</f>
        <v/>
      </c>
      <c r="S925" s="172">
        <f>IF('Оперативный ввод'!Q925="","",'Оперативный ввод'!Q925)</f>
        <v/>
      </c>
      <c r="T925" s="172">
        <f>IF('Оперативный ввод'!R925="","",'Оперативный ввод'!R925)</f>
        <v/>
      </c>
      <c r="U925" s="172">
        <f>IF('Оперативный ввод'!S925="","",'Оперативный ввод'!S925)</f>
        <v/>
      </c>
      <c r="V925" s="172">
        <f>IF('Оперативный ввод'!T925="","",'Оперативный ввод'!T925)</f>
        <v/>
      </c>
      <c r="W925" s="172" t="n"/>
      <c r="X925" s="172" t="n"/>
      <c r="Y925" s="172" t="n"/>
      <c r="Z925" s="172" t="n"/>
      <c r="AA925" s="172">
        <f>IF('Оперативный ввод'!U925="","",'Оперативный ввод'!U925)</f>
        <v/>
      </c>
      <c r="AB925" s="172">
        <f>IF('Оперативный ввод'!V925="","",'Оперативный ввод'!V925)</f>
        <v/>
      </c>
      <c r="AC925" s="172">
        <f>IF('Оперативный ввод'!W925="","",'Оперативный ввод'!W925)</f>
        <v/>
      </c>
      <c r="BB925" s="172" t="n"/>
      <c r="BC925" s="172" t="n"/>
      <c r="BD925" s="205">
        <f>IF(AND(A925="",B925=""),"",IF(AND(P925="ГОТОВО",R925&lt;&gt;"",T925&lt;&gt;"",U925&lt;&gt;"",AA925&lt;&gt;"",AB925&lt;&gt;"",AC925&lt;&gt;"",BB925&lt;&gt;"",BC925&lt;&gt;""),"ГОТОВО","НЕ ГОТОВО"))</f>
        <v/>
      </c>
      <c r="BE925" s="205">
        <f>IF(BD925&lt;&gt;"ГОТОВО","","Полное заключение: "&amp;A925&amp;", скв. "&amp;B925&amp;". МРП: "&amp;E925&amp;" сут. ГНО: "&amp;F925&amp;"; причина: "&amp;U925&amp;"; категория: "&amp;V925&amp;"; решение комиссии: "&amp;BB925&amp;".")</f>
        <v/>
      </c>
      <c r="BF925" s="173">
        <f>IF('Оперативный ввод'!X925="","",'Оперативный ввод'!X925)</f>
        <v/>
      </c>
    </row>
    <row r="926">
      <c r="A926" s="171">
        <f>IF('Оперативный ввод'!A926="","",'Оперативный ввод'!A926)</f>
        <v/>
      </c>
      <c r="B926" s="172">
        <f>IF('Оперативный ввод'!B926="","",'Оперативный ввод'!B926)</f>
        <v/>
      </c>
      <c r="C926" s="270">
        <f>IF('Оперативный ввод'!C926="","",'Оперативный ввод'!C926)</f>
        <v/>
      </c>
      <c r="D926" s="270">
        <f>IF('Оперативный ввод'!D926="","",'Оперативный ввод'!D926)</f>
        <v/>
      </c>
      <c r="E926" s="271">
        <f>IF(OR(C926="",D926=""),"",D926-C926)</f>
        <v/>
      </c>
      <c r="F926" s="172">
        <f>IF('Оперативный ввод'!F926="","",'Оперативный ввод'!F926)</f>
        <v/>
      </c>
      <c r="G926" s="172">
        <f>IF('Оперативный ввод'!G926="","",'Оперативный ввод'!G926)</f>
        <v/>
      </c>
      <c r="H926" s="172">
        <f>IF('Оперативный ввод'!H926="","",'Оперативный ввод'!H926)</f>
        <v/>
      </c>
      <c r="I926" s="172">
        <f>IF('Оперативный ввод'!I926="","",'Оперативный ввод'!I926)</f>
        <v/>
      </c>
      <c r="J926" s="172">
        <f>IF('Оперативный ввод'!J926="","",'Оперативный ввод'!J926)</f>
        <v/>
      </c>
      <c r="K926" s="172">
        <f>IF('Оперативный ввод'!K926="","",'Оперативный ввод'!K926)</f>
        <v/>
      </c>
      <c r="L926" s="172">
        <f>IF('Оперативный ввод'!L926="","",'Оперативный ввод'!L926)</f>
        <v/>
      </c>
      <c r="M926" s="172">
        <f>IF('Оперативный ввод'!M926="","",'Оперативный ввод'!M926)</f>
        <v/>
      </c>
      <c r="N926" s="172">
        <f>IF('Оперативный ввод'!N926="","",'Оперативный ввод'!N926)</f>
        <v/>
      </c>
      <c r="O926" s="172">
        <f>IF('Оперативный ввод'!O926="","",'Оперативный ввод'!O926)</f>
        <v/>
      </c>
      <c r="P926" s="205">
        <f>IF(AND(A926="",B926=""),"",IF(AND(A926&lt;&gt;"",B926&lt;&gt;"",C926&lt;&gt;"",D926&lt;&gt;"",F926&lt;&gt;"",G926&lt;&gt;"",H926&lt;&gt;"",ISERROR(SEARCH("по паспорту",G926)),ISERROR(SEARCH("по паспорту",H926)),I926&lt;&gt;"",J926&lt;&gt;"",K926&lt;&gt;"",L926&lt;&gt;"",M926&lt;&gt;""),"ГОТОВО","НЕ ГОТОВО"))</f>
        <v/>
      </c>
      <c r="Q926" s="205">
        <f>IF(P926&lt;&gt;"ГОТОВО","", "Предварительное заключение: "&amp;A926&amp;", скв. "&amp;B926&amp;". МРП: "&amp;E926&amp;" сут. ГНО: "&amp;F926&amp;", типоразмер "&amp;G926&amp;", марка "&amp;H926&amp;". Событие: "&amp;I926&amp;". Признак: "&amp;J926&amp;". Узел: "&amp;K926&amp;". Предварительная причина: "&amp;L926&amp;". Основное осложнение: "&amp;M926&amp;IF(N926&lt;&gt;"","; сопутствующее: "&amp;N926,"")&amp;IF(O926&lt;&gt;"","; дополнительно: "&amp;O926,"")&amp;".")</f>
        <v/>
      </c>
      <c r="R926" s="172">
        <f>IF('Оперативный ввод'!P926="","",'Оперативный ввод'!P926)</f>
        <v/>
      </c>
      <c r="S926" s="172">
        <f>IF('Оперативный ввод'!Q926="","",'Оперативный ввод'!Q926)</f>
        <v/>
      </c>
      <c r="T926" s="172">
        <f>IF('Оперативный ввод'!R926="","",'Оперативный ввод'!R926)</f>
        <v/>
      </c>
      <c r="U926" s="172">
        <f>IF('Оперативный ввод'!S926="","",'Оперативный ввод'!S926)</f>
        <v/>
      </c>
      <c r="V926" s="172">
        <f>IF('Оперативный ввод'!T926="","",'Оперативный ввод'!T926)</f>
        <v/>
      </c>
      <c r="W926" s="172" t="n"/>
      <c r="X926" s="172" t="n"/>
      <c r="Y926" s="172" t="n"/>
      <c r="Z926" s="172" t="n"/>
      <c r="AA926" s="172">
        <f>IF('Оперативный ввод'!U926="","",'Оперативный ввод'!U926)</f>
        <v/>
      </c>
      <c r="AB926" s="172">
        <f>IF('Оперативный ввод'!V926="","",'Оперативный ввод'!V926)</f>
        <v/>
      </c>
      <c r="AC926" s="172">
        <f>IF('Оперативный ввод'!W926="","",'Оперативный ввод'!W926)</f>
        <v/>
      </c>
      <c r="BB926" s="172" t="n"/>
      <c r="BC926" s="172" t="n"/>
      <c r="BD926" s="205">
        <f>IF(AND(A926="",B926=""),"",IF(AND(P926="ГОТОВО",R926&lt;&gt;"",T926&lt;&gt;"",U926&lt;&gt;"",AA926&lt;&gt;"",AB926&lt;&gt;"",AC926&lt;&gt;"",BB926&lt;&gt;"",BC926&lt;&gt;""),"ГОТОВО","НЕ ГОТОВО"))</f>
        <v/>
      </c>
      <c r="BE926" s="205">
        <f>IF(BD926&lt;&gt;"ГОТОВО","","Полное заключение: "&amp;A926&amp;", скв. "&amp;B926&amp;". МРП: "&amp;E926&amp;" сут. ГНО: "&amp;F926&amp;"; причина: "&amp;U926&amp;"; категория: "&amp;V926&amp;"; решение комиссии: "&amp;BB926&amp;".")</f>
        <v/>
      </c>
      <c r="BF926" s="173">
        <f>IF('Оперативный ввод'!X926="","",'Оперативный ввод'!X926)</f>
        <v/>
      </c>
    </row>
    <row r="927">
      <c r="A927" s="171">
        <f>IF('Оперативный ввод'!A927="","",'Оперативный ввод'!A927)</f>
        <v/>
      </c>
      <c r="B927" s="172">
        <f>IF('Оперативный ввод'!B927="","",'Оперативный ввод'!B927)</f>
        <v/>
      </c>
      <c r="C927" s="270">
        <f>IF('Оперативный ввод'!C927="","",'Оперативный ввод'!C927)</f>
        <v/>
      </c>
      <c r="D927" s="270">
        <f>IF('Оперативный ввод'!D927="","",'Оперативный ввод'!D927)</f>
        <v/>
      </c>
      <c r="E927" s="271">
        <f>IF(OR(C927="",D927=""),"",D927-C927)</f>
        <v/>
      </c>
      <c r="F927" s="172">
        <f>IF('Оперативный ввод'!F927="","",'Оперативный ввод'!F927)</f>
        <v/>
      </c>
      <c r="G927" s="172">
        <f>IF('Оперативный ввод'!G927="","",'Оперативный ввод'!G927)</f>
        <v/>
      </c>
      <c r="H927" s="172">
        <f>IF('Оперативный ввод'!H927="","",'Оперативный ввод'!H927)</f>
        <v/>
      </c>
      <c r="I927" s="172">
        <f>IF('Оперативный ввод'!I927="","",'Оперативный ввод'!I927)</f>
        <v/>
      </c>
      <c r="J927" s="172">
        <f>IF('Оперативный ввод'!J927="","",'Оперативный ввод'!J927)</f>
        <v/>
      </c>
      <c r="K927" s="172">
        <f>IF('Оперативный ввод'!K927="","",'Оперативный ввод'!K927)</f>
        <v/>
      </c>
      <c r="L927" s="172">
        <f>IF('Оперативный ввод'!L927="","",'Оперативный ввод'!L927)</f>
        <v/>
      </c>
      <c r="M927" s="172">
        <f>IF('Оперативный ввод'!M927="","",'Оперативный ввод'!M927)</f>
        <v/>
      </c>
      <c r="N927" s="172">
        <f>IF('Оперативный ввод'!N927="","",'Оперативный ввод'!N927)</f>
        <v/>
      </c>
      <c r="O927" s="172">
        <f>IF('Оперативный ввод'!O927="","",'Оперативный ввод'!O927)</f>
        <v/>
      </c>
      <c r="P927" s="205">
        <f>IF(AND(A927="",B927=""),"",IF(AND(A927&lt;&gt;"",B927&lt;&gt;"",C927&lt;&gt;"",D927&lt;&gt;"",F927&lt;&gt;"",G927&lt;&gt;"",H927&lt;&gt;"",ISERROR(SEARCH("по паспорту",G927)),ISERROR(SEARCH("по паспорту",H927)),I927&lt;&gt;"",J927&lt;&gt;"",K927&lt;&gt;"",L927&lt;&gt;"",M927&lt;&gt;""),"ГОТОВО","НЕ ГОТОВО"))</f>
        <v/>
      </c>
      <c r="Q927" s="205">
        <f>IF(P927&lt;&gt;"ГОТОВО","", "Предварительное заключение: "&amp;A927&amp;", скв. "&amp;B927&amp;". МРП: "&amp;E927&amp;" сут. ГНО: "&amp;F927&amp;", типоразмер "&amp;G927&amp;", марка "&amp;H927&amp;". Событие: "&amp;I927&amp;". Признак: "&amp;J927&amp;". Узел: "&amp;K927&amp;". Предварительная причина: "&amp;L927&amp;". Основное осложнение: "&amp;M927&amp;IF(N927&lt;&gt;"","; сопутствующее: "&amp;N927,"")&amp;IF(O927&lt;&gt;"","; дополнительно: "&amp;O927,"")&amp;".")</f>
        <v/>
      </c>
      <c r="R927" s="172">
        <f>IF('Оперативный ввод'!P927="","",'Оперативный ввод'!P927)</f>
        <v/>
      </c>
      <c r="S927" s="172">
        <f>IF('Оперативный ввод'!Q927="","",'Оперативный ввод'!Q927)</f>
        <v/>
      </c>
      <c r="T927" s="172">
        <f>IF('Оперативный ввод'!R927="","",'Оперативный ввод'!R927)</f>
        <v/>
      </c>
      <c r="U927" s="172">
        <f>IF('Оперативный ввод'!S927="","",'Оперативный ввод'!S927)</f>
        <v/>
      </c>
      <c r="V927" s="172">
        <f>IF('Оперативный ввод'!T927="","",'Оперативный ввод'!T927)</f>
        <v/>
      </c>
      <c r="W927" s="172" t="n"/>
      <c r="X927" s="172" t="n"/>
      <c r="Y927" s="172" t="n"/>
      <c r="Z927" s="172" t="n"/>
      <c r="AA927" s="172">
        <f>IF('Оперативный ввод'!U927="","",'Оперативный ввод'!U927)</f>
        <v/>
      </c>
      <c r="AB927" s="172">
        <f>IF('Оперативный ввод'!V927="","",'Оперативный ввод'!V927)</f>
        <v/>
      </c>
      <c r="AC927" s="172">
        <f>IF('Оперативный ввод'!W927="","",'Оперативный ввод'!W927)</f>
        <v/>
      </c>
      <c r="BB927" s="172" t="n"/>
      <c r="BC927" s="172" t="n"/>
      <c r="BD927" s="205">
        <f>IF(AND(A927="",B927=""),"",IF(AND(P927="ГОТОВО",R927&lt;&gt;"",T927&lt;&gt;"",U927&lt;&gt;"",AA927&lt;&gt;"",AB927&lt;&gt;"",AC927&lt;&gt;"",BB927&lt;&gt;"",BC927&lt;&gt;""),"ГОТОВО","НЕ ГОТОВО"))</f>
        <v/>
      </c>
      <c r="BE927" s="205">
        <f>IF(BD927&lt;&gt;"ГОТОВО","","Полное заключение: "&amp;A927&amp;", скв. "&amp;B927&amp;". МРП: "&amp;E927&amp;" сут. ГНО: "&amp;F927&amp;"; причина: "&amp;U927&amp;"; категория: "&amp;V927&amp;"; решение комиссии: "&amp;BB927&amp;".")</f>
        <v/>
      </c>
      <c r="BF927" s="173">
        <f>IF('Оперативный ввод'!X927="","",'Оперативный ввод'!X927)</f>
        <v/>
      </c>
    </row>
    <row r="928">
      <c r="A928" s="171">
        <f>IF('Оперативный ввод'!A928="","",'Оперативный ввод'!A928)</f>
        <v/>
      </c>
      <c r="B928" s="172">
        <f>IF('Оперативный ввод'!B928="","",'Оперативный ввод'!B928)</f>
        <v/>
      </c>
      <c r="C928" s="270">
        <f>IF('Оперативный ввод'!C928="","",'Оперативный ввод'!C928)</f>
        <v/>
      </c>
      <c r="D928" s="270">
        <f>IF('Оперативный ввод'!D928="","",'Оперативный ввод'!D928)</f>
        <v/>
      </c>
      <c r="E928" s="271">
        <f>IF(OR(C928="",D928=""),"",D928-C928)</f>
        <v/>
      </c>
      <c r="F928" s="172">
        <f>IF('Оперативный ввод'!F928="","",'Оперативный ввод'!F928)</f>
        <v/>
      </c>
      <c r="G928" s="172">
        <f>IF('Оперативный ввод'!G928="","",'Оперативный ввод'!G928)</f>
        <v/>
      </c>
      <c r="H928" s="172">
        <f>IF('Оперативный ввод'!H928="","",'Оперативный ввод'!H928)</f>
        <v/>
      </c>
      <c r="I928" s="172">
        <f>IF('Оперативный ввод'!I928="","",'Оперативный ввод'!I928)</f>
        <v/>
      </c>
      <c r="J928" s="172">
        <f>IF('Оперативный ввод'!J928="","",'Оперативный ввод'!J928)</f>
        <v/>
      </c>
      <c r="K928" s="172">
        <f>IF('Оперативный ввод'!K928="","",'Оперативный ввод'!K928)</f>
        <v/>
      </c>
      <c r="L928" s="172">
        <f>IF('Оперативный ввод'!L928="","",'Оперативный ввод'!L928)</f>
        <v/>
      </c>
      <c r="M928" s="172">
        <f>IF('Оперативный ввод'!M928="","",'Оперативный ввод'!M928)</f>
        <v/>
      </c>
      <c r="N928" s="172">
        <f>IF('Оперативный ввод'!N928="","",'Оперативный ввод'!N928)</f>
        <v/>
      </c>
      <c r="O928" s="172">
        <f>IF('Оперативный ввод'!O928="","",'Оперативный ввод'!O928)</f>
        <v/>
      </c>
      <c r="P928" s="205">
        <f>IF(AND(A928="",B928=""),"",IF(AND(A928&lt;&gt;"",B928&lt;&gt;"",C928&lt;&gt;"",D928&lt;&gt;"",F928&lt;&gt;"",G928&lt;&gt;"",H928&lt;&gt;"",ISERROR(SEARCH("по паспорту",G928)),ISERROR(SEARCH("по паспорту",H928)),I928&lt;&gt;"",J928&lt;&gt;"",K928&lt;&gt;"",L928&lt;&gt;"",M928&lt;&gt;""),"ГОТОВО","НЕ ГОТОВО"))</f>
        <v/>
      </c>
      <c r="Q928" s="205">
        <f>IF(P928&lt;&gt;"ГОТОВО","", "Предварительное заключение: "&amp;A928&amp;", скв. "&amp;B928&amp;". МРП: "&amp;E928&amp;" сут. ГНО: "&amp;F928&amp;", типоразмер "&amp;G928&amp;", марка "&amp;H928&amp;". Событие: "&amp;I928&amp;". Признак: "&amp;J928&amp;". Узел: "&amp;K928&amp;". Предварительная причина: "&amp;L928&amp;". Основное осложнение: "&amp;M928&amp;IF(N928&lt;&gt;"","; сопутствующее: "&amp;N928,"")&amp;IF(O928&lt;&gt;"","; дополнительно: "&amp;O928,"")&amp;".")</f>
        <v/>
      </c>
      <c r="R928" s="172">
        <f>IF('Оперативный ввод'!P928="","",'Оперативный ввод'!P928)</f>
        <v/>
      </c>
      <c r="S928" s="172">
        <f>IF('Оперативный ввод'!Q928="","",'Оперативный ввод'!Q928)</f>
        <v/>
      </c>
      <c r="T928" s="172">
        <f>IF('Оперативный ввод'!R928="","",'Оперативный ввод'!R928)</f>
        <v/>
      </c>
      <c r="U928" s="172">
        <f>IF('Оперативный ввод'!S928="","",'Оперативный ввод'!S928)</f>
        <v/>
      </c>
      <c r="V928" s="172">
        <f>IF('Оперативный ввод'!T928="","",'Оперативный ввод'!T928)</f>
        <v/>
      </c>
      <c r="W928" s="172" t="n"/>
      <c r="X928" s="172" t="n"/>
      <c r="Y928" s="172" t="n"/>
      <c r="Z928" s="172" t="n"/>
      <c r="AA928" s="172">
        <f>IF('Оперативный ввод'!U928="","",'Оперативный ввод'!U928)</f>
        <v/>
      </c>
      <c r="AB928" s="172">
        <f>IF('Оперативный ввод'!V928="","",'Оперативный ввод'!V928)</f>
        <v/>
      </c>
      <c r="AC928" s="172">
        <f>IF('Оперативный ввод'!W928="","",'Оперативный ввод'!W928)</f>
        <v/>
      </c>
      <c r="BB928" s="172" t="n"/>
      <c r="BC928" s="172" t="n"/>
      <c r="BD928" s="205">
        <f>IF(AND(A928="",B928=""),"",IF(AND(P928="ГОТОВО",R928&lt;&gt;"",T928&lt;&gt;"",U928&lt;&gt;"",AA928&lt;&gt;"",AB928&lt;&gt;"",AC928&lt;&gt;"",BB928&lt;&gt;"",BC928&lt;&gt;""),"ГОТОВО","НЕ ГОТОВО"))</f>
        <v/>
      </c>
      <c r="BE928" s="205">
        <f>IF(BD928&lt;&gt;"ГОТОВО","","Полное заключение: "&amp;A928&amp;", скв. "&amp;B928&amp;". МРП: "&amp;E928&amp;" сут. ГНО: "&amp;F928&amp;"; причина: "&amp;U928&amp;"; категория: "&amp;V928&amp;"; решение комиссии: "&amp;BB928&amp;".")</f>
        <v/>
      </c>
      <c r="BF928" s="173">
        <f>IF('Оперативный ввод'!X928="","",'Оперативный ввод'!X928)</f>
        <v/>
      </c>
    </row>
    <row r="929">
      <c r="A929" s="171">
        <f>IF('Оперативный ввод'!A929="","",'Оперативный ввод'!A929)</f>
        <v/>
      </c>
      <c r="B929" s="172">
        <f>IF('Оперативный ввод'!B929="","",'Оперативный ввод'!B929)</f>
        <v/>
      </c>
      <c r="C929" s="270">
        <f>IF('Оперативный ввод'!C929="","",'Оперативный ввод'!C929)</f>
        <v/>
      </c>
      <c r="D929" s="270">
        <f>IF('Оперативный ввод'!D929="","",'Оперативный ввод'!D929)</f>
        <v/>
      </c>
      <c r="E929" s="271">
        <f>IF(OR(C929="",D929=""),"",D929-C929)</f>
        <v/>
      </c>
      <c r="F929" s="172">
        <f>IF('Оперативный ввод'!F929="","",'Оперативный ввод'!F929)</f>
        <v/>
      </c>
      <c r="G929" s="172">
        <f>IF('Оперативный ввод'!G929="","",'Оперативный ввод'!G929)</f>
        <v/>
      </c>
      <c r="H929" s="172">
        <f>IF('Оперативный ввод'!H929="","",'Оперативный ввод'!H929)</f>
        <v/>
      </c>
      <c r="I929" s="172">
        <f>IF('Оперативный ввод'!I929="","",'Оперативный ввод'!I929)</f>
        <v/>
      </c>
      <c r="J929" s="172">
        <f>IF('Оперативный ввод'!J929="","",'Оперативный ввод'!J929)</f>
        <v/>
      </c>
      <c r="K929" s="172">
        <f>IF('Оперативный ввод'!K929="","",'Оперативный ввод'!K929)</f>
        <v/>
      </c>
      <c r="L929" s="172">
        <f>IF('Оперативный ввод'!L929="","",'Оперативный ввод'!L929)</f>
        <v/>
      </c>
      <c r="M929" s="172">
        <f>IF('Оперативный ввод'!M929="","",'Оперативный ввод'!M929)</f>
        <v/>
      </c>
      <c r="N929" s="172">
        <f>IF('Оперативный ввод'!N929="","",'Оперативный ввод'!N929)</f>
        <v/>
      </c>
      <c r="O929" s="172">
        <f>IF('Оперативный ввод'!O929="","",'Оперативный ввод'!O929)</f>
        <v/>
      </c>
      <c r="P929" s="205">
        <f>IF(AND(A929="",B929=""),"",IF(AND(A929&lt;&gt;"",B929&lt;&gt;"",C929&lt;&gt;"",D929&lt;&gt;"",F929&lt;&gt;"",G929&lt;&gt;"",H929&lt;&gt;"",ISERROR(SEARCH("по паспорту",G929)),ISERROR(SEARCH("по паспорту",H929)),I929&lt;&gt;"",J929&lt;&gt;"",K929&lt;&gt;"",L929&lt;&gt;"",M929&lt;&gt;""),"ГОТОВО","НЕ ГОТОВО"))</f>
        <v/>
      </c>
      <c r="Q929" s="205">
        <f>IF(P929&lt;&gt;"ГОТОВО","", "Предварительное заключение: "&amp;A929&amp;", скв. "&amp;B929&amp;". МРП: "&amp;E929&amp;" сут. ГНО: "&amp;F929&amp;", типоразмер "&amp;G929&amp;", марка "&amp;H929&amp;". Событие: "&amp;I929&amp;". Признак: "&amp;J929&amp;". Узел: "&amp;K929&amp;". Предварительная причина: "&amp;L929&amp;". Основное осложнение: "&amp;M929&amp;IF(N929&lt;&gt;"","; сопутствующее: "&amp;N929,"")&amp;IF(O929&lt;&gt;"","; дополнительно: "&amp;O929,"")&amp;".")</f>
        <v/>
      </c>
      <c r="R929" s="172">
        <f>IF('Оперативный ввод'!P929="","",'Оперативный ввод'!P929)</f>
        <v/>
      </c>
      <c r="S929" s="172">
        <f>IF('Оперативный ввод'!Q929="","",'Оперативный ввод'!Q929)</f>
        <v/>
      </c>
      <c r="T929" s="172">
        <f>IF('Оперативный ввод'!R929="","",'Оперативный ввод'!R929)</f>
        <v/>
      </c>
      <c r="U929" s="172">
        <f>IF('Оперативный ввод'!S929="","",'Оперативный ввод'!S929)</f>
        <v/>
      </c>
      <c r="V929" s="172">
        <f>IF('Оперативный ввод'!T929="","",'Оперативный ввод'!T929)</f>
        <v/>
      </c>
      <c r="W929" s="172" t="n"/>
      <c r="X929" s="172" t="n"/>
      <c r="Y929" s="172" t="n"/>
      <c r="Z929" s="172" t="n"/>
      <c r="AA929" s="172">
        <f>IF('Оперативный ввод'!U929="","",'Оперативный ввод'!U929)</f>
        <v/>
      </c>
      <c r="AB929" s="172">
        <f>IF('Оперативный ввод'!V929="","",'Оперативный ввод'!V929)</f>
        <v/>
      </c>
      <c r="AC929" s="172">
        <f>IF('Оперативный ввод'!W929="","",'Оперативный ввод'!W929)</f>
        <v/>
      </c>
      <c r="BB929" s="172" t="n"/>
      <c r="BC929" s="172" t="n"/>
      <c r="BD929" s="205">
        <f>IF(AND(A929="",B929=""),"",IF(AND(P929="ГОТОВО",R929&lt;&gt;"",T929&lt;&gt;"",U929&lt;&gt;"",AA929&lt;&gt;"",AB929&lt;&gt;"",AC929&lt;&gt;"",BB929&lt;&gt;"",BC929&lt;&gt;""),"ГОТОВО","НЕ ГОТОВО"))</f>
        <v/>
      </c>
      <c r="BE929" s="205">
        <f>IF(BD929&lt;&gt;"ГОТОВО","","Полное заключение: "&amp;A929&amp;", скв. "&amp;B929&amp;". МРП: "&amp;E929&amp;" сут. ГНО: "&amp;F929&amp;"; причина: "&amp;U929&amp;"; категория: "&amp;V929&amp;"; решение комиссии: "&amp;BB929&amp;".")</f>
        <v/>
      </c>
      <c r="BF929" s="173">
        <f>IF('Оперативный ввод'!X929="","",'Оперативный ввод'!X929)</f>
        <v/>
      </c>
    </row>
    <row r="930">
      <c r="A930" s="171">
        <f>IF('Оперативный ввод'!A930="","",'Оперативный ввод'!A930)</f>
        <v/>
      </c>
      <c r="B930" s="172">
        <f>IF('Оперативный ввод'!B930="","",'Оперативный ввод'!B930)</f>
        <v/>
      </c>
      <c r="C930" s="270">
        <f>IF('Оперативный ввод'!C930="","",'Оперативный ввод'!C930)</f>
        <v/>
      </c>
      <c r="D930" s="270">
        <f>IF('Оперативный ввод'!D930="","",'Оперативный ввод'!D930)</f>
        <v/>
      </c>
      <c r="E930" s="271">
        <f>IF(OR(C930="",D930=""),"",D930-C930)</f>
        <v/>
      </c>
      <c r="F930" s="172">
        <f>IF('Оперативный ввод'!F930="","",'Оперативный ввод'!F930)</f>
        <v/>
      </c>
      <c r="G930" s="172">
        <f>IF('Оперативный ввод'!G930="","",'Оперативный ввод'!G930)</f>
        <v/>
      </c>
      <c r="H930" s="172">
        <f>IF('Оперативный ввод'!H930="","",'Оперативный ввод'!H930)</f>
        <v/>
      </c>
      <c r="I930" s="172">
        <f>IF('Оперативный ввод'!I930="","",'Оперативный ввод'!I930)</f>
        <v/>
      </c>
      <c r="J930" s="172">
        <f>IF('Оперативный ввод'!J930="","",'Оперативный ввод'!J930)</f>
        <v/>
      </c>
      <c r="K930" s="172">
        <f>IF('Оперативный ввод'!K930="","",'Оперативный ввод'!K930)</f>
        <v/>
      </c>
      <c r="L930" s="172">
        <f>IF('Оперативный ввод'!L930="","",'Оперативный ввод'!L930)</f>
        <v/>
      </c>
      <c r="M930" s="172">
        <f>IF('Оперативный ввод'!M930="","",'Оперативный ввод'!M930)</f>
        <v/>
      </c>
      <c r="N930" s="172">
        <f>IF('Оперативный ввод'!N930="","",'Оперативный ввод'!N930)</f>
        <v/>
      </c>
      <c r="O930" s="172">
        <f>IF('Оперативный ввод'!O930="","",'Оперативный ввод'!O930)</f>
        <v/>
      </c>
      <c r="P930" s="205">
        <f>IF(AND(A930="",B930=""),"",IF(AND(A930&lt;&gt;"",B930&lt;&gt;"",C930&lt;&gt;"",D930&lt;&gt;"",F930&lt;&gt;"",G930&lt;&gt;"",H930&lt;&gt;"",ISERROR(SEARCH("по паспорту",G930)),ISERROR(SEARCH("по паспорту",H930)),I930&lt;&gt;"",J930&lt;&gt;"",K930&lt;&gt;"",L930&lt;&gt;"",M930&lt;&gt;""),"ГОТОВО","НЕ ГОТОВО"))</f>
        <v/>
      </c>
      <c r="Q930" s="205">
        <f>IF(P930&lt;&gt;"ГОТОВО","", "Предварительное заключение: "&amp;A930&amp;", скв. "&amp;B930&amp;". МРП: "&amp;E930&amp;" сут. ГНО: "&amp;F930&amp;", типоразмер "&amp;G930&amp;", марка "&amp;H930&amp;". Событие: "&amp;I930&amp;". Признак: "&amp;J930&amp;". Узел: "&amp;K930&amp;". Предварительная причина: "&amp;L930&amp;". Основное осложнение: "&amp;M930&amp;IF(N930&lt;&gt;"","; сопутствующее: "&amp;N930,"")&amp;IF(O930&lt;&gt;"","; дополнительно: "&amp;O930,"")&amp;".")</f>
        <v/>
      </c>
      <c r="R930" s="172">
        <f>IF('Оперативный ввод'!P930="","",'Оперативный ввод'!P930)</f>
        <v/>
      </c>
      <c r="S930" s="172">
        <f>IF('Оперативный ввод'!Q930="","",'Оперативный ввод'!Q930)</f>
        <v/>
      </c>
      <c r="T930" s="172">
        <f>IF('Оперативный ввод'!R930="","",'Оперативный ввод'!R930)</f>
        <v/>
      </c>
      <c r="U930" s="172">
        <f>IF('Оперативный ввод'!S930="","",'Оперативный ввод'!S930)</f>
        <v/>
      </c>
      <c r="V930" s="172">
        <f>IF('Оперативный ввод'!T930="","",'Оперативный ввод'!T930)</f>
        <v/>
      </c>
      <c r="W930" s="172" t="n"/>
      <c r="X930" s="172" t="n"/>
      <c r="Y930" s="172" t="n"/>
      <c r="Z930" s="172" t="n"/>
      <c r="AA930" s="172">
        <f>IF('Оперативный ввод'!U930="","",'Оперативный ввод'!U930)</f>
        <v/>
      </c>
      <c r="AB930" s="172">
        <f>IF('Оперативный ввод'!V930="","",'Оперативный ввод'!V930)</f>
        <v/>
      </c>
      <c r="AC930" s="172">
        <f>IF('Оперативный ввод'!W930="","",'Оперативный ввод'!W930)</f>
        <v/>
      </c>
      <c r="BB930" s="172" t="n"/>
      <c r="BC930" s="172" t="n"/>
      <c r="BD930" s="205">
        <f>IF(AND(A930="",B930=""),"",IF(AND(P930="ГОТОВО",R930&lt;&gt;"",T930&lt;&gt;"",U930&lt;&gt;"",AA930&lt;&gt;"",AB930&lt;&gt;"",AC930&lt;&gt;"",BB930&lt;&gt;"",BC930&lt;&gt;""),"ГОТОВО","НЕ ГОТОВО"))</f>
        <v/>
      </c>
      <c r="BE930" s="205">
        <f>IF(BD930&lt;&gt;"ГОТОВО","","Полное заключение: "&amp;A930&amp;", скв. "&amp;B930&amp;". МРП: "&amp;E930&amp;" сут. ГНО: "&amp;F930&amp;"; причина: "&amp;U930&amp;"; категория: "&amp;V930&amp;"; решение комиссии: "&amp;BB930&amp;".")</f>
        <v/>
      </c>
      <c r="BF930" s="173">
        <f>IF('Оперативный ввод'!X930="","",'Оперативный ввод'!X930)</f>
        <v/>
      </c>
    </row>
    <row r="931">
      <c r="A931" s="171">
        <f>IF('Оперативный ввод'!A931="","",'Оперативный ввод'!A931)</f>
        <v/>
      </c>
      <c r="B931" s="172">
        <f>IF('Оперативный ввод'!B931="","",'Оперативный ввод'!B931)</f>
        <v/>
      </c>
      <c r="C931" s="270">
        <f>IF('Оперативный ввод'!C931="","",'Оперативный ввод'!C931)</f>
        <v/>
      </c>
      <c r="D931" s="270">
        <f>IF('Оперативный ввод'!D931="","",'Оперативный ввод'!D931)</f>
        <v/>
      </c>
      <c r="E931" s="271">
        <f>IF(OR(C931="",D931=""),"",D931-C931)</f>
        <v/>
      </c>
      <c r="F931" s="172">
        <f>IF('Оперативный ввод'!F931="","",'Оперативный ввод'!F931)</f>
        <v/>
      </c>
      <c r="G931" s="172">
        <f>IF('Оперативный ввод'!G931="","",'Оперативный ввод'!G931)</f>
        <v/>
      </c>
      <c r="H931" s="172">
        <f>IF('Оперативный ввод'!H931="","",'Оперативный ввод'!H931)</f>
        <v/>
      </c>
      <c r="I931" s="172">
        <f>IF('Оперативный ввод'!I931="","",'Оперативный ввод'!I931)</f>
        <v/>
      </c>
      <c r="J931" s="172">
        <f>IF('Оперативный ввод'!J931="","",'Оперативный ввод'!J931)</f>
        <v/>
      </c>
      <c r="K931" s="172">
        <f>IF('Оперативный ввод'!K931="","",'Оперативный ввод'!K931)</f>
        <v/>
      </c>
      <c r="L931" s="172">
        <f>IF('Оперативный ввод'!L931="","",'Оперативный ввод'!L931)</f>
        <v/>
      </c>
      <c r="M931" s="172">
        <f>IF('Оперативный ввод'!M931="","",'Оперативный ввод'!M931)</f>
        <v/>
      </c>
      <c r="N931" s="172">
        <f>IF('Оперативный ввод'!N931="","",'Оперативный ввод'!N931)</f>
        <v/>
      </c>
      <c r="O931" s="172">
        <f>IF('Оперативный ввод'!O931="","",'Оперативный ввод'!O931)</f>
        <v/>
      </c>
      <c r="P931" s="205">
        <f>IF(AND(A931="",B931=""),"",IF(AND(A931&lt;&gt;"",B931&lt;&gt;"",C931&lt;&gt;"",D931&lt;&gt;"",F931&lt;&gt;"",G931&lt;&gt;"",H931&lt;&gt;"",ISERROR(SEARCH("по паспорту",G931)),ISERROR(SEARCH("по паспорту",H931)),I931&lt;&gt;"",J931&lt;&gt;"",K931&lt;&gt;"",L931&lt;&gt;"",M931&lt;&gt;""),"ГОТОВО","НЕ ГОТОВО"))</f>
        <v/>
      </c>
      <c r="Q931" s="205">
        <f>IF(P931&lt;&gt;"ГОТОВО","", "Предварительное заключение: "&amp;A931&amp;", скв. "&amp;B931&amp;". МРП: "&amp;E931&amp;" сут. ГНО: "&amp;F931&amp;", типоразмер "&amp;G931&amp;", марка "&amp;H931&amp;". Событие: "&amp;I931&amp;". Признак: "&amp;J931&amp;". Узел: "&amp;K931&amp;". Предварительная причина: "&amp;L931&amp;". Основное осложнение: "&amp;M931&amp;IF(N931&lt;&gt;"","; сопутствующее: "&amp;N931,"")&amp;IF(O931&lt;&gt;"","; дополнительно: "&amp;O931,"")&amp;".")</f>
        <v/>
      </c>
      <c r="R931" s="172">
        <f>IF('Оперативный ввод'!P931="","",'Оперативный ввод'!P931)</f>
        <v/>
      </c>
      <c r="S931" s="172">
        <f>IF('Оперативный ввод'!Q931="","",'Оперативный ввод'!Q931)</f>
        <v/>
      </c>
      <c r="T931" s="172">
        <f>IF('Оперативный ввод'!R931="","",'Оперативный ввод'!R931)</f>
        <v/>
      </c>
      <c r="U931" s="172">
        <f>IF('Оперативный ввод'!S931="","",'Оперативный ввод'!S931)</f>
        <v/>
      </c>
      <c r="V931" s="172">
        <f>IF('Оперативный ввод'!T931="","",'Оперативный ввод'!T931)</f>
        <v/>
      </c>
      <c r="W931" s="172" t="n"/>
      <c r="X931" s="172" t="n"/>
      <c r="Y931" s="172" t="n"/>
      <c r="Z931" s="172" t="n"/>
      <c r="AA931" s="172">
        <f>IF('Оперативный ввод'!U931="","",'Оперативный ввод'!U931)</f>
        <v/>
      </c>
      <c r="AB931" s="172">
        <f>IF('Оперативный ввод'!V931="","",'Оперативный ввод'!V931)</f>
        <v/>
      </c>
      <c r="AC931" s="172">
        <f>IF('Оперативный ввод'!W931="","",'Оперативный ввод'!W931)</f>
        <v/>
      </c>
      <c r="BB931" s="172" t="n"/>
      <c r="BC931" s="172" t="n"/>
      <c r="BD931" s="205">
        <f>IF(AND(A931="",B931=""),"",IF(AND(P931="ГОТОВО",R931&lt;&gt;"",T931&lt;&gt;"",U931&lt;&gt;"",AA931&lt;&gt;"",AB931&lt;&gt;"",AC931&lt;&gt;"",BB931&lt;&gt;"",BC931&lt;&gt;""),"ГОТОВО","НЕ ГОТОВО"))</f>
        <v/>
      </c>
      <c r="BE931" s="205">
        <f>IF(BD931&lt;&gt;"ГОТОВО","","Полное заключение: "&amp;A931&amp;", скв. "&amp;B931&amp;". МРП: "&amp;E931&amp;" сут. ГНО: "&amp;F931&amp;"; причина: "&amp;U931&amp;"; категория: "&amp;V931&amp;"; решение комиссии: "&amp;BB931&amp;".")</f>
        <v/>
      </c>
      <c r="BF931" s="173">
        <f>IF('Оперативный ввод'!X931="","",'Оперативный ввод'!X931)</f>
        <v/>
      </c>
    </row>
    <row r="932">
      <c r="A932" s="171">
        <f>IF('Оперативный ввод'!A932="","",'Оперативный ввод'!A932)</f>
        <v/>
      </c>
      <c r="B932" s="172">
        <f>IF('Оперативный ввод'!B932="","",'Оперативный ввод'!B932)</f>
        <v/>
      </c>
      <c r="C932" s="270">
        <f>IF('Оперативный ввод'!C932="","",'Оперативный ввод'!C932)</f>
        <v/>
      </c>
      <c r="D932" s="270">
        <f>IF('Оперативный ввод'!D932="","",'Оперативный ввод'!D932)</f>
        <v/>
      </c>
      <c r="E932" s="271">
        <f>IF(OR(C932="",D932=""),"",D932-C932)</f>
        <v/>
      </c>
      <c r="F932" s="172">
        <f>IF('Оперативный ввод'!F932="","",'Оперативный ввод'!F932)</f>
        <v/>
      </c>
      <c r="G932" s="172">
        <f>IF('Оперативный ввод'!G932="","",'Оперативный ввод'!G932)</f>
        <v/>
      </c>
      <c r="H932" s="172">
        <f>IF('Оперативный ввод'!H932="","",'Оперативный ввод'!H932)</f>
        <v/>
      </c>
      <c r="I932" s="172">
        <f>IF('Оперативный ввод'!I932="","",'Оперативный ввод'!I932)</f>
        <v/>
      </c>
      <c r="J932" s="172">
        <f>IF('Оперативный ввод'!J932="","",'Оперативный ввод'!J932)</f>
        <v/>
      </c>
      <c r="K932" s="172">
        <f>IF('Оперативный ввод'!K932="","",'Оперативный ввод'!K932)</f>
        <v/>
      </c>
      <c r="L932" s="172">
        <f>IF('Оперативный ввод'!L932="","",'Оперативный ввод'!L932)</f>
        <v/>
      </c>
      <c r="M932" s="172">
        <f>IF('Оперативный ввод'!M932="","",'Оперативный ввод'!M932)</f>
        <v/>
      </c>
      <c r="N932" s="172">
        <f>IF('Оперативный ввод'!N932="","",'Оперативный ввод'!N932)</f>
        <v/>
      </c>
      <c r="O932" s="172">
        <f>IF('Оперативный ввод'!O932="","",'Оперативный ввод'!O932)</f>
        <v/>
      </c>
      <c r="P932" s="205">
        <f>IF(AND(A932="",B932=""),"",IF(AND(A932&lt;&gt;"",B932&lt;&gt;"",C932&lt;&gt;"",D932&lt;&gt;"",F932&lt;&gt;"",G932&lt;&gt;"",H932&lt;&gt;"",ISERROR(SEARCH("по паспорту",G932)),ISERROR(SEARCH("по паспорту",H932)),I932&lt;&gt;"",J932&lt;&gt;"",K932&lt;&gt;"",L932&lt;&gt;"",M932&lt;&gt;""),"ГОТОВО","НЕ ГОТОВО"))</f>
        <v/>
      </c>
      <c r="Q932" s="205">
        <f>IF(P932&lt;&gt;"ГОТОВО","", "Предварительное заключение: "&amp;A932&amp;", скв. "&amp;B932&amp;". МРП: "&amp;E932&amp;" сут. ГНО: "&amp;F932&amp;", типоразмер "&amp;G932&amp;", марка "&amp;H932&amp;". Событие: "&amp;I932&amp;". Признак: "&amp;J932&amp;". Узел: "&amp;K932&amp;". Предварительная причина: "&amp;L932&amp;". Основное осложнение: "&amp;M932&amp;IF(N932&lt;&gt;"","; сопутствующее: "&amp;N932,"")&amp;IF(O932&lt;&gt;"","; дополнительно: "&amp;O932,"")&amp;".")</f>
        <v/>
      </c>
      <c r="R932" s="172">
        <f>IF('Оперативный ввод'!P932="","",'Оперативный ввод'!P932)</f>
        <v/>
      </c>
      <c r="S932" s="172">
        <f>IF('Оперативный ввод'!Q932="","",'Оперативный ввод'!Q932)</f>
        <v/>
      </c>
      <c r="T932" s="172">
        <f>IF('Оперативный ввод'!R932="","",'Оперативный ввод'!R932)</f>
        <v/>
      </c>
      <c r="U932" s="172">
        <f>IF('Оперативный ввод'!S932="","",'Оперативный ввод'!S932)</f>
        <v/>
      </c>
      <c r="V932" s="172">
        <f>IF('Оперативный ввод'!T932="","",'Оперативный ввод'!T932)</f>
        <v/>
      </c>
      <c r="W932" s="172" t="n"/>
      <c r="X932" s="172" t="n"/>
      <c r="Y932" s="172" t="n"/>
      <c r="Z932" s="172" t="n"/>
      <c r="AA932" s="172">
        <f>IF('Оперативный ввод'!U932="","",'Оперативный ввод'!U932)</f>
        <v/>
      </c>
      <c r="AB932" s="172">
        <f>IF('Оперативный ввод'!V932="","",'Оперативный ввод'!V932)</f>
        <v/>
      </c>
      <c r="AC932" s="172">
        <f>IF('Оперативный ввод'!W932="","",'Оперативный ввод'!W932)</f>
        <v/>
      </c>
      <c r="BB932" s="172" t="n"/>
      <c r="BC932" s="172" t="n"/>
      <c r="BD932" s="205">
        <f>IF(AND(A932="",B932=""),"",IF(AND(P932="ГОТОВО",R932&lt;&gt;"",T932&lt;&gt;"",U932&lt;&gt;"",AA932&lt;&gt;"",AB932&lt;&gt;"",AC932&lt;&gt;"",BB932&lt;&gt;"",BC932&lt;&gt;""),"ГОТОВО","НЕ ГОТОВО"))</f>
        <v/>
      </c>
      <c r="BE932" s="205">
        <f>IF(BD932&lt;&gt;"ГОТОВО","","Полное заключение: "&amp;A932&amp;", скв. "&amp;B932&amp;". МРП: "&amp;E932&amp;" сут. ГНО: "&amp;F932&amp;"; причина: "&amp;U932&amp;"; категория: "&amp;V932&amp;"; решение комиссии: "&amp;BB932&amp;".")</f>
        <v/>
      </c>
      <c r="BF932" s="173">
        <f>IF('Оперативный ввод'!X932="","",'Оперативный ввод'!X932)</f>
        <v/>
      </c>
    </row>
    <row r="933">
      <c r="A933" s="171">
        <f>IF('Оперативный ввод'!A933="","",'Оперативный ввод'!A933)</f>
        <v/>
      </c>
      <c r="B933" s="172">
        <f>IF('Оперативный ввод'!B933="","",'Оперативный ввод'!B933)</f>
        <v/>
      </c>
      <c r="C933" s="270">
        <f>IF('Оперативный ввод'!C933="","",'Оперативный ввод'!C933)</f>
        <v/>
      </c>
      <c r="D933" s="270">
        <f>IF('Оперативный ввод'!D933="","",'Оперативный ввод'!D933)</f>
        <v/>
      </c>
      <c r="E933" s="271">
        <f>IF(OR(C933="",D933=""),"",D933-C933)</f>
        <v/>
      </c>
      <c r="F933" s="172">
        <f>IF('Оперативный ввод'!F933="","",'Оперативный ввод'!F933)</f>
        <v/>
      </c>
      <c r="G933" s="172">
        <f>IF('Оперативный ввод'!G933="","",'Оперативный ввод'!G933)</f>
        <v/>
      </c>
      <c r="H933" s="172">
        <f>IF('Оперативный ввод'!H933="","",'Оперативный ввод'!H933)</f>
        <v/>
      </c>
      <c r="I933" s="172">
        <f>IF('Оперативный ввод'!I933="","",'Оперативный ввод'!I933)</f>
        <v/>
      </c>
      <c r="J933" s="172">
        <f>IF('Оперативный ввод'!J933="","",'Оперативный ввод'!J933)</f>
        <v/>
      </c>
      <c r="K933" s="172">
        <f>IF('Оперативный ввод'!K933="","",'Оперативный ввод'!K933)</f>
        <v/>
      </c>
      <c r="L933" s="172">
        <f>IF('Оперативный ввод'!L933="","",'Оперативный ввод'!L933)</f>
        <v/>
      </c>
      <c r="M933" s="172">
        <f>IF('Оперативный ввод'!M933="","",'Оперативный ввод'!M933)</f>
        <v/>
      </c>
      <c r="N933" s="172">
        <f>IF('Оперативный ввод'!N933="","",'Оперативный ввод'!N933)</f>
        <v/>
      </c>
      <c r="O933" s="172">
        <f>IF('Оперативный ввод'!O933="","",'Оперативный ввод'!O933)</f>
        <v/>
      </c>
      <c r="P933" s="205">
        <f>IF(AND(A933="",B933=""),"",IF(AND(A933&lt;&gt;"",B933&lt;&gt;"",C933&lt;&gt;"",D933&lt;&gt;"",F933&lt;&gt;"",G933&lt;&gt;"",H933&lt;&gt;"",ISERROR(SEARCH("по паспорту",G933)),ISERROR(SEARCH("по паспорту",H933)),I933&lt;&gt;"",J933&lt;&gt;"",K933&lt;&gt;"",L933&lt;&gt;"",M933&lt;&gt;""),"ГОТОВО","НЕ ГОТОВО"))</f>
        <v/>
      </c>
      <c r="Q933" s="205">
        <f>IF(P933&lt;&gt;"ГОТОВО","", "Предварительное заключение: "&amp;A933&amp;", скв. "&amp;B933&amp;". МРП: "&amp;E933&amp;" сут. ГНО: "&amp;F933&amp;", типоразмер "&amp;G933&amp;", марка "&amp;H933&amp;". Событие: "&amp;I933&amp;". Признак: "&amp;J933&amp;". Узел: "&amp;K933&amp;". Предварительная причина: "&amp;L933&amp;". Основное осложнение: "&amp;M933&amp;IF(N933&lt;&gt;"","; сопутствующее: "&amp;N933,"")&amp;IF(O933&lt;&gt;"","; дополнительно: "&amp;O933,"")&amp;".")</f>
        <v/>
      </c>
      <c r="R933" s="172">
        <f>IF('Оперативный ввод'!P933="","",'Оперативный ввод'!P933)</f>
        <v/>
      </c>
      <c r="S933" s="172">
        <f>IF('Оперативный ввод'!Q933="","",'Оперативный ввод'!Q933)</f>
        <v/>
      </c>
      <c r="T933" s="172">
        <f>IF('Оперативный ввод'!R933="","",'Оперативный ввод'!R933)</f>
        <v/>
      </c>
      <c r="U933" s="172">
        <f>IF('Оперативный ввод'!S933="","",'Оперативный ввод'!S933)</f>
        <v/>
      </c>
      <c r="V933" s="172">
        <f>IF('Оперативный ввод'!T933="","",'Оперативный ввод'!T933)</f>
        <v/>
      </c>
      <c r="W933" s="172" t="n"/>
      <c r="X933" s="172" t="n"/>
      <c r="Y933" s="172" t="n"/>
      <c r="Z933" s="172" t="n"/>
      <c r="AA933" s="172">
        <f>IF('Оперативный ввод'!U933="","",'Оперативный ввод'!U933)</f>
        <v/>
      </c>
      <c r="AB933" s="172">
        <f>IF('Оперативный ввод'!V933="","",'Оперативный ввод'!V933)</f>
        <v/>
      </c>
      <c r="AC933" s="172">
        <f>IF('Оперативный ввод'!W933="","",'Оперативный ввод'!W933)</f>
        <v/>
      </c>
      <c r="BB933" s="172" t="n"/>
      <c r="BC933" s="172" t="n"/>
      <c r="BD933" s="205">
        <f>IF(AND(A933="",B933=""),"",IF(AND(P933="ГОТОВО",R933&lt;&gt;"",T933&lt;&gt;"",U933&lt;&gt;"",AA933&lt;&gt;"",AB933&lt;&gt;"",AC933&lt;&gt;"",BB933&lt;&gt;"",BC933&lt;&gt;""),"ГОТОВО","НЕ ГОТОВО"))</f>
        <v/>
      </c>
      <c r="BE933" s="205">
        <f>IF(BD933&lt;&gt;"ГОТОВО","","Полное заключение: "&amp;A933&amp;", скв. "&amp;B933&amp;". МРП: "&amp;E933&amp;" сут. ГНО: "&amp;F933&amp;"; причина: "&amp;U933&amp;"; категория: "&amp;V933&amp;"; решение комиссии: "&amp;BB933&amp;".")</f>
        <v/>
      </c>
      <c r="BF933" s="173">
        <f>IF('Оперативный ввод'!X933="","",'Оперативный ввод'!X933)</f>
        <v/>
      </c>
    </row>
    <row r="934">
      <c r="A934" s="171">
        <f>IF('Оперативный ввод'!A934="","",'Оперативный ввод'!A934)</f>
        <v/>
      </c>
      <c r="B934" s="172">
        <f>IF('Оперативный ввод'!B934="","",'Оперативный ввод'!B934)</f>
        <v/>
      </c>
      <c r="C934" s="270">
        <f>IF('Оперативный ввод'!C934="","",'Оперативный ввод'!C934)</f>
        <v/>
      </c>
      <c r="D934" s="270">
        <f>IF('Оперативный ввод'!D934="","",'Оперативный ввод'!D934)</f>
        <v/>
      </c>
      <c r="E934" s="271">
        <f>IF(OR(C934="",D934=""),"",D934-C934)</f>
        <v/>
      </c>
      <c r="F934" s="172">
        <f>IF('Оперативный ввод'!F934="","",'Оперативный ввод'!F934)</f>
        <v/>
      </c>
      <c r="G934" s="172">
        <f>IF('Оперативный ввод'!G934="","",'Оперативный ввод'!G934)</f>
        <v/>
      </c>
      <c r="H934" s="172">
        <f>IF('Оперативный ввод'!H934="","",'Оперативный ввод'!H934)</f>
        <v/>
      </c>
      <c r="I934" s="172">
        <f>IF('Оперативный ввод'!I934="","",'Оперативный ввод'!I934)</f>
        <v/>
      </c>
      <c r="J934" s="172">
        <f>IF('Оперативный ввод'!J934="","",'Оперативный ввод'!J934)</f>
        <v/>
      </c>
      <c r="K934" s="172">
        <f>IF('Оперативный ввод'!K934="","",'Оперативный ввод'!K934)</f>
        <v/>
      </c>
      <c r="L934" s="172">
        <f>IF('Оперативный ввод'!L934="","",'Оперативный ввод'!L934)</f>
        <v/>
      </c>
      <c r="M934" s="172">
        <f>IF('Оперативный ввод'!M934="","",'Оперативный ввод'!M934)</f>
        <v/>
      </c>
      <c r="N934" s="172">
        <f>IF('Оперативный ввод'!N934="","",'Оперативный ввод'!N934)</f>
        <v/>
      </c>
      <c r="O934" s="172">
        <f>IF('Оперативный ввод'!O934="","",'Оперативный ввод'!O934)</f>
        <v/>
      </c>
      <c r="P934" s="205">
        <f>IF(AND(A934="",B934=""),"",IF(AND(A934&lt;&gt;"",B934&lt;&gt;"",C934&lt;&gt;"",D934&lt;&gt;"",F934&lt;&gt;"",G934&lt;&gt;"",H934&lt;&gt;"",ISERROR(SEARCH("по паспорту",G934)),ISERROR(SEARCH("по паспорту",H934)),I934&lt;&gt;"",J934&lt;&gt;"",K934&lt;&gt;"",L934&lt;&gt;"",M934&lt;&gt;""),"ГОТОВО","НЕ ГОТОВО"))</f>
        <v/>
      </c>
      <c r="Q934" s="205">
        <f>IF(P934&lt;&gt;"ГОТОВО","", "Предварительное заключение: "&amp;A934&amp;", скв. "&amp;B934&amp;". МРП: "&amp;E934&amp;" сут. ГНО: "&amp;F934&amp;", типоразмер "&amp;G934&amp;", марка "&amp;H934&amp;". Событие: "&amp;I934&amp;". Признак: "&amp;J934&amp;". Узел: "&amp;K934&amp;". Предварительная причина: "&amp;L934&amp;". Основное осложнение: "&amp;M934&amp;IF(N934&lt;&gt;"","; сопутствующее: "&amp;N934,"")&amp;IF(O934&lt;&gt;"","; дополнительно: "&amp;O934,"")&amp;".")</f>
        <v/>
      </c>
      <c r="R934" s="172">
        <f>IF('Оперативный ввод'!P934="","",'Оперативный ввод'!P934)</f>
        <v/>
      </c>
      <c r="S934" s="172">
        <f>IF('Оперативный ввод'!Q934="","",'Оперативный ввод'!Q934)</f>
        <v/>
      </c>
      <c r="T934" s="172">
        <f>IF('Оперативный ввод'!R934="","",'Оперативный ввод'!R934)</f>
        <v/>
      </c>
      <c r="U934" s="172">
        <f>IF('Оперативный ввод'!S934="","",'Оперативный ввод'!S934)</f>
        <v/>
      </c>
      <c r="V934" s="172">
        <f>IF('Оперативный ввод'!T934="","",'Оперативный ввод'!T934)</f>
        <v/>
      </c>
      <c r="W934" s="172" t="n"/>
      <c r="X934" s="172" t="n"/>
      <c r="Y934" s="172" t="n"/>
      <c r="Z934" s="172" t="n"/>
      <c r="AA934" s="172">
        <f>IF('Оперативный ввод'!U934="","",'Оперативный ввод'!U934)</f>
        <v/>
      </c>
      <c r="AB934" s="172">
        <f>IF('Оперативный ввод'!V934="","",'Оперативный ввод'!V934)</f>
        <v/>
      </c>
      <c r="AC934" s="172">
        <f>IF('Оперативный ввод'!W934="","",'Оперативный ввод'!W934)</f>
        <v/>
      </c>
      <c r="BB934" s="172" t="n"/>
      <c r="BC934" s="172" t="n"/>
      <c r="BD934" s="205">
        <f>IF(AND(A934="",B934=""),"",IF(AND(P934="ГОТОВО",R934&lt;&gt;"",T934&lt;&gt;"",U934&lt;&gt;"",AA934&lt;&gt;"",AB934&lt;&gt;"",AC934&lt;&gt;"",BB934&lt;&gt;"",BC934&lt;&gt;""),"ГОТОВО","НЕ ГОТОВО"))</f>
        <v/>
      </c>
      <c r="BE934" s="205">
        <f>IF(BD934&lt;&gt;"ГОТОВО","","Полное заключение: "&amp;A934&amp;", скв. "&amp;B934&amp;". МРП: "&amp;E934&amp;" сут. ГНО: "&amp;F934&amp;"; причина: "&amp;U934&amp;"; категория: "&amp;V934&amp;"; решение комиссии: "&amp;BB934&amp;".")</f>
        <v/>
      </c>
      <c r="BF934" s="173">
        <f>IF('Оперативный ввод'!X934="","",'Оперативный ввод'!X934)</f>
        <v/>
      </c>
    </row>
    <row r="935">
      <c r="A935" s="171">
        <f>IF('Оперативный ввод'!A935="","",'Оперативный ввод'!A935)</f>
        <v/>
      </c>
      <c r="B935" s="172">
        <f>IF('Оперативный ввод'!B935="","",'Оперативный ввод'!B935)</f>
        <v/>
      </c>
      <c r="C935" s="270">
        <f>IF('Оперативный ввод'!C935="","",'Оперативный ввод'!C935)</f>
        <v/>
      </c>
      <c r="D935" s="270">
        <f>IF('Оперативный ввод'!D935="","",'Оперативный ввод'!D935)</f>
        <v/>
      </c>
      <c r="E935" s="271">
        <f>IF(OR(C935="",D935=""),"",D935-C935)</f>
        <v/>
      </c>
      <c r="F935" s="172">
        <f>IF('Оперативный ввод'!F935="","",'Оперативный ввод'!F935)</f>
        <v/>
      </c>
      <c r="G935" s="172">
        <f>IF('Оперативный ввод'!G935="","",'Оперативный ввод'!G935)</f>
        <v/>
      </c>
      <c r="H935" s="172">
        <f>IF('Оперативный ввод'!H935="","",'Оперативный ввод'!H935)</f>
        <v/>
      </c>
      <c r="I935" s="172">
        <f>IF('Оперативный ввод'!I935="","",'Оперативный ввод'!I935)</f>
        <v/>
      </c>
      <c r="J935" s="172">
        <f>IF('Оперативный ввод'!J935="","",'Оперативный ввод'!J935)</f>
        <v/>
      </c>
      <c r="K935" s="172">
        <f>IF('Оперативный ввод'!K935="","",'Оперативный ввод'!K935)</f>
        <v/>
      </c>
      <c r="L935" s="172">
        <f>IF('Оперативный ввод'!L935="","",'Оперативный ввод'!L935)</f>
        <v/>
      </c>
      <c r="M935" s="172">
        <f>IF('Оперативный ввод'!M935="","",'Оперативный ввод'!M935)</f>
        <v/>
      </c>
      <c r="N935" s="172">
        <f>IF('Оперативный ввод'!N935="","",'Оперативный ввод'!N935)</f>
        <v/>
      </c>
      <c r="O935" s="172">
        <f>IF('Оперативный ввод'!O935="","",'Оперативный ввод'!O935)</f>
        <v/>
      </c>
      <c r="P935" s="205">
        <f>IF(AND(A935="",B935=""),"",IF(AND(A935&lt;&gt;"",B935&lt;&gt;"",C935&lt;&gt;"",D935&lt;&gt;"",F935&lt;&gt;"",G935&lt;&gt;"",H935&lt;&gt;"",ISERROR(SEARCH("по паспорту",G935)),ISERROR(SEARCH("по паспорту",H935)),I935&lt;&gt;"",J935&lt;&gt;"",K935&lt;&gt;"",L935&lt;&gt;"",M935&lt;&gt;""),"ГОТОВО","НЕ ГОТОВО"))</f>
        <v/>
      </c>
      <c r="Q935" s="205">
        <f>IF(P935&lt;&gt;"ГОТОВО","", "Предварительное заключение: "&amp;A935&amp;", скв. "&amp;B935&amp;". МРП: "&amp;E935&amp;" сут. ГНО: "&amp;F935&amp;", типоразмер "&amp;G935&amp;", марка "&amp;H935&amp;". Событие: "&amp;I935&amp;". Признак: "&amp;J935&amp;". Узел: "&amp;K935&amp;". Предварительная причина: "&amp;L935&amp;". Основное осложнение: "&amp;M935&amp;IF(N935&lt;&gt;"","; сопутствующее: "&amp;N935,"")&amp;IF(O935&lt;&gt;"","; дополнительно: "&amp;O935,"")&amp;".")</f>
        <v/>
      </c>
      <c r="R935" s="172">
        <f>IF('Оперативный ввод'!P935="","",'Оперативный ввод'!P935)</f>
        <v/>
      </c>
      <c r="S935" s="172">
        <f>IF('Оперативный ввод'!Q935="","",'Оперативный ввод'!Q935)</f>
        <v/>
      </c>
      <c r="T935" s="172">
        <f>IF('Оперативный ввод'!R935="","",'Оперативный ввод'!R935)</f>
        <v/>
      </c>
      <c r="U935" s="172">
        <f>IF('Оперативный ввод'!S935="","",'Оперативный ввод'!S935)</f>
        <v/>
      </c>
      <c r="V935" s="172">
        <f>IF('Оперативный ввод'!T935="","",'Оперативный ввод'!T935)</f>
        <v/>
      </c>
      <c r="W935" s="172" t="n"/>
      <c r="X935" s="172" t="n"/>
      <c r="Y935" s="172" t="n"/>
      <c r="Z935" s="172" t="n"/>
      <c r="AA935" s="172">
        <f>IF('Оперативный ввод'!U935="","",'Оперативный ввод'!U935)</f>
        <v/>
      </c>
      <c r="AB935" s="172">
        <f>IF('Оперативный ввод'!V935="","",'Оперативный ввод'!V935)</f>
        <v/>
      </c>
      <c r="AC935" s="172">
        <f>IF('Оперативный ввод'!W935="","",'Оперативный ввод'!W935)</f>
        <v/>
      </c>
      <c r="BB935" s="172" t="n"/>
      <c r="BC935" s="172" t="n"/>
      <c r="BD935" s="205">
        <f>IF(AND(A935="",B935=""),"",IF(AND(P935="ГОТОВО",R935&lt;&gt;"",T935&lt;&gt;"",U935&lt;&gt;"",AA935&lt;&gt;"",AB935&lt;&gt;"",AC935&lt;&gt;"",BB935&lt;&gt;"",BC935&lt;&gt;""),"ГОТОВО","НЕ ГОТОВО"))</f>
        <v/>
      </c>
      <c r="BE935" s="205">
        <f>IF(BD935&lt;&gt;"ГОТОВО","","Полное заключение: "&amp;A935&amp;", скв. "&amp;B935&amp;". МРП: "&amp;E935&amp;" сут. ГНО: "&amp;F935&amp;"; причина: "&amp;U935&amp;"; категория: "&amp;V935&amp;"; решение комиссии: "&amp;BB935&amp;".")</f>
        <v/>
      </c>
      <c r="BF935" s="173">
        <f>IF('Оперативный ввод'!X935="","",'Оперативный ввод'!X935)</f>
        <v/>
      </c>
    </row>
    <row r="936">
      <c r="A936" s="171">
        <f>IF('Оперативный ввод'!A936="","",'Оперативный ввод'!A936)</f>
        <v/>
      </c>
      <c r="B936" s="172">
        <f>IF('Оперативный ввод'!B936="","",'Оперативный ввод'!B936)</f>
        <v/>
      </c>
      <c r="C936" s="270">
        <f>IF('Оперативный ввод'!C936="","",'Оперативный ввод'!C936)</f>
        <v/>
      </c>
      <c r="D936" s="270">
        <f>IF('Оперативный ввод'!D936="","",'Оперативный ввод'!D936)</f>
        <v/>
      </c>
      <c r="E936" s="271">
        <f>IF(OR(C936="",D936=""),"",D936-C936)</f>
        <v/>
      </c>
      <c r="F936" s="172">
        <f>IF('Оперативный ввод'!F936="","",'Оперативный ввод'!F936)</f>
        <v/>
      </c>
      <c r="G936" s="172">
        <f>IF('Оперативный ввод'!G936="","",'Оперативный ввод'!G936)</f>
        <v/>
      </c>
      <c r="H936" s="172">
        <f>IF('Оперативный ввод'!H936="","",'Оперативный ввод'!H936)</f>
        <v/>
      </c>
      <c r="I936" s="172">
        <f>IF('Оперативный ввод'!I936="","",'Оперативный ввод'!I936)</f>
        <v/>
      </c>
      <c r="J936" s="172">
        <f>IF('Оперативный ввод'!J936="","",'Оперативный ввод'!J936)</f>
        <v/>
      </c>
      <c r="K936" s="172">
        <f>IF('Оперативный ввод'!K936="","",'Оперативный ввод'!K936)</f>
        <v/>
      </c>
      <c r="L936" s="172">
        <f>IF('Оперативный ввод'!L936="","",'Оперативный ввод'!L936)</f>
        <v/>
      </c>
      <c r="M936" s="172">
        <f>IF('Оперативный ввод'!M936="","",'Оперативный ввод'!M936)</f>
        <v/>
      </c>
      <c r="N936" s="172">
        <f>IF('Оперативный ввод'!N936="","",'Оперативный ввод'!N936)</f>
        <v/>
      </c>
      <c r="O936" s="172">
        <f>IF('Оперативный ввод'!O936="","",'Оперативный ввод'!O936)</f>
        <v/>
      </c>
      <c r="P936" s="205">
        <f>IF(AND(A936="",B936=""),"",IF(AND(A936&lt;&gt;"",B936&lt;&gt;"",C936&lt;&gt;"",D936&lt;&gt;"",F936&lt;&gt;"",G936&lt;&gt;"",H936&lt;&gt;"",ISERROR(SEARCH("по паспорту",G936)),ISERROR(SEARCH("по паспорту",H936)),I936&lt;&gt;"",J936&lt;&gt;"",K936&lt;&gt;"",L936&lt;&gt;"",M936&lt;&gt;""),"ГОТОВО","НЕ ГОТОВО"))</f>
        <v/>
      </c>
      <c r="Q936" s="205">
        <f>IF(P936&lt;&gt;"ГОТОВО","", "Предварительное заключение: "&amp;A936&amp;", скв. "&amp;B936&amp;". МРП: "&amp;E936&amp;" сут. ГНО: "&amp;F936&amp;", типоразмер "&amp;G936&amp;", марка "&amp;H936&amp;". Событие: "&amp;I936&amp;". Признак: "&amp;J936&amp;". Узел: "&amp;K936&amp;". Предварительная причина: "&amp;L936&amp;". Основное осложнение: "&amp;M936&amp;IF(N936&lt;&gt;"","; сопутствующее: "&amp;N936,"")&amp;IF(O936&lt;&gt;"","; дополнительно: "&amp;O936,"")&amp;".")</f>
        <v/>
      </c>
      <c r="R936" s="172">
        <f>IF('Оперативный ввод'!P936="","",'Оперативный ввод'!P936)</f>
        <v/>
      </c>
      <c r="S936" s="172">
        <f>IF('Оперативный ввод'!Q936="","",'Оперативный ввод'!Q936)</f>
        <v/>
      </c>
      <c r="T936" s="172">
        <f>IF('Оперативный ввод'!R936="","",'Оперативный ввод'!R936)</f>
        <v/>
      </c>
      <c r="U936" s="172">
        <f>IF('Оперативный ввод'!S936="","",'Оперативный ввод'!S936)</f>
        <v/>
      </c>
      <c r="V936" s="172">
        <f>IF('Оперативный ввод'!T936="","",'Оперативный ввод'!T936)</f>
        <v/>
      </c>
      <c r="W936" s="172" t="n"/>
      <c r="X936" s="172" t="n"/>
      <c r="Y936" s="172" t="n"/>
      <c r="Z936" s="172" t="n"/>
      <c r="AA936" s="172">
        <f>IF('Оперативный ввод'!U936="","",'Оперативный ввод'!U936)</f>
        <v/>
      </c>
      <c r="AB936" s="172">
        <f>IF('Оперативный ввод'!V936="","",'Оперативный ввод'!V936)</f>
        <v/>
      </c>
      <c r="AC936" s="172">
        <f>IF('Оперативный ввод'!W936="","",'Оперативный ввод'!W936)</f>
        <v/>
      </c>
      <c r="BB936" s="172" t="n"/>
      <c r="BC936" s="172" t="n"/>
      <c r="BD936" s="205">
        <f>IF(AND(A936="",B936=""),"",IF(AND(P936="ГОТОВО",R936&lt;&gt;"",T936&lt;&gt;"",U936&lt;&gt;"",AA936&lt;&gt;"",AB936&lt;&gt;"",AC936&lt;&gt;"",BB936&lt;&gt;"",BC936&lt;&gt;""),"ГОТОВО","НЕ ГОТОВО"))</f>
        <v/>
      </c>
      <c r="BE936" s="205">
        <f>IF(BD936&lt;&gt;"ГОТОВО","","Полное заключение: "&amp;A936&amp;", скв. "&amp;B936&amp;". МРП: "&amp;E936&amp;" сут. ГНО: "&amp;F936&amp;"; причина: "&amp;U936&amp;"; категория: "&amp;V936&amp;"; решение комиссии: "&amp;BB936&amp;".")</f>
        <v/>
      </c>
      <c r="BF936" s="173">
        <f>IF('Оперативный ввод'!X936="","",'Оперативный ввод'!X936)</f>
        <v/>
      </c>
    </row>
    <row r="937">
      <c r="A937" s="171">
        <f>IF('Оперативный ввод'!A937="","",'Оперативный ввод'!A937)</f>
        <v/>
      </c>
      <c r="B937" s="172">
        <f>IF('Оперативный ввод'!B937="","",'Оперативный ввод'!B937)</f>
        <v/>
      </c>
      <c r="C937" s="270">
        <f>IF('Оперативный ввод'!C937="","",'Оперативный ввод'!C937)</f>
        <v/>
      </c>
      <c r="D937" s="270">
        <f>IF('Оперативный ввод'!D937="","",'Оперативный ввод'!D937)</f>
        <v/>
      </c>
      <c r="E937" s="271">
        <f>IF(OR(C937="",D937=""),"",D937-C937)</f>
        <v/>
      </c>
      <c r="F937" s="172">
        <f>IF('Оперативный ввод'!F937="","",'Оперативный ввод'!F937)</f>
        <v/>
      </c>
      <c r="G937" s="172">
        <f>IF('Оперативный ввод'!G937="","",'Оперативный ввод'!G937)</f>
        <v/>
      </c>
      <c r="H937" s="172">
        <f>IF('Оперативный ввод'!H937="","",'Оперативный ввод'!H937)</f>
        <v/>
      </c>
      <c r="I937" s="172">
        <f>IF('Оперативный ввод'!I937="","",'Оперативный ввод'!I937)</f>
        <v/>
      </c>
      <c r="J937" s="172">
        <f>IF('Оперативный ввод'!J937="","",'Оперативный ввод'!J937)</f>
        <v/>
      </c>
      <c r="K937" s="172">
        <f>IF('Оперативный ввод'!K937="","",'Оперативный ввод'!K937)</f>
        <v/>
      </c>
      <c r="L937" s="172">
        <f>IF('Оперативный ввод'!L937="","",'Оперативный ввод'!L937)</f>
        <v/>
      </c>
      <c r="M937" s="172">
        <f>IF('Оперативный ввод'!M937="","",'Оперативный ввод'!M937)</f>
        <v/>
      </c>
      <c r="N937" s="172">
        <f>IF('Оперативный ввод'!N937="","",'Оперативный ввод'!N937)</f>
        <v/>
      </c>
      <c r="O937" s="172">
        <f>IF('Оперативный ввод'!O937="","",'Оперативный ввод'!O937)</f>
        <v/>
      </c>
      <c r="P937" s="205">
        <f>IF(AND(A937="",B937=""),"",IF(AND(A937&lt;&gt;"",B937&lt;&gt;"",C937&lt;&gt;"",D937&lt;&gt;"",F937&lt;&gt;"",G937&lt;&gt;"",H937&lt;&gt;"",ISERROR(SEARCH("по паспорту",G937)),ISERROR(SEARCH("по паспорту",H937)),I937&lt;&gt;"",J937&lt;&gt;"",K937&lt;&gt;"",L937&lt;&gt;"",M937&lt;&gt;""),"ГОТОВО","НЕ ГОТОВО"))</f>
        <v/>
      </c>
      <c r="Q937" s="205">
        <f>IF(P937&lt;&gt;"ГОТОВО","", "Предварительное заключение: "&amp;A937&amp;", скв. "&amp;B937&amp;". МРП: "&amp;E937&amp;" сут. ГНО: "&amp;F937&amp;", типоразмер "&amp;G937&amp;", марка "&amp;H937&amp;". Событие: "&amp;I937&amp;". Признак: "&amp;J937&amp;". Узел: "&amp;K937&amp;". Предварительная причина: "&amp;L937&amp;". Основное осложнение: "&amp;M937&amp;IF(N937&lt;&gt;"","; сопутствующее: "&amp;N937,"")&amp;IF(O937&lt;&gt;"","; дополнительно: "&amp;O937,"")&amp;".")</f>
        <v/>
      </c>
      <c r="R937" s="172">
        <f>IF('Оперативный ввод'!P937="","",'Оперативный ввод'!P937)</f>
        <v/>
      </c>
      <c r="S937" s="172">
        <f>IF('Оперативный ввод'!Q937="","",'Оперативный ввод'!Q937)</f>
        <v/>
      </c>
      <c r="T937" s="172">
        <f>IF('Оперативный ввод'!R937="","",'Оперативный ввод'!R937)</f>
        <v/>
      </c>
      <c r="U937" s="172">
        <f>IF('Оперативный ввод'!S937="","",'Оперативный ввод'!S937)</f>
        <v/>
      </c>
      <c r="V937" s="172">
        <f>IF('Оперативный ввод'!T937="","",'Оперативный ввод'!T937)</f>
        <v/>
      </c>
      <c r="W937" s="172" t="n"/>
      <c r="X937" s="172" t="n"/>
      <c r="Y937" s="172" t="n"/>
      <c r="Z937" s="172" t="n"/>
      <c r="AA937" s="172">
        <f>IF('Оперативный ввод'!U937="","",'Оперативный ввод'!U937)</f>
        <v/>
      </c>
      <c r="AB937" s="172">
        <f>IF('Оперативный ввод'!V937="","",'Оперативный ввод'!V937)</f>
        <v/>
      </c>
      <c r="AC937" s="172">
        <f>IF('Оперативный ввод'!W937="","",'Оперативный ввод'!W937)</f>
        <v/>
      </c>
      <c r="BB937" s="172" t="n"/>
      <c r="BC937" s="172" t="n"/>
      <c r="BD937" s="205">
        <f>IF(AND(A937="",B937=""),"",IF(AND(P937="ГОТОВО",R937&lt;&gt;"",T937&lt;&gt;"",U937&lt;&gt;"",AA937&lt;&gt;"",AB937&lt;&gt;"",AC937&lt;&gt;"",BB937&lt;&gt;"",BC937&lt;&gt;""),"ГОТОВО","НЕ ГОТОВО"))</f>
        <v/>
      </c>
      <c r="BE937" s="205">
        <f>IF(BD937&lt;&gt;"ГОТОВО","","Полное заключение: "&amp;A937&amp;", скв. "&amp;B937&amp;". МРП: "&amp;E937&amp;" сут. ГНО: "&amp;F937&amp;"; причина: "&amp;U937&amp;"; категория: "&amp;V937&amp;"; решение комиссии: "&amp;BB937&amp;".")</f>
        <v/>
      </c>
      <c r="BF937" s="173">
        <f>IF('Оперативный ввод'!X937="","",'Оперативный ввод'!X937)</f>
        <v/>
      </c>
    </row>
    <row r="938">
      <c r="A938" s="171">
        <f>IF('Оперативный ввод'!A938="","",'Оперативный ввод'!A938)</f>
        <v/>
      </c>
      <c r="B938" s="172">
        <f>IF('Оперативный ввод'!B938="","",'Оперативный ввод'!B938)</f>
        <v/>
      </c>
      <c r="C938" s="270">
        <f>IF('Оперативный ввод'!C938="","",'Оперативный ввод'!C938)</f>
        <v/>
      </c>
      <c r="D938" s="270">
        <f>IF('Оперативный ввод'!D938="","",'Оперативный ввод'!D938)</f>
        <v/>
      </c>
      <c r="E938" s="271">
        <f>IF(OR(C938="",D938=""),"",D938-C938)</f>
        <v/>
      </c>
      <c r="F938" s="172">
        <f>IF('Оперативный ввод'!F938="","",'Оперативный ввод'!F938)</f>
        <v/>
      </c>
      <c r="G938" s="172">
        <f>IF('Оперативный ввод'!G938="","",'Оперативный ввод'!G938)</f>
        <v/>
      </c>
      <c r="H938" s="172">
        <f>IF('Оперативный ввод'!H938="","",'Оперативный ввод'!H938)</f>
        <v/>
      </c>
      <c r="I938" s="172">
        <f>IF('Оперативный ввод'!I938="","",'Оперативный ввод'!I938)</f>
        <v/>
      </c>
      <c r="J938" s="172">
        <f>IF('Оперативный ввод'!J938="","",'Оперативный ввод'!J938)</f>
        <v/>
      </c>
      <c r="K938" s="172">
        <f>IF('Оперативный ввод'!K938="","",'Оперативный ввод'!K938)</f>
        <v/>
      </c>
      <c r="L938" s="172">
        <f>IF('Оперативный ввод'!L938="","",'Оперативный ввод'!L938)</f>
        <v/>
      </c>
      <c r="M938" s="172">
        <f>IF('Оперативный ввод'!M938="","",'Оперативный ввод'!M938)</f>
        <v/>
      </c>
      <c r="N938" s="172">
        <f>IF('Оперативный ввод'!N938="","",'Оперативный ввод'!N938)</f>
        <v/>
      </c>
      <c r="O938" s="172">
        <f>IF('Оперативный ввод'!O938="","",'Оперативный ввод'!O938)</f>
        <v/>
      </c>
      <c r="P938" s="205">
        <f>IF(AND(A938="",B938=""),"",IF(AND(A938&lt;&gt;"",B938&lt;&gt;"",C938&lt;&gt;"",D938&lt;&gt;"",F938&lt;&gt;"",G938&lt;&gt;"",H938&lt;&gt;"",ISERROR(SEARCH("по паспорту",G938)),ISERROR(SEARCH("по паспорту",H938)),I938&lt;&gt;"",J938&lt;&gt;"",K938&lt;&gt;"",L938&lt;&gt;"",M938&lt;&gt;""),"ГОТОВО","НЕ ГОТОВО"))</f>
        <v/>
      </c>
      <c r="Q938" s="205">
        <f>IF(P938&lt;&gt;"ГОТОВО","", "Предварительное заключение: "&amp;A938&amp;", скв. "&amp;B938&amp;". МРП: "&amp;E938&amp;" сут. ГНО: "&amp;F938&amp;", типоразмер "&amp;G938&amp;", марка "&amp;H938&amp;". Событие: "&amp;I938&amp;". Признак: "&amp;J938&amp;". Узел: "&amp;K938&amp;". Предварительная причина: "&amp;L938&amp;". Основное осложнение: "&amp;M938&amp;IF(N938&lt;&gt;"","; сопутствующее: "&amp;N938,"")&amp;IF(O938&lt;&gt;"","; дополнительно: "&amp;O938,"")&amp;".")</f>
        <v/>
      </c>
      <c r="R938" s="172">
        <f>IF('Оперативный ввод'!P938="","",'Оперативный ввод'!P938)</f>
        <v/>
      </c>
      <c r="S938" s="172">
        <f>IF('Оперативный ввод'!Q938="","",'Оперативный ввод'!Q938)</f>
        <v/>
      </c>
      <c r="T938" s="172">
        <f>IF('Оперативный ввод'!R938="","",'Оперативный ввод'!R938)</f>
        <v/>
      </c>
      <c r="U938" s="172">
        <f>IF('Оперативный ввод'!S938="","",'Оперативный ввод'!S938)</f>
        <v/>
      </c>
      <c r="V938" s="172">
        <f>IF('Оперативный ввод'!T938="","",'Оперативный ввод'!T938)</f>
        <v/>
      </c>
      <c r="W938" s="172" t="n"/>
      <c r="X938" s="172" t="n"/>
      <c r="Y938" s="172" t="n"/>
      <c r="Z938" s="172" t="n"/>
      <c r="AA938" s="172">
        <f>IF('Оперативный ввод'!U938="","",'Оперативный ввод'!U938)</f>
        <v/>
      </c>
      <c r="AB938" s="172">
        <f>IF('Оперативный ввод'!V938="","",'Оперативный ввод'!V938)</f>
        <v/>
      </c>
      <c r="AC938" s="172">
        <f>IF('Оперативный ввод'!W938="","",'Оперативный ввод'!W938)</f>
        <v/>
      </c>
      <c r="BB938" s="172" t="n"/>
      <c r="BC938" s="172" t="n"/>
      <c r="BD938" s="205">
        <f>IF(AND(A938="",B938=""),"",IF(AND(P938="ГОТОВО",R938&lt;&gt;"",T938&lt;&gt;"",U938&lt;&gt;"",AA938&lt;&gt;"",AB938&lt;&gt;"",AC938&lt;&gt;"",BB938&lt;&gt;"",BC938&lt;&gt;""),"ГОТОВО","НЕ ГОТОВО"))</f>
        <v/>
      </c>
      <c r="BE938" s="205">
        <f>IF(BD938&lt;&gt;"ГОТОВО","","Полное заключение: "&amp;A938&amp;", скв. "&amp;B938&amp;". МРП: "&amp;E938&amp;" сут. ГНО: "&amp;F938&amp;"; причина: "&amp;U938&amp;"; категория: "&amp;V938&amp;"; решение комиссии: "&amp;BB938&amp;".")</f>
        <v/>
      </c>
      <c r="BF938" s="173">
        <f>IF('Оперативный ввод'!X938="","",'Оперативный ввод'!X938)</f>
        <v/>
      </c>
    </row>
    <row r="939">
      <c r="A939" s="171">
        <f>IF('Оперативный ввод'!A939="","",'Оперативный ввод'!A939)</f>
        <v/>
      </c>
      <c r="B939" s="172">
        <f>IF('Оперативный ввод'!B939="","",'Оперативный ввод'!B939)</f>
        <v/>
      </c>
      <c r="C939" s="270">
        <f>IF('Оперативный ввод'!C939="","",'Оперативный ввод'!C939)</f>
        <v/>
      </c>
      <c r="D939" s="270">
        <f>IF('Оперативный ввод'!D939="","",'Оперативный ввод'!D939)</f>
        <v/>
      </c>
      <c r="E939" s="271">
        <f>IF(OR(C939="",D939=""),"",D939-C939)</f>
        <v/>
      </c>
      <c r="F939" s="172">
        <f>IF('Оперативный ввод'!F939="","",'Оперативный ввод'!F939)</f>
        <v/>
      </c>
      <c r="G939" s="172">
        <f>IF('Оперативный ввод'!G939="","",'Оперативный ввод'!G939)</f>
        <v/>
      </c>
      <c r="H939" s="172">
        <f>IF('Оперативный ввод'!H939="","",'Оперативный ввод'!H939)</f>
        <v/>
      </c>
      <c r="I939" s="172">
        <f>IF('Оперативный ввод'!I939="","",'Оперативный ввод'!I939)</f>
        <v/>
      </c>
      <c r="J939" s="172">
        <f>IF('Оперативный ввод'!J939="","",'Оперативный ввод'!J939)</f>
        <v/>
      </c>
      <c r="K939" s="172">
        <f>IF('Оперативный ввод'!K939="","",'Оперативный ввод'!K939)</f>
        <v/>
      </c>
      <c r="L939" s="172">
        <f>IF('Оперативный ввод'!L939="","",'Оперативный ввод'!L939)</f>
        <v/>
      </c>
      <c r="M939" s="172">
        <f>IF('Оперативный ввод'!M939="","",'Оперативный ввод'!M939)</f>
        <v/>
      </c>
      <c r="N939" s="172">
        <f>IF('Оперативный ввод'!N939="","",'Оперативный ввод'!N939)</f>
        <v/>
      </c>
      <c r="O939" s="172">
        <f>IF('Оперативный ввод'!O939="","",'Оперативный ввод'!O939)</f>
        <v/>
      </c>
      <c r="P939" s="205">
        <f>IF(AND(A939="",B939=""),"",IF(AND(A939&lt;&gt;"",B939&lt;&gt;"",C939&lt;&gt;"",D939&lt;&gt;"",F939&lt;&gt;"",G939&lt;&gt;"",H939&lt;&gt;"",ISERROR(SEARCH("по паспорту",G939)),ISERROR(SEARCH("по паспорту",H939)),I939&lt;&gt;"",J939&lt;&gt;"",K939&lt;&gt;"",L939&lt;&gt;"",M939&lt;&gt;""),"ГОТОВО","НЕ ГОТОВО"))</f>
        <v/>
      </c>
      <c r="Q939" s="205">
        <f>IF(P939&lt;&gt;"ГОТОВО","", "Предварительное заключение: "&amp;A939&amp;", скв. "&amp;B939&amp;". МРП: "&amp;E939&amp;" сут. ГНО: "&amp;F939&amp;", типоразмер "&amp;G939&amp;", марка "&amp;H939&amp;". Событие: "&amp;I939&amp;". Признак: "&amp;J939&amp;". Узел: "&amp;K939&amp;". Предварительная причина: "&amp;L939&amp;". Основное осложнение: "&amp;M939&amp;IF(N939&lt;&gt;"","; сопутствующее: "&amp;N939,"")&amp;IF(O939&lt;&gt;"","; дополнительно: "&amp;O939,"")&amp;".")</f>
        <v/>
      </c>
      <c r="R939" s="172">
        <f>IF('Оперативный ввод'!P939="","",'Оперативный ввод'!P939)</f>
        <v/>
      </c>
      <c r="S939" s="172">
        <f>IF('Оперативный ввод'!Q939="","",'Оперативный ввод'!Q939)</f>
        <v/>
      </c>
      <c r="T939" s="172">
        <f>IF('Оперативный ввод'!R939="","",'Оперативный ввод'!R939)</f>
        <v/>
      </c>
      <c r="U939" s="172">
        <f>IF('Оперативный ввод'!S939="","",'Оперативный ввод'!S939)</f>
        <v/>
      </c>
      <c r="V939" s="172">
        <f>IF('Оперативный ввод'!T939="","",'Оперативный ввод'!T939)</f>
        <v/>
      </c>
      <c r="W939" s="172" t="n"/>
      <c r="X939" s="172" t="n"/>
      <c r="Y939" s="172" t="n"/>
      <c r="Z939" s="172" t="n"/>
      <c r="AA939" s="172">
        <f>IF('Оперативный ввод'!U939="","",'Оперативный ввод'!U939)</f>
        <v/>
      </c>
      <c r="AB939" s="172">
        <f>IF('Оперативный ввод'!V939="","",'Оперативный ввод'!V939)</f>
        <v/>
      </c>
      <c r="AC939" s="172">
        <f>IF('Оперативный ввод'!W939="","",'Оперативный ввод'!W939)</f>
        <v/>
      </c>
      <c r="BB939" s="172" t="n"/>
      <c r="BC939" s="172" t="n"/>
      <c r="BD939" s="205">
        <f>IF(AND(A939="",B939=""),"",IF(AND(P939="ГОТОВО",R939&lt;&gt;"",T939&lt;&gt;"",U939&lt;&gt;"",AA939&lt;&gt;"",AB939&lt;&gt;"",AC939&lt;&gt;"",BB939&lt;&gt;"",BC939&lt;&gt;""),"ГОТОВО","НЕ ГОТОВО"))</f>
        <v/>
      </c>
      <c r="BE939" s="205">
        <f>IF(BD939&lt;&gt;"ГОТОВО","","Полное заключение: "&amp;A939&amp;", скв. "&amp;B939&amp;". МРП: "&amp;E939&amp;" сут. ГНО: "&amp;F939&amp;"; причина: "&amp;U939&amp;"; категория: "&amp;V939&amp;"; решение комиссии: "&amp;BB939&amp;".")</f>
        <v/>
      </c>
      <c r="BF939" s="173">
        <f>IF('Оперативный ввод'!X939="","",'Оперативный ввод'!X939)</f>
        <v/>
      </c>
    </row>
    <row r="940">
      <c r="A940" s="171">
        <f>IF('Оперативный ввод'!A940="","",'Оперативный ввод'!A940)</f>
        <v/>
      </c>
      <c r="B940" s="172">
        <f>IF('Оперативный ввод'!B940="","",'Оперативный ввод'!B940)</f>
        <v/>
      </c>
      <c r="C940" s="270">
        <f>IF('Оперативный ввод'!C940="","",'Оперативный ввод'!C940)</f>
        <v/>
      </c>
      <c r="D940" s="270">
        <f>IF('Оперативный ввод'!D940="","",'Оперативный ввод'!D940)</f>
        <v/>
      </c>
      <c r="E940" s="271">
        <f>IF(OR(C940="",D940=""),"",D940-C940)</f>
        <v/>
      </c>
      <c r="F940" s="172">
        <f>IF('Оперативный ввод'!F940="","",'Оперативный ввод'!F940)</f>
        <v/>
      </c>
      <c r="G940" s="172">
        <f>IF('Оперативный ввод'!G940="","",'Оперативный ввод'!G940)</f>
        <v/>
      </c>
      <c r="H940" s="172">
        <f>IF('Оперативный ввод'!H940="","",'Оперативный ввод'!H940)</f>
        <v/>
      </c>
      <c r="I940" s="172">
        <f>IF('Оперативный ввод'!I940="","",'Оперативный ввод'!I940)</f>
        <v/>
      </c>
      <c r="J940" s="172">
        <f>IF('Оперативный ввод'!J940="","",'Оперативный ввод'!J940)</f>
        <v/>
      </c>
      <c r="K940" s="172">
        <f>IF('Оперативный ввод'!K940="","",'Оперативный ввод'!K940)</f>
        <v/>
      </c>
      <c r="L940" s="172">
        <f>IF('Оперативный ввод'!L940="","",'Оперативный ввод'!L940)</f>
        <v/>
      </c>
      <c r="M940" s="172">
        <f>IF('Оперативный ввод'!M940="","",'Оперативный ввод'!M940)</f>
        <v/>
      </c>
      <c r="N940" s="172">
        <f>IF('Оперативный ввод'!N940="","",'Оперативный ввод'!N940)</f>
        <v/>
      </c>
      <c r="O940" s="172">
        <f>IF('Оперативный ввод'!O940="","",'Оперативный ввод'!O940)</f>
        <v/>
      </c>
      <c r="P940" s="205">
        <f>IF(AND(A940="",B940=""),"",IF(AND(A940&lt;&gt;"",B940&lt;&gt;"",C940&lt;&gt;"",D940&lt;&gt;"",F940&lt;&gt;"",G940&lt;&gt;"",H940&lt;&gt;"",ISERROR(SEARCH("по паспорту",G940)),ISERROR(SEARCH("по паспорту",H940)),I940&lt;&gt;"",J940&lt;&gt;"",K940&lt;&gt;"",L940&lt;&gt;"",M940&lt;&gt;""),"ГОТОВО","НЕ ГОТОВО"))</f>
        <v/>
      </c>
      <c r="Q940" s="205">
        <f>IF(P940&lt;&gt;"ГОТОВО","", "Предварительное заключение: "&amp;A940&amp;", скв. "&amp;B940&amp;". МРП: "&amp;E940&amp;" сут. ГНО: "&amp;F940&amp;", типоразмер "&amp;G940&amp;", марка "&amp;H940&amp;". Событие: "&amp;I940&amp;". Признак: "&amp;J940&amp;". Узел: "&amp;K940&amp;". Предварительная причина: "&amp;L940&amp;". Основное осложнение: "&amp;M940&amp;IF(N940&lt;&gt;"","; сопутствующее: "&amp;N940,"")&amp;IF(O940&lt;&gt;"","; дополнительно: "&amp;O940,"")&amp;".")</f>
        <v/>
      </c>
      <c r="R940" s="172">
        <f>IF('Оперативный ввод'!P940="","",'Оперативный ввод'!P940)</f>
        <v/>
      </c>
      <c r="S940" s="172">
        <f>IF('Оперативный ввод'!Q940="","",'Оперативный ввод'!Q940)</f>
        <v/>
      </c>
      <c r="T940" s="172">
        <f>IF('Оперативный ввод'!R940="","",'Оперативный ввод'!R940)</f>
        <v/>
      </c>
      <c r="U940" s="172">
        <f>IF('Оперативный ввод'!S940="","",'Оперативный ввод'!S940)</f>
        <v/>
      </c>
      <c r="V940" s="172">
        <f>IF('Оперативный ввод'!T940="","",'Оперативный ввод'!T940)</f>
        <v/>
      </c>
      <c r="W940" s="172" t="n"/>
      <c r="X940" s="172" t="n"/>
      <c r="Y940" s="172" t="n"/>
      <c r="Z940" s="172" t="n"/>
      <c r="AA940" s="172">
        <f>IF('Оперативный ввод'!U940="","",'Оперативный ввод'!U940)</f>
        <v/>
      </c>
      <c r="AB940" s="172">
        <f>IF('Оперативный ввод'!V940="","",'Оперативный ввод'!V940)</f>
        <v/>
      </c>
      <c r="AC940" s="172">
        <f>IF('Оперативный ввод'!W940="","",'Оперативный ввод'!W940)</f>
        <v/>
      </c>
      <c r="BB940" s="172" t="n"/>
      <c r="BC940" s="172" t="n"/>
      <c r="BD940" s="205">
        <f>IF(AND(A940="",B940=""),"",IF(AND(P940="ГОТОВО",R940&lt;&gt;"",T940&lt;&gt;"",U940&lt;&gt;"",AA940&lt;&gt;"",AB940&lt;&gt;"",AC940&lt;&gt;"",BB940&lt;&gt;"",BC940&lt;&gt;""),"ГОТОВО","НЕ ГОТОВО"))</f>
        <v/>
      </c>
      <c r="BE940" s="205">
        <f>IF(BD940&lt;&gt;"ГОТОВО","","Полное заключение: "&amp;A940&amp;", скв. "&amp;B940&amp;". МРП: "&amp;E940&amp;" сут. ГНО: "&amp;F940&amp;"; причина: "&amp;U940&amp;"; категория: "&amp;V940&amp;"; решение комиссии: "&amp;BB940&amp;".")</f>
        <v/>
      </c>
      <c r="BF940" s="173">
        <f>IF('Оперативный ввод'!X940="","",'Оперативный ввод'!X940)</f>
        <v/>
      </c>
    </row>
    <row r="941">
      <c r="A941" s="171">
        <f>IF('Оперативный ввод'!A941="","",'Оперативный ввод'!A941)</f>
        <v/>
      </c>
      <c r="B941" s="172">
        <f>IF('Оперативный ввод'!B941="","",'Оперативный ввод'!B941)</f>
        <v/>
      </c>
      <c r="C941" s="270">
        <f>IF('Оперативный ввод'!C941="","",'Оперативный ввод'!C941)</f>
        <v/>
      </c>
      <c r="D941" s="270">
        <f>IF('Оперативный ввод'!D941="","",'Оперативный ввод'!D941)</f>
        <v/>
      </c>
      <c r="E941" s="271">
        <f>IF(OR(C941="",D941=""),"",D941-C941)</f>
        <v/>
      </c>
      <c r="F941" s="172">
        <f>IF('Оперативный ввод'!F941="","",'Оперативный ввод'!F941)</f>
        <v/>
      </c>
      <c r="G941" s="172">
        <f>IF('Оперативный ввод'!G941="","",'Оперативный ввод'!G941)</f>
        <v/>
      </c>
      <c r="H941" s="172">
        <f>IF('Оперативный ввод'!H941="","",'Оперативный ввод'!H941)</f>
        <v/>
      </c>
      <c r="I941" s="172">
        <f>IF('Оперативный ввод'!I941="","",'Оперативный ввод'!I941)</f>
        <v/>
      </c>
      <c r="J941" s="172">
        <f>IF('Оперативный ввод'!J941="","",'Оперативный ввод'!J941)</f>
        <v/>
      </c>
      <c r="K941" s="172">
        <f>IF('Оперативный ввод'!K941="","",'Оперативный ввод'!K941)</f>
        <v/>
      </c>
      <c r="L941" s="172">
        <f>IF('Оперативный ввод'!L941="","",'Оперативный ввод'!L941)</f>
        <v/>
      </c>
      <c r="M941" s="172">
        <f>IF('Оперативный ввод'!M941="","",'Оперативный ввод'!M941)</f>
        <v/>
      </c>
      <c r="N941" s="172">
        <f>IF('Оперативный ввод'!N941="","",'Оперативный ввод'!N941)</f>
        <v/>
      </c>
      <c r="O941" s="172">
        <f>IF('Оперативный ввод'!O941="","",'Оперативный ввод'!O941)</f>
        <v/>
      </c>
      <c r="P941" s="205">
        <f>IF(AND(A941="",B941=""),"",IF(AND(A941&lt;&gt;"",B941&lt;&gt;"",C941&lt;&gt;"",D941&lt;&gt;"",F941&lt;&gt;"",G941&lt;&gt;"",H941&lt;&gt;"",ISERROR(SEARCH("по паспорту",G941)),ISERROR(SEARCH("по паспорту",H941)),I941&lt;&gt;"",J941&lt;&gt;"",K941&lt;&gt;"",L941&lt;&gt;"",M941&lt;&gt;""),"ГОТОВО","НЕ ГОТОВО"))</f>
        <v/>
      </c>
      <c r="Q941" s="205">
        <f>IF(P941&lt;&gt;"ГОТОВО","", "Предварительное заключение: "&amp;A941&amp;", скв. "&amp;B941&amp;". МРП: "&amp;E941&amp;" сут. ГНО: "&amp;F941&amp;", типоразмер "&amp;G941&amp;", марка "&amp;H941&amp;". Событие: "&amp;I941&amp;". Признак: "&amp;J941&amp;". Узел: "&amp;K941&amp;". Предварительная причина: "&amp;L941&amp;". Основное осложнение: "&amp;M941&amp;IF(N941&lt;&gt;"","; сопутствующее: "&amp;N941,"")&amp;IF(O941&lt;&gt;"","; дополнительно: "&amp;O941,"")&amp;".")</f>
        <v/>
      </c>
      <c r="R941" s="172">
        <f>IF('Оперативный ввод'!P941="","",'Оперативный ввод'!P941)</f>
        <v/>
      </c>
      <c r="S941" s="172">
        <f>IF('Оперативный ввод'!Q941="","",'Оперативный ввод'!Q941)</f>
        <v/>
      </c>
      <c r="T941" s="172">
        <f>IF('Оперативный ввод'!R941="","",'Оперативный ввод'!R941)</f>
        <v/>
      </c>
      <c r="U941" s="172">
        <f>IF('Оперативный ввод'!S941="","",'Оперативный ввод'!S941)</f>
        <v/>
      </c>
      <c r="V941" s="172">
        <f>IF('Оперативный ввод'!T941="","",'Оперативный ввод'!T941)</f>
        <v/>
      </c>
      <c r="W941" s="172" t="n"/>
      <c r="X941" s="172" t="n"/>
      <c r="Y941" s="172" t="n"/>
      <c r="Z941" s="172" t="n"/>
      <c r="AA941" s="172">
        <f>IF('Оперативный ввод'!U941="","",'Оперативный ввод'!U941)</f>
        <v/>
      </c>
      <c r="AB941" s="172">
        <f>IF('Оперативный ввод'!V941="","",'Оперативный ввод'!V941)</f>
        <v/>
      </c>
      <c r="AC941" s="172">
        <f>IF('Оперативный ввод'!W941="","",'Оперативный ввод'!W941)</f>
        <v/>
      </c>
      <c r="BB941" s="172" t="n"/>
      <c r="BC941" s="172" t="n"/>
      <c r="BD941" s="205">
        <f>IF(AND(A941="",B941=""),"",IF(AND(P941="ГОТОВО",R941&lt;&gt;"",T941&lt;&gt;"",U941&lt;&gt;"",AA941&lt;&gt;"",AB941&lt;&gt;"",AC941&lt;&gt;"",BB941&lt;&gt;"",BC941&lt;&gt;""),"ГОТОВО","НЕ ГОТОВО"))</f>
        <v/>
      </c>
      <c r="BE941" s="205">
        <f>IF(BD941&lt;&gt;"ГОТОВО","","Полное заключение: "&amp;A941&amp;", скв. "&amp;B941&amp;". МРП: "&amp;E941&amp;" сут. ГНО: "&amp;F941&amp;"; причина: "&amp;U941&amp;"; категория: "&amp;V941&amp;"; решение комиссии: "&amp;BB941&amp;".")</f>
        <v/>
      </c>
      <c r="BF941" s="173">
        <f>IF('Оперативный ввод'!X941="","",'Оперативный ввод'!X941)</f>
        <v/>
      </c>
    </row>
    <row r="942">
      <c r="A942" s="171">
        <f>IF('Оперативный ввод'!A942="","",'Оперативный ввод'!A942)</f>
        <v/>
      </c>
      <c r="B942" s="172">
        <f>IF('Оперативный ввод'!B942="","",'Оперативный ввод'!B942)</f>
        <v/>
      </c>
      <c r="C942" s="270">
        <f>IF('Оперативный ввод'!C942="","",'Оперативный ввод'!C942)</f>
        <v/>
      </c>
      <c r="D942" s="270">
        <f>IF('Оперативный ввод'!D942="","",'Оперативный ввод'!D942)</f>
        <v/>
      </c>
      <c r="E942" s="271">
        <f>IF(OR(C942="",D942=""),"",D942-C942)</f>
        <v/>
      </c>
      <c r="F942" s="172">
        <f>IF('Оперативный ввод'!F942="","",'Оперативный ввод'!F942)</f>
        <v/>
      </c>
      <c r="G942" s="172">
        <f>IF('Оперативный ввод'!G942="","",'Оперативный ввод'!G942)</f>
        <v/>
      </c>
      <c r="H942" s="172">
        <f>IF('Оперативный ввод'!H942="","",'Оперативный ввод'!H942)</f>
        <v/>
      </c>
      <c r="I942" s="172">
        <f>IF('Оперативный ввод'!I942="","",'Оперативный ввод'!I942)</f>
        <v/>
      </c>
      <c r="J942" s="172">
        <f>IF('Оперативный ввод'!J942="","",'Оперативный ввод'!J942)</f>
        <v/>
      </c>
      <c r="K942" s="172">
        <f>IF('Оперативный ввод'!K942="","",'Оперативный ввод'!K942)</f>
        <v/>
      </c>
      <c r="L942" s="172">
        <f>IF('Оперативный ввод'!L942="","",'Оперативный ввод'!L942)</f>
        <v/>
      </c>
      <c r="M942" s="172">
        <f>IF('Оперативный ввод'!M942="","",'Оперативный ввод'!M942)</f>
        <v/>
      </c>
      <c r="N942" s="172">
        <f>IF('Оперативный ввод'!N942="","",'Оперативный ввод'!N942)</f>
        <v/>
      </c>
      <c r="O942" s="172">
        <f>IF('Оперативный ввод'!O942="","",'Оперативный ввод'!O942)</f>
        <v/>
      </c>
      <c r="P942" s="205">
        <f>IF(AND(A942="",B942=""),"",IF(AND(A942&lt;&gt;"",B942&lt;&gt;"",C942&lt;&gt;"",D942&lt;&gt;"",F942&lt;&gt;"",G942&lt;&gt;"",H942&lt;&gt;"",ISERROR(SEARCH("по паспорту",G942)),ISERROR(SEARCH("по паспорту",H942)),I942&lt;&gt;"",J942&lt;&gt;"",K942&lt;&gt;"",L942&lt;&gt;"",M942&lt;&gt;""),"ГОТОВО","НЕ ГОТОВО"))</f>
        <v/>
      </c>
      <c r="Q942" s="205">
        <f>IF(P942&lt;&gt;"ГОТОВО","", "Предварительное заключение: "&amp;A942&amp;", скв. "&amp;B942&amp;". МРП: "&amp;E942&amp;" сут. ГНО: "&amp;F942&amp;", типоразмер "&amp;G942&amp;", марка "&amp;H942&amp;". Событие: "&amp;I942&amp;". Признак: "&amp;J942&amp;". Узел: "&amp;K942&amp;". Предварительная причина: "&amp;L942&amp;". Основное осложнение: "&amp;M942&amp;IF(N942&lt;&gt;"","; сопутствующее: "&amp;N942,"")&amp;IF(O942&lt;&gt;"","; дополнительно: "&amp;O942,"")&amp;".")</f>
        <v/>
      </c>
      <c r="R942" s="172">
        <f>IF('Оперативный ввод'!P942="","",'Оперативный ввод'!P942)</f>
        <v/>
      </c>
      <c r="S942" s="172">
        <f>IF('Оперативный ввод'!Q942="","",'Оперативный ввод'!Q942)</f>
        <v/>
      </c>
      <c r="T942" s="172">
        <f>IF('Оперативный ввод'!R942="","",'Оперативный ввод'!R942)</f>
        <v/>
      </c>
      <c r="U942" s="172">
        <f>IF('Оперативный ввод'!S942="","",'Оперативный ввод'!S942)</f>
        <v/>
      </c>
      <c r="V942" s="172">
        <f>IF('Оперативный ввод'!T942="","",'Оперативный ввод'!T942)</f>
        <v/>
      </c>
      <c r="W942" s="172" t="n"/>
      <c r="X942" s="172" t="n"/>
      <c r="Y942" s="172" t="n"/>
      <c r="Z942" s="172" t="n"/>
      <c r="AA942" s="172">
        <f>IF('Оперативный ввод'!U942="","",'Оперативный ввод'!U942)</f>
        <v/>
      </c>
      <c r="AB942" s="172">
        <f>IF('Оперативный ввод'!V942="","",'Оперативный ввод'!V942)</f>
        <v/>
      </c>
      <c r="AC942" s="172">
        <f>IF('Оперативный ввод'!W942="","",'Оперативный ввод'!W942)</f>
        <v/>
      </c>
      <c r="BB942" s="172" t="n"/>
      <c r="BC942" s="172" t="n"/>
      <c r="BD942" s="205">
        <f>IF(AND(A942="",B942=""),"",IF(AND(P942="ГОТОВО",R942&lt;&gt;"",T942&lt;&gt;"",U942&lt;&gt;"",AA942&lt;&gt;"",AB942&lt;&gt;"",AC942&lt;&gt;"",BB942&lt;&gt;"",BC942&lt;&gt;""),"ГОТОВО","НЕ ГОТОВО"))</f>
        <v/>
      </c>
      <c r="BE942" s="205">
        <f>IF(BD942&lt;&gt;"ГОТОВО","","Полное заключение: "&amp;A942&amp;", скв. "&amp;B942&amp;". МРП: "&amp;E942&amp;" сут. ГНО: "&amp;F942&amp;"; причина: "&amp;U942&amp;"; категория: "&amp;V942&amp;"; решение комиссии: "&amp;BB942&amp;".")</f>
        <v/>
      </c>
      <c r="BF942" s="173">
        <f>IF('Оперативный ввод'!X942="","",'Оперативный ввод'!X942)</f>
        <v/>
      </c>
    </row>
    <row r="943">
      <c r="A943" s="171">
        <f>IF('Оперативный ввод'!A943="","",'Оперативный ввод'!A943)</f>
        <v/>
      </c>
      <c r="B943" s="172">
        <f>IF('Оперативный ввод'!B943="","",'Оперативный ввод'!B943)</f>
        <v/>
      </c>
      <c r="C943" s="270">
        <f>IF('Оперативный ввод'!C943="","",'Оперативный ввод'!C943)</f>
        <v/>
      </c>
      <c r="D943" s="270">
        <f>IF('Оперативный ввод'!D943="","",'Оперативный ввод'!D943)</f>
        <v/>
      </c>
      <c r="E943" s="271">
        <f>IF(OR(C943="",D943=""),"",D943-C943)</f>
        <v/>
      </c>
      <c r="F943" s="172">
        <f>IF('Оперативный ввод'!F943="","",'Оперативный ввод'!F943)</f>
        <v/>
      </c>
      <c r="G943" s="172">
        <f>IF('Оперативный ввод'!G943="","",'Оперативный ввод'!G943)</f>
        <v/>
      </c>
      <c r="H943" s="172">
        <f>IF('Оперативный ввод'!H943="","",'Оперативный ввод'!H943)</f>
        <v/>
      </c>
      <c r="I943" s="172">
        <f>IF('Оперативный ввод'!I943="","",'Оперативный ввод'!I943)</f>
        <v/>
      </c>
      <c r="J943" s="172">
        <f>IF('Оперативный ввод'!J943="","",'Оперативный ввод'!J943)</f>
        <v/>
      </c>
      <c r="K943" s="172">
        <f>IF('Оперативный ввод'!K943="","",'Оперативный ввод'!K943)</f>
        <v/>
      </c>
      <c r="L943" s="172">
        <f>IF('Оперативный ввод'!L943="","",'Оперативный ввод'!L943)</f>
        <v/>
      </c>
      <c r="M943" s="172">
        <f>IF('Оперативный ввод'!M943="","",'Оперативный ввод'!M943)</f>
        <v/>
      </c>
      <c r="N943" s="172">
        <f>IF('Оперативный ввод'!N943="","",'Оперативный ввод'!N943)</f>
        <v/>
      </c>
      <c r="O943" s="172">
        <f>IF('Оперативный ввод'!O943="","",'Оперативный ввод'!O943)</f>
        <v/>
      </c>
      <c r="P943" s="205">
        <f>IF(AND(A943="",B943=""),"",IF(AND(A943&lt;&gt;"",B943&lt;&gt;"",C943&lt;&gt;"",D943&lt;&gt;"",F943&lt;&gt;"",G943&lt;&gt;"",H943&lt;&gt;"",ISERROR(SEARCH("по паспорту",G943)),ISERROR(SEARCH("по паспорту",H943)),I943&lt;&gt;"",J943&lt;&gt;"",K943&lt;&gt;"",L943&lt;&gt;"",M943&lt;&gt;""),"ГОТОВО","НЕ ГОТОВО"))</f>
        <v/>
      </c>
      <c r="Q943" s="205">
        <f>IF(P943&lt;&gt;"ГОТОВО","", "Предварительное заключение: "&amp;A943&amp;", скв. "&amp;B943&amp;". МРП: "&amp;E943&amp;" сут. ГНО: "&amp;F943&amp;", типоразмер "&amp;G943&amp;", марка "&amp;H943&amp;". Событие: "&amp;I943&amp;". Признак: "&amp;J943&amp;". Узел: "&amp;K943&amp;". Предварительная причина: "&amp;L943&amp;". Основное осложнение: "&amp;M943&amp;IF(N943&lt;&gt;"","; сопутствующее: "&amp;N943,"")&amp;IF(O943&lt;&gt;"","; дополнительно: "&amp;O943,"")&amp;".")</f>
        <v/>
      </c>
      <c r="R943" s="172">
        <f>IF('Оперативный ввод'!P943="","",'Оперативный ввод'!P943)</f>
        <v/>
      </c>
      <c r="S943" s="172">
        <f>IF('Оперативный ввод'!Q943="","",'Оперативный ввод'!Q943)</f>
        <v/>
      </c>
      <c r="T943" s="172">
        <f>IF('Оперативный ввод'!R943="","",'Оперативный ввод'!R943)</f>
        <v/>
      </c>
      <c r="U943" s="172">
        <f>IF('Оперативный ввод'!S943="","",'Оперативный ввод'!S943)</f>
        <v/>
      </c>
      <c r="V943" s="172">
        <f>IF('Оперативный ввод'!T943="","",'Оперативный ввод'!T943)</f>
        <v/>
      </c>
      <c r="W943" s="172" t="n"/>
      <c r="X943" s="172" t="n"/>
      <c r="Y943" s="172" t="n"/>
      <c r="Z943" s="172" t="n"/>
      <c r="AA943" s="172">
        <f>IF('Оперативный ввод'!U943="","",'Оперативный ввод'!U943)</f>
        <v/>
      </c>
      <c r="AB943" s="172">
        <f>IF('Оперативный ввод'!V943="","",'Оперативный ввод'!V943)</f>
        <v/>
      </c>
      <c r="AC943" s="172">
        <f>IF('Оперативный ввод'!W943="","",'Оперативный ввод'!W943)</f>
        <v/>
      </c>
      <c r="BB943" s="172" t="n"/>
      <c r="BC943" s="172" t="n"/>
      <c r="BD943" s="205">
        <f>IF(AND(A943="",B943=""),"",IF(AND(P943="ГОТОВО",R943&lt;&gt;"",T943&lt;&gt;"",U943&lt;&gt;"",AA943&lt;&gt;"",AB943&lt;&gt;"",AC943&lt;&gt;"",BB943&lt;&gt;"",BC943&lt;&gt;""),"ГОТОВО","НЕ ГОТОВО"))</f>
        <v/>
      </c>
      <c r="BE943" s="205">
        <f>IF(BD943&lt;&gt;"ГОТОВО","","Полное заключение: "&amp;A943&amp;", скв. "&amp;B943&amp;". МРП: "&amp;E943&amp;" сут. ГНО: "&amp;F943&amp;"; причина: "&amp;U943&amp;"; категория: "&amp;V943&amp;"; решение комиссии: "&amp;BB943&amp;".")</f>
        <v/>
      </c>
      <c r="BF943" s="173">
        <f>IF('Оперативный ввод'!X943="","",'Оперативный ввод'!X943)</f>
        <v/>
      </c>
    </row>
    <row r="944">
      <c r="A944" s="171">
        <f>IF('Оперативный ввод'!A944="","",'Оперативный ввод'!A944)</f>
        <v/>
      </c>
      <c r="B944" s="172">
        <f>IF('Оперативный ввод'!B944="","",'Оперативный ввод'!B944)</f>
        <v/>
      </c>
      <c r="C944" s="270">
        <f>IF('Оперативный ввод'!C944="","",'Оперативный ввод'!C944)</f>
        <v/>
      </c>
      <c r="D944" s="270">
        <f>IF('Оперативный ввод'!D944="","",'Оперативный ввод'!D944)</f>
        <v/>
      </c>
      <c r="E944" s="271">
        <f>IF(OR(C944="",D944=""),"",D944-C944)</f>
        <v/>
      </c>
      <c r="F944" s="172">
        <f>IF('Оперативный ввод'!F944="","",'Оперативный ввод'!F944)</f>
        <v/>
      </c>
      <c r="G944" s="172">
        <f>IF('Оперативный ввод'!G944="","",'Оперативный ввод'!G944)</f>
        <v/>
      </c>
      <c r="H944" s="172">
        <f>IF('Оперативный ввод'!H944="","",'Оперативный ввод'!H944)</f>
        <v/>
      </c>
      <c r="I944" s="172">
        <f>IF('Оперативный ввод'!I944="","",'Оперативный ввод'!I944)</f>
        <v/>
      </c>
      <c r="J944" s="172">
        <f>IF('Оперативный ввод'!J944="","",'Оперативный ввод'!J944)</f>
        <v/>
      </c>
      <c r="K944" s="172">
        <f>IF('Оперативный ввод'!K944="","",'Оперативный ввод'!K944)</f>
        <v/>
      </c>
      <c r="L944" s="172">
        <f>IF('Оперативный ввод'!L944="","",'Оперативный ввод'!L944)</f>
        <v/>
      </c>
      <c r="M944" s="172">
        <f>IF('Оперативный ввод'!M944="","",'Оперативный ввод'!M944)</f>
        <v/>
      </c>
      <c r="N944" s="172">
        <f>IF('Оперативный ввод'!N944="","",'Оперативный ввод'!N944)</f>
        <v/>
      </c>
      <c r="O944" s="172">
        <f>IF('Оперативный ввод'!O944="","",'Оперативный ввод'!O944)</f>
        <v/>
      </c>
      <c r="P944" s="205">
        <f>IF(AND(A944="",B944=""),"",IF(AND(A944&lt;&gt;"",B944&lt;&gt;"",C944&lt;&gt;"",D944&lt;&gt;"",F944&lt;&gt;"",G944&lt;&gt;"",H944&lt;&gt;"",ISERROR(SEARCH("по паспорту",G944)),ISERROR(SEARCH("по паспорту",H944)),I944&lt;&gt;"",J944&lt;&gt;"",K944&lt;&gt;"",L944&lt;&gt;"",M944&lt;&gt;""),"ГОТОВО","НЕ ГОТОВО"))</f>
        <v/>
      </c>
      <c r="Q944" s="205">
        <f>IF(P944&lt;&gt;"ГОТОВО","", "Предварительное заключение: "&amp;A944&amp;", скв. "&amp;B944&amp;". МРП: "&amp;E944&amp;" сут. ГНО: "&amp;F944&amp;", типоразмер "&amp;G944&amp;", марка "&amp;H944&amp;". Событие: "&amp;I944&amp;". Признак: "&amp;J944&amp;". Узел: "&amp;K944&amp;". Предварительная причина: "&amp;L944&amp;". Основное осложнение: "&amp;M944&amp;IF(N944&lt;&gt;"","; сопутствующее: "&amp;N944,"")&amp;IF(O944&lt;&gt;"","; дополнительно: "&amp;O944,"")&amp;".")</f>
        <v/>
      </c>
      <c r="R944" s="172">
        <f>IF('Оперативный ввод'!P944="","",'Оперативный ввод'!P944)</f>
        <v/>
      </c>
      <c r="S944" s="172">
        <f>IF('Оперативный ввод'!Q944="","",'Оперативный ввод'!Q944)</f>
        <v/>
      </c>
      <c r="T944" s="172">
        <f>IF('Оперативный ввод'!R944="","",'Оперативный ввод'!R944)</f>
        <v/>
      </c>
      <c r="U944" s="172">
        <f>IF('Оперативный ввод'!S944="","",'Оперативный ввод'!S944)</f>
        <v/>
      </c>
      <c r="V944" s="172">
        <f>IF('Оперативный ввод'!T944="","",'Оперативный ввод'!T944)</f>
        <v/>
      </c>
      <c r="W944" s="172" t="n"/>
      <c r="X944" s="172" t="n"/>
      <c r="Y944" s="172" t="n"/>
      <c r="Z944" s="172" t="n"/>
      <c r="AA944" s="172">
        <f>IF('Оперативный ввод'!U944="","",'Оперативный ввод'!U944)</f>
        <v/>
      </c>
      <c r="AB944" s="172">
        <f>IF('Оперативный ввод'!V944="","",'Оперативный ввод'!V944)</f>
        <v/>
      </c>
      <c r="AC944" s="172">
        <f>IF('Оперативный ввод'!W944="","",'Оперативный ввод'!W944)</f>
        <v/>
      </c>
      <c r="BB944" s="172" t="n"/>
      <c r="BC944" s="172" t="n"/>
      <c r="BD944" s="205">
        <f>IF(AND(A944="",B944=""),"",IF(AND(P944="ГОТОВО",R944&lt;&gt;"",T944&lt;&gt;"",U944&lt;&gt;"",AA944&lt;&gt;"",AB944&lt;&gt;"",AC944&lt;&gt;"",BB944&lt;&gt;"",BC944&lt;&gt;""),"ГОТОВО","НЕ ГОТОВО"))</f>
        <v/>
      </c>
      <c r="BE944" s="205">
        <f>IF(BD944&lt;&gt;"ГОТОВО","","Полное заключение: "&amp;A944&amp;", скв. "&amp;B944&amp;". МРП: "&amp;E944&amp;" сут. ГНО: "&amp;F944&amp;"; причина: "&amp;U944&amp;"; категория: "&amp;V944&amp;"; решение комиссии: "&amp;BB944&amp;".")</f>
        <v/>
      </c>
      <c r="BF944" s="173">
        <f>IF('Оперативный ввод'!X944="","",'Оперативный ввод'!X944)</f>
        <v/>
      </c>
    </row>
    <row r="945">
      <c r="A945" s="171">
        <f>IF('Оперативный ввод'!A945="","",'Оперативный ввод'!A945)</f>
        <v/>
      </c>
      <c r="B945" s="172">
        <f>IF('Оперативный ввод'!B945="","",'Оперативный ввод'!B945)</f>
        <v/>
      </c>
      <c r="C945" s="270">
        <f>IF('Оперативный ввод'!C945="","",'Оперативный ввод'!C945)</f>
        <v/>
      </c>
      <c r="D945" s="270">
        <f>IF('Оперативный ввод'!D945="","",'Оперативный ввод'!D945)</f>
        <v/>
      </c>
      <c r="E945" s="271">
        <f>IF(OR(C945="",D945=""),"",D945-C945)</f>
        <v/>
      </c>
      <c r="F945" s="172">
        <f>IF('Оперативный ввод'!F945="","",'Оперативный ввод'!F945)</f>
        <v/>
      </c>
      <c r="G945" s="172">
        <f>IF('Оперативный ввод'!G945="","",'Оперативный ввод'!G945)</f>
        <v/>
      </c>
      <c r="H945" s="172">
        <f>IF('Оперативный ввод'!H945="","",'Оперативный ввод'!H945)</f>
        <v/>
      </c>
      <c r="I945" s="172">
        <f>IF('Оперативный ввод'!I945="","",'Оперативный ввод'!I945)</f>
        <v/>
      </c>
      <c r="J945" s="172">
        <f>IF('Оперативный ввод'!J945="","",'Оперативный ввод'!J945)</f>
        <v/>
      </c>
      <c r="K945" s="172">
        <f>IF('Оперативный ввод'!K945="","",'Оперативный ввод'!K945)</f>
        <v/>
      </c>
      <c r="L945" s="172">
        <f>IF('Оперативный ввод'!L945="","",'Оперативный ввод'!L945)</f>
        <v/>
      </c>
      <c r="M945" s="172">
        <f>IF('Оперативный ввод'!M945="","",'Оперативный ввод'!M945)</f>
        <v/>
      </c>
      <c r="N945" s="172">
        <f>IF('Оперативный ввод'!N945="","",'Оперативный ввод'!N945)</f>
        <v/>
      </c>
      <c r="O945" s="172">
        <f>IF('Оперативный ввод'!O945="","",'Оперативный ввод'!O945)</f>
        <v/>
      </c>
      <c r="P945" s="205">
        <f>IF(AND(A945="",B945=""),"",IF(AND(A945&lt;&gt;"",B945&lt;&gt;"",C945&lt;&gt;"",D945&lt;&gt;"",F945&lt;&gt;"",G945&lt;&gt;"",H945&lt;&gt;"",ISERROR(SEARCH("по паспорту",G945)),ISERROR(SEARCH("по паспорту",H945)),I945&lt;&gt;"",J945&lt;&gt;"",K945&lt;&gt;"",L945&lt;&gt;"",M945&lt;&gt;""),"ГОТОВО","НЕ ГОТОВО"))</f>
        <v/>
      </c>
      <c r="Q945" s="205">
        <f>IF(P945&lt;&gt;"ГОТОВО","", "Предварительное заключение: "&amp;A945&amp;", скв. "&amp;B945&amp;". МРП: "&amp;E945&amp;" сут. ГНО: "&amp;F945&amp;", типоразмер "&amp;G945&amp;", марка "&amp;H945&amp;". Событие: "&amp;I945&amp;". Признак: "&amp;J945&amp;". Узел: "&amp;K945&amp;". Предварительная причина: "&amp;L945&amp;". Основное осложнение: "&amp;M945&amp;IF(N945&lt;&gt;"","; сопутствующее: "&amp;N945,"")&amp;IF(O945&lt;&gt;"","; дополнительно: "&amp;O945,"")&amp;".")</f>
        <v/>
      </c>
      <c r="R945" s="172">
        <f>IF('Оперативный ввод'!P945="","",'Оперативный ввод'!P945)</f>
        <v/>
      </c>
      <c r="S945" s="172">
        <f>IF('Оперативный ввод'!Q945="","",'Оперативный ввод'!Q945)</f>
        <v/>
      </c>
      <c r="T945" s="172">
        <f>IF('Оперативный ввод'!R945="","",'Оперативный ввод'!R945)</f>
        <v/>
      </c>
      <c r="U945" s="172">
        <f>IF('Оперативный ввод'!S945="","",'Оперативный ввод'!S945)</f>
        <v/>
      </c>
      <c r="V945" s="172">
        <f>IF('Оперативный ввод'!T945="","",'Оперативный ввод'!T945)</f>
        <v/>
      </c>
      <c r="W945" s="172" t="n"/>
      <c r="X945" s="172" t="n"/>
      <c r="Y945" s="172" t="n"/>
      <c r="Z945" s="172" t="n"/>
      <c r="AA945" s="172">
        <f>IF('Оперативный ввод'!U945="","",'Оперативный ввод'!U945)</f>
        <v/>
      </c>
      <c r="AB945" s="172">
        <f>IF('Оперативный ввод'!V945="","",'Оперативный ввод'!V945)</f>
        <v/>
      </c>
      <c r="AC945" s="172">
        <f>IF('Оперативный ввод'!W945="","",'Оперативный ввод'!W945)</f>
        <v/>
      </c>
      <c r="BB945" s="172" t="n"/>
      <c r="BC945" s="172" t="n"/>
      <c r="BD945" s="205">
        <f>IF(AND(A945="",B945=""),"",IF(AND(P945="ГОТОВО",R945&lt;&gt;"",T945&lt;&gt;"",U945&lt;&gt;"",AA945&lt;&gt;"",AB945&lt;&gt;"",AC945&lt;&gt;"",BB945&lt;&gt;"",BC945&lt;&gt;""),"ГОТОВО","НЕ ГОТОВО"))</f>
        <v/>
      </c>
      <c r="BE945" s="205">
        <f>IF(BD945&lt;&gt;"ГОТОВО","","Полное заключение: "&amp;A945&amp;", скв. "&amp;B945&amp;". МРП: "&amp;E945&amp;" сут. ГНО: "&amp;F945&amp;"; причина: "&amp;U945&amp;"; категория: "&amp;V945&amp;"; решение комиссии: "&amp;BB945&amp;".")</f>
        <v/>
      </c>
      <c r="BF945" s="173">
        <f>IF('Оперативный ввод'!X945="","",'Оперативный ввод'!X945)</f>
        <v/>
      </c>
    </row>
    <row r="946">
      <c r="A946" s="171">
        <f>IF('Оперативный ввод'!A946="","",'Оперативный ввод'!A946)</f>
        <v/>
      </c>
      <c r="B946" s="172">
        <f>IF('Оперативный ввод'!B946="","",'Оперативный ввод'!B946)</f>
        <v/>
      </c>
      <c r="C946" s="270">
        <f>IF('Оперативный ввод'!C946="","",'Оперативный ввод'!C946)</f>
        <v/>
      </c>
      <c r="D946" s="270">
        <f>IF('Оперативный ввод'!D946="","",'Оперативный ввод'!D946)</f>
        <v/>
      </c>
      <c r="E946" s="271">
        <f>IF(OR(C946="",D946=""),"",D946-C946)</f>
        <v/>
      </c>
      <c r="F946" s="172">
        <f>IF('Оперативный ввод'!F946="","",'Оперативный ввод'!F946)</f>
        <v/>
      </c>
      <c r="G946" s="172">
        <f>IF('Оперативный ввод'!G946="","",'Оперативный ввод'!G946)</f>
        <v/>
      </c>
      <c r="H946" s="172">
        <f>IF('Оперативный ввод'!H946="","",'Оперативный ввод'!H946)</f>
        <v/>
      </c>
      <c r="I946" s="172">
        <f>IF('Оперативный ввод'!I946="","",'Оперативный ввод'!I946)</f>
        <v/>
      </c>
      <c r="J946" s="172">
        <f>IF('Оперативный ввод'!J946="","",'Оперативный ввод'!J946)</f>
        <v/>
      </c>
      <c r="K946" s="172">
        <f>IF('Оперативный ввод'!K946="","",'Оперативный ввод'!K946)</f>
        <v/>
      </c>
      <c r="L946" s="172">
        <f>IF('Оперативный ввод'!L946="","",'Оперативный ввод'!L946)</f>
        <v/>
      </c>
      <c r="M946" s="172">
        <f>IF('Оперативный ввод'!M946="","",'Оперативный ввод'!M946)</f>
        <v/>
      </c>
      <c r="N946" s="172">
        <f>IF('Оперативный ввод'!N946="","",'Оперативный ввод'!N946)</f>
        <v/>
      </c>
      <c r="O946" s="172">
        <f>IF('Оперативный ввод'!O946="","",'Оперативный ввод'!O946)</f>
        <v/>
      </c>
      <c r="P946" s="205">
        <f>IF(AND(A946="",B946=""),"",IF(AND(A946&lt;&gt;"",B946&lt;&gt;"",C946&lt;&gt;"",D946&lt;&gt;"",F946&lt;&gt;"",G946&lt;&gt;"",H946&lt;&gt;"",ISERROR(SEARCH("по паспорту",G946)),ISERROR(SEARCH("по паспорту",H946)),I946&lt;&gt;"",J946&lt;&gt;"",K946&lt;&gt;"",L946&lt;&gt;"",M946&lt;&gt;""),"ГОТОВО","НЕ ГОТОВО"))</f>
        <v/>
      </c>
      <c r="Q946" s="205">
        <f>IF(P946&lt;&gt;"ГОТОВО","", "Предварительное заключение: "&amp;A946&amp;", скв. "&amp;B946&amp;". МРП: "&amp;E946&amp;" сут. ГНО: "&amp;F946&amp;", типоразмер "&amp;G946&amp;", марка "&amp;H946&amp;". Событие: "&amp;I946&amp;". Признак: "&amp;J946&amp;". Узел: "&amp;K946&amp;". Предварительная причина: "&amp;L946&amp;". Основное осложнение: "&amp;M946&amp;IF(N946&lt;&gt;"","; сопутствующее: "&amp;N946,"")&amp;IF(O946&lt;&gt;"","; дополнительно: "&amp;O946,"")&amp;".")</f>
        <v/>
      </c>
      <c r="R946" s="172">
        <f>IF('Оперативный ввод'!P946="","",'Оперативный ввод'!P946)</f>
        <v/>
      </c>
      <c r="S946" s="172">
        <f>IF('Оперативный ввод'!Q946="","",'Оперативный ввод'!Q946)</f>
        <v/>
      </c>
      <c r="T946" s="172">
        <f>IF('Оперативный ввод'!R946="","",'Оперативный ввод'!R946)</f>
        <v/>
      </c>
      <c r="U946" s="172">
        <f>IF('Оперативный ввод'!S946="","",'Оперативный ввод'!S946)</f>
        <v/>
      </c>
      <c r="V946" s="172">
        <f>IF('Оперативный ввод'!T946="","",'Оперативный ввод'!T946)</f>
        <v/>
      </c>
      <c r="W946" s="172" t="n"/>
      <c r="X946" s="172" t="n"/>
      <c r="Y946" s="172" t="n"/>
      <c r="Z946" s="172" t="n"/>
      <c r="AA946" s="172">
        <f>IF('Оперативный ввод'!U946="","",'Оперативный ввод'!U946)</f>
        <v/>
      </c>
      <c r="AB946" s="172">
        <f>IF('Оперативный ввод'!V946="","",'Оперативный ввод'!V946)</f>
        <v/>
      </c>
      <c r="AC946" s="172">
        <f>IF('Оперативный ввод'!W946="","",'Оперативный ввод'!W946)</f>
        <v/>
      </c>
      <c r="BB946" s="172" t="n"/>
      <c r="BC946" s="172" t="n"/>
      <c r="BD946" s="205">
        <f>IF(AND(A946="",B946=""),"",IF(AND(P946="ГОТОВО",R946&lt;&gt;"",T946&lt;&gt;"",U946&lt;&gt;"",AA946&lt;&gt;"",AB946&lt;&gt;"",AC946&lt;&gt;"",BB946&lt;&gt;"",BC946&lt;&gt;""),"ГОТОВО","НЕ ГОТОВО"))</f>
        <v/>
      </c>
      <c r="BE946" s="205">
        <f>IF(BD946&lt;&gt;"ГОТОВО","","Полное заключение: "&amp;A946&amp;", скв. "&amp;B946&amp;". МРП: "&amp;E946&amp;" сут. ГНО: "&amp;F946&amp;"; причина: "&amp;U946&amp;"; категория: "&amp;V946&amp;"; решение комиссии: "&amp;BB946&amp;".")</f>
        <v/>
      </c>
      <c r="BF946" s="173">
        <f>IF('Оперативный ввод'!X946="","",'Оперативный ввод'!X946)</f>
        <v/>
      </c>
    </row>
    <row r="947">
      <c r="A947" s="171">
        <f>IF('Оперативный ввод'!A947="","",'Оперативный ввод'!A947)</f>
        <v/>
      </c>
      <c r="B947" s="172">
        <f>IF('Оперативный ввод'!B947="","",'Оперативный ввод'!B947)</f>
        <v/>
      </c>
      <c r="C947" s="270">
        <f>IF('Оперативный ввод'!C947="","",'Оперативный ввод'!C947)</f>
        <v/>
      </c>
      <c r="D947" s="270">
        <f>IF('Оперативный ввод'!D947="","",'Оперативный ввод'!D947)</f>
        <v/>
      </c>
      <c r="E947" s="271">
        <f>IF(OR(C947="",D947=""),"",D947-C947)</f>
        <v/>
      </c>
      <c r="F947" s="172">
        <f>IF('Оперативный ввод'!F947="","",'Оперативный ввод'!F947)</f>
        <v/>
      </c>
      <c r="G947" s="172">
        <f>IF('Оперативный ввод'!G947="","",'Оперативный ввод'!G947)</f>
        <v/>
      </c>
      <c r="H947" s="172">
        <f>IF('Оперативный ввод'!H947="","",'Оперативный ввод'!H947)</f>
        <v/>
      </c>
      <c r="I947" s="172">
        <f>IF('Оперативный ввод'!I947="","",'Оперативный ввод'!I947)</f>
        <v/>
      </c>
      <c r="J947" s="172">
        <f>IF('Оперативный ввод'!J947="","",'Оперативный ввод'!J947)</f>
        <v/>
      </c>
      <c r="K947" s="172">
        <f>IF('Оперативный ввод'!K947="","",'Оперативный ввод'!K947)</f>
        <v/>
      </c>
      <c r="L947" s="172">
        <f>IF('Оперативный ввод'!L947="","",'Оперативный ввод'!L947)</f>
        <v/>
      </c>
      <c r="M947" s="172">
        <f>IF('Оперативный ввод'!M947="","",'Оперативный ввод'!M947)</f>
        <v/>
      </c>
      <c r="N947" s="172">
        <f>IF('Оперативный ввод'!N947="","",'Оперативный ввод'!N947)</f>
        <v/>
      </c>
      <c r="O947" s="172">
        <f>IF('Оперативный ввод'!O947="","",'Оперативный ввод'!O947)</f>
        <v/>
      </c>
      <c r="P947" s="205">
        <f>IF(AND(A947="",B947=""),"",IF(AND(A947&lt;&gt;"",B947&lt;&gt;"",C947&lt;&gt;"",D947&lt;&gt;"",F947&lt;&gt;"",G947&lt;&gt;"",H947&lt;&gt;"",ISERROR(SEARCH("по паспорту",G947)),ISERROR(SEARCH("по паспорту",H947)),I947&lt;&gt;"",J947&lt;&gt;"",K947&lt;&gt;"",L947&lt;&gt;"",M947&lt;&gt;""),"ГОТОВО","НЕ ГОТОВО"))</f>
        <v/>
      </c>
      <c r="Q947" s="205">
        <f>IF(P947&lt;&gt;"ГОТОВО","", "Предварительное заключение: "&amp;A947&amp;", скв. "&amp;B947&amp;". МРП: "&amp;E947&amp;" сут. ГНО: "&amp;F947&amp;", типоразмер "&amp;G947&amp;", марка "&amp;H947&amp;". Событие: "&amp;I947&amp;". Признак: "&amp;J947&amp;". Узел: "&amp;K947&amp;". Предварительная причина: "&amp;L947&amp;". Основное осложнение: "&amp;M947&amp;IF(N947&lt;&gt;"","; сопутствующее: "&amp;N947,"")&amp;IF(O947&lt;&gt;"","; дополнительно: "&amp;O947,"")&amp;".")</f>
        <v/>
      </c>
      <c r="R947" s="172">
        <f>IF('Оперативный ввод'!P947="","",'Оперативный ввод'!P947)</f>
        <v/>
      </c>
      <c r="S947" s="172">
        <f>IF('Оперативный ввод'!Q947="","",'Оперативный ввод'!Q947)</f>
        <v/>
      </c>
      <c r="T947" s="172">
        <f>IF('Оперативный ввод'!R947="","",'Оперативный ввод'!R947)</f>
        <v/>
      </c>
      <c r="U947" s="172">
        <f>IF('Оперативный ввод'!S947="","",'Оперативный ввод'!S947)</f>
        <v/>
      </c>
      <c r="V947" s="172">
        <f>IF('Оперативный ввод'!T947="","",'Оперативный ввод'!T947)</f>
        <v/>
      </c>
      <c r="W947" s="172" t="n"/>
      <c r="X947" s="172" t="n"/>
      <c r="Y947" s="172" t="n"/>
      <c r="Z947" s="172" t="n"/>
      <c r="AA947" s="172">
        <f>IF('Оперативный ввод'!U947="","",'Оперативный ввод'!U947)</f>
        <v/>
      </c>
      <c r="AB947" s="172">
        <f>IF('Оперативный ввод'!V947="","",'Оперативный ввод'!V947)</f>
        <v/>
      </c>
      <c r="AC947" s="172">
        <f>IF('Оперативный ввод'!W947="","",'Оперативный ввод'!W947)</f>
        <v/>
      </c>
      <c r="BB947" s="172" t="n"/>
      <c r="BC947" s="172" t="n"/>
      <c r="BD947" s="205">
        <f>IF(AND(A947="",B947=""),"",IF(AND(P947="ГОТОВО",R947&lt;&gt;"",T947&lt;&gt;"",U947&lt;&gt;"",AA947&lt;&gt;"",AB947&lt;&gt;"",AC947&lt;&gt;"",BB947&lt;&gt;"",BC947&lt;&gt;""),"ГОТОВО","НЕ ГОТОВО"))</f>
        <v/>
      </c>
      <c r="BE947" s="205">
        <f>IF(BD947&lt;&gt;"ГОТОВО","","Полное заключение: "&amp;A947&amp;", скв. "&amp;B947&amp;". МРП: "&amp;E947&amp;" сут. ГНО: "&amp;F947&amp;"; причина: "&amp;U947&amp;"; категория: "&amp;V947&amp;"; решение комиссии: "&amp;BB947&amp;".")</f>
        <v/>
      </c>
      <c r="BF947" s="173">
        <f>IF('Оперативный ввод'!X947="","",'Оперативный ввод'!X947)</f>
        <v/>
      </c>
    </row>
    <row r="948">
      <c r="A948" s="171">
        <f>IF('Оперативный ввод'!A948="","",'Оперативный ввод'!A948)</f>
        <v/>
      </c>
      <c r="B948" s="172">
        <f>IF('Оперативный ввод'!B948="","",'Оперативный ввод'!B948)</f>
        <v/>
      </c>
      <c r="C948" s="270">
        <f>IF('Оперативный ввод'!C948="","",'Оперативный ввод'!C948)</f>
        <v/>
      </c>
      <c r="D948" s="270">
        <f>IF('Оперативный ввод'!D948="","",'Оперативный ввод'!D948)</f>
        <v/>
      </c>
      <c r="E948" s="271">
        <f>IF(OR(C948="",D948=""),"",D948-C948)</f>
        <v/>
      </c>
      <c r="F948" s="172">
        <f>IF('Оперативный ввод'!F948="","",'Оперативный ввод'!F948)</f>
        <v/>
      </c>
      <c r="G948" s="172">
        <f>IF('Оперативный ввод'!G948="","",'Оперативный ввод'!G948)</f>
        <v/>
      </c>
      <c r="H948" s="172">
        <f>IF('Оперативный ввод'!H948="","",'Оперативный ввод'!H948)</f>
        <v/>
      </c>
      <c r="I948" s="172">
        <f>IF('Оперативный ввод'!I948="","",'Оперативный ввод'!I948)</f>
        <v/>
      </c>
      <c r="J948" s="172">
        <f>IF('Оперативный ввод'!J948="","",'Оперативный ввод'!J948)</f>
        <v/>
      </c>
      <c r="K948" s="172">
        <f>IF('Оперативный ввод'!K948="","",'Оперативный ввод'!K948)</f>
        <v/>
      </c>
      <c r="L948" s="172">
        <f>IF('Оперативный ввод'!L948="","",'Оперативный ввод'!L948)</f>
        <v/>
      </c>
      <c r="M948" s="172">
        <f>IF('Оперативный ввод'!M948="","",'Оперативный ввод'!M948)</f>
        <v/>
      </c>
      <c r="N948" s="172">
        <f>IF('Оперативный ввод'!N948="","",'Оперативный ввод'!N948)</f>
        <v/>
      </c>
      <c r="O948" s="172">
        <f>IF('Оперативный ввод'!O948="","",'Оперативный ввод'!O948)</f>
        <v/>
      </c>
      <c r="P948" s="205">
        <f>IF(AND(A948="",B948=""),"",IF(AND(A948&lt;&gt;"",B948&lt;&gt;"",C948&lt;&gt;"",D948&lt;&gt;"",F948&lt;&gt;"",G948&lt;&gt;"",H948&lt;&gt;"",ISERROR(SEARCH("по паспорту",G948)),ISERROR(SEARCH("по паспорту",H948)),I948&lt;&gt;"",J948&lt;&gt;"",K948&lt;&gt;"",L948&lt;&gt;"",M948&lt;&gt;""),"ГОТОВО","НЕ ГОТОВО"))</f>
        <v/>
      </c>
      <c r="Q948" s="205">
        <f>IF(P948&lt;&gt;"ГОТОВО","", "Предварительное заключение: "&amp;A948&amp;", скв. "&amp;B948&amp;". МРП: "&amp;E948&amp;" сут. ГНО: "&amp;F948&amp;", типоразмер "&amp;G948&amp;", марка "&amp;H948&amp;". Событие: "&amp;I948&amp;". Признак: "&amp;J948&amp;". Узел: "&amp;K948&amp;". Предварительная причина: "&amp;L948&amp;". Основное осложнение: "&amp;M948&amp;IF(N948&lt;&gt;"","; сопутствующее: "&amp;N948,"")&amp;IF(O948&lt;&gt;"","; дополнительно: "&amp;O948,"")&amp;".")</f>
        <v/>
      </c>
      <c r="R948" s="172">
        <f>IF('Оперативный ввод'!P948="","",'Оперативный ввод'!P948)</f>
        <v/>
      </c>
      <c r="S948" s="172">
        <f>IF('Оперативный ввод'!Q948="","",'Оперативный ввод'!Q948)</f>
        <v/>
      </c>
      <c r="T948" s="172">
        <f>IF('Оперативный ввод'!R948="","",'Оперативный ввод'!R948)</f>
        <v/>
      </c>
      <c r="U948" s="172">
        <f>IF('Оперативный ввод'!S948="","",'Оперативный ввод'!S948)</f>
        <v/>
      </c>
      <c r="V948" s="172">
        <f>IF('Оперативный ввод'!T948="","",'Оперативный ввод'!T948)</f>
        <v/>
      </c>
      <c r="W948" s="172" t="n"/>
      <c r="X948" s="172" t="n"/>
      <c r="Y948" s="172" t="n"/>
      <c r="Z948" s="172" t="n"/>
      <c r="AA948" s="172">
        <f>IF('Оперативный ввод'!U948="","",'Оперативный ввод'!U948)</f>
        <v/>
      </c>
      <c r="AB948" s="172">
        <f>IF('Оперативный ввод'!V948="","",'Оперативный ввод'!V948)</f>
        <v/>
      </c>
      <c r="AC948" s="172">
        <f>IF('Оперативный ввод'!W948="","",'Оперативный ввод'!W948)</f>
        <v/>
      </c>
      <c r="BB948" s="172" t="n"/>
      <c r="BC948" s="172" t="n"/>
      <c r="BD948" s="205">
        <f>IF(AND(A948="",B948=""),"",IF(AND(P948="ГОТОВО",R948&lt;&gt;"",T948&lt;&gt;"",U948&lt;&gt;"",AA948&lt;&gt;"",AB948&lt;&gt;"",AC948&lt;&gt;"",BB948&lt;&gt;"",BC948&lt;&gt;""),"ГОТОВО","НЕ ГОТОВО"))</f>
        <v/>
      </c>
      <c r="BE948" s="205">
        <f>IF(BD948&lt;&gt;"ГОТОВО","","Полное заключение: "&amp;A948&amp;", скв. "&amp;B948&amp;". МРП: "&amp;E948&amp;" сут. ГНО: "&amp;F948&amp;"; причина: "&amp;U948&amp;"; категория: "&amp;V948&amp;"; решение комиссии: "&amp;BB948&amp;".")</f>
        <v/>
      </c>
      <c r="BF948" s="173">
        <f>IF('Оперативный ввод'!X948="","",'Оперативный ввод'!X948)</f>
        <v/>
      </c>
    </row>
    <row r="949">
      <c r="A949" s="171">
        <f>IF('Оперативный ввод'!A949="","",'Оперативный ввод'!A949)</f>
        <v/>
      </c>
      <c r="B949" s="172">
        <f>IF('Оперативный ввод'!B949="","",'Оперативный ввод'!B949)</f>
        <v/>
      </c>
      <c r="C949" s="270">
        <f>IF('Оперативный ввод'!C949="","",'Оперативный ввод'!C949)</f>
        <v/>
      </c>
      <c r="D949" s="270">
        <f>IF('Оперативный ввод'!D949="","",'Оперативный ввод'!D949)</f>
        <v/>
      </c>
      <c r="E949" s="271">
        <f>IF(OR(C949="",D949=""),"",D949-C949)</f>
        <v/>
      </c>
      <c r="F949" s="172">
        <f>IF('Оперативный ввод'!F949="","",'Оперативный ввод'!F949)</f>
        <v/>
      </c>
      <c r="G949" s="172">
        <f>IF('Оперативный ввод'!G949="","",'Оперативный ввод'!G949)</f>
        <v/>
      </c>
      <c r="H949" s="172">
        <f>IF('Оперативный ввод'!H949="","",'Оперативный ввод'!H949)</f>
        <v/>
      </c>
      <c r="I949" s="172">
        <f>IF('Оперативный ввод'!I949="","",'Оперативный ввод'!I949)</f>
        <v/>
      </c>
      <c r="J949" s="172">
        <f>IF('Оперативный ввод'!J949="","",'Оперативный ввод'!J949)</f>
        <v/>
      </c>
      <c r="K949" s="172">
        <f>IF('Оперативный ввод'!K949="","",'Оперативный ввод'!K949)</f>
        <v/>
      </c>
      <c r="L949" s="172">
        <f>IF('Оперативный ввод'!L949="","",'Оперативный ввод'!L949)</f>
        <v/>
      </c>
      <c r="M949" s="172">
        <f>IF('Оперативный ввод'!M949="","",'Оперативный ввод'!M949)</f>
        <v/>
      </c>
      <c r="N949" s="172">
        <f>IF('Оперативный ввод'!N949="","",'Оперативный ввод'!N949)</f>
        <v/>
      </c>
      <c r="O949" s="172">
        <f>IF('Оперативный ввод'!O949="","",'Оперативный ввод'!O949)</f>
        <v/>
      </c>
      <c r="P949" s="205">
        <f>IF(AND(A949="",B949=""),"",IF(AND(A949&lt;&gt;"",B949&lt;&gt;"",C949&lt;&gt;"",D949&lt;&gt;"",F949&lt;&gt;"",G949&lt;&gt;"",H949&lt;&gt;"",ISERROR(SEARCH("по паспорту",G949)),ISERROR(SEARCH("по паспорту",H949)),I949&lt;&gt;"",J949&lt;&gt;"",K949&lt;&gt;"",L949&lt;&gt;"",M949&lt;&gt;""),"ГОТОВО","НЕ ГОТОВО"))</f>
        <v/>
      </c>
      <c r="Q949" s="205">
        <f>IF(P949&lt;&gt;"ГОТОВО","", "Предварительное заключение: "&amp;A949&amp;", скв. "&amp;B949&amp;". МРП: "&amp;E949&amp;" сут. ГНО: "&amp;F949&amp;", типоразмер "&amp;G949&amp;", марка "&amp;H949&amp;". Событие: "&amp;I949&amp;". Признак: "&amp;J949&amp;". Узел: "&amp;K949&amp;". Предварительная причина: "&amp;L949&amp;". Основное осложнение: "&amp;M949&amp;IF(N949&lt;&gt;"","; сопутствующее: "&amp;N949,"")&amp;IF(O949&lt;&gt;"","; дополнительно: "&amp;O949,"")&amp;".")</f>
        <v/>
      </c>
      <c r="R949" s="172">
        <f>IF('Оперативный ввод'!P949="","",'Оперативный ввод'!P949)</f>
        <v/>
      </c>
      <c r="S949" s="172">
        <f>IF('Оперативный ввод'!Q949="","",'Оперативный ввод'!Q949)</f>
        <v/>
      </c>
      <c r="T949" s="172">
        <f>IF('Оперативный ввод'!R949="","",'Оперативный ввод'!R949)</f>
        <v/>
      </c>
      <c r="U949" s="172">
        <f>IF('Оперативный ввод'!S949="","",'Оперативный ввод'!S949)</f>
        <v/>
      </c>
      <c r="V949" s="172">
        <f>IF('Оперативный ввод'!T949="","",'Оперативный ввод'!T949)</f>
        <v/>
      </c>
      <c r="W949" s="172" t="n"/>
      <c r="X949" s="172" t="n"/>
      <c r="Y949" s="172" t="n"/>
      <c r="Z949" s="172" t="n"/>
      <c r="AA949" s="172">
        <f>IF('Оперативный ввод'!U949="","",'Оперативный ввод'!U949)</f>
        <v/>
      </c>
      <c r="AB949" s="172">
        <f>IF('Оперативный ввод'!V949="","",'Оперативный ввод'!V949)</f>
        <v/>
      </c>
      <c r="AC949" s="172">
        <f>IF('Оперативный ввод'!W949="","",'Оперативный ввод'!W949)</f>
        <v/>
      </c>
      <c r="BB949" s="172" t="n"/>
      <c r="BC949" s="172" t="n"/>
      <c r="BD949" s="205">
        <f>IF(AND(A949="",B949=""),"",IF(AND(P949="ГОТОВО",R949&lt;&gt;"",T949&lt;&gt;"",U949&lt;&gt;"",AA949&lt;&gt;"",AB949&lt;&gt;"",AC949&lt;&gt;"",BB949&lt;&gt;"",BC949&lt;&gt;""),"ГОТОВО","НЕ ГОТОВО"))</f>
        <v/>
      </c>
      <c r="BE949" s="205">
        <f>IF(BD949&lt;&gt;"ГОТОВО","","Полное заключение: "&amp;A949&amp;", скв. "&amp;B949&amp;". МРП: "&amp;E949&amp;" сут. ГНО: "&amp;F949&amp;"; причина: "&amp;U949&amp;"; категория: "&amp;V949&amp;"; решение комиссии: "&amp;BB949&amp;".")</f>
        <v/>
      </c>
      <c r="BF949" s="173">
        <f>IF('Оперативный ввод'!X949="","",'Оперативный ввод'!X949)</f>
        <v/>
      </c>
    </row>
    <row r="950">
      <c r="A950" s="171">
        <f>IF('Оперативный ввод'!A950="","",'Оперативный ввод'!A950)</f>
        <v/>
      </c>
      <c r="B950" s="172">
        <f>IF('Оперативный ввод'!B950="","",'Оперативный ввод'!B950)</f>
        <v/>
      </c>
      <c r="C950" s="270">
        <f>IF('Оперативный ввод'!C950="","",'Оперативный ввод'!C950)</f>
        <v/>
      </c>
      <c r="D950" s="270">
        <f>IF('Оперативный ввод'!D950="","",'Оперативный ввод'!D950)</f>
        <v/>
      </c>
      <c r="E950" s="271">
        <f>IF(OR(C950="",D950=""),"",D950-C950)</f>
        <v/>
      </c>
      <c r="F950" s="172">
        <f>IF('Оперативный ввод'!F950="","",'Оперативный ввод'!F950)</f>
        <v/>
      </c>
      <c r="G950" s="172">
        <f>IF('Оперативный ввод'!G950="","",'Оперативный ввод'!G950)</f>
        <v/>
      </c>
      <c r="H950" s="172">
        <f>IF('Оперативный ввод'!H950="","",'Оперативный ввод'!H950)</f>
        <v/>
      </c>
      <c r="I950" s="172">
        <f>IF('Оперативный ввод'!I950="","",'Оперативный ввод'!I950)</f>
        <v/>
      </c>
      <c r="J950" s="172">
        <f>IF('Оперативный ввод'!J950="","",'Оперативный ввод'!J950)</f>
        <v/>
      </c>
      <c r="K950" s="172">
        <f>IF('Оперативный ввод'!K950="","",'Оперативный ввод'!K950)</f>
        <v/>
      </c>
      <c r="L950" s="172">
        <f>IF('Оперативный ввод'!L950="","",'Оперативный ввод'!L950)</f>
        <v/>
      </c>
      <c r="M950" s="172">
        <f>IF('Оперативный ввод'!M950="","",'Оперативный ввод'!M950)</f>
        <v/>
      </c>
      <c r="N950" s="172">
        <f>IF('Оперативный ввод'!N950="","",'Оперативный ввод'!N950)</f>
        <v/>
      </c>
      <c r="O950" s="172">
        <f>IF('Оперативный ввод'!O950="","",'Оперативный ввод'!O950)</f>
        <v/>
      </c>
      <c r="P950" s="205">
        <f>IF(AND(A950="",B950=""),"",IF(AND(A950&lt;&gt;"",B950&lt;&gt;"",C950&lt;&gt;"",D950&lt;&gt;"",F950&lt;&gt;"",G950&lt;&gt;"",H950&lt;&gt;"",ISERROR(SEARCH("по паспорту",G950)),ISERROR(SEARCH("по паспорту",H950)),I950&lt;&gt;"",J950&lt;&gt;"",K950&lt;&gt;"",L950&lt;&gt;"",M950&lt;&gt;""),"ГОТОВО","НЕ ГОТОВО"))</f>
        <v/>
      </c>
      <c r="Q950" s="205">
        <f>IF(P950&lt;&gt;"ГОТОВО","", "Предварительное заключение: "&amp;A950&amp;", скв. "&amp;B950&amp;". МРП: "&amp;E950&amp;" сут. ГНО: "&amp;F950&amp;", типоразмер "&amp;G950&amp;", марка "&amp;H950&amp;". Событие: "&amp;I950&amp;". Признак: "&amp;J950&amp;". Узел: "&amp;K950&amp;". Предварительная причина: "&amp;L950&amp;". Основное осложнение: "&amp;M950&amp;IF(N950&lt;&gt;"","; сопутствующее: "&amp;N950,"")&amp;IF(O950&lt;&gt;"","; дополнительно: "&amp;O950,"")&amp;".")</f>
        <v/>
      </c>
      <c r="R950" s="172">
        <f>IF('Оперативный ввод'!P950="","",'Оперативный ввод'!P950)</f>
        <v/>
      </c>
      <c r="S950" s="172">
        <f>IF('Оперативный ввод'!Q950="","",'Оперативный ввод'!Q950)</f>
        <v/>
      </c>
      <c r="T950" s="172">
        <f>IF('Оперативный ввод'!R950="","",'Оперативный ввод'!R950)</f>
        <v/>
      </c>
      <c r="U950" s="172">
        <f>IF('Оперативный ввод'!S950="","",'Оперативный ввод'!S950)</f>
        <v/>
      </c>
      <c r="V950" s="172">
        <f>IF('Оперативный ввод'!T950="","",'Оперативный ввод'!T950)</f>
        <v/>
      </c>
      <c r="W950" s="172" t="n"/>
      <c r="X950" s="172" t="n"/>
      <c r="Y950" s="172" t="n"/>
      <c r="Z950" s="172" t="n"/>
      <c r="AA950" s="172">
        <f>IF('Оперативный ввод'!U950="","",'Оперативный ввод'!U950)</f>
        <v/>
      </c>
      <c r="AB950" s="172">
        <f>IF('Оперативный ввод'!V950="","",'Оперативный ввод'!V950)</f>
        <v/>
      </c>
      <c r="AC950" s="172">
        <f>IF('Оперативный ввод'!W950="","",'Оперативный ввод'!W950)</f>
        <v/>
      </c>
      <c r="BB950" s="172" t="n"/>
      <c r="BC950" s="172" t="n"/>
      <c r="BD950" s="205">
        <f>IF(AND(A950="",B950=""),"",IF(AND(P950="ГОТОВО",R950&lt;&gt;"",T950&lt;&gt;"",U950&lt;&gt;"",AA950&lt;&gt;"",AB950&lt;&gt;"",AC950&lt;&gt;"",BB950&lt;&gt;"",BC950&lt;&gt;""),"ГОТОВО","НЕ ГОТОВО"))</f>
        <v/>
      </c>
      <c r="BE950" s="205">
        <f>IF(BD950&lt;&gt;"ГОТОВО","","Полное заключение: "&amp;A950&amp;", скв. "&amp;B950&amp;". МРП: "&amp;E950&amp;" сут. ГНО: "&amp;F950&amp;"; причина: "&amp;U950&amp;"; категория: "&amp;V950&amp;"; решение комиссии: "&amp;BB950&amp;".")</f>
        <v/>
      </c>
      <c r="BF950" s="173">
        <f>IF('Оперативный ввод'!X950="","",'Оперативный ввод'!X950)</f>
        <v/>
      </c>
    </row>
    <row r="951">
      <c r="A951" s="171">
        <f>IF('Оперативный ввод'!A951="","",'Оперативный ввод'!A951)</f>
        <v/>
      </c>
      <c r="B951" s="172">
        <f>IF('Оперативный ввод'!B951="","",'Оперативный ввод'!B951)</f>
        <v/>
      </c>
      <c r="C951" s="270">
        <f>IF('Оперативный ввод'!C951="","",'Оперативный ввод'!C951)</f>
        <v/>
      </c>
      <c r="D951" s="270">
        <f>IF('Оперативный ввод'!D951="","",'Оперативный ввод'!D951)</f>
        <v/>
      </c>
      <c r="E951" s="271">
        <f>IF(OR(C951="",D951=""),"",D951-C951)</f>
        <v/>
      </c>
      <c r="F951" s="172">
        <f>IF('Оперативный ввод'!F951="","",'Оперативный ввод'!F951)</f>
        <v/>
      </c>
      <c r="G951" s="172">
        <f>IF('Оперативный ввод'!G951="","",'Оперативный ввод'!G951)</f>
        <v/>
      </c>
      <c r="H951" s="172">
        <f>IF('Оперативный ввод'!H951="","",'Оперативный ввод'!H951)</f>
        <v/>
      </c>
      <c r="I951" s="172">
        <f>IF('Оперативный ввод'!I951="","",'Оперативный ввод'!I951)</f>
        <v/>
      </c>
      <c r="J951" s="172">
        <f>IF('Оперативный ввод'!J951="","",'Оперативный ввод'!J951)</f>
        <v/>
      </c>
      <c r="K951" s="172">
        <f>IF('Оперативный ввод'!K951="","",'Оперативный ввод'!K951)</f>
        <v/>
      </c>
      <c r="L951" s="172">
        <f>IF('Оперативный ввод'!L951="","",'Оперативный ввод'!L951)</f>
        <v/>
      </c>
      <c r="M951" s="172">
        <f>IF('Оперативный ввод'!M951="","",'Оперативный ввод'!M951)</f>
        <v/>
      </c>
      <c r="N951" s="172">
        <f>IF('Оперативный ввод'!N951="","",'Оперативный ввод'!N951)</f>
        <v/>
      </c>
      <c r="O951" s="172">
        <f>IF('Оперативный ввод'!O951="","",'Оперативный ввод'!O951)</f>
        <v/>
      </c>
      <c r="P951" s="205">
        <f>IF(AND(A951="",B951=""),"",IF(AND(A951&lt;&gt;"",B951&lt;&gt;"",C951&lt;&gt;"",D951&lt;&gt;"",F951&lt;&gt;"",G951&lt;&gt;"",H951&lt;&gt;"",ISERROR(SEARCH("по паспорту",G951)),ISERROR(SEARCH("по паспорту",H951)),I951&lt;&gt;"",J951&lt;&gt;"",K951&lt;&gt;"",L951&lt;&gt;"",M951&lt;&gt;""),"ГОТОВО","НЕ ГОТОВО"))</f>
        <v/>
      </c>
      <c r="Q951" s="205">
        <f>IF(P951&lt;&gt;"ГОТОВО","", "Предварительное заключение: "&amp;A951&amp;", скв. "&amp;B951&amp;". МРП: "&amp;E951&amp;" сут. ГНО: "&amp;F951&amp;", типоразмер "&amp;G951&amp;", марка "&amp;H951&amp;". Событие: "&amp;I951&amp;". Признак: "&amp;J951&amp;". Узел: "&amp;K951&amp;". Предварительная причина: "&amp;L951&amp;". Основное осложнение: "&amp;M951&amp;IF(N951&lt;&gt;"","; сопутствующее: "&amp;N951,"")&amp;IF(O951&lt;&gt;"","; дополнительно: "&amp;O951,"")&amp;".")</f>
        <v/>
      </c>
      <c r="R951" s="172">
        <f>IF('Оперативный ввод'!P951="","",'Оперативный ввод'!P951)</f>
        <v/>
      </c>
      <c r="S951" s="172">
        <f>IF('Оперативный ввод'!Q951="","",'Оперативный ввод'!Q951)</f>
        <v/>
      </c>
      <c r="T951" s="172">
        <f>IF('Оперативный ввод'!R951="","",'Оперативный ввод'!R951)</f>
        <v/>
      </c>
      <c r="U951" s="172">
        <f>IF('Оперативный ввод'!S951="","",'Оперативный ввод'!S951)</f>
        <v/>
      </c>
      <c r="V951" s="172">
        <f>IF('Оперативный ввод'!T951="","",'Оперативный ввод'!T951)</f>
        <v/>
      </c>
      <c r="W951" s="172" t="n"/>
      <c r="X951" s="172" t="n"/>
      <c r="Y951" s="172" t="n"/>
      <c r="Z951" s="172" t="n"/>
      <c r="AA951" s="172">
        <f>IF('Оперативный ввод'!U951="","",'Оперативный ввод'!U951)</f>
        <v/>
      </c>
      <c r="AB951" s="172">
        <f>IF('Оперативный ввод'!V951="","",'Оперативный ввод'!V951)</f>
        <v/>
      </c>
      <c r="AC951" s="172">
        <f>IF('Оперативный ввод'!W951="","",'Оперативный ввод'!W951)</f>
        <v/>
      </c>
      <c r="BB951" s="172" t="n"/>
      <c r="BC951" s="172" t="n"/>
      <c r="BD951" s="205">
        <f>IF(AND(A951="",B951=""),"",IF(AND(P951="ГОТОВО",R951&lt;&gt;"",T951&lt;&gt;"",U951&lt;&gt;"",AA951&lt;&gt;"",AB951&lt;&gt;"",AC951&lt;&gt;"",BB951&lt;&gt;"",BC951&lt;&gt;""),"ГОТОВО","НЕ ГОТОВО"))</f>
        <v/>
      </c>
      <c r="BE951" s="205">
        <f>IF(BD951&lt;&gt;"ГОТОВО","","Полное заключение: "&amp;A951&amp;", скв. "&amp;B951&amp;". МРП: "&amp;E951&amp;" сут. ГНО: "&amp;F951&amp;"; причина: "&amp;U951&amp;"; категория: "&amp;V951&amp;"; решение комиссии: "&amp;BB951&amp;".")</f>
        <v/>
      </c>
      <c r="BF951" s="173">
        <f>IF('Оперативный ввод'!X951="","",'Оперативный ввод'!X951)</f>
        <v/>
      </c>
    </row>
    <row r="952">
      <c r="A952" s="171">
        <f>IF('Оперативный ввод'!A952="","",'Оперативный ввод'!A952)</f>
        <v/>
      </c>
      <c r="B952" s="172">
        <f>IF('Оперативный ввод'!B952="","",'Оперативный ввод'!B952)</f>
        <v/>
      </c>
      <c r="C952" s="270">
        <f>IF('Оперативный ввод'!C952="","",'Оперативный ввод'!C952)</f>
        <v/>
      </c>
      <c r="D952" s="270">
        <f>IF('Оперативный ввод'!D952="","",'Оперативный ввод'!D952)</f>
        <v/>
      </c>
      <c r="E952" s="271">
        <f>IF(OR(C952="",D952=""),"",D952-C952)</f>
        <v/>
      </c>
      <c r="F952" s="172">
        <f>IF('Оперативный ввод'!F952="","",'Оперативный ввод'!F952)</f>
        <v/>
      </c>
      <c r="G952" s="172">
        <f>IF('Оперативный ввод'!G952="","",'Оперативный ввод'!G952)</f>
        <v/>
      </c>
      <c r="H952" s="172">
        <f>IF('Оперативный ввод'!H952="","",'Оперативный ввод'!H952)</f>
        <v/>
      </c>
      <c r="I952" s="172">
        <f>IF('Оперативный ввод'!I952="","",'Оперативный ввод'!I952)</f>
        <v/>
      </c>
      <c r="J952" s="172">
        <f>IF('Оперативный ввод'!J952="","",'Оперативный ввод'!J952)</f>
        <v/>
      </c>
      <c r="K952" s="172">
        <f>IF('Оперативный ввод'!K952="","",'Оперативный ввод'!K952)</f>
        <v/>
      </c>
      <c r="L952" s="172">
        <f>IF('Оперативный ввод'!L952="","",'Оперативный ввод'!L952)</f>
        <v/>
      </c>
      <c r="M952" s="172">
        <f>IF('Оперативный ввод'!M952="","",'Оперативный ввод'!M952)</f>
        <v/>
      </c>
      <c r="N952" s="172">
        <f>IF('Оперативный ввод'!N952="","",'Оперативный ввод'!N952)</f>
        <v/>
      </c>
      <c r="O952" s="172">
        <f>IF('Оперативный ввод'!O952="","",'Оперативный ввод'!O952)</f>
        <v/>
      </c>
      <c r="P952" s="205">
        <f>IF(AND(A952="",B952=""),"",IF(AND(A952&lt;&gt;"",B952&lt;&gt;"",C952&lt;&gt;"",D952&lt;&gt;"",F952&lt;&gt;"",G952&lt;&gt;"",H952&lt;&gt;"",ISERROR(SEARCH("по паспорту",G952)),ISERROR(SEARCH("по паспорту",H952)),I952&lt;&gt;"",J952&lt;&gt;"",K952&lt;&gt;"",L952&lt;&gt;"",M952&lt;&gt;""),"ГОТОВО","НЕ ГОТОВО"))</f>
        <v/>
      </c>
      <c r="Q952" s="205">
        <f>IF(P952&lt;&gt;"ГОТОВО","", "Предварительное заключение: "&amp;A952&amp;", скв. "&amp;B952&amp;". МРП: "&amp;E952&amp;" сут. ГНО: "&amp;F952&amp;", типоразмер "&amp;G952&amp;", марка "&amp;H952&amp;". Событие: "&amp;I952&amp;". Признак: "&amp;J952&amp;". Узел: "&amp;K952&amp;". Предварительная причина: "&amp;L952&amp;". Основное осложнение: "&amp;M952&amp;IF(N952&lt;&gt;"","; сопутствующее: "&amp;N952,"")&amp;IF(O952&lt;&gt;"","; дополнительно: "&amp;O952,"")&amp;".")</f>
        <v/>
      </c>
      <c r="R952" s="172">
        <f>IF('Оперативный ввод'!P952="","",'Оперативный ввод'!P952)</f>
        <v/>
      </c>
      <c r="S952" s="172">
        <f>IF('Оперативный ввод'!Q952="","",'Оперативный ввод'!Q952)</f>
        <v/>
      </c>
      <c r="T952" s="172">
        <f>IF('Оперативный ввод'!R952="","",'Оперативный ввод'!R952)</f>
        <v/>
      </c>
      <c r="U952" s="172">
        <f>IF('Оперативный ввод'!S952="","",'Оперативный ввод'!S952)</f>
        <v/>
      </c>
      <c r="V952" s="172">
        <f>IF('Оперативный ввод'!T952="","",'Оперативный ввод'!T952)</f>
        <v/>
      </c>
      <c r="W952" s="172" t="n"/>
      <c r="X952" s="172" t="n"/>
      <c r="Y952" s="172" t="n"/>
      <c r="Z952" s="172" t="n"/>
      <c r="AA952" s="172">
        <f>IF('Оперативный ввод'!U952="","",'Оперативный ввод'!U952)</f>
        <v/>
      </c>
      <c r="AB952" s="172">
        <f>IF('Оперативный ввод'!V952="","",'Оперативный ввод'!V952)</f>
        <v/>
      </c>
      <c r="AC952" s="172">
        <f>IF('Оперативный ввод'!W952="","",'Оперативный ввод'!W952)</f>
        <v/>
      </c>
      <c r="BB952" s="172" t="n"/>
      <c r="BC952" s="172" t="n"/>
      <c r="BD952" s="205">
        <f>IF(AND(A952="",B952=""),"",IF(AND(P952="ГОТОВО",R952&lt;&gt;"",T952&lt;&gt;"",U952&lt;&gt;"",AA952&lt;&gt;"",AB952&lt;&gt;"",AC952&lt;&gt;"",BB952&lt;&gt;"",BC952&lt;&gt;""),"ГОТОВО","НЕ ГОТОВО"))</f>
        <v/>
      </c>
      <c r="BE952" s="205">
        <f>IF(BD952&lt;&gt;"ГОТОВО","","Полное заключение: "&amp;A952&amp;", скв. "&amp;B952&amp;". МРП: "&amp;E952&amp;" сут. ГНО: "&amp;F952&amp;"; причина: "&amp;U952&amp;"; категория: "&amp;V952&amp;"; решение комиссии: "&amp;BB952&amp;".")</f>
        <v/>
      </c>
      <c r="BF952" s="173">
        <f>IF('Оперативный ввод'!X952="","",'Оперативный ввод'!X952)</f>
        <v/>
      </c>
    </row>
    <row r="953">
      <c r="A953" s="171">
        <f>IF('Оперативный ввод'!A953="","",'Оперативный ввод'!A953)</f>
        <v/>
      </c>
      <c r="B953" s="172">
        <f>IF('Оперативный ввод'!B953="","",'Оперативный ввод'!B953)</f>
        <v/>
      </c>
      <c r="C953" s="270">
        <f>IF('Оперативный ввод'!C953="","",'Оперативный ввод'!C953)</f>
        <v/>
      </c>
      <c r="D953" s="270">
        <f>IF('Оперативный ввод'!D953="","",'Оперативный ввод'!D953)</f>
        <v/>
      </c>
      <c r="E953" s="271">
        <f>IF(OR(C953="",D953=""),"",D953-C953)</f>
        <v/>
      </c>
      <c r="F953" s="172">
        <f>IF('Оперативный ввод'!F953="","",'Оперативный ввод'!F953)</f>
        <v/>
      </c>
      <c r="G953" s="172">
        <f>IF('Оперативный ввод'!G953="","",'Оперативный ввод'!G953)</f>
        <v/>
      </c>
      <c r="H953" s="172">
        <f>IF('Оперативный ввод'!H953="","",'Оперативный ввод'!H953)</f>
        <v/>
      </c>
      <c r="I953" s="172">
        <f>IF('Оперативный ввод'!I953="","",'Оперативный ввод'!I953)</f>
        <v/>
      </c>
      <c r="J953" s="172">
        <f>IF('Оперативный ввод'!J953="","",'Оперативный ввод'!J953)</f>
        <v/>
      </c>
      <c r="K953" s="172">
        <f>IF('Оперативный ввод'!K953="","",'Оперативный ввод'!K953)</f>
        <v/>
      </c>
      <c r="L953" s="172">
        <f>IF('Оперативный ввод'!L953="","",'Оперативный ввод'!L953)</f>
        <v/>
      </c>
      <c r="M953" s="172">
        <f>IF('Оперативный ввод'!M953="","",'Оперативный ввод'!M953)</f>
        <v/>
      </c>
      <c r="N953" s="172">
        <f>IF('Оперативный ввод'!N953="","",'Оперативный ввод'!N953)</f>
        <v/>
      </c>
      <c r="O953" s="172">
        <f>IF('Оперативный ввод'!O953="","",'Оперативный ввод'!O953)</f>
        <v/>
      </c>
      <c r="P953" s="205">
        <f>IF(AND(A953="",B953=""),"",IF(AND(A953&lt;&gt;"",B953&lt;&gt;"",C953&lt;&gt;"",D953&lt;&gt;"",F953&lt;&gt;"",G953&lt;&gt;"",H953&lt;&gt;"",ISERROR(SEARCH("по паспорту",G953)),ISERROR(SEARCH("по паспорту",H953)),I953&lt;&gt;"",J953&lt;&gt;"",K953&lt;&gt;"",L953&lt;&gt;"",M953&lt;&gt;""),"ГОТОВО","НЕ ГОТОВО"))</f>
        <v/>
      </c>
      <c r="Q953" s="205">
        <f>IF(P953&lt;&gt;"ГОТОВО","", "Предварительное заключение: "&amp;A953&amp;", скв. "&amp;B953&amp;". МРП: "&amp;E953&amp;" сут. ГНО: "&amp;F953&amp;", типоразмер "&amp;G953&amp;", марка "&amp;H953&amp;". Событие: "&amp;I953&amp;". Признак: "&amp;J953&amp;". Узел: "&amp;K953&amp;". Предварительная причина: "&amp;L953&amp;". Основное осложнение: "&amp;M953&amp;IF(N953&lt;&gt;"","; сопутствующее: "&amp;N953,"")&amp;IF(O953&lt;&gt;"","; дополнительно: "&amp;O953,"")&amp;".")</f>
        <v/>
      </c>
      <c r="R953" s="172">
        <f>IF('Оперативный ввод'!P953="","",'Оперативный ввод'!P953)</f>
        <v/>
      </c>
      <c r="S953" s="172">
        <f>IF('Оперативный ввод'!Q953="","",'Оперативный ввод'!Q953)</f>
        <v/>
      </c>
      <c r="T953" s="172">
        <f>IF('Оперативный ввод'!R953="","",'Оперативный ввод'!R953)</f>
        <v/>
      </c>
      <c r="U953" s="172">
        <f>IF('Оперативный ввод'!S953="","",'Оперативный ввод'!S953)</f>
        <v/>
      </c>
      <c r="V953" s="172">
        <f>IF('Оперативный ввод'!T953="","",'Оперативный ввод'!T953)</f>
        <v/>
      </c>
      <c r="W953" s="172" t="n"/>
      <c r="X953" s="172" t="n"/>
      <c r="Y953" s="172" t="n"/>
      <c r="Z953" s="172" t="n"/>
      <c r="AA953" s="172">
        <f>IF('Оперативный ввод'!U953="","",'Оперативный ввод'!U953)</f>
        <v/>
      </c>
      <c r="AB953" s="172">
        <f>IF('Оперативный ввод'!V953="","",'Оперативный ввод'!V953)</f>
        <v/>
      </c>
      <c r="AC953" s="172">
        <f>IF('Оперативный ввод'!W953="","",'Оперативный ввод'!W953)</f>
        <v/>
      </c>
      <c r="BB953" s="172" t="n"/>
      <c r="BC953" s="172" t="n"/>
      <c r="BD953" s="205">
        <f>IF(AND(A953="",B953=""),"",IF(AND(P953="ГОТОВО",R953&lt;&gt;"",T953&lt;&gt;"",U953&lt;&gt;"",AA953&lt;&gt;"",AB953&lt;&gt;"",AC953&lt;&gt;"",BB953&lt;&gt;"",BC953&lt;&gt;""),"ГОТОВО","НЕ ГОТОВО"))</f>
        <v/>
      </c>
      <c r="BE953" s="205">
        <f>IF(BD953&lt;&gt;"ГОТОВО","","Полное заключение: "&amp;A953&amp;", скв. "&amp;B953&amp;". МРП: "&amp;E953&amp;" сут. ГНО: "&amp;F953&amp;"; причина: "&amp;U953&amp;"; категория: "&amp;V953&amp;"; решение комиссии: "&amp;BB953&amp;".")</f>
        <v/>
      </c>
      <c r="BF953" s="173">
        <f>IF('Оперативный ввод'!X953="","",'Оперативный ввод'!X953)</f>
        <v/>
      </c>
    </row>
    <row r="954">
      <c r="A954" s="171">
        <f>IF('Оперативный ввод'!A954="","",'Оперативный ввод'!A954)</f>
        <v/>
      </c>
      <c r="B954" s="172">
        <f>IF('Оперативный ввод'!B954="","",'Оперативный ввод'!B954)</f>
        <v/>
      </c>
      <c r="C954" s="270">
        <f>IF('Оперативный ввод'!C954="","",'Оперативный ввод'!C954)</f>
        <v/>
      </c>
      <c r="D954" s="270">
        <f>IF('Оперативный ввод'!D954="","",'Оперативный ввод'!D954)</f>
        <v/>
      </c>
      <c r="E954" s="271">
        <f>IF(OR(C954="",D954=""),"",D954-C954)</f>
        <v/>
      </c>
      <c r="F954" s="172">
        <f>IF('Оперативный ввод'!F954="","",'Оперативный ввод'!F954)</f>
        <v/>
      </c>
      <c r="G954" s="172">
        <f>IF('Оперативный ввод'!G954="","",'Оперативный ввод'!G954)</f>
        <v/>
      </c>
      <c r="H954" s="172">
        <f>IF('Оперативный ввод'!H954="","",'Оперативный ввод'!H954)</f>
        <v/>
      </c>
      <c r="I954" s="172">
        <f>IF('Оперативный ввод'!I954="","",'Оперативный ввод'!I954)</f>
        <v/>
      </c>
      <c r="J954" s="172">
        <f>IF('Оперативный ввод'!J954="","",'Оперативный ввод'!J954)</f>
        <v/>
      </c>
      <c r="K954" s="172">
        <f>IF('Оперативный ввод'!K954="","",'Оперативный ввод'!K954)</f>
        <v/>
      </c>
      <c r="L954" s="172">
        <f>IF('Оперативный ввод'!L954="","",'Оперативный ввод'!L954)</f>
        <v/>
      </c>
      <c r="M954" s="172">
        <f>IF('Оперативный ввод'!M954="","",'Оперативный ввод'!M954)</f>
        <v/>
      </c>
      <c r="N954" s="172">
        <f>IF('Оперативный ввод'!N954="","",'Оперативный ввод'!N954)</f>
        <v/>
      </c>
      <c r="O954" s="172">
        <f>IF('Оперативный ввод'!O954="","",'Оперативный ввод'!O954)</f>
        <v/>
      </c>
      <c r="P954" s="205">
        <f>IF(AND(A954="",B954=""),"",IF(AND(A954&lt;&gt;"",B954&lt;&gt;"",C954&lt;&gt;"",D954&lt;&gt;"",F954&lt;&gt;"",G954&lt;&gt;"",H954&lt;&gt;"",ISERROR(SEARCH("по паспорту",G954)),ISERROR(SEARCH("по паспорту",H954)),I954&lt;&gt;"",J954&lt;&gt;"",K954&lt;&gt;"",L954&lt;&gt;"",M954&lt;&gt;""),"ГОТОВО","НЕ ГОТОВО"))</f>
        <v/>
      </c>
      <c r="Q954" s="205">
        <f>IF(P954&lt;&gt;"ГОТОВО","", "Предварительное заключение: "&amp;A954&amp;", скв. "&amp;B954&amp;". МРП: "&amp;E954&amp;" сут. ГНО: "&amp;F954&amp;", типоразмер "&amp;G954&amp;", марка "&amp;H954&amp;". Событие: "&amp;I954&amp;". Признак: "&amp;J954&amp;". Узел: "&amp;K954&amp;". Предварительная причина: "&amp;L954&amp;". Основное осложнение: "&amp;M954&amp;IF(N954&lt;&gt;"","; сопутствующее: "&amp;N954,"")&amp;IF(O954&lt;&gt;"","; дополнительно: "&amp;O954,"")&amp;".")</f>
        <v/>
      </c>
      <c r="R954" s="172">
        <f>IF('Оперативный ввод'!P954="","",'Оперативный ввод'!P954)</f>
        <v/>
      </c>
      <c r="S954" s="172">
        <f>IF('Оперативный ввод'!Q954="","",'Оперативный ввод'!Q954)</f>
        <v/>
      </c>
      <c r="T954" s="172">
        <f>IF('Оперативный ввод'!R954="","",'Оперативный ввод'!R954)</f>
        <v/>
      </c>
      <c r="U954" s="172">
        <f>IF('Оперативный ввод'!S954="","",'Оперативный ввод'!S954)</f>
        <v/>
      </c>
      <c r="V954" s="172">
        <f>IF('Оперативный ввод'!T954="","",'Оперативный ввод'!T954)</f>
        <v/>
      </c>
      <c r="W954" s="172" t="n"/>
      <c r="X954" s="172" t="n"/>
      <c r="Y954" s="172" t="n"/>
      <c r="Z954" s="172" t="n"/>
      <c r="AA954" s="172">
        <f>IF('Оперативный ввод'!U954="","",'Оперативный ввод'!U954)</f>
        <v/>
      </c>
      <c r="AB954" s="172">
        <f>IF('Оперативный ввод'!V954="","",'Оперативный ввод'!V954)</f>
        <v/>
      </c>
      <c r="AC954" s="172">
        <f>IF('Оперативный ввод'!W954="","",'Оперативный ввод'!W954)</f>
        <v/>
      </c>
      <c r="BB954" s="172" t="n"/>
      <c r="BC954" s="172" t="n"/>
      <c r="BD954" s="205">
        <f>IF(AND(A954="",B954=""),"",IF(AND(P954="ГОТОВО",R954&lt;&gt;"",T954&lt;&gt;"",U954&lt;&gt;"",AA954&lt;&gt;"",AB954&lt;&gt;"",AC954&lt;&gt;"",BB954&lt;&gt;"",BC954&lt;&gt;""),"ГОТОВО","НЕ ГОТОВО"))</f>
        <v/>
      </c>
      <c r="BE954" s="205">
        <f>IF(BD954&lt;&gt;"ГОТОВО","","Полное заключение: "&amp;A954&amp;", скв. "&amp;B954&amp;". МРП: "&amp;E954&amp;" сут. ГНО: "&amp;F954&amp;"; причина: "&amp;U954&amp;"; категория: "&amp;V954&amp;"; решение комиссии: "&amp;BB954&amp;".")</f>
        <v/>
      </c>
      <c r="BF954" s="173">
        <f>IF('Оперативный ввод'!X954="","",'Оперативный ввод'!X954)</f>
        <v/>
      </c>
    </row>
    <row r="955">
      <c r="A955" s="171">
        <f>IF('Оперативный ввод'!A955="","",'Оперативный ввод'!A955)</f>
        <v/>
      </c>
      <c r="B955" s="172">
        <f>IF('Оперативный ввод'!B955="","",'Оперативный ввод'!B955)</f>
        <v/>
      </c>
      <c r="C955" s="270">
        <f>IF('Оперативный ввод'!C955="","",'Оперативный ввод'!C955)</f>
        <v/>
      </c>
      <c r="D955" s="270">
        <f>IF('Оперативный ввод'!D955="","",'Оперативный ввод'!D955)</f>
        <v/>
      </c>
      <c r="E955" s="271">
        <f>IF(OR(C955="",D955=""),"",D955-C955)</f>
        <v/>
      </c>
      <c r="F955" s="172">
        <f>IF('Оперативный ввод'!F955="","",'Оперативный ввод'!F955)</f>
        <v/>
      </c>
      <c r="G955" s="172">
        <f>IF('Оперативный ввод'!G955="","",'Оперативный ввод'!G955)</f>
        <v/>
      </c>
      <c r="H955" s="172">
        <f>IF('Оперативный ввод'!H955="","",'Оперативный ввод'!H955)</f>
        <v/>
      </c>
      <c r="I955" s="172">
        <f>IF('Оперативный ввод'!I955="","",'Оперативный ввод'!I955)</f>
        <v/>
      </c>
      <c r="J955" s="172">
        <f>IF('Оперативный ввод'!J955="","",'Оперативный ввод'!J955)</f>
        <v/>
      </c>
      <c r="K955" s="172">
        <f>IF('Оперативный ввод'!K955="","",'Оперативный ввод'!K955)</f>
        <v/>
      </c>
      <c r="L955" s="172">
        <f>IF('Оперативный ввод'!L955="","",'Оперативный ввод'!L955)</f>
        <v/>
      </c>
      <c r="M955" s="172">
        <f>IF('Оперативный ввод'!M955="","",'Оперативный ввод'!M955)</f>
        <v/>
      </c>
      <c r="N955" s="172">
        <f>IF('Оперативный ввод'!N955="","",'Оперативный ввод'!N955)</f>
        <v/>
      </c>
      <c r="O955" s="172">
        <f>IF('Оперативный ввод'!O955="","",'Оперативный ввод'!O955)</f>
        <v/>
      </c>
      <c r="P955" s="205">
        <f>IF(AND(A955="",B955=""),"",IF(AND(A955&lt;&gt;"",B955&lt;&gt;"",C955&lt;&gt;"",D955&lt;&gt;"",F955&lt;&gt;"",G955&lt;&gt;"",H955&lt;&gt;"",ISERROR(SEARCH("по паспорту",G955)),ISERROR(SEARCH("по паспорту",H955)),I955&lt;&gt;"",J955&lt;&gt;"",K955&lt;&gt;"",L955&lt;&gt;"",M955&lt;&gt;""),"ГОТОВО","НЕ ГОТОВО"))</f>
        <v/>
      </c>
      <c r="Q955" s="205">
        <f>IF(P955&lt;&gt;"ГОТОВО","", "Предварительное заключение: "&amp;A955&amp;", скв. "&amp;B955&amp;". МРП: "&amp;E955&amp;" сут. ГНО: "&amp;F955&amp;", типоразмер "&amp;G955&amp;", марка "&amp;H955&amp;". Событие: "&amp;I955&amp;". Признак: "&amp;J955&amp;". Узел: "&amp;K955&amp;". Предварительная причина: "&amp;L955&amp;". Основное осложнение: "&amp;M955&amp;IF(N955&lt;&gt;"","; сопутствующее: "&amp;N955,"")&amp;IF(O955&lt;&gt;"","; дополнительно: "&amp;O955,"")&amp;".")</f>
        <v/>
      </c>
      <c r="R955" s="172">
        <f>IF('Оперативный ввод'!P955="","",'Оперативный ввод'!P955)</f>
        <v/>
      </c>
      <c r="S955" s="172">
        <f>IF('Оперативный ввод'!Q955="","",'Оперативный ввод'!Q955)</f>
        <v/>
      </c>
      <c r="T955" s="172">
        <f>IF('Оперативный ввод'!R955="","",'Оперативный ввод'!R955)</f>
        <v/>
      </c>
      <c r="U955" s="172">
        <f>IF('Оперативный ввод'!S955="","",'Оперативный ввод'!S955)</f>
        <v/>
      </c>
      <c r="V955" s="172">
        <f>IF('Оперативный ввод'!T955="","",'Оперативный ввод'!T955)</f>
        <v/>
      </c>
      <c r="W955" s="172" t="n"/>
      <c r="X955" s="172" t="n"/>
      <c r="Y955" s="172" t="n"/>
      <c r="Z955" s="172" t="n"/>
      <c r="AA955" s="172">
        <f>IF('Оперативный ввод'!U955="","",'Оперативный ввод'!U955)</f>
        <v/>
      </c>
      <c r="AB955" s="172">
        <f>IF('Оперативный ввод'!V955="","",'Оперативный ввод'!V955)</f>
        <v/>
      </c>
      <c r="AC955" s="172">
        <f>IF('Оперативный ввод'!W955="","",'Оперативный ввод'!W955)</f>
        <v/>
      </c>
      <c r="BB955" s="172" t="n"/>
      <c r="BC955" s="172" t="n"/>
      <c r="BD955" s="205">
        <f>IF(AND(A955="",B955=""),"",IF(AND(P955="ГОТОВО",R955&lt;&gt;"",T955&lt;&gt;"",U955&lt;&gt;"",AA955&lt;&gt;"",AB955&lt;&gt;"",AC955&lt;&gt;"",BB955&lt;&gt;"",BC955&lt;&gt;""),"ГОТОВО","НЕ ГОТОВО"))</f>
        <v/>
      </c>
      <c r="BE955" s="205">
        <f>IF(BD955&lt;&gt;"ГОТОВО","","Полное заключение: "&amp;A955&amp;", скв. "&amp;B955&amp;". МРП: "&amp;E955&amp;" сут. ГНО: "&amp;F955&amp;"; причина: "&amp;U955&amp;"; категория: "&amp;V955&amp;"; решение комиссии: "&amp;BB955&amp;".")</f>
        <v/>
      </c>
      <c r="BF955" s="173">
        <f>IF('Оперативный ввод'!X955="","",'Оперативный ввод'!X955)</f>
        <v/>
      </c>
    </row>
    <row r="956">
      <c r="A956" s="171">
        <f>IF('Оперативный ввод'!A956="","",'Оперативный ввод'!A956)</f>
        <v/>
      </c>
      <c r="B956" s="172">
        <f>IF('Оперативный ввод'!B956="","",'Оперативный ввод'!B956)</f>
        <v/>
      </c>
      <c r="C956" s="270">
        <f>IF('Оперативный ввод'!C956="","",'Оперативный ввод'!C956)</f>
        <v/>
      </c>
      <c r="D956" s="270">
        <f>IF('Оперативный ввод'!D956="","",'Оперативный ввод'!D956)</f>
        <v/>
      </c>
      <c r="E956" s="271">
        <f>IF(OR(C956="",D956=""),"",D956-C956)</f>
        <v/>
      </c>
      <c r="F956" s="172">
        <f>IF('Оперативный ввод'!F956="","",'Оперативный ввод'!F956)</f>
        <v/>
      </c>
      <c r="G956" s="172">
        <f>IF('Оперативный ввод'!G956="","",'Оперативный ввод'!G956)</f>
        <v/>
      </c>
      <c r="H956" s="172">
        <f>IF('Оперативный ввод'!H956="","",'Оперативный ввод'!H956)</f>
        <v/>
      </c>
      <c r="I956" s="172">
        <f>IF('Оперативный ввод'!I956="","",'Оперативный ввод'!I956)</f>
        <v/>
      </c>
      <c r="J956" s="172">
        <f>IF('Оперативный ввод'!J956="","",'Оперативный ввод'!J956)</f>
        <v/>
      </c>
      <c r="K956" s="172">
        <f>IF('Оперативный ввод'!K956="","",'Оперативный ввод'!K956)</f>
        <v/>
      </c>
      <c r="L956" s="172">
        <f>IF('Оперативный ввод'!L956="","",'Оперативный ввод'!L956)</f>
        <v/>
      </c>
      <c r="M956" s="172">
        <f>IF('Оперативный ввод'!M956="","",'Оперативный ввод'!M956)</f>
        <v/>
      </c>
      <c r="N956" s="172">
        <f>IF('Оперативный ввод'!N956="","",'Оперативный ввод'!N956)</f>
        <v/>
      </c>
      <c r="O956" s="172">
        <f>IF('Оперативный ввод'!O956="","",'Оперативный ввод'!O956)</f>
        <v/>
      </c>
      <c r="P956" s="205">
        <f>IF(AND(A956="",B956=""),"",IF(AND(A956&lt;&gt;"",B956&lt;&gt;"",C956&lt;&gt;"",D956&lt;&gt;"",F956&lt;&gt;"",G956&lt;&gt;"",H956&lt;&gt;"",ISERROR(SEARCH("по паспорту",G956)),ISERROR(SEARCH("по паспорту",H956)),I956&lt;&gt;"",J956&lt;&gt;"",K956&lt;&gt;"",L956&lt;&gt;"",M956&lt;&gt;""),"ГОТОВО","НЕ ГОТОВО"))</f>
        <v/>
      </c>
      <c r="Q956" s="205">
        <f>IF(P956&lt;&gt;"ГОТОВО","", "Предварительное заключение: "&amp;A956&amp;", скв. "&amp;B956&amp;". МРП: "&amp;E956&amp;" сут. ГНО: "&amp;F956&amp;", типоразмер "&amp;G956&amp;", марка "&amp;H956&amp;". Событие: "&amp;I956&amp;". Признак: "&amp;J956&amp;". Узел: "&amp;K956&amp;". Предварительная причина: "&amp;L956&amp;". Основное осложнение: "&amp;M956&amp;IF(N956&lt;&gt;"","; сопутствующее: "&amp;N956,"")&amp;IF(O956&lt;&gt;"","; дополнительно: "&amp;O956,"")&amp;".")</f>
        <v/>
      </c>
      <c r="R956" s="172">
        <f>IF('Оперативный ввод'!P956="","",'Оперативный ввод'!P956)</f>
        <v/>
      </c>
      <c r="S956" s="172">
        <f>IF('Оперативный ввод'!Q956="","",'Оперативный ввод'!Q956)</f>
        <v/>
      </c>
      <c r="T956" s="172">
        <f>IF('Оперативный ввод'!R956="","",'Оперативный ввод'!R956)</f>
        <v/>
      </c>
      <c r="U956" s="172">
        <f>IF('Оперативный ввод'!S956="","",'Оперативный ввод'!S956)</f>
        <v/>
      </c>
      <c r="V956" s="172">
        <f>IF('Оперативный ввод'!T956="","",'Оперативный ввод'!T956)</f>
        <v/>
      </c>
      <c r="W956" s="172" t="n"/>
      <c r="X956" s="172" t="n"/>
      <c r="Y956" s="172" t="n"/>
      <c r="Z956" s="172" t="n"/>
      <c r="AA956" s="172">
        <f>IF('Оперативный ввод'!U956="","",'Оперативный ввод'!U956)</f>
        <v/>
      </c>
      <c r="AB956" s="172">
        <f>IF('Оперативный ввод'!V956="","",'Оперативный ввод'!V956)</f>
        <v/>
      </c>
      <c r="AC956" s="172">
        <f>IF('Оперативный ввод'!W956="","",'Оперативный ввод'!W956)</f>
        <v/>
      </c>
      <c r="BB956" s="172" t="n"/>
      <c r="BC956" s="172" t="n"/>
      <c r="BD956" s="205">
        <f>IF(AND(A956="",B956=""),"",IF(AND(P956="ГОТОВО",R956&lt;&gt;"",T956&lt;&gt;"",U956&lt;&gt;"",AA956&lt;&gt;"",AB956&lt;&gt;"",AC956&lt;&gt;"",BB956&lt;&gt;"",BC956&lt;&gt;""),"ГОТОВО","НЕ ГОТОВО"))</f>
        <v/>
      </c>
      <c r="BE956" s="205">
        <f>IF(BD956&lt;&gt;"ГОТОВО","","Полное заключение: "&amp;A956&amp;", скв. "&amp;B956&amp;". МРП: "&amp;E956&amp;" сут. ГНО: "&amp;F956&amp;"; причина: "&amp;U956&amp;"; категория: "&amp;V956&amp;"; решение комиссии: "&amp;BB956&amp;".")</f>
        <v/>
      </c>
      <c r="BF956" s="173">
        <f>IF('Оперативный ввод'!X956="","",'Оперативный ввод'!X956)</f>
        <v/>
      </c>
    </row>
    <row r="957">
      <c r="A957" s="171">
        <f>IF('Оперативный ввод'!A957="","",'Оперативный ввод'!A957)</f>
        <v/>
      </c>
      <c r="B957" s="172">
        <f>IF('Оперативный ввод'!B957="","",'Оперативный ввод'!B957)</f>
        <v/>
      </c>
      <c r="C957" s="270">
        <f>IF('Оперативный ввод'!C957="","",'Оперативный ввод'!C957)</f>
        <v/>
      </c>
      <c r="D957" s="270">
        <f>IF('Оперативный ввод'!D957="","",'Оперативный ввод'!D957)</f>
        <v/>
      </c>
      <c r="E957" s="271">
        <f>IF(OR(C957="",D957=""),"",D957-C957)</f>
        <v/>
      </c>
      <c r="F957" s="172">
        <f>IF('Оперативный ввод'!F957="","",'Оперативный ввод'!F957)</f>
        <v/>
      </c>
      <c r="G957" s="172">
        <f>IF('Оперативный ввод'!G957="","",'Оперативный ввод'!G957)</f>
        <v/>
      </c>
      <c r="H957" s="172">
        <f>IF('Оперативный ввод'!H957="","",'Оперативный ввод'!H957)</f>
        <v/>
      </c>
      <c r="I957" s="172">
        <f>IF('Оперативный ввод'!I957="","",'Оперативный ввод'!I957)</f>
        <v/>
      </c>
      <c r="J957" s="172">
        <f>IF('Оперативный ввод'!J957="","",'Оперативный ввод'!J957)</f>
        <v/>
      </c>
      <c r="K957" s="172">
        <f>IF('Оперативный ввод'!K957="","",'Оперативный ввод'!K957)</f>
        <v/>
      </c>
      <c r="L957" s="172">
        <f>IF('Оперативный ввод'!L957="","",'Оперативный ввод'!L957)</f>
        <v/>
      </c>
      <c r="M957" s="172">
        <f>IF('Оперативный ввод'!M957="","",'Оперативный ввод'!M957)</f>
        <v/>
      </c>
      <c r="N957" s="172">
        <f>IF('Оперативный ввод'!N957="","",'Оперативный ввод'!N957)</f>
        <v/>
      </c>
      <c r="O957" s="172">
        <f>IF('Оперативный ввод'!O957="","",'Оперативный ввод'!O957)</f>
        <v/>
      </c>
      <c r="P957" s="205">
        <f>IF(AND(A957="",B957=""),"",IF(AND(A957&lt;&gt;"",B957&lt;&gt;"",C957&lt;&gt;"",D957&lt;&gt;"",F957&lt;&gt;"",G957&lt;&gt;"",H957&lt;&gt;"",ISERROR(SEARCH("по паспорту",G957)),ISERROR(SEARCH("по паспорту",H957)),I957&lt;&gt;"",J957&lt;&gt;"",K957&lt;&gt;"",L957&lt;&gt;"",M957&lt;&gt;""),"ГОТОВО","НЕ ГОТОВО"))</f>
        <v/>
      </c>
      <c r="Q957" s="205">
        <f>IF(P957&lt;&gt;"ГОТОВО","", "Предварительное заключение: "&amp;A957&amp;", скв. "&amp;B957&amp;". МРП: "&amp;E957&amp;" сут. ГНО: "&amp;F957&amp;", типоразмер "&amp;G957&amp;", марка "&amp;H957&amp;". Событие: "&amp;I957&amp;". Признак: "&amp;J957&amp;". Узел: "&amp;K957&amp;". Предварительная причина: "&amp;L957&amp;". Основное осложнение: "&amp;M957&amp;IF(N957&lt;&gt;"","; сопутствующее: "&amp;N957,"")&amp;IF(O957&lt;&gt;"","; дополнительно: "&amp;O957,"")&amp;".")</f>
        <v/>
      </c>
      <c r="R957" s="172">
        <f>IF('Оперативный ввод'!P957="","",'Оперативный ввод'!P957)</f>
        <v/>
      </c>
      <c r="S957" s="172">
        <f>IF('Оперативный ввод'!Q957="","",'Оперативный ввод'!Q957)</f>
        <v/>
      </c>
      <c r="T957" s="172">
        <f>IF('Оперативный ввод'!R957="","",'Оперативный ввод'!R957)</f>
        <v/>
      </c>
      <c r="U957" s="172">
        <f>IF('Оперативный ввод'!S957="","",'Оперативный ввод'!S957)</f>
        <v/>
      </c>
      <c r="V957" s="172">
        <f>IF('Оперативный ввод'!T957="","",'Оперативный ввод'!T957)</f>
        <v/>
      </c>
      <c r="W957" s="172" t="n"/>
      <c r="X957" s="172" t="n"/>
      <c r="Y957" s="172" t="n"/>
      <c r="Z957" s="172" t="n"/>
      <c r="AA957" s="172">
        <f>IF('Оперативный ввод'!U957="","",'Оперативный ввод'!U957)</f>
        <v/>
      </c>
      <c r="AB957" s="172">
        <f>IF('Оперативный ввод'!V957="","",'Оперативный ввод'!V957)</f>
        <v/>
      </c>
      <c r="AC957" s="172">
        <f>IF('Оперативный ввод'!W957="","",'Оперативный ввод'!W957)</f>
        <v/>
      </c>
      <c r="BB957" s="172" t="n"/>
      <c r="BC957" s="172" t="n"/>
      <c r="BD957" s="205">
        <f>IF(AND(A957="",B957=""),"",IF(AND(P957="ГОТОВО",R957&lt;&gt;"",T957&lt;&gt;"",U957&lt;&gt;"",AA957&lt;&gt;"",AB957&lt;&gt;"",AC957&lt;&gt;"",BB957&lt;&gt;"",BC957&lt;&gt;""),"ГОТОВО","НЕ ГОТОВО"))</f>
        <v/>
      </c>
      <c r="BE957" s="205">
        <f>IF(BD957&lt;&gt;"ГОТОВО","","Полное заключение: "&amp;A957&amp;", скв. "&amp;B957&amp;". МРП: "&amp;E957&amp;" сут. ГНО: "&amp;F957&amp;"; причина: "&amp;U957&amp;"; категория: "&amp;V957&amp;"; решение комиссии: "&amp;BB957&amp;".")</f>
        <v/>
      </c>
      <c r="BF957" s="173">
        <f>IF('Оперативный ввод'!X957="","",'Оперативный ввод'!X957)</f>
        <v/>
      </c>
    </row>
    <row r="958">
      <c r="A958" s="171">
        <f>IF('Оперативный ввод'!A958="","",'Оперативный ввод'!A958)</f>
        <v/>
      </c>
      <c r="B958" s="172">
        <f>IF('Оперативный ввод'!B958="","",'Оперативный ввод'!B958)</f>
        <v/>
      </c>
      <c r="C958" s="270">
        <f>IF('Оперативный ввод'!C958="","",'Оперативный ввод'!C958)</f>
        <v/>
      </c>
      <c r="D958" s="270">
        <f>IF('Оперативный ввод'!D958="","",'Оперативный ввод'!D958)</f>
        <v/>
      </c>
      <c r="E958" s="271">
        <f>IF(OR(C958="",D958=""),"",D958-C958)</f>
        <v/>
      </c>
      <c r="F958" s="172">
        <f>IF('Оперативный ввод'!F958="","",'Оперативный ввод'!F958)</f>
        <v/>
      </c>
      <c r="G958" s="172">
        <f>IF('Оперативный ввод'!G958="","",'Оперативный ввод'!G958)</f>
        <v/>
      </c>
      <c r="H958" s="172">
        <f>IF('Оперативный ввод'!H958="","",'Оперативный ввод'!H958)</f>
        <v/>
      </c>
      <c r="I958" s="172">
        <f>IF('Оперативный ввод'!I958="","",'Оперативный ввод'!I958)</f>
        <v/>
      </c>
      <c r="J958" s="172">
        <f>IF('Оперативный ввод'!J958="","",'Оперативный ввод'!J958)</f>
        <v/>
      </c>
      <c r="K958" s="172">
        <f>IF('Оперативный ввод'!K958="","",'Оперативный ввод'!K958)</f>
        <v/>
      </c>
      <c r="L958" s="172">
        <f>IF('Оперативный ввод'!L958="","",'Оперативный ввод'!L958)</f>
        <v/>
      </c>
      <c r="M958" s="172">
        <f>IF('Оперативный ввод'!M958="","",'Оперативный ввод'!M958)</f>
        <v/>
      </c>
      <c r="N958" s="172">
        <f>IF('Оперативный ввод'!N958="","",'Оперативный ввод'!N958)</f>
        <v/>
      </c>
      <c r="O958" s="172">
        <f>IF('Оперативный ввод'!O958="","",'Оперативный ввод'!O958)</f>
        <v/>
      </c>
      <c r="P958" s="205">
        <f>IF(AND(A958="",B958=""),"",IF(AND(A958&lt;&gt;"",B958&lt;&gt;"",C958&lt;&gt;"",D958&lt;&gt;"",F958&lt;&gt;"",G958&lt;&gt;"",H958&lt;&gt;"",ISERROR(SEARCH("по паспорту",G958)),ISERROR(SEARCH("по паспорту",H958)),I958&lt;&gt;"",J958&lt;&gt;"",K958&lt;&gt;"",L958&lt;&gt;"",M958&lt;&gt;""),"ГОТОВО","НЕ ГОТОВО"))</f>
        <v/>
      </c>
      <c r="Q958" s="205">
        <f>IF(P958&lt;&gt;"ГОТОВО","", "Предварительное заключение: "&amp;A958&amp;", скв. "&amp;B958&amp;". МРП: "&amp;E958&amp;" сут. ГНО: "&amp;F958&amp;", типоразмер "&amp;G958&amp;", марка "&amp;H958&amp;". Событие: "&amp;I958&amp;". Признак: "&amp;J958&amp;". Узел: "&amp;K958&amp;". Предварительная причина: "&amp;L958&amp;". Основное осложнение: "&amp;M958&amp;IF(N958&lt;&gt;"","; сопутствующее: "&amp;N958,"")&amp;IF(O958&lt;&gt;"","; дополнительно: "&amp;O958,"")&amp;".")</f>
        <v/>
      </c>
      <c r="R958" s="172">
        <f>IF('Оперативный ввод'!P958="","",'Оперативный ввод'!P958)</f>
        <v/>
      </c>
      <c r="S958" s="172">
        <f>IF('Оперативный ввод'!Q958="","",'Оперативный ввод'!Q958)</f>
        <v/>
      </c>
      <c r="T958" s="172">
        <f>IF('Оперативный ввод'!R958="","",'Оперативный ввод'!R958)</f>
        <v/>
      </c>
      <c r="U958" s="172">
        <f>IF('Оперативный ввод'!S958="","",'Оперативный ввод'!S958)</f>
        <v/>
      </c>
      <c r="V958" s="172">
        <f>IF('Оперативный ввод'!T958="","",'Оперативный ввод'!T958)</f>
        <v/>
      </c>
      <c r="W958" s="172" t="n"/>
      <c r="X958" s="172" t="n"/>
      <c r="Y958" s="172" t="n"/>
      <c r="Z958" s="172" t="n"/>
      <c r="AA958" s="172">
        <f>IF('Оперативный ввод'!U958="","",'Оперативный ввод'!U958)</f>
        <v/>
      </c>
      <c r="AB958" s="172">
        <f>IF('Оперативный ввод'!V958="","",'Оперативный ввод'!V958)</f>
        <v/>
      </c>
      <c r="AC958" s="172">
        <f>IF('Оперативный ввод'!W958="","",'Оперативный ввод'!W958)</f>
        <v/>
      </c>
      <c r="BB958" s="172" t="n"/>
      <c r="BC958" s="172" t="n"/>
      <c r="BD958" s="205">
        <f>IF(AND(A958="",B958=""),"",IF(AND(P958="ГОТОВО",R958&lt;&gt;"",T958&lt;&gt;"",U958&lt;&gt;"",AA958&lt;&gt;"",AB958&lt;&gt;"",AC958&lt;&gt;"",BB958&lt;&gt;"",BC958&lt;&gt;""),"ГОТОВО","НЕ ГОТОВО"))</f>
        <v/>
      </c>
      <c r="BE958" s="205">
        <f>IF(BD958&lt;&gt;"ГОТОВО","","Полное заключение: "&amp;A958&amp;", скв. "&amp;B958&amp;". МРП: "&amp;E958&amp;" сут. ГНО: "&amp;F958&amp;"; причина: "&amp;U958&amp;"; категория: "&amp;V958&amp;"; решение комиссии: "&amp;BB958&amp;".")</f>
        <v/>
      </c>
      <c r="BF958" s="173">
        <f>IF('Оперативный ввод'!X958="","",'Оперативный ввод'!X958)</f>
        <v/>
      </c>
    </row>
    <row r="959">
      <c r="A959" s="171">
        <f>IF('Оперативный ввод'!A959="","",'Оперативный ввод'!A959)</f>
        <v/>
      </c>
      <c r="B959" s="172">
        <f>IF('Оперативный ввод'!B959="","",'Оперативный ввод'!B959)</f>
        <v/>
      </c>
      <c r="C959" s="270">
        <f>IF('Оперативный ввод'!C959="","",'Оперативный ввод'!C959)</f>
        <v/>
      </c>
      <c r="D959" s="270">
        <f>IF('Оперативный ввод'!D959="","",'Оперативный ввод'!D959)</f>
        <v/>
      </c>
      <c r="E959" s="271">
        <f>IF(OR(C959="",D959=""),"",D959-C959)</f>
        <v/>
      </c>
      <c r="F959" s="172">
        <f>IF('Оперативный ввод'!F959="","",'Оперативный ввод'!F959)</f>
        <v/>
      </c>
      <c r="G959" s="172">
        <f>IF('Оперативный ввод'!G959="","",'Оперативный ввод'!G959)</f>
        <v/>
      </c>
      <c r="H959" s="172">
        <f>IF('Оперативный ввод'!H959="","",'Оперативный ввод'!H959)</f>
        <v/>
      </c>
      <c r="I959" s="172">
        <f>IF('Оперативный ввод'!I959="","",'Оперативный ввод'!I959)</f>
        <v/>
      </c>
      <c r="J959" s="172">
        <f>IF('Оперативный ввод'!J959="","",'Оперативный ввод'!J959)</f>
        <v/>
      </c>
      <c r="K959" s="172">
        <f>IF('Оперативный ввод'!K959="","",'Оперативный ввод'!K959)</f>
        <v/>
      </c>
      <c r="L959" s="172">
        <f>IF('Оперативный ввод'!L959="","",'Оперативный ввод'!L959)</f>
        <v/>
      </c>
      <c r="M959" s="172">
        <f>IF('Оперативный ввод'!M959="","",'Оперативный ввод'!M959)</f>
        <v/>
      </c>
      <c r="N959" s="172">
        <f>IF('Оперативный ввод'!N959="","",'Оперативный ввод'!N959)</f>
        <v/>
      </c>
      <c r="O959" s="172">
        <f>IF('Оперативный ввод'!O959="","",'Оперативный ввод'!O959)</f>
        <v/>
      </c>
      <c r="P959" s="205">
        <f>IF(AND(A959="",B959=""),"",IF(AND(A959&lt;&gt;"",B959&lt;&gt;"",C959&lt;&gt;"",D959&lt;&gt;"",F959&lt;&gt;"",G959&lt;&gt;"",H959&lt;&gt;"",ISERROR(SEARCH("по паспорту",G959)),ISERROR(SEARCH("по паспорту",H959)),I959&lt;&gt;"",J959&lt;&gt;"",K959&lt;&gt;"",L959&lt;&gt;"",M959&lt;&gt;""),"ГОТОВО","НЕ ГОТОВО"))</f>
        <v/>
      </c>
      <c r="Q959" s="205">
        <f>IF(P959&lt;&gt;"ГОТОВО","", "Предварительное заключение: "&amp;A959&amp;", скв. "&amp;B959&amp;". МРП: "&amp;E959&amp;" сут. ГНО: "&amp;F959&amp;", типоразмер "&amp;G959&amp;", марка "&amp;H959&amp;". Событие: "&amp;I959&amp;". Признак: "&amp;J959&amp;". Узел: "&amp;K959&amp;". Предварительная причина: "&amp;L959&amp;". Основное осложнение: "&amp;M959&amp;IF(N959&lt;&gt;"","; сопутствующее: "&amp;N959,"")&amp;IF(O959&lt;&gt;"","; дополнительно: "&amp;O959,"")&amp;".")</f>
        <v/>
      </c>
      <c r="R959" s="172">
        <f>IF('Оперативный ввод'!P959="","",'Оперативный ввод'!P959)</f>
        <v/>
      </c>
      <c r="S959" s="172">
        <f>IF('Оперативный ввод'!Q959="","",'Оперативный ввод'!Q959)</f>
        <v/>
      </c>
      <c r="T959" s="172">
        <f>IF('Оперативный ввод'!R959="","",'Оперативный ввод'!R959)</f>
        <v/>
      </c>
      <c r="U959" s="172">
        <f>IF('Оперативный ввод'!S959="","",'Оперативный ввод'!S959)</f>
        <v/>
      </c>
      <c r="V959" s="172">
        <f>IF('Оперативный ввод'!T959="","",'Оперативный ввод'!T959)</f>
        <v/>
      </c>
      <c r="W959" s="172" t="n"/>
      <c r="X959" s="172" t="n"/>
      <c r="Y959" s="172" t="n"/>
      <c r="Z959" s="172" t="n"/>
      <c r="AA959" s="172">
        <f>IF('Оперативный ввод'!U959="","",'Оперативный ввод'!U959)</f>
        <v/>
      </c>
      <c r="AB959" s="172">
        <f>IF('Оперативный ввод'!V959="","",'Оперативный ввод'!V959)</f>
        <v/>
      </c>
      <c r="AC959" s="172">
        <f>IF('Оперативный ввод'!W959="","",'Оперативный ввод'!W959)</f>
        <v/>
      </c>
      <c r="BB959" s="172" t="n"/>
      <c r="BC959" s="172" t="n"/>
      <c r="BD959" s="205">
        <f>IF(AND(A959="",B959=""),"",IF(AND(P959="ГОТОВО",R959&lt;&gt;"",T959&lt;&gt;"",U959&lt;&gt;"",AA959&lt;&gt;"",AB959&lt;&gt;"",AC959&lt;&gt;"",BB959&lt;&gt;"",BC959&lt;&gt;""),"ГОТОВО","НЕ ГОТОВО"))</f>
        <v/>
      </c>
      <c r="BE959" s="205">
        <f>IF(BD959&lt;&gt;"ГОТОВО","","Полное заключение: "&amp;A959&amp;", скв. "&amp;B959&amp;". МРП: "&amp;E959&amp;" сут. ГНО: "&amp;F959&amp;"; причина: "&amp;U959&amp;"; категория: "&amp;V959&amp;"; решение комиссии: "&amp;BB959&amp;".")</f>
        <v/>
      </c>
      <c r="BF959" s="173">
        <f>IF('Оперативный ввод'!X959="","",'Оперативный ввод'!X959)</f>
        <v/>
      </c>
    </row>
    <row r="960">
      <c r="A960" s="171">
        <f>IF('Оперативный ввод'!A960="","",'Оперативный ввод'!A960)</f>
        <v/>
      </c>
      <c r="B960" s="172">
        <f>IF('Оперативный ввод'!B960="","",'Оперативный ввод'!B960)</f>
        <v/>
      </c>
      <c r="C960" s="270">
        <f>IF('Оперативный ввод'!C960="","",'Оперативный ввод'!C960)</f>
        <v/>
      </c>
      <c r="D960" s="270">
        <f>IF('Оперативный ввод'!D960="","",'Оперативный ввод'!D960)</f>
        <v/>
      </c>
      <c r="E960" s="271">
        <f>IF(OR(C960="",D960=""),"",D960-C960)</f>
        <v/>
      </c>
      <c r="F960" s="172">
        <f>IF('Оперативный ввод'!F960="","",'Оперативный ввод'!F960)</f>
        <v/>
      </c>
      <c r="G960" s="172">
        <f>IF('Оперативный ввод'!G960="","",'Оперативный ввод'!G960)</f>
        <v/>
      </c>
      <c r="H960" s="172">
        <f>IF('Оперативный ввод'!H960="","",'Оперативный ввод'!H960)</f>
        <v/>
      </c>
      <c r="I960" s="172">
        <f>IF('Оперативный ввод'!I960="","",'Оперативный ввод'!I960)</f>
        <v/>
      </c>
      <c r="J960" s="172">
        <f>IF('Оперативный ввод'!J960="","",'Оперативный ввод'!J960)</f>
        <v/>
      </c>
      <c r="K960" s="172">
        <f>IF('Оперативный ввод'!K960="","",'Оперативный ввод'!K960)</f>
        <v/>
      </c>
      <c r="L960" s="172">
        <f>IF('Оперативный ввод'!L960="","",'Оперативный ввод'!L960)</f>
        <v/>
      </c>
      <c r="M960" s="172">
        <f>IF('Оперативный ввод'!M960="","",'Оперативный ввод'!M960)</f>
        <v/>
      </c>
      <c r="N960" s="172">
        <f>IF('Оперативный ввод'!N960="","",'Оперативный ввод'!N960)</f>
        <v/>
      </c>
      <c r="O960" s="172">
        <f>IF('Оперативный ввод'!O960="","",'Оперативный ввод'!O960)</f>
        <v/>
      </c>
      <c r="P960" s="205">
        <f>IF(AND(A960="",B960=""),"",IF(AND(A960&lt;&gt;"",B960&lt;&gt;"",C960&lt;&gt;"",D960&lt;&gt;"",F960&lt;&gt;"",G960&lt;&gt;"",H960&lt;&gt;"",ISERROR(SEARCH("по паспорту",G960)),ISERROR(SEARCH("по паспорту",H960)),I960&lt;&gt;"",J960&lt;&gt;"",K960&lt;&gt;"",L960&lt;&gt;"",M960&lt;&gt;""),"ГОТОВО","НЕ ГОТОВО"))</f>
        <v/>
      </c>
      <c r="Q960" s="205">
        <f>IF(P960&lt;&gt;"ГОТОВО","", "Предварительное заключение: "&amp;A960&amp;", скв. "&amp;B960&amp;". МРП: "&amp;E960&amp;" сут. ГНО: "&amp;F960&amp;", типоразмер "&amp;G960&amp;", марка "&amp;H960&amp;". Событие: "&amp;I960&amp;". Признак: "&amp;J960&amp;". Узел: "&amp;K960&amp;". Предварительная причина: "&amp;L960&amp;". Основное осложнение: "&amp;M960&amp;IF(N960&lt;&gt;"","; сопутствующее: "&amp;N960,"")&amp;IF(O960&lt;&gt;"","; дополнительно: "&amp;O960,"")&amp;".")</f>
        <v/>
      </c>
      <c r="R960" s="172">
        <f>IF('Оперативный ввод'!P960="","",'Оперативный ввод'!P960)</f>
        <v/>
      </c>
      <c r="S960" s="172">
        <f>IF('Оперативный ввод'!Q960="","",'Оперативный ввод'!Q960)</f>
        <v/>
      </c>
      <c r="T960" s="172">
        <f>IF('Оперативный ввод'!R960="","",'Оперативный ввод'!R960)</f>
        <v/>
      </c>
      <c r="U960" s="172">
        <f>IF('Оперативный ввод'!S960="","",'Оперативный ввод'!S960)</f>
        <v/>
      </c>
      <c r="V960" s="172">
        <f>IF('Оперативный ввод'!T960="","",'Оперативный ввод'!T960)</f>
        <v/>
      </c>
      <c r="W960" s="172" t="n"/>
      <c r="X960" s="172" t="n"/>
      <c r="Y960" s="172" t="n"/>
      <c r="Z960" s="172" t="n"/>
      <c r="AA960" s="172">
        <f>IF('Оперативный ввод'!U960="","",'Оперативный ввод'!U960)</f>
        <v/>
      </c>
      <c r="AB960" s="172">
        <f>IF('Оперативный ввод'!V960="","",'Оперативный ввод'!V960)</f>
        <v/>
      </c>
      <c r="AC960" s="172">
        <f>IF('Оперативный ввод'!W960="","",'Оперативный ввод'!W960)</f>
        <v/>
      </c>
      <c r="BB960" s="172" t="n"/>
      <c r="BC960" s="172" t="n"/>
      <c r="BD960" s="205">
        <f>IF(AND(A960="",B960=""),"",IF(AND(P960="ГОТОВО",R960&lt;&gt;"",T960&lt;&gt;"",U960&lt;&gt;"",AA960&lt;&gt;"",AB960&lt;&gt;"",AC960&lt;&gt;"",BB960&lt;&gt;"",BC960&lt;&gt;""),"ГОТОВО","НЕ ГОТОВО"))</f>
        <v/>
      </c>
      <c r="BE960" s="205">
        <f>IF(BD960&lt;&gt;"ГОТОВО","","Полное заключение: "&amp;A960&amp;", скв. "&amp;B960&amp;". МРП: "&amp;E960&amp;" сут. ГНО: "&amp;F960&amp;"; причина: "&amp;U960&amp;"; категория: "&amp;V960&amp;"; решение комиссии: "&amp;BB960&amp;".")</f>
        <v/>
      </c>
      <c r="BF960" s="173">
        <f>IF('Оперативный ввод'!X960="","",'Оперативный ввод'!X960)</f>
        <v/>
      </c>
    </row>
    <row r="961">
      <c r="A961" s="171">
        <f>IF('Оперативный ввод'!A961="","",'Оперативный ввод'!A961)</f>
        <v/>
      </c>
      <c r="B961" s="172">
        <f>IF('Оперативный ввод'!B961="","",'Оперативный ввод'!B961)</f>
        <v/>
      </c>
      <c r="C961" s="270">
        <f>IF('Оперативный ввод'!C961="","",'Оперативный ввод'!C961)</f>
        <v/>
      </c>
      <c r="D961" s="270">
        <f>IF('Оперативный ввод'!D961="","",'Оперативный ввод'!D961)</f>
        <v/>
      </c>
      <c r="E961" s="271">
        <f>IF(OR(C961="",D961=""),"",D961-C961)</f>
        <v/>
      </c>
      <c r="F961" s="172">
        <f>IF('Оперативный ввод'!F961="","",'Оперативный ввод'!F961)</f>
        <v/>
      </c>
      <c r="G961" s="172">
        <f>IF('Оперативный ввод'!G961="","",'Оперативный ввод'!G961)</f>
        <v/>
      </c>
      <c r="H961" s="172">
        <f>IF('Оперативный ввод'!H961="","",'Оперативный ввод'!H961)</f>
        <v/>
      </c>
      <c r="I961" s="172">
        <f>IF('Оперативный ввод'!I961="","",'Оперативный ввод'!I961)</f>
        <v/>
      </c>
      <c r="J961" s="172">
        <f>IF('Оперативный ввод'!J961="","",'Оперативный ввод'!J961)</f>
        <v/>
      </c>
      <c r="K961" s="172">
        <f>IF('Оперативный ввод'!K961="","",'Оперативный ввод'!K961)</f>
        <v/>
      </c>
      <c r="L961" s="172">
        <f>IF('Оперативный ввод'!L961="","",'Оперативный ввод'!L961)</f>
        <v/>
      </c>
      <c r="M961" s="172">
        <f>IF('Оперативный ввод'!M961="","",'Оперативный ввод'!M961)</f>
        <v/>
      </c>
      <c r="N961" s="172">
        <f>IF('Оперативный ввод'!N961="","",'Оперативный ввод'!N961)</f>
        <v/>
      </c>
      <c r="O961" s="172">
        <f>IF('Оперативный ввод'!O961="","",'Оперативный ввод'!O961)</f>
        <v/>
      </c>
      <c r="P961" s="205">
        <f>IF(AND(A961="",B961=""),"",IF(AND(A961&lt;&gt;"",B961&lt;&gt;"",C961&lt;&gt;"",D961&lt;&gt;"",F961&lt;&gt;"",G961&lt;&gt;"",H961&lt;&gt;"",ISERROR(SEARCH("по паспорту",G961)),ISERROR(SEARCH("по паспорту",H961)),I961&lt;&gt;"",J961&lt;&gt;"",K961&lt;&gt;"",L961&lt;&gt;"",M961&lt;&gt;""),"ГОТОВО","НЕ ГОТОВО"))</f>
        <v/>
      </c>
      <c r="Q961" s="205">
        <f>IF(P961&lt;&gt;"ГОТОВО","", "Предварительное заключение: "&amp;A961&amp;", скв. "&amp;B961&amp;". МРП: "&amp;E961&amp;" сут. ГНО: "&amp;F961&amp;", типоразмер "&amp;G961&amp;", марка "&amp;H961&amp;". Событие: "&amp;I961&amp;". Признак: "&amp;J961&amp;". Узел: "&amp;K961&amp;". Предварительная причина: "&amp;L961&amp;". Основное осложнение: "&amp;M961&amp;IF(N961&lt;&gt;"","; сопутствующее: "&amp;N961,"")&amp;IF(O961&lt;&gt;"","; дополнительно: "&amp;O961,"")&amp;".")</f>
        <v/>
      </c>
      <c r="R961" s="172">
        <f>IF('Оперативный ввод'!P961="","",'Оперативный ввод'!P961)</f>
        <v/>
      </c>
      <c r="S961" s="172">
        <f>IF('Оперативный ввод'!Q961="","",'Оперативный ввод'!Q961)</f>
        <v/>
      </c>
      <c r="T961" s="172">
        <f>IF('Оперативный ввод'!R961="","",'Оперативный ввод'!R961)</f>
        <v/>
      </c>
      <c r="U961" s="172">
        <f>IF('Оперативный ввод'!S961="","",'Оперативный ввод'!S961)</f>
        <v/>
      </c>
      <c r="V961" s="172">
        <f>IF('Оперативный ввод'!T961="","",'Оперативный ввод'!T961)</f>
        <v/>
      </c>
      <c r="W961" s="172" t="n"/>
      <c r="X961" s="172" t="n"/>
      <c r="Y961" s="172" t="n"/>
      <c r="Z961" s="172" t="n"/>
      <c r="AA961" s="172">
        <f>IF('Оперативный ввод'!U961="","",'Оперативный ввод'!U961)</f>
        <v/>
      </c>
      <c r="AB961" s="172">
        <f>IF('Оперативный ввод'!V961="","",'Оперативный ввод'!V961)</f>
        <v/>
      </c>
      <c r="AC961" s="172">
        <f>IF('Оперативный ввод'!W961="","",'Оперативный ввод'!W961)</f>
        <v/>
      </c>
      <c r="BB961" s="172" t="n"/>
      <c r="BC961" s="172" t="n"/>
      <c r="BD961" s="205">
        <f>IF(AND(A961="",B961=""),"",IF(AND(P961="ГОТОВО",R961&lt;&gt;"",T961&lt;&gt;"",U961&lt;&gt;"",AA961&lt;&gt;"",AB961&lt;&gt;"",AC961&lt;&gt;"",BB961&lt;&gt;"",BC961&lt;&gt;""),"ГОТОВО","НЕ ГОТОВО"))</f>
        <v/>
      </c>
      <c r="BE961" s="205">
        <f>IF(BD961&lt;&gt;"ГОТОВО","","Полное заключение: "&amp;A961&amp;", скв. "&amp;B961&amp;". МРП: "&amp;E961&amp;" сут. ГНО: "&amp;F961&amp;"; причина: "&amp;U961&amp;"; категория: "&amp;V961&amp;"; решение комиссии: "&amp;BB961&amp;".")</f>
        <v/>
      </c>
      <c r="BF961" s="173">
        <f>IF('Оперативный ввод'!X961="","",'Оперативный ввод'!X961)</f>
        <v/>
      </c>
    </row>
    <row r="962">
      <c r="A962" s="171">
        <f>IF('Оперативный ввод'!A962="","",'Оперативный ввод'!A962)</f>
        <v/>
      </c>
      <c r="B962" s="172">
        <f>IF('Оперативный ввод'!B962="","",'Оперативный ввод'!B962)</f>
        <v/>
      </c>
      <c r="C962" s="270">
        <f>IF('Оперативный ввод'!C962="","",'Оперативный ввод'!C962)</f>
        <v/>
      </c>
      <c r="D962" s="270">
        <f>IF('Оперативный ввод'!D962="","",'Оперативный ввод'!D962)</f>
        <v/>
      </c>
      <c r="E962" s="271">
        <f>IF(OR(C962="",D962=""),"",D962-C962)</f>
        <v/>
      </c>
      <c r="F962" s="172">
        <f>IF('Оперативный ввод'!F962="","",'Оперативный ввод'!F962)</f>
        <v/>
      </c>
      <c r="G962" s="172">
        <f>IF('Оперативный ввод'!G962="","",'Оперативный ввод'!G962)</f>
        <v/>
      </c>
      <c r="H962" s="172">
        <f>IF('Оперативный ввод'!H962="","",'Оперативный ввод'!H962)</f>
        <v/>
      </c>
      <c r="I962" s="172">
        <f>IF('Оперативный ввод'!I962="","",'Оперативный ввод'!I962)</f>
        <v/>
      </c>
      <c r="J962" s="172">
        <f>IF('Оперативный ввод'!J962="","",'Оперативный ввод'!J962)</f>
        <v/>
      </c>
      <c r="K962" s="172">
        <f>IF('Оперативный ввод'!K962="","",'Оперативный ввод'!K962)</f>
        <v/>
      </c>
      <c r="L962" s="172">
        <f>IF('Оперативный ввод'!L962="","",'Оперативный ввод'!L962)</f>
        <v/>
      </c>
      <c r="M962" s="172">
        <f>IF('Оперативный ввод'!M962="","",'Оперативный ввод'!M962)</f>
        <v/>
      </c>
      <c r="N962" s="172">
        <f>IF('Оперативный ввод'!N962="","",'Оперативный ввод'!N962)</f>
        <v/>
      </c>
      <c r="O962" s="172">
        <f>IF('Оперативный ввод'!O962="","",'Оперативный ввод'!O962)</f>
        <v/>
      </c>
      <c r="P962" s="205">
        <f>IF(AND(A962="",B962=""),"",IF(AND(A962&lt;&gt;"",B962&lt;&gt;"",C962&lt;&gt;"",D962&lt;&gt;"",F962&lt;&gt;"",G962&lt;&gt;"",H962&lt;&gt;"",ISERROR(SEARCH("по паспорту",G962)),ISERROR(SEARCH("по паспорту",H962)),I962&lt;&gt;"",J962&lt;&gt;"",K962&lt;&gt;"",L962&lt;&gt;"",M962&lt;&gt;""),"ГОТОВО","НЕ ГОТОВО"))</f>
        <v/>
      </c>
      <c r="Q962" s="205">
        <f>IF(P962&lt;&gt;"ГОТОВО","", "Предварительное заключение: "&amp;A962&amp;", скв. "&amp;B962&amp;". МРП: "&amp;E962&amp;" сут. ГНО: "&amp;F962&amp;", типоразмер "&amp;G962&amp;", марка "&amp;H962&amp;". Событие: "&amp;I962&amp;". Признак: "&amp;J962&amp;". Узел: "&amp;K962&amp;". Предварительная причина: "&amp;L962&amp;". Основное осложнение: "&amp;M962&amp;IF(N962&lt;&gt;"","; сопутствующее: "&amp;N962,"")&amp;IF(O962&lt;&gt;"","; дополнительно: "&amp;O962,"")&amp;".")</f>
        <v/>
      </c>
      <c r="R962" s="172">
        <f>IF('Оперативный ввод'!P962="","",'Оперативный ввод'!P962)</f>
        <v/>
      </c>
      <c r="S962" s="172">
        <f>IF('Оперативный ввод'!Q962="","",'Оперативный ввод'!Q962)</f>
        <v/>
      </c>
      <c r="T962" s="172">
        <f>IF('Оперативный ввод'!R962="","",'Оперативный ввод'!R962)</f>
        <v/>
      </c>
      <c r="U962" s="172">
        <f>IF('Оперативный ввод'!S962="","",'Оперативный ввод'!S962)</f>
        <v/>
      </c>
      <c r="V962" s="172">
        <f>IF('Оперативный ввод'!T962="","",'Оперативный ввод'!T962)</f>
        <v/>
      </c>
      <c r="W962" s="172" t="n"/>
      <c r="X962" s="172" t="n"/>
      <c r="Y962" s="172" t="n"/>
      <c r="Z962" s="172" t="n"/>
      <c r="AA962" s="172">
        <f>IF('Оперативный ввод'!U962="","",'Оперативный ввод'!U962)</f>
        <v/>
      </c>
      <c r="AB962" s="172">
        <f>IF('Оперативный ввод'!V962="","",'Оперативный ввод'!V962)</f>
        <v/>
      </c>
      <c r="AC962" s="172">
        <f>IF('Оперативный ввод'!W962="","",'Оперативный ввод'!W962)</f>
        <v/>
      </c>
      <c r="BB962" s="172" t="n"/>
      <c r="BC962" s="172" t="n"/>
      <c r="BD962" s="205">
        <f>IF(AND(A962="",B962=""),"",IF(AND(P962="ГОТОВО",R962&lt;&gt;"",T962&lt;&gt;"",U962&lt;&gt;"",AA962&lt;&gt;"",AB962&lt;&gt;"",AC962&lt;&gt;"",BB962&lt;&gt;"",BC962&lt;&gt;""),"ГОТОВО","НЕ ГОТОВО"))</f>
        <v/>
      </c>
      <c r="BE962" s="205">
        <f>IF(BD962&lt;&gt;"ГОТОВО","","Полное заключение: "&amp;A962&amp;", скв. "&amp;B962&amp;". МРП: "&amp;E962&amp;" сут. ГНО: "&amp;F962&amp;"; причина: "&amp;U962&amp;"; категория: "&amp;V962&amp;"; решение комиссии: "&amp;BB962&amp;".")</f>
        <v/>
      </c>
      <c r="BF962" s="173">
        <f>IF('Оперативный ввод'!X962="","",'Оперативный ввод'!X962)</f>
        <v/>
      </c>
    </row>
    <row r="963">
      <c r="A963" s="171">
        <f>IF('Оперативный ввод'!A963="","",'Оперативный ввод'!A963)</f>
        <v/>
      </c>
      <c r="B963" s="172">
        <f>IF('Оперативный ввод'!B963="","",'Оперативный ввод'!B963)</f>
        <v/>
      </c>
      <c r="C963" s="270">
        <f>IF('Оперативный ввод'!C963="","",'Оперативный ввод'!C963)</f>
        <v/>
      </c>
      <c r="D963" s="270">
        <f>IF('Оперативный ввод'!D963="","",'Оперативный ввод'!D963)</f>
        <v/>
      </c>
      <c r="E963" s="271">
        <f>IF(OR(C963="",D963=""),"",D963-C963)</f>
        <v/>
      </c>
      <c r="F963" s="172">
        <f>IF('Оперативный ввод'!F963="","",'Оперативный ввод'!F963)</f>
        <v/>
      </c>
      <c r="G963" s="172">
        <f>IF('Оперативный ввод'!G963="","",'Оперативный ввод'!G963)</f>
        <v/>
      </c>
      <c r="H963" s="172">
        <f>IF('Оперативный ввод'!H963="","",'Оперативный ввод'!H963)</f>
        <v/>
      </c>
      <c r="I963" s="172">
        <f>IF('Оперативный ввод'!I963="","",'Оперативный ввод'!I963)</f>
        <v/>
      </c>
      <c r="J963" s="172">
        <f>IF('Оперативный ввод'!J963="","",'Оперативный ввод'!J963)</f>
        <v/>
      </c>
      <c r="K963" s="172">
        <f>IF('Оперативный ввод'!K963="","",'Оперативный ввод'!K963)</f>
        <v/>
      </c>
      <c r="L963" s="172">
        <f>IF('Оперативный ввод'!L963="","",'Оперативный ввод'!L963)</f>
        <v/>
      </c>
      <c r="M963" s="172">
        <f>IF('Оперативный ввод'!M963="","",'Оперативный ввод'!M963)</f>
        <v/>
      </c>
      <c r="N963" s="172">
        <f>IF('Оперативный ввод'!N963="","",'Оперативный ввод'!N963)</f>
        <v/>
      </c>
      <c r="O963" s="172">
        <f>IF('Оперативный ввод'!O963="","",'Оперативный ввод'!O963)</f>
        <v/>
      </c>
      <c r="P963" s="205">
        <f>IF(AND(A963="",B963=""),"",IF(AND(A963&lt;&gt;"",B963&lt;&gt;"",C963&lt;&gt;"",D963&lt;&gt;"",F963&lt;&gt;"",G963&lt;&gt;"",H963&lt;&gt;"",ISERROR(SEARCH("по паспорту",G963)),ISERROR(SEARCH("по паспорту",H963)),I963&lt;&gt;"",J963&lt;&gt;"",K963&lt;&gt;"",L963&lt;&gt;"",M963&lt;&gt;""),"ГОТОВО","НЕ ГОТОВО"))</f>
        <v/>
      </c>
      <c r="Q963" s="205">
        <f>IF(P963&lt;&gt;"ГОТОВО","", "Предварительное заключение: "&amp;A963&amp;", скв. "&amp;B963&amp;". МРП: "&amp;E963&amp;" сут. ГНО: "&amp;F963&amp;", типоразмер "&amp;G963&amp;", марка "&amp;H963&amp;". Событие: "&amp;I963&amp;". Признак: "&amp;J963&amp;". Узел: "&amp;K963&amp;". Предварительная причина: "&amp;L963&amp;". Основное осложнение: "&amp;M963&amp;IF(N963&lt;&gt;"","; сопутствующее: "&amp;N963,"")&amp;IF(O963&lt;&gt;"","; дополнительно: "&amp;O963,"")&amp;".")</f>
        <v/>
      </c>
      <c r="R963" s="172">
        <f>IF('Оперативный ввод'!P963="","",'Оперативный ввод'!P963)</f>
        <v/>
      </c>
      <c r="S963" s="172">
        <f>IF('Оперативный ввод'!Q963="","",'Оперативный ввод'!Q963)</f>
        <v/>
      </c>
      <c r="T963" s="172">
        <f>IF('Оперативный ввод'!R963="","",'Оперативный ввод'!R963)</f>
        <v/>
      </c>
      <c r="U963" s="172">
        <f>IF('Оперативный ввод'!S963="","",'Оперативный ввод'!S963)</f>
        <v/>
      </c>
      <c r="V963" s="172">
        <f>IF('Оперативный ввод'!T963="","",'Оперативный ввод'!T963)</f>
        <v/>
      </c>
      <c r="W963" s="172" t="n"/>
      <c r="X963" s="172" t="n"/>
      <c r="Y963" s="172" t="n"/>
      <c r="Z963" s="172" t="n"/>
      <c r="AA963" s="172">
        <f>IF('Оперативный ввод'!U963="","",'Оперативный ввод'!U963)</f>
        <v/>
      </c>
      <c r="AB963" s="172">
        <f>IF('Оперативный ввод'!V963="","",'Оперативный ввод'!V963)</f>
        <v/>
      </c>
      <c r="AC963" s="172">
        <f>IF('Оперативный ввод'!W963="","",'Оперативный ввод'!W963)</f>
        <v/>
      </c>
      <c r="BB963" s="172" t="n"/>
      <c r="BC963" s="172" t="n"/>
      <c r="BD963" s="205">
        <f>IF(AND(A963="",B963=""),"",IF(AND(P963="ГОТОВО",R963&lt;&gt;"",T963&lt;&gt;"",U963&lt;&gt;"",AA963&lt;&gt;"",AB963&lt;&gt;"",AC963&lt;&gt;"",BB963&lt;&gt;"",BC963&lt;&gt;""),"ГОТОВО","НЕ ГОТОВО"))</f>
        <v/>
      </c>
      <c r="BE963" s="205">
        <f>IF(BD963&lt;&gt;"ГОТОВО","","Полное заключение: "&amp;A963&amp;", скв. "&amp;B963&amp;". МРП: "&amp;E963&amp;" сут. ГНО: "&amp;F963&amp;"; причина: "&amp;U963&amp;"; категория: "&amp;V963&amp;"; решение комиссии: "&amp;BB963&amp;".")</f>
        <v/>
      </c>
      <c r="BF963" s="173">
        <f>IF('Оперативный ввод'!X963="","",'Оперативный ввод'!X963)</f>
        <v/>
      </c>
    </row>
    <row r="964">
      <c r="A964" s="171">
        <f>IF('Оперативный ввод'!A964="","",'Оперативный ввод'!A964)</f>
        <v/>
      </c>
      <c r="B964" s="172">
        <f>IF('Оперативный ввод'!B964="","",'Оперативный ввод'!B964)</f>
        <v/>
      </c>
      <c r="C964" s="270">
        <f>IF('Оперативный ввод'!C964="","",'Оперативный ввод'!C964)</f>
        <v/>
      </c>
      <c r="D964" s="270">
        <f>IF('Оперативный ввод'!D964="","",'Оперативный ввод'!D964)</f>
        <v/>
      </c>
      <c r="E964" s="271">
        <f>IF(OR(C964="",D964=""),"",D964-C964)</f>
        <v/>
      </c>
      <c r="F964" s="172">
        <f>IF('Оперативный ввод'!F964="","",'Оперативный ввод'!F964)</f>
        <v/>
      </c>
      <c r="G964" s="172">
        <f>IF('Оперативный ввод'!G964="","",'Оперативный ввод'!G964)</f>
        <v/>
      </c>
      <c r="H964" s="172">
        <f>IF('Оперативный ввод'!H964="","",'Оперативный ввод'!H964)</f>
        <v/>
      </c>
      <c r="I964" s="172">
        <f>IF('Оперативный ввод'!I964="","",'Оперативный ввод'!I964)</f>
        <v/>
      </c>
      <c r="J964" s="172">
        <f>IF('Оперативный ввод'!J964="","",'Оперативный ввод'!J964)</f>
        <v/>
      </c>
      <c r="K964" s="172">
        <f>IF('Оперативный ввод'!K964="","",'Оперативный ввод'!K964)</f>
        <v/>
      </c>
      <c r="L964" s="172">
        <f>IF('Оперативный ввод'!L964="","",'Оперативный ввод'!L964)</f>
        <v/>
      </c>
      <c r="M964" s="172">
        <f>IF('Оперативный ввод'!M964="","",'Оперативный ввод'!M964)</f>
        <v/>
      </c>
      <c r="N964" s="172">
        <f>IF('Оперативный ввод'!N964="","",'Оперативный ввод'!N964)</f>
        <v/>
      </c>
      <c r="O964" s="172">
        <f>IF('Оперативный ввод'!O964="","",'Оперативный ввод'!O964)</f>
        <v/>
      </c>
      <c r="P964" s="205">
        <f>IF(AND(A964="",B964=""),"",IF(AND(A964&lt;&gt;"",B964&lt;&gt;"",C964&lt;&gt;"",D964&lt;&gt;"",F964&lt;&gt;"",G964&lt;&gt;"",H964&lt;&gt;"",ISERROR(SEARCH("по паспорту",G964)),ISERROR(SEARCH("по паспорту",H964)),I964&lt;&gt;"",J964&lt;&gt;"",K964&lt;&gt;"",L964&lt;&gt;"",M964&lt;&gt;""),"ГОТОВО","НЕ ГОТОВО"))</f>
        <v/>
      </c>
      <c r="Q964" s="205">
        <f>IF(P964&lt;&gt;"ГОТОВО","", "Предварительное заключение: "&amp;A964&amp;", скв. "&amp;B964&amp;". МРП: "&amp;E964&amp;" сут. ГНО: "&amp;F964&amp;", типоразмер "&amp;G964&amp;", марка "&amp;H964&amp;". Событие: "&amp;I964&amp;". Признак: "&amp;J964&amp;". Узел: "&amp;K964&amp;". Предварительная причина: "&amp;L964&amp;". Основное осложнение: "&amp;M964&amp;IF(N964&lt;&gt;"","; сопутствующее: "&amp;N964,"")&amp;IF(O964&lt;&gt;"","; дополнительно: "&amp;O964,"")&amp;".")</f>
        <v/>
      </c>
      <c r="R964" s="172">
        <f>IF('Оперативный ввод'!P964="","",'Оперативный ввод'!P964)</f>
        <v/>
      </c>
      <c r="S964" s="172">
        <f>IF('Оперативный ввод'!Q964="","",'Оперативный ввод'!Q964)</f>
        <v/>
      </c>
      <c r="T964" s="172">
        <f>IF('Оперативный ввод'!R964="","",'Оперативный ввод'!R964)</f>
        <v/>
      </c>
      <c r="U964" s="172">
        <f>IF('Оперативный ввод'!S964="","",'Оперативный ввод'!S964)</f>
        <v/>
      </c>
      <c r="V964" s="172">
        <f>IF('Оперативный ввод'!T964="","",'Оперативный ввод'!T964)</f>
        <v/>
      </c>
      <c r="W964" s="172" t="n"/>
      <c r="X964" s="172" t="n"/>
      <c r="Y964" s="172" t="n"/>
      <c r="Z964" s="172" t="n"/>
      <c r="AA964" s="172">
        <f>IF('Оперативный ввод'!U964="","",'Оперативный ввод'!U964)</f>
        <v/>
      </c>
      <c r="AB964" s="172">
        <f>IF('Оперативный ввод'!V964="","",'Оперативный ввод'!V964)</f>
        <v/>
      </c>
      <c r="AC964" s="172">
        <f>IF('Оперативный ввод'!W964="","",'Оперативный ввод'!W964)</f>
        <v/>
      </c>
      <c r="BB964" s="172" t="n"/>
      <c r="BC964" s="172" t="n"/>
      <c r="BD964" s="205">
        <f>IF(AND(A964="",B964=""),"",IF(AND(P964="ГОТОВО",R964&lt;&gt;"",T964&lt;&gt;"",U964&lt;&gt;"",AA964&lt;&gt;"",AB964&lt;&gt;"",AC964&lt;&gt;"",BB964&lt;&gt;"",BC964&lt;&gt;""),"ГОТОВО","НЕ ГОТОВО"))</f>
        <v/>
      </c>
      <c r="BE964" s="205">
        <f>IF(BD964&lt;&gt;"ГОТОВО","","Полное заключение: "&amp;A964&amp;", скв. "&amp;B964&amp;". МРП: "&amp;E964&amp;" сут. ГНО: "&amp;F964&amp;"; причина: "&amp;U964&amp;"; категория: "&amp;V964&amp;"; решение комиссии: "&amp;BB964&amp;".")</f>
        <v/>
      </c>
      <c r="BF964" s="173">
        <f>IF('Оперативный ввод'!X964="","",'Оперативный ввод'!X964)</f>
        <v/>
      </c>
    </row>
    <row r="965">
      <c r="A965" s="171">
        <f>IF('Оперативный ввод'!A965="","",'Оперативный ввод'!A965)</f>
        <v/>
      </c>
      <c r="B965" s="172">
        <f>IF('Оперативный ввод'!B965="","",'Оперативный ввод'!B965)</f>
        <v/>
      </c>
      <c r="C965" s="270">
        <f>IF('Оперативный ввод'!C965="","",'Оперативный ввод'!C965)</f>
        <v/>
      </c>
      <c r="D965" s="270">
        <f>IF('Оперативный ввод'!D965="","",'Оперативный ввод'!D965)</f>
        <v/>
      </c>
      <c r="E965" s="271">
        <f>IF(OR(C965="",D965=""),"",D965-C965)</f>
        <v/>
      </c>
      <c r="F965" s="172">
        <f>IF('Оперативный ввод'!F965="","",'Оперативный ввод'!F965)</f>
        <v/>
      </c>
      <c r="G965" s="172">
        <f>IF('Оперативный ввод'!G965="","",'Оперативный ввод'!G965)</f>
        <v/>
      </c>
      <c r="H965" s="172">
        <f>IF('Оперативный ввод'!H965="","",'Оперативный ввод'!H965)</f>
        <v/>
      </c>
      <c r="I965" s="172">
        <f>IF('Оперативный ввод'!I965="","",'Оперативный ввод'!I965)</f>
        <v/>
      </c>
      <c r="J965" s="172">
        <f>IF('Оперативный ввод'!J965="","",'Оперативный ввод'!J965)</f>
        <v/>
      </c>
      <c r="K965" s="172">
        <f>IF('Оперативный ввод'!K965="","",'Оперативный ввод'!K965)</f>
        <v/>
      </c>
      <c r="L965" s="172">
        <f>IF('Оперативный ввод'!L965="","",'Оперативный ввод'!L965)</f>
        <v/>
      </c>
      <c r="M965" s="172">
        <f>IF('Оперативный ввод'!M965="","",'Оперативный ввод'!M965)</f>
        <v/>
      </c>
      <c r="N965" s="172">
        <f>IF('Оперативный ввод'!N965="","",'Оперативный ввод'!N965)</f>
        <v/>
      </c>
      <c r="O965" s="172">
        <f>IF('Оперативный ввод'!O965="","",'Оперативный ввод'!O965)</f>
        <v/>
      </c>
      <c r="P965" s="205">
        <f>IF(AND(A965="",B965=""),"",IF(AND(A965&lt;&gt;"",B965&lt;&gt;"",C965&lt;&gt;"",D965&lt;&gt;"",F965&lt;&gt;"",G965&lt;&gt;"",H965&lt;&gt;"",ISERROR(SEARCH("по паспорту",G965)),ISERROR(SEARCH("по паспорту",H965)),I965&lt;&gt;"",J965&lt;&gt;"",K965&lt;&gt;"",L965&lt;&gt;"",M965&lt;&gt;""),"ГОТОВО","НЕ ГОТОВО"))</f>
        <v/>
      </c>
      <c r="Q965" s="205">
        <f>IF(P965&lt;&gt;"ГОТОВО","", "Предварительное заключение: "&amp;A965&amp;", скв. "&amp;B965&amp;". МРП: "&amp;E965&amp;" сут. ГНО: "&amp;F965&amp;", типоразмер "&amp;G965&amp;", марка "&amp;H965&amp;". Событие: "&amp;I965&amp;". Признак: "&amp;J965&amp;". Узел: "&amp;K965&amp;". Предварительная причина: "&amp;L965&amp;". Основное осложнение: "&amp;M965&amp;IF(N965&lt;&gt;"","; сопутствующее: "&amp;N965,"")&amp;IF(O965&lt;&gt;"","; дополнительно: "&amp;O965,"")&amp;".")</f>
        <v/>
      </c>
      <c r="R965" s="172">
        <f>IF('Оперативный ввод'!P965="","",'Оперативный ввод'!P965)</f>
        <v/>
      </c>
      <c r="S965" s="172">
        <f>IF('Оперативный ввод'!Q965="","",'Оперативный ввод'!Q965)</f>
        <v/>
      </c>
      <c r="T965" s="172">
        <f>IF('Оперативный ввод'!R965="","",'Оперативный ввод'!R965)</f>
        <v/>
      </c>
      <c r="U965" s="172">
        <f>IF('Оперативный ввод'!S965="","",'Оперативный ввод'!S965)</f>
        <v/>
      </c>
      <c r="V965" s="172">
        <f>IF('Оперативный ввод'!T965="","",'Оперативный ввод'!T965)</f>
        <v/>
      </c>
      <c r="W965" s="172" t="n"/>
      <c r="X965" s="172" t="n"/>
      <c r="Y965" s="172" t="n"/>
      <c r="Z965" s="172" t="n"/>
      <c r="AA965" s="172">
        <f>IF('Оперативный ввод'!U965="","",'Оперативный ввод'!U965)</f>
        <v/>
      </c>
      <c r="AB965" s="172">
        <f>IF('Оперативный ввод'!V965="","",'Оперативный ввод'!V965)</f>
        <v/>
      </c>
      <c r="AC965" s="172">
        <f>IF('Оперативный ввод'!W965="","",'Оперативный ввод'!W965)</f>
        <v/>
      </c>
      <c r="BB965" s="172" t="n"/>
      <c r="BC965" s="172" t="n"/>
      <c r="BD965" s="205">
        <f>IF(AND(A965="",B965=""),"",IF(AND(P965="ГОТОВО",R965&lt;&gt;"",T965&lt;&gt;"",U965&lt;&gt;"",AA965&lt;&gt;"",AB965&lt;&gt;"",AC965&lt;&gt;"",BB965&lt;&gt;"",BC965&lt;&gt;""),"ГОТОВО","НЕ ГОТОВО"))</f>
        <v/>
      </c>
      <c r="BE965" s="205">
        <f>IF(BD965&lt;&gt;"ГОТОВО","","Полное заключение: "&amp;A965&amp;", скв. "&amp;B965&amp;". МРП: "&amp;E965&amp;" сут. ГНО: "&amp;F965&amp;"; причина: "&amp;U965&amp;"; категория: "&amp;V965&amp;"; решение комиссии: "&amp;BB965&amp;".")</f>
        <v/>
      </c>
      <c r="BF965" s="173">
        <f>IF('Оперативный ввод'!X965="","",'Оперативный ввод'!X965)</f>
        <v/>
      </c>
    </row>
    <row r="966">
      <c r="A966" s="171">
        <f>IF('Оперативный ввод'!A966="","",'Оперативный ввод'!A966)</f>
        <v/>
      </c>
      <c r="B966" s="172">
        <f>IF('Оперативный ввод'!B966="","",'Оперативный ввод'!B966)</f>
        <v/>
      </c>
      <c r="C966" s="270">
        <f>IF('Оперативный ввод'!C966="","",'Оперативный ввод'!C966)</f>
        <v/>
      </c>
      <c r="D966" s="270">
        <f>IF('Оперативный ввод'!D966="","",'Оперативный ввод'!D966)</f>
        <v/>
      </c>
      <c r="E966" s="271">
        <f>IF(OR(C966="",D966=""),"",D966-C966)</f>
        <v/>
      </c>
      <c r="F966" s="172">
        <f>IF('Оперативный ввод'!F966="","",'Оперативный ввод'!F966)</f>
        <v/>
      </c>
      <c r="G966" s="172">
        <f>IF('Оперативный ввод'!G966="","",'Оперативный ввод'!G966)</f>
        <v/>
      </c>
      <c r="H966" s="172">
        <f>IF('Оперативный ввод'!H966="","",'Оперативный ввод'!H966)</f>
        <v/>
      </c>
      <c r="I966" s="172">
        <f>IF('Оперативный ввод'!I966="","",'Оперативный ввод'!I966)</f>
        <v/>
      </c>
      <c r="J966" s="172">
        <f>IF('Оперативный ввод'!J966="","",'Оперативный ввод'!J966)</f>
        <v/>
      </c>
      <c r="K966" s="172">
        <f>IF('Оперативный ввод'!K966="","",'Оперативный ввод'!K966)</f>
        <v/>
      </c>
      <c r="L966" s="172">
        <f>IF('Оперативный ввод'!L966="","",'Оперативный ввод'!L966)</f>
        <v/>
      </c>
      <c r="M966" s="172">
        <f>IF('Оперативный ввод'!M966="","",'Оперативный ввод'!M966)</f>
        <v/>
      </c>
      <c r="N966" s="172">
        <f>IF('Оперативный ввод'!N966="","",'Оперативный ввод'!N966)</f>
        <v/>
      </c>
      <c r="O966" s="172">
        <f>IF('Оперативный ввод'!O966="","",'Оперативный ввод'!O966)</f>
        <v/>
      </c>
      <c r="P966" s="205">
        <f>IF(AND(A966="",B966=""),"",IF(AND(A966&lt;&gt;"",B966&lt;&gt;"",C966&lt;&gt;"",D966&lt;&gt;"",F966&lt;&gt;"",G966&lt;&gt;"",H966&lt;&gt;"",ISERROR(SEARCH("по паспорту",G966)),ISERROR(SEARCH("по паспорту",H966)),I966&lt;&gt;"",J966&lt;&gt;"",K966&lt;&gt;"",L966&lt;&gt;"",M966&lt;&gt;""),"ГОТОВО","НЕ ГОТОВО"))</f>
        <v/>
      </c>
      <c r="Q966" s="205">
        <f>IF(P966&lt;&gt;"ГОТОВО","", "Предварительное заключение: "&amp;A966&amp;", скв. "&amp;B966&amp;". МРП: "&amp;E966&amp;" сут. ГНО: "&amp;F966&amp;", типоразмер "&amp;G966&amp;", марка "&amp;H966&amp;". Событие: "&amp;I966&amp;". Признак: "&amp;J966&amp;". Узел: "&amp;K966&amp;". Предварительная причина: "&amp;L966&amp;". Основное осложнение: "&amp;M966&amp;IF(N966&lt;&gt;"","; сопутствующее: "&amp;N966,"")&amp;IF(O966&lt;&gt;"","; дополнительно: "&amp;O966,"")&amp;".")</f>
        <v/>
      </c>
      <c r="R966" s="172">
        <f>IF('Оперативный ввод'!P966="","",'Оперативный ввод'!P966)</f>
        <v/>
      </c>
      <c r="S966" s="172">
        <f>IF('Оперативный ввод'!Q966="","",'Оперативный ввод'!Q966)</f>
        <v/>
      </c>
      <c r="T966" s="172">
        <f>IF('Оперативный ввод'!R966="","",'Оперативный ввод'!R966)</f>
        <v/>
      </c>
      <c r="U966" s="172">
        <f>IF('Оперативный ввод'!S966="","",'Оперативный ввод'!S966)</f>
        <v/>
      </c>
      <c r="V966" s="172">
        <f>IF('Оперативный ввод'!T966="","",'Оперативный ввод'!T966)</f>
        <v/>
      </c>
      <c r="W966" s="172" t="n"/>
      <c r="X966" s="172" t="n"/>
      <c r="Y966" s="172" t="n"/>
      <c r="Z966" s="172" t="n"/>
      <c r="AA966" s="172">
        <f>IF('Оперативный ввод'!U966="","",'Оперативный ввод'!U966)</f>
        <v/>
      </c>
      <c r="AB966" s="172">
        <f>IF('Оперативный ввод'!V966="","",'Оперативный ввод'!V966)</f>
        <v/>
      </c>
      <c r="AC966" s="172">
        <f>IF('Оперативный ввод'!W966="","",'Оперативный ввод'!W966)</f>
        <v/>
      </c>
      <c r="BB966" s="172" t="n"/>
      <c r="BC966" s="172" t="n"/>
      <c r="BD966" s="205">
        <f>IF(AND(A966="",B966=""),"",IF(AND(P966="ГОТОВО",R966&lt;&gt;"",T966&lt;&gt;"",U966&lt;&gt;"",AA966&lt;&gt;"",AB966&lt;&gt;"",AC966&lt;&gt;"",BB966&lt;&gt;"",BC966&lt;&gt;""),"ГОТОВО","НЕ ГОТОВО"))</f>
        <v/>
      </c>
      <c r="BE966" s="205">
        <f>IF(BD966&lt;&gt;"ГОТОВО","","Полное заключение: "&amp;A966&amp;", скв. "&amp;B966&amp;". МРП: "&amp;E966&amp;" сут. ГНО: "&amp;F966&amp;"; причина: "&amp;U966&amp;"; категория: "&amp;V966&amp;"; решение комиссии: "&amp;BB966&amp;".")</f>
        <v/>
      </c>
      <c r="BF966" s="173">
        <f>IF('Оперативный ввод'!X966="","",'Оперативный ввод'!X966)</f>
        <v/>
      </c>
    </row>
    <row r="967">
      <c r="A967" s="171">
        <f>IF('Оперативный ввод'!A967="","",'Оперативный ввод'!A967)</f>
        <v/>
      </c>
      <c r="B967" s="172">
        <f>IF('Оперативный ввод'!B967="","",'Оперативный ввод'!B967)</f>
        <v/>
      </c>
      <c r="C967" s="270">
        <f>IF('Оперативный ввод'!C967="","",'Оперативный ввод'!C967)</f>
        <v/>
      </c>
      <c r="D967" s="270">
        <f>IF('Оперативный ввод'!D967="","",'Оперативный ввод'!D967)</f>
        <v/>
      </c>
      <c r="E967" s="271">
        <f>IF(OR(C967="",D967=""),"",D967-C967)</f>
        <v/>
      </c>
      <c r="F967" s="172">
        <f>IF('Оперативный ввод'!F967="","",'Оперативный ввод'!F967)</f>
        <v/>
      </c>
      <c r="G967" s="172">
        <f>IF('Оперативный ввод'!G967="","",'Оперативный ввод'!G967)</f>
        <v/>
      </c>
      <c r="H967" s="172">
        <f>IF('Оперативный ввод'!H967="","",'Оперативный ввод'!H967)</f>
        <v/>
      </c>
      <c r="I967" s="172">
        <f>IF('Оперативный ввод'!I967="","",'Оперативный ввод'!I967)</f>
        <v/>
      </c>
      <c r="J967" s="172">
        <f>IF('Оперативный ввод'!J967="","",'Оперативный ввод'!J967)</f>
        <v/>
      </c>
      <c r="K967" s="172">
        <f>IF('Оперативный ввод'!K967="","",'Оперативный ввод'!K967)</f>
        <v/>
      </c>
      <c r="L967" s="172">
        <f>IF('Оперативный ввод'!L967="","",'Оперативный ввод'!L967)</f>
        <v/>
      </c>
      <c r="M967" s="172">
        <f>IF('Оперативный ввод'!M967="","",'Оперативный ввод'!M967)</f>
        <v/>
      </c>
      <c r="N967" s="172">
        <f>IF('Оперативный ввод'!N967="","",'Оперативный ввод'!N967)</f>
        <v/>
      </c>
      <c r="O967" s="172">
        <f>IF('Оперативный ввод'!O967="","",'Оперативный ввод'!O967)</f>
        <v/>
      </c>
      <c r="P967" s="205">
        <f>IF(AND(A967="",B967=""),"",IF(AND(A967&lt;&gt;"",B967&lt;&gt;"",C967&lt;&gt;"",D967&lt;&gt;"",F967&lt;&gt;"",G967&lt;&gt;"",H967&lt;&gt;"",ISERROR(SEARCH("по паспорту",G967)),ISERROR(SEARCH("по паспорту",H967)),I967&lt;&gt;"",J967&lt;&gt;"",K967&lt;&gt;"",L967&lt;&gt;"",M967&lt;&gt;""),"ГОТОВО","НЕ ГОТОВО"))</f>
        <v/>
      </c>
      <c r="Q967" s="205">
        <f>IF(P967&lt;&gt;"ГОТОВО","", "Предварительное заключение: "&amp;A967&amp;", скв. "&amp;B967&amp;". МРП: "&amp;E967&amp;" сут. ГНО: "&amp;F967&amp;", типоразмер "&amp;G967&amp;", марка "&amp;H967&amp;". Событие: "&amp;I967&amp;". Признак: "&amp;J967&amp;". Узел: "&amp;K967&amp;". Предварительная причина: "&amp;L967&amp;". Основное осложнение: "&amp;M967&amp;IF(N967&lt;&gt;"","; сопутствующее: "&amp;N967,"")&amp;IF(O967&lt;&gt;"","; дополнительно: "&amp;O967,"")&amp;".")</f>
        <v/>
      </c>
      <c r="R967" s="172">
        <f>IF('Оперативный ввод'!P967="","",'Оперативный ввод'!P967)</f>
        <v/>
      </c>
      <c r="S967" s="172">
        <f>IF('Оперативный ввод'!Q967="","",'Оперативный ввод'!Q967)</f>
        <v/>
      </c>
      <c r="T967" s="172">
        <f>IF('Оперативный ввод'!R967="","",'Оперативный ввод'!R967)</f>
        <v/>
      </c>
      <c r="U967" s="172">
        <f>IF('Оперативный ввод'!S967="","",'Оперативный ввод'!S967)</f>
        <v/>
      </c>
      <c r="V967" s="172">
        <f>IF('Оперативный ввод'!T967="","",'Оперативный ввод'!T967)</f>
        <v/>
      </c>
      <c r="W967" s="172" t="n"/>
      <c r="X967" s="172" t="n"/>
      <c r="Y967" s="172" t="n"/>
      <c r="Z967" s="172" t="n"/>
      <c r="AA967" s="172">
        <f>IF('Оперативный ввод'!U967="","",'Оперативный ввод'!U967)</f>
        <v/>
      </c>
      <c r="AB967" s="172">
        <f>IF('Оперативный ввод'!V967="","",'Оперативный ввод'!V967)</f>
        <v/>
      </c>
      <c r="AC967" s="172">
        <f>IF('Оперативный ввод'!W967="","",'Оперативный ввод'!W967)</f>
        <v/>
      </c>
      <c r="BB967" s="172" t="n"/>
      <c r="BC967" s="172" t="n"/>
      <c r="BD967" s="205">
        <f>IF(AND(A967="",B967=""),"",IF(AND(P967="ГОТОВО",R967&lt;&gt;"",T967&lt;&gt;"",U967&lt;&gt;"",AA967&lt;&gt;"",AB967&lt;&gt;"",AC967&lt;&gt;"",BB967&lt;&gt;"",BC967&lt;&gt;""),"ГОТОВО","НЕ ГОТОВО"))</f>
        <v/>
      </c>
      <c r="BE967" s="205">
        <f>IF(BD967&lt;&gt;"ГОТОВО","","Полное заключение: "&amp;A967&amp;", скв. "&amp;B967&amp;". МРП: "&amp;E967&amp;" сут. ГНО: "&amp;F967&amp;"; причина: "&amp;U967&amp;"; категория: "&amp;V967&amp;"; решение комиссии: "&amp;BB967&amp;".")</f>
        <v/>
      </c>
      <c r="BF967" s="173">
        <f>IF('Оперативный ввод'!X967="","",'Оперативный ввод'!X967)</f>
        <v/>
      </c>
    </row>
    <row r="968">
      <c r="A968" s="171">
        <f>IF('Оперативный ввод'!A968="","",'Оперативный ввод'!A968)</f>
        <v/>
      </c>
      <c r="B968" s="172">
        <f>IF('Оперативный ввод'!B968="","",'Оперативный ввод'!B968)</f>
        <v/>
      </c>
      <c r="C968" s="270">
        <f>IF('Оперативный ввод'!C968="","",'Оперативный ввод'!C968)</f>
        <v/>
      </c>
      <c r="D968" s="270">
        <f>IF('Оперативный ввод'!D968="","",'Оперативный ввод'!D968)</f>
        <v/>
      </c>
      <c r="E968" s="271">
        <f>IF(OR(C968="",D968=""),"",D968-C968)</f>
        <v/>
      </c>
      <c r="F968" s="172">
        <f>IF('Оперативный ввод'!F968="","",'Оперативный ввод'!F968)</f>
        <v/>
      </c>
      <c r="G968" s="172">
        <f>IF('Оперативный ввод'!G968="","",'Оперативный ввод'!G968)</f>
        <v/>
      </c>
      <c r="H968" s="172">
        <f>IF('Оперативный ввод'!H968="","",'Оперативный ввод'!H968)</f>
        <v/>
      </c>
      <c r="I968" s="172">
        <f>IF('Оперативный ввод'!I968="","",'Оперативный ввод'!I968)</f>
        <v/>
      </c>
      <c r="J968" s="172">
        <f>IF('Оперативный ввод'!J968="","",'Оперативный ввод'!J968)</f>
        <v/>
      </c>
      <c r="K968" s="172">
        <f>IF('Оперативный ввод'!K968="","",'Оперативный ввод'!K968)</f>
        <v/>
      </c>
      <c r="L968" s="172">
        <f>IF('Оперативный ввод'!L968="","",'Оперативный ввод'!L968)</f>
        <v/>
      </c>
      <c r="M968" s="172">
        <f>IF('Оперативный ввод'!M968="","",'Оперативный ввод'!M968)</f>
        <v/>
      </c>
      <c r="N968" s="172">
        <f>IF('Оперативный ввод'!N968="","",'Оперативный ввод'!N968)</f>
        <v/>
      </c>
      <c r="O968" s="172">
        <f>IF('Оперативный ввод'!O968="","",'Оперативный ввод'!O968)</f>
        <v/>
      </c>
      <c r="P968" s="205">
        <f>IF(AND(A968="",B968=""),"",IF(AND(A968&lt;&gt;"",B968&lt;&gt;"",C968&lt;&gt;"",D968&lt;&gt;"",F968&lt;&gt;"",G968&lt;&gt;"",H968&lt;&gt;"",ISERROR(SEARCH("по паспорту",G968)),ISERROR(SEARCH("по паспорту",H968)),I968&lt;&gt;"",J968&lt;&gt;"",K968&lt;&gt;"",L968&lt;&gt;"",M968&lt;&gt;""),"ГОТОВО","НЕ ГОТОВО"))</f>
        <v/>
      </c>
      <c r="Q968" s="205">
        <f>IF(P968&lt;&gt;"ГОТОВО","", "Предварительное заключение: "&amp;A968&amp;", скв. "&amp;B968&amp;". МРП: "&amp;E968&amp;" сут. ГНО: "&amp;F968&amp;", типоразмер "&amp;G968&amp;", марка "&amp;H968&amp;". Событие: "&amp;I968&amp;". Признак: "&amp;J968&amp;". Узел: "&amp;K968&amp;". Предварительная причина: "&amp;L968&amp;". Основное осложнение: "&amp;M968&amp;IF(N968&lt;&gt;"","; сопутствующее: "&amp;N968,"")&amp;IF(O968&lt;&gt;"","; дополнительно: "&amp;O968,"")&amp;".")</f>
        <v/>
      </c>
      <c r="R968" s="172">
        <f>IF('Оперативный ввод'!P968="","",'Оперативный ввод'!P968)</f>
        <v/>
      </c>
      <c r="S968" s="172">
        <f>IF('Оперативный ввод'!Q968="","",'Оперативный ввод'!Q968)</f>
        <v/>
      </c>
      <c r="T968" s="172">
        <f>IF('Оперативный ввод'!R968="","",'Оперативный ввод'!R968)</f>
        <v/>
      </c>
      <c r="U968" s="172">
        <f>IF('Оперативный ввод'!S968="","",'Оперативный ввод'!S968)</f>
        <v/>
      </c>
      <c r="V968" s="172">
        <f>IF('Оперативный ввод'!T968="","",'Оперативный ввод'!T968)</f>
        <v/>
      </c>
      <c r="W968" s="172" t="n"/>
      <c r="X968" s="172" t="n"/>
      <c r="Y968" s="172" t="n"/>
      <c r="Z968" s="172" t="n"/>
      <c r="AA968" s="172">
        <f>IF('Оперативный ввод'!U968="","",'Оперативный ввод'!U968)</f>
        <v/>
      </c>
      <c r="AB968" s="172">
        <f>IF('Оперативный ввод'!V968="","",'Оперативный ввод'!V968)</f>
        <v/>
      </c>
      <c r="AC968" s="172">
        <f>IF('Оперативный ввод'!W968="","",'Оперативный ввод'!W968)</f>
        <v/>
      </c>
      <c r="BB968" s="172" t="n"/>
      <c r="BC968" s="172" t="n"/>
      <c r="BD968" s="205">
        <f>IF(AND(A968="",B968=""),"",IF(AND(P968="ГОТОВО",R968&lt;&gt;"",T968&lt;&gt;"",U968&lt;&gt;"",AA968&lt;&gt;"",AB968&lt;&gt;"",AC968&lt;&gt;"",BB968&lt;&gt;"",BC968&lt;&gt;""),"ГОТОВО","НЕ ГОТОВО"))</f>
        <v/>
      </c>
      <c r="BE968" s="205">
        <f>IF(BD968&lt;&gt;"ГОТОВО","","Полное заключение: "&amp;A968&amp;", скв. "&amp;B968&amp;". МРП: "&amp;E968&amp;" сут. ГНО: "&amp;F968&amp;"; причина: "&amp;U968&amp;"; категория: "&amp;V968&amp;"; решение комиссии: "&amp;BB968&amp;".")</f>
        <v/>
      </c>
      <c r="BF968" s="173">
        <f>IF('Оперативный ввод'!X968="","",'Оперативный ввод'!X968)</f>
        <v/>
      </c>
    </row>
    <row r="969">
      <c r="A969" s="171">
        <f>IF('Оперативный ввод'!A969="","",'Оперативный ввод'!A969)</f>
        <v/>
      </c>
      <c r="B969" s="172">
        <f>IF('Оперативный ввод'!B969="","",'Оперативный ввод'!B969)</f>
        <v/>
      </c>
      <c r="C969" s="270">
        <f>IF('Оперативный ввод'!C969="","",'Оперативный ввод'!C969)</f>
        <v/>
      </c>
      <c r="D969" s="270">
        <f>IF('Оперативный ввод'!D969="","",'Оперативный ввод'!D969)</f>
        <v/>
      </c>
      <c r="E969" s="271">
        <f>IF(OR(C969="",D969=""),"",D969-C969)</f>
        <v/>
      </c>
      <c r="F969" s="172">
        <f>IF('Оперативный ввод'!F969="","",'Оперативный ввод'!F969)</f>
        <v/>
      </c>
      <c r="G969" s="172">
        <f>IF('Оперативный ввод'!G969="","",'Оперативный ввод'!G969)</f>
        <v/>
      </c>
      <c r="H969" s="172">
        <f>IF('Оперативный ввод'!H969="","",'Оперативный ввод'!H969)</f>
        <v/>
      </c>
      <c r="I969" s="172">
        <f>IF('Оперативный ввод'!I969="","",'Оперативный ввод'!I969)</f>
        <v/>
      </c>
      <c r="J969" s="172">
        <f>IF('Оперативный ввод'!J969="","",'Оперативный ввод'!J969)</f>
        <v/>
      </c>
      <c r="K969" s="172">
        <f>IF('Оперативный ввод'!K969="","",'Оперативный ввод'!K969)</f>
        <v/>
      </c>
      <c r="L969" s="172">
        <f>IF('Оперативный ввод'!L969="","",'Оперативный ввод'!L969)</f>
        <v/>
      </c>
      <c r="M969" s="172">
        <f>IF('Оперативный ввод'!M969="","",'Оперативный ввод'!M969)</f>
        <v/>
      </c>
      <c r="N969" s="172">
        <f>IF('Оперативный ввод'!N969="","",'Оперативный ввод'!N969)</f>
        <v/>
      </c>
      <c r="O969" s="172">
        <f>IF('Оперативный ввод'!O969="","",'Оперативный ввод'!O969)</f>
        <v/>
      </c>
      <c r="P969" s="205">
        <f>IF(AND(A969="",B969=""),"",IF(AND(A969&lt;&gt;"",B969&lt;&gt;"",C969&lt;&gt;"",D969&lt;&gt;"",F969&lt;&gt;"",G969&lt;&gt;"",H969&lt;&gt;"",ISERROR(SEARCH("по паспорту",G969)),ISERROR(SEARCH("по паспорту",H969)),I969&lt;&gt;"",J969&lt;&gt;"",K969&lt;&gt;"",L969&lt;&gt;"",M969&lt;&gt;""),"ГОТОВО","НЕ ГОТОВО"))</f>
        <v/>
      </c>
      <c r="Q969" s="205">
        <f>IF(P969&lt;&gt;"ГОТОВО","", "Предварительное заключение: "&amp;A969&amp;", скв. "&amp;B969&amp;". МРП: "&amp;E969&amp;" сут. ГНО: "&amp;F969&amp;", типоразмер "&amp;G969&amp;", марка "&amp;H969&amp;". Событие: "&amp;I969&amp;". Признак: "&amp;J969&amp;". Узел: "&amp;K969&amp;". Предварительная причина: "&amp;L969&amp;". Основное осложнение: "&amp;M969&amp;IF(N969&lt;&gt;"","; сопутствующее: "&amp;N969,"")&amp;IF(O969&lt;&gt;"","; дополнительно: "&amp;O969,"")&amp;".")</f>
        <v/>
      </c>
      <c r="R969" s="172">
        <f>IF('Оперативный ввод'!P969="","",'Оперативный ввод'!P969)</f>
        <v/>
      </c>
      <c r="S969" s="172">
        <f>IF('Оперативный ввод'!Q969="","",'Оперативный ввод'!Q969)</f>
        <v/>
      </c>
      <c r="T969" s="172">
        <f>IF('Оперативный ввод'!R969="","",'Оперативный ввод'!R969)</f>
        <v/>
      </c>
      <c r="U969" s="172">
        <f>IF('Оперативный ввод'!S969="","",'Оперативный ввод'!S969)</f>
        <v/>
      </c>
      <c r="V969" s="172">
        <f>IF('Оперативный ввод'!T969="","",'Оперативный ввод'!T969)</f>
        <v/>
      </c>
      <c r="W969" s="172" t="n"/>
      <c r="X969" s="172" t="n"/>
      <c r="Y969" s="172" t="n"/>
      <c r="Z969" s="172" t="n"/>
      <c r="AA969" s="172">
        <f>IF('Оперативный ввод'!U969="","",'Оперативный ввод'!U969)</f>
        <v/>
      </c>
      <c r="AB969" s="172">
        <f>IF('Оперативный ввод'!V969="","",'Оперативный ввод'!V969)</f>
        <v/>
      </c>
      <c r="AC969" s="172">
        <f>IF('Оперативный ввод'!W969="","",'Оперативный ввод'!W969)</f>
        <v/>
      </c>
      <c r="BB969" s="172" t="n"/>
      <c r="BC969" s="172" t="n"/>
      <c r="BD969" s="205">
        <f>IF(AND(A969="",B969=""),"",IF(AND(P969="ГОТОВО",R969&lt;&gt;"",T969&lt;&gt;"",U969&lt;&gt;"",AA969&lt;&gt;"",AB969&lt;&gt;"",AC969&lt;&gt;"",BB969&lt;&gt;"",BC969&lt;&gt;""),"ГОТОВО","НЕ ГОТОВО"))</f>
        <v/>
      </c>
      <c r="BE969" s="205">
        <f>IF(BD969&lt;&gt;"ГОТОВО","","Полное заключение: "&amp;A969&amp;", скв. "&amp;B969&amp;". МРП: "&amp;E969&amp;" сут. ГНО: "&amp;F969&amp;"; причина: "&amp;U969&amp;"; категория: "&amp;V969&amp;"; решение комиссии: "&amp;BB969&amp;".")</f>
        <v/>
      </c>
      <c r="BF969" s="173">
        <f>IF('Оперативный ввод'!X969="","",'Оперативный ввод'!X969)</f>
        <v/>
      </c>
    </row>
    <row r="970">
      <c r="A970" s="171">
        <f>IF('Оперативный ввод'!A970="","",'Оперативный ввод'!A970)</f>
        <v/>
      </c>
      <c r="B970" s="172">
        <f>IF('Оперативный ввод'!B970="","",'Оперативный ввод'!B970)</f>
        <v/>
      </c>
      <c r="C970" s="270">
        <f>IF('Оперативный ввод'!C970="","",'Оперативный ввод'!C970)</f>
        <v/>
      </c>
      <c r="D970" s="270">
        <f>IF('Оперативный ввод'!D970="","",'Оперативный ввод'!D970)</f>
        <v/>
      </c>
      <c r="E970" s="271">
        <f>IF(OR(C970="",D970=""),"",D970-C970)</f>
        <v/>
      </c>
      <c r="F970" s="172">
        <f>IF('Оперативный ввод'!F970="","",'Оперативный ввод'!F970)</f>
        <v/>
      </c>
      <c r="G970" s="172">
        <f>IF('Оперативный ввод'!G970="","",'Оперативный ввод'!G970)</f>
        <v/>
      </c>
      <c r="H970" s="172">
        <f>IF('Оперативный ввод'!H970="","",'Оперативный ввод'!H970)</f>
        <v/>
      </c>
      <c r="I970" s="172">
        <f>IF('Оперативный ввод'!I970="","",'Оперативный ввод'!I970)</f>
        <v/>
      </c>
      <c r="J970" s="172">
        <f>IF('Оперативный ввод'!J970="","",'Оперативный ввод'!J970)</f>
        <v/>
      </c>
      <c r="K970" s="172">
        <f>IF('Оперативный ввод'!K970="","",'Оперативный ввод'!K970)</f>
        <v/>
      </c>
      <c r="L970" s="172">
        <f>IF('Оперативный ввод'!L970="","",'Оперативный ввод'!L970)</f>
        <v/>
      </c>
      <c r="M970" s="172">
        <f>IF('Оперативный ввод'!M970="","",'Оперативный ввод'!M970)</f>
        <v/>
      </c>
      <c r="N970" s="172">
        <f>IF('Оперативный ввод'!N970="","",'Оперативный ввод'!N970)</f>
        <v/>
      </c>
      <c r="O970" s="172">
        <f>IF('Оперативный ввод'!O970="","",'Оперативный ввод'!O970)</f>
        <v/>
      </c>
      <c r="P970" s="205">
        <f>IF(AND(A970="",B970=""),"",IF(AND(A970&lt;&gt;"",B970&lt;&gt;"",C970&lt;&gt;"",D970&lt;&gt;"",F970&lt;&gt;"",G970&lt;&gt;"",H970&lt;&gt;"",ISERROR(SEARCH("по паспорту",G970)),ISERROR(SEARCH("по паспорту",H970)),I970&lt;&gt;"",J970&lt;&gt;"",K970&lt;&gt;"",L970&lt;&gt;"",M970&lt;&gt;""),"ГОТОВО","НЕ ГОТОВО"))</f>
        <v/>
      </c>
      <c r="Q970" s="205">
        <f>IF(P970&lt;&gt;"ГОТОВО","", "Предварительное заключение: "&amp;A970&amp;", скв. "&amp;B970&amp;". МРП: "&amp;E970&amp;" сут. ГНО: "&amp;F970&amp;", типоразмер "&amp;G970&amp;", марка "&amp;H970&amp;". Событие: "&amp;I970&amp;". Признак: "&amp;J970&amp;". Узел: "&amp;K970&amp;". Предварительная причина: "&amp;L970&amp;". Основное осложнение: "&amp;M970&amp;IF(N970&lt;&gt;"","; сопутствующее: "&amp;N970,"")&amp;IF(O970&lt;&gt;"","; дополнительно: "&amp;O970,"")&amp;".")</f>
        <v/>
      </c>
      <c r="R970" s="172">
        <f>IF('Оперативный ввод'!P970="","",'Оперативный ввод'!P970)</f>
        <v/>
      </c>
      <c r="S970" s="172">
        <f>IF('Оперативный ввод'!Q970="","",'Оперативный ввод'!Q970)</f>
        <v/>
      </c>
      <c r="T970" s="172">
        <f>IF('Оперативный ввод'!R970="","",'Оперативный ввод'!R970)</f>
        <v/>
      </c>
      <c r="U970" s="172">
        <f>IF('Оперативный ввод'!S970="","",'Оперативный ввод'!S970)</f>
        <v/>
      </c>
      <c r="V970" s="172">
        <f>IF('Оперативный ввод'!T970="","",'Оперативный ввод'!T970)</f>
        <v/>
      </c>
      <c r="W970" s="172" t="n"/>
      <c r="X970" s="172" t="n"/>
      <c r="Y970" s="172" t="n"/>
      <c r="Z970" s="172" t="n"/>
      <c r="AA970" s="172">
        <f>IF('Оперативный ввод'!U970="","",'Оперативный ввод'!U970)</f>
        <v/>
      </c>
      <c r="AB970" s="172">
        <f>IF('Оперативный ввод'!V970="","",'Оперативный ввод'!V970)</f>
        <v/>
      </c>
      <c r="AC970" s="172">
        <f>IF('Оперативный ввод'!W970="","",'Оперативный ввод'!W970)</f>
        <v/>
      </c>
      <c r="BB970" s="172" t="n"/>
      <c r="BC970" s="172" t="n"/>
      <c r="BD970" s="205">
        <f>IF(AND(A970="",B970=""),"",IF(AND(P970="ГОТОВО",R970&lt;&gt;"",T970&lt;&gt;"",U970&lt;&gt;"",AA970&lt;&gt;"",AB970&lt;&gt;"",AC970&lt;&gt;"",BB970&lt;&gt;"",BC970&lt;&gt;""),"ГОТОВО","НЕ ГОТОВО"))</f>
        <v/>
      </c>
      <c r="BE970" s="205">
        <f>IF(BD970&lt;&gt;"ГОТОВО","","Полное заключение: "&amp;A970&amp;", скв. "&amp;B970&amp;". МРП: "&amp;E970&amp;" сут. ГНО: "&amp;F970&amp;"; причина: "&amp;U970&amp;"; категория: "&amp;V970&amp;"; решение комиссии: "&amp;BB970&amp;".")</f>
        <v/>
      </c>
      <c r="BF970" s="173">
        <f>IF('Оперативный ввод'!X970="","",'Оперативный ввод'!X970)</f>
        <v/>
      </c>
    </row>
    <row r="971">
      <c r="A971" s="171">
        <f>IF('Оперативный ввод'!A971="","",'Оперативный ввод'!A971)</f>
        <v/>
      </c>
      <c r="B971" s="172">
        <f>IF('Оперативный ввод'!B971="","",'Оперативный ввод'!B971)</f>
        <v/>
      </c>
      <c r="C971" s="270">
        <f>IF('Оперативный ввод'!C971="","",'Оперативный ввод'!C971)</f>
        <v/>
      </c>
      <c r="D971" s="270">
        <f>IF('Оперативный ввод'!D971="","",'Оперативный ввод'!D971)</f>
        <v/>
      </c>
      <c r="E971" s="271">
        <f>IF(OR(C971="",D971=""),"",D971-C971)</f>
        <v/>
      </c>
      <c r="F971" s="172">
        <f>IF('Оперативный ввод'!F971="","",'Оперативный ввод'!F971)</f>
        <v/>
      </c>
      <c r="G971" s="172">
        <f>IF('Оперативный ввод'!G971="","",'Оперативный ввод'!G971)</f>
        <v/>
      </c>
      <c r="H971" s="172">
        <f>IF('Оперативный ввод'!H971="","",'Оперативный ввод'!H971)</f>
        <v/>
      </c>
      <c r="I971" s="172">
        <f>IF('Оперативный ввод'!I971="","",'Оперативный ввод'!I971)</f>
        <v/>
      </c>
      <c r="J971" s="172">
        <f>IF('Оперативный ввод'!J971="","",'Оперативный ввод'!J971)</f>
        <v/>
      </c>
      <c r="K971" s="172">
        <f>IF('Оперативный ввод'!K971="","",'Оперативный ввод'!K971)</f>
        <v/>
      </c>
      <c r="L971" s="172">
        <f>IF('Оперативный ввод'!L971="","",'Оперативный ввод'!L971)</f>
        <v/>
      </c>
      <c r="M971" s="172">
        <f>IF('Оперативный ввод'!M971="","",'Оперативный ввод'!M971)</f>
        <v/>
      </c>
      <c r="N971" s="172">
        <f>IF('Оперативный ввод'!N971="","",'Оперативный ввод'!N971)</f>
        <v/>
      </c>
      <c r="O971" s="172">
        <f>IF('Оперативный ввод'!O971="","",'Оперативный ввод'!O971)</f>
        <v/>
      </c>
      <c r="P971" s="205">
        <f>IF(AND(A971="",B971=""),"",IF(AND(A971&lt;&gt;"",B971&lt;&gt;"",C971&lt;&gt;"",D971&lt;&gt;"",F971&lt;&gt;"",G971&lt;&gt;"",H971&lt;&gt;"",ISERROR(SEARCH("по паспорту",G971)),ISERROR(SEARCH("по паспорту",H971)),I971&lt;&gt;"",J971&lt;&gt;"",K971&lt;&gt;"",L971&lt;&gt;"",M971&lt;&gt;""),"ГОТОВО","НЕ ГОТОВО"))</f>
        <v/>
      </c>
      <c r="Q971" s="205">
        <f>IF(P971&lt;&gt;"ГОТОВО","", "Предварительное заключение: "&amp;A971&amp;", скв. "&amp;B971&amp;". МРП: "&amp;E971&amp;" сут. ГНО: "&amp;F971&amp;", типоразмер "&amp;G971&amp;", марка "&amp;H971&amp;". Событие: "&amp;I971&amp;". Признак: "&amp;J971&amp;". Узел: "&amp;K971&amp;". Предварительная причина: "&amp;L971&amp;". Основное осложнение: "&amp;M971&amp;IF(N971&lt;&gt;"","; сопутствующее: "&amp;N971,"")&amp;IF(O971&lt;&gt;"","; дополнительно: "&amp;O971,"")&amp;".")</f>
        <v/>
      </c>
      <c r="R971" s="172">
        <f>IF('Оперативный ввод'!P971="","",'Оперативный ввод'!P971)</f>
        <v/>
      </c>
      <c r="S971" s="172">
        <f>IF('Оперативный ввод'!Q971="","",'Оперативный ввод'!Q971)</f>
        <v/>
      </c>
      <c r="T971" s="172">
        <f>IF('Оперативный ввод'!R971="","",'Оперативный ввод'!R971)</f>
        <v/>
      </c>
      <c r="U971" s="172">
        <f>IF('Оперативный ввод'!S971="","",'Оперативный ввод'!S971)</f>
        <v/>
      </c>
      <c r="V971" s="172">
        <f>IF('Оперативный ввод'!T971="","",'Оперативный ввод'!T971)</f>
        <v/>
      </c>
      <c r="W971" s="172" t="n"/>
      <c r="X971" s="172" t="n"/>
      <c r="Y971" s="172" t="n"/>
      <c r="Z971" s="172" t="n"/>
      <c r="AA971" s="172">
        <f>IF('Оперативный ввод'!U971="","",'Оперативный ввод'!U971)</f>
        <v/>
      </c>
      <c r="AB971" s="172">
        <f>IF('Оперативный ввод'!V971="","",'Оперативный ввод'!V971)</f>
        <v/>
      </c>
      <c r="AC971" s="172">
        <f>IF('Оперативный ввод'!W971="","",'Оперативный ввод'!W971)</f>
        <v/>
      </c>
      <c r="BB971" s="172" t="n"/>
      <c r="BC971" s="172" t="n"/>
      <c r="BD971" s="205">
        <f>IF(AND(A971="",B971=""),"",IF(AND(P971="ГОТОВО",R971&lt;&gt;"",T971&lt;&gt;"",U971&lt;&gt;"",AA971&lt;&gt;"",AB971&lt;&gt;"",AC971&lt;&gt;"",BB971&lt;&gt;"",BC971&lt;&gt;""),"ГОТОВО","НЕ ГОТОВО"))</f>
        <v/>
      </c>
      <c r="BE971" s="205">
        <f>IF(BD971&lt;&gt;"ГОТОВО","","Полное заключение: "&amp;A971&amp;", скв. "&amp;B971&amp;". МРП: "&amp;E971&amp;" сут. ГНО: "&amp;F971&amp;"; причина: "&amp;U971&amp;"; категория: "&amp;V971&amp;"; решение комиссии: "&amp;BB971&amp;".")</f>
        <v/>
      </c>
      <c r="BF971" s="173">
        <f>IF('Оперативный ввод'!X971="","",'Оперативный ввод'!X971)</f>
        <v/>
      </c>
    </row>
    <row r="972">
      <c r="A972" s="171">
        <f>IF('Оперативный ввод'!A972="","",'Оперативный ввод'!A972)</f>
        <v/>
      </c>
      <c r="B972" s="172">
        <f>IF('Оперативный ввод'!B972="","",'Оперативный ввод'!B972)</f>
        <v/>
      </c>
      <c r="C972" s="270">
        <f>IF('Оперативный ввод'!C972="","",'Оперативный ввод'!C972)</f>
        <v/>
      </c>
      <c r="D972" s="270">
        <f>IF('Оперативный ввод'!D972="","",'Оперативный ввод'!D972)</f>
        <v/>
      </c>
      <c r="E972" s="271">
        <f>IF(OR(C972="",D972=""),"",D972-C972)</f>
        <v/>
      </c>
      <c r="F972" s="172">
        <f>IF('Оперативный ввод'!F972="","",'Оперативный ввод'!F972)</f>
        <v/>
      </c>
      <c r="G972" s="172">
        <f>IF('Оперативный ввод'!G972="","",'Оперативный ввод'!G972)</f>
        <v/>
      </c>
      <c r="H972" s="172">
        <f>IF('Оперативный ввод'!H972="","",'Оперативный ввод'!H972)</f>
        <v/>
      </c>
      <c r="I972" s="172">
        <f>IF('Оперативный ввод'!I972="","",'Оперативный ввод'!I972)</f>
        <v/>
      </c>
      <c r="J972" s="172">
        <f>IF('Оперативный ввод'!J972="","",'Оперативный ввод'!J972)</f>
        <v/>
      </c>
      <c r="K972" s="172">
        <f>IF('Оперативный ввод'!K972="","",'Оперативный ввод'!K972)</f>
        <v/>
      </c>
      <c r="L972" s="172">
        <f>IF('Оперативный ввод'!L972="","",'Оперативный ввод'!L972)</f>
        <v/>
      </c>
      <c r="M972" s="172">
        <f>IF('Оперативный ввод'!M972="","",'Оперативный ввод'!M972)</f>
        <v/>
      </c>
      <c r="N972" s="172">
        <f>IF('Оперативный ввод'!N972="","",'Оперативный ввод'!N972)</f>
        <v/>
      </c>
      <c r="O972" s="172">
        <f>IF('Оперативный ввод'!O972="","",'Оперативный ввод'!O972)</f>
        <v/>
      </c>
      <c r="P972" s="205">
        <f>IF(AND(A972="",B972=""),"",IF(AND(A972&lt;&gt;"",B972&lt;&gt;"",C972&lt;&gt;"",D972&lt;&gt;"",F972&lt;&gt;"",G972&lt;&gt;"",H972&lt;&gt;"",ISERROR(SEARCH("по паспорту",G972)),ISERROR(SEARCH("по паспорту",H972)),I972&lt;&gt;"",J972&lt;&gt;"",K972&lt;&gt;"",L972&lt;&gt;"",M972&lt;&gt;""),"ГОТОВО","НЕ ГОТОВО"))</f>
        <v/>
      </c>
      <c r="Q972" s="205">
        <f>IF(P972&lt;&gt;"ГОТОВО","", "Предварительное заключение: "&amp;A972&amp;", скв. "&amp;B972&amp;". МРП: "&amp;E972&amp;" сут. ГНО: "&amp;F972&amp;", типоразмер "&amp;G972&amp;", марка "&amp;H972&amp;". Событие: "&amp;I972&amp;". Признак: "&amp;J972&amp;". Узел: "&amp;K972&amp;". Предварительная причина: "&amp;L972&amp;". Основное осложнение: "&amp;M972&amp;IF(N972&lt;&gt;"","; сопутствующее: "&amp;N972,"")&amp;IF(O972&lt;&gt;"","; дополнительно: "&amp;O972,"")&amp;".")</f>
        <v/>
      </c>
      <c r="R972" s="172">
        <f>IF('Оперативный ввод'!P972="","",'Оперативный ввод'!P972)</f>
        <v/>
      </c>
      <c r="S972" s="172">
        <f>IF('Оперативный ввод'!Q972="","",'Оперативный ввод'!Q972)</f>
        <v/>
      </c>
      <c r="T972" s="172">
        <f>IF('Оперативный ввод'!R972="","",'Оперативный ввод'!R972)</f>
        <v/>
      </c>
      <c r="U972" s="172">
        <f>IF('Оперативный ввод'!S972="","",'Оперативный ввод'!S972)</f>
        <v/>
      </c>
      <c r="V972" s="172">
        <f>IF('Оперативный ввод'!T972="","",'Оперативный ввод'!T972)</f>
        <v/>
      </c>
      <c r="W972" s="172" t="n"/>
      <c r="X972" s="172" t="n"/>
      <c r="Y972" s="172" t="n"/>
      <c r="Z972" s="172" t="n"/>
      <c r="AA972" s="172">
        <f>IF('Оперативный ввод'!U972="","",'Оперативный ввод'!U972)</f>
        <v/>
      </c>
      <c r="AB972" s="172">
        <f>IF('Оперативный ввод'!V972="","",'Оперативный ввод'!V972)</f>
        <v/>
      </c>
      <c r="AC972" s="172">
        <f>IF('Оперативный ввод'!W972="","",'Оперативный ввод'!W972)</f>
        <v/>
      </c>
      <c r="BB972" s="172" t="n"/>
      <c r="BC972" s="172" t="n"/>
      <c r="BD972" s="205">
        <f>IF(AND(A972="",B972=""),"",IF(AND(P972="ГОТОВО",R972&lt;&gt;"",T972&lt;&gt;"",U972&lt;&gt;"",AA972&lt;&gt;"",AB972&lt;&gt;"",AC972&lt;&gt;"",BB972&lt;&gt;"",BC972&lt;&gt;""),"ГОТОВО","НЕ ГОТОВО"))</f>
        <v/>
      </c>
      <c r="BE972" s="205">
        <f>IF(BD972&lt;&gt;"ГОТОВО","","Полное заключение: "&amp;A972&amp;", скв. "&amp;B972&amp;". МРП: "&amp;E972&amp;" сут. ГНО: "&amp;F972&amp;"; причина: "&amp;U972&amp;"; категория: "&amp;V972&amp;"; решение комиссии: "&amp;BB972&amp;".")</f>
        <v/>
      </c>
      <c r="BF972" s="173">
        <f>IF('Оперативный ввод'!X972="","",'Оперативный ввод'!X972)</f>
        <v/>
      </c>
    </row>
    <row r="973">
      <c r="A973" s="171">
        <f>IF('Оперативный ввод'!A973="","",'Оперативный ввод'!A973)</f>
        <v/>
      </c>
      <c r="B973" s="172">
        <f>IF('Оперативный ввод'!B973="","",'Оперативный ввод'!B973)</f>
        <v/>
      </c>
      <c r="C973" s="270">
        <f>IF('Оперативный ввод'!C973="","",'Оперативный ввод'!C973)</f>
        <v/>
      </c>
      <c r="D973" s="270">
        <f>IF('Оперативный ввод'!D973="","",'Оперативный ввод'!D973)</f>
        <v/>
      </c>
      <c r="E973" s="271">
        <f>IF(OR(C973="",D973=""),"",D973-C973)</f>
        <v/>
      </c>
      <c r="F973" s="172">
        <f>IF('Оперативный ввод'!F973="","",'Оперативный ввод'!F973)</f>
        <v/>
      </c>
      <c r="G973" s="172">
        <f>IF('Оперативный ввод'!G973="","",'Оперативный ввод'!G973)</f>
        <v/>
      </c>
      <c r="H973" s="172">
        <f>IF('Оперативный ввод'!H973="","",'Оперативный ввод'!H973)</f>
        <v/>
      </c>
      <c r="I973" s="172">
        <f>IF('Оперативный ввод'!I973="","",'Оперативный ввод'!I973)</f>
        <v/>
      </c>
      <c r="J973" s="172">
        <f>IF('Оперативный ввод'!J973="","",'Оперативный ввод'!J973)</f>
        <v/>
      </c>
      <c r="K973" s="172">
        <f>IF('Оперативный ввод'!K973="","",'Оперативный ввод'!K973)</f>
        <v/>
      </c>
      <c r="L973" s="172">
        <f>IF('Оперативный ввод'!L973="","",'Оперативный ввод'!L973)</f>
        <v/>
      </c>
      <c r="M973" s="172">
        <f>IF('Оперативный ввод'!M973="","",'Оперативный ввод'!M973)</f>
        <v/>
      </c>
      <c r="N973" s="172">
        <f>IF('Оперативный ввод'!N973="","",'Оперативный ввод'!N973)</f>
        <v/>
      </c>
      <c r="O973" s="172">
        <f>IF('Оперативный ввод'!O973="","",'Оперативный ввод'!O973)</f>
        <v/>
      </c>
      <c r="P973" s="205">
        <f>IF(AND(A973="",B973=""),"",IF(AND(A973&lt;&gt;"",B973&lt;&gt;"",C973&lt;&gt;"",D973&lt;&gt;"",F973&lt;&gt;"",G973&lt;&gt;"",H973&lt;&gt;"",ISERROR(SEARCH("по паспорту",G973)),ISERROR(SEARCH("по паспорту",H973)),I973&lt;&gt;"",J973&lt;&gt;"",K973&lt;&gt;"",L973&lt;&gt;"",M973&lt;&gt;""),"ГОТОВО","НЕ ГОТОВО"))</f>
        <v/>
      </c>
      <c r="Q973" s="205">
        <f>IF(P973&lt;&gt;"ГОТОВО","", "Предварительное заключение: "&amp;A973&amp;", скв. "&amp;B973&amp;". МРП: "&amp;E973&amp;" сут. ГНО: "&amp;F973&amp;", типоразмер "&amp;G973&amp;", марка "&amp;H973&amp;". Событие: "&amp;I973&amp;". Признак: "&amp;J973&amp;". Узел: "&amp;K973&amp;". Предварительная причина: "&amp;L973&amp;". Основное осложнение: "&amp;M973&amp;IF(N973&lt;&gt;"","; сопутствующее: "&amp;N973,"")&amp;IF(O973&lt;&gt;"","; дополнительно: "&amp;O973,"")&amp;".")</f>
        <v/>
      </c>
      <c r="R973" s="172">
        <f>IF('Оперативный ввод'!P973="","",'Оперативный ввод'!P973)</f>
        <v/>
      </c>
      <c r="S973" s="172">
        <f>IF('Оперативный ввод'!Q973="","",'Оперативный ввод'!Q973)</f>
        <v/>
      </c>
      <c r="T973" s="172">
        <f>IF('Оперативный ввод'!R973="","",'Оперативный ввод'!R973)</f>
        <v/>
      </c>
      <c r="U973" s="172">
        <f>IF('Оперативный ввод'!S973="","",'Оперативный ввод'!S973)</f>
        <v/>
      </c>
      <c r="V973" s="172">
        <f>IF('Оперативный ввод'!T973="","",'Оперативный ввод'!T973)</f>
        <v/>
      </c>
      <c r="W973" s="172" t="n"/>
      <c r="X973" s="172" t="n"/>
      <c r="Y973" s="172" t="n"/>
      <c r="Z973" s="172" t="n"/>
      <c r="AA973" s="172">
        <f>IF('Оперативный ввод'!U973="","",'Оперативный ввод'!U973)</f>
        <v/>
      </c>
      <c r="AB973" s="172">
        <f>IF('Оперативный ввод'!V973="","",'Оперативный ввод'!V973)</f>
        <v/>
      </c>
      <c r="AC973" s="172">
        <f>IF('Оперативный ввод'!W973="","",'Оперативный ввод'!W973)</f>
        <v/>
      </c>
      <c r="BB973" s="172" t="n"/>
      <c r="BC973" s="172" t="n"/>
      <c r="BD973" s="205">
        <f>IF(AND(A973="",B973=""),"",IF(AND(P973="ГОТОВО",R973&lt;&gt;"",T973&lt;&gt;"",U973&lt;&gt;"",AA973&lt;&gt;"",AB973&lt;&gt;"",AC973&lt;&gt;"",BB973&lt;&gt;"",BC973&lt;&gt;""),"ГОТОВО","НЕ ГОТОВО"))</f>
        <v/>
      </c>
      <c r="BE973" s="205">
        <f>IF(BD973&lt;&gt;"ГОТОВО","","Полное заключение: "&amp;A973&amp;", скв. "&amp;B973&amp;". МРП: "&amp;E973&amp;" сут. ГНО: "&amp;F973&amp;"; причина: "&amp;U973&amp;"; категория: "&amp;V973&amp;"; решение комиссии: "&amp;BB973&amp;".")</f>
        <v/>
      </c>
      <c r="BF973" s="173">
        <f>IF('Оперативный ввод'!X973="","",'Оперативный ввод'!X973)</f>
        <v/>
      </c>
    </row>
    <row r="974">
      <c r="A974" s="171">
        <f>IF('Оперативный ввод'!A974="","",'Оперативный ввод'!A974)</f>
        <v/>
      </c>
      <c r="B974" s="172">
        <f>IF('Оперативный ввод'!B974="","",'Оперативный ввод'!B974)</f>
        <v/>
      </c>
      <c r="C974" s="270">
        <f>IF('Оперативный ввод'!C974="","",'Оперативный ввод'!C974)</f>
        <v/>
      </c>
      <c r="D974" s="270">
        <f>IF('Оперативный ввод'!D974="","",'Оперативный ввод'!D974)</f>
        <v/>
      </c>
      <c r="E974" s="271">
        <f>IF(OR(C974="",D974=""),"",D974-C974)</f>
        <v/>
      </c>
      <c r="F974" s="172">
        <f>IF('Оперативный ввод'!F974="","",'Оперативный ввод'!F974)</f>
        <v/>
      </c>
      <c r="G974" s="172">
        <f>IF('Оперативный ввод'!G974="","",'Оперативный ввод'!G974)</f>
        <v/>
      </c>
      <c r="H974" s="172">
        <f>IF('Оперативный ввод'!H974="","",'Оперативный ввод'!H974)</f>
        <v/>
      </c>
      <c r="I974" s="172">
        <f>IF('Оперативный ввод'!I974="","",'Оперативный ввод'!I974)</f>
        <v/>
      </c>
      <c r="J974" s="172">
        <f>IF('Оперативный ввод'!J974="","",'Оперативный ввод'!J974)</f>
        <v/>
      </c>
      <c r="K974" s="172">
        <f>IF('Оперативный ввод'!K974="","",'Оперативный ввод'!K974)</f>
        <v/>
      </c>
      <c r="L974" s="172">
        <f>IF('Оперативный ввод'!L974="","",'Оперативный ввод'!L974)</f>
        <v/>
      </c>
      <c r="M974" s="172">
        <f>IF('Оперативный ввод'!M974="","",'Оперативный ввод'!M974)</f>
        <v/>
      </c>
      <c r="N974" s="172">
        <f>IF('Оперативный ввод'!N974="","",'Оперативный ввод'!N974)</f>
        <v/>
      </c>
      <c r="O974" s="172">
        <f>IF('Оперативный ввод'!O974="","",'Оперативный ввод'!O974)</f>
        <v/>
      </c>
      <c r="P974" s="205">
        <f>IF(AND(A974="",B974=""),"",IF(AND(A974&lt;&gt;"",B974&lt;&gt;"",C974&lt;&gt;"",D974&lt;&gt;"",F974&lt;&gt;"",G974&lt;&gt;"",H974&lt;&gt;"",ISERROR(SEARCH("по паспорту",G974)),ISERROR(SEARCH("по паспорту",H974)),I974&lt;&gt;"",J974&lt;&gt;"",K974&lt;&gt;"",L974&lt;&gt;"",M974&lt;&gt;""),"ГОТОВО","НЕ ГОТОВО"))</f>
        <v/>
      </c>
      <c r="Q974" s="205">
        <f>IF(P974&lt;&gt;"ГОТОВО","", "Предварительное заключение: "&amp;A974&amp;", скв. "&amp;B974&amp;". МРП: "&amp;E974&amp;" сут. ГНО: "&amp;F974&amp;", типоразмер "&amp;G974&amp;", марка "&amp;H974&amp;". Событие: "&amp;I974&amp;". Признак: "&amp;J974&amp;". Узел: "&amp;K974&amp;". Предварительная причина: "&amp;L974&amp;". Основное осложнение: "&amp;M974&amp;IF(N974&lt;&gt;"","; сопутствующее: "&amp;N974,"")&amp;IF(O974&lt;&gt;"","; дополнительно: "&amp;O974,"")&amp;".")</f>
        <v/>
      </c>
      <c r="R974" s="172">
        <f>IF('Оперативный ввод'!P974="","",'Оперативный ввод'!P974)</f>
        <v/>
      </c>
      <c r="S974" s="172">
        <f>IF('Оперативный ввод'!Q974="","",'Оперативный ввод'!Q974)</f>
        <v/>
      </c>
      <c r="T974" s="172">
        <f>IF('Оперативный ввод'!R974="","",'Оперативный ввод'!R974)</f>
        <v/>
      </c>
      <c r="U974" s="172">
        <f>IF('Оперативный ввод'!S974="","",'Оперативный ввод'!S974)</f>
        <v/>
      </c>
      <c r="V974" s="172">
        <f>IF('Оперативный ввод'!T974="","",'Оперативный ввод'!T974)</f>
        <v/>
      </c>
      <c r="W974" s="172" t="n"/>
      <c r="X974" s="172" t="n"/>
      <c r="Y974" s="172" t="n"/>
      <c r="Z974" s="172" t="n"/>
      <c r="AA974" s="172">
        <f>IF('Оперативный ввод'!U974="","",'Оперативный ввод'!U974)</f>
        <v/>
      </c>
      <c r="AB974" s="172">
        <f>IF('Оперативный ввод'!V974="","",'Оперативный ввод'!V974)</f>
        <v/>
      </c>
      <c r="AC974" s="172">
        <f>IF('Оперативный ввод'!W974="","",'Оперативный ввод'!W974)</f>
        <v/>
      </c>
      <c r="BB974" s="172" t="n"/>
      <c r="BC974" s="172" t="n"/>
      <c r="BD974" s="205">
        <f>IF(AND(A974="",B974=""),"",IF(AND(P974="ГОТОВО",R974&lt;&gt;"",T974&lt;&gt;"",U974&lt;&gt;"",AA974&lt;&gt;"",AB974&lt;&gt;"",AC974&lt;&gt;"",BB974&lt;&gt;"",BC974&lt;&gt;""),"ГОТОВО","НЕ ГОТОВО"))</f>
        <v/>
      </c>
      <c r="BE974" s="205">
        <f>IF(BD974&lt;&gt;"ГОТОВО","","Полное заключение: "&amp;A974&amp;", скв. "&amp;B974&amp;". МРП: "&amp;E974&amp;" сут. ГНО: "&amp;F974&amp;"; причина: "&amp;U974&amp;"; категория: "&amp;V974&amp;"; решение комиссии: "&amp;BB974&amp;".")</f>
        <v/>
      </c>
      <c r="BF974" s="173">
        <f>IF('Оперативный ввод'!X974="","",'Оперативный ввод'!X974)</f>
        <v/>
      </c>
    </row>
    <row r="975">
      <c r="A975" s="171">
        <f>IF('Оперативный ввод'!A975="","",'Оперативный ввод'!A975)</f>
        <v/>
      </c>
      <c r="B975" s="172">
        <f>IF('Оперативный ввод'!B975="","",'Оперативный ввод'!B975)</f>
        <v/>
      </c>
      <c r="C975" s="270">
        <f>IF('Оперативный ввод'!C975="","",'Оперативный ввод'!C975)</f>
        <v/>
      </c>
      <c r="D975" s="270">
        <f>IF('Оперативный ввод'!D975="","",'Оперативный ввод'!D975)</f>
        <v/>
      </c>
      <c r="E975" s="271">
        <f>IF(OR(C975="",D975=""),"",D975-C975)</f>
        <v/>
      </c>
      <c r="F975" s="172">
        <f>IF('Оперативный ввод'!F975="","",'Оперативный ввод'!F975)</f>
        <v/>
      </c>
      <c r="G975" s="172">
        <f>IF('Оперативный ввод'!G975="","",'Оперативный ввод'!G975)</f>
        <v/>
      </c>
      <c r="H975" s="172">
        <f>IF('Оперативный ввод'!H975="","",'Оперативный ввод'!H975)</f>
        <v/>
      </c>
      <c r="I975" s="172">
        <f>IF('Оперативный ввод'!I975="","",'Оперативный ввод'!I975)</f>
        <v/>
      </c>
      <c r="J975" s="172">
        <f>IF('Оперативный ввод'!J975="","",'Оперативный ввод'!J975)</f>
        <v/>
      </c>
      <c r="K975" s="172">
        <f>IF('Оперативный ввод'!K975="","",'Оперативный ввод'!K975)</f>
        <v/>
      </c>
      <c r="L975" s="172">
        <f>IF('Оперативный ввод'!L975="","",'Оперативный ввод'!L975)</f>
        <v/>
      </c>
      <c r="M975" s="172">
        <f>IF('Оперативный ввод'!M975="","",'Оперативный ввод'!M975)</f>
        <v/>
      </c>
      <c r="N975" s="172">
        <f>IF('Оперативный ввод'!N975="","",'Оперативный ввод'!N975)</f>
        <v/>
      </c>
      <c r="O975" s="172">
        <f>IF('Оперативный ввод'!O975="","",'Оперативный ввод'!O975)</f>
        <v/>
      </c>
      <c r="P975" s="205">
        <f>IF(AND(A975="",B975=""),"",IF(AND(A975&lt;&gt;"",B975&lt;&gt;"",C975&lt;&gt;"",D975&lt;&gt;"",F975&lt;&gt;"",G975&lt;&gt;"",H975&lt;&gt;"",ISERROR(SEARCH("по паспорту",G975)),ISERROR(SEARCH("по паспорту",H975)),I975&lt;&gt;"",J975&lt;&gt;"",K975&lt;&gt;"",L975&lt;&gt;"",M975&lt;&gt;""),"ГОТОВО","НЕ ГОТОВО"))</f>
        <v/>
      </c>
      <c r="Q975" s="205">
        <f>IF(P975&lt;&gt;"ГОТОВО","", "Предварительное заключение: "&amp;A975&amp;", скв. "&amp;B975&amp;". МРП: "&amp;E975&amp;" сут. ГНО: "&amp;F975&amp;", типоразмер "&amp;G975&amp;", марка "&amp;H975&amp;". Событие: "&amp;I975&amp;". Признак: "&amp;J975&amp;". Узел: "&amp;K975&amp;". Предварительная причина: "&amp;L975&amp;". Основное осложнение: "&amp;M975&amp;IF(N975&lt;&gt;"","; сопутствующее: "&amp;N975,"")&amp;IF(O975&lt;&gt;"","; дополнительно: "&amp;O975,"")&amp;".")</f>
        <v/>
      </c>
      <c r="R975" s="172">
        <f>IF('Оперативный ввод'!P975="","",'Оперативный ввод'!P975)</f>
        <v/>
      </c>
      <c r="S975" s="172">
        <f>IF('Оперативный ввод'!Q975="","",'Оперативный ввод'!Q975)</f>
        <v/>
      </c>
      <c r="T975" s="172">
        <f>IF('Оперативный ввод'!R975="","",'Оперативный ввод'!R975)</f>
        <v/>
      </c>
      <c r="U975" s="172">
        <f>IF('Оперативный ввод'!S975="","",'Оперативный ввод'!S975)</f>
        <v/>
      </c>
      <c r="V975" s="172">
        <f>IF('Оперативный ввод'!T975="","",'Оперативный ввод'!T975)</f>
        <v/>
      </c>
      <c r="W975" s="172" t="n"/>
      <c r="X975" s="172" t="n"/>
      <c r="Y975" s="172" t="n"/>
      <c r="Z975" s="172" t="n"/>
      <c r="AA975" s="172">
        <f>IF('Оперативный ввод'!U975="","",'Оперативный ввод'!U975)</f>
        <v/>
      </c>
      <c r="AB975" s="172">
        <f>IF('Оперативный ввод'!V975="","",'Оперативный ввод'!V975)</f>
        <v/>
      </c>
      <c r="AC975" s="172">
        <f>IF('Оперативный ввод'!W975="","",'Оперативный ввод'!W975)</f>
        <v/>
      </c>
      <c r="BB975" s="172" t="n"/>
      <c r="BC975" s="172" t="n"/>
      <c r="BD975" s="205">
        <f>IF(AND(A975="",B975=""),"",IF(AND(P975="ГОТОВО",R975&lt;&gt;"",T975&lt;&gt;"",U975&lt;&gt;"",AA975&lt;&gt;"",AB975&lt;&gt;"",AC975&lt;&gt;"",BB975&lt;&gt;"",BC975&lt;&gt;""),"ГОТОВО","НЕ ГОТОВО"))</f>
        <v/>
      </c>
      <c r="BE975" s="205">
        <f>IF(BD975&lt;&gt;"ГОТОВО","","Полное заключение: "&amp;A975&amp;", скв. "&amp;B975&amp;". МРП: "&amp;E975&amp;" сут. ГНО: "&amp;F975&amp;"; причина: "&amp;U975&amp;"; категория: "&amp;V975&amp;"; решение комиссии: "&amp;BB975&amp;".")</f>
        <v/>
      </c>
      <c r="BF975" s="173">
        <f>IF('Оперативный ввод'!X975="","",'Оперативный ввод'!X975)</f>
        <v/>
      </c>
    </row>
    <row r="976">
      <c r="A976" s="171">
        <f>IF('Оперативный ввод'!A976="","",'Оперативный ввод'!A976)</f>
        <v/>
      </c>
      <c r="B976" s="172">
        <f>IF('Оперативный ввод'!B976="","",'Оперативный ввод'!B976)</f>
        <v/>
      </c>
      <c r="C976" s="270">
        <f>IF('Оперативный ввод'!C976="","",'Оперативный ввод'!C976)</f>
        <v/>
      </c>
      <c r="D976" s="270">
        <f>IF('Оперативный ввод'!D976="","",'Оперативный ввод'!D976)</f>
        <v/>
      </c>
      <c r="E976" s="271">
        <f>IF(OR(C976="",D976=""),"",D976-C976)</f>
        <v/>
      </c>
      <c r="F976" s="172">
        <f>IF('Оперативный ввод'!F976="","",'Оперативный ввод'!F976)</f>
        <v/>
      </c>
      <c r="G976" s="172">
        <f>IF('Оперативный ввод'!G976="","",'Оперативный ввод'!G976)</f>
        <v/>
      </c>
      <c r="H976" s="172">
        <f>IF('Оперативный ввод'!H976="","",'Оперативный ввод'!H976)</f>
        <v/>
      </c>
      <c r="I976" s="172">
        <f>IF('Оперативный ввод'!I976="","",'Оперативный ввод'!I976)</f>
        <v/>
      </c>
      <c r="J976" s="172">
        <f>IF('Оперативный ввод'!J976="","",'Оперативный ввод'!J976)</f>
        <v/>
      </c>
      <c r="K976" s="172">
        <f>IF('Оперативный ввод'!K976="","",'Оперативный ввод'!K976)</f>
        <v/>
      </c>
      <c r="L976" s="172">
        <f>IF('Оперативный ввод'!L976="","",'Оперативный ввод'!L976)</f>
        <v/>
      </c>
      <c r="M976" s="172">
        <f>IF('Оперативный ввод'!M976="","",'Оперативный ввод'!M976)</f>
        <v/>
      </c>
      <c r="N976" s="172">
        <f>IF('Оперативный ввод'!N976="","",'Оперативный ввод'!N976)</f>
        <v/>
      </c>
      <c r="O976" s="172">
        <f>IF('Оперативный ввод'!O976="","",'Оперативный ввод'!O976)</f>
        <v/>
      </c>
      <c r="P976" s="205">
        <f>IF(AND(A976="",B976=""),"",IF(AND(A976&lt;&gt;"",B976&lt;&gt;"",C976&lt;&gt;"",D976&lt;&gt;"",F976&lt;&gt;"",G976&lt;&gt;"",H976&lt;&gt;"",ISERROR(SEARCH("по паспорту",G976)),ISERROR(SEARCH("по паспорту",H976)),I976&lt;&gt;"",J976&lt;&gt;"",K976&lt;&gt;"",L976&lt;&gt;"",M976&lt;&gt;""),"ГОТОВО","НЕ ГОТОВО"))</f>
        <v/>
      </c>
      <c r="Q976" s="205">
        <f>IF(P976&lt;&gt;"ГОТОВО","", "Предварительное заключение: "&amp;A976&amp;", скв. "&amp;B976&amp;". МРП: "&amp;E976&amp;" сут. ГНО: "&amp;F976&amp;", типоразмер "&amp;G976&amp;", марка "&amp;H976&amp;". Событие: "&amp;I976&amp;". Признак: "&amp;J976&amp;". Узел: "&amp;K976&amp;". Предварительная причина: "&amp;L976&amp;". Основное осложнение: "&amp;M976&amp;IF(N976&lt;&gt;"","; сопутствующее: "&amp;N976,"")&amp;IF(O976&lt;&gt;"","; дополнительно: "&amp;O976,"")&amp;".")</f>
        <v/>
      </c>
      <c r="R976" s="172">
        <f>IF('Оперативный ввод'!P976="","",'Оперативный ввод'!P976)</f>
        <v/>
      </c>
      <c r="S976" s="172">
        <f>IF('Оперативный ввод'!Q976="","",'Оперативный ввод'!Q976)</f>
        <v/>
      </c>
      <c r="T976" s="172">
        <f>IF('Оперативный ввод'!R976="","",'Оперативный ввод'!R976)</f>
        <v/>
      </c>
      <c r="U976" s="172">
        <f>IF('Оперативный ввод'!S976="","",'Оперативный ввод'!S976)</f>
        <v/>
      </c>
      <c r="V976" s="172">
        <f>IF('Оперативный ввод'!T976="","",'Оперативный ввод'!T976)</f>
        <v/>
      </c>
      <c r="W976" s="172" t="n"/>
      <c r="X976" s="172" t="n"/>
      <c r="Y976" s="172" t="n"/>
      <c r="Z976" s="172" t="n"/>
      <c r="AA976" s="172">
        <f>IF('Оперативный ввод'!U976="","",'Оперативный ввод'!U976)</f>
        <v/>
      </c>
      <c r="AB976" s="172">
        <f>IF('Оперативный ввод'!V976="","",'Оперативный ввод'!V976)</f>
        <v/>
      </c>
      <c r="AC976" s="172">
        <f>IF('Оперативный ввод'!W976="","",'Оперативный ввод'!W976)</f>
        <v/>
      </c>
      <c r="BB976" s="172" t="n"/>
      <c r="BC976" s="172" t="n"/>
      <c r="BD976" s="205">
        <f>IF(AND(A976="",B976=""),"",IF(AND(P976="ГОТОВО",R976&lt;&gt;"",T976&lt;&gt;"",U976&lt;&gt;"",AA976&lt;&gt;"",AB976&lt;&gt;"",AC976&lt;&gt;"",BB976&lt;&gt;"",BC976&lt;&gt;""),"ГОТОВО","НЕ ГОТОВО"))</f>
        <v/>
      </c>
      <c r="BE976" s="205">
        <f>IF(BD976&lt;&gt;"ГОТОВО","","Полное заключение: "&amp;A976&amp;", скв. "&amp;B976&amp;". МРП: "&amp;E976&amp;" сут. ГНО: "&amp;F976&amp;"; причина: "&amp;U976&amp;"; категория: "&amp;V976&amp;"; решение комиссии: "&amp;BB976&amp;".")</f>
        <v/>
      </c>
      <c r="BF976" s="173">
        <f>IF('Оперативный ввод'!X976="","",'Оперативный ввод'!X976)</f>
        <v/>
      </c>
    </row>
    <row r="977">
      <c r="A977" s="171">
        <f>IF('Оперативный ввод'!A977="","",'Оперативный ввод'!A977)</f>
        <v/>
      </c>
      <c r="B977" s="172">
        <f>IF('Оперативный ввод'!B977="","",'Оперативный ввод'!B977)</f>
        <v/>
      </c>
      <c r="C977" s="270">
        <f>IF('Оперативный ввод'!C977="","",'Оперативный ввод'!C977)</f>
        <v/>
      </c>
      <c r="D977" s="270">
        <f>IF('Оперативный ввод'!D977="","",'Оперативный ввод'!D977)</f>
        <v/>
      </c>
      <c r="E977" s="271">
        <f>IF(OR(C977="",D977=""),"",D977-C977)</f>
        <v/>
      </c>
      <c r="F977" s="172">
        <f>IF('Оперативный ввод'!F977="","",'Оперативный ввод'!F977)</f>
        <v/>
      </c>
      <c r="G977" s="172">
        <f>IF('Оперативный ввод'!G977="","",'Оперативный ввод'!G977)</f>
        <v/>
      </c>
      <c r="H977" s="172">
        <f>IF('Оперативный ввод'!H977="","",'Оперативный ввод'!H977)</f>
        <v/>
      </c>
      <c r="I977" s="172">
        <f>IF('Оперативный ввод'!I977="","",'Оперативный ввод'!I977)</f>
        <v/>
      </c>
      <c r="J977" s="172">
        <f>IF('Оперативный ввод'!J977="","",'Оперативный ввод'!J977)</f>
        <v/>
      </c>
      <c r="K977" s="172">
        <f>IF('Оперативный ввод'!K977="","",'Оперативный ввод'!K977)</f>
        <v/>
      </c>
      <c r="L977" s="172">
        <f>IF('Оперативный ввод'!L977="","",'Оперативный ввод'!L977)</f>
        <v/>
      </c>
      <c r="M977" s="172">
        <f>IF('Оперативный ввод'!M977="","",'Оперативный ввод'!M977)</f>
        <v/>
      </c>
      <c r="N977" s="172">
        <f>IF('Оперативный ввод'!N977="","",'Оперативный ввод'!N977)</f>
        <v/>
      </c>
      <c r="O977" s="172">
        <f>IF('Оперативный ввод'!O977="","",'Оперативный ввод'!O977)</f>
        <v/>
      </c>
      <c r="P977" s="205">
        <f>IF(AND(A977="",B977=""),"",IF(AND(A977&lt;&gt;"",B977&lt;&gt;"",C977&lt;&gt;"",D977&lt;&gt;"",F977&lt;&gt;"",G977&lt;&gt;"",H977&lt;&gt;"",ISERROR(SEARCH("по паспорту",G977)),ISERROR(SEARCH("по паспорту",H977)),I977&lt;&gt;"",J977&lt;&gt;"",K977&lt;&gt;"",L977&lt;&gt;"",M977&lt;&gt;""),"ГОТОВО","НЕ ГОТОВО"))</f>
        <v/>
      </c>
      <c r="Q977" s="205">
        <f>IF(P977&lt;&gt;"ГОТОВО","", "Предварительное заключение: "&amp;A977&amp;", скв. "&amp;B977&amp;". МРП: "&amp;E977&amp;" сут. ГНО: "&amp;F977&amp;", типоразмер "&amp;G977&amp;", марка "&amp;H977&amp;". Событие: "&amp;I977&amp;". Признак: "&amp;J977&amp;". Узел: "&amp;K977&amp;". Предварительная причина: "&amp;L977&amp;". Основное осложнение: "&amp;M977&amp;IF(N977&lt;&gt;"","; сопутствующее: "&amp;N977,"")&amp;IF(O977&lt;&gt;"","; дополнительно: "&amp;O977,"")&amp;".")</f>
        <v/>
      </c>
      <c r="R977" s="172">
        <f>IF('Оперативный ввод'!P977="","",'Оперативный ввод'!P977)</f>
        <v/>
      </c>
      <c r="S977" s="172">
        <f>IF('Оперативный ввод'!Q977="","",'Оперативный ввод'!Q977)</f>
        <v/>
      </c>
      <c r="T977" s="172">
        <f>IF('Оперативный ввод'!R977="","",'Оперативный ввод'!R977)</f>
        <v/>
      </c>
      <c r="U977" s="172">
        <f>IF('Оперативный ввод'!S977="","",'Оперативный ввод'!S977)</f>
        <v/>
      </c>
      <c r="V977" s="172">
        <f>IF('Оперативный ввод'!T977="","",'Оперативный ввод'!T977)</f>
        <v/>
      </c>
      <c r="W977" s="172" t="n"/>
      <c r="X977" s="172" t="n"/>
      <c r="Y977" s="172" t="n"/>
      <c r="Z977" s="172" t="n"/>
      <c r="AA977" s="172">
        <f>IF('Оперативный ввод'!U977="","",'Оперативный ввод'!U977)</f>
        <v/>
      </c>
      <c r="AB977" s="172">
        <f>IF('Оперативный ввод'!V977="","",'Оперативный ввод'!V977)</f>
        <v/>
      </c>
      <c r="AC977" s="172">
        <f>IF('Оперативный ввод'!W977="","",'Оперативный ввод'!W977)</f>
        <v/>
      </c>
      <c r="BB977" s="172" t="n"/>
      <c r="BC977" s="172" t="n"/>
      <c r="BD977" s="205">
        <f>IF(AND(A977="",B977=""),"",IF(AND(P977="ГОТОВО",R977&lt;&gt;"",T977&lt;&gt;"",U977&lt;&gt;"",AA977&lt;&gt;"",AB977&lt;&gt;"",AC977&lt;&gt;"",BB977&lt;&gt;"",BC977&lt;&gt;""),"ГОТОВО","НЕ ГОТОВО"))</f>
        <v/>
      </c>
      <c r="BE977" s="205">
        <f>IF(BD977&lt;&gt;"ГОТОВО","","Полное заключение: "&amp;A977&amp;", скв. "&amp;B977&amp;". МРП: "&amp;E977&amp;" сут. ГНО: "&amp;F977&amp;"; причина: "&amp;U977&amp;"; категория: "&amp;V977&amp;"; решение комиссии: "&amp;BB977&amp;".")</f>
        <v/>
      </c>
      <c r="BF977" s="173">
        <f>IF('Оперативный ввод'!X977="","",'Оперативный ввод'!X977)</f>
        <v/>
      </c>
    </row>
    <row r="978">
      <c r="A978" s="171">
        <f>IF('Оперативный ввод'!A978="","",'Оперативный ввод'!A978)</f>
        <v/>
      </c>
      <c r="B978" s="172">
        <f>IF('Оперативный ввод'!B978="","",'Оперативный ввод'!B978)</f>
        <v/>
      </c>
      <c r="C978" s="270">
        <f>IF('Оперативный ввод'!C978="","",'Оперативный ввод'!C978)</f>
        <v/>
      </c>
      <c r="D978" s="270">
        <f>IF('Оперативный ввод'!D978="","",'Оперативный ввод'!D978)</f>
        <v/>
      </c>
      <c r="E978" s="271">
        <f>IF(OR(C978="",D978=""),"",D978-C978)</f>
        <v/>
      </c>
      <c r="F978" s="172">
        <f>IF('Оперативный ввод'!F978="","",'Оперативный ввод'!F978)</f>
        <v/>
      </c>
      <c r="G978" s="172">
        <f>IF('Оперативный ввод'!G978="","",'Оперативный ввод'!G978)</f>
        <v/>
      </c>
      <c r="H978" s="172">
        <f>IF('Оперативный ввод'!H978="","",'Оперативный ввод'!H978)</f>
        <v/>
      </c>
      <c r="I978" s="172">
        <f>IF('Оперативный ввод'!I978="","",'Оперативный ввод'!I978)</f>
        <v/>
      </c>
      <c r="J978" s="172">
        <f>IF('Оперативный ввод'!J978="","",'Оперативный ввод'!J978)</f>
        <v/>
      </c>
      <c r="K978" s="172">
        <f>IF('Оперативный ввод'!K978="","",'Оперативный ввод'!K978)</f>
        <v/>
      </c>
      <c r="L978" s="172">
        <f>IF('Оперативный ввод'!L978="","",'Оперативный ввод'!L978)</f>
        <v/>
      </c>
      <c r="M978" s="172">
        <f>IF('Оперативный ввод'!M978="","",'Оперативный ввод'!M978)</f>
        <v/>
      </c>
      <c r="N978" s="172">
        <f>IF('Оперативный ввод'!N978="","",'Оперативный ввод'!N978)</f>
        <v/>
      </c>
      <c r="O978" s="172">
        <f>IF('Оперативный ввод'!O978="","",'Оперативный ввод'!O978)</f>
        <v/>
      </c>
      <c r="P978" s="205">
        <f>IF(AND(A978="",B978=""),"",IF(AND(A978&lt;&gt;"",B978&lt;&gt;"",C978&lt;&gt;"",D978&lt;&gt;"",F978&lt;&gt;"",G978&lt;&gt;"",H978&lt;&gt;"",ISERROR(SEARCH("по паспорту",G978)),ISERROR(SEARCH("по паспорту",H978)),I978&lt;&gt;"",J978&lt;&gt;"",K978&lt;&gt;"",L978&lt;&gt;"",M978&lt;&gt;""),"ГОТОВО","НЕ ГОТОВО"))</f>
        <v/>
      </c>
      <c r="Q978" s="205">
        <f>IF(P978&lt;&gt;"ГОТОВО","", "Предварительное заключение: "&amp;A978&amp;", скв. "&amp;B978&amp;". МРП: "&amp;E978&amp;" сут. ГНО: "&amp;F978&amp;", типоразмер "&amp;G978&amp;", марка "&amp;H978&amp;". Событие: "&amp;I978&amp;". Признак: "&amp;J978&amp;". Узел: "&amp;K978&amp;". Предварительная причина: "&amp;L978&amp;". Основное осложнение: "&amp;M978&amp;IF(N978&lt;&gt;"","; сопутствующее: "&amp;N978,"")&amp;IF(O978&lt;&gt;"","; дополнительно: "&amp;O978,"")&amp;".")</f>
        <v/>
      </c>
      <c r="R978" s="172">
        <f>IF('Оперативный ввод'!P978="","",'Оперативный ввод'!P978)</f>
        <v/>
      </c>
      <c r="S978" s="172">
        <f>IF('Оперативный ввод'!Q978="","",'Оперативный ввод'!Q978)</f>
        <v/>
      </c>
      <c r="T978" s="172">
        <f>IF('Оперативный ввод'!R978="","",'Оперативный ввод'!R978)</f>
        <v/>
      </c>
      <c r="U978" s="172">
        <f>IF('Оперативный ввод'!S978="","",'Оперативный ввод'!S978)</f>
        <v/>
      </c>
      <c r="V978" s="172">
        <f>IF('Оперативный ввод'!T978="","",'Оперативный ввод'!T978)</f>
        <v/>
      </c>
      <c r="W978" s="172" t="n"/>
      <c r="X978" s="172" t="n"/>
      <c r="Y978" s="172" t="n"/>
      <c r="Z978" s="172" t="n"/>
      <c r="AA978" s="172">
        <f>IF('Оперативный ввод'!U978="","",'Оперативный ввод'!U978)</f>
        <v/>
      </c>
      <c r="AB978" s="172">
        <f>IF('Оперативный ввод'!V978="","",'Оперативный ввод'!V978)</f>
        <v/>
      </c>
      <c r="AC978" s="172">
        <f>IF('Оперативный ввод'!W978="","",'Оперативный ввод'!W978)</f>
        <v/>
      </c>
      <c r="BB978" s="172" t="n"/>
      <c r="BC978" s="172" t="n"/>
      <c r="BD978" s="205">
        <f>IF(AND(A978="",B978=""),"",IF(AND(P978="ГОТОВО",R978&lt;&gt;"",T978&lt;&gt;"",U978&lt;&gt;"",AA978&lt;&gt;"",AB978&lt;&gt;"",AC978&lt;&gt;"",BB978&lt;&gt;"",BC978&lt;&gt;""),"ГОТОВО","НЕ ГОТОВО"))</f>
        <v/>
      </c>
      <c r="BE978" s="205">
        <f>IF(BD978&lt;&gt;"ГОТОВО","","Полное заключение: "&amp;A978&amp;", скв. "&amp;B978&amp;". МРП: "&amp;E978&amp;" сут. ГНО: "&amp;F978&amp;"; причина: "&amp;U978&amp;"; категория: "&amp;V978&amp;"; решение комиссии: "&amp;BB978&amp;".")</f>
        <v/>
      </c>
      <c r="BF978" s="173">
        <f>IF('Оперативный ввод'!X978="","",'Оперативный ввод'!X978)</f>
        <v/>
      </c>
    </row>
    <row r="979">
      <c r="A979" s="171">
        <f>IF('Оперативный ввод'!A979="","",'Оперативный ввод'!A979)</f>
        <v/>
      </c>
      <c r="B979" s="172">
        <f>IF('Оперативный ввод'!B979="","",'Оперативный ввод'!B979)</f>
        <v/>
      </c>
      <c r="C979" s="270">
        <f>IF('Оперативный ввод'!C979="","",'Оперативный ввод'!C979)</f>
        <v/>
      </c>
      <c r="D979" s="270">
        <f>IF('Оперативный ввод'!D979="","",'Оперативный ввод'!D979)</f>
        <v/>
      </c>
      <c r="E979" s="271">
        <f>IF(OR(C979="",D979=""),"",D979-C979)</f>
        <v/>
      </c>
      <c r="F979" s="172">
        <f>IF('Оперативный ввод'!F979="","",'Оперативный ввод'!F979)</f>
        <v/>
      </c>
      <c r="G979" s="172">
        <f>IF('Оперативный ввод'!G979="","",'Оперативный ввод'!G979)</f>
        <v/>
      </c>
      <c r="H979" s="172">
        <f>IF('Оперативный ввод'!H979="","",'Оперативный ввод'!H979)</f>
        <v/>
      </c>
      <c r="I979" s="172">
        <f>IF('Оперативный ввод'!I979="","",'Оперативный ввод'!I979)</f>
        <v/>
      </c>
      <c r="J979" s="172">
        <f>IF('Оперативный ввод'!J979="","",'Оперативный ввод'!J979)</f>
        <v/>
      </c>
      <c r="K979" s="172">
        <f>IF('Оперативный ввод'!K979="","",'Оперативный ввод'!K979)</f>
        <v/>
      </c>
      <c r="L979" s="172">
        <f>IF('Оперативный ввод'!L979="","",'Оперативный ввод'!L979)</f>
        <v/>
      </c>
      <c r="M979" s="172">
        <f>IF('Оперативный ввод'!M979="","",'Оперативный ввод'!M979)</f>
        <v/>
      </c>
      <c r="N979" s="172">
        <f>IF('Оперативный ввод'!N979="","",'Оперативный ввод'!N979)</f>
        <v/>
      </c>
      <c r="O979" s="172">
        <f>IF('Оперативный ввод'!O979="","",'Оперативный ввод'!O979)</f>
        <v/>
      </c>
      <c r="P979" s="205">
        <f>IF(AND(A979="",B979=""),"",IF(AND(A979&lt;&gt;"",B979&lt;&gt;"",C979&lt;&gt;"",D979&lt;&gt;"",F979&lt;&gt;"",G979&lt;&gt;"",H979&lt;&gt;"",ISERROR(SEARCH("по паспорту",G979)),ISERROR(SEARCH("по паспорту",H979)),I979&lt;&gt;"",J979&lt;&gt;"",K979&lt;&gt;"",L979&lt;&gt;"",M979&lt;&gt;""),"ГОТОВО","НЕ ГОТОВО"))</f>
        <v/>
      </c>
      <c r="Q979" s="205">
        <f>IF(P979&lt;&gt;"ГОТОВО","", "Предварительное заключение: "&amp;A979&amp;", скв. "&amp;B979&amp;". МРП: "&amp;E979&amp;" сут. ГНО: "&amp;F979&amp;", типоразмер "&amp;G979&amp;", марка "&amp;H979&amp;". Событие: "&amp;I979&amp;". Признак: "&amp;J979&amp;". Узел: "&amp;K979&amp;". Предварительная причина: "&amp;L979&amp;". Основное осложнение: "&amp;M979&amp;IF(N979&lt;&gt;"","; сопутствующее: "&amp;N979,"")&amp;IF(O979&lt;&gt;"","; дополнительно: "&amp;O979,"")&amp;".")</f>
        <v/>
      </c>
      <c r="R979" s="172">
        <f>IF('Оперативный ввод'!P979="","",'Оперативный ввод'!P979)</f>
        <v/>
      </c>
      <c r="S979" s="172">
        <f>IF('Оперативный ввод'!Q979="","",'Оперативный ввод'!Q979)</f>
        <v/>
      </c>
      <c r="T979" s="172">
        <f>IF('Оперативный ввод'!R979="","",'Оперативный ввод'!R979)</f>
        <v/>
      </c>
      <c r="U979" s="172">
        <f>IF('Оперативный ввод'!S979="","",'Оперативный ввод'!S979)</f>
        <v/>
      </c>
      <c r="V979" s="172">
        <f>IF('Оперативный ввод'!T979="","",'Оперативный ввод'!T979)</f>
        <v/>
      </c>
      <c r="W979" s="172" t="n"/>
      <c r="X979" s="172" t="n"/>
      <c r="Y979" s="172" t="n"/>
      <c r="Z979" s="172" t="n"/>
      <c r="AA979" s="172">
        <f>IF('Оперативный ввод'!U979="","",'Оперативный ввод'!U979)</f>
        <v/>
      </c>
      <c r="AB979" s="172">
        <f>IF('Оперативный ввод'!V979="","",'Оперативный ввод'!V979)</f>
        <v/>
      </c>
      <c r="AC979" s="172">
        <f>IF('Оперативный ввод'!W979="","",'Оперативный ввод'!W979)</f>
        <v/>
      </c>
      <c r="BB979" s="172" t="n"/>
      <c r="BC979" s="172" t="n"/>
      <c r="BD979" s="205">
        <f>IF(AND(A979="",B979=""),"",IF(AND(P979="ГОТОВО",R979&lt;&gt;"",T979&lt;&gt;"",U979&lt;&gt;"",AA979&lt;&gt;"",AB979&lt;&gt;"",AC979&lt;&gt;"",BB979&lt;&gt;"",BC979&lt;&gt;""),"ГОТОВО","НЕ ГОТОВО"))</f>
        <v/>
      </c>
      <c r="BE979" s="205">
        <f>IF(BD979&lt;&gt;"ГОТОВО","","Полное заключение: "&amp;A979&amp;", скв. "&amp;B979&amp;". МРП: "&amp;E979&amp;" сут. ГНО: "&amp;F979&amp;"; причина: "&amp;U979&amp;"; категория: "&amp;V979&amp;"; решение комиссии: "&amp;BB979&amp;".")</f>
        <v/>
      </c>
      <c r="BF979" s="173">
        <f>IF('Оперативный ввод'!X979="","",'Оперативный ввод'!X979)</f>
        <v/>
      </c>
    </row>
    <row r="980">
      <c r="A980" s="171">
        <f>IF('Оперативный ввод'!A980="","",'Оперативный ввод'!A980)</f>
        <v/>
      </c>
      <c r="B980" s="172">
        <f>IF('Оперативный ввод'!B980="","",'Оперативный ввод'!B980)</f>
        <v/>
      </c>
      <c r="C980" s="270">
        <f>IF('Оперативный ввод'!C980="","",'Оперативный ввод'!C980)</f>
        <v/>
      </c>
      <c r="D980" s="270">
        <f>IF('Оперативный ввод'!D980="","",'Оперативный ввод'!D980)</f>
        <v/>
      </c>
      <c r="E980" s="271">
        <f>IF(OR(C980="",D980=""),"",D980-C980)</f>
        <v/>
      </c>
      <c r="F980" s="172">
        <f>IF('Оперативный ввод'!F980="","",'Оперативный ввод'!F980)</f>
        <v/>
      </c>
      <c r="G980" s="172">
        <f>IF('Оперативный ввод'!G980="","",'Оперативный ввод'!G980)</f>
        <v/>
      </c>
      <c r="H980" s="172">
        <f>IF('Оперативный ввод'!H980="","",'Оперативный ввод'!H980)</f>
        <v/>
      </c>
      <c r="I980" s="172">
        <f>IF('Оперативный ввод'!I980="","",'Оперативный ввод'!I980)</f>
        <v/>
      </c>
      <c r="J980" s="172">
        <f>IF('Оперативный ввод'!J980="","",'Оперативный ввод'!J980)</f>
        <v/>
      </c>
      <c r="K980" s="172">
        <f>IF('Оперативный ввод'!K980="","",'Оперативный ввод'!K980)</f>
        <v/>
      </c>
      <c r="L980" s="172">
        <f>IF('Оперативный ввод'!L980="","",'Оперативный ввод'!L980)</f>
        <v/>
      </c>
      <c r="M980" s="172">
        <f>IF('Оперативный ввод'!M980="","",'Оперативный ввод'!M980)</f>
        <v/>
      </c>
      <c r="N980" s="172">
        <f>IF('Оперативный ввод'!N980="","",'Оперативный ввод'!N980)</f>
        <v/>
      </c>
      <c r="O980" s="172">
        <f>IF('Оперативный ввод'!O980="","",'Оперативный ввод'!O980)</f>
        <v/>
      </c>
      <c r="P980" s="205">
        <f>IF(AND(A980="",B980=""),"",IF(AND(A980&lt;&gt;"",B980&lt;&gt;"",C980&lt;&gt;"",D980&lt;&gt;"",F980&lt;&gt;"",G980&lt;&gt;"",H980&lt;&gt;"",ISERROR(SEARCH("по паспорту",G980)),ISERROR(SEARCH("по паспорту",H980)),I980&lt;&gt;"",J980&lt;&gt;"",K980&lt;&gt;"",L980&lt;&gt;"",M980&lt;&gt;""),"ГОТОВО","НЕ ГОТОВО"))</f>
        <v/>
      </c>
      <c r="Q980" s="205">
        <f>IF(P980&lt;&gt;"ГОТОВО","", "Предварительное заключение: "&amp;A980&amp;", скв. "&amp;B980&amp;". МРП: "&amp;E980&amp;" сут. ГНО: "&amp;F980&amp;", типоразмер "&amp;G980&amp;", марка "&amp;H980&amp;". Событие: "&amp;I980&amp;". Признак: "&amp;J980&amp;". Узел: "&amp;K980&amp;". Предварительная причина: "&amp;L980&amp;". Основное осложнение: "&amp;M980&amp;IF(N980&lt;&gt;"","; сопутствующее: "&amp;N980,"")&amp;IF(O980&lt;&gt;"","; дополнительно: "&amp;O980,"")&amp;".")</f>
        <v/>
      </c>
      <c r="R980" s="172">
        <f>IF('Оперативный ввод'!P980="","",'Оперативный ввод'!P980)</f>
        <v/>
      </c>
      <c r="S980" s="172">
        <f>IF('Оперативный ввод'!Q980="","",'Оперативный ввод'!Q980)</f>
        <v/>
      </c>
      <c r="T980" s="172">
        <f>IF('Оперативный ввод'!R980="","",'Оперативный ввод'!R980)</f>
        <v/>
      </c>
      <c r="U980" s="172">
        <f>IF('Оперативный ввод'!S980="","",'Оперативный ввод'!S980)</f>
        <v/>
      </c>
      <c r="V980" s="172">
        <f>IF('Оперативный ввод'!T980="","",'Оперативный ввод'!T980)</f>
        <v/>
      </c>
      <c r="W980" s="172" t="n"/>
      <c r="X980" s="172" t="n"/>
      <c r="Y980" s="172" t="n"/>
      <c r="Z980" s="172" t="n"/>
      <c r="AA980" s="172">
        <f>IF('Оперативный ввод'!U980="","",'Оперативный ввод'!U980)</f>
        <v/>
      </c>
      <c r="AB980" s="172">
        <f>IF('Оперативный ввод'!V980="","",'Оперативный ввод'!V980)</f>
        <v/>
      </c>
      <c r="AC980" s="172">
        <f>IF('Оперативный ввод'!W980="","",'Оперативный ввод'!W980)</f>
        <v/>
      </c>
      <c r="BB980" s="172" t="n"/>
      <c r="BC980" s="172" t="n"/>
      <c r="BD980" s="205">
        <f>IF(AND(A980="",B980=""),"",IF(AND(P980="ГОТОВО",R980&lt;&gt;"",T980&lt;&gt;"",U980&lt;&gt;"",AA980&lt;&gt;"",AB980&lt;&gt;"",AC980&lt;&gt;"",BB980&lt;&gt;"",BC980&lt;&gt;""),"ГОТОВО","НЕ ГОТОВО"))</f>
        <v/>
      </c>
      <c r="BE980" s="205">
        <f>IF(BD980&lt;&gt;"ГОТОВО","","Полное заключение: "&amp;A980&amp;", скв. "&amp;B980&amp;". МРП: "&amp;E980&amp;" сут. ГНО: "&amp;F980&amp;"; причина: "&amp;U980&amp;"; категория: "&amp;V980&amp;"; решение комиссии: "&amp;BB980&amp;".")</f>
        <v/>
      </c>
      <c r="BF980" s="173">
        <f>IF('Оперативный ввод'!X980="","",'Оперативный ввод'!X980)</f>
        <v/>
      </c>
    </row>
    <row r="981">
      <c r="A981" s="171">
        <f>IF('Оперативный ввод'!A981="","",'Оперативный ввод'!A981)</f>
        <v/>
      </c>
      <c r="B981" s="172">
        <f>IF('Оперативный ввод'!B981="","",'Оперативный ввод'!B981)</f>
        <v/>
      </c>
      <c r="C981" s="270">
        <f>IF('Оперативный ввод'!C981="","",'Оперативный ввод'!C981)</f>
        <v/>
      </c>
      <c r="D981" s="270">
        <f>IF('Оперативный ввод'!D981="","",'Оперативный ввод'!D981)</f>
        <v/>
      </c>
      <c r="E981" s="271">
        <f>IF(OR(C981="",D981=""),"",D981-C981)</f>
        <v/>
      </c>
      <c r="F981" s="172">
        <f>IF('Оперативный ввод'!F981="","",'Оперативный ввод'!F981)</f>
        <v/>
      </c>
      <c r="G981" s="172">
        <f>IF('Оперативный ввод'!G981="","",'Оперативный ввод'!G981)</f>
        <v/>
      </c>
      <c r="H981" s="172">
        <f>IF('Оперативный ввод'!H981="","",'Оперативный ввод'!H981)</f>
        <v/>
      </c>
      <c r="I981" s="172">
        <f>IF('Оперативный ввод'!I981="","",'Оперативный ввод'!I981)</f>
        <v/>
      </c>
      <c r="J981" s="172">
        <f>IF('Оперативный ввод'!J981="","",'Оперативный ввод'!J981)</f>
        <v/>
      </c>
      <c r="K981" s="172">
        <f>IF('Оперативный ввод'!K981="","",'Оперативный ввод'!K981)</f>
        <v/>
      </c>
      <c r="L981" s="172">
        <f>IF('Оперативный ввод'!L981="","",'Оперативный ввод'!L981)</f>
        <v/>
      </c>
      <c r="M981" s="172">
        <f>IF('Оперативный ввод'!M981="","",'Оперативный ввод'!M981)</f>
        <v/>
      </c>
      <c r="N981" s="172">
        <f>IF('Оперативный ввод'!N981="","",'Оперативный ввод'!N981)</f>
        <v/>
      </c>
      <c r="O981" s="172">
        <f>IF('Оперативный ввод'!O981="","",'Оперативный ввод'!O981)</f>
        <v/>
      </c>
      <c r="P981" s="205">
        <f>IF(AND(A981="",B981=""),"",IF(AND(A981&lt;&gt;"",B981&lt;&gt;"",C981&lt;&gt;"",D981&lt;&gt;"",F981&lt;&gt;"",G981&lt;&gt;"",H981&lt;&gt;"",ISERROR(SEARCH("по паспорту",G981)),ISERROR(SEARCH("по паспорту",H981)),I981&lt;&gt;"",J981&lt;&gt;"",K981&lt;&gt;"",L981&lt;&gt;"",M981&lt;&gt;""),"ГОТОВО","НЕ ГОТОВО"))</f>
        <v/>
      </c>
      <c r="Q981" s="205">
        <f>IF(P981&lt;&gt;"ГОТОВО","", "Предварительное заключение: "&amp;A981&amp;", скв. "&amp;B981&amp;". МРП: "&amp;E981&amp;" сут. ГНО: "&amp;F981&amp;", типоразмер "&amp;G981&amp;", марка "&amp;H981&amp;". Событие: "&amp;I981&amp;". Признак: "&amp;J981&amp;". Узел: "&amp;K981&amp;". Предварительная причина: "&amp;L981&amp;". Основное осложнение: "&amp;M981&amp;IF(N981&lt;&gt;"","; сопутствующее: "&amp;N981,"")&amp;IF(O981&lt;&gt;"","; дополнительно: "&amp;O981,"")&amp;".")</f>
        <v/>
      </c>
      <c r="R981" s="172">
        <f>IF('Оперативный ввод'!P981="","",'Оперативный ввод'!P981)</f>
        <v/>
      </c>
      <c r="S981" s="172">
        <f>IF('Оперативный ввод'!Q981="","",'Оперативный ввод'!Q981)</f>
        <v/>
      </c>
      <c r="T981" s="172">
        <f>IF('Оперативный ввод'!R981="","",'Оперативный ввод'!R981)</f>
        <v/>
      </c>
      <c r="U981" s="172">
        <f>IF('Оперативный ввод'!S981="","",'Оперативный ввод'!S981)</f>
        <v/>
      </c>
      <c r="V981" s="172">
        <f>IF('Оперативный ввод'!T981="","",'Оперативный ввод'!T981)</f>
        <v/>
      </c>
      <c r="W981" s="172" t="n"/>
      <c r="X981" s="172" t="n"/>
      <c r="Y981" s="172" t="n"/>
      <c r="Z981" s="172" t="n"/>
      <c r="AA981" s="172">
        <f>IF('Оперативный ввод'!U981="","",'Оперативный ввод'!U981)</f>
        <v/>
      </c>
      <c r="AB981" s="172">
        <f>IF('Оперативный ввод'!V981="","",'Оперативный ввод'!V981)</f>
        <v/>
      </c>
      <c r="AC981" s="172">
        <f>IF('Оперативный ввод'!W981="","",'Оперативный ввод'!W981)</f>
        <v/>
      </c>
      <c r="BB981" s="172" t="n"/>
      <c r="BC981" s="172" t="n"/>
      <c r="BD981" s="205">
        <f>IF(AND(A981="",B981=""),"",IF(AND(P981="ГОТОВО",R981&lt;&gt;"",T981&lt;&gt;"",U981&lt;&gt;"",AA981&lt;&gt;"",AB981&lt;&gt;"",AC981&lt;&gt;"",BB981&lt;&gt;"",BC981&lt;&gt;""),"ГОТОВО","НЕ ГОТОВО"))</f>
        <v/>
      </c>
      <c r="BE981" s="205">
        <f>IF(BD981&lt;&gt;"ГОТОВО","","Полное заключение: "&amp;A981&amp;", скв. "&amp;B981&amp;". МРП: "&amp;E981&amp;" сут. ГНО: "&amp;F981&amp;"; причина: "&amp;U981&amp;"; категория: "&amp;V981&amp;"; решение комиссии: "&amp;BB981&amp;".")</f>
        <v/>
      </c>
      <c r="BF981" s="173">
        <f>IF('Оперативный ввод'!X981="","",'Оперативный ввод'!X981)</f>
        <v/>
      </c>
    </row>
    <row r="982">
      <c r="A982" s="171">
        <f>IF('Оперативный ввод'!A982="","",'Оперативный ввод'!A982)</f>
        <v/>
      </c>
      <c r="B982" s="172">
        <f>IF('Оперативный ввод'!B982="","",'Оперативный ввод'!B982)</f>
        <v/>
      </c>
      <c r="C982" s="270">
        <f>IF('Оперативный ввод'!C982="","",'Оперативный ввод'!C982)</f>
        <v/>
      </c>
      <c r="D982" s="270">
        <f>IF('Оперативный ввод'!D982="","",'Оперативный ввод'!D982)</f>
        <v/>
      </c>
      <c r="E982" s="271">
        <f>IF(OR(C982="",D982=""),"",D982-C982)</f>
        <v/>
      </c>
      <c r="F982" s="172">
        <f>IF('Оперативный ввод'!F982="","",'Оперативный ввод'!F982)</f>
        <v/>
      </c>
      <c r="G982" s="172">
        <f>IF('Оперативный ввод'!G982="","",'Оперативный ввод'!G982)</f>
        <v/>
      </c>
      <c r="H982" s="172">
        <f>IF('Оперативный ввод'!H982="","",'Оперативный ввод'!H982)</f>
        <v/>
      </c>
      <c r="I982" s="172">
        <f>IF('Оперативный ввод'!I982="","",'Оперативный ввод'!I982)</f>
        <v/>
      </c>
      <c r="J982" s="172">
        <f>IF('Оперативный ввод'!J982="","",'Оперативный ввод'!J982)</f>
        <v/>
      </c>
      <c r="K982" s="172">
        <f>IF('Оперативный ввод'!K982="","",'Оперативный ввод'!K982)</f>
        <v/>
      </c>
      <c r="L982" s="172">
        <f>IF('Оперативный ввод'!L982="","",'Оперативный ввод'!L982)</f>
        <v/>
      </c>
      <c r="M982" s="172">
        <f>IF('Оперативный ввод'!M982="","",'Оперативный ввод'!M982)</f>
        <v/>
      </c>
      <c r="N982" s="172">
        <f>IF('Оперативный ввод'!N982="","",'Оперативный ввод'!N982)</f>
        <v/>
      </c>
      <c r="O982" s="172">
        <f>IF('Оперативный ввод'!O982="","",'Оперативный ввод'!O982)</f>
        <v/>
      </c>
      <c r="P982" s="205">
        <f>IF(AND(A982="",B982=""),"",IF(AND(A982&lt;&gt;"",B982&lt;&gt;"",C982&lt;&gt;"",D982&lt;&gt;"",F982&lt;&gt;"",G982&lt;&gt;"",H982&lt;&gt;"",ISERROR(SEARCH("по паспорту",G982)),ISERROR(SEARCH("по паспорту",H982)),I982&lt;&gt;"",J982&lt;&gt;"",K982&lt;&gt;"",L982&lt;&gt;"",M982&lt;&gt;""),"ГОТОВО","НЕ ГОТОВО"))</f>
        <v/>
      </c>
      <c r="Q982" s="205">
        <f>IF(P982&lt;&gt;"ГОТОВО","", "Предварительное заключение: "&amp;A982&amp;", скв. "&amp;B982&amp;". МРП: "&amp;E982&amp;" сут. ГНО: "&amp;F982&amp;", типоразмер "&amp;G982&amp;", марка "&amp;H982&amp;". Событие: "&amp;I982&amp;". Признак: "&amp;J982&amp;". Узел: "&amp;K982&amp;". Предварительная причина: "&amp;L982&amp;". Основное осложнение: "&amp;M982&amp;IF(N982&lt;&gt;"","; сопутствующее: "&amp;N982,"")&amp;IF(O982&lt;&gt;"","; дополнительно: "&amp;O982,"")&amp;".")</f>
        <v/>
      </c>
      <c r="R982" s="172">
        <f>IF('Оперативный ввод'!P982="","",'Оперативный ввод'!P982)</f>
        <v/>
      </c>
      <c r="S982" s="172">
        <f>IF('Оперативный ввод'!Q982="","",'Оперативный ввод'!Q982)</f>
        <v/>
      </c>
      <c r="T982" s="172">
        <f>IF('Оперативный ввод'!R982="","",'Оперативный ввод'!R982)</f>
        <v/>
      </c>
      <c r="U982" s="172">
        <f>IF('Оперативный ввод'!S982="","",'Оперативный ввод'!S982)</f>
        <v/>
      </c>
      <c r="V982" s="172">
        <f>IF('Оперативный ввод'!T982="","",'Оперативный ввод'!T982)</f>
        <v/>
      </c>
      <c r="W982" s="172" t="n"/>
      <c r="X982" s="172" t="n"/>
      <c r="Y982" s="172" t="n"/>
      <c r="Z982" s="172" t="n"/>
      <c r="AA982" s="172">
        <f>IF('Оперативный ввод'!U982="","",'Оперативный ввод'!U982)</f>
        <v/>
      </c>
      <c r="AB982" s="172">
        <f>IF('Оперативный ввод'!V982="","",'Оперативный ввод'!V982)</f>
        <v/>
      </c>
      <c r="AC982" s="172">
        <f>IF('Оперативный ввод'!W982="","",'Оперативный ввод'!W982)</f>
        <v/>
      </c>
      <c r="BB982" s="172" t="n"/>
      <c r="BC982" s="172" t="n"/>
      <c r="BD982" s="205">
        <f>IF(AND(A982="",B982=""),"",IF(AND(P982="ГОТОВО",R982&lt;&gt;"",T982&lt;&gt;"",U982&lt;&gt;"",AA982&lt;&gt;"",AB982&lt;&gt;"",AC982&lt;&gt;"",BB982&lt;&gt;"",BC982&lt;&gt;""),"ГОТОВО","НЕ ГОТОВО"))</f>
        <v/>
      </c>
      <c r="BE982" s="205">
        <f>IF(BD982&lt;&gt;"ГОТОВО","","Полное заключение: "&amp;A982&amp;", скв. "&amp;B982&amp;". МРП: "&amp;E982&amp;" сут. ГНО: "&amp;F982&amp;"; причина: "&amp;U982&amp;"; категория: "&amp;V982&amp;"; решение комиссии: "&amp;BB982&amp;".")</f>
        <v/>
      </c>
      <c r="BF982" s="173">
        <f>IF('Оперативный ввод'!X982="","",'Оперативный ввод'!X982)</f>
        <v/>
      </c>
    </row>
    <row r="983">
      <c r="A983" s="171">
        <f>IF('Оперативный ввод'!A983="","",'Оперативный ввод'!A983)</f>
        <v/>
      </c>
      <c r="B983" s="172">
        <f>IF('Оперативный ввод'!B983="","",'Оперативный ввод'!B983)</f>
        <v/>
      </c>
      <c r="C983" s="270">
        <f>IF('Оперативный ввод'!C983="","",'Оперативный ввод'!C983)</f>
        <v/>
      </c>
      <c r="D983" s="270">
        <f>IF('Оперативный ввод'!D983="","",'Оперативный ввод'!D983)</f>
        <v/>
      </c>
      <c r="E983" s="271">
        <f>IF(OR(C983="",D983=""),"",D983-C983)</f>
        <v/>
      </c>
      <c r="F983" s="172">
        <f>IF('Оперативный ввод'!F983="","",'Оперативный ввод'!F983)</f>
        <v/>
      </c>
      <c r="G983" s="172">
        <f>IF('Оперативный ввод'!G983="","",'Оперативный ввод'!G983)</f>
        <v/>
      </c>
      <c r="H983" s="172">
        <f>IF('Оперативный ввод'!H983="","",'Оперативный ввод'!H983)</f>
        <v/>
      </c>
      <c r="I983" s="172">
        <f>IF('Оперативный ввод'!I983="","",'Оперативный ввод'!I983)</f>
        <v/>
      </c>
      <c r="J983" s="172">
        <f>IF('Оперативный ввод'!J983="","",'Оперативный ввод'!J983)</f>
        <v/>
      </c>
      <c r="K983" s="172">
        <f>IF('Оперативный ввод'!K983="","",'Оперативный ввод'!K983)</f>
        <v/>
      </c>
      <c r="L983" s="172">
        <f>IF('Оперативный ввод'!L983="","",'Оперативный ввод'!L983)</f>
        <v/>
      </c>
      <c r="M983" s="172">
        <f>IF('Оперативный ввод'!M983="","",'Оперативный ввод'!M983)</f>
        <v/>
      </c>
      <c r="N983" s="172">
        <f>IF('Оперативный ввод'!N983="","",'Оперативный ввод'!N983)</f>
        <v/>
      </c>
      <c r="O983" s="172">
        <f>IF('Оперативный ввод'!O983="","",'Оперативный ввод'!O983)</f>
        <v/>
      </c>
      <c r="P983" s="205">
        <f>IF(AND(A983="",B983=""),"",IF(AND(A983&lt;&gt;"",B983&lt;&gt;"",C983&lt;&gt;"",D983&lt;&gt;"",F983&lt;&gt;"",G983&lt;&gt;"",H983&lt;&gt;"",ISERROR(SEARCH("по паспорту",G983)),ISERROR(SEARCH("по паспорту",H983)),I983&lt;&gt;"",J983&lt;&gt;"",K983&lt;&gt;"",L983&lt;&gt;"",M983&lt;&gt;""),"ГОТОВО","НЕ ГОТОВО"))</f>
        <v/>
      </c>
      <c r="Q983" s="205">
        <f>IF(P983&lt;&gt;"ГОТОВО","", "Предварительное заключение: "&amp;A983&amp;", скв. "&amp;B983&amp;". МРП: "&amp;E983&amp;" сут. ГНО: "&amp;F983&amp;", типоразмер "&amp;G983&amp;", марка "&amp;H983&amp;". Событие: "&amp;I983&amp;". Признак: "&amp;J983&amp;". Узел: "&amp;K983&amp;". Предварительная причина: "&amp;L983&amp;". Основное осложнение: "&amp;M983&amp;IF(N983&lt;&gt;"","; сопутствующее: "&amp;N983,"")&amp;IF(O983&lt;&gt;"","; дополнительно: "&amp;O983,"")&amp;".")</f>
        <v/>
      </c>
      <c r="R983" s="172">
        <f>IF('Оперативный ввод'!P983="","",'Оперативный ввод'!P983)</f>
        <v/>
      </c>
      <c r="S983" s="172">
        <f>IF('Оперативный ввод'!Q983="","",'Оперативный ввод'!Q983)</f>
        <v/>
      </c>
      <c r="T983" s="172">
        <f>IF('Оперативный ввод'!R983="","",'Оперативный ввод'!R983)</f>
        <v/>
      </c>
      <c r="U983" s="172">
        <f>IF('Оперативный ввод'!S983="","",'Оперативный ввод'!S983)</f>
        <v/>
      </c>
      <c r="V983" s="172">
        <f>IF('Оперативный ввод'!T983="","",'Оперативный ввод'!T983)</f>
        <v/>
      </c>
      <c r="W983" s="172" t="n"/>
      <c r="X983" s="172" t="n"/>
      <c r="Y983" s="172" t="n"/>
      <c r="Z983" s="172" t="n"/>
      <c r="AA983" s="172">
        <f>IF('Оперативный ввод'!U983="","",'Оперативный ввод'!U983)</f>
        <v/>
      </c>
      <c r="AB983" s="172">
        <f>IF('Оперативный ввод'!V983="","",'Оперативный ввод'!V983)</f>
        <v/>
      </c>
      <c r="AC983" s="172">
        <f>IF('Оперативный ввод'!W983="","",'Оперативный ввод'!W983)</f>
        <v/>
      </c>
      <c r="BB983" s="172" t="n"/>
      <c r="BC983" s="172" t="n"/>
      <c r="BD983" s="205">
        <f>IF(AND(A983="",B983=""),"",IF(AND(P983="ГОТОВО",R983&lt;&gt;"",T983&lt;&gt;"",U983&lt;&gt;"",AA983&lt;&gt;"",AB983&lt;&gt;"",AC983&lt;&gt;"",BB983&lt;&gt;"",BC983&lt;&gt;""),"ГОТОВО","НЕ ГОТОВО"))</f>
        <v/>
      </c>
      <c r="BE983" s="205">
        <f>IF(BD983&lt;&gt;"ГОТОВО","","Полное заключение: "&amp;A983&amp;", скв. "&amp;B983&amp;". МРП: "&amp;E983&amp;" сут. ГНО: "&amp;F983&amp;"; причина: "&amp;U983&amp;"; категория: "&amp;V983&amp;"; решение комиссии: "&amp;BB983&amp;".")</f>
        <v/>
      </c>
      <c r="BF983" s="173">
        <f>IF('Оперативный ввод'!X983="","",'Оперативный ввод'!X983)</f>
        <v/>
      </c>
    </row>
    <row r="984">
      <c r="A984" s="171">
        <f>IF('Оперативный ввод'!A984="","",'Оперативный ввод'!A984)</f>
        <v/>
      </c>
      <c r="B984" s="172">
        <f>IF('Оперативный ввод'!B984="","",'Оперативный ввод'!B984)</f>
        <v/>
      </c>
      <c r="C984" s="270">
        <f>IF('Оперативный ввод'!C984="","",'Оперативный ввод'!C984)</f>
        <v/>
      </c>
      <c r="D984" s="270">
        <f>IF('Оперативный ввод'!D984="","",'Оперативный ввод'!D984)</f>
        <v/>
      </c>
      <c r="E984" s="271">
        <f>IF(OR(C984="",D984=""),"",D984-C984)</f>
        <v/>
      </c>
      <c r="F984" s="172">
        <f>IF('Оперативный ввод'!F984="","",'Оперативный ввод'!F984)</f>
        <v/>
      </c>
      <c r="G984" s="172">
        <f>IF('Оперативный ввод'!G984="","",'Оперативный ввод'!G984)</f>
        <v/>
      </c>
      <c r="H984" s="172">
        <f>IF('Оперативный ввод'!H984="","",'Оперативный ввод'!H984)</f>
        <v/>
      </c>
      <c r="I984" s="172">
        <f>IF('Оперативный ввод'!I984="","",'Оперативный ввод'!I984)</f>
        <v/>
      </c>
      <c r="J984" s="172">
        <f>IF('Оперативный ввод'!J984="","",'Оперативный ввод'!J984)</f>
        <v/>
      </c>
      <c r="K984" s="172">
        <f>IF('Оперативный ввод'!K984="","",'Оперативный ввод'!K984)</f>
        <v/>
      </c>
      <c r="L984" s="172">
        <f>IF('Оперативный ввод'!L984="","",'Оперативный ввод'!L984)</f>
        <v/>
      </c>
      <c r="M984" s="172">
        <f>IF('Оперативный ввод'!M984="","",'Оперативный ввод'!M984)</f>
        <v/>
      </c>
      <c r="N984" s="172">
        <f>IF('Оперативный ввод'!N984="","",'Оперативный ввод'!N984)</f>
        <v/>
      </c>
      <c r="O984" s="172">
        <f>IF('Оперативный ввод'!O984="","",'Оперативный ввод'!O984)</f>
        <v/>
      </c>
      <c r="P984" s="205">
        <f>IF(AND(A984="",B984=""),"",IF(AND(A984&lt;&gt;"",B984&lt;&gt;"",C984&lt;&gt;"",D984&lt;&gt;"",F984&lt;&gt;"",G984&lt;&gt;"",H984&lt;&gt;"",ISERROR(SEARCH("по паспорту",G984)),ISERROR(SEARCH("по паспорту",H984)),I984&lt;&gt;"",J984&lt;&gt;"",K984&lt;&gt;"",L984&lt;&gt;"",M984&lt;&gt;""),"ГОТОВО","НЕ ГОТОВО"))</f>
        <v/>
      </c>
      <c r="Q984" s="205">
        <f>IF(P984&lt;&gt;"ГОТОВО","", "Предварительное заключение: "&amp;A984&amp;", скв. "&amp;B984&amp;". МРП: "&amp;E984&amp;" сут. ГНО: "&amp;F984&amp;", типоразмер "&amp;G984&amp;", марка "&amp;H984&amp;". Событие: "&amp;I984&amp;". Признак: "&amp;J984&amp;". Узел: "&amp;K984&amp;". Предварительная причина: "&amp;L984&amp;". Основное осложнение: "&amp;M984&amp;IF(N984&lt;&gt;"","; сопутствующее: "&amp;N984,"")&amp;IF(O984&lt;&gt;"","; дополнительно: "&amp;O984,"")&amp;".")</f>
        <v/>
      </c>
      <c r="R984" s="172">
        <f>IF('Оперативный ввод'!P984="","",'Оперативный ввод'!P984)</f>
        <v/>
      </c>
      <c r="S984" s="172">
        <f>IF('Оперативный ввод'!Q984="","",'Оперативный ввод'!Q984)</f>
        <v/>
      </c>
      <c r="T984" s="172">
        <f>IF('Оперативный ввод'!R984="","",'Оперативный ввод'!R984)</f>
        <v/>
      </c>
      <c r="U984" s="172">
        <f>IF('Оперативный ввод'!S984="","",'Оперативный ввод'!S984)</f>
        <v/>
      </c>
      <c r="V984" s="172">
        <f>IF('Оперативный ввод'!T984="","",'Оперативный ввод'!T984)</f>
        <v/>
      </c>
      <c r="W984" s="172" t="n"/>
      <c r="X984" s="172" t="n"/>
      <c r="Y984" s="172" t="n"/>
      <c r="Z984" s="172" t="n"/>
      <c r="AA984" s="172">
        <f>IF('Оперативный ввод'!U984="","",'Оперативный ввод'!U984)</f>
        <v/>
      </c>
      <c r="AB984" s="172">
        <f>IF('Оперативный ввод'!V984="","",'Оперативный ввод'!V984)</f>
        <v/>
      </c>
      <c r="AC984" s="172">
        <f>IF('Оперативный ввод'!W984="","",'Оперативный ввод'!W984)</f>
        <v/>
      </c>
      <c r="BB984" s="172" t="n"/>
      <c r="BC984" s="172" t="n"/>
      <c r="BD984" s="205">
        <f>IF(AND(A984="",B984=""),"",IF(AND(P984="ГОТОВО",R984&lt;&gt;"",T984&lt;&gt;"",U984&lt;&gt;"",AA984&lt;&gt;"",AB984&lt;&gt;"",AC984&lt;&gt;"",BB984&lt;&gt;"",BC984&lt;&gt;""),"ГОТОВО","НЕ ГОТОВО"))</f>
        <v/>
      </c>
      <c r="BE984" s="205">
        <f>IF(BD984&lt;&gt;"ГОТОВО","","Полное заключение: "&amp;A984&amp;", скв. "&amp;B984&amp;". МРП: "&amp;E984&amp;" сут. ГНО: "&amp;F984&amp;"; причина: "&amp;U984&amp;"; категория: "&amp;V984&amp;"; решение комиссии: "&amp;BB984&amp;".")</f>
        <v/>
      </c>
      <c r="BF984" s="173">
        <f>IF('Оперативный ввод'!X984="","",'Оперативный ввод'!X984)</f>
        <v/>
      </c>
    </row>
    <row r="985">
      <c r="A985" s="171">
        <f>IF('Оперативный ввод'!A985="","",'Оперативный ввод'!A985)</f>
        <v/>
      </c>
      <c r="B985" s="172">
        <f>IF('Оперативный ввод'!B985="","",'Оперативный ввод'!B985)</f>
        <v/>
      </c>
      <c r="C985" s="270">
        <f>IF('Оперативный ввод'!C985="","",'Оперативный ввод'!C985)</f>
        <v/>
      </c>
      <c r="D985" s="270">
        <f>IF('Оперативный ввод'!D985="","",'Оперативный ввод'!D985)</f>
        <v/>
      </c>
      <c r="E985" s="271">
        <f>IF(OR(C985="",D985=""),"",D985-C985)</f>
        <v/>
      </c>
      <c r="F985" s="172">
        <f>IF('Оперативный ввод'!F985="","",'Оперативный ввод'!F985)</f>
        <v/>
      </c>
      <c r="G985" s="172">
        <f>IF('Оперативный ввод'!G985="","",'Оперативный ввод'!G985)</f>
        <v/>
      </c>
      <c r="H985" s="172">
        <f>IF('Оперативный ввод'!H985="","",'Оперативный ввод'!H985)</f>
        <v/>
      </c>
      <c r="I985" s="172">
        <f>IF('Оперативный ввод'!I985="","",'Оперативный ввод'!I985)</f>
        <v/>
      </c>
      <c r="J985" s="172">
        <f>IF('Оперативный ввод'!J985="","",'Оперативный ввод'!J985)</f>
        <v/>
      </c>
      <c r="K985" s="172">
        <f>IF('Оперативный ввод'!K985="","",'Оперативный ввод'!K985)</f>
        <v/>
      </c>
      <c r="L985" s="172">
        <f>IF('Оперативный ввод'!L985="","",'Оперативный ввод'!L985)</f>
        <v/>
      </c>
      <c r="M985" s="172">
        <f>IF('Оперативный ввод'!M985="","",'Оперативный ввод'!M985)</f>
        <v/>
      </c>
      <c r="N985" s="172">
        <f>IF('Оперативный ввод'!N985="","",'Оперативный ввод'!N985)</f>
        <v/>
      </c>
      <c r="O985" s="172">
        <f>IF('Оперативный ввод'!O985="","",'Оперативный ввод'!O985)</f>
        <v/>
      </c>
      <c r="P985" s="205">
        <f>IF(AND(A985="",B985=""),"",IF(AND(A985&lt;&gt;"",B985&lt;&gt;"",C985&lt;&gt;"",D985&lt;&gt;"",F985&lt;&gt;"",G985&lt;&gt;"",H985&lt;&gt;"",ISERROR(SEARCH("по паспорту",G985)),ISERROR(SEARCH("по паспорту",H985)),I985&lt;&gt;"",J985&lt;&gt;"",K985&lt;&gt;"",L985&lt;&gt;"",M985&lt;&gt;""),"ГОТОВО","НЕ ГОТОВО"))</f>
        <v/>
      </c>
      <c r="Q985" s="205">
        <f>IF(P985&lt;&gt;"ГОТОВО","", "Предварительное заключение: "&amp;A985&amp;", скв. "&amp;B985&amp;". МРП: "&amp;E985&amp;" сут. ГНО: "&amp;F985&amp;", типоразмер "&amp;G985&amp;", марка "&amp;H985&amp;". Событие: "&amp;I985&amp;". Признак: "&amp;J985&amp;". Узел: "&amp;K985&amp;". Предварительная причина: "&amp;L985&amp;". Основное осложнение: "&amp;M985&amp;IF(N985&lt;&gt;"","; сопутствующее: "&amp;N985,"")&amp;IF(O985&lt;&gt;"","; дополнительно: "&amp;O985,"")&amp;".")</f>
        <v/>
      </c>
      <c r="R985" s="172">
        <f>IF('Оперативный ввод'!P985="","",'Оперативный ввод'!P985)</f>
        <v/>
      </c>
      <c r="S985" s="172">
        <f>IF('Оперативный ввод'!Q985="","",'Оперативный ввод'!Q985)</f>
        <v/>
      </c>
      <c r="T985" s="172">
        <f>IF('Оперативный ввод'!R985="","",'Оперативный ввод'!R985)</f>
        <v/>
      </c>
      <c r="U985" s="172">
        <f>IF('Оперативный ввод'!S985="","",'Оперативный ввод'!S985)</f>
        <v/>
      </c>
      <c r="V985" s="172">
        <f>IF('Оперативный ввод'!T985="","",'Оперативный ввод'!T985)</f>
        <v/>
      </c>
      <c r="W985" s="172" t="n"/>
      <c r="X985" s="172" t="n"/>
      <c r="Y985" s="172" t="n"/>
      <c r="Z985" s="172" t="n"/>
      <c r="AA985" s="172">
        <f>IF('Оперативный ввод'!U985="","",'Оперативный ввод'!U985)</f>
        <v/>
      </c>
      <c r="AB985" s="172">
        <f>IF('Оперативный ввод'!V985="","",'Оперативный ввод'!V985)</f>
        <v/>
      </c>
      <c r="AC985" s="172">
        <f>IF('Оперативный ввод'!W985="","",'Оперативный ввод'!W985)</f>
        <v/>
      </c>
      <c r="BB985" s="172" t="n"/>
      <c r="BC985" s="172" t="n"/>
      <c r="BD985" s="205">
        <f>IF(AND(A985="",B985=""),"",IF(AND(P985="ГОТОВО",R985&lt;&gt;"",T985&lt;&gt;"",U985&lt;&gt;"",AA985&lt;&gt;"",AB985&lt;&gt;"",AC985&lt;&gt;"",BB985&lt;&gt;"",BC985&lt;&gt;""),"ГОТОВО","НЕ ГОТОВО"))</f>
        <v/>
      </c>
      <c r="BE985" s="205">
        <f>IF(BD985&lt;&gt;"ГОТОВО","","Полное заключение: "&amp;A985&amp;", скв. "&amp;B985&amp;". МРП: "&amp;E985&amp;" сут. ГНО: "&amp;F985&amp;"; причина: "&amp;U985&amp;"; категория: "&amp;V985&amp;"; решение комиссии: "&amp;BB985&amp;".")</f>
        <v/>
      </c>
      <c r="BF985" s="173">
        <f>IF('Оперативный ввод'!X985="","",'Оперативный ввод'!X985)</f>
        <v/>
      </c>
    </row>
    <row r="986">
      <c r="A986" s="171">
        <f>IF('Оперативный ввод'!A986="","",'Оперативный ввод'!A986)</f>
        <v/>
      </c>
      <c r="B986" s="172">
        <f>IF('Оперативный ввод'!B986="","",'Оперативный ввод'!B986)</f>
        <v/>
      </c>
      <c r="C986" s="270">
        <f>IF('Оперативный ввод'!C986="","",'Оперативный ввод'!C986)</f>
        <v/>
      </c>
      <c r="D986" s="270">
        <f>IF('Оперативный ввод'!D986="","",'Оперативный ввод'!D986)</f>
        <v/>
      </c>
      <c r="E986" s="271">
        <f>IF(OR(C986="",D986=""),"",D986-C986)</f>
        <v/>
      </c>
      <c r="F986" s="172">
        <f>IF('Оперативный ввод'!F986="","",'Оперативный ввод'!F986)</f>
        <v/>
      </c>
      <c r="G986" s="172">
        <f>IF('Оперативный ввод'!G986="","",'Оперативный ввод'!G986)</f>
        <v/>
      </c>
      <c r="H986" s="172">
        <f>IF('Оперативный ввод'!H986="","",'Оперативный ввод'!H986)</f>
        <v/>
      </c>
      <c r="I986" s="172">
        <f>IF('Оперативный ввод'!I986="","",'Оперативный ввод'!I986)</f>
        <v/>
      </c>
      <c r="J986" s="172">
        <f>IF('Оперативный ввод'!J986="","",'Оперативный ввод'!J986)</f>
        <v/>
      </c>
      <c r="K986" s="172">
        <f>IF('Оперативный ввод'!K986="","",'Оперативный ввод'!K986)</f>
        <v/>
      </c>
      <c r="L986" s="172">
        <f>IF('Оперативный ввод'!L986="","",'Оперативный ввод'!L986)</f>
        <v/>
      </c>
      <c r="M986" s="172">
        <f>IF('Оперативный ввод'!M986="","",'Оперативный ввод'!M986)</f>
        <v/>
      </c>
      <c r="N986" s="172">
        <f>IF('Оперативный ввод'!N986="","",'Оперативный ввод'!N986)</f>
        <v/>
      </c>
      <c r="O986" s="172">
        <f>IF('Оперативный ввод'!O986="","",'Оперативный ввод'!O986)</f>
        <v/>
      </c>
      <c r="P986" s="205">
        <f>IF(AND(A986="",B986=""),"",IF(AND(A986&lt;&gt;"",B986&lt;&gt;"",C986&lt;&gt;"",D986&lt;&gt;"",F986&lt;&gt;"",G986&lt;&gt;"",H986&lt;&gt;"",ISERROR(SEARCH("по паспорту",G986)),ISERROR(SEARCH("по паспорту",H986)),I986&lt;&gt;"",J986&lt;&gt;"",K986&lt;&gt;"",L986&lt;&gt;"",M986&lt;&gt;""),"ГОТОВО","НЕ ГОТОВО"))</f>
        <v/>
      </c>
      <c r="Q986" s="205">
        <f>IF(P986&lt;&gt;"ГОТОВО","", "Предварительное заключение: "&amp;A986&amp;", скв. "&amp;B986&amp;". МРП: "&amp;E986&amp;" сут. ГНО: "&amp;F986&amp;", типоразмер "&amp;G986&amp;", марка "&amp;H986&amp;". Событие: "&amp;I986&amp;". Признак: "&amp;J986&amp;". Узел: "&amp;K986&amp;". Предварительная причина: "&amp;L986&amp;". Основное осложнение: "&amp;M986&amp;IF(N986&lt;&gt;"","; сопутствующее: "&amp;N986,"")&amp;IF(O986&lt;&gt;"","; дополнительно: "&amp;O986,"")&amp;".")</f>
        <v/>
      </c>
      <c r="R986" s="172">
        <f>IF('Оперативный ввод'!P986="","",'Оперативный ввод'!P986)</f>
        <v/>
      </c>
      <c r="S986" s="172">
        <f>IF('Оперативный ввод'!Q986="","",'Оперативный ввод'!Q986)</f>
        <v/>
      </c>
      <c r="T986" s="172">
        <f>IF('Оперативный ввод'!R986="","",'Оперативный ввод'!R986)</f>
        <v/>
      </c>
      <c r="U986" s="172">
        <f>IF('Оперативный ввод'!S986="","",'Оперативный ввод'!S986)</f>
        <v/>
      </c>
      <c r="V986" s="172">
        <f>IF('Оперативный ввод'!T986="","",'Оперативный ввод'!T986)</f>
        <v/>
      </c>
      <c r="W986" s="172" t="n"/>
      <c r="X986" s="172" t="n"/>
      <c r="Y986" s="172" t="n"/>
      <c r="Z986" s="172" t="n"/>
      <c r="AA986" s="172">
        <f>IF('Оперативный ввод'!U986="","",'Оперативный ввод'!U986)</f>
        <v/>
      </c>
      <c r="AB986" s="172">
        <f>IF('Оперативный ввод'!V986="","",'Оперативный ввод'!V986)</f>
        <v/>
      </c>
      <c r="AC986" s="172">
        <f>IF('Оперативный ввод'!W986="","",'Оперативный ввод'!W986)</f>
        <v/>
      </c>
      <c r="BB986" s="172" t="n"/>
      <c r="BC986" s="172" t="n"/>
      <c r="BD986" s="205">
        <f>IF(AND(A986="",B986=""),"",IF(AND(P986="ГОТОВО",R986&lt;&gt;"",T986&lt;&gt;"",U986&lt;&gt;"",AA986&lt;&gt;"",AB986&lt;&gt;"",AC986&lt;&gt;"",BB986&lt;&gt;"",BC986&lt;&gt;""),"ГОТОВО","НЕ ГОТОВО"))</f>
        <v/>
      </c>
      <c r="BE986" s="205">
        <f>IF(BD986&lt;&gt;"ГОТОВО","","Полное заключение: "&amp;A986&amp;", скв. "&amp;B986&amp;". МРП: "&amp;E986&amp;" сут. ГНО: "&amp;F986&amp;"; причина: "&amp;U986&amp;"; категория: "&amp;V986&amp;"; решение комиссии: "&amp;BB986&amp;".")</f>
        <v/>
      </c>
      <c r="BF986" s="173">
        <f>IF('Оперативный ввод'!X986="","",'Оперативный ввод'!X986)</f>
        <v/>
      </c>
    </row>
    <row r="987">
      <c r="A987" s="171">
        <f>IF('Оперативный ввод'!A987="","",'Оперативный ввод'!A987)</f>
        <v/>
      </c>
      <c r="B987" s="172">
        <f>IF('Оперативный ввод'!B987="","",'Оперативный ввод'!B987)</f>
        <v/>
      </c>
      <c r="C987" s="270">
        <f>IF('Оперативный ввод'!C987="","",'Оперативный ввод'!C987)</f>
        <v/>
      </c>
      <c r="D987" s="270">
        <f>IF('Оперативный ввод'!D987="","",'Оперативный ввод'!D987)</f>
        <v/>
      </c>
      <c r="E987" s="271">
        <f>IF(OR(C987="",D987=""),"",D987-C987)</f>
        <v/>
      </c>
      <c r="F987" s="172">
        <f>IF('Оперативный ввод'!F987="","",'Оперативный ввод'!F987)</f>
        <v/>
      </c>
      <c r="G987" s="172">
        <f>IF('Оперативный ввод'!G987="","",'Оперативный ввод'!G987)</f>
        <v/>
      </c>
      <c r="H987" s="172">
        <f>IF('Оперативный ввод'!H987="","",'Оперативный ввод'!H987)</f>
        <v/>
      </c>
      <c r="I987" s="172">
        <f>IF('Оперативный ввод'!I987="","",'Оперативный ввод'!I987)</f>
        <v/>
      </c>
      <c r="J987" s="172">
        <f>IF('Оперативный ввод'!J987="","",'Оперативный ввод'!J987)</f>
        <v/>
      </c>
      <c r="K987" s="172">
        <f>IF('Оперативный ввод'!K987="","",'Оперативный ввод'!K987)</f>
        <v/>
      </c>
      <c r="L987" s="172">
        <f>IF('Оперативный ввод'!L987="","",'Оперативный ввод'!L987)</f>
        <v/>
      </c>
      <c r="M987" s="172">
        <f>IF('Оперативный ввод'!M987="","",'Оперативный ввод'!M987)</f>
        <v/>
      </c>
      <c r="N987" s="172">
        <f>IF('Оперативный ввод'!N987="","",'Оперативный ввод'!N987)</f>
        <v/>
      </c>
      <c r="O987" s="172">
        <f>IF('Оперативный ввод'!O987="","",'Оперативный ввод'!O987)</f>
        <v/>
      </c>
      <c r="P987" s="205">
        <f>IF(AND(A987="",B987=""),"",IF(AND(A987&lt;&gt;"",B987&lt;&gt;"",C987&lt;&gt;"",D987&lt;&gt;"",F987&lt;&gt;"",G987&lt;&gt;"",H987&lt;&gt;"",ISERROR(SEARCH("по паспорту",G987)),ISERROR(SEARCH("по паспорту",H987)),I987&lt;&gt;"",J987&lt;&gt;"",K987&lt;&gt;"",L987&lt;&gt;"",M987&lt;&gt;""),"ГОТОВО","НЕ ГОТОВО"))</f>
        <v/>
      </c>
      <c r="Q987" s="205">
        <f>IF(P987&lt;&gt;"ГОТОВО","", "Предварительное заключение: "&amp;A987&amp;", скв. "&amp;B987&amp;". МРП: "&amp;E987&amp;" сут. ГНО: "&amp;F987&amp;", типоразмер "&amp;G987&amp;", марка "&amp;H987&amp;". Событие: "&amp;I987&amp;". Признак: "&amp;J987&amp;". Узел: "&amp;K987&amp;". Предварительная причина: "&amp;L987&amp;". Основное осложнение: "&amp;M987&amp;IF(N987&lt;&gt;"","; сопутствующее: "&amp;N987,"")&amp;IF(O987&lt;&gt;"","; дополнительно: "&amp;O987,"")&amp;".")</f>
        <v/>
      </c>
      <c r="R987" s="172">
        <f>IF('Оперативный ввод'!P987="","",'Оперативный ввод'!P987)</f>
        <v/>
      </c>
      <c r="S987" s="172">
        <f>IF('Оперативный ввод'!Q987="","",'Оперативный ввод'!Q987)</f>
        <v/>
      </c>
      <c r="T987" s="172">
        <f>IF('Оперативный ввод'!R987="","",'Оперативный ввод'!R987)</f>
        <v/>
      </c>
      <c r="U987" s="172">
        <f>IF('Оперативный ввод'!S987="","",'Оперативный ввод'!S987)</f>
        <v/>
      </c>
      <c r="V987" s="172">
        <f>IF('Оперативный ввод'!T987="","",'Оперативный ввод'!T987)</f>
        <v/>
      </c>
      <c r="W987" s="172" t="n"/>
      <c r="X987" s="172" t="n"/>
      <c r="Y987" s="172" t="n"/>
      <c r="Z987" s="172" t="n"/>
      <c r="AA987" s="172">
        <f>IF('Оперативный ввод'!U987="","",'Оперативный ввод'!U987)</f>
        <v/>
      </c>
      <c r="AB987" s="172">
        <f>IF('Оперативный ввод'!V987="","",'Оперативный ввод'!V987)</f>
        <v/>
      </c>
      <c r="AC987" s="172">
        <f>IF('Оперативный ввод'!W987="","",'Оперативный ввод'!W987)</f>
        <v/>
      </c>
      <c r="BB987" s="172" t="n"/>
      <c r="BC987" s="172" t="n"/>
      <c r="BD987" s="205">
        <f>IF(AND(A987="",B987=""),"",IF(AND(P987="ГОТОВО",R987&lt;&gt;"",T987&lt;&gt;"",U987&lt;&gt;"",AA987&lt;&gt;"",AB987&lt;&gt;"",AC987&lt;&gt;"",BB987&lt;&gt;"",BC987&lt;&gt;""),"ГОТОВО","НЕ ГОТОВО"))</f>
        <v/>
      </c>
      <c r="BE987" s="205">
        <f>IF(BD987&lt;&gt;"ГОТОВО","","Полное заключение: "&amp;A987&amp;", скв. "&amp;B987&amp;". МРП: "&amp;E987&amp;" сут. ГНО: "&amp;F987&amp;"; причина: "&amp;U987&amp;"; категория: "&amp;V987&amp;"; решение комиссии: "&amp;BB987&amp;".")</f>
        <v/>
      </c>
      <c r="BF987" s="173">
        <f>IF('Оперативный ввод'!X987="","",'Оперативный ввод'!X987)</f>
        <v/>
      </c>
    </row>
    <row r="988">
      <c r="A988" s="171">
        <f>IF('Оперативный ввод'!A988="","",'Оперативный ввод'!A988)</f>
        <v/>
      </c>
      <c r="B988" s="172">
        <f>IF('Оперативный ввод'!B988="","",'Оперативный ввод'!B988)</f>
        <v/>
      </c>
      <c r="C988" s="270">
        <f>IF('Оперативный ввод'!C988="","",'Оперативный ввод'!C988)</f>
        <v/>
      </c>
      <c r="D988" s="270">
        <f>IF('Оперативный ввод'!D988="","",'Оперативный ввод'!D988)</f>
        <v/>
      </c>
      <c r="E988" s="271">
        <f>IF(OR(C988="",D988=""),"",D988-C988)</f>
        <v/>
      </c>
      <c r="F988" s="172">
        <f>IF('Оперативный ввод'!F988="","",'Оперативный ввод'!F988)</f>
        <v/>
      </c>
      <c r="G988" s="172">
        <f>IF('Оперативный ввод'!G988="","",'Оперативный ввод'!G988)</f>
        <v/>
      </c>
      <c r="H988" s="172">
        <f>IF('Оперативный ввод'!H988="","",'Оперативный ввод'!H988)</f>
        <v/>
      </c>
      <c r="I988" s="172">
        <f>IF('Оперативный ввод'!I988="","",'Оперативный ввод'!I988)</f>
        <v/>
      </c>
      <c r="J988" s="172">
        <f>IF('Оперативный ввод'!J988="","",'Оперативный ввод'!J988)</f>
        <v/>
      </c>
      <c r="K988" s="172">
        <f>IF('Оперативный ввод'!K988="","",'Оперативный ввод'!K988)</f>
        <v/>
      </c>
      <c r="L988" s="172">
        <f>IF('Оперативный ввод'!L988="","",'Оперативный ввод'!L988)</f>
        <v/>
      </c>
      <c r="M988" s="172">
        <f>IF('Оперативный ввод'!M988="","",'Оперативный ввод'!M988)</f>
        <v/>
      </c>
      <c r="N988" s="172">
        <f>IF('Оперативный ввод'!N988="","",'Оперативный ввод'!N988)</f>
        <v/>
      </c>
      <c r="O988" s="172">
        <f>IF('Оперативный ввод'!O988="","",'Оперативный ввод'!O988)</f>
        <v/>
      </c>
      <c r="P988" s="205">
        <f>IF(AND(A988="",B988=""),"",IF(AND(A988&lt;&gt;"",B988&lt;&gt;"",C988&lt;&gt;"",D988&lt;&gt;"",F988&lt;&gt;"",G988&lt;&gt;"",H988&lt;&gt;"",ISERROR(SEARCH("по паспорту",G988)),ISERROR(SEARCH("по паспорту",H988)),I988&lt;&gt;"",J988&lt;&gt;"",K988&lt;&gt;"",L988&lt;&gt;"",M988&lt;&gt;""),"ГОТОВО","НЕ ГОТОВО"))</f>
        <v/>
      </c>
      <c r="Q988" s="205">
        <f>IF(P988&lt;&gt;"ГОТОВО","", "Предварительное заключение: "&amp;A988&amp;", скв. "&amp;B988&amp;". МРП: "&amp;E988&amp;" сут. ГНО: "&amp;F988&amp;", типоразмер "&amp;G988&amp;", марка "&amp;H988&amp;". Событие: "&amp;I988&amp;". Признак: "&amp;J988&amp;". Узел: "&amp;K988&amp;". Предварительная причина: "&amp;L988&amp;". Основное осложнение: "&amp;M988&amp;IF(N988&lt;&gt;"","; сопутствующее: "&amp;N988,"")&amp;IF(O988&lt;&gt;"","; дополнительно: "&amp;O988,"")&amp;".")</f>
        <v/>
      </c>
      <c r="R988" s="172">
        <f>IF('Оперативный ввод'!P988="","",'Оперативный ввод'!P988)</f>
        <v/>
      </c>
      <c r="S988" s="172">
        <f>IF('Оперативный ввод'!Q988="","",'Оперативный ввод'!Q988)</f>
        <v/>
      </c>
      <c r="T988" s="172">
        <f>IF('Оперативный ввод'!R988="","",'Оперативный ввод'!R988)</f>
        <v/>
      </c>
      <c r="U988" s="172">
        <f>IF('Оперативный ввод'!S988="","",'Оперативный ввод'!S988)</f>
        <v/>
      </c>
      <c r="V988" s="172">
        <f>IF('Оперативный ввод'!T988="","",'Оперативный ввод'!T988)</f>
        <v/>
      </c>
      <c r="W988" s="172" t="n"/>
      <c r="X988" s="172" t="n"/>
      <c r="Y988" s="172" t="n"/>
      <c r="Z988" s="172" t="n"/>
      <c r="AA988" s="172">
        <f>IF('Оперативный ввод'!U988="","",'Оперативный ввод'!U988)</f>
        <v/>
      </c>
      <c r="AB988" s="172">
        <f>IF('Оперативный ввод'!V988="","",'Оперативный ввод'!V988)</f>
        <v/>
      </c>
      <c r="AC988" s="172">
        <f>IF('Оперативный ввод'!W988="","",'Оперативный ввод'!W988)</f>
        <v/>
      </c>
      <c r="BB988" s="172" t="n"/>
      <c r="BC988" s="172" t="n"/>
      <c r="BD988" s="205">
        <f>IF(AND(A988="",B988=""),"",IF(AND(P988="ГОТОВО",R988&lt;&gt;"",T988&lt;&gt;"",U988&lt;&gt;"",AA988&lt;&gt;"",AB988&lt;&gt;"",AC988&lt;&gt;"",BB988&lt;&gt;"",BC988&lt;&gt;""),"ГОТОВО","НЕ ГОТОВО"))</f>
        <v/>
      </c>
      <c r="BE988" s="205">
        <f>IF(BD988&lt;&gt;"ГОТОВО","","Полное заключение: "&amp;A988&amp;", скв. "&amp;B988&amp;". МРП: "&amp;E988&amp;" сут. ГНО: "&amp;F988&amp;"; причина: "&amp;U988&amp;"; категория: "&amp;V988&amp;"; решение комиссии: "&amp;BB988&amp;".")</f>
        <v/>
      </c>
      <c r="BF988" s="173">
        <f>IF('Оперативный ввод'!X988="","",'Оперативный ввод'!X988)</f>
        <v/>
      </c>
    </row>
    <row r="989">
      <c r="A989" s="171">
        <f>IF('Оперативный ввод'!A989="","",'Оперативный ввод'!A989)</f>
        <v/>
      </c>
      <c r="B989" s="172">
        <f>IF('Оперативный ввод'!B989="","",'Оперативный ввод'!B989)</f>
        <v/>
      </c>
      <c r="C989" s="270">
        <f>IF('Оперативный ввод'!C989="","",'Оперативный ввод'!C989)</f>
        <v/>
      </c>
      <c r="D989" s="270">
        <f>IF('Оперативный ввод'!D989="","",'Оперативный ввод'!D989)</f>
        <v/>
      </c>
      <c r="E989" s="271">
        <f>IF(OR(C989="",D989=""),"",D989-C989)</f>
        <v/>
      </c>
      <c r="F989" s="172">
        <f>IF('Оперативный ввод'!F989="","",'Оперативный ввод'!F989)</f>
        <v/>
      </c>
      <c r="G989" s="172">
        <f>IF('Оперативный ввод'!G989="","",'Оперативный ввод'!G989)</f>
        <v/>
      </c>
      <c r="H989" s="172">
        <f>IF('Оперативный ввод'!H989="","",'Оперативный ввод'!H989)</f>
        <v/>
      </c>
      <c r="I989" s="172">
        <f>IF('Оперативный ввод'!I989="","",'Оперативный ввод'!I989)</f>
        <v/>
      </c>
      <c r="J989" s="172">
        <f>IF('Оперативный ввод'!J989="","",'Оперативный ввод'!J989)</f>
        <v/>
      </c>
      <c r="K989" s="172">
        <f>IF('Оперативный ввод'!K989="","",'Оперативный ввод'!K989)</f>
        <v/>
      </c>
      <c r="L989" s="172">
        <f>IF('Оперативный ввод'!L989="","",'Оперативный ввод'!L989)</f>
        <v/>
      </c>
      <c r="M989" s="172">
        <f>IF('Оперативный ввод'!M989="","",'Оперативный ввод'!M989)</f>
        <v/>
      </c>
      <c r="N989" s="172">
        <f>IF('Оперативный ввод'!N989="","",'Оперативный ввод'!N989)</f>
        <v/>
      </c>
      <c r="O989" s="172">
        <f>IF('Оперативный ввод'!O989="","",'Оперативный ввод'!O989)</f>
        <v/>
      </c>
      <c r="P989" s="205">
        <f>IF(AND(A989="",B989=""),"",IF(AND(A989&lt;&gt;"",B989&lt;&gt;"",C989&lt;&gt;"",D989&lt;&gt;"",F989&lt;&gt;"",G989&lt;&gt;"",H989&lt;&gt;"",ISERROR(SEARCH("по паспорту",G989)),ISERROR(SEARCH("по паспорту",H989)),I989&lt;&gt;"",J989&lt;&gt;"",K989&lt;&gt;"",L989&lt;&gt;"",M989&lt;&gt;""),"ГОТОВО","НЕ ГОТОВО"))</f>
        <v/>
      </c>
      <c r="Q989" s="205">
        <f>IF(P989&lt;&gt;"ГОТОВО","", "Предварительное заключение: "&amp;A989&amp;", скв. "&amp;B989&amp;". МРП: "&amp;E989&amp;" сут. ГНО: "&amp;F989&amp;", типоразмер "&amp;G989&amp;", марка "&amp;H989&amp;". Событие: "&amp;I989&amp;". Признак: "&amp;J989&amp;". Узел: "&amp;K989&amp;". Предварительная причина: "&amp;L989&amp;". Основное осложнение: "&amp;M989&amp;IF(N989&lt;&gt;"","; сопутствующее: "&amp;N989,"")&amp;IF(O989&lt;&gt;"","; дополнительно: "&amp;O989,"")&amp;".")</f>
        <v/>
      </c>
      <c r="R989" s="172">
        <f>IF('Оперативный ввод'!P989="","",'Оперативный ввод'!P989)</f>
        <v/>
      </c>
      <c r="S989" s="172">
        <f>IF('Оперативный ввод'!Q989="","",'Оперативный ввод'!Q989)</f>
        <v/>
      </c>
      <c r="T989" s="172">
        <f>IF('Оперативный ввод'!R989="","",'Оперативный ввод'!R989)</f>
        <v/>
      </c>
      <c r="U989" s="172">
        <f>IF('Оперативный ввод'!S989="","",'Оперативный ввод'!S989)</f>
        <v/>
      </c>
      <c r="V989" s="172">
        <f>IF('Оперативный ввод'!T989="","",'Оперативный ввод'!T989)</f>
        <v/>
      </c>
      <c r="W989" s="172" t="n"/>
      <c r="X989" s="172" t="n"/>
      <c r="Y989" s="172" t="n"/>
      <c r="Z989" s="172" t="n"/>
      <c r="AA989" s="172">
        <f>IF('Оперативный ввод'!U989="","",'Оперативный ввод'!U989)</f>
        <v/>
      </c>
      <c r="AB989" s="172">
        <f>IF('Оперативный ввод'!V989="","",'Оперативный ввод'!V989)</f>
        <v/>
      </c>
      <c r="AC989" s="172">
        <f>IF('Оперативный ввод'!W989="","",'Оперативный ввод'!W989)</f>
        <v/>
      </c>
      <c r="BB989" s="172" t="n"/>
      <c r="BC989" s="172" t="n"/>
      <c r="BD989" s="205">
        <f>IF(AND(A989="",B989=""),"",IF(AND(P989="ГОТОВО",R989&lt;&gt;"",T989&lt;&gt;"",U989&lt;&gt;"",AA989&lt;&gt;"",AB989&lt;&gt;"",AC989&lt;&gt;"",BB989&lt;&gt;"",BC989&lt;&gt;""),"ГОТОВО","НЕ ГОТОВО"))</f>
        <v/>
      </c>
      <c r="BE989" s="205">
        <f>IF(BD989&lt;&gt;"ГОТОВО","","Полное заключение: "&amp;A989&amp;", скв. "&amp;B989&amp;". МРП: "&amp;E989&amp;" сут. ГНО: "&amp;F989&amp;"; причина: "&amp;U989&amp;"; категория: "&amp;V989&amp;"; решение комиссии: "&amp;BB989&amp;".")</f>
        <v/>
      </c>
      <c r="BF989" s="173">
        <f>IF('Оперативный ввод'!X989="","",'Оперативный ввод'!X989)</f>
        <v/>
      </c>
    </row>
    <row r="990">
      <c r="A990" s="171">
        <f>IF('Оперативный ввод'!A990="","",'Оперативный ввод'!A990)</f>
        <v/>
      </c>
      <c r="B990" s="172">
        <f>IF('Оперативный ввод'!B990="","",'Оперативный ввод'!B990)</f>
        <v/>
      </c>
      <c r="C990" s="270">
        <f>IF('Оперативный ввод'!C990="","",'Оперативный ввод'!C990)</f>
        <v/>
      </c>
      <c r="D990" s="270">
        <f>IF('Оперативный ввод'!D990="","",'Оперативный ввод'!D990)</f>
        <v/>
      </c>
      <c r="E990" s="271">
        <f>IF(OR(C990="",D990=""),"",D990-C990)</f>
        <v/>
      </c>
      <c r="F990" s="172">
        <f>IF('Оперативный ввод'!F990="","",'Оперативный ввод'!F990)</f>
        <v/>
      </c>
      <c r="G990" s="172">
        <f>IF('Оперативный ввод'!G990="","",'Оперативный ввод'!G990)</f>
        <v/>
      </c>
      <c r="H990" s="172">
        <f>IF('Оперативный ввод'!H990="","",'Оперативный ввод'!H990)</f>
        <v/>
      </c>
      <c r="I990" s="172">
        <f>IF('Оперативный ввод'!I990="","",'Оперативный ввод'!I990)</f>
        <v/>
      </c>
      <c r="J990" s="172">
        <f>IF('Оперативный ввод'!J990="","",'Оперативный ввод'!J990)</f>
        <v/>
      </c>
      <c r="K990" s="172">
        <f>IF('Оперативный ввод'!K990="","",'Оперативный ввод'!K990)</f>
        <v/>
      </c>
      <c r="L990" s="172">
        <f>IF('Оперативный ввод'!L990="","",'Оперативный ввод'!L990)</f>
        <v/>
      </c>
      <c r="M990" s="172">
        <f>IF('Оперативный ввод'!M990="","",'Оперативный ввод'!M990)</f>
        <v/>
      </c>
      <c r="N990" s="172">
        <f>IF('Оперативный ввод'!N990="","",'Оперативный ввод'!N990)</f>
        <v/>
      </c>
      <c r="O990" s="172">
        <f>IF('Оперативный ввод'!O990="","",'Оперативный ввод'!O990)</f>
        <v/>
      </c>
      <c r="P990" s="205">
        <f>IF(AND(A990="",B990=""),"",IF(AND(A990&lt;&gt;"",B990&lt;&gt;"",C990&lt;&gt;"",D990&lt;&gt;"",F990&lt;&gt;"",G990&lt;&gt;"",H990&lt;&gt;"",ISERROR(SEARCH("по паспорту",G990)),ISERROR(SEARCH("по паспорту",H990)),I990&lt;&gt;"",J990&lt;&gt;"",K990&lt;&gt;"",L990&lt;&gt;"",M990&lt;&gt;""),"ГОТОВО","НЕ ГОТОВО"))</f>
        <v/>
      </c>
      <c r="Q990" s="205">
        <f>IF(P990&lt;&gt;"ГОТОВО","", "Предварительное заключение: "&amp;A990&amp;", скв. "&amp;B990&amp;". МРП: "&amp;E990&amp;" сут. ГНО: "&amp;F990&amp;", типоразмер "&amp;G990&amp;", марка "&amp;H990&amp;". Событие: "&amp;I990&amp;". Признак: "&amp;J990&amp;". Узел: "&amp;K990&amp;". Предварительная причина: "&amp;L990&amp;". Основное осложнение: "&amp;M990&amp;IF(N990&lt;&gt;"","; сопутствующее: "&amp;N990,"")&amp;IF(O990&lt;&gt;"","; дополнительно: "&amp;O990,"")&amp;".")</f>
        <v/>
      </c>
      <c r="R990" s="172">
        <f>IF('Оперативный ввод'!P990="","",'Оперативный ввод'!P990)</f>
        <v/>
      </c>
      <c r="S990" s="172">
        <f>IF('Оперативный ввод'!Q990="","",'Оперативный ввод'!Q990)</f>
        <v/>
      </c>
      <c r="T990" s="172">
        <f>IF('Оперативный ввод'!R990="","",'Оперативный ввод'!R990)</f>
        <v/>
      </c>
      <c r="U990" s="172">
        <f>IF('Оперативный ввод'!S990="","",'Оперативный ввод'!S990)</f>
        <v/>
      </c>
      <c r="V990" s="172">
        <f>IF('Оперативный ввод'!T990="","",'Оперативный ввод'!T990)</f>
        <v/>
      </c>
      <c r="W990" s="172" t="n"/>
      <c r="X990" s="172" t="n"/>
      <c r="Y990" s="172" t="n"/>
      <c r="Z990" s="172" t="n"/>
      <c r="AA990" s="172">
        <f>IF('Оперативный ввод'!U990="","",'Оперативный ввод'!U990)</f>
        <v/>
      </c>
      <c r="AB990" s="172">
        <f>IF('Оперативный ввод'!V990="","",'Оперативный ввод'!V990)</f>
        <v/>
      </c>
      <c r="AC990" s="172">
        <f>IF('Оперативный ввод'!W990="","",'Оперативный ввод'!W990)</f>
        <v/>
      </c>
      <c r="BB990" s="172" t="n"/>
      <c r="BC990" s="172" t="n"/>
      <c r="BD990" s="205">
        <f>IF(AND(A990="",B990=""),"",IF(AND(P990="ГОТОВО",R990&lt;&gt;"",T990&lt;&gt;"",U990&lt;&gt;"",AA990&lt;&gt;"",AB990&lt;&gt;"",AC990&lt;&gt;"",BB990&lt;&gt;"",BC990&lt;&gt;""),"ГОТОВО","НЕ ГОТОВО"))</f>
        <v/>
      </c>
      <c r="BE990" s="205">
        <f>IF(BD990&lt;&gt;"ГОТОВО","","Полное заключение: "&amp;A990&amp;", скв. "&amp;B990&amp;". МРП: "&amp;E990&amp;" сут. ГНО: "&amp;F990&amp;"; причина: "&amp;U990&amp;"; категория: "&amp;V990&amp;"; решение комиссии: "&amp;BB990&amp;".")</f>
        <v/>
      </c>
      <c r="BF990" s="173">
        <f>IF('Оперативный ввод'!X990="","",'Оперативный ввод'!X990)</f>
        <v/>
      </c>
    </row>
    <row r="991">
      <c r="A991" s="171">
        <f>IF('Оперативный ввод'!A991="","",'Оперативный ввод'!A991)</f>
        <v/>
      </c>
      <c r="B991" s="172">
        <f>IF('Оперативный ввод'!B991="","",'Оперативный ввод'!B991)</f>
        <v/>
      </c>
      <c r="C991" s="270">
        <f>IF('Оперативный ввод'!C991="","",'Оперативный ввод'!C991)</f>
        <v/>
      </c>
      <c r="D991" s="270">
        <f>IF('Оперативный ввод'!D991="","",'Оперативный ввод'!D991)</f>
        <v/>
      </c>
      <c r="E991" s="271">
        <f>IF(OR(C991="",D991=""),"",D991-C991)</f>
        <v/>
      </c>
      <c r="F991" s="172">
        <f>IF('Оперативный ввод'!F991="","",'Оперативный ввод'!F991)</f>
        <v/>
      </c>
      <c r="G991" s="172">
        <f>IF('Оперативный ввод'!G991="","",'Оперативный ввод'!G991)</f>
        <v/>
      </c>
      <c r="H991" s="172">
        <f>IF('Оперативный ввод'!H991="","",'Оперативный ввод'!H991)</f>
        <v/>
      </c>
      <c r="I991" s="172">
        <f>IF('Оперативный ввод'!I991="","",'Оперативный ввод'!I991)</f>
        <v/>
      </c>
      <c r="J991" s="172">
        <f>IF('Оперативный ввод'!J991="","",'Оперативный ввод'!J991)</f>
        <v/>
      </c>
      <c r="K991" s="172">
        <f>IF('Оперативный ввод'!K991="","",'Оперативный ввод'!K991)</f>
        <v/>
      </c>
      <c r="L991" s="172">
        <f>IF('Оперативный ввод'!L991="","",'Оперативный ввод'!L991)</f>
        <v/>
      </c>
      <c r="M991" s="172">
        <f>IF('Оперативный ввод'!M991="","",'Оперативный ввод'!M991)</f>
        <v/>
      </c>
      <c r="N991" s="172">
        <f>IF('Оперативный ввод'!N991="","",'Оперативный ввод'!N991)</f>
        <v/>
      </c>
      <c r="O991" s="172">
        <f>IF('Оперативный ввод'!O991="","",'Оперативный ввод'!O991)</f>
        <v/>
      </c>
      <c r="P991" s="205">
        <f>IF(AND(A991="",B991=""),"",IF(AND(A991&lt;&gt;"",B991&lt;&gt;"",C991&lt;&gt;"",D991&lt;&gt;"",F991&lt;&gt;"",G991&lt;&gt;"",H991&lt;&gt;"",ISERROR(SEARCH("по паспорту",G991)),ISERROR(SEARCH("по паспорту",H991)),I991&lt;&gt;"",J991&lt;&gt;"",K991&lt;&gt;"",L991&lt;&gt;"",M991&lt;&gt;""),"ГОТОВО","НЕ ГОТОВО"))</f>
        <v/>
      </c>
      <c r="Q991" s="205">
        <f>IF(P991&lt;&gt;"ГОТОВО","", "Предварительное заключение: "&amp;A991&amp;", скв. "&amp;B991&amp;". МРП: "&amp;E991&amp;" сут. ГНО: "&amp;F991&amp;", типоразмер "&amp;G991&amp;", марка "&amp;H991&amp;". Событие: "&amp;I991&amp;". Признак: "&amp;J991&amp;". Узел: "&amp;K991&amp;". Предварительная причина: "&amp;L991&amp;". Основное осложнение: "&amp;M991&amp;IF(N991&lt;&gt;"","; сопутствующее: "&amp;N991,"")&amp;IF(O991&lt;&gt;"","; дополнительно: "&amp;O991,"")&amp;".")</f>
        <v/>
      </c>
      <c r="R991" s="172">
        <f>IF('Оперативный ввод'!P991="","",'Оперативный ввод'!P991)</f>
        <v/>
      </c>
      <c r="S991" s="172">
        <f>IF('Оперативный ввод'!Q991="","",'Оперативный ввод'!Q991)</f>
        <v/>
      </c>
      <c r="T991" s="172">
        <f>IF('Оперативный ввод'!R991="","",'Оперативный ввод'!R991)</f>
        <v/>
      </c>
      <c r="U991" s="172">
        <f>IF('Оперативный ввод'!S991="","",'Оперативный ввод'!S991)</f>
        <v/>
      </c>
      <c r="V991" s="172">
        <f>IF('Оперативный ввод'!T991="","",'Оперативный ввод'!T991)</f>
        <v/>
      </c>
      <c r="W991" s="172" t="n"/>
      <c r="X991" s="172" t="n"/>
      <c r="Y991" s="172" t="n"/>
      <c r="Z991" s="172" t="n"/>
      <c r="AA991" s="172">
        <f>IF('Оперативный ввод'!U991="","",'Оперативный ввод'!U991)</f>
        <v/>
      </c>
      <c r="AB991" s="172">
        <f>IF('Оперативный ввод'!V991="","",'Оперативный ввод'!V991)</f>
        <v/>
      </c>
      <c r="AC991" s="172">
        <f>IF('Оперативный ввод'!W991="","",'Оперативный ввод'!W991)</f>
        <v/>
      </c>
      <c r="BB991" s="172" t="n"/>
      <c r="BC991" s="172" t="n"/>
      <c r="BD991" s="205">
        <f>IF(AND(A991="",B991=""),"",IF(AND(P991="ГОТОВО",R991&lt;&gt;"",T991&lt;&gt;"",U991&lt;&gt;"",AA991&lt;&gt;"",AB991&lt;&gt;"",AC991&lt;&gt;"",BB991&lt;&gt;"",BC991&lt;&gt;""),"ГОТОВО","НЕ ГОТОВО"))</f>
        <v/>
      </c>
      <c r="BE991" s="205">
        <f>IF(BD991&lt;&gt;"ГОТОВО","","Полное заключение: "&amp;A991&amp;", скв. "&amp;B991&amp;". МРП: "&amp;E991&amp;" сут. ГНО: "&amp;F991&amp;"; причина: "&amp;U991&amp;"; категория: "&amp;V991&amp;"; решение комиссии: "&amp;BB991&amp;".")</f>
        <v/>
      </c>
      <c r="BF991" s="173">
        <f>IF('Оперативный ввод'!X991="","",'Оперативный ввод'!X991)</f>
        <v/>
      </c>
    </row>
    <row r="992">
      <c r="A992" s="171">
        <f>IF('Оперативный ввод'!A992="","",'Оперативный ввод'!A992)</f>
        <v/>
      </c>
      <c r="B992" s="172">
        <f>IF('Оперативный ввод'!B992="","",'Оперативный ввод'!B992)</f>
        <v/>
      </c>
      <c r="C992" s="270">
        <f>IF('Оперативный ввод'!C992="","",'Оперативный ввод'!C992)</f>
        <v/>
      </c>
      <c r="D992" s="270">
        <f>IF('Оперативный ввод'!D992="","",'Оперативный ввод'!D992)</f>
        <v/>
      </c>
      <c r="E992" s="271">
        <f>IF(OR(C992="",D992=""),"",D992-C992)</f>
        <v/>
      </c>
      <c r="F992" s="172">
        <f>IF('Оперативный ввод'!F992="","",'Оперативный ввод'!F992)</f>
        <v/>
      </c>
      <c r="G992" s="172">
        <f>IF('Оперативный ввод'!G992="","",'Оперативный ввод'!G992)</f>
        <v/>
      </c>
      <c r="H992" s="172">
        <f>IF('Оперативный ввод'!H992="","",'Оперативный ввод'!H992)</f>
        <v/>
      </c>
      <c r="I992" s="172">
        <f>IF('Оперативный ввод'!I992="","",'Оперативный ввод'!I992)</f>
        <v/>
      </c>
      <c r="J992" s="172">
        <f>IF('Оперативный ввод'!J992="","",'Оперативный ввод'!J992)</f>
        <v/>
      </c>
      <c r="K992" s="172">
        <f>IF('Оперативный ввод'!K992="","",'Оперативный ввод'!K992)</f>
        <v/>
      </c>
      <c r="L992" s="172">
        <f>IF('Оперативный ввод'!L992="","",'Оперативный ввод'!L992)</f>
        <v/>
      </c>
      <c r="M992" s="172">
        <f>IF('Оперативный ввод'!M992="","",'Оперативный ввод'!M992)</f>
        <v/>
      </c>
      <c r="N992" s="172">
        <f>IF('Оперативный ввод'!N992="","",'Оперативный ввод'!N992)</f>
        <v/>
      </c>
      <c r="O992" s="172">
        <f>IF('Оперативный ввод'!O992="","",'Оперативный ввод'!O992)</f>
        <v/>
      </c>
      <c r="P992" s="205">
        <f>IF(AND(A992="",B992=""),"",IF(AND(A992&lt;&gt;"",B992&lt;&gt;"",C992&lt;&gt;"",D992&lt;&gt;"",F992&lt;&gt;"",G992&lt;&gt;"",H992&lt;&gt;"",ISERROR(SEARCH("по паспорту",G992)),ISERROR(SEARCH("по паспорту",H992)),I992&lt;&gt;"",J992&lt;&gt;"",K992&lt;&gt;"",L992&lt;&gt;"",M992&lt;&gt;""),"ГОТОВО","НЕ ГОТОВО"))</f>
        <v/>
      </c>
      <c r="Q992" s="205">
        <f>IF(P992&lt;&gt;"ГОТОВО","", "Предварительное заключение: "&amp;A992&amp;", скв. "&amp;B992&amp;". МРП: "&amp;E992&amp;" сут. ГНО: "&amp;F992&amp;", типоразмер "&amp;G992&amp;", марка "&amp;H992&amp;". Событие: "&amp;I992&amp;". Признак: "&amp;J992&amp;". Узел: "&amp;K992&amp;". Предварительная причина: "&amp;L992&amp;". Основное осложнение: "&amp;M992&amp;IF(N992&lt;&gt;"","; сопутствующее: "&amp;N992,"")&amp;IF(O992&lt;&gt;"","; дополнительно: "&amp;O992,"")&amp;".")</f>
        <v/>
      </c>
      <c r="R992" s="172">
        <f>IF('Оперативный ввод'!P992="","",'Оперативный ввод'!P992)</f>
        <v/>
      </c>
      <c r="S992" s="172">
        <f>IF('Оперативный ввод'!Q992="","",'Оперативный ввод'!Q992)</f>
        <v/>
      </c>
      <c r="T992" s="172">
        <f>IF('Оперативный ввод'!R992="","",'Оперативный ввод'!R992)</f>
        <v/>
      </c>
      <c r="U992" s="172">
        <f>IF('Оперативный ввод'!S992="","",'Оперативный ввод'!S992)</f>
        <v/>
      </c>
      <c r="V992" s="172">
        <f>IF('Оперативный ввод'!T992="","",'Оперативный ввод'!T992)</f>
        <v/>
      </c>
      <c r="W992" s="172" t="n"/>
      <c r="X992" s="172" t="n"/>
      <c r="Y992" s="172" t="n"/>
      <c r="Z992" s="172" t="n"/>
      <c r="AA992" s="172">
        <f>IF('Оперативный ввод'!U992="","",'Оперативный ввод'!U992)</f>
        <v/>
      </c>
      <c r="AB992" s="172">
        <f>IF('Оперативный ввод'!V992="","",'Оперативный ввод'!V992)</f>
        <v/>
      </c>
      <c r="AC992" s="172">
        <f>IF('Оперативный ввод'!W992="","",'Оперативный ввод'!W992)</f>
        <v/>
      </c>
      <c r="BB992" s="172" t="n"/>
      <c r="BC992" s="172" t="n"/>
      <c r="BD992" s="205">
        <f>IF(AND(A992="",B992=""),"",IF(AND(P992="ГОТОВО",R992&lt;&gt;"",T992&lt;&gt;"",U992&lt;&gt;"",AA992&lt;&gt;"",AB992&lt;&gt;"",AC992&lt;&gt;"",BB992&lt;&gt;"",BC992&lt;&gt;""),"ГОТОВО","НЕ ГОТОВО"))</f>
        <v/>
      </c>
      <c r="BE992" s="205">
        <f>IF(BD992&lt;&gt;"ГОТОВО","","Полное заключение: "&amp;A992&amp;", скв. "&amp;B992&amp;". МРП: "&amp;E992&amp;" сут. ГНО: "&amp;F992&amp;"; причина: "&amp;U992&amp;"; категория: "&amp;V992&amp;"; решение комиссии: "&amp;BB992&amp;".")</f>
        <v/>
      </c>
      <c r="BF992" s="173">
        <f>IF('Оперативный ввод'!X992="","",'Оперативный ввод'!X992)</f>
        <v/>
      </c>
    </row>
    <row r="993">
      <c r="A993" s="171">
        <f>IF('Оперативный ввод'!A993="","",'Оперативный ввод'!A993)</f>
        <v/>
      </c>
      <c r="B993" s="172">
        <f>IF('Оперативный ввод'!B993="","",'Оперативный ввод'!B993)</f>
        <v/>
      </c>
      <c r="C993" s="270">
        <f>IF('Оперативный ввод'!C993="","",'Оперативный ввод'!C993)</f>
        <v/>
      </c>
      <c r="D993" s="270">
        <f>IF('Оперативный ввод'!D993="","",'Оперативный ввод'!D993)</f>
        <v/>
      </c>
      <c r="E993" s="271">
        <f>IF(OR(C993="",D993=""),"",D993-C993)</f>
        <v/>
      </c>
      <c r="F993" s="172">
        <f>IF('Оперативный ввод'!F993="","",'Оперативный ввод'!F993)</f>
        <v/>
      </c>
      <c r="G993" s="172">
        <f>IF('Оперативный ввод'!G993="","",'Оперативный ввод'!G993)</f>
        <v/>
      </c>
      <c r="H993" s="172">
        <f>IF('Оперативный ввод'!H993="","",'Оперативный ввод'!H993)</f>
        <v/>
      </c>
      <c r="I993" s="172">
        <f>IF('Оперативный ввод'!I993="","",'Оперативный ввод'!I993)</f>
        <v/>
      </c>
      <c r="J993" s="172">
        <f>IF('Оперативный ввод'!J993="","",'Оперативный ввод'!J993)</f>
        <v/>
      </c>
      <c r="K993" s="172">
        <f>IF('Оперативный ввод'!K993="","",'Оперативный ввод'!K993)</f>
        <v/>
      </c>
      <c r="L993" s="172">
        <f>IF('Оперативный ввод'!L993="","",'Оперативный ввод'!L993)</f>
        <v/>
      </c>
      <c r="M993" s="172">
        <f>IF('Оперативный ввод'!M993="","",'Оперативный ввод'!M993)</f>
        <v/>
      </c>
      <c r="N993" s="172">
        <f>IF('Оперативный ввод'!N993="","",'Оперативный ввод'!N993)</f>
        <v/>
      </c>
      <c r="O993" s="172">
        <f>IF('Оперативный ввод'!O993="","",'Оперативный ввод'!O993)</f>
        <v/>
      </c>
      <c r="P993" s="205">
        <f>IF(AND(A993="",B993=""),"",IF(AND(A993&lt;&gt;"",B993&lt;&gt;"",C993&lt;&gt;"",D993&lt;&gt;"",F993&lt;&gt;"",G993&lt;&gt;"",H993&lt;&gt;"",ISERROR(SEARCH("по паспорту",G993)),ISERROR(SEARCH("по паспорту",H993)),I993&lt;&gt;"",J993&lt;&gt;"",K993&lt;&gt;"",L993&lt;&gt;"",M993&lt;&gt;""),"ГОТОВО","НЕ ГОТОВО"))</f>
        <v/>
      </c>
      <c r="Q993" s="205">
        <f>IF(P993&lt;&gt;"ГОТОВО","", "Предварительное заключение: "&amp;A993&amp;", скв. "&amp;B993&amp;". МРП: "&amp;E993&amp;" сут. ГНО: "&amp;F993&amp;", типоразмер "&amp;G993&amp;", марка "&amp;H993&amp;". Событие: "&amp;I993&amp;". Признак: "&amp;J993&amp;". Узел: "&amp;K993&amp;". Предварительная причина: "&amp;L993&amp;". Основное осложнение: "&amp;M993&amp;IF(N993&lt;&gt;"","; сопутствующее: "&amp;N993,"")&amp;IF(O993&lt;&gt;"","; дополнительно: "&amp;O993,"")&amp;".")</f>
        <v/>
      </c>
      <c r="R993" s="172">
        <f>IF('Оперативный ввод'!P993="","",'Оперативный ввод'!P993)</f>
        <v/>
      </c>
      <c r="S993" s="172">
        <f>IF('Оперативный ввод'!Q993="","",'Оперативный ввод'!Q993)</f>
        <v/>
      </c>
      <c r="T993" s="172">
        <f>IF('Оперативный ввод'!R993="","",'Оперативный ввод'!R993)</f>
        <v/>
      </c>
      <c r="U993" s="172">
        <f>IF('Оперативный ввод'!S993="","",'Оперативный ввод'!S993)</f>
        <v/>
      </c>
      <c r="V993" s="172">
        <f>IF('Оперативный ввод'!T993="","",'Оперативный ввод'!T993)</f>
        <v/>
      </c>
      <c r="W993" s="172" t="n"/>
      <c r="X993" s="172" t="n"/>
      <c r="Y993" s="172" t="n"/>
      <c r="Z993" s="172" t="n"/>
      <c r="AA993" s="172">
        <f>IF('Оперативный ввод'!U993="","",'Оперативный ввод'!U993)</f>
        <v/>
      </c>
      <c r="AB993" s="172">
        <f>IF('Оперативный ввод'!V993="","",'Оперативный ввод'!V993)</f>
        <v/>
      </c>
      <c r="AC993" s="172">
        <f>IF('Оперативный ввод'!W993="","",'Оперативный ввод'!W993)</f>
        <v/>
      </c>
      <c r="BB993" s="172" t="n"/>
      <c r="BC993" s="172" t="n"/>
      <c r="BD993" s="205">
        <f>IF(AND(A993="",B993=""),"",IF(AND(P993="ГОТОВО",R993&lt;&gt;"",T993&lt;&gt;"",U993&lt;&gt;"",AA993&lt;&gt;"",AB993&lt;&gt;"",AC993&lt;&gt;"",BB993&lt;&gt;"",BC993&lt;&gt;""),"ГОТОВО","НЕ ГОТОВО"))</f>
        <v/>
      </c>
      <c r="BE993" s="205">
        <f>IF(BD993&lt;&gt;"ГОТОВО","","Полное заключение: "&amp;A993&amp;", скв. "&amp;B993&amp;". МРП: "&amp;E993&amp;" сут. ГНО: "&amp;F993&amp;"; причина: "&amp;U993&amp;"; категория: "&amp;V993&amp;"; решение комиссии: "&amp;BB993&amp;".")</f>
        <v/>
      </c>
      <c r="BF993" s="173">
        <f>IF('Оперативный ввод'!X993="","",'Оперативный ввод'!X993)</f>
        <v/>
      </c>
    </row>
    <row r="994">
      <c r="A994" s="171">
        <f>IF('Оперативный ввод'!A994="","",'Оперативный ввод'!A994)</f>
        <v/>
      </c>
      <c r="B994" s="172">
        <f>IF('Оперативный ввод'!B994="","",'Оперативный ввод'!B994)</f>
        <v/>
      </c>
      <c r="C994" s="270">
        <f>IF('Оперативный ввод'!C994="","",'Оперативный ввод'!C994)</f>
        <v/>
      </c>
      <c r="D994" s="270">
        <f>IF('Оперативный ввод'!D994="","",'Оперативный ввод'!D994)</f>
        <v/>
      </c>
      <c r="E994" s="271">
        <f>IF(OR(C994="",D994=""),"",D994-C994)</f>
        <v/>
      </c>
      <c r="F994" s="172">
        <f>IF('Оперативный ввод'!F994="","",'Оперативный ввод'!F994)</f>
        <v/>
      </c>
      <c r="G994" s="172">
        <f>IF('Оперативный ввод'!G994="","",'Оперативный ввод'!G994)</f>
        <v/>
      </c>
      <c r="H994" s="172">
        <f>IF('Оперативный ввод'!H994="","",'Оперативный ввод'!H994)</f>
        <v/>
      </c>
      <c r="I994" s="172">
        <f>IF('Оперативный ввод'!I994="","",'Оперативный ввод'!I994)</f>
        <v/>
      </c>
      <c r="J994" s="172">
        <f>IF('Оперативный ввод'!J994="","",'Оперативный ввод'!J994)</f>
        <v/>
      </c>
      <c r="K994" s="172">
        <f>IF('Оперативный ввод'!K994="","",'Оперативный ввод'!K994)</f>
        <v/>
      </c>
      <c r="L994" s="172">
        <f>IF('Оперативный ввод'!L994="","",'Оперативный ввод'!L994)</f>
        <v/>
      </c>
      <c r="M994" s="172">
        <f>IF('Оперативный ввод'!M994="","",'Оперативный ввод'!M994)</f>
        <v/>
      </c>
      <c r="N994" s="172">
        <f>IF('Оперативный ввод'!N994="","",'Оперативный ввод'!N994)</f>
        <v/>
      </c>
      <c r="O994" s="172">
        <f>IF('Оперативный ввод'!O994="","",'Оперативный ввод'!O994)</f>
        <v/>
      </c>
      <c r="P994" s="205">
        <f>IF(AND(A994="",B994=""),"",IF(AND(A994&lt;&gt;"",B994&lt;&gt;"",C994&lt;&gt;"",D994&lt;&gt;"",F994&lt;&gt;"",G994&lt;&gt;"",H994&lt;&gt;"",ISERROR(SEARCH("по паспорту",G994)),ISERROR(SEARCH("по паспорту",H994)),I994&lt;&gt;"",J994&lt;&gt;"",K994&lt;&gt;"",L994&lt;&gt;"",M994&lt;&gt;""),"ГОТОВО","НЕ ГОТОВО"))</f>
        <v/>
      </c>
      <c r="Q994" s="205">
        <f>IF(P994&lt;&gt;"ГОТОВО","", "Предварительное заключение: "&amp;A994&amp;", скв. "&amp;B994&amp;". МРП: "&amp;E994&amp;" сут. ГНО: "&amp;F994&amp;", типоразмер "&amp;G994&amp;", марка "&amp;H994&amp;". Событие: "&amp;I994&amp;". Признак: "&amp;J994&amp;". Узел: "&amp;K994&amp;". Предварительная причина: "&amp;L994&amp;". Основное осложнение: "&amp;M994&amp;IF(N994&lt;&gt;"","; сопутствующее: "&amp;N994,"")&amp;IF(O994&lt;&gt;"","; дополнительно: "&amp;O994,"")&amp;".")</f>
        <v/>
      </c>
      <c r="R994" s="172">
        <f>IF('Оперативный ввод'!P994="","",'Оперативный ввод'!P994)</f>
        <v/>
      </c>
      <c r="S994" s="172">
        <f>IF('Оперативный ввод'!Q994="","",'Оперативный ввод'!Q994)</f>
        <v/>
      </c>
      <c r="T994" s="172">
        <f>IF('Оперативный ввод'!R994="","",'Оперативный ввод'!R994)</f>
        <v/>
      </c>
      <c r="U994" s="172">
        <f>IF('Оперативный ввод'!S994="","",'Оперативный ввод'!S994)</f>
        <v/>
      </c>
      <c r="V994" s="172">
        <f>IF('Оперативный ввод'!T994="","",'Оперативный ввод'!T994)</f>
        <v/>
      </c>
      <c r="W994" s="172" t="n"/>
      <c r="X994" s="172" t="n"/>
      <c r="Y994" s="172" t="n"/>
      <c r="Z994" s="172" t="n"/>
      <c r="AA994" s="172">
        <f>IF('Оперативный ввод'!U994="","",'Оперативный ввод'!U994)</f>
        <v/>
      </c>
      <c r="AB994" s="172">
        <f>IF('Оперативный ввод'!V994="","",'Оперативный ввод'!V994)</f>
        <v/>
      </c>
      <c r="AC994" s="172">
        <f>IF('Оперативный ввод'!W994="","",'Оперативный ввод'!W994)</f>
        <v/>
      </c>
      <c r="BB994" s="172" t="n"/>
      <c r="BC994" s="172" t="n"/>
      <c r="BD994" s="205">
        <f>IF(AND(A994="",B994=""),"",IF(AND(P994="ГОТОВО",R994&lt;&gt;"",T994&lt;&gt;"",U994&lt;&gt;"",AA994&lt;&gt;"",AB994&lt;&gt;"",AC994&lt;&gt;"",BB994&lt;&gt;"",BC994&lt;&gt;""),"ГОТОВО","НЕ ГОТОВО"))</f>
        <v/>
      </c>
      <c r="BE994" s="205">
        <f>IF(BD994&lt;&gt;"ГОТОВО","","Полное заключение: "&amp;A994&amp;", скв. "&amp;B994&amp;". МРП: "&amp;E994&amp;" сут. ГНО: "&amp;F994&amp;"; причина: "&amp;U994&amp;"; категория: "&amp;V994&amp;"; решение комиссии: "&amp;BB994&amp;".")</f>
        <v/>
      </c>
      <c r="BF994" s="173">
        <f>IF('Оперативный ввод'!X994="","",'Оперативный ввод'!X994)</f>
        <v/>
      </c>
    </row>
    <row r="995">
      <c r="A995" s="171">
        <f>IF('Оперативный ввод'!A995="","",'Оперативный ввод'!A995)</f>
        <v/>
      </c>
      <c r="B995" s="172">
        <f>IF('Оперативный ввод'!B995="","",'Оперативный ввод'!B995)</f>
        <v/>
      </c>
      <c r="C995" s="270">
        <f>IF('Оперативный ввод'!C995="","",'Оперативный ввод'!C995)</f>
        <v/>
      </c>
      <c r="D995" s="270">
        <f>IF('Оперативный ввод'!D995="","",'Оперативный ввод'!D995)</f>
        <v/>
      </c>
      <c r="E995" s="271">
        <f>IF(OR(C995="",D995=""),"",D995-C995)</f>
        <v/>
      </c>
      <c r="F995" s="172">
        <f>IF('Оперативный ввод'!F995="","",'Оперативный ввод'!F995)</f>
        <v/>
      </c>
      <c r="G995" s="172">
        <f>IF('Оперативный ввод'!G995="","",'Оперативный ввод'!G995)</f>
        <v/>
      </c>
      <c r="H995" s="172">
        <f>IF('Оперативный ввод'!H995="","",'Оперативный ввод'!H995)</f>
        <v/>
      </c>
      <c r="I995" s="172">
        <f>IF('Оперативный ввод'!I995="","",'Оперативный ввод'!I995)</f>
        <v/>
      </c>
      <c r="J995" s="172">
        <f>IF('Оперативный ввод'!J995="","",'Оперативный ввод'!J995)</f>
        <v/>
      </c>
      <c r="K995" s="172">
        <f>IF('Оперативный ввод'!K995="","",'Оперативный ввод'!K995)</f>
        <v/>
      </c>
      <c r="L995" s="172">
        <f>IF('Оперативный ввод'!L995="","",'Оперативный ввод'!L995)</f>
        <v/>
      </c>
      <c r="M995" s="172">
        <f>IF('Оперативный ввод'!M995="","",'Оперативный ввод'!M995)</f>
        <v/>
      </c>
      <c r="N995" s="172">
        <f>IF('Оперативный ввод'!N995="","",'Оперативный ввод'!N995)</f>
        <v/>
      </c>
      <c r="O995" s="172">
        <f>IF('Оперативный ввод'!O995="","",'Оперативный ввод'!O995)</f>
        <v/>
      </c>
      <c r="P995" s="205">
        <f>IF(AND(A995="",B995=""),"",IF(AND(A995&lt;&gt;"",B995&lt;&gt;"",C995&lt;&gt;"",D995&lt;&gt;"",F995&lt;&gt;"",G995&lt;&gt;"",H995&lt;&gt;"",ISERROR(SEARCH("по паспорту",G995)),ISERROR(SEARCH("по паспорту",H995)),I995&lt;&gt;"",J995&lt;&gt;"",K995&lt;&gt;"",L995&lt;&gt;"",M995&lt;&gt;""),"ГОТОВО","НЕ ГОТОВО"))</f>
        <v/>
      </c>
      <c r="Q995" s="205">
        <f>IF(P995&lt;&gt;"ГОТОВО","", "Предварительное заключение: "&amp;A995&amp;", скв. "&amp;B995&amp;". МРП: "&amp;E995&amp;" сут. ГНО: "&amp;F995&amp;", типоразмер "&amp;G995&amp;", марка "&amp;H995&amp;". Событие: "&amp;I995&amp;". Признак: "&amp;J995&amp;". Узел: "&amp;K995&amp;". Предварительная причина: "&amp;L995&amp;". Основное осложнение: "&amp;M995&amp;IF(N995&lt;&gt;"","; сопутствующее: "&amp;N995,"")&amp;IF(O995&lt;&gt;"","; дополнительно: "&amp;O995,"")&amp;".")</f>
        <v/>
      </c>
      <c r="R995" s="172">
        <f>IF('Оперативный ввод'!P995="","",'Оперативный ввод'!P995)</f>
        <v/>
      </c>
      <c r="S995" s="172">
        <f>IF('Оперативный ввод'!Q995="","",'Оперативный ввод'!Q995)</f>
        <v/>
      </c>
      <c r="T995" s="172">
        <f>IF('Оперативный ввод'!R995="","",'Оперативный ввод'!R995)</f>
        <v/>
      </c>
      <c r="U995" s="172">
        <f>IF('Оперативный ввод'!S995="","",'Оперативный ввод'!S995)</f>
        <v/>
      </c>
      <c r="V995" s="172">
        <f>IF('Оперативный ввод'!T995="","",'Оперативный ввод'!T995)</f>
        <v/>
      </c>
      <c r="W995" s="172" t="n"/>
      <c r="X995" s="172" t="n"/>
      <c r="Y995" s="172" t="n"/>
      <c r="Z995" s="172" t="n"/>
      <c r="AA995" s="172">
        <f>IF('Оперативный ввод'!U995="","",'Оперативный ввод'!U995)</f>
        <v/>
      </c>
      <c r="AB995" s="172">
        <f>IF('Оперативный ввод'!V995="","",'Оперативный ввод'!V995)</f>
        <v/>
      </c>
      <c r="AC995" s="172">
        <f>IF('Оперативный ввод'!W995="","",'Оперативный ввод'!W995)</f>
        <v/>
      </c>
      <c r="BB995" s="172" t="n"/>
      <c r="BC995" s="172" t="n"/>
      <c r="BD995" s="205">
        <f>IF(AND(A995="",B995=""),"",IF(AND(P995="ГОТОВО",R995&lt;&gt;"",T995&lt;&gt;"",U995&lt;&gt;"",AA995&lt;&gt;"",AB995&lt;&gt;"",AC995&lt;&gt;"",BB995&lt;&gt;"",BC995&lt;&gt;""),"ГОТОВО","НЕ ГОТОВО"))</f>
        <v/>
      </c>
      <c r="BE995" s="205">
        <f>IF(BD995&lt;&gt;"ГОТОВО","","Полное заключение: "&amp;A995&amp;", скв. "&amp;B995&amp;". МРП: "&amp;E995&amp;" сут. ГНО: "&amp;F995&amp;"; причина: "&amp;U995&amp;"; категория: "&amp;V995&amp;"; решение комиссии: "&amp;BB995&amp;".")</f>
        <v/>
      </c>
      <c r="BF995" s="173">
        <f>IF('Оперативный ввод'!X995="","",'Оперативный ввод'!X995)</f>
        <v/>
      </c>
    </row>
    <row r="996">
      <c r="A996" s="171">
        <f>IF('Оперативный ввод'!A996="","",'Оперативный ввод'!A996)</f>
        <v/>
      </c>
      <c r="B996" s="172">
        <f>IF('Оперативный ввод'!B996="","",'Оперативный ввод'!B996)</f>
        <v/>
      </c>
      <c r="C996" s="270">
        <f>IF('Оперативный ввод'!C996="","",'Оперативный ввод'!C996)</f>
        <v/>
      </c>
      <c r="D996" s="270">
        <f>IF('Оперативный ввод'!D996="","",'Оперативный ввод'!D996)</f>
        <v/>
      </c>
      <c r="E996" s="271">
        <f>IF(OR(C996="",D996=""),"",D996-C996)</f>
        <v/>
      </c>
      <c r="F996" s="172">
        <f>IF('Оперативный ввод'!F996="","",'Оперативный ввод'!F996)</f>
        <v/>
      </c>
      <c r="G996" s="172">
        <f>IF('Оперативный ввод'!G996="","",'Оперативный ввод'!G996)</f>
        <v/>
      </c>
      <c r="H996" s="172">
        <f>IF('Оперативный ввод'!H996="","",'Оперативный ввод'!H996)</f>
        <v/>
      </c>
      <c r="I996" s="172">
        <f>IF('Оперативный ввод'!I996="","",'Оперативный ввод'!I996)</f>
        <v/>
      </c>
      <c r="J996" s="172">
        <f>IF('Оперативный ввод'!J996="","",'Оперативный ввод'!J996)</f>
        <v/>
      </c>
      <c r="K996" s="172">
        <f>IF('Оперативный ввод'!K996="","",'Оперативный ввод'!K996)</f>
        <v/>
      </c>
      <c r="L996" s="172">
        <f>IF('Оперативный ввод'!L996="","",'Оперативный ввод'!L996)</f>
        <v/>
      </c>
      <c r="M996" s="172">
        <f>IF('Оперативный ввод'!M996="","",'Оперативный ввод'!M996)</f>
        <v/>
      </c>
      <c r="N996" s="172">
        <f>IF('Оперативный ввод'!N996="","",'Оперативный ввод'!N996)</f>
        <v/>
      </c>
      <c r="O996" s="172">
        <f>IF('Оперативный ввод'!O996="","",'Оперативный ввод'!O996)</f>
        <v/>
      </c>
      <c r="P996" s="205">
        <f>IF(AND(A996="",B996=""),"",IF(AND(A996&lt;&gt;"",B996&lt;&gt;"",C996&lt;&gt;"",D996&lt;&gt;"",F996&lt;&gt;"",G996&lt;&gt;"",H996&lt;&gt;"",ISERROR(SEARCH("по паспорту",G996)),ISERROR(SEARCH("по паспорту",H996)),I996&lt;&gt;"",J996&lt;&gt;"",K996&lt;&gt;"",L996&lt;&gt;"",M996&lt;&gt;""),"ГОТОВО","НЕ ГОТОВО"))</f>
        <v/>
      </c>
      <c r="Q996" s="205">
        <f>IF(P996&lt;&gt;"ГОТОВО","", "Предварительное заключение: "&amp;A996&amp;", скв. "&amp;B996&amp;". МРП: "&amp;E996&amp;" сут. ГНО: "&amp;F996&amp;", типоразмер "&amp;G996&amp;", марка "&amp;H996&amp;". Событие: "&amp;I996&amp;". Признак: "&amp;J996&amp;". Узел: "&amp;K996&amp;". Предварительная причина: "&amp;L996&amp;". Основное осложнение: "&amp;M996&amp;IF(N996&lt;&gt;"","; сопутствующее: "&amp;N996,"")&amp;IF(O996&lt;&gt;"","; дополнительно: "&amp;O996,"")&amp;".")</f>
        <v/>
      </c>
      <c r="R996" s="172">
        <f>IF('Оперативный ввод'!P996="","",'Оперативный ввод'!P996)</f>
        <v/>
      </c>
      <c r="S996" s="172">
        <f>IF('Оперативный ввод'!Q996="","",'Оперативный ввод'!Q996)</f>
        <v/>
      </c>
      <c r="T996" s="172">
        <f>IF('Оперативный ввод'!R996="","",'Оперативный ввод'!R996)</f>
        <v/>
      </c>
      <c r="U996" s="172">
        <f>IF('Оперативный ввод'!S996="","",'Оперативный ввод'!S996)</f>
        <v/>
      </c>
      <c r="V996" s="172">
        <f>IF('Оперативный ввод'!T996="","",'Оперативный ввод'!T996)</f>
        <v/>
      </c>
      <c r="W996" s="172" t="n"/>
      <c r="X996" s="172" t="n"/>
      <c r="Y996" s="172" t="n"/>
      <c r="Z996" s="172" t="n"/>
      <c r="AA996" s="172">
        <f>IF('Оперативный ввод'!U996="","",'Оперативный ввод'!U996)</f>
        <v/>
      </c>
      <c r="AB996" s="172">
        <f>IF('Оперативный ввод'!V996="","",'Оперативный ввод'!V996)</f>
        <v/>
      </c>
      <c r="AC996" s="172">
        <f>IF('Оперативный ввод'!W996="","",'Оперативный ввод'!W996)</f>
        <v/>
      </c>
      <c r="BB996" s="172" t="n"/>
      <c r="BC996" s="172" t="n"/>
      <c r="BD996" s="205">
        <f>IF(AND(A996="",B996=""),"",IF(AND(P996="ГОТОВО",R996&lt;&gt;"",T996&lt;&gt;"",U996&lt;&gt;"",AA996&lt;&gt;"",AB996&lt;&gt;"",AC996&lt;&gt;"",BB996&lt;&gt;"",BC996&lt;&gt;""),"ГОТОВО","НЕ ГОТОВО"))</f>
        <v/>
      </c>
      <c r="BE996" s="205">
        <f>IF(BD996&lt;&gt;"ГОТОВО","","Полное заключение: "&amp;A996&amp;", скв. "&amp;B996&amp;". МРП: "&amp;E996&amp;" сут. ГНО: "&amp;F996&amp;"; причина: "&amp;U996&amp;"; категория: "&amp;V996&amp;"; решение комиссии: "&amp;BB996&amp;".")</f>
        <v/>
      </c>
      <c r="BF996" s="173">
        <f>IF('Оперативный ввод'!X996="","",'Оперативный ввод'!X996)</f>
        <v/>
      </c>
    </row>
    <row r="997">
      <c r="A997" s="171">
        <f>IF('Оперативный ввод'!A997="","",'Оперативный ввод'!A997)</f>
        <v/>
      </c>
      <c r="B997" s="172">
        <f>IF('Оперативный ввод'!B997="","",'Оперативный ввод'!B997)</f>
        <v/>
      </c>
      <c r="C997" s="270">
        <f>IF('Оперативный ввод'!C997="","",'Оперативный ввод'!C997)</f>
        <v/>
      </c>
      <c r="D997" s="270">
        <f>IF('Оперативный ввод'!D997="","",'Оперативный ввод'!D997)</f>
        <v/>
      </c>
      <c r="E997" s="271">
        <f>IF(OR(C997="",D997=""),"",D997-C997)</f>
        <v/>
      </c>
      <c r="F997" s="172">
        <f>IF('Оперативный ввод'!F997="","",'Оперативный ввод'!F997)</f>
        <v/>
      </c>
      <c r="G997" s="172">
        <f>IF('Оперативный ввод'!G997="","",'Оперативный ввод'!G997)</f>
        <v/>
      </c>
      <c r="H997" s="172">
        <f>IF('Оперативный ввод'!H997="","",'Оперативный ввод'!H997)</f>
        <v/>
      </c>
      <c r="I997" s="172">
        <f>IF('Оперативный ввод'!I997="","",'Оперативный ввод'!I997)</f>
        <v/>
      </c>
      <c r="J997" s="172">
        <f>IF('Оперативный ввод'!J997="","",'Оперативный ввод'!J997)</f>
        <v/>
      </c>
      <c r="K997" s="172">
        <f>IF('Оперативный ввод'!K997="","",'Оперативный ввод'!K997)</f>
        <v/>
      </c>
      <c r="L997" s="172">
        <f>IF('Оперативный ввод'!L997="","",'Оперативный ввод'!L997)</f>
        <v/>
      </c>
      <c r="M997" s="172">
        <f>IF('Оперативный ввод'!M997="","",'Оперативный ввод'!M997)</f>
        <v/>
      </c>
      <c r="N997" s="172">
        <f>IF('Оперативный ввод'!N997="","",'Оперативный ввод'!N997)</f>
        <v/>
      </c>
      <c r="O997" s="172">
        <f>IF('Оперативный ввод'!O997="","",'Оперативный ввод'!O997)</f>
        <v/>
      </c>
      <c r="P997" s="205">
        <f>IF(AND(A997="",B997=""),"",IF(AND(A997&lt;&gt;"",B997&lt;&gt;"",C997&lt;&gt;"",D997&lt;&gt;"",F997&lt;&gt;"",G997&lt;&gt;"",H997&lt;&gt;"",ISERROR(SEARCH("по паспорту",G997)),ISERROR(SEARCH("по паспорту",H997)),I997&lt;&gt;"",J997&lt;&gt;"",K997&lt;&gt;"",L997&lt;&gt;"",M997&lt;&gt;""),"ГОТОВО","НЕ ГОТОВО"))</f>
        <v/>
      </c>
      <c r="Q997" s="205">
        <f>IF(P997&lt;&gt;"ГОТОВО","", "Предварительное заключение: "&amp;A997&amp;", скв. "&amp;B997&amp;". МРП: "&amp;E997&amp;" сут. ГНО: "&amp;F997&amp;", типоразмер "&amp;G997&amp;", марка "&amp;H997&amp;". Событие: "&amp;I997&amp;". Признак: "&amp;J997&amp;". Узел: "&amp;K997&amp;". Предварительная причина: "&amp;L997&amp;". Основное осложнение: "&amp;M997&amp;IF(N997&lt;&gt;"","; сопутствующее: "&amp;N997,"")&amp;IF(O997&lt;&gt;"","; дополнительно: "&amp;O997,"")&amp;".")</f>
        <v/>
      </c>
      <c r="R997" s="172">
        <f>IF('Оперативный ввод'!P997="","",'Оперативный ввод'!P997)</f>
        <v/>
      </c>
      <c r="S997" s="172">
        <f>IF('Оперативный ввод'!Q997="","",'Оперативный ввод'!Q997)</f>
        <v/>
      </c>
      <c r="T997" s="172">
        <f>IF('Оперативный ввод'!R997="","",'Оперативный ввод'!R997)</f>
        <v/>
      </c>
      <c r="U997" s="172">
        <f>IF('Оперативный ввод'!S997="","",'Оперативный ввод'!S997)</f>
        <v/>
      </c>
      <c r="V997" s="172">
        <f>IF('Оперативный ввод'!T997="","",'Оперативный ввод'!T997)</f>
        <v/>
      </c>
      <c r="W997" s="172" t="n"/>
      <c r="X997" s="172" t="n"/>
      <c r="Y997" s="172" t="n"/>
      <c r="Z997" s="172" t="n"/>
      <c r="AA997" s="172">
        <f>IF('Оперативный ввод'!U997="","",'Оперативный ввод'!U997)</f>
        <v/>
      </c>
      <c r="AB997" s="172">
        <f>IF('Оперативный ввод'!V997="","",'Оперативный ввод'!V997)</f>
        <v/>
      </c>
      <c r="AC997" s="172">
        <f>IF('Оперативный ввод'!W997="","",'Оперативный ввод'!W997)</f>
        <v/>
      </c>
      <c r="BB997" s="172" t="n"/>
      <c r="BC997" s="172" t="n"/>
      <c r="BD997" s="205">
        <f>IF(AND(A997="",B997=""),"",IF(AND(P997="ГОТОВО",R997&lt;&gt;"",T997&lt;&gt;"",U997&lt;&gt;"",AA997&lt;&gt;"",AB997&lt;&gt;"",AC997&lt;&gt;"",BB997&lt;&gt;"",BC997&lt;&gt;""),"ГОТОВО","НЕ ГОТОВО"))</f>
        <v/>
      </c>
      <c r="BE997" s="205">
        <f>IF(BD997&lt;&gt;"ГОТОВО","","Полное заключение: "&amp;A997&amp;", скв. "&amp;B997&amp;". МРП: "&amp;E997&amp;" сут. ГНО: "&amp;F997&amp;"; причина: "&amp;U997&amp;"; категория: "&amp;V997&amp;"; решение комиссии: "&amp;BB997&amp;".")</f>
        <v/>
      </c>
      <c r="BF997" s="173">
        <f>IF('Оперативный ввод'!X997="","",'Оперативный ввод'!X997)</f>
        <v/>
      </c>
    </row>
    <row r="998">
      <c r="A998" s="171">
        <f>IF('Оперативный ввод'!A998="","",'Оперативный ввод'!A998)</f>
        <v/>
      </c>
      <c r="B998" s="172">
        <f>IF('Оперативный ввод'!B998="","",'Оперативный ввод'!B998)</f>
        <v/>
      </c>
      <c r="C998" s="270">
        <f>IF('Оперативный ввод'!C998="","",'Оперативный ввод'!C998)</f>
        <v/>
      </c>
      <c r="D998" s="270">
        <f>IF('Оперативный ввод'!D998="","",'Оперативный ввод'!D998)</f>
        <v/>
      </c>
      <c r="E998" s="271">
        <f>IF(OR(C998="",D998=""),"",D998-C998)</f>
        <v/>
      </c>
      <c r="F998" s="172">
        <f>IF('Оперативный ввод'!F998="","",'Оперативный ввод'!F998)</f>
        <v/>
      </c>
      <c r="G998" s="172">
        <f>IF('Оперативный ввод'!G998="","",'Оперативный ввод'!G998)</f>
        <v/>
      </c>
      <c r="H998" s="172">
        <f>IF('Оперативный ввод'!H998="","",'Оперативный ввод'!H998)</f>
        <v/>
      </c>
      <c r="I998" s="172">
        <f>IF('Оперативный ввод'!I998="","",'Оперативный ввод'!I998)</f>
        <v/>
      </c>
      <c r="J998" s="172">
        <f>IF('Оперативный ввод'!J998="","",'Оперативный ввод'!J998)</f>
        <v/>
      </c>
      <c r="K998" s="172">
        <f>IF('Оперативный ввод'!K998="","",'Оперативный ввод'!K998)</f>
        <v/>
      </c>
      <c r="L998" s="172">
        <f>IF('Оперативный ввод'!L998="","",'Оперативный ввод'!L998)</f>
        <v/>
      </c>
      <c r="M998" s="172">
        <f>IF('Оперативный ввод'!M998="","",'Оперативный ввод'!M998)</f>
        <v/>
      </c>
      <c r="N998" s="172">
        <f>IF('Оперативный ввод'!N998="","",'Оперативный ввод'!N998)</f>
        <v/>
      </c>
      <c r="O998" s="172">
        <f>IF('Оперативный ввод'!O998="","",'Оперативный ввод'!O998)</f>
        <v/>
      </c>
      <c r="P998" s="205">
        <f>IF(AND(A998="",B998=""),"",IF(AND(A998&lt;&gt;"",B998&lt;&gt;"",C998&lt;&gt;"",D998&lt;&gt;"",F998&lt;&gt;"",G998&lt;&gt;"",H998&lt;&gt;"",ISERROR(SEARCH("по паспорту",G998)),ISERROR(SEARCH("по паспорту",H998)),I998&lt;&gt;"",J998&lt;&gt;"",K998&lt;&gt;"",L998&lt;&gt;"",M998&lt;&gt;""),"ГОТОВО","НЕ ГОТОВО"))</f>
        <v/>
      </c>
      <c r="Q998" s="205">
        <f>IF(P998&lt;&gt;"ГОТОВО","", "Предварительное заключение: "&amp;A998&amp;", скв. "&amp;B998&amp;". МРП: "&amp;E998&amp;" сут. ГНО: "&amp;F998&amp;", типоразмер "&amp;G998&amp;", марка "&amp;H998&amp;". Событие: "&amp;I998&amp;". Признак: "&amp;J998&amp;". Узел: "&amp;K998&amp;". Предварительная причина: "&amp;L998&amp;". Основное осложнение: "&amp;M998&amp;IF(N998&lt;&gt;"","; сопутствующее: "&amp;N998,"")&amp;IF(O998&lt;&gt;"","; дополнительно: "&amp;O998,"")&amp;".")</f>
        <v/>
      </c>
      <c r="R998" s="172">
        <f>IF('Оперативный ввод'!P998="","",'Оперативный ввод'!P998)</f>
        <v/>
      </c>
      <c r="S998" s="172">
        <f>IF('Оперативный ввод'!Q998="","",'Оперативный ввод'!Q998)</f>
        <v/>
      </c>
      <c r="T998" s="172">
        <f>IF('Оперативный ввод'!R998="","",'Оперативный ввод'!R998)</f>
        <v/>
      </c>
      <c r="U998" s="172">
        <f>IF('Оперативный ввод'!S998="","",'Оперативный ввод'!S998)</f>
        <v/>
      </c>
      <c r="V998" s="172">
        <f>IF('Оперативный ввод'!T998="","",'Оперативный ввод'!T998)</f>
        <v/>
      </c>
      <c r="W998" s="172" t="n"/>
      <c r="X998" s="172" t="n"/>
      <c r="Y998" s="172" t="n"/>
      <c r="Z998" s="172" t="n"/>
      <c r="AA998" s="172">
        <f>IF('Оперативный ввод'!U998="","",'Оперативный ввод'!U998)</f>
        <v/>
      </c>
      <c r="AB998" s="172">
        <f>IF('Оперативный ввод'!V998="","",'Оперативный ввод'!V998)</f>
        <v/>
      </c>
      <c r="AC998" s="172">
        <f>IF('Оперативный ввод'!W998="","",'Оперативный ввод'!W998)</f>
        <v/>
      </c>
      <c r="BB998" s="172" t="n"/>
      <c r="BC998" s="172" t="n"/>
      <c r="BD998" s="205">
        <f>IF(AND(A998="",B998=""),"",IF(AND(P998="ГОТОВО",R998&lt;&gt;"",T998&lt;&gt;"",U998&lt;&gt;"",AA998&lt;&gt;"",AB998&lt;&gt;"",AC998&lt;&gt;"",BB998&lt;&gt;"",BC998&lt;&gt;""),"ГОТОВО","НЕ ГОТОВО"))</f>
        <v/>
      </c>
      <c r="BE998" s="205">
        <f>IF(BD998&lt;&gt;"ГОТОВО","","Полное заключение: "&amp;A998&amp;", скв. "&amp;B998&amp;". МРП: "&amp;E998&amp;" сут. ГНО: "&amp;F998&amp;"; причина: "&amp;U998&amp;"; категория: "&amp;V998&amp;"; решение комиссии: "&amp;BB998&amp;".")</f>
        <v/>
      </c>
      <c r="BF998" s="173">
        <f>IF('Оперативный ввод'!X998="","",'Оперативный ввод'!X998)</f>
        <v/>
      </c>
    </row>
    <row r="999">
      <c r="A999" s="171">
        <f>IF('Оперативный ввод'!A999="","",'Оперативный ввод'!A999)</f>
        <v/>
      </c>
      <c r="B999" s="172">
        <f>IF('Оперативный ввод'!B999="","",'Оперативный ввод'!B999)</f>
        <v/>
      </c>
      <c r="C999" s="270">
        <f>IF('Оперативный ввод'!C999="","",'Оперативный ввод'!C999)</f>
        <v/>
      </c>
      <c r="D999" s="270">
        <f>IF('Оперативный ввод'!D999="","",'Оперативный ввод'!D999)</f>
        <v/>
      </c>
      <c r="E999" s="271">
        <f>IF(OR(C999="",D999=""),"",D999-C999)</f>
        <v/>
      </c>
      <c r="F999" s="172">
        <f>IF('Оперативный ввод'!F999="","",'Оперативный ввод'!F999)</f>
        <v/>
      </c>
      <c r="G999" s="172">
        <f>IF('Оперативный ввод'!G999="","",'Оперативный ввод'!G999)</f>
        <v/>
      </c>
      <c r="H999" s="172">
        <f>IF('Оперативный ввод'!H999="","",'Оперативный ввод'!H999)</f>
        <v/>
      </c>
      <c r="I999" s="172">
        <f>IF('Оперативный ввод'!I999="","",'Оперативный ввод'!I999)</f>
        <v/>
      </c>
      <c r="J999" s="172">
        <f>IF('Оперативный ввод'!J999="","",'Оперативный ввод'!J999)</f>
        <v/>
      </c>
      <c r="K999" s="172">
        <f>IF('Оперативный ввод'!K999="","",'Оперативный ввод'!K999)</f>
        <v/>
      </c>
      <c r="L999" s="172">
        <f>IF('Оперативный ввод'!L999="","",'Оперативный ввод'!L999)</f>
        <v/>
      </c>
      <c r="M999" s="172">
        <f>IF('Оперативный ввод'!M999="","",'Оперативный ввод'!M999)</f>
        <v/>
      </c>
      <c r="N999" s="172">
        <f>IF('Оперативный ввод'!N999="","",'Оперативный ввод'!N999)</f>
        <v/>
      </c>
      <c r="O999" s="172">
        <f>IF('Оперативный ввод'!O999="","",'Оперативный ввод'!O999)</f>
        <v/>
      </c>
      <c r="P999" s="205">
        <f>IF(AND(A999="",B999=""),"",IF(AND(A999&lt;&gt;"",B999&lt;&gt;"",C999&lt;&gt;"",D999&lt;&gt;"",F999&lt;&gt;"",G999&lt;&gt;"",H999&lt;&gt;"",ISERROR(SEARCH("по паспорту",G999)),ISERROR(SEARCH("по паспорту",H999)),I999&lt;&gt;"",J999&lt;&gt;"",K999&lt;&gt;"",L999&lt;&gt;"",M999&lt;&gt;""),"ГОТОВО","НЕ ГОТОВО"))</f>
        <v/>
      </c>
      <c r="Q999" s="205">
        <f>IF(P999&lt;&gt;"ГОТОВО","", "Предварительное заключение: "&amp;A999&amp;", скв. "&amp;B999&amp;". МРП: "&amp;E999&amp;" сут. ГНО: "&amp;F999&amp;", типоразмер "&amp;G999&amp;", марка "&amp;H999&amp;". Событие: "&amp;I999&amp;". Признак: "&amp;J999&amp;". Узел: "&amp;K999&amp;". Предварительная причина: "&amp;L999&amp;". Основное осложнение: "&amp;M999&amp;IF(N999&lt;&gt;"","; сопутствующее: "&amp;N999,"")&amp;IF(O999&lt;&gt;"","; дополнительно: "&amp;O999,"")&amp;".")</f>
        <v/>
      </c>
      <c r="R999" s="172">
        <f>IF('Оперативный ввод'!P999="","",'Оперативный ввод'!P999)</f>
        <v/>
      </c>
      <c r="S999" s="172">
        <f>IF('Оперативный ввод'!Q999="","",'Оперативный ввод'!Q999)</f>
        <v/>
      </c>
      <c r="T999" s="172">
        <f>IF('Оперативный ввод'!R999="","",'Оперативный ввод'!R999)</f>
        <v/>
      </c>
      <c r="U999" s="172">
        <f>IF('Оперативный ввод'!S999="","",'Оперативный ввод'!S999)</f>
        <v/>
      </c>
      <c r="V999" s="172">
        <f>IF('Оперативный ввод'!T999="","",'Оперативный ввод'!T999)</f>
        <v/>
      </c>
      <c r="W999" s="172" t="n"/>
      <c r="X999" s="172" t="n"/>
      <c r="Y999" s="172" t="n"/>
      <c r="Z999" s="172" t="n"/>
      <c r="AA999" s="172">
        <f>IF('Оперативный ввод'!U999="","",'Оперативный ввод'!U999)</f>
        <v/>
      </c>
      <c r="AB999" s="172">
        <f>IF('Оперативный ввод'!V999="","",'Оперативный ввод'!V999)</f>
        <v/>
      </c>
      <c r="AC999" s="172">
        <f>IF('Оперативный ввод'!W999="","",'Оперативный ввод'!W999)</f>
        <v/>
      </c>
      <c r="BB999" s="172" t="n"/>
      <c r="BC999" s="172" t="n"/>
      <c r="BD999" s="205">
        <f>IF(AND(A999="",B999=""),"",IF(AND(P999="ГОТОВО",R999&lt;&gt;"",T999&lt;&gt;"",U999&lt;&gt;"",AA999&lt;&gt;"",AB999&lt;&gt;"",AC999&lt;&gt;"",BB999&lt;&gt;"",BC999&lt;&gt;""),"ГОТОВО","НЕ ГОТОВО"))</f>
        <v/>
      </c>
      <c r="BE999" s="205">
        <f>IF(BD999&lt;&gt;"ГОТОВО","","Полное заключение: "&amp;A999&amp;", скв. "&amp;B999&amp;". МРП: "&amp;E999&amp;" сут. ГНО: "&amp;F999&amp;"; причина: "&amp;U999&amp;"; категория: "&amp;V999&amp;"; решение комиссии: "&amp;BB999&amp;".")</f>
        <v/>
      </c>
      <c r="BF999" s="173">
        <f>IF('Оперативный ввод'!X999="","",'Оперативный ввод'!X999)</f>
        <v/>
      </c>
    </row>
    <row r="1000">
      <c r="A1000" s="171">
        <f>IF('Оперативный ввод'!A1000="","",'Оперативный ввод'!A1000)</f>
        <v/>
      </c>
      <c r="B1000" s="172">
        <f>IF('Оперативный ввод'!B1000="","",'Оперативный ввод'!B1000)</f>
        <v/>
      </c>
      <c r="C1000" s="270">
        <f>IF('Оперативный ввод'!C1000="","",'Оперативный ввод'!C1000)</f>
        <v/>
      </c>
      <c r="D1000" s="270">
        <f>IF('Оперативный ввод'!D1000="","",'Оперативный ввод'!D1000)</f>
        <v/>
      </c>
      <c r="E1000" s="271">
        <f>IF(OR(C1000="",D1000=""),"",D1000-C1000)</f>
        <v/>
      </c>
      <c r="F1000" s="172">
        <f>IF('Оперативный ввод'!F1000="","",'Оперативный ввод'!F1000)</f>
        <v/>
      </c>
      <c r="G1000" s="172">
        <f>IF('Оперативный ввод'!G1000="","",'Оперативный ввод'!G1000)</f>
        <v/>
      </c>
      <c r="H1000" s="172">
        <f>IF('Оперативный ввод'!H1000="","",'Оперативный ввод'!H1000)</f>
        <v/>
      </c>
      <c r="I1000" s="172">
        <f>IF('Оперативный ввод'!I1000="","",'Оперативный ввод'!I1000)</f>
        <v/>
      </c>
      <c r="J1000" s="172">
        <f>IF('Оперативный ввод'!J1000="","",'Оперативный ввод'!J1000)</f>
        <v/>
      </c>
      <c r="K1000" s="172">
        <f>IF('Оперативный ввод'!K1000="","",'Оперативный ввод'!K1000)</f>
        <v/>
      </c>
      <c r="L1000" s="172">
        <f>IF('Оперативный ввод'!L1000="","",'Оперативный ввод'!L1000)</f>
        <v/>
      </c>
      <c r="M1000" s="172">
        <f>IF('Оперативный ввод'!M1000="","",'Оперативный ввод'!M1000)</f>
        <v/>
      </c>
      <c r="N1000" s="172">
        <f>IF('Оперативный ввод'!N1000="","",'Оперативный ввод'!N1000)</f>
        <v/>
      </c>
      <c r="O1000" s="172">
        <f>IF('Оперативный ввод'!O1000="","",'Оперативный ввод'!O1000)</f>
        <v/>
      </c>
      <c r="P1000" s="205">
        <f>IF(AND(A1000="",B1000=""),"",IF(AND(A1000&lt;&gt;"",B1000&lt;&gt;"",C1000&lt;&gt;"",D1000&lt;&gt;"",F1000&lt;&gt;"",G1000&lt;&gt;"",H1000&lt;&gt;"",ISERROR(SEARCH("по паспорту",G1000)),ISERROR(SEARCH("по паспорту",H1000)),I1000&lt;&gt;"",J1000&lt;&gt;"",K1000&lt;&gt;"",L1000&lt;&gt;"",M1000&lt;&gt;""),"ГОТОВО","НЕ ГОТОВО"))</f>
        <v/>
      </c>
      <c r="Q1000" s="205">
        <f>IF(P1000&lt;&gt;"ГОТОВО","", "Предварительное заключение: "&amp;A1000&amp;", скв. "&amp;B1000&amp;". МРП: "&amp;E1000&amp;" сут. ГНО: "&amp;F1000&amp;", типоразмер "&amp;G1000&amp;", марка "&amp;H1000&amp;". Событие: "&amp;I1000&amp;". Признак: "&amp;J1000&amp;". Узел: "&amp;K1000&amp;". Предварительная причина: "&amp;L1000&amp;". Основное осложнение: "&amp;M1000&amp;IF(N1000&lt;&gt;"","; сопутствующее: "&amp;N1000,"")&amp;IF(O1000&lt;&gt;"","; дополнительно: "&amp;O1000,"")&amp;".")</f>
        <v/>
      </c>
      <c r="R1000" s="172">
        <f>IF('Оперативный ввод'!P1000="","",'Оперативный ввод'!P1000)</f>
        <v/>
      </c>
      <c r="S1000" s="172">
        <f>IF('Оперативный ввод'!Q1000="","",'Оперативный ввод'!Q1000)</f>
        <v/>
      </c>
      <c r="T1000" s="172">
        <f>IF('Оперативный ввод'!R1000="","",'Оперативный ввод'!R1000)</f>
        <v/>
      </c>
      <c r="U1000" s="172">
        <f>IF('Оперативный ввод'!S1000="","",'Оперативный ввод'!S1000)</f>
        <v/>
      </c>
      <c r="V1000" s="172">
        <f>IF('Оперативный ввод'!T1000="","",'Оперативный ввод'!T1000)</f>
        <v/>
      </c>
      <c r="W1000" s="172" t="n"/>
      <c r="X1000" s="172" t="n"/>
      <c r="Y1000" s="172" t="n"/>
      <c r="Z1000" s="172" t="n"/>
      <c r="AA1000" s="172">
        <f>IF('Оперативный ввод'!U1000="","",'Оперативный ввод'!U1000)</f>
        <v/>
      </c>
      <c r="AB1000" s="172">
        <f>IF('Оперативный ввод'!V1000="","",'Оперативный ввод'!V1000)</f>
        <v/>
      </c>
      <c r="AC1000" s="172">
        <f>IF('Оперативный ввод'!W1000="","",'Оперативный ввод'!W1000)</f>
        <v/>
      </c>
      <c r="BB1000" s="172" t="n"/>
      <c r="BC1000" s="172" t="n"/>
      <c r="BD1000" s="205">
        <f>IF(AND(A1000="",B1000=""),"",IF(AND(P1000="ГОТОВО",R1000&lt;&gt;"",T1000&lt;&gt;"",U1000&lt;&gt;"",AA1000&lt;&gt;"",AB1000&lt;&gt;"",AC1000&lt;&gt;"",BB1000&lt;&gt;"",BC1000&lt;&gt;""),"ГОТОВО","НЕ ГОТОВО"))</f>
        <v/>
      </c>
      <c r="BE1000" s="205">
        <f>IF(BD1000&lt;&gt;"ГОТОВО","","Полное заключение: "&amp;A1000&amp;", скв. "&amp;B1000&amp;". МРП: "&amp;E1000&amp;" сут. ГНО: "&amp;F1000&amp;"; причина: "&amp;U1000&amp;"; категория: "&amp;V1000&amp;"; решение комиссии: "&amp;BB1000&amp;".")</f>
        <v/>
      </c>
      <c r="BF1000" s="173">
        <f>IF('Оперативный ввод'!X1000="","",'Оперативный ввод'!X1000)</f>
        <v/>
      </c>
    </row>
    <row r="1001">
      <c r="A1001" s="171">
        <f>IF('Оперативный ввод'!A1001="","",'Оперативный ввод'!A1001)</f>
        <v/>
      </c>
      <c r="B1001" s="172">
        <f>IF('Оперативный ввод'!B1001="","",'Оперативный ввод'!B1001)</f>
        <v/>
      </c>
      <c r="C1001" s="270">
        <f>IF('Оперативный ввод'!C1001="","",'Оперативный ввод'!C1001)</f>
        <v/>
      </c>
      <c r="D1001" s="270">
        <f>IF('Оперативный ввод'!D1001="","",'Оперативный ввод'!D1001)</f>
        <v/>
      </c>
      <c r="E1001" s="271">
        <f>IF(OR(C1001="",D1001=""),"",D1001-C1001)</f>
        <v/>
      </c>
      <c r="F1001" s="172">
        <f>IF('Оперативный ввод'!F1001="","",'Оперативный ввод'!F1001)</f>
        <v/>
      </c>
      <c r="G1001" s="172">
        <f>IF('Оперативный ввод'!G1001="","",'Оперативный ввод'!G1001)</f>
        <v/>
      </c>
      <c r="H1001" s="172">
        <f>IF('Оперативный ввод'!H1001="","",'Оперативный ввод'!H1001)</f>
        <v/>
      </c>
      <c r="I1001" s="172">
        <f>IF('Оперативный ввод'!I1001="","",'Оперативный ввод'!I1001)</f>
        <v/>
      </c>
      <c r="J1001" s="172">
        <f>IF('Оперативный ввод'!J1001="","",'Оперативный ввод'!J1001)</f>
        <v/>
      </c>
      <c r="K1001" s="172">
        <f>IF('Оперативный ввод'!K1001="","",'Оперативный ввод'!K1001)</f>
        <v/>
      </c>
      <c r="L1001" s="172">
        <f>IF('Оперативный ввод'!L1001="","",'Оперативный ввод'!L1001)</f>
        <v/>
      </c>
      <c r="M1001" s="172">
        <f>IF('Оперативный ввод'!M1001="","",'Оперативный ввод'!M1001)</f>
        <v/>
      </c>
      <c r="N1001" s="172">
        <f>IF('Оперативный ввод'!N1001="","",'Оперативный ввод'!N1001)</f>
        <v/>
      </c>
      <c r="O1001" s="172">
        <f>IF('Оперативный ввод'!O1001="","",'Оперативный ввод'!O1001)</f>
        <v/>
      </c>
      <c r="P1001" s="205">
        <f>IF(AND(A1001="",B1001=""),"",IF(AND(A1001&lt;&gt;"",B1001&lt;&gt;"",C1001&lt;&gt;"",D1001&lt;&gt;"",F1001&lt;&gt;"",G1001&lt;&gt;"",H1001&lt;&gt;"",ISERROR(SEARCH("по паспорту",G1001)),ISERROR(SEARCH("по паспорту",H1001)),I1001&lt;&gt;"",J1001&lt;&gt;"",K1001&lt;&gt;"",L1001&lt;&gt;"",M1001&lt;&gt;""),"ГОТОВО","НЕ ГОТОВО"))</f>
        <v/>
      </c>
      <c r="Q1001" s="205">
        <f>IF(P1001&lt;&gt;"ГОТОВО","", "Предварительное заключение: "&amp;A1001&amp;", скв. "&amp;B1001&amp;". МРП: "&amp;E1001&amp;" сут. ГНО: "&amp;F1001&amp;", типоразмер "&amp;G1001&amp;", марка "&amp;H1001&amp;". Событие: "&amp;I1001&amp;". Признак: "&amp;J1001&amp;". Узел: "&amp;K1001&amp;". Предварительная причина: "&amp;L1001&amp;". Основное осложнение: "&amp;M1001&amp;IF(N1001&lt;&gt;"","; сопутствующее: "&amp;N1001,"")&amp;IF(O1001&lt;&gt;"","; дополнительно: "&amp;O1001,"")&amp;".")</f>
        <v/>
      </c>
      <c r="R1001" s="172">
        <f>IF('Оперативный ввод'!P1001="","",'Оперативный ввод'!P1001)</f>
        <v/>
      </c>
      <c r="S1001" s="172">
        <f>IF('Оперативный ввод'!Q1001="","",'Оперативный ввод'!Q1001)</f>
        <v/>
      </c>
      <c r="T1001" s="172">
        <f>IF('Оперативный ввод'!R1001="","",'Оперативный ввод'!R1001)</f>
        <v/>
      </c>
      <c r="U1001" s="172">
        <f>IF('Оперативный ввод'!S1001="","",'Оперативный ввод'!S1001)</f>
        <v/>
      </c>
      <c r="V1001" s="172">
        <f>IF('Оперативный ввод'!T1001="","",'Оперативный ввод'!T1001)</f>
        <v/>
      </c>
      <c r="W1001" s="172" t="n"/>
      <c r="X1001" s="172" t="n"/>
      <c r="Y1001" s="172" t="n"/>
      <c r="Z1001" s="172" t="n"/>
      <c r="AA1001" s="172">
        <f>IF('Оперативный ввод'!U1001="","",'Оперативный ввод'!U1001)</f>
        <v/>
      </c>
      <c r="AB1001" s="172">
        <f>IF('Оперативный ввод'!V1001="","",'Оперативный ввод'!V1001)</f>
        <v/>
      </c>
      <c r="AC1001" s="172">
        <f>IF('Оперативный ввод'!W1001="","",'Оперативный ввод'!W1001)</f>
        <v/>
      </c>
      <c r="BB1001" s="172" t="n"/>
      <c r="BC1001" s="172" t="n"/>
      <c r="BD1001" s="205">
        <f>IF(AND(A1001="",B1001=""),"",IF(AND(P1001="ГОТОВО",R1001&lt;&gt;"",T1001&lt;&gt;"",U1001&lt;&gt;"",AA1001&lt;&gt;"",AB1001&lt;&gt;"",AC1001&lt;&gt;"",BB1001&lt;&gt;"",BC1001&lt;&gt;""),"ГОТОВО","НЕ ГОТОВО"))</f>
        <v/>
      </c>
      <c r="BE1001" s="205">
        <f>IF(BD1001&lt;&gt;"ГОТОВО","","Полное заключение: "&amp;A1001&amp;", скв. "&amp;B1001&amp;". МРП: "&amp;E1001&amp;" сут. ГНО: "&amp;F1001&amp;"; причина: "&amp;U1001&amp;"; категория: "&amp;V1001&amp;"; решение комиссии: "&amp;BB1001&amp;".")</f>
        <v/>
      </c>
      <c r="BF1001" s="173">
        <f>IF('Оперативный ввод'!X1001="","",'Оперативный ввод'!X1001)</f>
        <v/>
      </c>
    </row>
    <row r="1002">
      <c r="A1002" s="171">
        <f>IF('Оперативный ввод'!A1002="","",'Оперативный ввод'!A1002)</f>
        <v/>
      </c>
      <c r="B1002" s="172">
        <f>IF('Оперативный ввод'!B1002="","",'Оперативный ввод'!B1002)</f>
        <v/>
      </c>
      <c r="C1002" s="270">
        <f>IF('Оперативный ввод'!C1002="","",'Оперативный ввод'!C1002)</f>
        <v/>
      </c>
      <c r="D1002" s="270">
        <f>IF('Оперативный ввод'!D1002="","",'Оперативный ввод'!D1002)</f>
        <v/>
      </c>
      <c r="E1002" s="271">
        <f>IF(OR(C1002="",D1002=""),"",D1002-C1002)</f>
        <v/>
      </c>
      <c r="F1002" s="172">
        <f>IF('Оперативный ввод'!F1002="","",'Оперативный ввод'!F1002)</f>
        <v/>
      </c>
      <c r="G1002" s="172">
        <f>IF('Оперативный ввод'!G1002="","",'Оперативный ввод'!G1002)</f>
        <v/>
      </c>
      <c r="H1002" s="172">
        <f>IF('Оперативный ввод'!H1002="","",'Оперативный ввод'!H1002)</f>
        <v/>
      </c>
      <c r="I1002" s="172">
        <f>IF('Оперативный ввод'!I1002="","",'Оперативный ввод'!I1002)</f>
        <v/>
      </c>
      <c r="J1002" s="172">
        <f>IF('Оперативный ввод'!J1002="","",'Оперативный ввод'!J1002)</f>
        <v/>
      </c>
      <c r="K1002" s="172">
        <f>IF('Оперативный ввод'!K1002="","",'Оперативный ввод'!K1002)</f>
        <v/>
      </c>
      <c r="L1002" s="172">
        <f>IF('Оперативный ввод'!L1002="","",'Оперативный ввод'!L1002)</f>
        <v/>
      </c>
      <c r="M1002" s="172">
        <f>IF('Оперативный ввод'!M1002="","",'Оперативный ввод'!M1002)</f>
        <v/>
      </c>
      <c r="N1002" s="172">
        <f>IF('Оперативный ввод'!N1002="","",'Оперативный ввод'!N1002)</f>
        <v/>
      </c>
      <c r="O1002" s="172">
        <f>IF('Оперативный ввод'!O1002="","",'Оперативный ввод'!O1002)</f>
        <v/>
      </c>
      <c r="P1002" s="205">
        <f>IF(AND(A1002="",B1002=""),"",IF(AND(A1002&lt;&gt;"",B1002&lt;&gt;"",C1002&lt;&gt;"",D1002&lt;&gt;"",F1002&lt;&gt;"",G1002&lt;&gt;"",H1002&lt;&gt;"",ISERROR(SEARCH("по паспорту",G1002)),ISERROR(SEARCH("по паспорту",H1002)),I1002&lt;&gt;"",J1002&lt;&gt;"",K1002&lt;&gt;"",L1002&lt;&gt;"",M1002&lt;&gt;""),"ГОТОВО","НЕ ГОТОВО"))</f>
        <v/>
      </c>
      <c r="Q1002" s="205">
        <f>IF(P1002&lt;&gt;"ГОТОВО","", "Предварительное заключение: "&amp;A1002&amp;", скв. "&amp;B1002&amp;". МРП: "&amp;E1002&amp;" сут. ГНО: "&amp;F1002&amp;", типоразмер "&amp;G1002&amp;", марка "&amp;H1002&amp;". Событие: "&amp;I1002&amp;". Признак: "&amp;J1002&amp;". Узел: "&amp;K1002&amp;". Предварительная причина: "&amp;L1002&amp;". Основное осложнение: "&amp;M1002&amp;IF(N1002&lt;&gt;"","; сопутствующее: "&amp;N1002,"")&amp;IF(O1002&lt;&gt;"","; дополнительно: "&amp;O1002,"")&amp;".")</f>
        <v/>
      </c>
      <c r="R1002" s="172">
        <f>IF('Оперативный ввод'!P1002="","",'Оперативный ввод'!P1002)</f>
        <v/>
      </c>
      <c r="S1002" s="172">
        <f>IF('Оперативный ввод'!Q1002="","",'Оперативный ввод'!Q1002)</f>
        <v/>
      </c>
      <c r="T1002" s="172">
        <f>IF('Оперативный ввод'!R1002="","",'Оперативный ввод'!R1002)</f>
        <v/>
      </c>
      <c r="U1002" s="172">
        <f>IF('Оперативный ввод'!S1002="","",'Оперативный ввод'!S1002)</f>
        <v/>
      </c>
      <c r="V1002" s="172">
        <f>IF('Оперативный ввод'!T1002="","",'Оперативный ввод'!T1002)</f>
        <v/>
      </c>
      <c r="W1002" s="172" t="n"/>
      <c r="X1002" s="172" t="n"/>
      <c r="Y1002" s="172" t="n"/>
      <c r="Z1002" s="172" t="n"/>
      <c r="AA1002" s="172">
        <f>IF('Оперативный ввод'!U1002="","",'Оперативный ввод'!U1002)</f>
        <v/>
      </c>
      <c r="AB1002" s="172">
        <f>IF('Оперативный ввод'!V1002="","",'Оперативный ввод'!V1002)</f>
        <v/>
      </c>
      <c r="AC1002" s="172">
        <f>IF('Оперативный ввод'!W1002="","",'Оперативный ввод'!W1002)</f>
        <v/>
      </c>
      <c r="BB1002" s="172" t="n"/>
      <c r="BC1002" s="172" t="n"/>
      <c r="BD1002" s="205">
        <f>IF(AND(A1002="",B1002=""),"",IF(AND(P1002="ГОТОВО",R1002&lt;&gt;"",T1002&lt;&gt;"",U1002&lt;&gt;"",AA1002&lt;&gt;"",AB1002&lt;&gt;"",AC1002&lt;&gt;"",BB1002&lt;&gt;"",BC1002&lt;&gt;""),"ГОТОВО","НЕ ГОТОВО"))</f>
        <v/>
      </c>
      <c r="BE1002" s="205">
        <f>IF(BD1002&lt;&gt;"ГОТОВО","","Полное заключение: "&amp;A1002&amp;", скв. "&amp;B1002&amp;". МРП: "&amp;E1002&amp;" сут. ГНО: "&amp;F1002&amp;"; причина: "&amp;U1002&amp;"; категория: "&amp;V1002&amp;"; решение комиссии: "&amp;BB1002&amp;".")</f>
        <v/>
      </c>
      <c r="BF1002" s="173">
        <f>IF('Оперативный ввод'!X1002="","",'Оперативный ввод'!X1002)</f>
        <v/>
      </c>
    </row>
    <row r="1003">
      <c r="A1003" s="171">
        <f>IF('Оперативный ввод'!A1003="","",'Оперативный ввод'!A1003)</f>
        <v/>
      </c>
      <c r="B1003" s="172">
        <f>IF('Оперативный ввод'!B1003="","",'Оперативный ввод'!B1003)</f>
        <v/>
      </c>
      <c r="C1003" s="270">
        <f>IF('Оперативный ввод'!C1003="","",'Оперативный ввод'!C1003)</f>
        <v/>
      </c>
      <c r="D1003" s="270">
        <f>IF('Оперативный ввод'!D1003="","",'Оперативный ввод'!D1003)</f>
        <v/>
      </c>
      <c r="E1003" s="271">
        <f>IF(OR(C1003="",D1003=""),"",D1003-C1003)</f>
        <v/>
      </c>
      <c r="F1003" s="172">
        <f>IF('Оперативный ввод'!F1003="","",'Оперативный ввод'!F1003)</f>
        <v/>
      </c>
      <c r="G1003" s="172">
        <f>IF('Оперативный ввод'!G1003="","",'Оперативный ввод'!G1003)</f>
        <v/>
      </c>
      <c r="H1003" s="172">
        <f>IF('Оперативный ввод'!H1003="","",'Оперативный ввод'!H1003)</f>
        <v/>
      </c>
      <c r="I1003" s="172">
        <f>IF('Оперативный ввод'!I1003="","",'Оперативный ввод'!I1003)</f>
        <v/>
      </c>
      <c r="J1003" s="172">
        <f>IF('Оперативный ввод'!J1003="","",'Оперативный ввод'!J1003)</f>
        <v/>
      </c>
      <c r="K1003" s="172">
        <f>IF('Оперативный ввод'!K1003="","",'Оперативный ввод'!K1003)</f>
        <v/>
      </c>
      <c r="L1003" s="172">
        <f>IF('Оперативный ввод'!L1003="","",'Оперативный ввод'!L1003)</f>
        <v/>
      </c>
      <c r="M1003" s="172">
        <f>IF('Оперативный ввод'!M1003="","",'Оперативный ввод'!M1003)</f>
        <v/>
      </c>
      <c r="N1003" s="172">
        <f>IF('Оперативный ввод'!N1003="","",'Оперативный ввод'!N1003)</f>
        <v/>
      </c>
      <c r="O1003" s="172">
        <f>IF('Оперативный ввод'!O1003="","",'Оперативный ввод'!O1003)</f>
        <v/>
      </c>
      <c r="P1003" s="205">
        <f>IF(AND(A1003="",B1003=""),"",IF(AND(A1003&lt;&gt;"",B1003&lt;&gt;"",C1003&lt;&gt;"",D1003&lt;&gt;"",F1003&lt;&gt;"",G1003&lt;&gt;"",H1003&lt;&gt;"",ISERROR(SEARCH("по паспорту",G1003)),ISERROR(SEARCH("по паспорту",H1003)),I1003&lt;&gt;"",J1003&lt;&gt;"",K1003&lt;&gt;"",L1003&lt;&gt;"",M1003&lt;&gt;""),"ГОТОВО","НЕ ГОТОВО"))</f>
        <v/>
      </c>
      <c r="Q1003" s="205">
        <f>IF(P1003&lt;&gt;"ГОТОВО","", "Предварительное заключение: "&amp;A1003&amp;", скв. "&amp;B1003&amp;". МРП: "&amp;E1003&amp;" сут. ГНО: "&amp;F1003&amp;", типоразмер "&amp;G1003&amp;", марка "&amp;H1003&amp;". Событие: "&amp;I1003&amp;". Признак: "&amp;J1003&amp;". Узел: "&amp;K1003&amp;". Предварительная причина: "&amp;L1003&amp;". Основное осложнение: "&amp;M1003&amp;IF(N1003&lt;&gt;"","; сопутствующее: "&amp;N1003,"")&amp;IF(O1003&lt;&gt;"","; дополнительно: "&amp;O1003,"")&amp;".")</f>
        <v/>
      </c>
      <c r="R1003" s="172">
        <f>IF('Оперативный ввод'!P1003="","",'Оперативный ввод'!P1003)</f>
        <v/>
      </c>
      <c r="S1003" s="172">
        <f>IF('Оперативный ввод'!Q1003="","",'Оперативный ввод'!Q1003)</f>
        <v/>
      </c>
      <c r="T1003" s="172">
        <f>IF('Оперативный ввод'!R1003="","",'Оперативный ввод'!R1003)</f>
        <v/>
      </c>
      <c r="U1003" s="172">
        <f>IF('Оперативный ввод'!S1003="","",'Оперативный ввод'!S1003)</f>
        <v/>
      </c>
      <c r="V1003" s="172">
        <f>IF('Оперативный ввод'!T1003="","",'Оперативный ввод'!T1003)</f>
        <v/>
      </c>
      <c r="W1003" s="172" t="n"/>
      <c r="X1003" s="172" t="n"/>
      <c r="Y1003" s="172" t="n"/>
      <c r="Z1003" s="172" t="n"/>
      <c r="AA1003" s="172">
        <f>IF('Оперативный ввод'!U1003="","",'Оперативный ввод'!U1003)</f>
        <v/>
      </c>
      <c r="AB1003" s="172">
        <f>IF('Оперативный ввод'!V1003="","",'Оперативный ввод'!V1003)</f>
        <v/>
      </c>
      <c r="AC1003" s="172">
        <f>IF('Оперативный ввод'!W1003="","",'Оперативный ввод'!W1003)</f>
        <v/>
      </c>
      <c r="BB1003" s="172" t="n"/>
      <c r="BC1003" s="172" t="n"/>
      <c r="BD1003" s="205">
        <f>IF(AND(A1003="",B1003=""),"",IF(AND(P1003="ГОТОВО",R1003&lt;&gt;"",T1003&lt;&gt;"",U1003&lt;&gt;"",AA1003&lt;&gt;"",AB1003&lt;&gt;"",AC1003&lt;&gt;"",BB1003&lt;&gt;"",BC1003&lt;&gt;""),"ГОТОВО","НЕ ГОТОВО"))</f>
        <v/>
      </c>
      <c r="BE1003" s="205">
        <f>IF(BD1003&lt;&gt;"ГОТОВО","","Полное заключение: "&amp;A1003&amp;", скв. "&amp;B1003&amp;". МРП: "&amp;E1003&amp;" сут. ГНО: "&amp;F1003&amp;"; причина: "&amp;U1003&amp;"; категория: "&amp;V1003&amp;"; решение комиссии: "&amp;BB1003&amp;".")</f>
        <v/>
      </c>
      <c r="BF1003" s="173">
        <f>IF('Оперативный ввод'!X1003="","",'Оперативный ввод'!X1003)</f>
        <v/>
      </c>
    </row>
    <row r="1004">
      <c r="A1004" s="171">
        <f>IF('Оперативный ввод'!A1004="","",'Оперативный ввод'!A1004)</f>
        <v/>
      </c>
      <c r="B1004" s="172">
        <f>IF('Оперативный ввод'!B1004="","",'Оперативный ввод'!B1004)</f>
        <v/>
      </c>
      <c r="C1004" s="270">
        <f>IF('Оперативный ввод'!C1004="","",'Оперативный ввод'!C1004)</f>
        <v/>
      </c>
      <c r="D1004" s="270">
        <f>IF('Оперативный ввод'!D1004="","",'Оперативный ввод'!D1004)</f>
        <v/>
      </c>
      <c r="E1004" s="271">
        <f>IF(OR(C1004="",D1004=""),"",D1004-C1004)</f>
        <v/>
      </c>
      <c r="F1004" s="172">
        <f>IF('Оперативный ввод'!F1004="","",'Оперативный ввод'!F1004)</f>
        <v/>
      </c>
      <c r="G1004" s="172">
        <f>IF('Оперативный ввод'!G1004="","",'Оперативный ввод'!G1004)</f>
        <v/>
      </c>
      <c r="H1004" s="172">
        <f>IF('Оперативный ввод'!H1004="","",'Оперативный ввод'!H1004)</f>
        <v/>
      </c>
      <c r="I1004" s="172">
        <f>IF('Оперативный ввод'!I1004="","",'Оперативный ввод'!I1004)</f>
        <v/>
      </c>
      <c r="J1004" s="172">
        <f>IF('Оперативный ввод'!J1004="","",'Оперативный ввод'!J1004)</f>
        <v/>
      </c>
      <c r="K1004" s="172">
        <f>IF('Оперативный ввод'!K1004="","",'Оперативный ввод'!K1004)</f>
        <v/>
      </c>
      <c r="L1004" s="172">
        <f>IF('Оперативный ввод'!L1004="","",'Оперативный ввод'!L1004)</f>
        <v/>
      </c>
      <c r="M1004" s="172">
        <f>IF('Оперативный ввод'!M1004="","",'Оперативный ввод'!M1004)</f>
        <v/>
      </c>
      <c r="N1004" s="172">
        <f>IF('Оперативный ввод'!N1004="","",'Оперативный ввод'!N1004)</f>
        <v/>
      </c>
      <c r="O1004" s="172">
        <f>IF('Оперативный ввод'!O1004="","",'Оперативный ввод'!O1004)</f>
        <v/>
      </c>
      <c r="P1004" s="205">
        <f>IF(AND(A1004="",B1004=""),"",IF(AND(A1004&lt;&gt;"",B1004&lt;&gt;"",C1004&lt;&gt;"",D1004&lt;&gt;"",F1004&lt;&gt;"",G1004&lt;&gt;"",H1004&lt;&gt;"",ISERROR(SEARCH("по паспорту",G1004)),ISERROR(SEARCH("по паспорту",H1004)),I1004&lt;&gt;"",J1004&lt;&gt;"",K1004&lt;&gt;"",L1004&lt;&gt;"",M1004&lt;&gt;""),"ГОТОВО","НЕ ГОТОВО"))</f>
        <v/>
      </c>
      <c r="Q1004" s="205">
        <f>IF(P1004&lt;&gt;"ГОТОВО","", "Предварительное заключение: "&amp;A1004&amp;", скв. "&amp;B1004&amp;". МРП: "&amp;E1004&amp;" сут. ГНО: "&amp;F1004&amp;", типоразмер "&amp;G1004&amp;", марка "&amp;H1004&amp;". Событие: "&amp;I1004&amp;". Признак: "&amp;J1004&amp;". Узел: "&amp;K1004&amp;". Предварительная причина: "&amp;L1004&amp;". Основное осложнение: "&amp;M1004&amp;IF(N1004&lt;&gt;"","; сопутствующее: "&amp;N1004,"")&amp;IF(O1004&lt;&gt;"","; дополнительно: "&amp;O1004,"")&amp;".")</f>
        <v/>
      </c>
      <c r="R1004" s="172">
        <f>IF('Оперативный ввод'!P1004="","",'Оперативный ввод'!P1004)</f>
        <v/>
      </c>
      <c r="S1004" s="172">
        <f>IF('Оперативный ввод'!Q1004="","",'Оперативный ввод'!Q1004)</f>
        <v/>
      </c>
      <c r="T1004" s="172">
        <f>IF('Оперативный ввод'!R1004="","",'Оперативный ввод'!R1004)</f>
        <v/>
      </c>
      <c r="U1004" s="172">
        <f>IF('Оперативный ввод'!S1004="","",'Оперативный ввод'!S1004)</f>
        <v/>
      </c>
      <c r="V1004" s="172">
        <f>IF('Оперативный ввод'!T1004="","",'Оперативный ввод'!T1004)</f>
        <v/>
      </c>
      <c r="W1004" s="172" t="n"/>
      <c r="X1004" s="172" t="n"/>
      <c r="Y1004" s="172" t="n"/>
      <c r="Z1004" s="172" t="n"/>
      <c r="AA1004" s="172">
        <f>IF('Оперативный ввод'!U1004="","",'Оперативный ввод'!U1004)</f>
        <v/>
      </c>
      <c r="AB1004" s="172">
        <f>IF('Оперативный ввод'!V1004="","",'Оперативный ввод'!V1004)</f>
        <v/>
      </c>
      <c r="AC1004" s="172">
        <f>IF('Оперативный ввод'!W1004="","",'Оперативный ввод'!W1004)</f>
        <v/>
      </c>
      <c r="BB1004" s="172" t="n"/>
      <c r="BC1004" s="172" t="n"/>
      <c r="BD1004" s="205">
        <f>IF(AND(A1004="",B1004=""),"",IF(AND(P1004="ГОТОВО",R1004&lt;&gt;"",T1004&lt;&gt;"",U1004&lt;&gt;"",AA1004&lt;&gt;"",AB1004&lt;&gt;"",AC1004&lt;&gt;"",BB1004&lt;&gt;"",BC1004&lt;&gt;""),"ГОТОВО","НЕ ГОТОВО"))</f>
        <v/>
      </c>
      <c r="BE1004" s="205">
        <f>IF(BD1004&lt;&gt;"ГОТОВО","","Полное заключение: "&amp;A1004&amp;", скв. "&amp;B1004&amp;". МРП: "&amp;E1004&amp;" сут. ГНО: "&amp;F1004&amp;"; причина: "&amp;U1004&amp;"; категория: "&amp;V1004&amp;"; решение комиссии: "&amp;BB1004&amp;".")</f>
        <v/>
      </c>
      <c r="BF1004" s="173">
        <f>IF('Оперативный ввод'!X1004="","",'Оперативный ввод'!X1004)</f>
        <v/>
      </c>
    </row>
    <row r="1005">
      <c r="A1005" s="171">
        <f>IF('Оперативный ввод'!A1005="","",'Оперативный ввод'!A1005)</f>
        <v/>
      </c>
      <c r="B1005" s="172">
        <f>IF('Оперативный ввод'!B1005="","",'Оперативный ввод'!B1005)</f>
        <v/>
      </c>
      <c r="C1005" s="270">
        <f>IF('Оперативный ввод'!C1005="","",'Оперативный ввод'!C1005)</f>
        <v/>
      </c>
      <c r="D1005" s="270">
        <f>IF('Оперативный ввод'!D1005="","",'Оперативный ввод'!D1005)</f>
        <v/>
      </c>
      <c r="E1005" s="271">
        <f>IF(OR(C1005="",D1005=""),"",D1005-C1005)</f>
        <v/>
      </c>
      <c r="F1005" s="172">
        <f>IF('Оперативный ввод'!F1005="","",'Оперативный ввод'!F1005)</f>
        <v/>
      </c>
      <c r="G1005" s="172">
        <f>IF('Оперативный ввод'!G1005="","",'Оперативный ввод'!G1005)</f>
        <v/>
      </c>
      <c r="H1005" s="172">
        <f>IF('Оперативный ввод'!H1005="","",'Оперативный ввод'!H1005)</f>
        <v/>
      </c>
      <c r="I1005" s="172">
        <f>IF('Оперативный ввод'!I1005="","",'Оперативный ввод'!I1005)</f>
        <v/>
      </c>
      <c r="J1005" s="172">
        <f>IF('Оперативный ввод'!J1005="","",'Оперативный ввод'!J1005)</f>
        <v/>
      </c>
      <c r="K1005" s="172">
        <f>IF('Оперативный ввод'!K1005="","",'Оперативный ввод'!K1005)</f>
        <v/>
      </c>
      <c r="L1005" s="172">
        <f>IF('Оперативный ввод'!L1005="","",'Оперативный ввод'!L1005)</f>
        <v/>
      </c>
      <c r="M1005" s="172">
        <f>IF('Оперативный ввод'!M1005="","",'Оперативный ввод'!M1005)</f>
        <v/>
      </c>
      <c r="N1005" s="172">
        <f>IF('Оперативный ввод'!N1005="","",'Оперативный ввод'!N1005)</f>
        <v/>
      </c>
      <c r="O1005" s="172">
        <f>IF('Оперативный ввод'!O1005="","",'Оперативный ввод'!O1005)</f>
        <v/>
      </c>
      <c r="P1005" s="205">
        <f>IF(AND(A1005="",B1005=""),"",IF(AND(A1005&lt;&gt;"",B1005&lt;&gt;"",C1005&lt;&gt;"",D1005&lt;&gt;"",F1005&lt;&gt;"",G1005&lt;&gt;"",H1005&lt;&gt;"",ISERROR(SEARCH("по паспорту",G1005)),ISERROR(SEARCH("по паспорту",H1005)),I1005&lt;&gt;"",J1005&lt;&gt;"",K1005&lt;&gt;"",L1005&lt;&gt;"",M1005&lt;&gt;""),"ГОТОВО","НЕ ГОТОВО"))</f>
        <v/>
      </c>
      <c r="Q1005" s="205">
        <f>IF(P1005&lt;&gt;"ГОТОВО","", "Предварительное заключение: "&amp;A1005&amp;", скв. "&amp;B1005&amp;". МРП: "&amp;E1005&amp;" сут. ГНО: "&amp;F1005&amp;", типоразмер "&amp;G1005&amp;", марка "&amp;H1005&amp;". Событие: "&amp;I1005&amp;". Признак: "&amp;J1005&amp;". Узел: "&amp;K1005&amp;". Предварительная причина: "&amp;L1005&amp;". Основное осложнение: "&amp;M1005&amp;IF(N1005&lt;&gt;"","; сопутствующее: "&amp;N1005,"")&amp;IF(O1005&lt;&gt;"","; дополнительно: "&amp;O1005,"")&amp;".")</f>
        <v/>
      </c>
      <c r="R1005" s="172">
        <f>IF('Оперативный ввод'!P1005="","",'Оперативный ввод'!P1005)</f>
        <v/>
      </c>
      <c r="S1005" s="172">
        <f>IF('Оперативный ввод'!Q1005="","",'Оперативный ввод'!Q1005)</f>
        <v/>
      </c>
      <c r="T1005" s="172">
        <f>IF('Оперативный ввод'!R1005="","",'Оперативный ввод'!R1005)</f>
        <v/>
      </c>
      <c r="U1005" s="172">
        <f>IF('Оперативный ввод'!S1005="","",'Оперативный ввод'!S1005)</f>
        <v/>
      </c>
      <c r="V1005" s="172">
        <f>IF('Оперативный ввод'!T1005="","",'Оперативный ввод'!T1005)</f>
        <v/>
      </c>
      <c r="W1005" s="172" t="n"/>
      <c r="X1005" s="172" t="n"/>
      <c r="Y1005" s="172" t="n"/>
      <c r="Z1005" s="172" t="n"/>
      <c r="AA1005" s="172">
        <f>IF('Оперативный ввод'!U1005="","",'Оперативный ввод'!U1005)</f>
        <v/>
      </c>
      <c r="AB1005" s="172">
        <f>IF('Оперативный ввод'!V1005="","",'Оперативный ввод'!V1005)</f>
        <v/>
      </c>
      <c r="AC1005" s="172">
        <f>IF('Оперативный ввод'!W1005="","",'Оперативный ввод'!W1005)</f>
        <v/>
      </c>
      <c r="BB1005" s="172" t="n"/>
      <c r="BC1005" s="172" t="n"/>
      <c r="BD1005" s="205">
        <f>IF(AND(A1005="",B1005=""),"",IF(AND(P1005="ГОТОВО",R1005&lt;&gt;"",T1005&lt;&gt;"",U1005&lt;&gt;"",AA1005&lt;&gt;"",AB1005&lt;&gt;"",AC1005&lt;&gt;"",BB1005&lt;&gt;"",BC1005&lt;&gt;""),"ГОТОВО","НЕ ГОТОВО"))</f>
        <v/>
      </c>
      <c r="BE1005" s="205">
        <f>IF(BD1005&lt;&gt;"ГОТОВО","","Полное заключение: "&amp;A1005&amp;", скв. "&amp;B1005&amp;". МРП: "&amp;E1005&amp;" сут. ГНО: "&amp;F1005&amp;"; причина: "&amp;U1005&amp;"; категория: "&amp;V1005&amp;"; решение комиссии: "&amp;BB1005&amp;".")</f>
        <v/>
      </c>
      <c r="BF1005" s="173">
        <f>IF('Оперативный ввод'!X1005="","",'Оперативный ввод'!X1005)</f>
        <v/>
      </c>
    </row>
    <row r="1006">
      <c r="A1006" s="171">
        <f>IF('Оперативный ввод'!A1006="","",'Оперативный ввод'!A1006)</f>
        <v/>
      </c>
      <c r="B1006" s="172">
        <f>IF('Оперативный ввод'!B1006="","",'Оперативный ввод'!B1006)</f>
        <v/>
      </c>
      <c r="C1006" s="270">
        <f>IF('Оперативный ввод'!C1006="","",'Оперативный ввод'!C1006)</f>
        <v/>
      </c>
      <c r="D1006" s="270">
        <f>IF('Оперативный ввод'!D1006="","",'Оперативный ввод'!D1006)</f>
        <v/>
      </c>
      <c r="E1006" s="271">
        <f>IF(OR(C1006="",D1006=""),"",D1006-C1006)</f>
        <v/>
      </c>
      <c r="F1006" s="172">
        <f>IF('Оперативный ввод'!F1006="","",'Оперативный ввод'!F1006)</f>
        <v/>
      </c>
      <c r="G1006" s="172">
        <f>IF('Оперативный ввод'!G1006="","",'Оперативный ввод'!G1006)</f>
        <v/>
      </c>
      <c r="H1006" s="172">
        <f>IF('Оперативный ввод'!H1006="","",'Оперативный ввод'!H1006)</f>
        <v/>
      </c>
      <c r="I1006" s="172">
        <f>IF('Оперативный ввод'!I1006="","",'Оперативный ввод'!I1006)</f>
        <v/>
      </c>
      <c r="J1006" s="172">
        <f>IF('Оперативный ввод'!J1006="","",'Оперативный ввод'!J1006)</f>
        <v/>
      </c>
      <c r="K1006" s="172">
        <f>IF('Оперативный ввод'!K1006="","",'Оперативный ввод'!K1006)</f>
        <v/>
      </c>
      <c r="L1006" s="172">
        <f>IF('Оперативный ввод'!L1006="","",'Оперативный ввод'!L1006)</f>
        <v/>
      </c>
      <c r="M1006" s="172">
        <f>IF('Оперативный ввод'!M1006="","",'Оперативный ввод'!M1006)</f>
        <v/>
      </c>
      <c r="N1006" s="172">
        <f>IF('Оперативный ввод'!N1006="","",'Оперативный ввод'!N1006)</f>
        <v/>
      </c>
      <c r="O1006" s="172">
        <f>IF('Оперативный ввод'!O1006="","",'Оперативный ввод'!O1006)</f>
        <v/>
      </c>
      <c r="P1006" s="205">
        <f>IF(AND(A1006="",B1006=""),"",IF(AND(A1006&lt;&gt;"",B1006&lt;&gt;"",C1006&lt;&gt;"",D1006&lt;&gt;"",F1006&lt;&gt;"",G1006&lt;&gt;"",H1006&lt;&gt;"",ISERROR(SEARCH("по паспорту",G1006)),ISERROR(SEARCH("по паспорту",H1006)),I1006&lt;&gt;"",J1006&lt;&gt;"",K1006&lt;&gt;"",L1006&lt;&gt;"",M1006&lt;&gt;""),"ГОТОВО","НЕ ГОТОВО"))</f>
        <v/>
      </c>
      <c r="Q1006" s="205">
        <f>IF(P1006&lt;&gt;"ГОТОВО","", "Предварительное заключение: "&amp;A1006&amp;", скв. "&amp;B1006&amp;". МРП: "&amp;E1006&amp;" сут. ГНО: "&amp;F1006&amp;", типоразмер "&amp;G1006&amp;", марка "&amp;H1006&amp;". Событие: "&amp;I1006&amp;". Признак: "&amp;J1006&amp;". Узел: "&amp;K1006&amp;". Предварительная причина: "&amp;L1006&amp;". Основное осложнение: "&amp;M1006&amp;IF(N1006&lt;&gt;"","; сопутствующее: "&amp;N1006,"")&amp;IF(O1006&lt;&gt;"","; дополнительно: "&amp;O1006,"")&amp;".")</f>
        <v/>
      </c>
      <c r="R1006" s="172">
        <f>IF('Оперативный ввод'!P1006="","",'Оперативный ввод'!P1006)</f>
        <v/>
      </c>
      <c r="S1006" s="172">
        <f>IF('Оперативный ввод'!Q1006="","",'Оперативный ввод'!Q1006)</f>
        <v/>
      </c>
      <c r="T1006" s="172">
        <f>IF('Оперативный ввод'!R1006="","",'Оперативный ввод'!R1006)</f>
        <v/>
      </c>
      <c r="U1006" s="172">
        <f>IF('Оперативный ввод'!S1006="","",'Оперативный ввод'!S1006)</f>
        <v/>
      </c>
      <c r="V1006" s="172">
        <f>IF('Оперативный ввод'!T1006="","",'Оперативный ввод'!T1006)</f>
        <v/>
      </c>
      <c r="W1006" s="172" t="n"/>
      <c r="X1006" s="172" t="n"/>
      <c r="Y1006" s="172" t="n"/>
      <c r="Z1006" s="172" t="n"/>
      <c r="AA1006" s="172">
        <f>IF('Оперативный ввод'!U1006="","",'Оперативный ввод'!U1006)</f>
        <v/>
      </c>
      <c r="AB1006" s="172">
        <f>IF('Оперативный ввод'!V1006="","",'Оперативный ввод'!V1006)</f>
        <v/>
      </c>
      <c r="AC1006" s="172">
        <f>IF('Оперативный ввод'!W1006="","",'Оперативный ввод'!W1006)</f>
        <v/>
      </c>
      <c r="BB1006" s="172" t="n"/>
      <c r="BC1006" s="172" t="n"/>
      <c r="BD1006" s="205">
        <f>IF(AND(A1006="",B1006=""),"",IF(AND(P1006="ГОТОВО",R1006&lt;&gt;"",T1006&lt;&gt;"",U1006&lt;&gt;"",AA1006&lt;&gt;"",AB1006&lt;&gt;"",AC1006&lt;&gt;"",BB1006&lt;&gt;"",BC1006&lt;&gt;""),"ГОТОВО","НЕ ГОТОВО"))</f>
        <v/>
      </c>
      <c r="BE1006" s="205">
        <f>IF(BD1006&lt;&gt;"ГОТОВО","","Полное заключение: "&amp;A1006&amp;", скв. "&amp;B1006&amp;". МРП: "&amp;E1006&amp;" сут. ГНО: "&amp;F1006&amp;"; причина: "&amp;U1006&amp;"; категория: "&amp;V1006&amp;"; решение комиссии: "&amp;BB1006&amp;".")</f>
        <v/>
      </c>
      <c r="BF1006" s="173">
        <f>IF('Оперативный ввод'!X1006="","",'Оперативный ввод'!X1006)</f>
        <v/>
      </c>
    </row>
    <row r="1007">
      <c r="A1007" s="171">
        <f>IF('Оперативный ввод'!A1007="","",'Оперативный ввод'!A1007)</f>
        <v/>
      </c>
      <c r="B1007" s="172">
        <f>IF('Оперативный ввод'!B1007="","",'Оперативный ввод'!B1007)</f>
        <v/>
      </c>
      <c r="C1007" s="270">
        <f>IF('Оперативный ввод'!C1007="","",'Оперативный ввод'!C1007)</f>
        <v/>
      </c>
      <c r="D1007" s="270">
        <f>IF('Оперативный ввод'!D1007="","",'Оперативный ввод'!D1007)</f>
        <v/>
      </c>
      <c r="E1007" s="271">
        <f>IF(OR(C1007="",D1007=""),"",D1007-C1007)</f>
        <v/>
      </c>
      <c r="F1007" s="172">
        <f>IF('Оперативный ввод'!F1007="","",'Оперативный ввод'!F1007)</f>
        <v/>
      </c>
      <c r="G1007" s="172">
        <f>IF('Оперативный ввод'!G1007="","",'Оперативный ввод'!G1007)</f>
        <v/>
      </c>
      <c r="H1007" s="172">
        <f>IF('Оперативный ввод'!H1007="","",'Оперативный ввод'!H1007)</f>
        <v/>
      </c>
      <c r="I1007" s="172">
        <f>IF('Оперативный ввод'!I1007="","",'Оперативный ввод'!I1007)</f>
        <v/>
      </c>
      <c r="J1007" s="172">
        <f>IF('Оперативный ввод'!J1007="","",'Оперативный ввод'!J1007)</f>
        <v/>
      </c>
      <c r="K1007" s="172">
        <f>IF('Оперативный ввод'!K1007="","",'Оперативный ввод'!K1007)</f>
        <v/>
      </c>
      <c r="L1007" s="172">
        <f>IF('Оперативный ввод'!L1007="","",'Оперативный ввод'!L1007)</f>
        <v/>
      </c>
      <c r="M1007" s="172">
        <f>IF('Оперативный ввод'!M1007="","",'Оперативный ввод'!M1007)</f>
        <v/>
      </c>
      <c r="N1007" s="172">
        <f>IF('Оперативный ввод'!N1007="","",'Оперативный ввод'!N1007)</f>
        <v/>
      </c>
      <c r="O1007" s="172">
        <f>IF('Оперативный ввод'!O1007="","",'Оперативный ввод'!O1007)</f>
        <v/>
      </c>
      <c r="P1007" s="205">
        <f>IF(AND(A1007="",B1007=""),"",IF(AND(A1007&lt;&gt;"",B1007&lt;&gt;"",C1007&lt;&gt;"",D1007&lt;&gt;"",F1007&lt;&gt;"",G1007&lt;&gt;"",H1007&lt;&gt;"",ISERROR(SEARCH("по паспорту",G1007)),ISERROR(SEARCH("по паспорту",H1007)),I1007&lt;&gt;"",J1007&lt;&gt;"",K1007&lt;&gt;"",L1007&lt;&gt;"",M1007&lt;&gt;""),"ГОТОВО","НЕ ГОТОВО"))</f>
        <v/>
      </c>
      <c r="Q1007" s="205">
        <f>IF(P1007&lt;&gt;"ГОТОВО","", "Предварительное заключение: "&amp;A1007&amp;", скв. "&amp;B1007&amp;". МРП: "&amp;E1007&amp;" сут. ГНО: "&amp;F1007&amp;", типоразмер "&amp;G1007&amp;", марка "&amp;H1007&amp;". Событие: "&amp;I1007&amp;". Признак: "&amp;J1007&amp;". Узел: "&amp;K1007&amp;". Предварительная причина: "&amp;L1007&amp;". Основное осложнение: "&amp;M1007&amp;IF(N1007&lt;&gt;"","; сопутствующее: "&amp;N1007,"")&amp;IF(O1007&lt;&gt;"","; дополнительно: "&amp;O1007,"")&amp;".")</f>
        <v/>
      </c>
      <c r="R1007" s="172">
        <f>IF('Оперативный ввод'!P1007="","",'Оперативный ввод'!P1007)</f>
        <v/>
      </c>
      <c r="S1007" s="172">
        <f>IF('Оперативный ввод'!Q1007="","",'Оперативный ввод'!Q1007)</f>
        <v/>
      </c>
      <c r="T1007" s="172">
        <f>IF('Оперативный ввод'!R1007="","",'Оперативный ввод'!R1007)</f>
        <v/>
      </c>
      <c r="U1007" s="172">
        <f>IF('Оперативный ввод'!S1007="","",'Оперативный ввод'!S1007)</f>
        <v/>
      </c>
      <c r="V1007" s="172">
        <f>IF('Оперативный ввод'!T1007="","",'Оперативный ввод'!T1007)</f>
        <v/>
      </c>
      <c r="W1007" s="172" t="n"/>
      <c r="X1007" s="172" t="n"/>
      <c r="Y1007" s="172" t="n"/>
      <c r="Z1007" s="172" t="n"/>
      <c r="AA1007" s="172">
        <f>IF('Оперативный ввод'!U1007="","",'Оперативный ввод'!U1007)</f>
        <v/>
      </c>
      <c r="AB1007" s="172">
        <f>IF('Оперативный ввод'!V1007="","",'Оперативный ввод'!V1007)</f>
        <v/>
      </c>
      <c r="AC1007" s="172">
        <f>IF('Оперативный ввод'!W1007="","",'Оперативный ввод'!W1007)</f>
        <v/>
      </c>
      <c r="BB1007" s="172" t="n"/>
      <c r="BC1007" s="172" t="n"/>
      <c r="BD1007" s="205">
        <f>IF(AND(A1007="",B1007=""),"",IF(AND(P1007="ГОТОВО",R1007&lt;&gt;"",T1007&lt;&gt;"",U1007&lt;&gt;"",AA1007&lt;&gt;"",AB1007&lt;&gt;"",AC1007&lt;&gt;"",BB1007&lt;&gt;"",BC1007&lt;&gt;""),"ГОТОВО","НЕ ГОТОВО"))</f>
        <v/>
      </c>
      <c r="BE1007" s="205">
        <f>IF(BD1007&lt;&gt;"ГОТОВО","","Полное заключение: "&amp;A1007&amp;", скв. "&amp;B1007&amp;". МРП: "&amp;E1007&amp;" сут. ГНО: "&amp;F1007&amp;"; причина: "&amp;U1007&amp;"; категория: "&amp;V1007&amp;"; решение комиссии: "&amp;BB1007&amp;".")</f>
        <v/>
      </c>
      <c r="BF1007" s="173">
        <f>IF('Оперативный ввод'!X1007="","",'Оперативный ввод'!X1007)</f>
        <v/>
      </c>
    </row>
    <row r="1008">
      <c r="A1008" s="171">
        <f>IF('Оперативный ввод'!A1008="","",'Оперативный ввод'!A1008)</f>
        <v/>
      </c>
      <c r="B1008" s="172">
        <f>IF('Оперативный ввод'!B1008="","",'Оперативный ввод'!B1008)</f>
        <v/>
      </c>
      <c r="C1008" s="270">
        <f>IF('Оперативный ввод'!C1008="","",'Оперативный ввод'!C1008)</f>
        <v/>
      </c>
      <c r="D1008" s="270">
        <f>IF('Оперативный ввод'!D1008="","",'Оперативный ввод'!D1008)</f>
        <v/>
      </c>
      <c r="E1008" s="271">
        <f>IF(OR(C1008="",D1008=""),"",D1008-C1008)</f>
        <v/>
      </c>
      <c r="F1008" s="172">
        <f>IF('Оперативный ввод'!F1008="","",'Оперативный ввод'!F1008)</f>
        <v/>
      </c>
      <c r="G1008" s="172">
        <f>IF('Оперативный ввод'!G1008="","",'Оперативный ввод'!G1008)</f>
        <v/>
      </c>
      <c r="H1008" s="172">
        <f>IF('Оперативный ввод'!H1008="","",'Оперативный ввод'!H1008)</f>
        <v/>
      </c>
      <c r="I1008" s="172">
        <f>IF('Оперативный ввод'!I1008="","",'Оперативный ввод'!I1008)</f>
        <v/>
      </c>
      <c r="J1008" s="172">
        <f>IF('Оперативный ввод'!J1008="","",'Оперативный ввод'!J1008)</f>
        <v/>
      </c>
      <c r="K1008" s="172">
        <f>IF('Оперативный ввод'!K1008="","",'Оперативный ввод'!K1008)</f>
        <v/>
      </c>
      <c r="L1008" s="172">
        <f>IF('Оперативный ввод'!L1008="","",'Оперативный ввод'!L1008)</f>
        <v/>
      </c>
      <c r="M1008" s="172">
        <f>IF('Оперативный ввод'!M1008="","",'Оперативный ввод'!M1008)</f>
        <v/>
      </c>
      <c r="N1008" s="172">
        <f>IF('Оперативный ввод'!N1008="","",'Оперативный ввод'!N1008)</f>
        <v/>
      </c>
      <c r="O1008" s="172">
        <f>IF('Оперативный ввод'!O1008="","",'Оперативный ввод'!O1008)</f>
        <v/>
      </c>
      <c r="P1008" s="205">
        <f>IF(AND(A1008="",B1008=""),"",IF(AND(A1008&lt;&gt;"",B1008&lt;&gt;"",C1008&lt;&gt;"",D1008&lt;&gt;"",F1008&lt;&gt;"",G1008&lt;&gt;"",H1008&lt;&gt;"",ISERROR(SEARCH("по паспорту",G1008)),ISERROR(SEARCH("по паспорту",H1008)),I1008&lt;&gt;"",J1008&lt;&gt;"",K1008&lt;&gt;"",L1008&lt;&gt;"",M1008&lt;&gt;""),"ГОТОВО","НЕ ГОТОВО"))</f>
        <v/>
      </c>
      <c r="Q1008" s="205">
        <f>IF(P1008&lt;&gt;"ГОТОВО","", "Предварительное заключение: "&amp;A1008&amp;", скв. "&amp;B1008&amp;". МРП: "&amp;E1008&amp;" сут. ГНО: "&amp;F1008&amp;", типоразмер "&amp;G1008&amp;", марка "&amp;H1008&amp;". Событие: "&amp;I1008&amp;". Признак: "&amp;J1008&amp;". Узел: "&amp;K1008&amp;". Предварительная причина: "&amp;L1008&amp;". Основное осложнение: "&amp;M1008&amp;IF(N1008&lt;&gt;"","; сопутствующее: "&amp;N1008,"")&amp;IF(O1008&lt;&gt;"","; дополнительно: "&amp;O1008,"")&amp;".")</f>
        <v/>
      </c>
      <c r="R1008" s="172">
        <f>IF('Оперативный ввод'!P1008="","",'Оперативный ввод'!P1008)</f>
        <v/>
      </c>
      <c r="S1008" s="172">
        <f>IF('Оперативный ввод'!Q1008="","",'Оперативный ввод'!Q1008)</f>
        <v/>
      </c>
      <c r="T1008" s="172">
        <f>IF('Оперативный ввод'!R1008="","",'Оперативный ввод'!R1008)</f>
        <v/>
      </c>
      <c r="U1008" s="172">
        <f>IF('Оперативный ввод'!S1008="","",'Оперативный ввод'!S1008)</f>
        <v/>
      </c>
      <c r="V1008" s="172">
        <f>IF('Оперативный ввод'!T1008="","",'Оперативный ввод'!T1008)</f>
        <v/>
      </c>
      <c r="W1008" s="172" t="n"/>
      <c r="X1008" s="172" t="n"/>
      <c r="Y1008" s="172" t="n"/>
      <c r="Z1008" s="172" t="n"/>
      <c r="AA1008" s="172">
        <f>IF('Оперативный ввод'!U1008="","",'Оперативный ввод'!U1008)</f>
        <v/>
      </c>
      <c r="AB1008" s="172">
        <f>IF('Оперативный ввод'!V1008="","",'Оперативный ввод'!V1008)</f>
        <v/>
      </c>
      <c r="AC1008" s="172">
        <f>IF('Оперативный ввод'!W1008="","",'Оперативный ввод'!W1008)</f>
        <v/>
      </c>
      <c r="BB1008" s="172" t="n"/>
      <c r="BC1008" s="172" t="n"/>
      <c r="BD1008" s="205">
        <f>IF(AND(A1008="",B1008=""),"",IF(AND(P1008="ГОТОВО",R1008&lt;&gt;"",T1008&lt;&gt;"",U1008&lt;&gt;"",AA1008&lt;&gt;"",AB1008&lt;&gt;"",AC1008&lt;&gt;"",BB1008&lt;&gt;"",BC1008&lt;&gt;""),"ГОТОВО","НЕ ГОТОВО"))</f>
        <v/>
      </c>
      <c r="BE1008" s="205">
        <f>IF(BD1008&lt;&gt;"ГОТОВО","","Полное заключение: "&amp;A1008&amp;", скв. "&amp;B1008&amp;". МРП: "&amp;E1008&amp;" сут. ГНО: "&amp;F1008&amp;"; причина: "&amp;U1008&amp;"; категория: "&amp;V1008&amp;"; решение комиссии: "&amp;BB1008&amp;".")</f>
        <v/>
      </c>
      <c r="BF1008" s="173">
        <f>IF('Оперативный ввод'!X1008="","",'Оперативный ввод'!X1008)</f>
        <v/>
      </c>
    </row>
    <row r="1009">
      <c r="A1009" s="171">
        <f>IF('Оперативный ввод'!A1009="","",'Оперативный ввод'!A1009)</f>
        <v/>
      </c>
      <c r="B1009" s="172">
        <f>IF('Оперативный ввод'!B1009="","",'Оперативный ввод'!B1009)</f>
        <v/>
      </c>
      <c r="C1009" s="270">
        <f>IF('Оперативный ввод'!C1009="","",'Оперативный ввод'!C1009)</f>
        <v/>
      </c>
      <c r="D1009" s="270">
        <f>IF('Оперативный ввод'!D1009="","",'Оперативный ввод'!D1009)</f>
        <v/>
      </c>
      <c r="E1009" s="271">
        <f>IF(OR(C1009="",D1009=""),"",D1009-C1009)</f>
        <v/>
      </c>
      <c r="F1009" s="172">
        <f>IF('Оперативный ввод'!F1009="","",'Оперативный ввод'!F1009)</f>
        <v/>
      </c>
      <c r="G1009" s="172">
        <f>IF('Оперативный ввод'!G1009="","",'Оперативный ввод'!G1009)</f>
        <v/>
      </c>
      <c r="H1009" s="172">
        <f>IF('Оперативный ввод'!H1009="","",'Оперативный ввод'!H1009)</f>
        <v/>
      </c>
      <c r="I1009" s="172">
        <f>IF('Оперативный ввод'!I1009="","",'Оперативный ввод'!I1009)</f>
        <v/>
      </c>
      <c r="J1009" s="172">
        <f>IF('Оперативный ввод'!J1009="","",'Оперативный ввод'!J1009)</f>
        <v/>
      </c>
      <c r="K1009" s="172">
        <f>IF('Оперативный ввод'!K1009="","",'Оперативный ввод'!K1009)</f>
        <v/>
      </c>
      <c r="L1009" s="172">
        <f>IF('Оперативный ввод'!L1009="","",'Оперативный ввод'!L1009)</f>
        <v/>
      </c>
      <c r="M1009" s="172">
        <f>IF('Оперативный ввод'!M1009="","",'Оперативный ввод'!M1009)</f>
        <v/>
      </c>
      <c r="N1009" s="172">
        <f>IF('Оперативный ввод'!N1009="","",'Оперативный ввод'!N1009)</f>
        <v/>
      </c>
      <c r="O1009" s="172">
        <f>IF('Оперативный ввод'!O1009="","",'Оперативный ввод'!O1009)</f>
        <v/>
      </c>
      <c r="P1009" s="205">
        <f>IF(AND(A1009="",B1009=""),"",IF(AND(A1009&lt;&gt;"",B1009&lt;&gt;"",C1009&lt;&gt;"",D1009&lt;&gt;"",F1009&lt;&gt;"",G1009&lt;&gt;"",H1009&lt;&gt;"",ISERROR(SEARCH("по паспорту",G1009)),ISERROR(SEARCH("по паспорту",H1009)),I1009&lt;&gt;"",J1009&lt;&gt;"",K1009&lt;&gt;"",L1009&lt;&gt;"",M1009&lt;&gt;""),"ГОТОВО","НЕ ГОТОВО"))</f>
        <v/>
      </c>
      <c r="Q1009" s="205">
        <f>IF(P1009&lt;&gt;"ГОТОВО","", "Предварительное заключение: "&amp;A1009&amp;", скв. "&amp;B1009&amp;". МРП: "&amp;E1009&amp;" сут. ГНО: "&amp;F1009&amp;", типоразмер "&amp;G1009&amp;", марка "&amp;H1009&amp;". Событие: "&amp;I1009&amp;". Признак: "&amp;J1009&amp;". Узел: "&amp;K1009&amp;". Предварительная причина: "&amp;L1009&amp;". Основное осложнение: "&amp;M1009&amp;IF(N1009&lt;&gt;"","; сопутствующее: "&amp;N1009,"")&amp;IF(O1009&lt;&gt;"","; дополнительно: "&amp;O1009,"")&amp;".")</f>
        <v/>
      </c>
      <c r="R1009" s="172">
        <f>IF('Оперативный ввод'!P1009="","",'Оперативный ввод'!P1009)</f>
        <v/>
      </c>
      <c r="S1009" s="172">
        <f>IF('Оперативный ввод'!Q1009="","",'Оперативный ввод'!Q1009)</f>
        <v/>
      </c>
      <c r="T1009" s="172">
        <f>IF('Оперативный ввод'!R1009="","",'Оперативный ввод'!R1009)</f>
        <v/>
      </c>
      <c r="U1009" s="172">
        <f>IF('Оперативный ввод'!S1009="","",'Оперативный ввод'!S1009)</f>
        <v/>
      </c>
      <c r="V1009" s="172">
        <f>IF('Оперативный ввод'!T1009="","",'Оперативный ввод'!T1009)</f>
        <v/>
      </c>
      <c r="W1009" s="172" t="n"/>
      <c r="X1009" s="172" t="n"/>
      <c r="Y1009" s="172" t="n"/>
      <c r="Z1009" s="172" t="n"/>
      <c r="AA1009" s="172">
        <f>IF('Оперативный ввод'!U1009="","",'Оперативный ввод'!U1009)</f>
        <v/>
      </c>
      <c r="AB1009" s="172">
        <f>IF('Оперативный ввод'!V1009="","",'Оперативный ввод'!V1009)</f>
        <v/>
      </c>
      <c r="AC1009" s="172">
        <f>IF('Оперативный ввод'!W1009="","",'Оперативный ввод'!W1009)</f>
        <v/>
      </c>
      <c r="BB1009" s="172" t="n"/>
      <c r="BC1009" s="172" t="n"/>
      <c r="BD1009" s="205">
        <f>IF(AND(A1009="",B1009=""),"",IF(AND(P1009="ГОТОВО",R1009&lt;&gt;"",T1009&lt;&gt;"",U1009&lt;&gt;"",AA1009&lt;&gt;"",AB1009&lt;&gt;"",AC1009&lt;&gt;"",BB1009&lt;&gt;"",BC1009&lt;&gt;""),"ГОТОВО","НЕ ГОТОВО"))</f>
        <v/>
      </c>
      <c r="BE1009" s="205">
        <f>IF(BD1009&lt;&gt;"ГОТОВО","","Полное заключение: "&amp;A1009&amp;", скв. "&amp;B1009&amp;". МРП: "&amp;E1009&amp;" сут. ГНО: "&amp;F1009&amp;"; причина: "&amp;U1009&amp;"; категория: "&amp;V1009&amp;"; решение комиссии: "&amp;BB1009&amp;".")</f>
        <v/>
      </c>
      <c r="BF1009" s="173">
        <f>IF('Оперативный ввод'!X1009="","",'Оперативный ввод'!X1009)</f>
        <v/>
      </c>
    </row>
    <row r="1010">
      <c r="A1010" s="171">
        <f>IF('Оперативный ввод'!A1010="","",'Оперативный ввод'!A1010)</f>
        <v/>
      </c>
      <c r="B1010" s="172">
        <f>IF('Оперативный ввод'!B1010="","",'Оперативный ввод'!B1010)</f>
        <v/>
      </c>
      <c r="C1010" s="270">
        <f>IF('Оперативный ввод'!C1010="","",'Оперативный ввод'!C1010)</f>
        <v/>
      </c>
      <c r="D1010" s="270">
        <f>IF('Оперативный ввод'!D1010="","",'Оперативный ввод'!D1010)</f>
        <v/>
      </c>
      <c r="E1010" s="271">
        <f>IF(OR(C1010="",D1010=""),"",D1010-C1010)</f>
        <v/>
      </c>
      <c r="F1010" s="172">
        <f>IF('Оперативный ввод'!F1010="","",'Оперативный ввод'!F1010)</f>
        <v/>
      </c>
      <c r="G1010" s="172">
        <f>IF('Оперативный ввод'!G1010="","",'Оперативный ввод'!G1010)</f>
        <v/>
      </c>
      <c r="H1010" s="172">
        <f>IF('Оперативный ввод'!H1010="","",'Оперативный ввод'!H1010)</f>
        <v/>
      </c>
      <c r="I1010" s="172">
        <f>IF('Оперативный ввод'!I1010="","",'Оперативный ввод'!I1010)</f>
        <v/>
      </c>
      <c r="J1010" s="172">
        <f>IF('Оперативный ввод'!J1010="","",'Оперативный ввод'!J1010)</f>
        <v/>
      </c>
      <c r="K1010" s="172">
        <f>IF('Оперативный ввод'!K1010="","",'Оперативный ввод'!K1010)</f>
        <v/>
      </c>
      <c r="L1010" s="172">
        <f>IF('Оперативный ввод'!L1010="","",'Оперативный ввод'!L1010)</f>
        <v/>
      </c>
      <c r="M1010" s="172">
        <f>IF('Оперативный ввод'!M1010="","",'Оперативный ввод'!M1010)</f>
        <v/>
      </c>
      <c r="N1010" s="172">
        <f>IF('Оперативный ввод'!N1010="","",'Оперативный ввод'!N1010)</f>
        <v/>
      </c>
      <c r="O1010" s="172">
        <f>IF('Оперативный ввод'!O1010="","",'Оперативный ввод'!O1010)</f>
        <v/>
      </c>
      <c r="P1010" s="205">
        <f>IF(AND(A1010="",B1010=""),"",IF(AND(A1010&lt;&gt;"",B1010&lt;&gt;"",C1010&lt;&gt;"",D1010&lt;&gt;"",F1010&lt;&gt;"",G1010&lt;&gt;"",H1010&lt;&gt;"",ISERROR(SEARCH("по паспорту",G1010)),ISERROR(SEARCH("по паспорту",H1010)),I1010&lt;&gt;"",J1010&lt;&gt;"",K1010&lt;&gt;"",L1010&lt;&gt;"",M1010&lt;&gt;""),"ГОТОВО","НЕ ГОТОВО"))</f>
        <v/>
      </c>
      <c r="Q1010" s="205">
        <f>IF(P1010&lt;&gt;"ГОТОВО","", "Предварительное заключение: "&amp;A1010&amp;", скв. "&amp;B1010&amp;". МРП: "&amp;E1010&amp;" сут. ГНО: "&amp;F1010&amp;", типоразмер "&amp;G1010&amp;", марка "&amp;H1010&amp;". Событие: "&amp;I1010&amp;". Признак: "&amp;J1010&amp;". Узел: "&amp;K1010&amp;". Предварительная причина: "&amp;L1010&amp;". Основное осложнение: "&amp;M1010&amp;IF(N1010&lt;&gt;"","; сопутствующее: "&amp;N1010,"")&amp;IF(O1010&lt;&gt;"","; дополнительно: "&amp;O1010,"")&amp;".")</f>
        <v/>
      </c>
      <c r="R1010" s="172">
        <f>IF('Оперативный ввод'!P1010="","",'Оперативный ввод'!P1010)</f>
        <v/>
      </c>
      <c r="S1010" s="172">
        <f>IF('Оперативный ввод'!Q1010="","",'Оперативный ввод'!Q1010)</f>
        <v/>
      </c>
      <c r="T1010" s="172">
        <f>IF('Оперативный ввод'!R1010="","",'Оперативный ввод'!R1010)</f>
        <v/>
      </c>
      <c r="U1010" s="172">
        <f>IF('Оперативный ввод'!S1010="","",'Оперативный ввод'!S1010)</f>
        <v/>
      </c>
      <c r="V1010" s="172">
        <f>IF('Оперативный ввод'!T1010="","",'Оперативный ввод'!T1010)</f>
        <v/>
      </c>
      <c r="W1010" s="172" t="n"/>
      <c r="X1010" s="172" t="n"/>
      <c r="Y1010" s="172" t="n"/>
      <c r="Z1010" s="172" t="n"/>
      <c r="AA1010" s="172">
        <f>IF('Оперативный ввод'!U1010="","",'Оперативный ввод'!U1010)</f>
        <v/>
      </c>
      <c r="AB1010" s="172">
        <f>IF('Оперативный ввод'!V1010="","",'Оперативный ввод'!V1010)</f>
        <v/>
      </c>
      <c r="AC1010" s="172">
        <f>IF('Оперативный ввод'!W1010="","",'Оперативный ввод'!W1010)</f>
        <v/>
      </c>
      <c r="BB1010" s="172" t="n"/>
      <c r="BC1010" s="172" t="n"/>
      <c r="BD1010" s="205">
        <f>IF(AND(A1010="",B1010=""),"",IF(AND(P1010="ГОТОВО",R1010&lt;&gt;"",T1010&lt;&gt;"",U1010&lt;&gt;"",AA1010&lt;&gt;"",AB1010&lt;&gt;"",AC1010&lt;&gt;"",BB1010&lt;&gt;"",BC1010&lt;&gt;""),"ГОТОВО","НЕ ГОТОВО"))</f>
        <v/>
      </c>
      <c r="BE1010" s="205">
        <f>IF(BD1010&lt;&gt;"ГОТОВО","","Полное заключение: "&amp;A1010&amp;", скв. "&amp;B1010&amp;". МРП: "&amp;E1010&amp;" сут. ГНО: "&amp;F1010&amp;"; причина: "&amp;U1010&amp;"; категория: "&amp;V1010&amp;"; решение комиссии: "&amp;BB1010&amp;".")</f>
        <v/>
      </c>
      <c r="BF1010" s="173">
        <f>IF('Оперативный ввод'!X1010="","",'Оперативный ввод'!X1010)</f>
        <v/>
      </c>
    </row>
    <row r="1011">
      <c r="A1011" s="171">
        <f>IF('Оперативный ввод'!A1011="","",'Оперативный ввод'!A1011)</f>
        <v/>
      </c>
      <c r="B1011" s="172">
        <f>IF('Оперативный ввод'!B1011="","",'Оперативный ввод'!B1011)</f>
        <v/>
      </c>
      <c r="C1011" s="270">
        <f>IF('Оперативный ввод'!C1011="","",'Оперативный ввод'!C1011)</f>
        <v/>
      </c>
      <c r="D1011" s="270">
        <f>IF('Оперативный ввод'!D1011="","",'Оперативный ввод'!D1011)</f>
        <v/>
      </c>
      <c r="E1011" s="271">
        <f>IF(OR(C1011="",D1011=""),"",D1011-C1011)</f>
        <v/>
      </c>
      <c r="F1011" s="172">
        <f>IF('Оперативный ввод'!F1011="","",'Оперативный ввод'!F1011)</f>
        <v/>
      </c>
      <c r="G1011" s="172">
        <f>IF('Оперативный ввод'!G1011="","",'Оперативный ввод'!G1011)</f>
        <v/>
      </c>
      <c r="H1011" s="172">
        <f>IF('Оперативный ввод'!H1011="","",'Оперативный ввод'!H1011)</f>
        <v/>
      </c>
      <c r="I1011" s="172">
        <f>IF('Оперативный ввод'!I1011="","",'Оперативный ввод'!I1011)</f>
        <v/>
      </c>
      <c r="J1011" s="172">
        <f>IF('Оперативный ввод'!J1011="","",'Оперативный ввод'!J1011)</f>
        <v/>
      </c>
      <c r="K1011" s="172">
        <f>IF('Оперативный ввод'!K1011="","",'Оперативный ввод'!K1011)</f>
        <v/>
      </c>
      <c r="L1011" s="172">
        <f>IF('Оперативный ввод'!L1011="","",'Оперативный ввод'!L1011)</f>
        <v/>
      </c>
      <c r="M1011" s="172">
        <f>IF('Оперативный ввод'!M1011="","",'Оперативный ввод'!M1011)</f>
        <v/>
      </c>
      <c r="N1011" s="172">
        <f>IF('Оперативный ввод'!N1011="","",'Оперативный ввод'!N1011)</f>
        <v/>
      </c>
      <c r="O1011" s="172">
        <f>IF('Оперативный ввод'!O1011="","",'Оперативный ввод'!O1011)</f>
        <v/>
      </c>
      <c r="P1011" s="205">
        <f>IF(AND(A1011="",B1011=""),"",IF(AND(A1011&lt;&gt;"",B1011&lt;&gt;"",C1011&lt;&gt;"",D1011&lt;&gt;"",F1011&lt;&gt;"",G1011&lt;&gt;"",H1011&lt;&gt;"",ISERROR(SEARCH("по паспорту",G1011)),ISERROR(SEARCH("по паспорту",H1011)),I1011&lt;&gt;"",J1011&lt;&gt;"",K1011&lt;&gt;"",L1011&lt;&gt;"",M1011&lt;&gt;""),"ГОТОВО","НЕ ГОТОВО"))</f>
        <v/>
      </c>
      <c r="Q1011" s="205">
        <f>IF(P1011&lt;&gt;"ГОТОВО","", "Предварительное заключение: "&amp;A1011&amp;", скв. "&amp;B1011&amp;". МРП: "&amp;E1011&amp;" сут. ГНО: "&amp;F1011&amp;", типоразмер "&amp;G1011&amp;", марка "&amp;H1011&amp;". Событие: "&amp;I1011&amp;". Признак: "&amp;J1011&amp;". Узел: "&amp;K1011&amp;". Предварительная причина: "&amp;L1011&amp;". Основное осложнение: "&amp;M1011&amp;IF(N1011&lt;&gt;"","; сопутствующее: "&amp;N1011,"")&amp;IF(O1011&lt;&gt;"","; дополнительно: "&amp;O1011,"")&amp;".")</f>
        <v/>
      </c>
      <c r="R1011" s="172">
        <f>IF('Оперативный ввод'!P1011="","",'Оперативный ввод'!P1011)</f>
        <v/>
      </c>
      <c r="S1011" s="172">
        <f>IF('Оперативный ввод'!Q1011="","",'Оперативный ввод'!Q1011)</f>
        <v/>
      </c>
      <c r="T1011" s="172">
        <f>IF('Оперативный ввод'!R1011="","",'Оперативный ввод'!R1011)</f>
        <v/>
      </c>
      <c r="U1011" s="172">
        <f>IF('Оперативный ввод'!S1011="","",'Оперативный ввод'!S1011)</f>
        <v/>
      </c>
      <c r="V1011" s="172">
        <f>IF('Оперативный ввод'!T1011="","",'Оперативный ввод'!T1011)</f>
        <v/>
      </c>
      <c r="W1011" s="172" t="n"/>
      <c r="X1011" s="172" t="n"/>
      <c r="Y1011" s="172" t="n"/>
      <c r="Z1011" s="172" t="n"/>
      <c r="AA1011" s="172">
        <f>IF('Оперативный ввод'!U1011="","",'Оперативный ввод'!U1011)</f>
        <v/>
      </c>
      <c r="AB1011" s="172">
        <f>IF('Оперативный ввод'!V1011="","",'Оперативный ввод'!V1011)</f>
        <v/>
      </c>
      <c r="AC1011" s="172">
        <f>IF('Оперативный ввод'!W1011="","",'Оперативный ввод'!W1011)</f>
        <v/>
      </c>
      <c r="BB1011" s="172" t="n"/>
      <c r="BC1011" s="172" t="n"/>
      <c r="BD1011" s="205">
        <f>IF(AND(A1011="",B1011=""),"",IF(AND(P1011="ГОТОВО",R1011&lt;&gt;"",T1011&lt;&gt;"",U1011&lt;&gt;"",AA1011&lt;&gt;"",AB1011&lt;&gt;"",AC1011&lt;&gt;"",BB1011&lt;&gt;"",BC1011&lt;&gt;""),"ГОТОВО","НЕ ГОТОВО"))</f>
        <v/>
      </c>
      <c r="BE1011" s="205">
        <f>IF(BD1011&lt;&gt;"ГОТОВО","","Полное заключение: "&amp;A1011&amp;", скв. "&amp;B1011&amp;". МРП: "&amp;E1011&amp;" сут. ГНО: "&amp;F1011&amp;"; причина: "&amp;U1011&amp;"; категория: "&amp;V1011&amp;"; решение комиссии: "&amp;BB1011&amp;".")</f>
        <v/>
      </c>
      <c r="BF1011" s="173">
        <f>IF('Оперативный ввод'!X1011="","",'Оперативный ввод'!X1011)</f>
        <v/>
      </c>
    </row>
    <row r="1012">
      <c r="A1012" s="171">
        <f>IF('Оперативный ввод'!A1012="","",'Оперативный ввод'!A1012)</f>
        <v/>
      </c>
      <c r="B1012" s="172">
        <f>IF('Оперативный ввод'!B1012="","",'Оперативный ввод'!B1012)</f>
        <v/>
      </c>
      <c r="C1012" s="270">
        <f>IF('Оперативный ввод'!C1012="","",'Оперативный ввод'!C1012)</f>
        <v/>
      </c>
      <c r="D1012" s="270">
        <f>IF('Оперативный ввод'!D1012="","",'Оперативный ввод'!D1012)</f>
        <v/>
      </c>
      <c r="E1012" s="271">
        <f>IF(OR(C1012="",D1012=""),"",D1012-C1012)</f>
        <v/>
      </c>
      <c r="F1012" s="172">
        <f>IF('Оперативный ввод'!F1012="","",'Оперативный ввод'!F1012)</f>
        <v/>
      </c>
      <c r="G1012" s="172">
        <f>IF('Оперативный ввод'!G1012="","",'Оперативный ввод'!G1012)</f>
        <v/>
      </c>
      <c r="H1012" s="172">
        <f>IF('Оперативный ввод'!H1012="","",'Оперативный ввод'!H1012)</f>
        <v/>
      </c>
      <c r="I1012" s="172">
        <f>IF('Оперативный ввод'!I1012="","",'Оперативный ввод'!I1012)</f>
        <v/>
      </c>
      <c r="J1012" s="172">
        <f>IF('Оперативный ввод'!J1012="","",'Оперативный ввод'!J1012)</f>
        <v/>
      </c>
      <c r="K1012" s="172">
        <f>IF('Оперативный ввод'!K1012="","",'Оперативный ввод'!K1012)</f>
        <v/>
      </c>
      <c r="L1012" s="172">
        <f>IF('Оперативный ввод'!L1012="","",'Оперативный ввод'!L1012)</f>
        <v/>
      </c>
      <c r="M1012" s="172">
        <f>IF('Оперативный ввод'!M1012="","",'Оперативный ввод'!M1012)</f>
        <v/>
      </c>
      <c r="N1012" s="172">
        <f>IF('Оперативный ввод'!N1012="","",'Оперативный ввод'!N1012)</f>
        <v/>
      </c>
      <c r="O1012" s="172">
        <f>IF('Оперативный ввод'!O1012="","",'Оперативный ввод'!O1012)</f>
        <v/>
      </c>
      <c r="P1012" s="205">
        <f>IF(AND(A1012="",B1012=""),"",IF(AND(A1012&lt;&gt;"",B1012&lt;&gt;"",C1012&lt;&gt;"",D1012&lt;&gt;"",F1012&lt;&gt;"",G1012&lt;&gt;"",H1012&lt;&gt;"",ISERROR(SEARCH("по паспорту",G1012)),ISERROR(SEARCH("по паспорту",H1012)),I1012&lt;&gt;"",J1012&lt;&gt;"",K1012&lt;&gt;"",L1012&lt;&gt;"",M1012&lt;&gt;""),"ГОТОВО","НЕ ГОТОВО"))</f>
        <v/>
      </c>
      <c r="Q1012" s="205">
        <f>IF(P1012&lt;&gt;"ГОТОВО","", "Предварительное заключение: "&amp;A1012&amp;", скв. "&amp;B1012&amp;". МРП: "&amp;E1012&amp;" сут. ГНО: "&amp;F1012&amp;", типоразмер "&amp;G1012&amp;", марка "&amp;H1012&amp;". Событие: "&amp;I1012&amp;". Признак: "&amp;J1012&amp;". Узел: "&amp;K1012&amp;". Предварительная причина: "&amp;L1012&amp;". Основное осложнение: "&amp;M1012&amp;IF(N1012&lt;&gt;"","; сопутствующее: "&amp;N1012,"")&amp;IF(O1012&lt;&gt;"","; дополнительно: "&amp;O1012,"")&amp;".")</f>
        <v/>
      </c>
      <c r="R1012" s="172">
        <f>IF('Оперативный ввод'!P1012="","",'Оперативный ввод'!P1012)</f>
        <v/>
      </c>
      <c r="S1012" s="172">
        <f>IF('Оперативный ввод'!Q1012="","",'Оперативный ввод'!Q1012)</f>
        <v/>
      </c>
      <c r="T1012" s="172">
        <f>IF('Оперативный ввод'!R1012="","",'Оперативный ввод'!R1012)</f>
        <v/>
      </c>
      <c r="U1012" s="172">
        <f>IF('Оперативный ввод'!S1012="","",'Оперативный ввод'!S1012)</f>
        <v/>
      </c>
      <c r="V1012" s="172">
        <f>IF('Оперативный ввод'!T1012="","",'Оперативный ввод'!T1012)</f>
        <v/>
      </c>
      <c r="W1012" s="172" t="n"/>
      <c r="X1012" s="172" t="n"/>
      <c r="Y1012" s="172" t="n"/>
      <c r="Z1012" s="172" t="n"/>
      <c r="AA1012" s="172">
        <f>IF('Оперативный ввод'!U1012="","",'Оперативный ввод'!U1012)</f>
        <v/>
      </c>
      <c r="AB1012" s="172">
        <f>IF('Оперативный ввод'!V1012="","",'Оперативный ввод'!V1012)</f>
        <v/>
      </c>
      <c r="AC1012" s="172">
        <f>IF('Оперативный ввод'!W1012="","",'Оперативный ввод'!W1012)</f>
        <v/>
      </c>
      <c r="BB1012" s="172" t="n"/>
      <c r="BC1012" s="172" t="n"/>
      <c r="BD1012" s="205">
        <f>IF(AND(A1012="",B1012=""),"",IF(AND(P1012="ГОТОВО",R1012&lt;&gt;"",T1012&lt;&gt;"",U1012&lt;&gt;"",AA1012&lt;&gt;"",AB1012&lt;&gt;"",AC1012&lt;&gt;"",BB1012&lt;&gt;"",BC1012&lt;&gt;""),"ГОТОВО","НЕ ГОТОВО"))</f>
        <v/>
      </c>
      <c r="BE1012" s="205">
        <f>IF(BD1012&lt;&gt;"ГОТОВО","","Полное заключение: "&amp;A1012&amp;", скв. "&amp;B1012&amp;". МРП: "&amp;E1012&amp;" сут. ГНО: "&amp;F1012&amp;"; причина: "&amp;U1012&amp;"; категория: "&amp;V1012&amp;"; решение комиссии: "&amp;BB1012&amp;".")</f>
        <v/>
      </c>
      <c r="BF1012" s="173">
        <f>IF('Оперативный ввод'!X1012="","",'Оперативный ввод'!X1012)</f>
        <v/>
      </c>
    </row>
    <row r="1013">
      <c r="A1013" s="171">
        <f>IF('Оперативный ввод'!A1013="","",'Оперативный ввод'!A1013)</f>
        <v/>
      </c>
      <c r="B1013" s="172">
        <f>IF('Оперативный ввод'!B1013="","",'Оперативный ввод'!B1013)</f>
        <v/>
      </c>
      <c r="C1013" s="270">
        <f>IF('Оперативный ввод'!C1013="","",'Оперативный ввод'!C1013)</f>
        <v/>
      </c>
      <c r="D1013" s="270">
        <f>IF('Оперативный ввод'!D1013="","",'Оперативный ввод'!D1013)</f>
        <v/>
      </c>
      <c r="E1013" s="271">
        <f>IF(OR(C1013="",D1013=""),"",D1013-C1013)</f>
        <v/>
      </c>
      <c r="F1013" s="172">
        <f>IF('Оперативный ввод'!F1013="","",'Оперативный ввод'!F1013)</f>
        <v/>
      </c>
      <c r="G1013" s="172">
        <f>IF('Оперативный ввод'!G1013="","",'Оперативный ввод'!G1013)</f>
        <v/>
      </c>
      <c r="H1013" s="172">
        <f>IF('Оперативный ввод'!H1013="","",'Оперативный ввод'!H1013)</f>
        <v/>
      </c>
      <c r="I1013" s="172">
        <f>IF('Оперативный ввод'!I1013="","",'Оперативный ввод'!I1013)</f>
        <v/>
      </c>
      <c r="J1013" s="172">
        <f>IF('Оперативный ввод'!J1013="","",'Оперативный ввод'!J1013)</f>
        <v/>
      </c>
      <c r="K1013" s="172">
        <f>IF('Оперативный ввод'!K1013="","",'Оперативный ввод'!K1013)</f>
        <v/>
      </c>
      <c r="L1013" s="172">
        <f>IF('Оперативный ввод'!L1013="","",'Оперативный ввод'!L1013)</f>
        <v/>
      </c>
      <c r="M1013" s="172">
        <f>IF('Оперативный ввод'!M1013="","",'Оперативный ввод'!M1013)</f>
        <v/>
      </c>
      <c r="N1013" s="172">
        <f>IF('Оперативный ввод'!N1013="","",'Оперативный ввод'!N1013)</f>
        <v/>
      </c>
      <c r="O1013" s="172">
        <f>IF('Оперативный ввод'!O1013="","",'Оперативный ввод'!O1013)</f>
        <v/>
      </c>
      <c r="P1013" s="205">
        <f>IF(AND(A1013="",B1013=""),"",IF(AND(A1013&lt;&gt;"",B1013&lt;&gt;"",C1013&lt;&gt;"",D1013&lt;&gt;"",F1013&lt;&gt;"",G1013&lt;&gt;"",H1013&lt;&gt;"",ISERROR(SEARCH("по паспорту",G1013)),ISERROR(SEARCH("по паспорту",H1013)),I1013&lt;&gt;"",J1013&lt;&gt;"",K1013&lt;&gt;"",L1013&lt;&gt;"",M1013&lt;&gt;""),"ГОТОВО","НЕ ГОТОВО"))</f>
        <v/>
      </c>
      <c r="Q1013" s="205">
        <f>IF(P1013&lt;&gt;"ГОТОВО","", "Предварительное заключение: "&amp;A1013&amp;", скв. "&amp;B1013&amp;". МРП: "&amp;E1013&amp;" сут. ГНО: "&amp;F1013&amp;", типоразмер "&amp;G1013&amp;", марка "&amp;H1013&amp;". Событие: "&amp;I1013&amp;". Признак: "&amp;J1013&amp;". Узел: "&amp;K1013&amp;". Предварительная причина: "&amp;L1013&amp;". Основное осложнение: "&amp;M1013&amp;IF(N1013&lt;&gt;"","; сопутствующее: "&amp;N1013,"")&amp;IF(O1013&lt;&gt;"","; дополнительно: "&amp;O1013,"")&amp;".")</f>
        <v/>
      </c>
      <c r="R1013" s="172">
        <f>IF('Оперативный ввод'!P1013="","",'Оперативный ввод'!P1013)</f>
        <v/>
      </c>
      <c r="S1013" s="172">
        <f>IF('Оперативный ввод'!Q1013="","",'Оперативный ввод'!Q1013)</f>
        <v/>
      </c>
      <c r="T1013" s="172">
        <f>IF('Оперативный ввод'!R1013="","",'Оперативный ввод'!R1013)</f>
        <v/>
      </c>
      <c r="U1013" s="172">
        <f>IF('Оперативный ввод'!S1013="","",'Оперативный ввод'!S1013)</f>
        <v/>
      </c>
      <c r="V1013" s="172">
        <f>IF('Оперативный ввод'!T1013="","",'Оперативный ввод'!T1013)</f>
        <v/>
      </c>
      <c r="W1013" s="172" t="n"/>
      <c r="X1013" s="172" t="n"/>
      <c r="Y1013" s="172" t="n"/>
      <c r="Z1013" s="172" t="n"/>
      <c r="AA1013" s="172">
        <f>IF('Оперативный ввод'!U1013="","",'Оперативный ввод'!U1013)</f>
        <v/>
      </c>
      <c r="AB1013" s="172">
        <f>IF('Оперативный ввод'!V1013="","",'Оперативный ввод'!V1013)</f>
        <v/>
      </c>
      <c r="AC1013" s="172">
        <f>IF('Оперативный ввод'!W1013="","",'Оперативный ввод'!W1013)</f>
        <v/>
      </c>
      <c r="BB1013" s="172" t="n"/>
      <c r="BC1013" s="172" t="n"/>
      <c r="BD1013" s="205">
        <f>IF(AND(A1013="",B1013=""),"",IF(AND(P1013="ГОТОВО",R1013&lt;&gt;"",T1013&lt;&gt;"",U1013&lt;&gt;"",AA1013&lt;&gt;"",AB1013&lt;&gt;"",AC1013&lt;&gt;"",BB1013&lt;&gt;"",BC1013&lt;&gt;""),"ГОТОВО","НЕ ГОТОВО"))</f>
        <v/>
      </c>
      <c r="BE1013" s="205">
        <f>IF(BD1013&lt;&gt;"ГОТОВО","","Полное заключение: "&amp;A1013&amp;", скв. "&amp;B1013&amp;". МРП: "&amp;E1013&amp;" сут. ГНО: "&amp;F1013&amp;"; причина: "&amp;U1013&amp;"; категория: "&amp;V1013&amp;"; решение комиссии: "&amp;BB1013&amp;".")</f>
        <v/>
      </c>
      <c r="BF1013" s="173">
        <f>IF('Оперативный ввод'!X1013="","",'Оперативный ввод'!X1013)</f>
        <v/>
      </c>
    </row>
    <row r="1014">
      <c r="A1014" s="171">
        <f>IF('Оперативный ввод'!A1014="","",'Оперативный ввод'!A1014)</f>
        <v/>
      </c>
      <c r="B1014" s="172">
        <f>IF('Оперативный ввод'!B1014="","",'Оперативный ввод'!B1014)</f>
        <v/>
      </c>
      <c r="C1014" s="270">
        <f>IF('Оперативный ввод'!C1014="","",'Оперативный ввод'!C1014)</f>
        <v/>
      </c>
      <c r="D1014" s="270">
        <f>IF('Оперативный ввод'!D1014="","",'Оперативный ввод'!D1014)</f>
        <v/>
      </c>
      <c r="E1014" s="271">
        <f>IF(OR(C1014="",D1014=""),"",D1014-C1014)</f>
        <v/>
      </c>
      <c r="F1014" s="172">
        <f>IF('Оперативный ввод'!F1014="","",'Оперативный ввод'!F1014)</f>
        <v/>
      </c>
      <c r="G1014" s="172">
        <f>IF('Оперативный ввод'!G1014="","",'Оперативный ввод'!G1014)</f>
        <v/>
      </c>
      <c r="H1014" s="172">
        <f>IF('Оперативный ввод'!H1014="","",'Оперативный ввод'!H1014)</f>
        <v/>
      </c>
      <c r="I1014" s="172">
        <f>IF('Оперативный ввод'!I1014="","",'Оперативный ввод'!I1014)</f>
        <v/>
      </c>
      <c r="J1014" s="172">
        <f>IF('Оперативный ввод'!J1014="","",'Оперативный ввод'!J1014)</f>
        <v/>
      </c>
      <c r="K1014" s="172">
        <f>IF('Оперативный ввод'!K1014="","",'Оперативный ввод'!K1014)</f>
        <v/>
      </c>
      <c r="L1014" s="172">
        <f>IF('Оперативный ввод'!L1014="","",'Оперативный ввод'!L1014)</f>
        <v/>
      </c>
      <c r="M1014" s="172">
        <f>IF('Оперативный ввод'!M1014="","",'Оперативный ввод'!M1014)</f>
        <v/>
      </c>
      <c r="N1014" s="172">
        <f>IF('Оперативный ввод'!N1014="","",'Оперативный ввод'!N1014)</f>
        <v/>
      </c>
      <c r="O1014" s="172">
        <f>IF('Оперативный ввод'!O1014="","",'Оперативный ввод'!O1014)</f>
        <v/>
      </c>
      <c r="P1014" s="205">
        <f>IF(AND(A1014="",B1014=""),"",IF(AND(A1014&lt;&gt;"",B1014&lt;&gt;"",C1014&lt;&gt;"",D1014&lt;&gt;"",F1014&lt;&gt;"",G1014&lt;&gt;"",H1014&lt;&gt;"",ISERROR(SEARCH("по паспорту",G1014)),ISERROR(SEARCH("по паспорту",H1014)),I1014&lt;&gt;"",J1014&lt;&gt;"",K1014&lt;&gt;"",L1014&lt;&gt;"",M1014&lt;&gt;""),"ГОТОВО","НЕ ГОТОВО"))</f>
        <v/>
      </c>
      <c r="Q1014" s="205">
        <f>IF(P1014&lt;&gt;"ГОТОВО","", "Предварительное заключение: "&amp;A1014&amp;", скв. "&amp;B1014&amp;". МРП: "&amp;E1014&amp;" сут. ГНО: "&amp;F1014&amp;", типоразмер "&amp;G1014&amp;", марка "&amp;H1014&amp;". Событие: "&amp;I1014&amp;". Признак: "&amp;J1014&amp;". Узел: "&amp;K1014&amp;". Предварительная причина: "&amp;L1014&amp;". Основное осложнение: "&amp;M1014&amp;IF(N1014&lt;&gt;"","; сопутствующее: "&amp;N1014,"")&amp;IF(O1014&lt;&gt;"","; дополнительно: "&amp;O1014,"")&amp;".")</f>
        <v/>
      </c>
      <c r="R1014" s="172">
        <f>IF('Оперативный ввод'!P1014="","",'Оперативный ввод'!P1014)</f>
        <v/>
      </c>
      <c r="S1014" s="172">
        <f>IF('Оперативный ввод'!Q1014="","",'Оперативный ввод'!Q1014)</f>
        <v/>
      </c>
      <c r="T1014" s="172">
        <f>IF('Оперативный ввод'!R1014="","",'Оперативный ввод'!R1014)</f>
        <v/>
      </c>
      <c r="U1014" s="172">
        <f>IF('Оперативный ввод'!S1014="","",'Оперативный ввод'!S1014)</f>
        <v/>
      </c>
      <c r="V1014" s="172">
        <f>IF('Оперативный ввод'!T1014="","",'Оперативный ввод'!T1014)</f>
        <v/>
      </c>
      <c r="W1014" s="172" t="n"/>
      <c r="X1014" s="172" t="n"/>
      <c r="Y1014" s="172" t="n"/>
      <c r="Z1014" s="172" t="n"/>
      <c r="AA1014" s="172">
        <f>IF('Оперативный ввод'!U1014="","",'Оперативный ввод'!U1014)</f>
        <v/>
      </c>
      <c r="AB1014" s="172">
        <f>IF('Оперативный ввод'!V1014="","",'Оперативный ввод'!V1014)</f>
        <v/>
      </c>
      <c r="AC1014" s="172">
        <f>IF('Оперативный ввод'!W1014="","",'Оперативный ввод'!W1014)</f>
        <v/>
      </c>
      <c r="BB1014" s="172" t="n"/>
      <c r="BC1014" s="172" t="n"/>
      <c r="BD1014" s="205">
        <f>IF(AND(A1014="",B1014=""),"",IF(AND(P1014="ГОТОВО",R1014&lt;&gt;"",T1014&lt;&gt;"",U1014&lt;&gt;"",AA1014&lt;&gt;"",AB1014&lt;&gt;"",AC1014&lt;&gt;"",BB1014&lt;&gt;"",BC1014&lt;&gt;""),"ГОТОВО","НЕ ГОТОВО"))</f>
        <v/>
      </c>
      <c r="BE1014" s="205">
        <f>IF(BD1014&lt;&gt;"ГОТОВО","","Полное заключение: "&amp;A1014&amp;", скв. "&amp;B1014&amp;". МРП: "&amp;E1014&amp;" сут. ГНО: "&amp;F1014&amp;"; причина: "&amp;U1014&amp;"; категория: "&amp;V1014&amp;"; решение комиссии: "&amp;BB1014&amp;".")</f>
        <v/>
      </c>
      <c r="BF1014" s="173">
        <f>IF('Оперативный ввод'!X1014="","",'Оперативный ввод'!X1014)</f>
        <v/>
      </c>
    </row>
    <row r="1015">
      <c r="A1015" s="171">
        <f>IF('Оперативный ввод'!A1015="","",'Оперативный ввод'!A1015)</f>
        <v/>
      </c>
      <c r="B1015" s="172">
        <f>IF('Оперативный ввод'!B1015="","",'Оперативный ввод'!B1015)</f>
        <v/>
      </c>
      <c r="C1015" s="270">
        <f>IF('Оперативный ввод'!C1015="","",'Оперативный ввод'!C1015)</f>
        <v/>
      </c>
      <c r="D1015" s="270">
        <f>IF('Оперативный ввод'!D1015="","",'Оперативный ввод'!D1015)</f>
        <v/>
      </c>
      <c r="E1015" s="271">
        <f>IF(OR(C1015="",D1015=""),"",D1015-C1015)</f>
        <v/>
      </c>
      <c r="F1015" s="172">
        <f>IF('Оперативный ввод'!F1015="","",'Оперативный ввод'!F1015)</f>
        <v/>
      </c>
      <c r="G1015" s="172">
        <f>IF('Оперативный ввод'!G1015="","",'Оперативный ввод'!G1015)</f>
        <v/>
      </c>
      <c r="H1015" s="172">
        <f>IF('Оперативный ввод'!H1015="","",'Оперативный ввод'!H1015)</f>
        <v/>
      </c>
      <c r="I1015" s="172">
        <f>IF('Оперативный ввод'!I1015="","",'Оперативный ввод'!I1015)</f>
        <v/>
      </c>
      <c r="J1015" s="172">
        <f>IF('Оперативный ввод'!J1015="","",'Оперативный ввод'!J1015)</f>
        <v/>
      </c>
      <c r="K1015" s="172">
        <f>IF('Оперативный ввод'!K1015="","",'Оперативный ввод'!K1015)</f>
        <v/>
      </c>
      <c r="L1015" s="172">
        <f>IF('Оперативный ввод'!L1015="","",'Оперативный ввод'!L1015)</f>
        <v/>
      </c>
      <c r="M1015" s="172">
        <f>IF('Оперативный ввод'!M1015="","",'Оперативный ввод'!M1015)</f>
        <v/>
      </c>
      <c r="N1015" s="172">
        <f>IF('Оперативный ввод'!N1015="","",'Оперативный ввод'!N1015)</f>
        <v/>
      </c>
      <c r="O1015" s="172">
        <f>IF('Оперативный ввод'!O1015="","",'Оперативный ввод'!O1015)</f>
        <v/>
      </c>
      <c r="P1015" s="205">
        <f>IF(AND(A1015="",B1015=""),"",IF(AND(A1015&lt;&gt;"",B1015&lt;&gt;"",C1015&lt;&gt;"",D1015&lt;&gt;"",F1015&lt;&gt;"",G1015&lt;&gt;"",H1015&lt;&gt;"",ISERROR(SEARCH("по паспорту",G1015)),ISERROR(SEARCH("по паспорту",H1015)),I1015&lt;&gt;"",J1015&lt;&gt;"",K1015&lt;&gt;"",L1015&lt;&gt;"",M1015&lt;&gt;""),"ГОТОВО","НЕ ГОТОВО"))</f>
        <v/>
      </c>
      <c r="Q1015" s="205">
        <f>IF(P1015&lt;&gt;"ГОТОВО","", "Предварительное заключение: "&amp;A1015&amp;", скв. "&amp;B1015&amp;". МРП: "&amp;E1015&amp;" сут. ГНО: "&amp;F1015&amp;", типоразмер "&amp;G1015&amp;", марка "&amp;H1015&amp;". Событие: "&amp;I1015&amp;". Признак: "&amp;J1015&amp;". Узел: "&amp;K1015&amp;". Предварительная причина: "&amp;L1015&amp;". Основное осложнение: "&amp;M1015&amp;IF(N1015&lt;&gt;"","; сопутствующее: "&amp;N1015,"")&amp;IF(O1015&lt;&gt;"","; дополнительно: "&amp;O1015,"")&amp;".")</f>
        <v/>
      </c>
      <c r="R1015" s="172">
        <f>IF('Оперативный ввод'!P1015="","",'Оперативный ввод'!P1015)</f>
        <v/>
      </c>
      <c r="S1015" s="172">
        <f>IF('Оперативный ввод'!Q1015="","",'Оперативный ввод'!Q1015)</f>
        <v/>
      </c>
      <c r="T1015" s="172">
        <f>IF('Оперативный ввод'!R1015="","",'Оперативный ввод'!R1015)</f>
        <v/>
      </c>
      <c r="U1015" s="172">
        <f>IF('Оперативный ввод'!S1015="","",'Оперативный ввод'!S1015)</f>
        <v/>
      </c>
      <c r="V1015" s="172">
        <f>IF('Оперативный ввод'!T1015="","",'Оперативный ввод'!T1015)</f>
        <v/>
      </c>
      <c r="W1015" s="172" t="n"/>
      <c r="X1015" s="172" t="n"/>
      <c r="Y1015" s="172" t="n"/>
      <c r="Z1015" s="172" t="n"/>
      <c r="AA1015" s="172">
        <f>IF('Оперативный ввод'!U1015="","",'Оперативный ввод'!U1015)</f>
        <v/>
      </c>
      <c r="AB1015" s="172">
        <f>IF('Оперативный ввод'!V1015="","",'Оперативный ввод'!V1015)</f>
        <v/>
      </c>
      <c r="AC1015" s="172">
        <f>IF('Оперативный ввод'!W1015="","",'Оперативный ввод'!W1015)</f>
        <v/>
      </c>
      <c r="BB1015" s="172" t="n"/>
      <c r="BC1015" s="172" t="n"/>
      <c r="BD1015" s="205">
        <f>IF(AND(A1015="",B1015=""),"",IF(AND(P1015="ГОТОВО",R1015&lt;&gt;"",T1015&lt;&gt;"",U1015&lt;&gt;"",AA1015&lt;&gt;"",AB1015&lt;&gt;"",AC1015&lt;&gt;"",BB1015&lt;&gt;"",BC1015&lt;&gt;""),"ГОТОВО","НЕ ГОТОВО"))</f>
        <v/>
      </c>
      <c r="BE1015" s="205">
        <f>IF(BD1015&lt;&gt;"ГОТОВО","","Полное заключение: "&amp;A1015&amp;", скв. "&amp;B1015&amp;". МРП: "&amp;E1015&amp;" сут. ГНО: "&amp;F1015&amp;"; причина: "&amp;U1015&amp;"; категория: "&amp;V1015&amp;"; решение комиссии: "&amp;BB1015&amp;".")</f>
        <v/>
      </c>
      <c r="BF1015" s="173">
        <f>IF('Оперативный ввод'!X1015="","",'Оперативный ввод'!X1015)</f>
        <v/>
      </c>
    </row>
    <row r="1016">
      <c r="A1016" s="171">
        <f>IF('Оперативный ввод'!A1016="","",'Оперативный ввод'!A1016)</f>
        <v/>
      </c>
      <c r="B1016" s="172">
        <f>IF('Оперативный ввод'!B1016="","",'Оперативный ввод'!B1016)</f>
        <v/>
      </c>
      <c r="C1016" s="270">
        <f>IF('Оперативный ввод'!C1016="","",'Оперативный ввод'!C1016)</f>
        <v/>
      </c>
      <c r="D1016" s="270">
        <f>IF('Оперативный ввод'!D1016="","",'Оперативный ввод'!D1016)</f>
        <v/>
      </c>
      <c r="E1016" s="271">
        <f>IF(OR(C1016="",D1016=""),"",D1016-C1016)</f>
        <v/>
      </c>
      <c r="F1016" s="172">
        <f>IF('Оперативный ввод'!F1016="","",'Оперативный ввод'!F1016)</f>
        <v/>
      </c>
      <c r="G1016" s="172">
        <f>IF('Оперативный ввод'!G1016="","",'Оперативный ввод'!G1016)</f>
        <v/>
      </c>
      <c r="H1016" s="172">
        <f>IF('Оперативный ввод'!H1016="","",'Оперативный ввод'!H1016)</f>
        <v/>
      </c>
      <c r="I1016" s="172">
        <f>IF('Оперативный ввод'!I1016="","",'Оперативный ввод'!I1016)</f>
        <v/>
      </c>
      <c r="J1016" s="172">
        <f>IF('Оперативный ввод'!J1016="","",'Оперативный ввод'!J1016)</f>
        <v/>
      </c>
      <c r="K1016" s="172">
        <f>IF('Оперативный ввод'!K1016="","",'Оперативный ввод'!K1016)</f>
        <v/>
      </c>
      <c r="L1016" s="172">
        <f>IF('Оперативный ввод'!L1016="","",'Оперативный ввод'!L1016)</f>
        <v/>
      </c>
      <c r="M1016" s="172">
        <f>IF('Оперативный ввод'!M1016="","",'Оперативный ввод'!M1016)</f>
        <v/>
      </c>
      <c r="N1016" s="172">
        <f>IF('Оперативный ввод'!N1016="","",'Оперативный ввод'!N1016)</f>
        <v/>
      </c>
      <c r="O1016" s="172">
        <f>IF('Оперативный ввод'!O1016="","",'Оперативный ввод'!O1016)</f>
        <v/>
      </c>
      <c r="P1016" s="205">
        <f>IF(AND(A1016="",B1016=""),"",IF(AND(A1016&lt;&gt;"",B1016&lt;&gt;"",C1016&lt;&gt;"",D1016&lt;&gt;"",F1016&lt;&gt;"",G1016&lt;&gt;"",H1016&lt;&gt;"",ISERROR(SEARCH("по паспорту",G1016)),ISERROR(SEARCH("по паспорту",H1016)),I1016&lt;&gt;"",J1016&lt;&gt;"",K1016&lt;&gt;"",L1016&lt;&gt;"",M1016&lt;&gt;""),"ГОТОВО","НЕ ГОТОВО"))</f>
        <v/>
      </c>
      <c r="Q1016" s="205">
        <f>IF(P1016&lt;&gt;"ГОТОВО","", "Предварительное заключение: "&amp;A1016&amp;", скв. "&amp;B1016&amp;". МРП: "&amp;E1016&amp;" сут. ГНО: "&amp;F1016&amp;", типоразмер "&amp;G1016&amp;", марка "&amp;H1016&amp;". Событие: "&amp;I1016&amp;". Признак: "&amp;J1016&amp;". Узел: "&amp;K1016&amp;". Предварительная причина: "&amp;L1016&amp;". Основное осложнение: "&amp;M1016&amp;IF(N1016&lt;&gt;"","; сопутствующее: "&amp;N1016,"")&amp;IF(O1016&lt;&gt;"","; дополнительно: "&amp;O1016,"")&amp;".")</f>
        <v/>
      </c>
      <c r="R1016" s="172">
        <f>IF('Оперативный ввод'!P1016="","",'Оперативный ввод'!P1016)</f>
        <v/>
      </c>
      <c r="S1016" s="172">
        <f>IF('Оперативный ввод'!Q1016="","",'Оперативный ввод'!Q1016)</f>
        <v/>
      </c>
      <c r="T1016" s="172">
        <f>IF('Оперативный ввод'!R1016="","",'Оперативный ввод'!R1016)</f>
        <v/>
      </c>
      <c r="U1016" s="172">
        <f>IF('Оперативный ввод'!S1016="","",'Оперативный ввод'!S1016)</f>
        <v/>
      </c>
      <c r="V1016" s="172">
        <f>IF('Оперативный ввод'!T1016="","",'Оперативный ввод'!T1016)</f>
        <v/>
      </c>
      <c r="W1016" s="172" t="n"/>
      <c r="X1016" s="172" t="n"/>
      <c r="Y1016" s="172" t="n"/>
      <c r="Z1016" s="172" t="n"/>
      <c r="AA1016" s="172">
        <f>IF('Оперативный ввод'!U1016="","",'Оперативный ввод'!U1016)</f>
        <v/>
      </c>
      <c r="AB1016" s="172">
        <f>IF('Оперативный ввод'!V1016="","",'Оперативный ввод'!V1016)</f>
        <v/>
      </c>
      <c r="AC1016" s="172">
        <f>IF('Оперативный ввод'!W1016="","",'Оперативный ввод'!W1016)</f>
        <v/>
      </c>
      <c r="BB1016" s="172" t="n"/>
      <c r="BC1016" s="172" t="n"/>
      <c r="BD1016" s="205">
        <f>IF(AND(A1016="",B1016=""),"",IF(AND(P1016="ГОТОВО",R1016&lt;&gt;"",T1016&lt;&gt;"",U1016&lt;&gt;"",AA1016&lt;&gt;"",AB1016&lt;&gt;"",AC1016&lt;&gt;"",BB1016&lt;&gt;"",BC1016&lt;&gt;""),"ГОТОВО","НЕ ГОТОВО"))</f>
        <v/>
      </c>
      <c r="BE1016" s="205">
        <f>IF(BD1016&lt;&gt;"ГОТОВО","","Полное заключение: "&amp;A1016&amp;", скв. "&amp;B1016&amp;". МРП: "&amp;E1016&amp;" сут. ГНО: "&amp;F1016&amp;"; причина: "&amp;U1016&amp;"; категория: "&amp;V1016&amp;"; решение комиссии: "&amp;BB1016&amp;".")</f>
        <v/>
      </c>
      <c r="BF1016" s="173">
        <f>IF('Оперативный ввод'!X1016="","",'Оперативный ввод'!X1016)</f>
        <v/>
      </c>
    </row>
    <row r="1017">
      <c r="A1017" s="171">
        <f>IF('Оперативный ввод'!A1017="","",'Оперативный ввод'!A1017)</f>
        <v/>
      </c>
      <c r="B1017" s="172">
        <f>IF('Оперативный ввод'!B1017="","",'Оперативный ввод'!B1017)</f>
        <v/>
      </c>
      <c r="C1017" s="270">
        <f>IF('Оперативный ввод'!C1017="","",'Оперативный ввод'!C1017)</f>
        <v/>
      </c>
      <c r="D1017" s="270">
        <f>IF('Оперативный ввод'!D1017="","",'Оперативный ввод'!D1017)</f>
        <v/>
      </c>
      <c r="E1017" s="271">
        <f>IF(OR(C1017="",D1017=""),"",D1017-C1017)</f>
        <v/>
      </c>
      <c r="F1017" s="172">
        <f>IF('Оперативный ввод'!F1017="","",'Оперативный ввод'!F1017)</f>
        <v/>
      </c>
      <c r="G1017" s="172">
        <f>IF('Оперативный ввод'!G1017="","",'Оперативный ввод'!G1017)</f>
        <v/>
      </c>
      <c r="H1017" s="172">
        <f>IF('Оперативный ввод'!H1017="","",'Оперативный ввод'!H1017)</f>
        <v/>
      </c>
      <c r="I1017" s="172">
        <f>IF('Оперативный ввод'!I1017="","",'Оперативный ввод'!I1017)</f>
        <v/>
      </c>
      <c r="J1017" s="172">
        <f>IF('Оперативный ввод'!J1017="","",'Оперативный ввод'!J1017)</f>
        <v/>
      </c>
      <c r="K1017" s="172">
        <f>IF('Оперативный ввод'!K1017="","",'Оперативный ввод'!K1017)</f>
        <v/>
      </c>
      <c r="L1017" s="172">
        <f>IF('Оперативный ввод'!L1017="","",'Оперативный ввод'!L1017)</f>
        <v/>
      </c>
      <c r="M1017" s="172">
        <f>IF('Оперативный ввод'!M1017="","",'Оперативный ввод'!M1017)</f>
        <v/>
      </c>
      <c r="N1017" s="172">
        <f>IF('Оперативный ввод'!N1017="","",'Оперативный ввод'!N1017)</f>
        <v/>
      </c>
      <c r="O1017" s="172">
        <f>IF('Оперативный ввод'!O1017="","",'Оперативный ввод'!O1017)</f>
        <v/>
      </c>
      <c r="P1017" s="205">
        <f>IF(AND(A1017="",B1017=""),"",IF(AND(A1017&lt;&gt;"",B1017&lt;&gt;"",C1017&lt;&gt;"",D1017&lt;&gt;"",F1017&lt;&gt;"",G1017&lt;&gt;"",H1017&lt;&gt;"",ISERROR(SEARCH("по паспорту",G1017)),ISERROR(SEARCH("по паспорту",H1017)),I1017&lt;&gt;"",J1017&lt;&gt;"",K1017&lt;&gt;"",L1017&lt;&gt;"",M1017&lt;&gt;""),"ГОТОВО","НЕ ГОТОВО"))</f>
        <v/>
      </c>
      <c r="Q1017" s="205">
        <f>IF(P1017&lt;&gt;"ГОТОВО","", "Предварительное заключение: "&amp;A1017&amp;", скв. "&amp;B1017&amp;". МРП: "&amp;E1017&amp;" сут. ГНО: "&amp;F1017&amp;", типоразмер "&amp;G1017&amp;", марка "&amp;H1017&amp;". Событие: "&amp;I1017&amp;". Признак: "&amp;J1017&amp;". Узел: "&amp;K1017&amp;". Предварительная причина: "&amp;L1017&amp;". Основное осложнение: "&amp;M1017&amp;IF(N1017&lt;&gt;"","; сопутствующее: "&amp;N1017,"")&amp;IF(O1017&lt;&gt;"","; дополнительно: "&amp;O1017,"")&amp;".")</f>
        <v/>
      </c>
      <c r="R1017" s="172">
        <f>IF('Оперативный ввод'!P1017="","",'Оперативный ввод'!P1017)</f>
        <v/>
      </c>
      <c r="S1017" s="172">
        <f>IF('Оперативный ввод'!Q1017="","",'Оперативный ввод'!Q1017)</f>
        <v/>
      </c>
      <c r="T1017" s="172">
        <f>IF('Оперативный ввод'!R1017="","",'Оперативный ввод'!R1017)</f>
        <v/>
      </c>
      <c r="U1017" s="172">
        <f>IF('Оперативный ввод'!S1017="","",'Оперативный ввод'!S1017)</f>
        <v/>
      </c>
      <c r="V1017" s="172">
        <f>IF('Оперативный ввод'!T1017="","",'Оперативный ввод'!T1017)</f>
        <v/>
      </c>
      <c r="W1017" s="172" t="n"/>
      <c r="X1017" s="172" t="n"/>
      <c r="Y1017" s="172" t="n"/>
      <c r="Z1017" s="172" t="n"/>
      <c r="AA1017" s="172">
        <f>IF('Оперативный ввод'!U1017="","",'Оперативный ввод'!U1017)</f>
        <v/>
      </c>
      <c r="AB1017" s="172">
        <f>IF('Оперативный ввод'!V1017="","",'Оперативный ввод'!V1017)</f>
        <v/>
      </c>
      <c r="AC1017" s="172">
        <f>IF('Оперативный ввод'!W1017="","",'Оперативный ввод'!W1017)</f>
        <v/>
      </c>
      <c r="BB1017" s="172" t="n"/>
      <c r="BC1017" s="172" t="n"/>
      <c r="BD1017" s="205">
        <f>IF(AND(A1017="",B1017=""),"",IF(AND(P1017="ГОТОВО",R1017&lt;&gt;"",T1017&lt;&gt;"",U1017&lt;&gt;"",AA1017&lt;&gt;"",AB1017&lt;&gt;"",AC1017&lt;&gt;"",BB1017&lt;&gt;"",BC1017&lt;&gt;""),"ГОТОВО","НЕ ГОТОВО"))</f>
        <v/>
      </c>
      <c r="BE1017" s="205">
        <f>IF(BD1017&lt;&gt;"ГОТОВО","","Полное заключение: "&amp;A1017&amp;", скв. "&amp;B1017&amp;". МРП: "&amp;E1017&amp;" сут. ГНО: "&amp;F1017&amp;"; причина: "&amp;U1017&amp;"; категория: "&amp;V1017&amp;"; решение комиссии: "&amp;BB1017&amp;".")</f>
        <v/>
      </c>
      <c r="BF1017" s="173">
        <f>IF('Оперативный ввод'!X1017="","",'Оперативный ввод'!X1017)</f>
        <v/>
      </c>
    </row>
    <row r="1018">
      <c r="A1018" s="171">
        <f>IF('Оперативный ввод'!A1018="","",'Оперативный ввод'!A1018)</f>
        <v/>
      </c>
      <c r="B1018" s="172">
        <f>IF('Оперативный ввод'!B1018="","",'Оперативный ввод'!B1018)</f>
        <v/>
      </c>
      <c r="C1018" s="270">
        <f>IF('Оперативный ввод'!C1018="","",'Оперативный ввод'!C1018)</f>
        <v/>
      </c>
      <c r="D1018" s="270">
        <f>IF('Оперативный ввод'!D1018="","",'Оперативный ввод'!D1018)</f>
        <v/>
      </c>
      <c r="E1018" s="271">
        <f>IF(OR(C1018="",D1018=""),"",D1018-C1018)</f>
        <v/>
      </c>
      <c r="F1018" s="172">
        <f>IF('Оперативный ввод'!F1018="","",'Оперативный ввод'!F1018)</f>
        <v/>
      </c>
      <c r="G1018" s="172">
        <f>IF('Оперативный ввод'!G1018="","",'Оперативный ввод'!G1018)</f>
        <v/>
      </c>
      <c r="H1018" s="172">
        <f>IF('Оперативный ввод'!H1018="","",'Оперативный ввод'!H1018)</f>
        <v/>
      </c>
      <c r="I1018" s="172">
        <f>IF('Оперативный ввод'!I1018="","",'Оперативный ввод'!I1018)</f>
        <v/>
      </c>
      <c r="J1018" s="172">
        <f>IF('Оперативный ввод'!J1018="","",'Оперативный ввод'!J1018)</f>
        <v/>
      </c>
      <c r="K1018" s="172">
        <f>IF('Оперативный ввод'!K1018="","",'Оперативный ввод'!K1018)</f>
        <v/>
      </c>
      <c r="L1018" s="172">
        <f>IF('Оперативный ввод'!L1018="","",'Оперативный ввод'!L1018)</f>
        <v/>
      </c>
      <c r="M1018" s="172">
        <f>IF('Оперативный ввод'!M1018="","",'Оперативный ввод'!M1018)</f>
        <v/>
      </c>
      <c r="N1018" s="172">
        <f>IF('Оперативный ввод'!N1018="","",'Оперативный ввод'!N1018)</f>
        <v/>
      </c>
      <c r="O1018" s="172">
        <f>IF('Оперативный ввод'!O1018="","",'Оперативный ввод'!O1018)</f>
        <v/>
      </c>
      <c r="P1018" s="205">
        <f>IF(AND(A1018="",B1018=""),"",IF(AND(A1018&lt;&gt;"",B1018&lt;&gt;"",C1018&lt;&gt;"",D1018&lt;&gt;"",F1018&lt;&gt;"",G1018&lt;&gt;"",H1018&lt;&gt;"",ISERROR(SEARCH("по паспорту",G1018)),ISERROR(SEARCH("по паспорту",H1018)),I1018&lt;&gt;"",J1018&lt;&gt;"",K1018&lt;&gt;"",L1018&lt;&gt;"",M1018&lt;&gt;""),"ГОТОВО","НЕ ГОТОВО"))</f>
        <v/>
      </c>
      <c r="Q1018" s="205">
        <f>IF(P1018&lt;&gt;"ГОТОВО","", "Предварительное заключение: "&amp;A1018&amp;", скв. "&amp;B1018&amp;". МРП: "&amp;E1018&amp;" сут. ГНО: "&amp;F1018&amp;", типоразмер "&amp;G1018&amp;", марка "&amp;H1018&amp;". Событие: "&amp;I1018&amp;". Признак: "&amp;J1018&amp;". Узел: "&amp;K1018&amp;". Предварительная причина: "&amp;L1018&amp;". Основное осложнение: "&amp;M1018&amp;IF(N1018&lt;&gt;"","; сопутствующее: "&amp;N1018,"")&amp;IF(O1018&lt;&gt;"","; дополнительно: "&amp;O1018,"")&amp;".")</f>
        <v/>
      </c>
      <c r="R1018" s="172">
        <f>IF('Оперативный ввод'!P1018="","",'Оперативный ввод'!P1018)</f>
        <v/>
      </c>
      <c r="S1018" s="172">
        <f>IF('Оперативный ввод'!Q1018="","",'Оперативный ввод'!Q1018)</f>
        <v/>
      </c>
      <c r="T1018" s="172">
        <f>IF('Оперативный ввод'!R1018="","",'Оперативный ввод'!R1018)</f>
        <v/>
      </c>
      <c r="U1018" s="172">
        <f>IF('Оперативный ввод'!S1018="","",'Оперативный ввод'!S1018)</f>
        <v/>
      </c>
      <c r="V1018" s="172">
        <f>IF('Оперативный ввод'!T1018="","",'Оперативный ввод'!T1018)</f>
        <v/>
      </c>
      <c r="W1018" s="172" t="n"/>
      <c r="X1018" s="172" t="n"/>
      <c r="Y1018" s="172" t="n"/>
      <c r="Z1018" s="172" t="n"/>
      <c r="AA1018" s="172">
        <f>IF('Оперативный ввод'!U1018="","",'Оперативный ввод'!U1018)</f>
        <v/>
      </c>
      <c r="AB1018" s="172">
        <f>IF('Оперативный ввод'!V1018="","",'Оперативный ввод'!V1018)</f>
        <v/>
      </c>
      <c r="AC1018" s="172">
        <f>IF('Оперативный ввод'!W1018="","",'Оперативный ввод'!W1018)</f>
        <v/>
      </c>
      <c r="BB1018" s="172" t="n"/>
      <c r="BC1018" s="172" t="n"/>
      <c r="BD1018" s="205">
        <f>IF(AND(A1018="",B1018=""),"",IF(AND(P1018="ГОТОВО",R1018&lt;&gt;"",T1018&lt;&gt;"",U1018&lt;&gt;"",AA1018&lt;&gt;"",AB1018&lt;&gt;"",AC1018&lt;&gt;"",BB1018&lt;&gt;"",BC1018&lt;&gt;""),"ГОТОВО","НЕ ГОТОВО"))</f>
        <v/>
      </c>
      <c r="BE1018" s="205">
        <f>IF(BD1018&lt;&gt;"ГОТОВО","","Полное заключение: "&amp;A1018&amp;", скв. "&amp;B1018&amp;". МРП: "&amp;E1018&amp;" сут. ГНО: "&amp;F1018&amp;"; причина: "&amp;U1018&amp;"; категория: "&amp;V1018&amp;"; решение комиссии: "&amp;BB1018&amp;".")</f>
        <v/>
      </c>
      <c r="BF1018" s="173">
        <f>IF('Оперативный ввод'!X1018="","",'Оперативный ввод'!X1018)</f>
        <v/>
      </c>
    </row>
    <row r="1019">
      <c r="A1019" s="171">
        <f>IF('Оперативный ввод'!A1019="","",'Оперативный ввод'!A1019)</f>
        <v/>
      </c>
      <c r="B1019" s="172">
        <f>IF('Оперативный ввод'!B1019="","",'Оперативный ввод'!B1019)</f>
        <v/>
      </c>
      <c r="C1019" s="270">
        <f>IF('Оперативный ввод'!C1019="","",'Оперативный ввод'!C1019)</f>
        <v/>
      </c>
      <c r="D1019" s="270">
        <f>IF('Оперативный ввод'!D1019="","",'Оперативный ввод'!D1019)</f>
        <v/>
      </c>
      <c r="E1019" s="271">
        <f>IF(OR(C1019="",D1019=""),"",D1019-C1019)</f>
        <v/>
      </c>
      <c r="F1019" s="172">
        <f>IF('Оперативный ввод'!F1019="","",'Оперативный ввод'!F1019)</f>
        <v/>
      </c>
      <c r="G1019" s="172">
        <f>IF('Оперативный ввод'!G1019="","",'Оперативный ввод'!G1019)</f>
        <v/>
      </c>
      <c r="H1019" s="172">
        <f>IF('Оперативный ввод'!H1019="","",'Оперативный ввод'!H1019)</f>
        <v/>
      </c>
      <c r="I1019" s="172">
        <f>IF('Оперативный ввод'!I1019="","",'Оперативный ввод'!I1019)</f>
        <v/>
      </c>
      <c r="J1019" s="172">
        <f>IF('Оперативный ввод'!J1019="","",'Оперативный ввод'!J1019)</f>
        <v/>
      </c>
      <c r="K1019" s="172">
        <f>IF('Оперативный ввод'!K1019="","",'Оперативный ввод'!K1019)</f>
        <v/>
      </c>
      <c r="L1019" s="172">
        <f>IF('Оперативный ввод'!L1019="","",'Оперативный ввод'!L1019)</f>
        <v/>
      </c>
      <c r="M1019" s="172">
        <f>IF('Оперативный ввод'!M1019="","",'Оперативный ввод'!M1019)</f>
        <v/>
      </c>
      <c r="N1019" s="172">
        <f>IF('Оперативный ввод'!N1019="","",'Оперативный ввод'!N1019)</f>
        <v/>
      </c>
      <c r="O1019" s="172">
        <f>IF('Оперативный ввод'!O1019="","",'Оперативный ввод'!O1019)</f>
        <v/>
      </c>
      <c r="P1019" s="205">
        <f>IF(AND(A1019="",B1019=""),"",IF(AND(A1019&lt;&gt;"",B1019&lt;&gt;"",C1019&lt;&gt;"",D1019&lt;&gt;"",F1019&lt;&gt;"",G1019&lt;&gt;"",H1019&lt;&gt;"",ISERROR(SEARCH("по паспорту",G1019)),ISERROR(SEARCH("по паспорту",H1019)),I1019&lt;&gt;"",J1019&lt;&gt;"",K1019&lt;&gt;"",L1019&lt;&gt;"",M1019&lt;&gt;""),"ГОТОВО","НЕ ГОТОВО"))</f>
        <v/>
      </c>
      <c r="Q1019" s="205">
        <f>IF(P1019&lt;&gt;"ГОТОВО","", "Предварительное заключение: "&amp;A1019&amp;", скв. "&amp;B1019&amp;". МРП: "&amp;E1019&amp;" сут. ГНО: "&amp;F1019&amp;", типоразмер "&amp;G1019&amp;", марка "&amp;H1019&amp;". Событие: "&amp;I1019&amp;". Признак: "&amp;J1019&amp;". Узел: "&amp;K1019&amp;". Предварительная причина: "&amp;L1019&amp;". Основное осложнение: "&amp;M1019&amp;IF(N1019&lt;&gt;"","; сопутствующее: "&amp;N1019,"")&amp;IF(O1019&lt;&gt;"","; дополнительно: "&amp;O1019,"")&amp;".")</f>
        <v/>
      </c>
      <c r="R1019" s="172">
        <f>IF('Оперативный ввод'!P1019="","",'Оперативный ввод'!P1019)</f>
        <v/>
      </c>
      <c r="S1019" s="172">
        <f>IF('Оперативный ввод'!Q1019="","",'Оперативный ввод'!Q1019)</f>
        <v/>
      </c>
      <c r="T1019" s="172">
        <f>IF('Оперативный ввод'!R1019="","",'Оперативный ввод'!R1019)</f>
        <v/>
      </c>
      <c r="U1019" s="172">
        <f>IF('Оперативный ввод'!S1019="","",'Оперативный ввод'!S1019)</f>
        <v/>
      </c>
      <c r="V1019" s="172">
        <f>IF('Оперативный ввод'!T1019="","",'Оперативный ввод'!T1019)</f>
        <v/>
      </c>
      <c r="W1019" s="172" t="n"/>
      <c r="X1019" s="172" t="n"/>
      <c r="Y1019" s="172" t="n"/>
      <c r="Z1019" s="172" t="n"/>
      <c r="AA1019" s="172">
        <f>IF('Оперативный ввод'!U1019="","",'Оперативный ввод'!U1019)</f>
        <v/>
      </c>
      <c r="AB1019" s="172">
        <f>IF('Оперативный ввод'!V1019="","",'Оперативный ввод'!V1019)</f>
        <v/>
      </c>
      <c r="AC1019" s="172">
        <f>IF('Оперативный ввод'!W1019="","",'Оперативный ввод'!W1019)</f>
        <v/>
      </c>
      <c r="BB1019" s="172" t="n"/>
      <c r="BC1019" s="172" t="n"/>
      <c r="BD1019" s="205">
        <f>IF(AND(A1019="",B1019=""),"",IF(AND(P1019="ГОТОВО",R1019&lt;&gt;"",T1019&lt;&gt;"",U1019&lt;&gt;"",AA1019&lt;&gt;"",AB1019&lt;&gt;"",AC1019&lt;&gt;"",BB1019&lt;&gt;"",BC1019&lt;&gt;""),"ГОТОВО","НЕ ГОТОВО"))</f>
        <v/>
      </c>
      <c r="BE1019" s="205">
        <f>IF(BD1019&lt;&gt;"ГОТОВО","","Полное заключение: "&amp;A1019&amp;", скв. "&amp;B1019&amp;". МРП: "&amp;E1019&amp;" сут. ГНО: "&amp;F1019&amp;"; причина: "&amp;U1019&amp;"; категория: "&amp;V1019&amp;"; решение комиссии: "&amp;BB1019&amp;".")</f>
        <v/>
      </c>
      <c r="BF1019" s="173">
        <f>IF('Оперативный ввод'!X1019="","",'Оперативный ввод'!X1019)</f>
        <v/>
      </c>
    </row>
    <row r="1020">
      <c r="A1020" s="171">
        <f>IF('Оперативный ввод'!A1020="","",'Оперативный ввод'!A1020)</f>
        <v/>
      </c>
      <c r="B1020" s="172">
        <f>IF('Оперативный ввод'!B1020="","",'Оперативный ввод'!B1020)</f>
        <v/>
      </c>
      <c r="C1020" s="270">
        <f>IF('Оперативный ввод'!C1020="","",'Оперативный ввод'!C1020)</f>
        <v/>
      </c>
      <c r="D1020" s="270">
        <f>IF('Оперативный ввод'!D1020="","",'Оперативный ввод'!D1020)</f>
        <v/>
      </c>
      <c r="E1020" s="271">
        <f>IF(OR(C1020="",D1020=""),"",D1020-C1020)</f>
        <v/>
      </c>
      <c r="F1020" s="172">
        <f>IF('Оперативный ввод'!F1020="","",'Оперативный ввод'!F1020)</f>
        <v/>
      </c>
      <c r="G1020" s="172">
        <f>IF('Оперативный ввод'!G1020="","",'Оперативный ввод'!G1020)</f>
        <v/>
      </c>
      <c r="H1020" s="172">
        <f>IF('Оперативный ввод'!H1020="","",'Оперативный ввод'!H1020)</f>
        <v/>
      </c>
      <c r="I1020" s="172">
        <f>IF('Оперативный ввод'!I1020="","",'Оперативный ввод'!I1020)</f>
        <v/>
      </c>
      <c r="J1020" s="172">
        <f>IF('Оперативный ввод'!J1020="","",'Оперативный ввод'!J1020)</f>
        <v/>
      </c>
      <c r="K1020" s="172">
        <f>IF('Оперативный ввод'!K1020="","",'Оперативный ввод'!K1020)</f>
        <v/>
      </c>
      <c r="L1020" s="172">
        <f>IF('Оперативный ввод'!L1020="","",'Оперативный ввод'!L1020)</f>
        <v/>
      </c>
      <c r="M1020" s="172">
        <f>IF('Оперативный ввод'!M1020="","",'Оперативный ввод'!M1020)</f>
        <v/>
      </c>
      <c r="N1020" s="172">
        <f>IF('Оперативный ввод'!N1020="","",'Оперативный ввод'!N1020)</f>
        <v/>
      </c>
      <c r="O1020" s="172">
        <f>IF('Оперативный ввод'!O1020="","",'Оперативный ввод'!O1020)</f>
        <v/>
      </c>
      <c r="P1020" s="205">
        <f>IF(AND(A1020="",B1020=""),"",IF(AND(A1020&lt;&gt;"",B1020&lt;&gt;"",C1020&lt;&gt;"",D1020&lt;&gt;"",F1020&lt;&gt;"",G1020&lt;&gt;"",H1020&lt;&gt;"",ISERROR(SEARCH("по паспорту",G1020)),ISERROR(SEARCH("по паспорту",H1020)),I1020&lt;&gt;"",J1020&lt;&gt;"",K1020&lt;&gt;"",L1020&lt;&gt;"",M1020&lt;&gt;""),"ГОТОВО","НЕ ГОТОВО"))</f>
        <v/>
      </c>
      <c r="Q1020" s="205">
        <f>IF(P1020&lt;&gt;"ГОТОВО","", "Предварительное заключение: "&amp;A1020&amp;", скв. "&amp;B1020&amp;". МРП: "&amp;E1020&amp;" сут. ГНО: "&amp;F1020&amp;", типоразмер "&amp;G1020&amp;", марка "&amp;H1020&amp;". Событие: "&amp;I1020&amp;". Признак: "&amp;J1020&amp;". Узел: "&amp;K1020&amp;". Предварительная причина: "&amp;L1020&amp;". Основное осложнение: "&amp;M1020&amp;IF(N1020&lt;&gt;"","; сопутствующее: "&amp;N1020,"")&amp;IF(O1020&lt;&gt;"","; дополнительно: "&amp;O1020,"")&amp;".")</f>
        <v/>
      </c>
      <c r="R1020" s="172">
        <f>IF('Оперативный ввод'!P1020="","",'Оперативный ввод'!P1020)</f>
        <v/>
      </c>
      <c r="S1020" s="172">
        <f>IF('Оперативный ввод'!Q1020="","",'Оперативный ввод'!Q1020)</f>
        <v/>
      </c>
      <c r="T1020" s="172">
        <f>IF('Оперативный ввод'!R1020="","",'Оперативный ввод'!R1020)</f>
        <v/>
      </c>
      <c r="U1020" s="172">
        <f>IF('Оперативный ввод'!S1020="","",'Оперативный ввод'!S1020)</f>
        <v/>
      </c>
      <c r="V1020" s="172">
        <f>IF('Оперативный ввод'!T1020="","",'Оперативный ввод'!T1020)</f>
        <v/>
      </c>
      <c r="W1020" s="172" t="n"/>
      <c r="X1020" s="172" t="n"/>
      <c r="Y1020" s="172" t="n"/>
      <c r="Z1020" s="172" t="n"/>
      <c r="AA1020" s="172">
        <f>IF('Оперативный ввод'!U1020="","",'Оперативный ввод'!U1020)</f>
        <v/>
      </c>
      <c r="AB1020" s="172">
        <f>IF('Оперативный ввод'!V1020="","",'Оперативный ввод'!V1020)</f>
        <v/>
      </c>
      <c r="AC1020" s="172">
        <f>IF('Оперативный ввод'!W1020="","",'Оперативный ввод'!W1020)</f>
        <v/>
      </c>
      <c r="BB1020" s="172" t="n"/>
      <c r="BC1020" s="172" t="n"/>
      <c r="BD1020" s="205">
        <f>IF(AND(A1020="",B1020=""),"",IF(AND(P1020="ГОТОВО",R1020&lt;&gt;"",T1020&lt;&gt;"",U1020&lt;&gt;"",AA1020&lt;&gt;"",AB1020&lt;&gt;"",AC1020&lt;&gt;"",BB1020&lt;&gt;"",BC1020&lt;&gt;""),"ГОТОВО","НЕ ГОТОВО"))</f>
        <v/>
      </c>
      <c r="BE1020" s="205">
        <f>IF(BD1020&lt;&gt;"ГОТОВО","","Полное заключение: "&amp;A1020&amp;", скв. "&amp;B1020&amp;". МРП: "&amp;E1020&amp;" сут. ГНО: "&amp;F1020&amp;"; причина: "&amp;U1020&amp;"; категория: "&amp;V1020&amp;"; решение комиссии: "&amp;BB1020&amp;".")</f>
        <v/>
      </c>
      <c r="BF1020" s="173">
        <f>IF('Оперативный ввод'!X1020="","",'Оперативный ввод'!X1020)</f>
        <v/>
      </c>
    </row>
    <row r="1021">
      <c r="A1021" s="171">
        <f>IF('Оперативный ввод'!A1021="","",'Оперативный ввод'!A1021)</f>
        <v/>
      </c>
      <c r="B1021" s="172">
        <f>IF('Оперативный ввод'!B1021="","",'Оперативный ввод'!B1021)</f>
        <v/>
      </c>
      <c r="C1021" s="270">
        <f>IF('Оперативный ввод'!C1021="","",'Оперативный ввод'!C1021)</f>
        <v/>
      </c>
      <c r="D1021" s="270">
        <f>IF('Оперативный ввод'!D1021="","",'Оперативный ввод'!D1021)</f>
        <v/>
      </c>
      <c r="E1021" s="271">
        <f>IF(OR(C1021="",D1021=""),"",D1021-C1021)</f>
        <v/>
      </c>
      <c r="F1021" s="172">
        <f>IF('Оперативный ввод'!F1021="","",'Оперативный ввод'!F1021)</f>
        <v/>
      </c>
      <c r="G1021" s="172">
        <f>IF('Оперативный ввод'!G1021="","",'Оперативный ввод'!G1021)</f>
        <v/>
      </c>
      <c r="H1021" s="172">
        <f>IF('Оперативный ввод'!H1021="","",'Оперативный ввод'!H1021)</f>
        <v/>
      </c>
      <c r="I1021" s="172">
        <f>IF('Оперативный ввод'!I1021="","",'Оперативный ввод'!I1021)</f>
        <v/>
      </c>
      <c r="J1021" s="172">
        <f>IF('Оперативный ввод'!J1021="","",'Оперативный ввод'!J1021)</f>
        <v/>
      </c>
      <c r="K1021" s="172">
        <f>IF('Оперативный ввод'!K1021="","",'Оперативный ввод'!K1021)</f>
        <v/>
      </c>
      <c r="L1021" s="172">
        <f>IF('Оперативный ввод'!L1021="","",'Оперативный ввод'!L1021)</f>
        <v/>
      </c>
      <c r="M1021" s="172">
        <f>IF('Оперативный ввод'!M1021="","",'Оперативный ввод'!M1021)</f>
        <v/>
      </c>
      <c r="N1021" s="172">
        <f>IF('Оперативный ввод'!N1021="","",'Оперативный ввод'!N1021)</f>
        <v/>
      </c>
      <c r="O1021" s="172">
        <f>IF('Оперативный ввод'!O1021="","",'Оперативный ввод'!O1021)</f>
        <v/>
      </c>
      <c r="P1021" s="205">
        <f>IF(AND(A1021="",B1021=""),"",IF(AND(A1021&lt;&gt;"",B1021&lt;&gt;"",C1021&lt;&gt;"",D1021&lt;&gt;"",F1021&lt;&gt;"",G1021&lt;&gt;"",H1021&lt;&gt;"",ISERROR(SEARCH("по паспорту",G1021)),ISERROR(SEARCH("по паспорту",H1021)),I1021&lt;&gt;"",J1021&lt;&gt;"",K1021&lt;&gt;"",L1021&lt;&gt;"",M1021&lt;&gt;""),"ГОТОВО","НЕ ГОТОВО"))</f>
        <v/>
      </c>
      <c r="Q1021" s="205">
        <f>IF(P1021&lt;&gt;"ГОТОВО","", "Предварительное заключение: "&amp;A1021&amp;", скв. "&amp;B1021&amp;". МРП: "&amp;E1021&amp;" сут. ГНО: "&amp;F1021&amp;", типоразмер "&amp;G1021&amp;", марка "&amp;H1021&amp;". Событие: "&amp;I1021&amp;". Признак: "&amp;J1021&amp;". Узел: "&amp;K1021&amp;". Предварительная причина: "&amp;L1021&amp;". Основное осложнение: "&amp;M1021&amp;IF(N1021&lt;&gt;"","; сопутствующее: "&amp;N1021,"")&amp;IF(O1021&lt;&gt;"","; дополнительно: "&amp;O1021,"")&amp;".")</f>
        <v/>
      </c>
      <c r="R1021" s="172">
        <f>IF('Оперативный ввод'!P1021="","",'Оперативный ввод'!P1021)</f>
        <v/>
      </c>
      <c r="S1021" s="172">
        <f>IF('Оперативный ввод'!Q1021="","",'Оперативный ввод'!Q1021)</f>
        <v/>
      </c>
      <c r="T1021" s="172">
        <f>IF('Оперативный ввод'!R1021="","",'Оперативный ввод'!R1021)</f>
        <v/>
      </c>
      <c r="U1021" s="172">
        <f>IF('Оперативный ввод'!S1021="","",'Оперативный ввод'!S1021)</f>
        <v/>
      </c>
      <c r="V1021" s="172">
        <f>IF('Оперативный ввод'!T1021="","",'Оперативный ввод'!T1021)</f>
        <v/>
      </c>
      <c r="W1021" s="172" t="n"/>
      <c r="X1021" s="172" t="n"/>
      <c r="Y1021" s="172" t="n"/>
      <c r="Z1021" s="172" t="n"/>
      <c r="AA1021" s="172">
        <f>IF('Оперативный ввод'!U1021="","",'Оперативный ввод'!U1021)</f>
        <v/>
      </c>
      <c r="AB1021" s="172">
        <f>IF('Оперативный ввод'!V1021="","",'Оперативный ввод'!V1021)</f>
        <v/>
      </c>
      <c r="AC1021" s="172">
        <f>IF('Оперативный ввод'!W1021="","",'Оперативный ввод'!W1021)</f>
        <v/>
      </c>
      <c r="BB1021" s="172" t="n"/>
      <c r="BC1021" s="172" t="n"/>
      <c r="BD1021" s="205">
        <f>IF(AND(A1021="",B1021=""),"",IF(AND(P1021="ГОТОВО",R1021&lt;&gt;"",T1021&lt;&gt;"",U1021&lt;&gt;"",AA1021&lt;&gt;"",AB1021&lt;&gt;"",AC1021&lt;&gt;"",BB1021&lt;&gt;"",BC1021&lt;&gt;""),"ГОТОВО","НЕ ГОТОВО"))</f>
        <v/>
      </c>
      <c r="BE1021" s="205">
        <f>IF(BD1021&lt;&gt;"ГОТОВО","","Полное заключение: "&amp;A1021&amp;", скв. "&amp;B1021&amp;". МРП: "&amp;E1021&amp;" сут. ГНО: "&amp;F1021&amp;"; причина: "&amp;U1021&amp;"; категория: "&amp;V1021&amp;"; решение комиссии: "&amp;BB1021&amp;".")</f>
        <v/>
      </c>
      <c r="BF1021" s="173">
        <f>IF('Оперативный ввод'!X1021="","",'Оперативный ввод'!X1021)</f>
        <v/>
      </c>
    </row>
    <row r="1022">
      <c r="A1022" s="171">
        <f>IF('Оперативный ввод'!A1022="","",'Оперативный ввод'!A1022)</f>
        <v/>
      </c>
      <c r="B1022" s="172">
        <f>IF('Оперативный ввод'!B1022="","",'Оперативный ввод'!B1022)</f>
        <v/>
      </c>
      <c r="C1022" s="270">
        <f>IF('Оперативный ввод'!C1022="","",'Оперативный ввод'!C1022)</f>
        <v/>
      </c>
      <c r="D1022" s="270">
        <f>IF('Оперативный ввод'!D1022="","",'Оперативный ввод'!D1022)</f>
        <v/>
      </c>
      <c r="E1022" s="271">
        <f>IF(OR(C1022="",D1022=""),"",D1022-C1022)</f>
        <v/>
      </c>
      <c r="F1022" s="172">
        <f>IF('Оперативный ввод'!F1022="","",'Оперативный ввод'!F1022)</f>
        <v/>
      </c>
      <c r="G1022" s="172">
        <f>IF('Оперативный ввод'!G1022="","",'Оперативный ввод'!G1022)</f>
        <v/>
      </c>
      <c r="H1022" s="172">
        <f>IF('Оперативный ввод'!H1022="","",'Оперативный ввод'!H1022)</f>
        <v/>
      </c>
      <c r="I1022" s="172">
        <f>IF('Оперативный ввод'!I1022="","",'Оперативный ввод'!I1022)</f>
        <v/>
      </c>
      <c r="J1022" s="172">
        <f>IF('Оперативный ввод'!J1022="","",'Оперативный ввод'!J1022)</f>
        <v/>
      </c>
      <c r="K1022" s="172">
        <f>IF('Оперативный ввод'!K1022="","",'Оперативный ввод'!K1022)</f>
        <v/>
      </c>
      <c r="L1022" s="172">
        <f>IF('Оперативный ввод'!L1022="","",'Оперативный ввод'!L1022)</f>
        <v/>
      </c>
      <c r="M1022" s="172">
        <f>IF('Оперативный ввод'!M1022="","",'Оперативный ввод'!M1022)</f>
        <v/>
      </c>
      <c r="N1022" s="172">
        <f>IF('Оперативный ввод'!N1022="","",'Оперативный ввод'!N1022)</f>
        <v/>
      </c>
      <c r="O1022" s="172">
        <f>IF('Оперативный ввод'!O1022="","",'Оперативный ввод'!O1022)</f>
        <v/>
      </c>
      <c r="P1022" s="205">
        <f>IF(AND(A1022="",B1022=""),"",IF(AND(A1022&lt;&gt;"",B1022&lt;&gt;"",C1022&lt;&gt;"",D1022&lt;&gt;"",F1022&lt;&gt;"",G1022&lt;&gt;"",H1022&lt;&gt;"",ISERROR(SEARCH("по паспорту",G1022)),ISERROR(SEARCH("по паспорту",H1022)),I1022&lt;&gt;"",J1022&lt;&gt;"",K1022&lt;&gt;"",L1022&lt;&gt;"",M1022&lt;&gt;""),"ГОТОВО","НЕ ГОТОВО"))</f>
        <v/>
      </c>
      <c r="Q1022" s="205">
        <f>IF(P1022&lt;&gt;"ГОТОВО","", "Предварительное заключение: "&amp;A1022&amp;", скв. "&amp;B1022&amp;". МРП: "&amp;E1022&amp;" сут. ГНО: "&amp;F1022&amp;", типоразмер "&amp;G1022&amp;", марка "&amp;H1022&amp;". Событие: "&amp;I1022&amp;". Признак: "&amp;J1022&amp;". Узел: "&amp;K1022&amp;". Предварительная причина: "&amp;L1022&amp;". Основное осложнение: "&amp;M1022&amp;IF(N1022&lt;&gt;"","; сопутствующее: "&amp;N1022,"")&amp;IF(O1022&lt;&gt;"","; дополнительно: "&amp;O1022,"")&amp;".")</f>
        <v/>
      </c>
      <c r="R1022" s="172">
        <f>IF('Оперативный ввод'!P1022="","",'Оперативный ввод'!P1022)</f>
        <v/>
      </c>
      <c r="S1022" s="172">
        <f>IF('Оперативный ввод'!Q1022="","",'Оперативный ввод'!Q1022)</f>
        <v/>
      </c>
      <c r="T1022" s="172">
        <f>IF('Оперативный ввод'!R1022="","",'Оперативный ввод'!R1022)</f>
        <v/>
      </c>
      <c r="U1022" s="172">
        <f>IF('Оперативный ввод'!S1022="","",'Оперативный ввод'!S1022)</f>
        <v/>
      </c>
      <c r="V1022" s="172">
        <f>IF('Оперативный ввод'!T1022="","",'Оперативный ввод'!T1022)</f>
        <v/>
      </c>
      <c r="W1022" s="172" t="n"/>
      <c r="X1022" s="172" t="n"/>
      <c r="Y1022" s="172" t="n"/>
      <c r="Z1022" s="172" t="n"/>
      <c r="AA1022" s="172">
        <f>IF('Оперативный ввод'!U1022="","",'Оперативный ввод'!U1022)</f>
        <v/>
      </c>
      <c r="AB1022" s="172">
        <f>IF('Оперативный ввод'!V1022="","",'Оперативный ввод'!V1022)</f>
        <v/>
      </c>
      <c r="AC1022" s="172">
        <f>IF('Оперативный ввод'!W1022="","",'Оперативный ввод'!W1022)</f>
        <v/>
      </c>
      <c r="BB1022" s="172" t="n"/>
      <c r="BC1022" s="172" t="n"/>
      <c r="BD1022" s="205">
        <f>IF(AND(A1022="",B1022=""),"",IF(AND(P1022="ГОТОВО",R1022&lt;&gt;"",T1022&lt;&gt;"",U1022&lt;&gt;"",AA1022&lt;&gt;"",AB1022&lt;&gt;"",AC1022&lt;&gt;"",BB1022&lt;&gt;"",BC1022&lt;&gt;""),"ГОТОВО","НЕ ГОТОВО"))</f>
        <v/>
      </c>
      <c r="BE1022" s="205">
        <f>IF(BD1022&lt;&gt;"ГОТОВО","","Полное заключение: "&amp;A1022&amp;", скв. "&amp;B1022&amp;". МРП: "&amp;E1022&amp;" сут. ГНО: "&amp;F1022&amp;"; причина: "&amp;U1022&amp;"; категория: "&amp;V1022&amp;"; решение комиссии: "&amp;BB1022&amp;".")</f>
        <v/>
      </c>
      <c r="BF1022" s="173">
        <f>IF('Оперативный ввод'!X1022="","",'Оперативный ввод'!X1022)</f>
        <v/>
      </c>
    </row>
    <row r="1023">
      <c r="A1023" s="171">
        <f>IF('Оперативный ввод'!A1023="","",'Оперативный ввод'!A1023)</f>
        <v/>
      </c>
      <c r="B1023" s="172">
        <f>IF('Оперативный ввод'!B1023="","",'Оперативный ввод'!B1023)</f>
        <v/>
      </c>
      <c r="C1023" s="270">
        <f>IF('Оперативный ввод'!C1023="","",'Оперативный ввод'!C1023)</f>
        <v/>
      </c>
      <c r="D1023" s="270">
        <f>IF('Оперативный ввод'!D1023="","",'Оперативный ввод'!D1023)</f>
        <v/>
      </c>
      <c r="E1023" s="271">
        <f>IF(OR(C1023="",D1023=""),"",D1023-C1023)</f>
        <v/>
      </c>
      <c r="F1023" s="172">
        <f>IF('Оперативный ввод'!F1023="","",'Оперативный ввод'!F1023)</f>
        <v/>
      </c>
      <c r="G1023" s="172">
        <f>IF('Оперативный ввод'!G1023="","",'Оперативный ввод'!G1023)</f>
        <v/>
      </c>
      <c r="H1023" s="172">
        <f>IF('Оперативный ввод'!H1023="","",'Оперативный ввод'!H1023)</f>
        <v/>
      </c>
      <c r="I1023" s="172">
        <f>IF('Оперативный ввод'!I1023="","",'Оперативный ввод'!I1023)</f>
        <v/>
      </c>
      <c r="J1023" s="172">
        <f>IF('Оперативный ввод'!J1023="","",'Оперативный ввод'!J1023)</f>
        <v/>
      </c>
      <c r="K1023" s="172">
        <f>IF('Оперативный ввод'!K1023="","",'Оперативный ввод'!K1023)</f>
        <v/>
      </c>
      <c r="L1023" s="172">
        <f>IF('Оперативный ввод'!L1023="","",'Оперативный ввод'!L1023)</f>
        <v/>
      </c>
      <c r="M1023" s="172">
        <f>IF('Оперативный ввод'!M1023="","",'Оперативный ввод'!M1023)</f>
        <v/>
      </c>
      <c r="N1023" s="172">
        <f>IF('Оперативный ввод'!N1023="","",'Оперативный ввод'!N1023)</f>
        <v/>
      </c>
      <c r="O1023" s="172">
        <f>IF('Оперативный ввод'!O1023="","",'Оперативный ввод'!O1023)</f>
        <v/>
      </c>
      <c r="P1023" s="205">
        <f>IF(AND(A1023="",B1023=""),"",IF(AND(A1023&lt;&gt;"",B1023&lt;&gt;"",C1023&lt;&gt;"",D1023&lt;&gt;"",F1023&lt;&gt;"",G1023&lt;&gt;"",H1023&lt;&gt;"",ISERROR(SEARCH("по паспорту",G1023)),ISERROR(SEARCH("по паспорту",H1023)),I1023&lt;&gt;"",J1023&lt;&gt;"",K1023&lt;&gt;"",L1023&lt;&gt;"",M1023&lt;&gt;""),"ГОТОВО","НЕ ГОТОВО"))</f>
        <v/>
      </c>
      <c r="Q1023" s="205">
        <f>IF(P1023&lt;&gt;"ГОТОВО","", "Предварительное заключение: "&amp;A1023&amp;", скв. "&amp;B1023&amp;". МРП: "&amp;E1023&amp;" сут. ГНО: "&amp;F1023&amp;", типоразмер "&amp;G1023&amp;", марка "&amp;H1023&amp;". Событие: "&amp;I1023&amp;". Признак: "&amp;J1023&amp;". Узел: "&amp;K1023&amp;". Предварительная причина: "&amp;L1023&amp;". Основное осложнение: "&amp;M1023&amp;IF(N1023&lt;&gt;"","; сопутствующее: "&amp;N1023,"")&amp;IF(O1023&lt;&gt;"","; дополнительно: "&amp;O1023,"")&amp;".")</f>
        <v/>
      </c>
      <c r="R1023" s="172">
        <f>IF('Оперативный ввод'!P1023="","",'Оперативный ввод'!P1023)</f>
        <v/>
      </c>
      <c r="S1023" s="172">
        <f>IF('Оперативный ввод'!Q1023="","",'Оперативный ввод'!Q1023)</f>
        <v/>
      </c>
      <c r="T1023" s="172">
        <f>IF('Оперативный ввод'!R1023="","",'Оперативный ввод'!R1023)</f>
        <v/>
      </c>
      <c r="U1023" s="172">
        <f>IF('Оперативный ввод'!S1023="","",'Оперативный ввод'!S1023)</f>
        <v/>
      </c>
      <c r="V1023" s="172">
        <f>IF('Оперативный ввод'!T1023="","",'Оперативный ввод'!T1023)</f>
        <v/>
      </c>
      <c r="W1023" s="172" t="n"/>
      <c r="X1023" s="172" t="n"/>
      <c r="Y1023" s="172" t="n"/>
      <c r="Z1023" s="172" t="n"/>
      <c r="AA1023" s="172">
        <f>IF('Оперативный ввод'!U1023="","",'Оперативный ввод'!U1023)</f>
        <v/>
      </c>
      <c r="AB1023" s="172">
        <f>IF('Оперативный ввод'!V1023="","",'Оперативный ввод'!V1023)</f>
        <v/>
      </c>
      <c r="AC1023" s="172">
        <f>IF('Оперативный ввод'!W1023="","",'Оперативный ввод'!W1023)</f>
        <v/>
      </c>
      <c r="BB1023" s="172" t="n"/>
      <c r="BC1023" s="172" t="n"/>
      <c r="BD1023" s="205">
        <f>IF(AND(A1023="",B1023=""),"",IF(AND(P1023="ГОТОВО",R1023&lt;&gt;"",T1023&lt;&gt;"",U1023&lt;&gt;"",AA1023&lt;&gt;"",AB1023&lt;&gt;"",AC1023&lt;&gt;"",BB1023&lt;&gt;"",BC1023&lt;&gt;""),"ГОТОВО","НЕ ГОТОВО"))</f>
        <v/>
      </c>
      <c r="BE1023" s="205">
        <f>IF(BD1023&lt;&gt;"ГОТОВО","","Полное заключение: "&amp;A1023&amp;", скв. "&amp;B1023&amp;". МРП: "&amp;E1023&amp;" сут. ГНО: "&amp;F1023&amp;"; причина: "&amp;U1023&amp;"; категория: "&amp;V1023&amp;"; решение комиссии: "&amp;BB1023&amp;".")</f>
        <v/>
      </c>
      <c r="BF1023" s="173">
        <f>IF('Оперативный ввод'!X1023="","",'Оперативный ввод'!X1023)</f>
        <v/>
      </c>
    </row>
    <row r="1024">
      <c r="A1024" s="171">
        <f>IF('Оперативный ввод'!A1024="","",'Оперативный ввод'!A1024)</f>
        <v/>
      </c>
      <c r="B1024" s="172">
        <f>IF('Оперативный ввод'!B1024="","",'Оперативный ввод'!B1024)</f>
        <v/>
      </c>
      <c r="C1024" s="270">
        <f>IF('Оперативный ввод'!C1024="","",'Оперативный ввод'!C1024)</f>
        <v/>
      </c>
      <c r="D1024" s="270">
        <f>IF('Оперативный ввод'!D1024="","",'Оперативный ввод'!D1024)</f>
        <v/>
      </c>
      <c r="E1024" s="271">
        <f>IF(OR(C1024="",D1024=""),"",D1024-C1024)</f>
        <v/>
      </c>
      <c r="F1024" s="172">
        <f>IF('Оперативный ввод'!F1024="","",'Оперативный ввод'!F1024)</f>
        <v/>
      </c>
      <c r="G1024" s="172">
        <f>IF('Оперативный ввод'!G1024="","",'Оперативный ввод'!G1024)</f>
        <v/>
      </c>
      <c r="H1024" s="172">
        <f>IF('Оперативный ввод'!H1024="","",'Оперативный ввод'!H1024)</f>
        <v/>
      </c>
      <c r="I1024" s="172">
        <f>IF('Оперативный ввод'!I1024="","",'Оперативный ввод'!I1024)</f>
        <v/>
      </c>
      <c r="J1024" s="172">
        <f>IF('Оперативный ввод'!J1024="","",'Оперативный ввод'!J1024)</f>
        <v/>
      </c>
      <c r="K1024" s="172">
        <f>IF('Оперативный ввод'!K1024="","",'Оперативный ввод'!K1024)</f>
        <v/>
      </c>
      <c r="L1024" s="172">
        <f>IF('Оперативный ввод'!L1024="","",'Оперативный ввод'!L1024)</f>
        <v/>
      </c>
      <c r="M1024" s="172">
        <f>IF('Оперативный ввод'!M1024="","",'Оперативный ввод'!M1024)</f>
        <v/>
      </c>
      <c r="N1024" s="172">
        <f>IF('Оперативный ввод'!N1024="","",'Оперативный ввод'!N1024)</f>
        <v/>
      </c>
      <c r="O1024" s="172">
        <f>IF('Оперативный ввод'!O1024="","",'Оперативный ввод'!O1024)</f>
        <v/>
      </c>
      <c r="P1024" s="205">
        <f>IF(AND(A1024="",B1024=""),"",IF(AND(A1024&lt;&gt;"",B1024&lt;&gt;"",C1024&lt;&gt;"",D1024&lt;&gt;"",F1024&lt;&gt;"",G1024&lt;&gt;"",H1024&lt;&gt;"",ISERROR(SEARCH("по паспорту",G1024)),ISERROR(SEARCH("по паспорту",H1024)),I1024&lt;&gt;"",J1024&lt;&gt;"",K1024&lt;&gt;"",L1024&lt;&gt;"",M1024&lt;&gt;""),"ГОТОВО","НЕ ГОТОВО"))</f>
        <v/>
      </c>
      <c r="Q1024" s="205">
        <f>IF(P1024&lt;&gt;"ГОТОВО","", "Предварительное заключение: "&amp;A1024&amp;", скв. "&amp;B1024&amp;". МРП: "&amp;E1024&amp;" сут. ГНО: "&amp;F1024&amp;", типоразмер "&amp;G1024&amp;", марка "&amp;H1024&amp;". Событие: "&amp;I1024&amp;". Признак: "&amp;J1024&amp;". Узел: "&amp;K1024&amp;". Предварительная причина: "&amp;L1024&amp;". Основное осложнение: "&amp;M1024&amp;IF(N1024&lt;&gt;"","; сопутствующее: "&amp;N1024,"")&amp;IF(O1024&lt;&gt;"","; дополнительно: "&amp;O1024,"")&amp;".")</f>
        <v/>
      </c>
      <c r="R1024" s="172">
        <f>IF('Оперативный ввод'!P1024="","",'Оперативный ввод'!P1024)</f>
        <v/>
      </c>
      <c r="S1024" s="172">
        <f>IF('Оперативный ввод'!Q1024="","",'Оперативный ввод'!Q1024)</f>
        <v/>
      </c>
      <c r="T1024" s="172">
        <f>IF('Оперативный ввод'!R1024="","",'Оперативный ввод'!R1024)</f>
        <v/>
      </c>
      <c r="U1024" s="172">
        <f>IF('Оперативный ввод'!S1024="","",'Оперативный ввод'!S1024)</f>
        <v/>
      </c>
      <c r="V1024" s="172">
        <f>IF('Оперативный ввод'!T1024="","",'Оперативный ввод'!T1024)</f>
        <v/>
      </c>
      <c r="W1024" s="172" t="n"/>
      <c r="X1024" s="172" t="n"/>
      <c r="Y1024" s="172" t="n"/>
      <c r="Z1024" s="172" t="n"/>
      <c r="AA1024" s="172">
        <f>IF('Оперативный ввод'!U1024="","",'Оперативный ввод'!U1024)</f>
        <v/>
      </c>
      <c r="AB1024" s="172">
        <f>IF('Оперативный ввод'!V1024="","",'Оперативный ввод'!V1024)</f>
        <v/>
      </c>
      <c r="AC1024" s="172">
        <f>IF('Оперативный ввод'!W1024="","",'Оперативный ввод'!W1024)</f>
        <v/>
      </c>
      <c r="BB1024" s="172" t="n"/>
      <c r="BC1024" s="172" t="n"/>
      <c r="BD1024" s="205">
        <f>IF(AND(A1024="",B1024=""),"",IF(AND(P1024="ГОТОВО",R1024&lt;&gt;"",T1024&lt;&gt;"",U1024&lt;&gt;"",AA1024&lt;&gt;"",AB1024&lt;&gt;"",AC1024&lt;&gt;"",BB1024&lt;&gt;"",BC1024&lt;&gt;""),"ГОТОВО","НЕ ГОТОВО"))</f>
        <v/>
      </c>
      <c r="BE1024" s="205">
        <f>IF(BD1024&lt;&gt;"ГОТОВО","","Полное заключение: "&amp;A1024&amp;", скв. "&amp;B1024&amp;". МРП: "&amp;E1024&amp;" сут. ГНО: "&amp;F1024&amp;"; причина: "&amp;U1024&amp;"; категория: "&amp;V1024&amp;"; решение комиссии: "&amp;BB1024&amp;".")</f>
        <v/>
      </c>
      <c r="BF1024" s="173">
        <f>IF('Оперативный ввод'!X1024="","",'Оперативный ввод'!X1024)</f>
        <v/>
      </c>
    </row>
    <row r="1025">
      <c r="A1025" s="171">
        <f>IF('Оперативный ввод'!A1025="","",'Оперативный ввод'!A1025)</f>
        <v/>
      </c>
      <c r="B1025" s="172">
        <f>IF('Оперативный ввод'!B1025="","",'Оперативный ввод'!B1025)</f>
        <v/>
      </c>
      <c r="C1025" s="270">
        <f>IF('Оперативный ввод'!C1025="","",'Оперативный ввод'!C1025)</f>
        <v/>
      </c>
      <c r="D1025" s="270">
        <f>IF('Оперативный ввод'!D1025="","",'Оперативный ввод'!D1025)</f>
        <v/>
      </c>
      <c r="E1025" s="271">
        <f>IF(OR(C1025="",D1025=""),"",D1025-C1025)</f>
        <v/>
      </c>
      <c r="F1025" s="172">
        <f>IF('Оперативный ввод'!F1025="","",'Оперативный ввод'!F1025)</f>
        <v/>
      </c>
      <c r="G1025" s="172">
        <f>IF('Оперативный ввод'!G1025="","",'Оперативный ввод'!G1025)</f>
        <v/>
      </c>
      <c r="H1025" s="172">
        <f>IF('Оперативный ввод'!H1025="","",'Оперативный ввод'!H1025)</f>
        <v/>
      </c>
      <c r="I1025" s="172">
        <f>IF('Оперативный ввод'!I1025="","",'Оперативный ввод'!I1025)</f>
        <v/>
      </c>
      <c r="J1025" s="172">
        <f>IF('Оперативный ввод'!J1025="","",'Оперативный ввод'!J1025)</f>
        <v/>
      </c>
      <c r="K1025" s="172">
        <f>IF('Оперативный ввод'!K1025="","",'Оперативный ввод'!K1025)</f>
        <v/>
      </c>
      <c r="L1025" s="172">
        <f>IF('Оперативный ввод'!L1025="","",'Оперативный ввод'!L1025)</f>
        <v/>
      </c>
      <c r="M1025" s="172">
        <f>IF('Оперативный ввод'!M1025="","",'Оперативный ввод'!M1025)</f>
        <v/>
      </c>
      <c r="N1025" s="172">
        <f>IF('Оперативный ввод'!N1025="","",'Оперативный ввод'!N1025)</f>
        <v/>
      </c>
      <c r="O1025" s="172">
        <f>IF('Оперативный ввод'!O1025="","",'Оперативный ввод'!O1025)</f>
        <v/>
      </c>
      <c r="P1025" s="205">
        <f>IF(AND(A1025="",B1025=""),"",IF(AND(A1025&lt;&gt;"",B1025&lt;&gt;"",C1025&lt;&gt;"",D1025&lt;&gt;"",F1025&lt;&gt;"",G1025&lt;&gt;"",H1025&lt;&gt;"",ISERROR(SEARCH("по паспорту",G1025)),ISERROR(SEARCH("по паспорту",H1025)),I1025&lt;&gt;"",J1025&lt;&gt;"",K1025&lt;&gt;"",L1025&lt;&gt;"",M1025&lt;&gt;""),"ГОТОВО","НЕ ГОТОВО"))</f>
        <v/>
      </c>
      <c r="Q1025" s="205">
        <f>IF(P1025&lt;&gt;"ГОТОВО","", "Предварительное заключение: "&amp;A1025&amp;", скв. "&amp;B1025&amp;". МРП: "&amp;E1025&amp;" сут. ГНО: "&amp;F1025&amp;", типоразмер "&amp;G1025&amp;", марка "&amp;H1025&amp;". Событие: "&amp;I1025&amp;". Признак: "&amp;J1025&amp;". Узел: "&amp;K1025&amp;". Предварительная причина: "&amp;L1025&amp;". Основное осложнение: "&amp;M1025&amp;IF(N1025&lt;&gt;"","; сопутствующее: "&amp;N1025,"")&amp;IF(O1025&lt;&gt;"","; дополнительно: "&amp;O1025,"")&amp;".")</f>
        <v/>
      </c>
      <c r="R1025" s="172">
        <f>IF('Оперативный ввод'!P1025="","",'Оперативный ввод'!P1025)</f>
        <v/>
      </c>
      <c r="S1025" s="172">
        <f>IF('Оперативный ввод'!Q1025="","",'Оперативный ввод'!Q1025)</f>
        <v/>
      </c>
      <c r="T1025" s="172">
        <f>IF('Оперативный ввод'!R1025="","",'Оперативный ввод'!R1025)</f>
        <v/>
      </c>
      <c r="U1025" s="172">
        <f>IF('Оперативный ввод'!S1025="","",'Оперативный ввод'!S1025)</f>
        <v/>
      </c>
      <c r="V1025" s="172">
        <f>IF('Оперативный ввод'!T1025="","",'Оперативный ввод'!T1025)</f>
        <v/>
      </c>
      <c r="W1025" s="172" t="n"/>
      <c r="X1025" s="172" t="n"/>
      <c r="Y1025" s="172" t="n"/>
      <c r="Z1025" s="172" t="n"/>
      <c r="AA1025" s="172">
        <f>IF('Оперативный ввод'!U1025="","",'Оперативный ввод'!U1025)</f>
        <v/>
      </c>
      <c r="AB1025" s="172">
        <f>IF('Оперативный ввод'!V1025="","",'Оперативный ввод'!V1025)</f>
        <v/>
      </c>
      <c r="AC1025" s="172">
        <f>IF('Оперативный ввод'!W1025="","",'Оперативный ввод'!W1025)</f>
        <v/>
      </c>
      <c r="BB1025" s="172" t="n"/>
      <c r="BC1025" s="172" t="n"/>
      <c r="BD1025" s="205">
        <f>IF(AND(A1025="",B1025=""),"",IF(AND(P1025="ГОТОВО",R1025&lt;&gt;"",T1025&lt;&gt;"",U1025&lt;&gt;"",AA1025&lt;&gt;"",AB1025&lt;&gt;"",AC1025&lt;&gt;"",BB1025&lt;&gt;"",BC1025&lt;&gt;""),"ГОТОВО","НЕ ГОТОВО"))</f>
        <v/>
      </c>
      <c r="BE1025" s="205">
        <f>IF(BD1025&lt;&gt;"ГОТОВО","","Полное заключение: "&amp;A1025&amp;", скв. "&amp;B1025&amp;". МРП: "&amp;E1025&amp;" сут. ГНО: "&amp;F1025&amp;"; причина: "&amp;U1025&amp;"; категория: "&amp;V1025&amp;"; решение комиссии: "&amp;BB1025&amp;".")</f>
        <v/>
      </c>
      <c r="BF1025" s="173">
        <f>IF('Оперативный ввод'!X1025="","",'Оперативный ввод'!X1025)</f>
        <v/>
      </c>
    </row>
    <row r="1026">
      <c r="A1026" s="171">
        <f>IF('Оперативный ввод'!A1026="","",'Оперативный ввод'!A1026)</f>
        <v/>
      </c>
      <c r="B1026" s="172">
        <f>IF('Оперативный ввод'!B1026="","",'Оперативный ввод'!B1026)</f>
        <v/>
      </c>
      <c r="C1026" s="270">
        <f>IF('Оперативный ввод'!C1026="","",'Оперативный ввод'!C1026)</f>
        <v/>
      </c>
      <c r="D1026" s="270">
        <f>IF('Оперативный ввод'!D1026="","",'Оперативный ввод'!D1026)</f>
        <v/>
      </c>
      <c r="E1026" s="271">
        <f>IF(OR(C1026="",D1026=""),"",D1026-C1026)</f>
        <v/>
      </c>
      <c r="F1026" s="172">
        <f>IF('Оперативный ввод'!F1026="","",'Оперативный ввод'!F1026)</f>
        <v/>
      </c>
      <c r="G1026" s="172">
        <f>IF('Оперативный ввод'!G1026="","",'Оперативный ввод'!G1026)</f>
        <v/>
      </c>
      <c r="H1026" s="172">
        <f>IF('Оперативный ввод'!H1026="","",'Оперативный ввод'!H1026)</f>
        <v/>
      </c>
      <c r="I1026" s="172">
        <f>IF('Оперативный ввод'!I1026="","",'Оперативный ввод'!I1026)</f>
        <v/>
      </c>
      <c r="J1026" s="172">
        <f>IF('Оперативный ввод'!J1026="","",'Оперативный ввод'!J1026)</f>
        <v/>
      </c>
      <c r="K1026" s="172">
        <f>IF('Оперативный ввод'!K1026="","",'Оперативный ввод'!K1026)</f>
        <v/>
      </c>
      <c r="L1026" s="172">
        <f>IF('Оперативный ввод'!L1026="","",'Оперативный ввод'!L1026)</f>
        <v/>
      </c>
      <c r="M1026" s="172">
        <f>IF('Оперативный ввод'!M1026="","",'Оперативный ввод'!M1026)</f>
        <v/>
      </c>
      <c r="N1026" s="172">
        <f>IF('Оперативный ввод'!N1026="","",'Оперативный ввод'!N1026)</f>
        <v/>
      </c>
      <c r="O1026" s="172">
        <f>IF('Оперативный ввод'!O1026="","",'Оперативный ввод'!O1026)</f>
        <v/>
      </c>
      <c r="P1026" s="205">
        <f>IF(AND(A1026="",B1026=""),"",IF(AND(A1026&lt;&gt;"",B1026&lt;&gt;"",C1026&lt;&gt;"",D1026&lt;&gt;"",F1026&lt;&gt;"",G1026&lt;&gt;"",H1026&lt;&gt;"",ISERROR(SEARCH("по паспорту",G1026)),ISERROR(SEARCH("по паспорту",H1026)),I1026&lt;&gt;"",J1026&lt;&gt;"",K1026&lt;&gt;"",L1026&lt;&gt;"",M1026&lt;&gt;""),"ГОТОВО","НЕ ГОТОВО"))</f>
        <v/>
      </c>
      <c r="Q1026" s="205">
        <f>IF(P1026&lt;&gt;"ГОТОВО","", "Предварительное заключение: "&amp;A1026&amp;", скв. "&amp;B1026&amp;". МРП: "&amp;E1026&amp;" сут. ГНО: "&amp;F1026&amp;", типоразмер "&amp;G1026&amp;", марка "&amp;H1026&amp;". Событие: "&amp;I1026&amp;". Признак: "&amp;J1026&amp;". Узел: "&amp;K1026&amp;". Предварительная причина: "&amp;L1026&amp;". Основное осложнение: "&amp;M1026&amp;IF(N1026&lt;&gt;"","; сопутствующее: "&amp;N1026,"")&amp;IF(O1026&lt;&gt;"","; дополнительно: "&amp;O1026,"")&amp;".")</f>
        <v/>
      </c>
      <c r="R1026" s="172">
        <f>IF('Оперативный ввод'!P1026="","",'Оперативный ввод'!P1026)</f>
        <v/>
      </c>
      <c r="S1026" s="172">
        <f>IF('Оперативный ввод'!Q1026="","",'Оперативный ввод'!Q1026)</f>
        <v/>
      </c>
      <c r="T1026" s="172">
        <f>IF('Оперативный ввод'!R1026="","",'Оперативный ввод'!R1026)</f>
        <v/>
      </c>
      <c r="U1026" s="172">
        <f>IF('Оперативный ввод'!S1026="","",'Оперативный ввод'!S1026)</f>
        <v/>
      </c>
      <c r="V1026" s="172">
        <f>IF('Оперативный ввод'!T1026="","",'Оперативный ввод'!T1026)</f>
        <v/>
      </c>
      <c r="W1026" s="172" t="n"/>
      <c r="X1026" s="172" t="n"/>
      <c r="Y1026" s="172" t="n"/>
      <c r="Z1026" s="172" t="n"/>
      <c r="AA1026" s="172">
        <f>IF('Оперативный ввод'!U1026="","",'Оперативный ввод'!U1026)</f>
        <v/>
      </c>
      <c r="AB1026" s="172">
        <f>IF('Оперативный ввод'!V1026="","",'Оперативный ввод'!V1026)</f>
        <v/>
      </c>
      <c r="AC1026" s="172">
        <f>IF('Оперативный ввод'!W1026="","",'Оперативный ввод'!W1026)</f>
        <v/>
      </c>
      <c r="BB1026" s="172" t="n"/>
      <c r="BC1026" s="172" t="n"/>
      <c r="BD1026" s="205">
        <f>IF(AND(A1026="",B1026=""),"",IF(AND(P1026="ГОТОВО",R1026&lt;&gt;"",T1026&lt;&gt;"",U1026&lt;&gt;"",AA1026&lt;&gt;"",AB1026&lt;&gt;"",AC1026&lt;&gt;"",BB1026&lt;&gt;"",BC1026&lt;&gt;""),"ГОТОВО","НЕ ГОТОВО"))</f>
        <v/>
      </c>
      <c r="BE1026" s="205">
        <f>IF(BD1026&lt;&gt;"ГОТОВО","","Полное заключение: "&amp;A1026&amp;", скв. "&amp;B1026&amp;". МРП: "&amp;E1026&amp;" сут. ГНО: "&amp;F1026&amp;"; причина: "&amp;U1026&amp;"; категория: "&amp;V1026&amp;"; решение комиссии: "&amp;BB1026&amp;".")</f>
        <v/>
      </c>
      <c r="BF1026" s="173">
        <f>IF('Оперативный ввод'!X1026="","",'Оперативный ввод'!X1026)</f>
        <v/>
      </c>
    </row>
    <row r="1027">
      <c r="A1027" s="171">
        <f>IF('Оперативный ввод'!A1027="","",'Оперативный ввод'!A1027)</f>
        <v/>
      </c>
      <c r="B1027" s="172">
        <f>IF('Оперативный ввод'!B1027="","",'Оперативный ввод'!B1027)</f>
        <v/>
      </c>
      <c r="C1027" s="270">
        <f>IF('Оперативный ввод'!C1027="","",'Оперативный ввод'!C1027)</f>
        <v/>
      </c>
      <c r="D1027" s="270">
        <f>IF('Оперативный ввод'!D1027="","",'Оперативный ввод'!D1027)</f>
        <v/>
      </c>
      <c r="E1027" s="271">
        <f>IF(OR(C1027="",D1027=""),"",D1027-C1027)</f>
        <v/>
      </c>
      <c r="F1027" s="172">
        <f>IF('Оперативный ввод'!F1027="","",'Оперативный ввод'!F1027)</f>
        <v/>
      </c>
      <c r="G1027" s="172">
        <f>IF('Оперативный ввод'!G1027="","",'Оперативный ввод'!G1027)</f>
        <v/>
      </c>
      <c r="H1027" s="172">
        <f>IF('Оперативный ввод'!H1027="","",'Оперативный ввод'!H1027)</f>
        <v/>
      </c>
      <c r="I1027" s="172">
        <f>IF('Оперативный ввод'!I1027="","",'Оперативный ввод'!I1027)</f>
        <v/>
      </c>
      <c r="J1027" s="172">
        <f>IF('Оперативный ввод'!J1027="","",'Оперативный ввод'!J1027)</f>
        <v/>
      </c>
      <c r="K1027" s="172">
        <f>IF('Оперативный ввод'!K1027="","",'Оперативный ввод'!K1027)</f>
        <v/>
      </c>
      <c r="L1027" s="172">
        <f>IF('Оперативный ввод'!L1027="","",'Оперативный ввод'!L1027)</f>
        <v/>
      </c>
      <c r="M1027" s="172">
        <f>IF('Оперативный ввод'!M1027="","",'Оперативный ввод'!M1027)</f>
        <v/>
      </c>
      <c r="N1027" s="172">
        <f>IF('Оперативный ввод'!N1027="","",'Оперативный ввод'!N1027)</f>
        <v/>
      </c>
      <c r="O1027" s="172">
        <f>IF('Оперативный ввод'!O1027="","",'Оперативный ввод'!O1027)</f>
        <v/>
      </c>
      <c r="P1027" s="205">
        <f>IF(AND(A1027="",B1027=""),"",IF(AND(A1027&lt;&gt;"",B1027&lt;&gt;"",C1027&lt;&gt;"",D1027&lt;&gt;"",F1027&lt;&gt;"",G1027&lt;&gt;"",H1027&lt;&gt;"",ISERROR(SEARCH("по паспорту",G1027)),ISERROR(SEARCH("по паспорту",H1027)),I1027&lt;&gt;"",J1027&lt;&gt;"",K1027&lt;&gt;"",L1027&lt;&gt;"",M1027&lt;&gt;""),"ГОТОВО","НЕ ГОТОВО"))</f>
        <v/>
      </c>
      <c r="Q1027" s="205">
        <f>IF(P1027&lt;&gt;"ГОТОВО","", "Предварительное заключение: "&amp;A1027&amp;", скв. "&amp;B1027&amp;". МРП: "&amp;E1027&amp;" сут. ГНО: "&amp;F1027&amp;", типоразмер "&amp;G1027&amp;", марка "&amp;H1027&amp;". Событие: "&amp;I1027&amp;". Признак: "&amp;J1027&amp;". Узел: "&amp;K1027&amp;". Предварительная причина: "&amp;L1027&amp;". Основное осложнение: "&amp;M1027&amp;IF(N1027&lt;&gt;"","; сопутствующее: "&amp;N1027,"")&amp;IF(O1027&lt;&gt;"","; дополнительно: "&amp;O1027,"")&amp;".")</f>
        <v/>
      </c>
      <c r="R1027" s="172">
        <f>IF('Оперативный ввод'!P1027="","",'Оперативный ввод'!P1027)</f>
        <v/>
      </c>
      <c r="S1027" s="172">
        <f>IF('Оперативный ввод'!Q1027="","",'Оперативный ввод'!Q1027)</f>
        <v/>
      </c>
      <c r="T1027" s="172">
        <f>IF('Оперативный ввод'!R1027="","",'Оперативный ввод'!R1027)</f>
        <v/>
      </c>
      <c r="U1027" s="172">
        <f>IF('Оперативный ввод'!S1027="","",'Оперативный ввод'!S1027)</f>
        <v/>
      </c>
      <c r="V1027" s="172">
        <f>IF('Оперативный ввод'!T1027="","",'Оперативный ввод'!T1027)</f>
        <v/>
      </c>
      <c r="W1027" s="172" t="n"/>
      <c r="X1027" s="172" t="n"/>
      <c r="Y1027" s="172" t="n"/>
      <c r="Z1027" s="172" t="n"/>
      <c r="AA1027" s="172">
        <f>IF('Оперативный ввод'!U1027="","",'Оперативный ввод'!U1027)</f>
        <v/>
      </c>
      <c r="AB1027" s="172">
        <f>IF('Оперативный ввод'!V1027="","",'Оперативный ввод'!V1027)</f>
        <v/>
      </c>
      <c r="AC1027" s="172">
        <f>IF('Оперативный ввод'!W1027="","",'Оперативный ввод'!W1027)</f>
        <v/>
      </c>
      <c r="BB1027" s="172" t="n"/>
      <c r="BC1027" s="172" t="n"/>
      <c r="BD1027" s="205">
        <f>IF(AND(A1027="",B1027=""),"",IF(AND(P1027="ГОТОВО",R1027&lt;&gt;"",T1027&lt;&gt;"",U1027&lt;&gt;"",AA1027&lt;&gt;"",AB1027&lt;&gt;"",AC1027&lt;&gt;"",BB1027&lt;&gt;"",BC1027&lt;&gt;""),"ГОТОВО","НЕ ГОТОВО"))</f>
        <v/>
      </c>
      <c r="BE1027" s="205">
        <f>IF(BD1027&lt;&gt;"ГОТОВО","","Полное заключение: "&amp;A1027&amp;", скв. "&amp;B1027&amp;". МРП: "&amp;E1027&amp;" сут. ГНО: "&amp;F1027&amp;"; причина: "&amp;U1027&amp;"; категория: "&amp;V1027&amp;"; решение комиссии: "&amp;BB1027&amp;".")</f>
        <v/>
      </c>
      <c r="BF1027" s="173">
        <f>IF('Оперативный ввод'!X1027="","",'Оперативный ввод'!X1027)</f>
        <v/>
      </c>
    </row>
    <row r="1028">
      <c r="A1028" s="171">
        <f>IF('Оперативный ввод'!A1028="","",'Оперативный ввод'!A1028)</f>
        <v/>
      </c>
      <c r="B1028" s="172">
        <f>IF('Оперативный ввод'!B1028="","",'Оперативный ввод'!B1028)</f>
        <v/>
      </c>
      <c r="C1028" s="270">
        <f>IF('Оперативный ввод'!C1028="","",'Оперативный ввод'!C1028)</f>
        <v/>
      </c>
      <c r="D1028" s="270">
        <f>IF('Оперативный ввод'!D1028="","",'Оперативный ввод'!D1028)</f>
        <v/>
      </c>
      <c r="E1028" s="271">
        <f>IF(OR(C1028="",D1028=""),"",D1028-C1028)</f>
        <v/>
      </c>
      <c r="F1028" s="172">
        <f>IF('Оперативный ввод'!F1028="","",'Оперативный ввод'!F1028)</f>
        <v/>
      </c>
      <c r="G1028" s="172">
        <f>IF('Оперативный ввод'!G1028="","",'Оперативный ввод'!G1028)</f>
        <v/>
      </c>
      <c r="H1028" s="172">
        <f>IF('Оперативный ввод'!H1028="","",'Оперативный ввод'!H1028)</f>
        <v/>
      </c>
      <c r="I1028" s="172">
        <f>IF('Оперативный ввод'!I1028="","",'Оперативный ввод'!I1028)</f>
        <v/>
      </c>
      <c r="J1028" s="172">
        <f>IF('Оперативный ввод'!J1028="","",'Оперативный ввод'!J1028)</f>
        <v/>
      </c>
      <c r="K1028" s="172">
        <f>IF('Оперативный ввод'!K1028="","",'Оперативный ввод'!K1028)</f>
        <v/>
      </c>
      <c r="L1028" s="172">
        <f>IF('Оперативный ввод'!L1028="","",'Оперативный ввод'!L1028)</f>
        <v/>
      </c>
      <c r="M1028" s="172">
        <f>IF('Оперативный ввод'!M1028="","",'Оперативный ввод'!M1028)</f>
        <v/>
      </c>
      <c r="N1028" s="172">
        <f>IF('Оперативный ввод'!N1028="","",'Оперативный ввод'!N1028)</f>
        <v/>
      </c>
      <c r="O1028" s="172">
        <f>IF('Оперативный ввод'!O1028="","",'Оперативный ввод'!O1028)</f>
        <v/>
      </c>
      <c r="P1028" s="205">
        <f>IF(AND(A1028="",B1028=""),"",IF(AND(A1028&lt;&gt;"",B1028&lt;&gt;"",C1028&lt;&gt;"",D1028&lt;&gt;"",F1028&lt;&gt;"",G1028&lt;&gt;"",H1028&lt;&gt;"",ISERROR(SEARCH("по паспорту",G1028)),ISERROR(SEARCH("по паспорту",H1028)),I1028&lt;&gt;"",J1028&lt;&gt;"",K1028&lt;&gt;"",L1028&lt;&gt;"",M1028&lt;&gt;""),"ГОТОВО","НЕ ГОТОВО"))</f>
        <v/>
      </c>
      <c r="Q1028" s="205">
        <f>IF(P1028&lt;&gt;"ГОТОВО","", "Предварительное заключение: "&amp;A1028&amp;", скв. "&amp;B1028&amp;". МРП: "&amp;E1028&amp;" сут. ГНО: "&amp;F1028&amp;", типоразмер "&amp;G1028&amp;", марка "&amp;H1028&amp;". Событие: "&amp;I1028&amp;". Признак: "&amp;J1028&amp;". Узел: "&amp;K1028&amp;". Предварительная причина: "&amp;L1028&amp;". Основное осложнение: "&amp;M1028&amp;IF(N1028&lt;&gt;"","; сопутствующее: "&amp;N1028,"")&amp;IF(O1028&lt;&gt;"","; дополнительно: "&amp;O1028,"")&amp;".")</f>
        <v/>
      </c>
      <c r="R1028" s="172">
        <f>IF('Оперативный ввод'!P1028="","",'Оперативный ввод'!P1028)</f>
        <v/>
      </c>
      <c r="S1028" s="172">
        <f>IF('Оперативный ввод'!Q1028="","",'Оперативный ввод'!Q1028)</f>
        <v/>
      </c>
      <c r="T1028" s="172">
        <f>IF('Оперативный ввод'!R1028="","",'Оперативный ввод'!R1028)</f>
        <v/>
      </c>
      <c r="U1028" s="172">
        <f>IF('Оперативный ввод'!S1028="","",'Оперативный ввод'!S1028)</f>
        <v/>
      </c>
      <c r="V1028" s="172">
        <f>IF('Оперативный ввод'!T1028="","",'Оперативный ввод'!T1028)</f>
        <v/>
      </c>
      <c r="W1028" s="172" t="n"/>
      <c r="X1028" s="172" t="n"/>
      <c r="Y1028" s="172" t="n"/>
      <c r="Z1028" s="172" t="n"/>
      <c r="AA1028" s="172">
        <f>IF('Оперативный ввод'!U1028="","",'Оперативный ввод'!U1028)</f>
        <v/>
      </c>
      <c r="AB1028" s="172">
        <f>IF('Оперативный ввод'!V1028="","",'Оперативный ввод'!V1028)</f>
        <v/>
      </c>
      <c r="AC1028" s="172">
        <f>IF('Оперативный ввод'!W1028="","",'Оперативный ввод'!W1028)</f>
        <v/>
      </c>
      <c r="BB1028" s="172" t="n"/>
      <c r="BC1028" s="172" t="n"/>
      <c r="BD1028" s="205">
        <f>IF(AND(A1028="",B1028=""),"",IF(AND(P1028="ГОТОВО",R1028&lt;&gt;"",T1028&lt;&gt;"",U1028&lt;&gt;"",AA1028&lt;&gt;"",AB1028&lt;&gt;"",AC1028&lt;&gt;"",BB1028&lt;&gt;"",BC1028&lt;&gt;""),"ГОТОВО","НЕ ГОТОВО"))</f>
        <v/>
      </c>
      <c r="BE1028" s="205">
        <f>IF(BD1028&lt;&gt;"ГОТОВО","","Полное заключение: "&amp;A1028&amp;", скв. "&amp;B1028&amp;". МРП: "&amp;E1028&amp;" сут. ГНО: "&amp;F1028&amp;"; причина: "&amp;U1028&amp;"; категория: "&amp;V1028&amp;"; решение комиссии: "&amp;BB1028&amp;".")</f>
        <v/>
      </c>
      <c r="BF1028" s="173">
        <f>IF('Оперативный ввод'!X1028="","",'Оперативный ввод'!X1028)</f>
        <v/>
      </c>
    </row>
    <row r="1029">
      <c r="A1029" s="171">
        <f>IF('Оперативный ввод'!A1029="","",'Оперативный ввод'!A1029)</f>
        <v/>
      </c>
      <c r="B1029" s="172">
        <f>IF('Оперативный ввод'!B1029="","",'Оперативный ввод'!B1029)</f>
        <v/>
      </c>
      <c r="C1029" s="270">
        <f>IF('Оперативный ввод'!C1029="","",'Оперативный ввод'!C1029)</f>
        <v/>
      </c>
      <c r="D1029" s="270">
        <f>IF('Оперативный ввод'!D1029="","",'Оперативный ввод'!D1029)</f>
        <v/>
      </c>
      <c r="E1029" s="271">
        <f>IF(OR(C1029="",D1029=""),"",D1029-C1029)</f>
        <v/>
      </c>
      <c r="F1029" s="172">
        <f>IF('Оперативный ввод'!F1029="","",'Оперативный ввод'!F1029)</f>
        <v/>
      </c>
      <c r="G1029" s="172">
        <f>IF('Оперативный ввод'!G1029="","",'Оперативный ввод'!G1029)</f>
        <v/>
      </c>
      <c r="H1029" s="172">
        <f>IF('Оперативный ввод'!H1029="","",'Оперативный ввод'!H1029)</f>
        <v/>
      </c>
      <c r="I1029" s="172">
        <f>IF('Оперативный ввод'!I1029="","",'Оперативный ввод'!I1029)</f>
        <v/>
      </c>
      <c r="J1029" s="172">
        <f>IF('Оперативный ввод'!J1029="","",'Оперативный ввод'!J1029)</f>
        <v/>
      </c>
      <c r="K1029" s="172">
        <f>IF('Оперативный ввод'!K1029="","",'Оперативный ввод'!K1029)</f>
        <v/>
      </c>
      <c r="L1029" s="172">
        <f>IF('Оперативный ввод'!L1029="","",'Оперативный ввод'!L1029)</f>
        <v/>
      </c>
      <c r="M1029" s="172">
        <f>IF('Оперативный ввод'!M1029="","",'Оперативный ввод'!M1029)</f>
        <v/>
      </c>
      <c r="N1029" s="172">
        <f>IF('Оперативный ввод'!N1029="","",'Оперативный ввод'!N1029)</f>
        <v/>
      </c>
      <c r="O1029" s="172">
        <f>IF('Оперативный ввод'!O1029="","",'Оперативный ввод'!O1029)</f>
        <v/>
      </c>
      <c r="P1029" s="205">
        <f>IF(AND(A1029="",B1029=""),"",IF(AND(A1029&lt;&gt;"",B1029&lt;&gt;"",C1029&lt;&gt;"",D1029&lt;&gt;"",F1029&lt;&gt;"",G1029&lt;&gt;"",H1029&lt;&gt;"",ISERROR(SEARCH("по паспорту",G1029)),ISERROR(SEARCH("по паспорту",H1029)),I1029&lt;&gt;"",J1029&lt;&gt;"",K1029&lt;&gt;"",L1029&lt;&gt;"",M1029&lt;&gt;""),"ГОТОВО","НЕ ГОТОВО"))</f>
        <v/>
      </c>
      <c r="Q1029" s="205">
        <f>IF(P1029&lt;&gt;"ГОТОВО","", "Предварительное заключение: "&amp;A1029&amp;", скв. "&amp;B1029&amp;". МРП: "&amp;E1029&amp;" сут. ГНО: "&amp;F1029&amp;", типоразмер "&amp;G1029&amp;", марка "&amp;H1029&amp;". Событие: "&amp;I1029&amp;". Признак: "&amp;J1029&amp;". Узел: "&amp;K1029&amp;". Предварительная причина: "&amp;L1029&amp;". Основное осложнение: "&amp;M1029&amp;IF(N1029&lt;&gt;"","; сопутствующее: "&amp;N1029,"")&amp;IF(O1029&lt;&gt;"","; дополнительно: "&amp;O1029,"")&amp;".")</f>
        <v/>
      </c>
      <c r="R1029" s="172">
        <f>IF('Оперативный ввод'!P1029="","",'Оперативный ввод'!P1029)</f>
        <v/>
      </c>
      <c r="S1029" s="172">
        <f>IF('Оперативный ввод'!Q1029="","",'Оперативный ввод'!Q1029)</f>
        <v/>
      </c>
      <c r="T1029" s="172">
        <f>IF('Оперативный ввод'!R1029="","",'Оперативный ввод'!R1029)</f>
        <v/>
      </c>
      <c r="U1029" s="172">
        <f>IF('Оперативный ввод'!S1029="","",'Оперативный ввод'!S1029)</f>
        <v/>
      </c>
      <c r="V1029" s="172">
        <f>IF('Оперативный ввод'!T1029="","",'Оперативный ввод'!T1029)</f>
        <v/>
      </c>
      <c r="W1029" s="172" t="n"/>
      <c r="X1029" s="172" t="n"/>
      <c r="Y1029" s="172" t="n"/>
      <c r="Z1029" s="172" t="n"/>
      <c r="AA1029" s="172">
        <f>IF('Оперативный ввод'!U1029="","",'Оперативный ввод'!U1029)</f>
        <v/>
      </c>
      <c r="AB1029" s="172">
        <f>IF('Оперативный ввод'!V1029="","",'Оперативный ввод'!V1029)</f>
        <v/>
      </c>
      <c r="AC1029" s="172">
        <f>IF('Оперативный ввод'!W1029="","",'Оперативный ввод'!W1029)</f>
        <v/>
      </c>
      <c r="BB1029" s="172" t="n"/>
      <c r="BC1029" s="172" t="n"/>
      <c r="BD1029" s="205">
        <f>IF(AND(A1029="",B1029=""),"",IF(AND(P1029="ГОТОВО",R1029&lt;&gt;"",T1029&lt;&gt;"",U1029&lt;&gt;"",AA1029&lt;&gt;"",AB1029&lt;&gt;"",AC1029&lt;&gt;"",BB1029&lt;&gt;"",BC1029&lt;&gt;""),"ГОТОВО","НЕ ГОТОВО"))</f>
        <v/>
      </c>
      <c r="BE1029" s="205">
        <f>IF(BD1029&lt;&gt;"ГОТОВО","","Полное заключение: "&amp;A1029&amp;", скв. "&amp;B1029&amp;". МРП: "&amp;E1029&amp;" сут. ГНО: "&amp;F1029&amp;"; причина: "&amp;U1029&amp;"; категория: "&amp;V1029&amp;"; решение комиссии: "&amp;BB1029&amp;".")</f>
        <v/>
      </c>
      <c r="BF1029" s="173">
        <f>IF('Оперативный ввод'!X1029="","",'Оперативный ввод'!X1029)</f>
        <v/>
      </c>
    </row>
    <row r="1030">
      <c r="A1030" s="171">
        <f>IF('Оперативный ввод'!A1030="","",'Оперативный ввод'!A1030)</f>
        <v/>
      </c>
      <c r="B1030" s="172">
        <f>IF('Оперативный ввод'!B1030="","",'Оперативный ввод'!B1030)</f>
        <v/>
      </c>
      <c r="C1030" s="270">
        <f>IF('Оперативный ввод'!C1030="","",'Оперативный ввод'!C1030)</f>
        <v/>
      </c>
      <c r="D1030" s="270">
        <f>IF('Оперативный ввод'!D1030="","",'Оперативный ввод'!D1030)</f>
        <v/>
      </c>
      <c r="E1030" s="271">
        <f>IF(OR(C1030="",D1030=""),"",D1030-C1030)</f>
        <v/>
      </c>
      <c r="F1030" s="172">
        <f>IF('Оперативный ввод'!F1030="","",'Оперативный ввод'!F1030)</f>
        <v/>
      </c>
      <c r="G1030" s="172">
        <f>IF('Оперативный ввод'!G1030="","",'Оперативный ввод'!G1030)</f>
        <v/>
      </c>
      <c r="H1030" s="172">
        <f>IF('Оперативный ввод'!H1030="","",'Оперативный ввод'!H1030)</f>
        <v/>
      </c>
      <c r="I1030" s="172">
        <f>IF('Оперативный ввод'!I1030="","",'Оперативный ввод'!I1030)</f>
        <v/>
      </c>
      <c r="J1030" s="172">
        <f>IF('Оперативный ввод'!J1030="","",'Оперативный ввод'!J1030)</f>
        <v/>
      </c>
      <c r="K1030" s="172">
        <f>IF('Оперативный ввод'!K1030="","",'Оперативный ввод'!K1030)</f>
        <v/>
      </c>
      <c r="L1030" s="172">
        <f>IF('Оперативный ввод'!L1030="","",'Оперативный ввод'!L1030)</f>
        <v/>
      </c>
      <c r="M1030" s="172">
        <f>IF('Оперативный ввод'!M1030="","",'Оперативный ввод'!M1030)</f>
        <v/>
      </c>
      <c r="N1030" s="172">
        <f>IF('Оперативный ввод'!N1030="","",'Оперативный ввод'!N1030)</f>
        <v/>
      </c>
      <c r="O1030" s="172">
        <f>IF('Оперативный ввод'!O1030="","",'Оперативный ввод'!O1030)</f>
        <v/>
      </c>
      <c r="P1030" s="205">
        <f>IF(AND(A1030="",B1030=""),"",IF(AND(A1030&lt;&gt;"",B1030&lt;&gt;"",C1030&lt;&gt;"",D1030&lt;&gt;"",F1030&lt;&gt;"",G1030&lt;&gt;"",H1030&lt;&gt;"",ISERROR(SEARCH("по паспорту",G1030)),ISERROR(SEARCH("по паспорту",H1030)),I1030&lt;&gt;"",J1030&lt;&gt;"",K1030&lt;&gt;"",L1030&lt;&gt;"",M1030&lt;&gt;""),"ГОТОВО","НЕ ГОТОВО"))</f>
        <v/>
      </c>
      <c r="Q1030" s="205">
        <f>IF(P1030&lt;&gt;"ГОТОВО","", "Предварительное заключение: "&amp;A1030&amp;", скв. "&amp;B1030&amp;". МРП: "&amp;E1030&amp;" сут. ГНО: "&amp;F1030&amp;", типоразмер "&amp;G1030&amp;", марка "&amp;H1030&amp;". Событие: "&amp;I1030&amp;". Признак: "&amp;J1030&amp;". Узел: "&amp;K1030&amp;". Предварительная причина: "&amp;L1030&amp;". Основное осложнение: "&amp;M1030&amp;IF(N1030&lt;&gt;"","; сопутствующее: "&amp;N1030,"")&amp;IF(O1030&lt;&gt;"","; дополнительно: "&amp;O1030,"")&amp;".")</f>
        <v/>
      </c>
      <c r="R1030" s="172">
        <f>IF('Оперативный ввод'!P1030="","",'Оперативный ввод'!P1030)</f>
        <v/>
      </c>
      <c r="S1030" s="172">
        <f>IF('Оперативный ввод'!Q1030="","",'Оперативный ввод'!Q1030)</f>
        <v/>
      </c>
      <c r="T1030" s="172">
        <f>IF('Оперативный ввод'!R1030="","",'Оперативный ввод'!R1030)</f>
        <v/>
      </c>
      <c r="U1030" s="172">
        <f>IF('Оперативный ввод'!S1030="","",'Оперативный ввод'!S1030)</f>
        <v/>
      </c>
      <c r="V1030" s="172">
        <f>IF('Оперативный ввод'!T1030="","",'Оперативный ввод'!T1030)</f>
        <v/>
      </c>
      <c r="W1030" s="172" t="n"/>
      <c r="X1030" s="172" t="n"/>
      <c r="Y1030" s="172" t="n"/>
      <c r="Z1030" s="172" t="n"/>
      <c r="AA1030" s="172">
        <f>IF('Оперативный ввод'!U1030="","",'Оперативный ввод'!U1030)</f>
        <v/>
      </c>
      <c r="AB1030" s="172">
        <f>IF('Оперативный ввод'!V1030="","",'Оперативный ввод'!V1030)</f>
        <v/>
      </c>
      <c r="AC1030" s="172">
        <f>IF('Оперативный ввод'!W1030="","",'Оперативный ввод'!W1030)</f>
        <v/>
      </c>
      <c r="BB1030" s="172" t="n"/>
      <c r="BC1030" s="172" t="n"/>
      <c r="BD1030" s="205">
        <f>IF(AND(A1030="",B1030=""),"",IF(AND(P1030="ГОТОВО",R1030&lt;&gt;"",T1030&lt;&gt;"",U1030&lt;&gt;"",AA1030&lt;&gt;"",AB1030&lt;&gt;"",AC1030&lt;&gt;"",BB1030&lt;&gt;"",BC1030&lt;&gt;""),"ГОТОВО","НЕ ГОТОВО"))</f>
        <v/>
      </c>
      <c r="BE1030" s="205">
        <f>IF(BD1030&lt;&gt;"ГОТОВО","","Полное заключение: "&amp;A1030&amp;", скв. "&amp;B1030&amp;". МРП: "&amp;E1030&amp;" сут. ГНО: "&amp;F1030&amp;"; причина: "&amp;U1030&amp;"; категория: "&amp;V1030&amp;"; решение комиссии: "&amp;BB1030&amp;".")</f>
        <v/>
      </c>
      <c r="BF1030" s="173">
        <f>IF('Оперативный ввод'!X1030="","",'Оперативный ввод'!X1030)</f>
        <v/>
      </c>
    </row>
    <row r="1031">
      <c r="A1031" s="171">
        <f>IF('Оперативный ввод'!A1031="","",'Оперативный ввод'!A1031)</f>
        <v/>
      </c>
      <c r="B1031" s="172">
        <f>IF('Оперативный ввод'!B1031="","",'Оперативный ввод'!B1031)</f>
        <v/>
      </c>
      <c r="C1031" s="270">
        <f>IF('Оперативный ввод'!C1031="","",'Оперативный ввод'!C1031)</f>
        <v/>
      </c>
      <c r="D1031" s="270">
        <f>IF('Оперативный ввод'!D1031="","",'Оперативный ввод'!D1031)</f>
        <v/>
      </c>
      <c r="E1031" s="271">
        <f>IF(OR(C1031="",D1031=""),"",D1031-C1031)</f>
        <v/>
      </c>
      <c r="F1031" s="172">
        <f>IF('Оперативный ввод'!F1031="","",'Оперативный ввод'!F1031)</f>
        <v/>
      </c>
      <c r="G1031" s="172">
        <f>IF('Оперативный ввод'!G1031="","",'Оперативный ввод'!G1031)</f>
        <v/>
      </c>
      <c r="H1031" s="172">
        <f>IF('Оперативный ввод'!H1031="","",'Оперативный ввод'!H1031)</f>
        <v/>
      </c>
      <c r="I1031" s="172">
        <f>IF('Оперативный ввод'!I1031="","",'Оперативный ввод'!I1031)</f>
        <v/>
      </c>
      <c r="J1031" s="172">
        <f>IF('Оперативный ввод'!J1031="","",'Оперативный ввод'!J1031)</f>
        <v/>
      </c>
      <c r="K1031" s="172">
        <f>IF('Оперативный ввод'!K1031="","",'Оперативный ввод'!K1031)</f>
        <v/>
      </c>
      <c r="L1031" s="172">
        <f>IF('Оперативный ввод'!L1031="","",'Оперативный ввод'!L1031)</f>
        <v/>
      </c>
      <c r="M1031" s="172">
        <f>IF('Оперативный ввод'!M1031="","",'Оперативный ввод'!M1031)</f>
        <v/>
      </c>
      <c r="N1031" s="172">
        <f>IF('Оперативный ввод'!N1031="","",'Оперативный ввод'!N1031)</f>
        <v/>
      </c>
      <c r="O1031" s="172">
        <f>IF('Оперативный ввод'!O1031="","",'Оперативный ввод'!O1031)</f>
        <v/>
      </c>
      <c r="P1031" s="205">
        <f>IF(AND(A1031="",B1031=""),"",IF(AND(A1031&lt;&gt;"",B1031&lt;&gt;"",C1031&lt;&gt;"",D1031&lt;&gt;"",F1031&lt;&gt;"",G1031&lt;&gt;"",H1031&lt;&gt;"",ISERROR(SEARCH("по паспорту",G1031)),ISERROR(SEARCH("по паспорту",H1031)),I1031&lt;&gt;"",J1031&lt;&gt;"",K1031&lt;&gt;"",L1031&lt;&gt;"",M1031&lt;&gt;""),"ГОТОВО","НЕ ГОТОВО"))</f>
        <v/>
      </c>
      <c r="Q1031" s="205">
        <f>IF(P1031&lt;&gt;"ГОТОВО","", "Предварительное заключение: "&amp;A1031&amp;", скв. "&amp;B1031&amp;". МРП: "&amp;E1031&amp;" сут. ГНО: "&amp;F1031&amp;", типоразмер "&amp;G1031&amp;", марка "&amp;H1031&amp;". Событие: "&amp;I1031&amp;". Признак: "&amp;J1031&amp;". Узел: "&amp;K1031&amp;". Предварительная причина: "&amp;L1031&amp;". Основное осложнение: "&amp;M1031&amp;IF(N1031&lt;&gt;"","; сопутствующее: "&amp;N1031,"")&amp;IF(O1031&lt;&gt;"","; дополнительно: "&amp;O1031,"")&amp;".")</f>
        <v/>
      </c>
      <c r="R1031" s="172">
        <f>IF('Оперативный ввод'!P1031="","",'Оперативный ввод'!P1031)</f>
        <v/>
      </c>
      <c r="S1031" s="172">
        <f>IF('Оперативный ввод'!Q1031="","",'Оперативный ввод'!Q1031)</f>
        <v/>
      </c>
      <c r="T1031" s="172">
        <f>IF('Оперативный ввод'!R1031="","",'Оперативный ввод'!R1031)</f>
        <v/>
      </c>
      <c r="U1031" s="172">
        <f>IF('Оперативный ввод'!S1031="","",'Оперативный ввод'!S1031)</f>
        <v/>
      </c>
      <c r="V1031" s="172">
        <f>IF('Оперативный ввод'!T1031="","",'Оперативный ввод'!T1031)</f>
        <v/>
      </c>
      <c r="W1031" s="172" t="n"/>
      <c r="X1031" s="172" t="n"/>
      <c r="Y1031" s="172" t="n"/>
      <c r="Z1031" s="172" t="n"/>
      <c r="AA1031" s="172">
        <f>IF('Оперативный ввод'!U1031="","",'Оперативный ввод'!U1031)</f>
        <v/>
      </c>
      <c r="AB1031" s="172">
        <f>IF('Оперативный ввод'!V1031="","",'Оперативный ввод'!V1031)</f>
        <v/>
      </c>
      <c r="AC1031" s="172">
        <f>IF('Оперативный ввод'!W1031="","",'Оперативный ввод'!W1031)</f>
        <v/>
      </c>
      <c r="BB1031" s="172" t="n"/>
      <c r="BC1031" s="172" t="n"/>
      <c r="BD1031" s="205">
        <f>IF(AND(A1031="",B1031=""),"",IF(AND(P1031="ГОТОВО",R1031&lt;&gt;"",T1031&lt;&gt;"",U1031&lt;&gt;"",AA1031&lt;&gt;"",AB1031&lt;&gt;"",AC1031&lt;&gt;"",BB1031&lt;&gt;"",BC1031&lt;&gt;""),"ГОТОВО","НЕ ГОТОВО"))</f>
        <v/>
      </c>
      <c r="BE1031" s="205">
        <f>IF(BD1031&lt;&gt;"ГОТОВО","","Полное заключение: "&amp;A1031&amp;", скв. "&amp;B1031&amp;". МРП: "&amp;E1031&amp;" сут. ГНО: "&amp;F1031&amp;"; причина: "&amp;U1031&amp;"; категория: "&amp;V1031&amp;"; решение комиссии: "&amp;BB1031&amp;".")</f>
        <v/>
      </c>
      <c r="BF1031" s="173">
        <f>IF('Оперативный ввод'!X1031="","",'Оперативный ввод'!X1031)</f>
        <v/>
      </c>
    </row>
    <row r="1032">
      <c r="A1032" s="171">
        <f>IF('Оперативный ввод'!A1032="","",'Оперативный ввод'!A1032)</f>
        <v/>
      </c>
      <c r="B1032" s="172">
        <f>IF('Оперативный ввод'!B1032="","",'Оперативный ввод'!B1032)</f>
        <v/>
      </c>
      <c r="C1032" s="270">
        <f>IF('Оперативный ввод'!C1032="","",'Оперативный ввод'!C1032)</f>
        <v/>
      </c>
      <c r="D1032" s="270">
        <f>IF('Оперативный ввод'!D1032="","",'Оперативный ввод'!D1032)</f>
        <v/>
      </c>
      <c r="E1032" s="271">
        <f>IF(OR(C1032="",D1032=""),"",D1032-C1032)</f>
        <v/>
      </c>
      <c r="F1032" s="172">
        <f>IF('Оперативный ввод'!F1032="","",'Оперативный ввод'!F1032)</f>
        <v/>
      </c>
      <c r="G1032" s="172">
        <f>IF('Оперативный ввод'!G1032="","",'Оперативный ввод'!G1032)</f>
        <v/>
      </c>
      <c r="H1032" s="172">
        <f>IF('Оперативный ввод'!H1032="","",'Оперативный ввод'!H1032)</f>
        <v/>
      </c>
      <c r="I1032" s="172">
        <f>IF('Оперативный ввод'!I1032="","",'Оперативный ввод'!I1032)</f>
        <v/>
      </c>
      <c r="J1032" s="172">
        <f>IF('Оперативный ввод'!J1032="","",'Оперативный ввод'!J1032)</f>
        <v/>
      </c>
      <c r="K1032" s="172">
        <f>IF('Оперативный ввод'!K1032="","",'Оперативный ввод'!K1032)</f>
        <v/>
      </c>
      <c r="L1032" s="172">
        <f>IF('Оперативный ввод'!L1032="","",'Оперативный ввод'!L1032)</f>
        <v/>
      </c>
      <c r="M1032" s="172">
        <f>IF('Оперативный ввод'!M1032="","",'Оперативный ввод'!M1032)</f>
        <v/>
      </c>
      <c r="N1032" s="172">
        <f>IF('Оперативный ввод'!N1032="","",'Оперативный ввод'!N1032)</f>
        <v/>
      </c>
      <c r="O1032" s="172">
        <f>IF('Оперативный ввод'!O1032="","",'Оперативный ввод'!O1032)</f>
        <v/>
      </c>
      <c r="P1032" s="205">
        <f>IF(AND(A1032="",B1032=""),"",IF(AND(A1032&lt;&gt;"",B1032&lt;&gt;"",C1032&lt;&gt;"",D1032&lt;&gt;"",F1032&lt;&gt;"",G1032&lt;&gt;"",H1032&lt;&gt;"",ISERROR(SEARCH("по паспорту",G1032)),ISERROR(SEARCH("по паспорту",H1032)),I1032&lt;&gt;"",J1032&lt;&gt;"",K1032&lt;&gt;"",L1032&lt;&gt;"",M1032&lt;&gt;""),"ГОТОВО","НЕ ГОТОВО"))</f>
        <v/>
      </c>
      <c r="Q1032" s="205">
        <f>IF(P1032&lt;&gt;"ГОТОВО","", "Предварительное заключение: "&amp;A1032&amp;", скв. "&amp;B1032&amp;". МРП: "&amp;E1032&amp;" сут. ГНО: "&amp;F1032&amp;", типоразмер "&amp;G1032&amp;", марка "&amp;H1032&amp;". Событие: "&amp;I1032&amp;". Признак: "&amp;J1032&amp;". Узел: "&amp;K1032&amp;". Предварительная причина: "&amp;L1032&amp;". Основное осложнение: "&amp;M1032&amp;IF(N1032&lt;&gt;"","; сопутствующее: "&amp;N1032,"")&amp;IF(O1032&lt;&gt;"","; дополнительно: "&amp;O1032,"")&amp;".")</f>
        <v/>
      </c>
      <c r="R1032" s="172">
        <f>IF('Оперативный ввод'!P1032="","",'Оперативный ввод'!P1032)</f>
        <v/>
      </c>
      <c r="S1032" s="172">
        <f>IF('Оперативный ввод'!Q1032="","",'Оперативный ввод'!Q1032)</f>
        <v/>
      </c>
      <c r="T1032" s="172">
        <f>IF('Оперативный ввод'!R1032="","",'Оперативный ввод'!R1032)</f>
        <v/>
      </c>
      <c r="U1032" s="172">
        <f>IF('Оперативный ввод'!S1032="","",'Оперативный ввод'!S1032)</f>
        <v/>
      </c>
      <c r="V1032" s="172">
        <f>IF('Оперативный ввод'!T1032="","",'Оперативный ввод'!T1032)</f>
        <v/>
      </c>
      <c r="W1032" s="172" t="n"/>
      <c r="X1032" s="172" t="n"/>
      <c r="Y1032" s="172" t="n"/>
      <c r="Z1032" s="172" t="n"/>
      <c r="AA1032" s="172">
        <f>IF('Оперативный ввод'!U1032="","",'Оперативный ввод'!U1032)</f>
        <v/>
      </c>
      <c r="AB1032" s="172">
        <f>IF('Оперативный ввод'!V1032="","",'Оперативный ввод'!V1032)</f>
        <v/>
      </c>
      <c r="AC1032" s="172">
        <f>IF('Оперативный ввод'!W1032="","",'Оперативный ввод'!W1032)</f>
        <v/>
      </c>
      <c r="BB1032" s="172" t="n"/>
      <c r="BC1032" s="172" t="n"/>
      <c r="BD1032" s="205">
        <f>IF(AND(A1032="",B1032=""),"",IF(AND(P1032="ГОТОВО",R1032&lt;&gt;"",T1032&lt;&gt;"",U1032&lt;&gt;"",AA1032&lt;&gt;"",AB1032&lt;&gt;"",AC1032&lt;&gt;"",BB1032&lt;&gt;"",BC1032&lt;&gt;""),"ГОТОВО","НЕ ГОТОВО"))</f>
        <v/>
      </c>
      <c r="BE1032" s="205">
        <f>IF(BD1032&lt;&gt;"ГОТОВО","","Полное заключение: "&amp;A1032&amp;", скв. "&amp;B1032&amp;". МРП: "&amp;E1032&amp;" сут. ГНО: "&amp;F1032&amp;"; причина: "&amp;U1032&amp;"; категория: "&amp;V1032&amp;"; решение комиссии: "&amp;BB1032&amp;".")</f>
        <v/>
      </c>
      <c r="BF1032" s="173">
        <f>IF('Оперативный ввод'!X1032="","",'Оперативный ввод'!X1032)</f>
        <v/>
      </c>
    </row>
    <row r="1033">
      <c r="A1033" s="171">
        <f>IF('Оперативный ввод'!A1033="","",'Оперативный ввод'!A1033)</f>
        <v/>
      </c>
      <c r="B1033" s="172">
        <f>IF('Оперативный ввод'!B1033="","",'Оперативный ввод'!B1033)</f>
        <v/>
      </c>
      <c r="C1033" s="270">
        <f>IF('Оперативный ввод'!C1033="","",'Оперативный ввод'!C1033)</f>
        <v/>
      </c>
      <c r="D1033" s="270">
        <f>IF('Оперативный ввод'!D1033="","",'Оперативный ввод'!D1033)</f>
        <v/>
      </c>
      <c r="E1033" s="271">
        <f>IF(OR(C1033="",D1033=""),"",D1033-C1033)</f>
        <v/>
      </c>
      <c r="F1033" s="172">
        <f>IF('Оперативный ввод'!F1033="","",'Оперативный ввод'!F1033)</f>
        <v/>
      </c>
      <c r="G1033" s="172">
        <f>IF('Оперативный ввод'!G1033="","",'Оперативный ввод'!G1033)</f>
        <v/>
      </c>
      <c r="H1033" s="172">
        <f>IF('Оперативный ввод'!H1033="","",'Оперативный ввод'!H1033)</f>
        <v/>
      </c>
      <c r="I1033" s="172">
        <f>IF('Оперативный ввод'!I1033="","",'Оперативный ввод'!I1033)</f>
        <v/>
      </c>
      <c r="J1033" s="172">
        <f>IF('Оперативный ввод'!J1033="","",'Оперативный ввод'!J1033)</f>
        <v/>
      </c>
      <c r="K1033" s="172">
        <f>IF('Оперативный ввод'!K1033="","",'Оперативный ввод'!K1033)</f>
        <v/>
      </c>
      <c r="L1033" s="172">
        <f>IF('Оперативный ввод'!L1033="","",'Оперативный ввод'!L1033)</f>
        <v/>
      </c>
      <c r="M1033" s="172">
        <f>IF('Оперативный ввод'!M1033="","",'Оперативный ввод'!M1033)</f>
        <v/>
      </c>
      <c r="N1033" s="172">
        <f>IF('Оперативный ввод'!N1033="","",'Оперативный ввод'!N1033)</f>
        <v/>
      </c>
      <c r="O1033" s="172">
        <f>IF('Оперативный ввод'!O1033="","",'Оперативный ввод'!O1033)</f>
        <v/>
      </c>
      <c r="P1033" s="205">
        <f>IF(AND(A1033="",B1033=""),"",IF(AND(A1033&lt;&gt;"",B1033&lt;&gt;"",C1033&lt;&gt;"",D1033&lt;&gt;"",F1033&lt;&gt;"",G1033&lt;&gt;"",H1033&lt;&gt;"",ISERROR(SEARCH("по паспорту",G1033)),ISERROR(SEARCH("по паспорту",H1033)),I1033&lt;&gt;"",J1033&lt;&gt;"",K1033&lt;&gt;"",L1033&lt;&gt;"",M1033&lt;&gt;""),"ГОТОВО","НЕ ГОТОВО"))</f>
        <v/>
      </c>
      <c r="Q1033" s="205">
        <f>IF(P1033&lt;&gt;"ГОТОВО","", "Предварительное заключение: "&amp;A1033&amp;", скв. "&amp;B1033&amp;". МРП: "&amp;E1033&amp;" сут. ГНО: "&amp;F1033&amp;", типоразмер "&amp;G1033&amp;", марка "&amp;H1033&amp;". Событие: "&amp;I1033&amp;". Признак: "&amp;J1033&amp;". Узел: "&amp;K1033&amp;". Предварительная причина: "&amp;L1033&amp;". Основное осложнение: "&amp;M1033&amp;IF(N1033&lt;&gt;"","; сопутствующее: "&amp;N1033,"")&amp;IF(O1033&lt;&gt;"","; дополнительно: "&amp;O1033,"")&amp;".")</f>
        <v/>
      </c>
      <c r="R1033" s="172">
        <f>IF('Оперативный ввод'!P1033="","",'Оперативный ввод'!P1033)</f>
        <v/>
      </c>
      <c r="S1033" s="172">
        <f>IF('Оперативный ввод'!Q1033="","",'Оперативный ввод'!Q1033)</f>
        <v/>
      </c>
      <c r="T1033" s="172">
        <f>IF('Оперативный ввод'!R1033="","",'Оперативный ввод'!R1033)</f>
        <v/>
      </c>
      <c r="U1033" s="172">
        <f>IF('Оперативный ввод'!S1033="","",'Оперативный ввод'!S1033)</f>
        <v/>
      </c>
      <c r="V1033" s="172">
        <f>IF('Оперативный ввод'!T1033="","",'Оперативный ввод'!T1033)</f>
        <v/>
      </c>
      <c r="W1033" s="172" t="n"/>
      <c r="X1033" s="172" t="n"/>
      <c r="Y1033" s="172" t="n"/>
      <c r="Z1033" s="172" t="n"/>
      <c r="AA1033" s="172">
        <f>IF('Оперативный ввод'!U1033="","",'Оперативный ввод'!U1033)</f>
        <v/>
      </c>
      <c r="AB1033" s="172">
        <f>IF('Оперативный ввод'!V1033="","",'Оперативный ввод'!V1033)</f>
        <v/>
      </c>
      <c r="AC1033" s="172">
        <f>IF('Оперативный ввод'!W1033="","",'Оперативный ввод'!W1033)</f>
        <v/>
      </c>
      <c r="BB1033" s="172" t="n"/>
      <c r="BC1033" s="172" t="n"/>
      <c r="BD1033" s="205">
        <f>IF(AND(A1033="",B1033=""),"",IF(AND(P1033="ГОТОВО",R1033&lt;&gt;"",T1033&lt;&gt;"",U1033&lt;&gt;"",AA1033&lt;&gt;"",AB1033&lt;&gt;"",AC1033&lt;&gt;"",BB1033&lt;&gt;"",BC1033&lt;&gt;""),"ГОТОВО","НЕ ГОТОВО"))</f>
        <v/>
      </c>
      <c r="BE1033" s="205">
        <f>IF(BD1033&lt;&gt;"ГОТОВО","","Полное заключение: "&amp;A1033&amp;", скв. "&amp;B1033&amp;". МРП: "&amp;E1033&amp;" сут. ГНО: "&amp;F1033&amp;"; причина: "&amp;U1033&amp;"; категория: "&amp;V1033&amp;"; решение комиссии: "&amp;BB1033&amp;".")</f>
        <v/>
      </c>
      <c r="BF1033" s="173">
        <f>IF('Оперативный ввод'!X1033="","",'Оперативный ввод'!X1033)</f>
        <v/>
      </c>
    </row>
    <row r="1034">
      <c r="A1034" s="171">
        <f>IF('Оперативный ввод'!A1034="","",'Оперативный ввод'!A1034)</f>
        <v/>
      </c>
      <c r="B1034" s="172">
        <f>IF('Оперативный ввод'!B1034="","",'Оперативный ввод'!B1034)</f>
        <v/>
      </c>
      <c r="C1034" s="270">
        <f>IF('Оперативный ввод'!C1034="","",'Оперативный ввод'!C1034)</f>
        <v/>
      </c>
      <c r="D1034" s="270">
        <f>IF('Оперативный ввод'!D1034="","",'Оперативный ввод'!D1034)</f>
        <v/>
      </c>
      <c r="E1034" s="271">
        <f>IF(OR(C1034="",D1034=""),"",D1034-C1034)</f>
        <v/>
      </c>
      <c r="F1034" s="172">
        <f>IF('Оперативный ввод'!F1034="","",'Оперативный ввод'!F1034)</f>
        <v/>
      </c>
      <c r="G1034" s="172">
        <f>IF('Оперативный ввод'!G1034="","",'Оперативный ввод'!G1034)</f>
        <v/>
      </c>
      <c r="H1034" s="172">
        <f>IF('Оперативный ввод'!H1034="","",'Оперативный ввод'!H1034)</f>
        <v/>
      </c>
      <c r="I1034" s="172">
        <f>IF('Оперативный ввод'!I1034="","",'Оперативный ввод'!I1034)</f>
        <v/>
      </c>
      <c r="J1034" s="172">
        <f>IF('Оперативный ввод'!J1034="","",'Оперативный ввод'!J1034)</f>
        <v/>
      </c>
      <c r="K1034" s="172">
        <f>IF('Оперативный ввод'!K1034="","",'Оперативный ввод'!K1034)</f>
        <v/>
      </c>
      <c r="L1034" s="172">
        <f>IF('Оперативный ввод'!L1034="","",'Оперативный ввод'!L1034)</f>
        <v/>
      </c>
      <c r="M1034" s="172">
        <f>IF('Оперативный ввод'!M1034="","",'Оперативный ввод'!M1034)</f>
        <v/>
      </c>
      <c r="N1034" s="172">
        <f>IF('Оперативный ввод'!N1034="","",'Оперативный ввод'!N1034)</f>
        <v/>
      </c>
      <c r="O1034" s="172">
        <f>IF('Оперативный ввод'!O1034="","",'Оперативный ввод'!O1034)</f>
        <v/>
      </c>
      <c r="P1034" s="205">
        <f>IF(AND(A1034="",B1034=""),"",IF(AND(A1034&lt;&gt;"",B1034&lt;&gt;"",C1034&lt;&gt;"",D1034&lt;&gt;"",F1034&lt;&gt;"",G1034&lt;&gt;"",H1034&lt;&gt;"",ISERROR(SEARCH("по паспорту",G1034)),ISERROR(SEARCH("по паспорту",H1034)),I1034&lt;&gt;"",J1034&lt;&gt;"",K1034&lt;&gt;"",L1034&lt;&gt;"",M1034&lt;&gt;""),"ГОТОВО","НЕ ГОТОВО"))</f>
        <v/>
      </c>
      <c r="Q1034" s="205">
        <f>IF(P1034&lt;&gt;"ГОТОВО","", "Предварительное заключение: "&amp;A1034&amp;", скв. "&amp;B1034&amp;". МРП: "&amp;E1034&amp;" сут. ГНО: "&amp;F1034&amp;", типоразмер "&amp;G1034&amp;", марка "&amp;H1034&amp;". Событие: "&amp;I1034&amp;". Признак: "&amp;J1034&amp;". Узел: "&amp;K1034&amp;". Предварительная причина: "&amp;L1034&amp;". Основное осложнение: "&amp;M1034&amp;IF(N1034&lt;&gt;"","; сопутствующее: "&amp;N1034,"")&amp;IF(O1034&lt;&gt;"","; дополнительно: "&amp;O1034,"")&amp;".")</f>
        <v/>
      </c>
      <c r="R1034" s="172">
        <f>IF('Оперативный ввод'!P1034="","",'Оперативный ввод'!P1034)</f>
        <v/>
      </c>
      <c r="S1034" s="172">
        <f>IF('Оперативный ввод'!Q1034="","",'Оперативный ввод'!Q1034)</f>
        <v/>
      </c>
      <c r="T1034" s="172">
        <f>IF('Оперативный ввод'!R1034="","",'Оперативный ввод'!R1034)</f>
        <v/>
      </c>
      <c r="U1034" s="172">
        <f>IF('Оперативный ввод'!S1034="","",'Оперативный ввод'!S1034)</f>
        <v/>
      </c>
      <c r="V1034" s="172">
        <f>IF('Оперативный ввод'!T1034="","",'Оперативный ввод'!T1034)</f>
        <v/>
      </c>
      <c r="W1034" s="172" t="n"/>
      <c r="X1034" s="172" t="n"/>
      <c r="Y1034" s="172" t="n"/>
      <c r="Z1034" s="172" t="n"/>
      <c r="AA1034" s="172">
        <f>IF('Оперативный ввод'!U1034="","",'Оперативный ввод'!U1034)</f>
        <v/>
      </c>
      <c r="AB1034" s="172">
        <f>IF('Оперативный ввод'!V1034="","",'Оперативный ввод'!V1034)</f>
        <v/>
      </c>
      <c r="AC1034" s="172">
        <f>IF('Оперативный ввод'!W1034="","",'Оперативный ввод'!W1034)</f>
        <v/>
      </c>
      <c r="BB1034" s="172" t="n"/>
      <c r="BC1034" s="172" t="n"/>
      <c r="BD1034" s="205">
        <f>IF(AND(A1034="",B1034=""),"",IF(AND(P1034="ГОТОВО",R1034&lt;&gt;"",T1034&lt;&gt;"",U1034&lt;&gt;"",AA1034&lt;&gt;"",AB1034&lt;&gt;"",AC1034&lt;&gt;"",BB1034&lt;&gt;"",BC1034&lt;&gt;""),"ГОТОВО","НЕ ГОТОВО"))</f>
        <v/>
      </c>
      <c r="BE1034" s="205">
        <f>IF(BD1034&lt;&gt;"ГОТОВО","","Полное заключение: "&amp;A1034&amp;", скв. "&amp;B1034&amp;". МРП: "&amp;E1034&amp;" сут. ГНО: "&amp;F1034&amp;"; причина: "&amp;U1034&amp;"; категория: "&amp;V1034&amp;"; решение комиссии: "&amp;BB1034&amp;".")</f>
        <v/>
      </c>
      <c r="BF1034" s="173">
        <f>IF('Оперативный ввод'!X1034="","",'Оперативный ввод'!X1034)</f>
        <v/>
      </c>
    </row>
    <row r="1035">
      <c r="A1035" s="171">
        <f>IF('Оперативный ввод'!A1035="","",'Оперативный ввод'!A1035)</f>
        <v/>
      </c>
      <c r="B1035" s="172">
        <f>IF('Оперативный ввод'!B1035="","",'Оперативный ввод'!B1035)</f>
        <v/>
      </c>
      <c r="C1035" s="270">
        <f>IF('Оперативный ввод'!C1035="","",'Оперативный ввод'!C1035)</f>
        <v/>
      </c>
      <c r="D1035" s="270">
        <f>IF('Оперативный ввод'!D1035="","",'Оперативный ввод'!D1035)</f>
        <v/>
      </c>
      <c r="E1035" s="271">
        <f>IF(OR(C1035="",D1035=""),"",D1035-C1035)</f>
        <v/>
      </c>
      <c r="F1035" s="172">
        <f>IF('Оперативный ввод'!F1035="","",'Оперативный ввод'!F1035)</f>
        <v/>
      </c>
      <c r="G1035" s="172">
        <f>IF('Оперативный ввод'!G1035="","",'Оперативный ввод'!G1035)</f>
        <v/>
      </c>
      <c r="H1035" s="172">
        <f>IF('Оперативный ввод'!H1035="","",'Оперативный ввод'!H1035)</f>
        <v/>
      </c>
      <c r="I1035" s="172">
        <f>IF('Оперативный ввод'!I1035="","",'Оперативный ввод'!I1035)</f>
        <v/>
      </c>
      <c r="J1035" s="172">
        <f>IF('Оперативный ввод'!J1035="","",'Оперативный ввод'!J1035)</f>
        <v/>
      </c>
      <c r="K1035" s="172">
        <f>IF('Оперативный ввод'!K1035="","",'Оперативный ввод'!K1035)</f>
        <v/>
      </c>
      <c r="L1035" s="172">
        <f>IF('Оперативный ввод'!L1035="","",'Оперативный ввод'!L1035)</f>
        <v/>
      </c>
      <c r="M1035" s="172">
        <f>IF('Оперативный ввод'!M1035="","",'Оперативный ввод'!M1035)</f>
        <v/>
      </c>
      <c r="N1035" s="172">
        <f>IF('Оперативный ввод'!N1035="","",'Оперативный ввод'!N1035)</f>
        <v/>
      </c>
      <c r="O1035" s="172">
        <f>IF('Оперативный ввод'!O1035="","",'Оперативный ввод'!O1035)</f>
        <v/>
      </c>
      <c r="P1035" s="205">
        <f>IF(AND(A1035="",B1035=""),"",IF(AND(A1035&lt;&gt;"",B1035&lt;&gt;"",C1035&lt;&gt;"",D1035&lt;&gt;"",F1035&lt;&gt;"",G1035&lt;&gt;"",H1035&lt;&gt;"",ISERROR(SEARCH("по паспорту",G1035)),ISERROR(SEARCH("по паспорту",H1035)),I1035&lt;&gt;"",J1035&lt;&gt;"",K1035&lt;&gt;"",L1035&lt;&gt;"",M1035&lt;&gt;""),"ГОТОВО","НЕ ГОТОВО"))</f>
        <v/>
      </c>
      <c r="Q1035" s="205">
        <f>IF(P1035&lt;&gt;"ГОТОВО","", "Предварительное заключение: "&amp;A1035&amp;", скв. "&amp;B1035&amp;". МРП: "&amp;E1035&amp;" сут. ГНО: "&amp;F1035&amp;", типоразмер "&amp;G1035&amp;", марка "&amp;H1035&amp;". Событие: "&amp;I1035&amp;". Признак: "&amp;J1035&amp;". Узел: "&amp;K1035&amp;". Предварительная причина: "&amp;L1035&amp;". Основное осложнение: "&amp;M1035&amp;IF(N1035&lt;&gt;"","; сопутствующее: "&amp;N1035,"")&amp;IF(O1035&lt;&gt;"","; дополнительно: "&amp;O1035,"")&amp;".")</f>
        <v/>
      </c>
      <c r="R1035" s="172">
        <f>IF('Оперативный ввод'!P1035="","",'Оперативный ввод'!P1035)</f>
        <v/>
      </c>
      <c r="S1035" s="172">
        <f>IF('Оперативный ввод'!Q1035="","",'Оперативный ввод'!Q1035)</f>
        <v/>
      </c>
      <c r="T1035" s="172">
        <f>IF('Оперативный ввод'!R1035="","",'Оперативный ввод'!R1035)</f>
        <v/>
      </c>
      <c r="U1035" s="172">
        <f>IF('Оперативный ввод'!S1035="","",'Оперативный ввод'!S1035)</f>
        <v/>
      </c>
      <c r="V1035" s="172">
        <f>IF('Оперативный ввод'!T1035="","",'Оперативный ввод'!T1035)</f>
        <v/>
      </c>
      <c r="W1035" s="172" t="n"/>
      <c r="X1035" s="172" t="n"/>
      <c r="Y1035" s="172" t="n"/>
      <c r="Z1035" s="172" t="n"/>
      <c r="AA1035" s="172">
        <f>IF('Оперативный ввод'!U1035="","",'Оперативный ввод'!U1035)</f>
        <v/>
      </c>
      <c r="AB1035" s="172">
        <f>IF('Оперативный ввод'!V1035="","",'Оперативный ввод'!V1035)</f>
        <v/>
      </c>
      <c r="AC1035" s="172">
        <f>IF('Оперативный ввод'!W1035="","",'Оперативный ввод'!W1035)</f>
        <v/>
      </c>
      <c r="BB1035" s="172" t="n"/>
      <c r="BC1035" s="172" t="n"/>
      <c r="BD1035" s="205">
        <f>IF(AND(A1035="",B1035=""),"",IF(AND(P1035="ГОТОВО",R1035&lt;&gt;"",T1035&lt;&gt;"",U1035&lt;&gt;"",AA1035&lt;&gt;"",AB1035&lt;&gt;"",AC1035&lt;&gt;"",BB1035&lt;&gt;"",BC1035&lt;&gt;""),"ГОТОВО","НЕ ГОТОВО"))</f>
        <v/>
      </c>
      <c r="BE1035" s="205">
        <f>IF(BD1035&lt;&gt;"ГОТОВО","","Полное заключение: "&amp;A1035&amp;", скв. "&amp;B1035&amp;". МРП: "&amp;E1035&amp;" сут. ГНО: "&amp;F1035&amp;"; причина: "&amp;U1035&amp;"; категория: "&amp;V1035&amp;"; решение комиссии: "&amp;BB1035&amp;".")</f>
        <v/>
      </c>
      <c r="BF1035" s="173">
        <f>IF('Оперативный ввод'!X1035="","",'Оперативный ввод'!X1035)</f>
        <v/>
      </c>
    </row>
    <row r="1036">
      <c r="A1036" s="171">
        <f>IF('Оперативный ввод'!A1036="","",'Оперативный ввод'!A1036)</f>
        <v/>
      </c>
      <c r="B1036" s="172">
        <f>IF('Оперативный ввод'!B1036="","",'Оперативный ввод'!B1036)</f>
        <v/>
      </c>
      <c r="C1036" s="270">
        <f>IF('Оперативный ввод'!C1036="","",'Оперативный ввод'!C1036)</f>
        <v/>
      </c>
      <c r="D1036" s="270">
        <f>IF('Оперативный ввод'!D1036="","",'Оперативный ввод'!D1036)</f>
        <v/>
      </c>
      <c r="E1036" s="271">
        <f>IF(OR(C1036="",D1036=""),"",D1036-C1036)</f>
        <v/>
      </c>
      <c r="F1036" s="172">
        <f>IF('Оперативный ввод'!F1036="","",'Оперативный ввод'!F1036)</f>
        <v/>
      </c>
      <c r="G1036" s="172">
        <f>IF('Оперативный ввод'!G1036="","",'Оперативный ввод'!G1036)</f>
        <v/>
      </c>
      <c r="H1036" s="172">
        <f>IF('Оперативный ввод'!H1036="","",'Оперативный ввод'!H1036)</f>
        <v/>
      </c>
      <c r="I1036" s="172">
        <f>IF('Оперативный ввод'!I1036="","",'Оперативный ввод'!I1036)</f>
        <v/>
      </c>
      <c r="J1036" s="172">
        <f>IF('Оперативный ввод'!J1036="","",'Оперативный ввод'!J1036)</f>
        <v/>
      </c>
      <c r="K1036" s="172">
        <f>IF('Оперативный ввод'!K1036="","",'Оперативный ввод'!K1036)</f>
        <v/>
      </c>
      <c r="L1036" s="172">
        <f>IF('Оперативный ввод'!L1036="","",'Оперативный ввод'!L1036)</f>
        <v/>
      </c>
      <c r="M1036" s="172">
        <f>IF('Оперативный ввод'!M1036="","",'Оперативный ввод'!M1036)</f>
        <v/>
      </c>
      <c r="N1036" s="172">
        <f>IF('Оперативный ввод'!N1036="","",'Оперативный ввод'!N1036)</f>
        <v/>
      </c>
      <c r="O1036" s="172">
        <f>IF('Оперативный ввод'!O1036="","",'Оперативный ввод'!O1036)</f>
        <v/>
      </c>
      <c r="P1036" s="205">
        <f>IF(AND(A1036="",B1036=""),"",IF(AND(A1036&lt;&gt;"",B1036&lt;&gt;"",C1036&lt;&gt;"",D1036&lt;&gt;"",F1036&lt;&gt;"",G1036&lt;&gt;"",H1036&lt;&gt;"",ISERROR(SEARCH("по паспорту",G1036)),ISERROR(SEARCH("по паспорту",H1036)),I1036&lt;&gt;"",J1036&lt;&gt;"",K1036&lt;&gt;"",L1036&lt;&gt;"",M1036&lt;&gt;""),"ГОТОВО","НЕ ГОТОВО"))</f>
        <v/>
      </c>
      <c r="Q1036" s="205">
        <f>IF(P1036&lt;&gt;"ГОТОВО","", "Предварительное заключение: "&amp;A1036&amp;", скв. "&amp;B1036&amp;". МРП: "&amp;E1036&amp;" сут. ГНО: "&amp;F1036&amp;", типоразмер "&amp;G1036&amp;", марка "&amp;H1036&amp;". Событие: "&amp;I1036&amp;". Признак: "&amp;J1036&amp;". Узел: "&amp;K1036&amp;". Предварительная причина: "&amp;L1036&amp;". Основное осложнение: "&amp;M1036&amp;IF(N1036&lt;&gt;"","; сопутствующее: "&amp;N1036,"")&amp;IF(O1036&lt;&gt;"","; дополнительно: "&amp;O1036,"")&amp;".")</f>
        <v/>
      </c>
      <c r="R1036" s="172">
        <f>IF('Оперативный ввод'!P1036="","",'Оперативный ввод'!P1036)</f>
        <v/>
      </c>
      <c r="S1036" s="172">
        <f>IF('Оперативный ввод'!Q1036="","",'Оперативный ввод'!Q1036)</f>
        <v/>
      </c>
      <c r="T1036" s="172">
        <f>IF('Оперативный ввод'!R1036="","",'Оперативный ввод'!R1036)</f>
        <v/>
      </c>
      <c r="U1036" s="172">
        <f>IF('Оперативный ввод'!S1036="","",'Оперативный ввод'!S1036)</f>
        <v/>
      </c>
      <c r="V1036" s="172">
        <f>IF('Оперативный ввод'!T1036="","",'Оперативный ввод'!T1036)</f>
        <v/>
      </c>
      <c r="W1036" s="172" t="n"/>
      <c r="X1036" s="172" t="n"/>
      <c r="Y1036" s="172" t="n"/>
      <c r="Z1036" s="172" t="n"/>
      <c r="AA1036" s="172">
        <f>IF('Оперативный ввод'!U1036="","",'Оперативный ввод'!U1036)</f>
        <v/>
      </c>
      <c r="AB1036" s="172">
        <f>IF('Оперативный ввод'!V1036="","",'Оперативный ввод'!V1036)</f>
        <v/>
      </c>
      <c r="AC1036" s="172">
        <f>IF('Оперативный ввод'!W1036="","",'Оперативный ввод'!W1036)</f>
        <v/>
      </c>
      <c r="BB1036" s="172" t="n"/>
      <c r="BC1036" s="172" t="n"/>
      <c r="BD1036" s="205">
        <f>IF(AND(A1036="",B1036=""),"",IF(AND(P1036="ГОТОВО",R1036&lt;&gt;"",T1036&lt;&gt;"",U1036&lt;&gt;"",AA1036&lt;&gt;"",AB1036&lt;&gt;"",AC1036&lt;&gt;"",BB1036&lt;&gt;"",BC1036&lt;&gt;""),"ГОТОВО","НЕ ГОТОВО"))</f>
        <v/>
      </c>
      <c r="BE1036" s="205">
        <f>IF(BD1036&lt;&gt;"ГОТОВО","","Полное заключение: "&amp;A1036&amp;", скв. "&amp;B1036&amp;". МРП: "&amp;E1036&amp;" сут. ГНО: "&amp;F1036&amp;"; причина: "&amp;U1036&amp;"; категория: "&amp;V1036&amp;"; решение комиссии: "&amp;BB1036&amp;".")</f>
        <v/>
      </c>
      <c r="BF1036" s="173">
        <f>IF('Оперативный ввод'!X1036="","",'Оперативный ввод'!X1036)</f>
        <v/>
      </c>
    </row>
    <row r="1037">
      <c r="A1037" s="171">
        <f>IF('Оперативный ввод'!A1037="","",'Оперативный ввод'!A1037)</f>
        <v/>
      </c>
      <c r="B1037" s="172">
        <f>IF('Оперативный ввод'!B1037="","",'Оперативный ввод'!B1037)</f>
        <v/>
      </c>
      <c r="C1037" s="270">
        <f>IF('Оперативный ввод'!C1037="","",'Оперативный ввод'!C1037)</f>
        <v/>
      </c>
      <c r="D1037" s="270">
        <f>IF('Оперативный ввод'!D1037="","",'Оперативный ввод'!D1037)</f>
        <v/>
      </c>
      <c r="E1037" s="271">
        <f>IF(OR(C1037="",D1037=""),"",D1037-C1037)</f>
        <v/>
      </c>
      <c r="F1037" s="172">
        <f>IF('Оперативный ввод'!F1037="","",'Оперативный ввод'!F1037)</f>
        <v/>
      </c>
      <c r="G1037" s="172">
        <f>IF('Оперативный ввод'!G1037="","",'Оперативный ввод'!G1037)</f>
        <v/>
      </c>
      <c r="H1037" s="172">
        <f>IF('Оперативный ввод'!H1037="","",'Оперативный ввод'!H1037)</f>
        <v/>
      </c>
      <c r="I1037" s="172">
        <f>IF('Оперативный ввод'!I1037="","",'Оперативный ввод'!I1037)</f>
        <v/>
      </c>
      <c r="J1037" s="172">
        <f>IF('Оперативный ввод'!J1037="","",'Оперативный ввод'!J1037)</f>
        <v/>
      </c>
      <c r="K1037" s="172">
        <f>IF('Оперативный ввод'!K1037="","",'Оперативный ввод'!K1037)</f>
        <v/>
      </c>
      <c r="L1037" s="172">
        <f>IF('Оперативный ввод'!L1037="","",'Оперативный ввод'!L1037)</f>
        <v/>
      </c>
      <c r="M1037" s="172">
        <f>IF('Оперативный ввод'!M1037="","",'Оперативный ввод'!M1037)</f>
        <v/>
      </c>
      <c r="N1037" s="172">
        <f>IF('Оперативный ввод'!N1037="","",'Оперативный ввод'!N1037)</f>
        <v/>
      </c>
      <c r="O1037" s="172">
        <f>IF('Оперативный ввод'!O1037="","",'Оперативный ввод'!O1037)</f>
        <v/>
      </c>
      <c r="P1037" s="205">
        <f>IF(AND(A1037="",B1037=""),"",IF(AND(A1037&lt;&gt;"",B1037&lt;&gt;"",C1037&lt;&gt;"",D1037&lt;&gt;"",F1037&lt;&gt;"",G1037&lt;&gt;"",H1037&lt;&gt;"",ISERROR(SEARCH("по паспорту",G1037)),ISERROR(SEARCH("по паспорту",H1037)),I1037&lt;&gt;"",J1037&lt;&gt;"",K1037&lt;&gt;"",L1037&lt;&gt;"",M1037&lt;&gt;""),"ГОТОВО","НЕ ГОТОВО"))</f>
        <v/>
      </c>
      <c r="Q1037" s="205">
        <f>IF(P1037&lt;&gt;"ГОТОВО","", "Предварительное заключение: "&amp;A1037&amp;", скв. "&amp;B1037&amp;". МРП: "&amp;E1037&amp;" сут. ГНО: "&amp;F1037&amp;", типоразмер "&amp;G1037&amp;", марка "&amp;H1037&amp;". Событие: "&amp;I1037&amp;". Признак: "&amp;J1037&amp;". Узел: "&amp;K1037&amp;". Предварительная причина: "&amp;L1037&amp;". Основное осложнение: "&amp;M1037&amp;IF(N1037&lt;&gt;"","; сопутствующее: "&amp;N1037,"")&amp;IF(O1037&lt;&gt;"","; дополнительно: "&amp;O1037,"")&amp;".")</f>
        <v/>
      </c>
      <c r="R1037" s="172">
        <f>IF('Оперативный ввод'!P1037="","",'Оперативный ввод'!P1037)</f>
        <v/>
      </c>
      <c r="S1037" s="172">
        <f>IF('Оперативный ввод'!Q1037="","",'Оперативный ввод'!Q1037)</f>
        <v/>
      </c>
      <c r="T1037" s="172">
        <f>IF('Оперативный ввод'!R1037="","",'Оперативный ввод'!R1037)</f>
        <v/>
      </c>
      <c r="U1037" s="172">
        <f>IF('Оперативный ввод'!S1037="","",'Оперативный ввод'!S1037)</f>
        <v/>
      </c>
      <c r="V1037" s="172">
        <f>IF('Оперативный ввод'!T1037="","",'Оперативный ввод'!T1037)</f>
        <v/>
      </c>
      <c r="W1037" s="172" t="n"/>
      <c r="X1037" s="172" t="n"/>
      <c r="Y1037" s="172" t="n"/>
      <c r="Z1037" s="172" t="n"/>
      <c r="AA1037" s="172">
        <f>IF('Оперативный ввод'!U1037="","",'Оперативный ввод'!U1037)</f>
        <v/>
      </c>
      <c r="AB1037" s="172">
        <f>IF('Оперативный ввод'!V1037="","",'Оперативный ввод'!V1037)</f>
        <v/>
      </c>
      <c r="AC1037" s="172">
        <f>IF('Оперативный ввод'!W1037="","",'Оперативный ввод'!W1037)</f>
        <v/>
      </c>
      <c r="BB1037" s="172" t="n"/>
      <c r="BC1037" s="172" t="n"/>
      <c r="BD1037" s="205">
        <f>IF(AND(A1037="",B1037=""),"",IF(AND(P1037="ГОТОВО",R1037&lt;&gt;"",T1037&lt;&gt;"",U1037&lt;&gt;"",AA1037&lt;&gt;"",AB1037&lt;&gt;"",AC1037&lt;&gt;"",BB1037&lt;&gt;"",BC1037&lt;&gt;""),"ГОТОВО","НЕ ГОТОВО"))</f>
        <v/>
      </c>
      <c r="BE1037" s="205">
        <f>IF(BD1037&lt;&gt;"ГОТОВО","","Полное заключение: "&amp;A1037&amp;", скв. "&amp;B1037&amp;". МРП: "&amp;E1037&amp;" сут. ГНО: "&amp;F1037&amp;"; причина: "&amp;U1037&amp;"; категория: "&amp;V1037&amp;"; решение комиссии: "&amp;BB1037&amp;".")</f>
        <v/>
      </c>
      <c r="BF1037" s="173">
        <f>IF('Оперативный ввод'!X1037="","",'Оперативный ввод'!X1037)</f>
        <v/>
      </c>
    </row>
    <row r="1038">
      <c r="A1038" s="171">
        <f>IF('Оперативный ввод'!A1038="","",'Оперативный ввод'!A1038)</f>
        <v/>
      </c>
      <c r="B1038" s="172">
        <f>IF('Оперативный ввод'!B1038="","",'Оперативный ввод'!B1038)</f>
        <v/>
      </c>
      <c r="C1038" s="270">
        <f>IF('Оперативный ввод'!C1038="","",'Оперативный ввод'!C1038)</f>
        <v/>
      </c>
      <c r="D1038" s="270">
        <f>IF('Оперативный ввод'!D1038="","",'Оперативный ввод'!D1038)</f>
        <v/>
      </c>
      <c r="E1038" s="271">
        <f>IF(OR(C1038="",D1038=""),"",D1038-C1038)</f>
        <v/>
      </c>
      <c r="F1038" s="172">
        <f>IF('Оперативный ввод'!F1038="","",'Оперативный ввод'!F1038)</f>
        <v/>
      </c>
      <c r="G1038" s="172">
        <f>IF('Оперативный ввод'!G1038="","",'Оперативный ввод'!G1038)</f>
        <v/>
      </c>
      <c r="H1038" s="172">
        <f>IF('Оперативный ввод'!H1038="","",'Оперативный ввод'!H1038)</f>
        <v/>
      </c>
      <c r="I1038" s="172">
        <f>IF('Оперативный ввод'!I1038="","",'Оперативный ввод'!I1038)</f>
        <v/>
      </c>
      <c r="J1038" s="172">
        <f>IF('Оперативный ввод'!J1038="","",'Оперативный ввод'!J1038)</f>
        <v/>
      </c>
      <c r="K1038" s="172">
        <f>IF('Оперативный ввод'!K1038="","",'Оперативный ввод'!K1038)</f>
        <v/>
      </c>
      <c r="L1038" s="172">
        <f>IF('Оперативный ввод'!L1038="","",'Оперативный ввод'!L1038)</f>
        <v/>
      </c>
      <c r="M1038" s="172">
        <f>IF('Оперативный ввод'!M1038="","",'Оперативный ввод'!M1038)</f>
        <v/>
      </c>
      <c r="N1038" s="172">
        <f>IF('Оперативный ввод'!N1038="","",'Оперативный ввод'!N1038)</f>
        <v/>
      </c>
      <c r="O1038" s="172">
        <f>IF('Оперативный ввод'!O1038="","",'Оперативный ввод'!O1038)</f>
        <v/>
      </c>
      <c r="P1038" s="205">
        <f>IF(AND(A1038="",B1038=""),"",IF(AND(A1038&lt;&gt;"",B1038&lt;&gt;"",C1038&lt;&gt;"",D1038&lt;&gt;"",F1038&lt;&gt;"",G1038&lt;&gt;"",H1038&lt;&gt;"",ISERROR(SEARCH("по паспорту",G1038)),ISERROR(SEARCH("по паспорту",H1038)),I1038&lt;&gt;"",J1038&lt;&gt;"",K1038&lt;&gt;"",L1038&lt;&gt;"",M1038&lt;&gt;""),"ГОТОВО","НЕ ГОТОВО"))</f>
        <v/>
      </c>
      <c r="Q1038" s="205">
        <f>IF(P1038&lt;&gt;"ГОТОВО","", "Предварительное заключение: "&amp;A1038&amp;", скв. "&amp;B1038&amp;". МРП: "&amp;E1038&amp;" сут. ГНО: "&amp;F1038&amp;", типоразмер "&amp;G1038&amp;", марка "&amp;H1038&amp;". Событие: "&amp;I1038&amp;". Признак: "&amp;J1038&amp;". Узел: "&amp;K1038&amp;". Предварительная причина: "&amp;L1038&amp;". Основное осложнение: "&amp;M1038&amp;IF(N1038&lt;&gt;"","; сопутствующее: "&amp;N1038,"")&amp;IF(O1038&lt;&gt;"","; дополнительно: "&amp;O1038,"")&amp;".")</f>
        <v/>
      </c>
      <c r="R1038" s="172">
        <f>IF('Оперативный ввод'!P1038="","",'Оперативный ввод'!P1038)</f>
        <v/>
      </c>
      <c r="S1038" s="172">
        <f>IF('Оперативный ввод'!Q1038="","",'Оперативный ввод'!Q1038)</f>
        <v/>
      </c>
      <c r="T1038" s="172">
        <f>IF('Оперативный ввод'!R1038="","",'Оперативный ввод'!R1038)</f>
        <v/>
      </c>
      <c r="U1038" s="172">
        <f>IF('Оперативный ввод'!S1038="","",'Оперативный ввод'!S1038)</f>
        <v/>
      </c>
      <c r="V1038" s="172">
        <f>IF('Оперативный ввод'!T1038="","",'Оперативный ввод'!T1038)</f>
        <v/>
      </c>
      <c r="W1038" s="172" t="n"/>
      <c r="X1038" s="172" t="n"/>
      <c r="Y1038" s="172" t="n"/>
      <c r="Z1038" s="172" t="n"/>
      <c r="AA1038" s="172">
        <f>IF('Оперативный ввод'!U1038="","",'Оперативный ввод'!U1038)</f>
        <v/>
      </c>
      <c r="AB1038" s="172">
        <f>IF('Оперативный ввод'!V1038="","",'Оперативный ввод'!V1038)</f>
        <v/>
      </c>
      <c r="AC1038" s="172">
        <f>IF('Оперативный ввод'!W1038="","",'Оперативный ввод'!W1038)</f>
        <v/>
      </c>
      <c r="BB1038" s="172" t="n"/>
      <c r="BC1038" s="172" t="n"/>
      <c r="BD1038" s="205">
        <f>IF(AND(A1038="",B1038=""),"",IF(AND(P1038="ГОТОВО",R1038&lt;&gt;"",T1038&lt;&gt;"",U1038&lt;&gt;"",AA1038&lt;&gt;"",AB1038&lt;&gt;"",AC1038&lt;&gt;"",BB1038&lt;&gt;"",BC1038&lt;&gt;""),"ГОТОВО","НЕ ГОТОВО"))</f>
        <v/>
      </c>
      <c r="BE1038" s="205">
        <f>IF(BD1038&lt;&gt;"ГОТОВО","","Полное заключение: "&amp;A1038&amp;", скв. "&amp;B1038&amp;". МРП: "&amp;E1038&amp;" сут. ГНО: "&amp;F1038&amp;"; причина: "&amp;U1038&amp;"; категория: "&amp;V1038&amp;"; решение комиссии: "&amp;BB1038&amp;".")</f>
        <v/>
      </c>
      <c r="BF1038" s="173">
        <f>IF('Оперативный ввод'!X1038="","",'Оперативный ввод'!X1038)</f>
        <v/>
      </c>
    </row>
    <row r="1039">
      <c r="A1039" s="171">
        <f>IF('Оперативный ввод'!A1039="","",'Оперативный ввод'!A1039)</f>
        <v/>
      </c>
      <c r="B1039" s="172">
        <f>IF('Оперативный ввод'!B1039="","",'Оперативный ввод'!B1039)</f>
        <v/>
      </c>
      <c r="C1039" s="270">
        <f>IF('Оперативный ввод'!C1039="","",'Оперативный ввод'!C1039)</f>
        <v/>
      </c>
      <c r="D1039" s="270">
        <f>IF('Оперативный ввод'!D1039="","",'Оперативный ввод'!D1039)</f>
        <v/>
      </c>
      <c r="E1039" s="271">
        <f>IF(OR(C1039="",D1039=""),"",D1039-C1039)</f>
        <v/>
      </c>
      <c r="F1039" s="172">
        <f>IF('Оперативный ввод'!F1039="","",'Оперативный ввод'!F1039)</f>
        <v/>
      </c>
      <c r="G1039" s="172">
        <f>IF('Оперативный ввод'!G1039="","",'Оперативный ввод'!G1039)</f>
        <v/>
      </c>
      <c r="H1039" s="172">
        <f>IF('Оперативный ввод'!H1039="","",'Оперативный ввод'!H1039)</f>
        <v/>
      </c>
      <c r="I1039" s="172">
        <f>IF('Оперативный ввод'!I1039="","",'Оперативный ввод'!I1039)</f>
        <v/>
      </c>
      <c r="J1039" s="172">
        <f>IF('Оперативный ввод'!J1039="","",'Оперативный ввод'!J1039)</f>
        <v/>
      </c>
      <c r="K1039" s="172">
        <f>IF('Оперативный ввод'!K1039="","",'Оперативный ввод'!K1039)</f>
        <v/>
      </c>
      <c r="L1039" s="172">
        <f>IF('Оперативный ввод'!L1039="","",'Оперативный ввод'!L1039)</f>
        <v/>
      </c>
      <c r="M1039" s="172">
        <f>IF('Оперативный ввод'!M1039="","",'Оперативный ввод'!M1039)</f>
        <v/>
      </c>
      <c r="N1039" s="172">
        <f>IF('Оперативный ввод'!N1039="","",'Оперативный ввод'!N1039)</f>
        <v/>
      </c>
      <c r="O1039" s="172">
        <f>IF('Оперативный ввод'!O1039="","",'Оперативный ввод'!O1039)</f>
        <v/>
      </c>
      <c r="P1039" s="205">
        <f>IF(AND(A1039="",B1039=""),"",IF(AND(A1039&lt;&gt;"",B1039&lt;&gt;"",C1039&lt;&gt;"",D1039&lt;&gt;"",F1039&lt;&gt;"",G1039&lt;&gt;"",H1039&lt;&gt;"",ISERROR(SEARCH("по паспорту",G1039)),ISERROR(SEARCH("по паспорту",H1039)),I1039&lt;&gt;"",J1039&lt;&gt;"",K1039&lt;&gt;"",L1039&lt;&gt;"",M1039&lt;&gt;""),"ГОТОВО","НЕ ГОТОВО"))</f>
        <v/>
      </c>
      <c r="Q1039" s="205">
        <f>IF(P1039&lt;&gt;"ГОТОВО","", "Предварительное заключение: "&amp;A1039&amp;", скв. "&amp;B1039&amp;". МРП: "&amp;E1039&amp;" сут. ГНО: "&amp;F1039&amp;", типоразмер "&amp;G1039&amp;", марка "&amp;H1039&amp;". Событие: "&amp;I1039&amp;". Признак: "&amp;J1039&amp;". Узел: "&amp;K1039&amp;". Предварительная причина: "&amp;L1039&amp;". Основное осложнение: "&amp;M1039&amp;IF(N1039&lt;&gt;"","; сопутствующее: "&amp;N1039,"")&amp;IF(O1039&lt;&gt;"","; дополнительно: "&amp;O1039,"")&amp;".")</f>
        <v/>
      </c>
      <c r="R1039" s="172">
        <f>IF('Оперативный ввод'!P1039="","",'Оперативный ввод'!P1039)</f>
        <v/>
      </c>
      <c r="S1039" s="172">
        <f>IF('Оперативный ввод'!Q1039="","",'Оперативный ввод'!Q1039)</f>
        <v/>
      </c>
      <c r="T1039" s="172">
        <f>IF('Оперативный ввод'!R1039="","",'Оперативный ввод'!R1039)</f>
        <v/>
      </c>
      <c r="U1039" s="172">
        <f>IF('Оперативный ввод'!S1039="","",'Оперативный ввод'!S1039)</f>
        <v/>
      </c>
      <c r="V1039" s="172">
        <f>IF('Оперативный ввод'!T1039="","",'Оперативный ввод'!T1039)</f>
        <v/>
      </c>
      <c r="W1039" s="172" t="n"/>
      <c r="X1039" s="172" t="n"/>
      <c r="Y1039" s="172" t="n"/>
      <c r="Z1039" s="172" t="n"/>
      <c r="AA1039" s="172">
        <f>IF('Оперативный ввод'!U1039="","",'Оперативный ввод'!U1039)</f>
        <v/>
      </c>
      <c r="AB1039" s="172">
        <f>IF('Оперативный ввод'!V1039="","",'Оперативный ввод'!V1039)</f>
        <v/>
      </c>
      <c r="AC1039" s="172">
        <f>IF('Оперативный ввод'!W1039="","",'Оперативный ввод'!W1039)</f>
        <v/>
      </c>
      <c r="BB1039" s="172" t="n"/>
      <c r="BC1039" s="172" t="n"/>
      <c r="BD1039" s="205">
        <f>IF(AND(A1039="",B1039=""),"",IF(AND(P1039="ГОТОВО",R1039&lt;&gt;"",T1039&lt;&gt;"",U1039&lt;&gt;"",AA1039&lt;&gt;"",AB1039&lt;&gt;"",AC1039&lt;&gt;"",BB1039&lt;&gt;"",BC1039&lt;&gt;""),"ГОТОВО","НЕ ГОТОВО"))</f>
        <v/>
      </c>
      <c r="BE1039" s="205">
        <f>IF(BD1039&lt;&gt;"ГОТОВО","","Полное заключение: "&amp;A1039&amp;", скв. "&amp;B1039&amp;". МРП: "&amp;E1039&amp;" сут. ГНО: "&amp;F1039&amp;"; причина: "&amp;U1039&amp;"; категория: "&amp;V1039&amp;"; решение комиссии: "&amp;BB1039&amp;".")</f>
        <v/>
      </c>
      <c r="BF1039" s="173">
        <f>IF('Оперативный ввод'!X1039="","",'Оперативный ввод'!X1039)</f>
        <v/>
      </c>
    </row>
    <row r="1040">
      <c r="A1040" s="171">
        <f>IF('Оперативный ввод'!A1040="","",'Оперативный ввод'!A1040)</f>
        <v/>
      </c>
      <c r="B1040" s="172">
        <f>IF('Оперативный ввод'!B1040="","",'Оперативный ввод'!B1040)</f>
        <v/>
      </c>
      <c r="C1040" s="270">
        <f>IF('Оперативный ввод'!C1040="","",'Оперативный ввод'!C1040)</f>
        <v/>
      </c>
      <c r="D1040" s="270">
        <f>IF('Оперативный ввод'!D1040="","",'Оперативный ввод'!D1040)</f>
        <v/>
      </c>
      <c r="E1040" s="271">
        <f>IF(OR(C1040="",D1040=""),"",D1040-C1040)</f>
        <v/>
      </c>
      <c r="F1040" s="172">
        <f>IF('Оперативный ввод'!F1040="","",'Оперативный ввод'!F1040)</f>
        <v/>
      </c>
      <c r="G1040" s="172">
        <f>IF('Оперативный ввод'!G1040="","",'Оперативный ввод'!G1040)</f>
        <v/>
      </c>
      <c r="H1040" s="172">
        <f>IF('Оперативный ввод'!H1040="","",'Оперативный ввод'!H1040)</f>
        <v/>
      </c>
      <c r="I1040" s="172">
        <f>IF('Оперативный ввод'!I1040="","",'Оперативный ввод'!I1040)</f>
        <v/>
      </c>
      <c r="J1040" s="172">
        <f>IF('Оперативный ввод'!J1040="","",'Оперативный ввод'!J1040)</f>
        <v/>
      </c>
      <c r="K1040" s="172">
        <f>IF('Оперативный ввод'!K1040="","",'Оперативный ввод'!K1040)</f>
        <v/>
      </c>
      <c r="L1040" s="172">
        <f>IF('Оперативный ввод'!L1040="","",'Оперативный ввод'!L1040)</f>
        <v/>
      </c>
      <c r="M1040" s="172">
        <f>IF('Оперативный ввод'!M1040="","",'Оперативный ввод'!M1040)</f>
        <v/>
      </c>
      <c r="N1040" s="172">
        <f>IF('Оперативный ввод'!N1040="","",'Оперативный ввод'!N1040)</f>
        <v/>
      </c>
      <c r="O1040" s="172">
        <f>IF('Оперативный ввод'!O1040="","",'Оперативный ввод'!O1040)</f>
        <v/>
      </c>
      <c r="P1040" s="205">
        <f>IF(AND(A1040="",B1040=""),"",IF(AND(A1040&lt;&gt;"",B1040&lt;&gt;"",C1040&lt;&gt;"",D1040&lt;&gt;"",F1040&lt;&gt;"",G1040&lt;&gt;"",H1040&lt;&gt;"",ISERROR(SEARCH("по паспорту",G1040)),ISERROR(SEARCH("по паспорту",H1040)),I1040&lt;&gt;"",J1040&lt;&gt;"",K1040&lt;&gt;"",L1040&lt;&gt;"",M1040&lt;&gt;""),"ГОТОВО","НЕ ГОТОВО"))</f>
        <v/>
      </c>
      <c r="Q1040" s="205">
        <f>IF(P1040&lt;&gt;"ГОТОВО","", "Предварительное заключение: "&amp;A1040&amp;", скв. "&amp;B1040&amp;". МРП: "&amp;E1040&amp;" сут. ГНО: "&amp;F1040&amp;", типоразмер "&amp;G1040&amp;", марка "&amp;H1040&amp;". Событие: "&amp;I1040&amp;". Признак: "&amp;J1040&amp;". Узел: "&amp;K1040&amp;". Предварительная причина: "&amp;L1040&amp;". Основное осложнение: "&amp;M1040&amp;IF(N1040&lt;&gt;"","; сопутствующее: "&amp;N1040,"")&amp;IF(O1040&lt;&gt;"","; дополнительно: "&amp;O1040,"")&amp;".")</f>
        <v/>
      </c>
      <c r="R1040" s="172">
        <f>IF('Оперативный ввод'!P1040="","",'Оперативный ввод'!P1040)</f>
        <v/>
      </c>
      <c r="S1040" s="172">
        <f>IF('Оперативный ввод'!Q1040="","",'Оперативный ввод'!Q1040)</f>
        <v/>
      </c>
      <c r="T1040" s="172">
        <f>IF('Оперативный ввод'!R1040="","",'Оперативный ввод'!R1040)</f>
        <v/>
      </c>
      <c r="U1040" s="172">
        <f>IF('Оперативный ввод'!S1040="","",'Оперативный ввод'!S1040)</f>
        <v/>
      </c>
      <c r="V1040" s="172">
        <f>IF('Оперативный ввод'!T1040="","",'Оперативный ввод'!T1040)</f>
        <v/>
      </c>
      <c r="W1040" s="172" t="n"/>
      <c r="X1040" s="172" t="n"/>
      <c r="Y1040" s="172" t="n"/>
      <c r="Z1040" s="172" t="n"/>
      <c r="AA1040" s="172">
        <f>IF('Оперативный ввод'!U1040="","",'Оперативный ввод'!U1040)</f>
        <v/>
      </c>
      <c r="AB1040" s="172">
        <f>IF('Оперативный ввод'!V1040="","",'Оперативный ввод'!V1040)</f>
        <v/>
      </c>
      <c r="AC1040" s="172">
        <f>IF('Оперативный ввод'!W1040="","",'Оперативный ввод'!W1040)</f>
        <v/>
      </c>
      <c r="BB1040" s="172" t="n"/>
      <c r="BC1040" s="172" t="n"/>
      <c r="BD1040" s="205">
        <f>IF(AND(A1040="",B1040=""),"",IF(AND(P1040="ГОТОВО",R1040&lt;&gt;"",T1040&lt;&gt;"",U1040&lt;&gt;"",AA1040&lt;&gt;"",AB1040&lt;&gt;"",AC1040&lt;&gt;"",BB1040&lt;&gt;"",BC1040&lt;&gt;""),"ГОТОВО","НЕ ГОТОВО"))</f>
        <v/>
      </c>
      <c r="BE1040" s="205">
        <f>IF(BD1040&lt;&gt;"ГОТОВО","","Полное заключение: "&amp;A1040&amp;", скв. "&amp;B1040&amp;". МРП: "&amp;E1040&amp;" сут. ГНО: "&amp;F1040&amp;"; причина: "&amp;U1040&amp;"; категория: "&amp;V1040&amp;"; решение комиссии: "&amp;BB1040&amp;".")</f>
        <v/>
      </c>
      <c r="BF1040" s="173">
        <f>IF('Оперативный ввод'!X1040="","",'Оперативный ввод'!X1040)</f>
        <v/>
      </c>
    </row>
    <row r="1041">
      <c r="A1041" s="171">
        <f>IF('Оперативный ввод'!A1041="","",'Оперативный ввод'!A1041)</f>
        <v/>
      </c>
      <c r="B1041" s="172">
        <f>IF('Оперативный ввод'!B1041="","",'Оперативный ввод'!B1041)</f>
        <v/>
      </c>
      <c r="C1041" s="270">
        <f>IF('Оперативный ввод'!C1041="","",'Оперативный ввод'!C1041)</f>
        <v/>
      </c>
      <c r="D1041" s="270">
        <f>IF('Оперативный ввод'!D1041="","",'Оперативный ввод'!D1041)</f>
        <v/>
      </c>
      <c r="E1041" s="271">
        <f>IF(OR(C1041="",D1041=""),"",D1041-C1041)</f>
        <v/>
      </c>
      <c r="F1041" s="172">
        <f>IF('Оперативный ввод'!F1041="","",'Оперативный ввод'!F1041)</f>
        <v/>
      </c>
      <c r="G1041" s="172">
        <f>IF('Оперативный ввод'!G1041="","",'Оперативный ввод'!G1041)</f>
        <v/>
      </c>
      <c r="H1041" s="172">
        <f>IF('Оперативный ввод'!H1041="","",'Оперативный ввод'!H1041)</f>
        <v/>
      </c>
      <c r="I1041" s="172">
        <f>IF('Оперативный ввод'!I1041="","",'Оперативный ввод'!I1041)</f>
        <v/>
      </c>
      <c r="J1041" s="172">
        <f>IF('Оперативный ввод'!J1041="","",'Оперативный ввод'!J1041)</f>
        <v/>
      </c>
      <c r="K1041" s="172">
        <f>IF('Оперативный ввод'!K1041="","",'Оперативный ввод'!K1041)</f>
        <v/>
      </c>
      <c r="L1041" s="172">
        <f>IF('Оперативный ввод'!L1041="","",'Оперативный ввод'!L1041)</f>
        <v/>
      </c>
      <c r="M1041" s="172">
        <f>IF('Оперативный ввод'!M1041="","",'Оперативный ввод'!M1041)</f>
        <v/>
      </c>
      <c r="N1041" s="172">
        <f>IF('Оперативный ввод'!N1041="","",'Оперативный ввод'!N1041)</f>
        <v/>
      </c>
      <c r="O1041" s="172">
        <f>IF('Оперативный ввод'!O1041="","",'Оперативный ввод'!O1041)</f>
        <v/>
      </c>
      <c r="P1041" s="205">
        <f>IF(AND(A1041="",B1041=""),"",IF(AND(A1041&lt;&gt;"",B1041&lt;&gt;"",C1041&lt;&gt;"",D1041&lt;&gt;"",F1041&lt;&gt;"",G1041&lt;&gt;"",H1041&lt;&gt;"",ISERROR(SEARCH("по паспорту",G1041)),ISERROR(SEARCH("по паспорту",H1041)),I1041&lt;&gt;"",J1041&lt;&gt;"",K1041&lt;&gt;"",L1041&lt;&gt;"",M1041&lt;&gt;""),"ГОТОВО","НЕ ГОТОВО"))</f>
        <v/>
      </c>
      <c r="Q1041" s="205">
        <f>IF(P1041&lt;&gt;"ГОТОВО","", "Предварительное заключение: "&amp;A1041&amp;", скв. "&amp;B1041&amp;". МРП: "&amp;E1041&amp;" сут. ГНО: "&amp;F1041&amp;", типоразмер "&amp;G1041&amp;", марка "&amp;H1041&amp;". Событие: "&amp;I1041&amp;". Признак: "&amp;J1041&amp;". Узел: "&amp;K1041&amp;". Предварительная причина: "&amp;L1041&amp;". Основное осложнение: "&amp;M1041&amp;IF(N1041&lt;&gt;"","; сопутствующее: "&amp;N1041,"")&amp;IF(O1041&lt;&gt;"","; дополнительно: "&amp;O1041,"")&amp;".")</f>
        <v/>
      </c>
      <c r="R1041" s="172">
        <f>IF('Оперативный ввод'!P1041="","",'Оперативный ввод'!P1041)</f>
        <v/>
      </c>
      <c r="S1041" s="172">
        <f>IF('Оперативный ввод'!Q1041="","",'Оперативный ввод'!Q1041)</f>
        <v/>
      </c>
      <c r="T1041" s="172">
        <f>IF('Оперативный ввод'!R1041="","",'Оперативный ввод'!R1041)</f>
        <v/>
      </c>
      <c r="U1041" s="172">
        <f>IF('Оперативный ввод'!S1041="","",'Оперативный ввод'!S1041)</f>
        <v/>
      </c>
      <c r="V1041" s="172">
        <f>IF('Оперативный ввод'!T1041="","",'Оперативный ввод'!T1041)</f>
        <v/>
      </c>
      <c r="W1041" s="172" t="n"/>
      <c r="X1041" s="172" t="n"/>
      <c r="Y1041" s="172" t="n"/>
      <c r="Z1041" s="172" t="n"/>
      <c r="AA1041" s="172">
        <f>IF('Оперативный ввод'!U1041="","",'Оперативный ввод'!U1041)</f>
        <v/>
      </c>
      <c r="AB1041" s="172">
        <f>IF('Оперативный ввод'!V1041="","",'Оперативный ввод'!V1041)</f>
        <v/>
      </c>
      <c r="AC1041" s="172">
        <f>IF('Оперативный ввод'!W1041="","",'Оперативный ввод'!W1041)</f>
        <v/>
      </c>
      <c r="BB1041" s="172" t="n"/>
      <c r="BC1041" s="172" t="n"/>
      <c r="BD1041" s="205">
        <f>IF(AND(A1041="",B1041=""),"",IF(AND(P1041="ГОТОВО",R1041&lt;&gt;"",T1041&lt;&gt;"",U1041&lt;&gt;"",AA1041&lt;&gt;"",AB1041&lt;&gt;"",AC1041&lt;&gt;"",BB1041&lt;&gt;"",BC1041&lt;&gt;""),"ГОТОВО","НЕ ГОТОВО"))</f>
        <v/>
      </c>
      <c r="BE1041" s="205">
        <f>IF(BD1041&lt;&gt;"ГОТОВО","","Полное заключение: "&amp;A1041&amp;", скв. "&amp;B1041&amp;". МРП: "&amp;E1041&amp;" сут. ГНО: "&amp;F1041&amp;"; причина: "&amp;U1041&amp;"; категория: "&amp;V1041&amp;"; решение комиссии: "&amp;BB1041&amp;".")</f>
        <v/>
      </c>
      <c r="BF1041" s="173">
        <f>IF('Оперативный ввод'!X1041="","",'Оперативный ввод'!X1041)</f>
        <v/>
      </c>
    </row>
    <row r="1042">
      <c r="A1042" s="171">
        <f>IF('Оперативный ввод'!A1042="","",'Оперативный ввод'!A1042)</f>
        <v/>
      </c>
      <c r="B1042" s="172">
        <f>IF('Оперативный ввод'!B1042="","",'Оперативный ввод'!B1042)</f>
        <v/>
      </c>
      <c r="C1042" s="270">
        <f>IF('Оперативный ввод'!C1042="","",'Оперативный ввод'!C1042)</f>
        <v/>
      </c>
      <c r="D1042" s="270">
        <f>IF('Оперативный ввод'!D1042="","",'Оперативный ввод'!D1042)</f>
        <v/>
      </c>
      <c r="E1042" s="271">
        <f>IF(OR(C1042="",D1042=""),"",D1042-C1042)</f>
        <v/>
      </c>
      <c r="F1042" s="172">
        <f>IF('Оперативный ввод'!F1042="","",'Оперативный ввод'!F1042)</f>
        <v/>
      </c>
      <c r="G1042" s="172">
        <f>IF('Оперативный ввод'!G1042="","",'Оперативный ввод'!G1042)</f>
        <v/>
      </c>
      <c r="H1042" s="172">
        <f>IF('Оперативный ввод'!H1042="","",'Оперативный ввод'!H1042)</f>
        <v/>
      </c>
      <c r="I1042" s="172">
        <f>IF('Оперативный ввод'!I1042="","",'Оперативный ввод'!I1042)</f>
        <v/>
      </c>
      <c r="J1042" s="172">
        <f>IF('Оперативный ввод'!J1042="","",'Оперативный ввод'!J1042)</f>
        <v/>
      </c>
      <c r="K1042" s="172">
        <f>IF('Оперативный ввод'!K1042="","",'Оперативный ввод'!K1042)</f>
        <v/>
      </c>
      <c r="L1042" s="172">
        <f>IF('Оперативный ввод'!L1042="","",'Оперативный ввод'!L1042)</f>
        <v/>
      </c>
      <c r="M1042" s="172">
        <f>IF('Оперативный ввод'!M1042="","",'Оперативный ввод'!M1042)</f>
        <v/>
      </c>
      <c r="N1042" s="172">
        <f>IF('Оперативный ввод'!N1042="","",'Оперативный ввод'!N1042)</f>
        <v/>
      </c>
      <c r="O1042" s="172">
        <f>IF('Оперативный ввод'!O1042="","",'Оперативный ввод'!O1042)</f>
        <v/>
      </c>
      <c r="P1042" s="205">
        <f>IF(AND(A1042="",B1042=""),"",IF(AND(A1042&lt;&gt;"",B1042&lt;&gt;"",C1042&lt;&gt;"",D1042&lt;&gt;"",F1042&lt;&gt;"",G1042&lt;&gt;"",H1042&lt;&gt;"",ISERROR(SEARCH("по паспорту",G1042)),ISERROR(SEARCH("по паспорту",H1042)),I1042&lt;&gt;"",J1042&lt;&gt;"",K1042&lt;&gt;"",L1042&lt;&gt;"",M1042&lt;&gt;""),"ГОТОВО","НЕ ГОТОВО"))</f>
        <v/>
      </c>
      <c r="Q1042" s="205">
        <f>IF(P1042&lt;&gt;"ГОТОВО","", "Предварительное заключение: "&amp;A1042&amp;", скв. "&amp;B1042&amp;". МРП: "&amp;E1042&amp;" сут. ГНО: "&amp;F1042&amp;", типоразмер "&amp;G1042&amp;", марка "&amp;H1042&amp;". Событие: "&amp;I1042&amp;". Признак: "&amp;J1042&amp;". Узел: "&amp;K1042&amp;". Предварительная причина: "&amp;L1042&amp;". Основное осложнение: "&amp;M1042&amp;IF(N1042&lt;&gt;"","; сопутствующее: "&amp;N1042,"")&amp;IF(O1042&lt;&gt;"","; дополнительно: "&amp;O1042,"")&amp;".")</f>
        <v/>
      </c>
      <c r="R1042" s="172">
        <f>IF('Оперативный ввод'!P1042="","",'Оперативный ввод'!P1042)</f>
        <v/>
      </c>
      <c r="S1042" s="172">
        <f>IF('Оперативный ввод'!Q1042="","",'Оперативный ввод'!Q1042)</f>
        <v/>
      </c>
      <c r="T1042" s="172">
        <f>IF('Оперативный ввод'!R1042="","",'Оперативный ввод'!R1042)</f>
        <v/>
      </c>
      <c r="U1042" s="172">
        <f>IF('Оперативный ввод'!S1042="","",'Оперативный ввод'!S1042)</f>
        <v/>
      </c>
      <c r="V1042" s="172">
        <f>IF('Оперативный ввод'!T1042="","",'Оперативный ввод'!T1042)</f>
        <v/>
      </c>
      <c r="W1042" s="172" t="n"/>
      <c r="X1042" s="172" t="n"/>
      <c r="Y1042" s="172" t="n"/>
      <c r="Z1042" s="172" t="n"/>
      <c r="AA1042" s="172">
        <f>IF('Оперативный ввод'!U1042="","",'Оперативный ввод'!U1042)</f>
        <v/>
      </c>
      <c r="AB1042" s="172">
        <f>IF('Оперативный ввод'!V1042="","",'Оперативный ввод'!V1042)</f>
        <v/>
      </c>
      <c r="AC1042" s="172">
        <f>IF('Оперативный ввод'!W1042="","",'Оперативный ввод'!W1042)</f>
        <v/>
      </c>
      <c r="BB1042" s="172" t="n"/>
      <c r="BC1042" s="172" t="n"/>
      <c r="BD1042" s="205">
        <f>IF(AND(A1042="",B1042=""),"",IF(AND(P1042="ГОТОВО",R1042&lt;&gt;"",T1042&lt;&gt;"",U1042&lt;&gt;"",AA1042&lt;&gt;"",AB1042&lt;&gt;"",AC1042&lt;&gt;"",BB1042&lt;&gt;"",BC1042&lt;&gt;""),"ГОТОВО","НЕ ГОТОВО"))</f>
        <v/>
      </c>
      <c r="BE1042" s="205">
        <f>IF(BD1042&lt;&gt;"ГОТОВО","","Полное заключение: "&amp;A1042&amp;", скв. "&amp;B1042&amp;". МРП: "&amp;E1042&amp;" сут. ГНО: "&amp;F1042&amp;"; причина: "&amp;U1042&amp;"; категория: "&amp;V1042&amp;"; решение комиссии: "&amp;BB1042&amp;".")</f>
        <v/>
      </c>
      <c r="BF1042" s="173">
        <f>IF('Оперативный ввод'!X1042="","",'Оперативный ввод'!X1042)</f>
        <v/>
      </c>
    </row>
    <row r="1043">
      <c r="A1043" s="171">
        <f>IF('Оперативный ввод'!A1043="","",'Оперативный ввод'!A1043)</f>
        <v/>
      </c>
      <c r="B1043" s="172">
        <f>IF('Оперативный ввод'!B1043="","",'Оперативный ввод'!B1043)</f>
        <v/>
      </c>
      <c r="C1043" s="270">
        <f>IF('Оперативный ввод'!C1043="","",'Оперативный ввод'!C1043)</f>
        <v/>
      </c>
      <c r="D1043" s="270">
        <f>IF('Оперативный ввод'!D1043="","",'Оперативный ввод'!D1043)</f>
        <v/>
      </c>
      <c r="E1043" s="271">
        <f>IF(OR(C1043="",D1043=""),"",D1043-C1043)</f>
        <v/>
      </c>
      <c r="F1043" s="172">
        <f>IF('Оперативный ввод'!F1043="","",'Оперативный ввод'!F1043)</f>
        <v/>
      </c>
      <c r="G1043" s="172">
        <f>IF('Оперативный ввод'!G1043="","",'Оперативный ввод'!G1043)</f>
        <v/>
      </c>
      <c r="H1043" s="172">
        <f>IF('Оперативный ввод'!H1043="","",'Оперативный ввод'!H1043)</f>
        <v/>
      </c>
      <c r="I1043" s="172">
        <f>IF('Оперативный ввод'!I1043="","",'Оперативный ввод'!I1043)</f>
        <v/>
      </c>
      <c r="J1043" s="172">
        <f>IF('Оперативный ввод'!J1043="","",'Оперативный ввод'!J1043)</f>
        <v/>
      </c>
      <c r="K1043" s="172">
        <f>IF('Оперативный ввод'!K1043="","",'Оперативный ввод'!K1043)</f>
        <v/>
      </c>
      <c r="L1043" s="172">
        <f>IF('Оперативный ввод'!L1043="","",'Оперативный ввод'!L1043)</f>
        <v/>
      </c>
      <c r="M1043" s="172">
        <f>IF('Оперативный ввод'!M1043="","",'Оперативный ввод'!M1043)</f>
        <v/>
      </c>
      <c r="N1043" s="172">
        <f>IF('Оперативный ввод'!N1043="","",'Оперативный ввод'!N1043)</f>
        <v/>
      </c>
      <c r="O1043" s="172">
        <f>IF('Оперативный ввод'!O1043="","",'Оперативный ввод'!O1043)</f>
        <v/>
      </c>
      <c r="P1043" s="205">
        <f>IF(AND(A1043="",B1043=""),"",IF(AND(A1043&lt;&gt;"",B1043&lt;&gt;"",C1043&lt;&gt;"",D1043&lt;&gt;"",F1043&lt;&gt;"",G1043&lt;&gt;"",H1043&lt;&gt;"",ISERROR(SEARCH("по паспорту",G1043)),ISERROR(SEARCH("по паспорту",H1043)),I1043&lt;&gt;"",J1043&lt;&gt;"",K1043&lt;&gt;"",L1043&lt;&gt;"",M1043&lt;&gt;""),"ГОТОВО","НЕ ГОТОВО"))</f>
        <v/>
      </c>
      <c r="Q1043" s="205">
        <f>IF(P1043&lt;&gt;"ГОТОВО","", "Предварительное заключение: "&amp;A1043&amp;", скв. "&amp;B1043&amp;". МРП: "&amp;E1043&amp;" сут. ГНО: "&amp;F1043&amp;", типоразмер "&amp;G1043&amp;", марка "&amp;H1043&amp;". Событие: "&amp;I1043&amp;". Признак: "&amp;J1043&amp;". Узел: "&amp;K1043&amp;". Предварительная причина: "&amp;L1043&amp;". Основное осложнение: "&amp;M1043&amp;IF(N1043&lt;&gt;"","; сопутствующее: "&amp;N1043,"")&amp;IF(O1043&lt;&gt;"","; дополнительно: "&amp;O1043,"")&amp;".")</f>
        <v/>
      </c>
      <c r="R1043" s="172">
        <f>IF('Оперативный ввод'!P1043="","",'Оперативный ввод'!P1043)</f>
        <v/>
      </c>
      <c r="S1043" s="172">
        <f>IF('Оперативный ввод'!Q1043="","",'Оперативный ввод'!Q1043)</f>
        <v/>
      </c>
      <c r="T1043" s="172">
        <f>IF('Оперативный ввод'!R1043="","",'Оперативный ввод'!R1043)</f>
        <v/>
      </c>
      <c r="U1043" s="172">
        <f>IF('Оперативный ввод'!S1043="","",'Оперативный ввод'!S1043)</f>
        <v/>
      </c>
      <c r="V1043" s="172">
        <f>IF('Оперативный ввод'!T1043="","",'Оперативный ввод'!T1043)</f>
        <v/>
      </c>
      <c r="W1043" s="172" t="n"/>
      <c r="X1043" s="172" t="n"/>
      <c r="Y1043" s="172" t="n"/>
      <c r="Z1043" s="172" t="n"/>
      <c r="AA1043" s="172">
        <f>IF('Оперативный ввод'!U1043="","",'Оперативный ввод'!U1043)</f>
        <v/>
      </c>
      <c r="AB1043" s="172">
        <f>IF('Оперативный ввод'!V1043="","",'Оперативный ввод'!V1043)</f>
        <v/>
      </c>
      <c r="AC1043" s="172">
        <f>IF('Оперативный ввод'!W1043="","",'Оперативный ввод'!W1043)</f>
        <v/>
      </c>
      <c r="BB1043" s="172" t="n"/>
      <c r="BC1043" s="172" t="n"/>
      <c r="BD1043" s="205">
        <f>IF(AND(A1043="",B1043=""),"",IF(AND(P1043="ГОТОВО",R1043&lt;&gt;"",T1043&lt;&gt;"",U1043&lt;&gt;"",AA1043&lt;&gt;"",AB1043&lt;&gt;"",AC1043&lt;&gt;"",BB1043&lt;&gt;"",BC1043&lt;&gt;""),"ГОТОВО","НЕ ГОТОВО"))</f>
        <v/>
      </c>
      <c r="BE1043" s="205">
        <f>IF(BD1043&lt;&gt;"ГОТОВО","","Полное заключение: "&amp;A1043&amp;", скв. "&amp;B1043&amp;". МРП: "&amp;E1043&amp;" сут. ГНО: "&amp;F1043&amp;"; причина: "&amp;U1043&amp;"; категория: "&amp;V1043&amp;"; решение комиссии: "&amp;BB1043&amp;".")</f>
        <v/>
      </c>
      <c r="BF1043" s="173">
        <f>IF('Оперативный ввод'!X1043="","",'Оперативный ввод'!X1043)</f>
        <v/>
      </c>
    </row>
    <row r="1044">
      <c r="A1044" s="171">
        <f>IF('Оперативный ввод'!A1044="","",'Оперативный ввод'!A1044)</f>
        <v/>
      </c>
      <c r="B1044" s="172">
        <f>IF('Оперативный ввод'!B1044="","",'Оперативный ввод'!B1044)</f>
        <v/>
      </c>
      <c r="C1044" s="270">
        <f>IF('Оперативный ввод'!C1044="","",'Оперативный ввод'!C1044)</f>
        <v/>
      </c>
      <c r="D1044" s="270">
        <f>IF('Оперативный ввод'!D1044="","",'Оперативный ввод'!D1044)</f>
        <v/>
      </c>
      <c r="E1044" s="271">
        <f>IF(OR(C1044="",D1044=""),"",D1044-C1044)</f>
        <v/>
      </c>
      <c r="F1044" s="172">
        <f>IF('Оперативный ввод'!F1044="","",'Оперативный ввод'!F1044)</f>
        <v/>
      </c>
      <c r="G1044" s="172">
        <f>IF('Оперативный ввод'!G1044="","",'Оперативный ввод'!G1044)</f>
        <v/>
      </c>
      <c r="H1044" s="172">
        <f>IF('Оперативный ввод'!H1044="","",'Оперативный ввод'!H1044)</f>
        <v/>
      </c>
      <c r="I1044" s="172">
        <f>IF('Оперативный ввод'!I1044="","",'Оперативный ввод'!I1044)</f>
        <v/>
      </c>
      <c r="J1044" s="172">
        <f>IF('Оперативный ввод'!J1044="","",'Оперативный ввод'!J1044)</f>
        <v/>
      </c>
      <c r="K1044" s="172">
        <f>IF('Оперативный ввод'!K1044="","",'Оперативный ввод'!K1044)</f>
        <v/>
      </c>
      <c r="L1044" s="172">
        <f>IF('Оперативный ввод'!L1044="","",'Оперативный ввод'!L1044)</f>
        <v/>
      </c>
      <c r="M1044" s="172">
        <f>IF('Оперативный ввод'!M1044="","",'Оперативный ввод'!M1044)</f>
        <v/>
      </c>
      <c r="N1044" s="172">
        <f>IF('Оперативный ввод'!N1044="","",'Оперативный ввод'!N1044)</f>
        <v/>
      </c>
      <c r="O1044" s="172">
        <f>IF('Оперативный ввод'!O1044="","",'Оперативный ввод'!O1044)</f>
        <v/>
      </c>
      <c r="P1044" s="205">
        <f>IF(AND(A1044="",B1044=""),"",IF(AND(A1044&lt;&gt;"",B1044&lt;&gt;"",C1044&lt;&gt;"",D1044&lt;&gt;"",F1044&lt;&gt;"",G1044&lt;&gt;"",H1044&lt;&gt;"",ISERROR(SEARCH("по паспорту",G1044)),ISERROR(SEARCH("по паспорту",H1044)),I1044&lt;&gt;"",J1044&lt;&gt;"",K1044&lt;&gt;"",L1044&lt;&gt;"",M1044&lt;&gt;""),"ГОТОВО","НЕ ГОТОВО"))</f>
        <v/>
      </c>
      <c r="Q1044" s="205">
        <f>IF(P1044&lt;&gt;"ГОТОВО","", "Предварительное заключение: "&amp;A1044&amp;", скв. "&amp;B1044&amp;". МРП: "&amp;E1044&amp;" сут. ГНО: "&amp;F1044&amp;", типоразмер "&amp;G1044&amp;", марка "&amp;H1044&amp;". Событие: "&amp;I1044&amp;". Признак: "&amp;J1044&amp;". Узел: "&amp;K1044&amp;". Предварительная причина: "&amp;L1044&amp;". Основное осложнение: "&amp;M1044&amp;IF(N1044&lt;&gt;"","; сопутствующее: "&amp;N1044,"")&amp;IF(O1044&lt;&gt;"","; дополнительно: "&amp;O1044,"")&amp;".")</f>
        <v/>
      </c>
      <c r="R1044" s="172">
        <f>IF('Оперативный ввод'!P1044="","",'Оперативный ввод'!P1044)</f>
        <v/>
      </c>
      <c r="S1044" s="172">
        <f>IF('Оперативный ввод'!Q1044="","",'Оперативный ввод'!Q1044)</f>
        <v/>
      </c>
      <c r="T1044" s="172">
        <f>IF('Оперативный ввод'!R1044="","",'Оперативный ввод'!R1044)</f>
        <v/>
      </c>
      <c r="U1044" s="172">
        <f>IF('Оперативный ввод'!S1044="","",'Оперативный ввод'!S1044)</f>
        <v/>
      </c>
      <c r="V1044" s="172">
        <f>IF('Оперативный ввод'!T1044="","",'Оперативный ввод'!T1044)</f>
        <v/>
      </c>
      <c r="W1044" s="172" t="n"/>
      <c r="X1044" s="172" t="n"/>
      <c r="Y1044" s="172" t="n"/>
      <c r="Z1044" s="172" t="n"/>
      <c r="AA1044" s="172">
        <f>IF('Оперативный ввод'!U1044="","",'Оперативный ввод'!U1044)</f>
        <v/>
      </c>
      <c r="AB1044" s="172">
        <f>IF('Оперативный ввод'!V1044="","",'Оперативный ввод'!V1044)</f>
        <v/>
      </c>
      <c r="AC1044" s="172">
        <f>IF('Оперативный ввод'!W1044="","",'Оперативный ввод'!W1044)</f>
        <v/>
      </c>
      <c r="BB1044" s="172" t="n"/>
      <c r="BC1044" s="172" t="n"/>
      <c r="BD1044" s="205">
        <f>IF(AND(A1044="",B1044=""),"",IF(AND(P1044="ГОТОВО",R1044&lt;&gt;"",T1044&lt;&gt;"",U1044&lt;&gt;"",AA1044&lt;&gt;"",AB1044&lt;&gt;"",AC1044&lt;&gt;"",BB1044&lt;&gt;"",BC1044&lt;&gt;""),"ГОТОВО","НЕ ГОТОВО"))</f>
        <v/>
      </c>
      <c r="BE1044" s="205">
        <f>IF(BD1044&lt;&gt;"ГОТОВО","","Полное заключение: "&amp;A1044&amp;", скв. "&amp;B1044&amp;". МРП: "&amp;E1044&amp;" сут. ГНО: "&amp;F1044&amp;"; причина: "&amp;U1044&amp;"; категория: "&amp;V1044&amp;"; решение комиссии: "&amp;BB1044&amp;".")</f>
        <v/>
      </c>
      <c r="BF1044" s="173">
        <f>IF('Оперативный ввод'!X1044="","",'Оперативный ввод'!X1044)</f>
        <v/>
      </c>
    </row>
    <row r="1045">
      <c r="A1045" s="171">
        <f>IF('Оперативный ввод'!A1045="","",'Оперативный ввод'!A1045)</f>
        <v/>
      </c>
      <c r="B1045" s="172">
        <f>IF('Оперативный ввод'!B1045="","",'Оперативный ввод'!B1045)</f>
        <v/>
      </c>
      <c r="C1045" s="270">
        <f>IF('Оперативный ввод'!C1045="","",'Оперативный ввод'!C1045)</f>
        <v/>
      </c>
      <c r="D1045" s="270">
        <f>IF('Оперативный ввод'!D1045="","",'Оперативный ввод'!D1045)</f>
        <v/>
      </c>
      <c r="E1045" s="271">
        <f>IF(OR(C1045="",D1045=""),"",D1045-C1045)</f>
        <v/>
      </c>
      <c r="F1045" s="172">
        <f>IF('Оперативный ввод'!F1045="","",'Оперативный ввод'!F1045)</f>
        <v/>
      </c>
      <c r="G1045" s="172">
        <f>IF('Оперативный ввод'!G1045="","",'Оперативный ввод'!G1045)</f>
        <v/>
      </c>
      <c r="H1045" s="172">
        <f>IF('Оперативный ввод'!H1045="","",'Оперативный ввод'!H1045)</f>
        <v/>
      </c>
      <c r="I1045" s="172">
        <f>IF('Оперативный ввод'!I1045="","",'Оперативный ввод'!I1045)</f>
        <v/>
      </c>
      <c r="J1045" s="172">
        <f>IF('Оперативный ввод'!J1045="","",'Оперативный ввод'!J1045)</f>
        <v/>
      </c>
      <c r="K1045" s="172">
        <f>IF('Оперативный ввод'!K1045="","",'Оперативный ввод'!K1045)</f>
        <v/>
      </c>
      <c r="L1045" s="172">
        <f>IF('Оперативный ввод'!L1045="","",'Оперативный ввод'!L1045)</f>
        <v/>
      </c>
      <c r="M1045" s="172">
        <f>IF('Оперативный ввод'!M1045="","",'Оперативный ввод'!M1045)</f>
        <v/>
      </c>
      <c r="N1045" s="172">
        <f>IF('Оперативный ввод'!N1045="","",'Оперативный ввод'!N1045)</f>
        <v/>
      </c>
      <c r="O1045" s="172">
        <f>IF('Оперативный ввод'!O1045="","",'Оперативный ввод'!O1045)</f>
        <v/>
      </c>
      <c r="P1045" s="205">
        <f>IF(AND(A1045="",B1045=""),"",IF(AND(A1045&lt;&gt;"",B1045&lt;&gt;"",C1045&lt;&gt;"",D1045&lt;&gt;"",F1045&lt;&gt;"",G1045&lt;&gt;"",H1045&lt;&gt;"",ISERROR(SEARCH("по паспорту",G1045)),ISERROR(SEARCH("по паспорту",H1045)),I1045&lt;&gt;"",J1045&lt;&gt;"",K1045&lt;&gt;"",L1045&lt;&gt;"",M1045&lt;&gt;""),"ГОТОВО","НЕ ГОТОВО"))</f>
        <v/>
      </c>
      <c r="Q1045" s="205">
        <f>IF(P1045&lt;&gt;"ГОТОВО","", "Предварительное заключение: "&amp;A1045&amp;", скв. "&amp;B1045&amp;". МРП: "&amp;E1045&amp;" сут. ГНО: "&amp;F1045&amp;", типоразмер "&amp;G1045&amp;", марка "&amp;H1045&amp;". Событие: "&amp;I1045&amp;". Признак: "&amp;J1045&amp;". Узел: "&amp;K1045&amp;". Предварительная причина: "&amp;L1045&amp;". Основное осложнение: "&amp;M1045&amp;IF(N1045&lt;&gt;"","; сопутствующее: "&amp;N1045,"")&amp;IF(O1045&lt;&gt;"","; дополнительно: "&amp;O1045,"")&amp;".")</f>
        <v/>
      </c>
      <c r="R1045" s="172">
        <f>IF('Оперативный ввод'!P1045="","",'Оперативный ввод'!P1045)</f>
        <v/>
      </c>
      <c r="S1045" s="172">
        <f>IF('Оперативный ввод'!Q1045="","",'Оперативный ввод'!Q1045)</f>
        <v/>
      </c>
      <c r="T1045" s="172">
        <f>IF('Оперативный ввод'!R1045="","",'Оперативный ввод'!R1045)</f>
        <v/>
      </c>
      <c r="U1045" s="172">
        <f>IF('Оперативный ввод'!S1045="","",'Оперативный ввод'!S1045)</f>
        <v/>
      </c>
      <c r="V1045" s="172">
        <f>IF('Оперативный ввод'!T1045="","",'Оперативный ввод'!T1045)</f>
        <v/>
      </c>
      <c r="W1045" s="172" t="n"/>
      <c r="X1045" s="172" t="n"/>
      <c r="Y1045" s="172" t="n"/>
      <c r="Z1045" s="172" t="n"/>
      <c r="AA1045" s="172">
        <f>IF('Оперативный ввод'!U1045="","",'Оперативный ввод'!U1045)</f>
        <v/>
      </c>
      <c r="AB1045" s="172">
        <f>IF('Оперативный ввод'!V1045="","",'Оперативный ввод'!V1045)</f>
        <v/>
      </c>
      <c r="AC1045" s="172">
        <f>IF('Оперативный ввод'!W1045="","",'Оперативный ввод'!W1045)</f>
        <v/>
      </c>
      <c r="BB1045" s="172" t="n"/>
      <c r="BC1045" s="172" t="n"/>
      <c r="BD1045" s="205">
        <f>IF(AND(A1045="",B1045=""),"",IF(AND(P1045="ГОТОВО",R1045&lt;&gt;"",T1045&lt;&gt;"",U1045&lt;&gt;"",AA1045&lt;&gt;"",AB1045&lt;&gt;"",AC1045&lt;&gt;"",BB1045&lt;&gt;"",BC1045&lt;&gt;""),"ГОТОВО","НЕ ГОТОВО"))</f>
        <v/>
      </c>
      <c r="BE1045" s="205">
        <f>IF(BD1045&lt;&gt;"ГОТОВО","","Полное заключение: "&amp;A1045&amp;", скв. "&amp;B1045&amp;". МРП: "&amp;E1045&amp;" сут. ГНО: "&amp;F1045&amp;"; причина: "&amp;U1045&amp;"; категория: "&amp;V1045&amp;"; решение комиссии: "&amp;BB1045&amp;".")</f>
        <v/>
      </c>
      <c r="BF1045" s="173">
        <f>IF('Оперативный ввод'!X1045="","",'Оперативный ввод'!X1045)</f>
        <v/>
      </c>
    </row>
    <row r="1046">
      <c r="A1046" s="171">
        <f>IF('Оперативный ввод'!A1046="","",'Оперативный ввод'!A1046)</f>
        <v/>
      </c>
      <c r="B1046" s="172">
        <f>IF('Оперативный ввод'!B1046="","",'Оперативный ввод'!B1046)</f>
        <v/>
      </c>
      <c r="C1046" s="270">
        <f>IF('Оперативный ввод'!C1046="","",'Оперативный ввод'!C1046)</f>
        <v/>
      </c>
      <c r="D1046" s="270">
        <f>IF('Оперативный ввод'!D1046="","",'Оперативный ввод'!D1046)</f>
        <v/>
      </c>
      <c r="E1046" s="271">
        <f>IF(OR(C1046="",D1046=""),"",D1046-C1046)</f>
        <v/>
      </c>
      <c r="F1046" s="172">
        <f>IF('Оперативный ввод'!F1046="","",'Оперативный ввод'!F1046)</f>
        <v/>
      </c>
      <c r="G1046" s="172">
        <f>IF('Оперативный ввод'!G1046="","",'Оперативный ввод'!G1046)</f>
        <v/>
      </c>
      <c r="H1046" s="172">
        <f>IF('Оперативный ввод'!H1046="","",'Оперативный ввод'!H1046)</f>
        <v/>
      </c>
      <c r="I1046" s="172">
        <f>IF('Оперативный ввод'!I1046="","",'Оперативный ввод'!I1046)</f>
        <v/>
      </c>
      <c r="J1046" s="172">
        <f>IF('Оперативный ввод'!J1046="","",'Оперативный ввод'!J1046)</f>
        <v/>
      </c>
      <c r="K1046" s="172">
        <f>IF('Оперативный ввод'!K1046="","",'Оперативный ввод'!K1046)</f>
        <v/>
      </c>
      <c r="L1046" s="172">
        <f>IF('Оперативный ввод'!L1046="","",'Оперативный ввод'!L1046)</f>
        <v/>
      </c>
      <c r="M1046" s="172">
        <f>IF('Оперативный ввод'!M1046="","",'Оперативный ввод'!M1046)</f>
        <v/>
      </c>
      <c r="N1046" s="172">
        <f>IF('Оперативный ввод'!N1046="","",'Оперативный ввод'!N1046)</f>
        <v/>
      </c>
      <c r="O1046" s="172">
        <f>IF('Оперативный ввод'!O1046="","",'Оперативный ввод'!O1046)</f>
        <v/>
      </c>
      <c r="P1046" s="205">
        <f>IF(AND(A1046="",B1046=""),"",IF(AND(A1046&lt;&gt;"",B1046&lt;&gt;"",C1046&lt;&gt;"",D1046&lt;&gt;"",F1046&lt;&gt;"",G1046&lt;&gt;"",H1046&lt;&gt;"",ISERROR(SEARCH("по паспорту",G1046)),ISERROR(SEARCH("по паспорту",H1046)),I1046&lt;&gt;"",J1046&lt;&gt;"",K1046&lt;&gt;"",L1046&lt;&gt;"",M1046&lt;&gt;""),"ГОТОВО","НЕ ГОТОВО"))</f>
        <v/>
      </c>
      <c r="Q1046" s="205">
        <f>IF(P1046&lt;&gt;"ГОТОВО","", "Предварительное заключение: "&amp;A1046&amp;", скв. "&amp;B1046&amp;". МРП: "&amp;E1046&amp;" сут. ГНО: "&amp;F1046&amp;", типоразмер "&amp;G1046&amp;", марка "&amp;H1046&amp;". Событие: "&amp;I1046&amp;". Признак: "&amp;J1046&amp;". Узел: "&amp;K1046&amp;". Предварительная причина: "&amp;L1046&amp;". Основное осложнение: "&amp;M1046&amp;IF(N1046&lt;&gt;"","; сопутствующее: "&amp;N1046,"")&amp;IF(O1046&lt;&gt;"","; дополнительно: "&amp;O1046,"")&amp;".")</f>
        <v/>
      </c>
      <c r="R1046" s="172">
        <f>IF('Оперативный ввод'!P1046="","",'Оперативный ввод'!P1046)</f>
        <v/>
      </c>
      <c r="S1046" s="172">
        <f>IF('Оперативный ввод'!Q1046="","",'Оперативный ввод'!Q1046)</f>
        <v/>
      </c>
      <c r="T1046" s="172">
        <f>IF('Оперативный ввод'!R1046="","",'Оперативный ввод'!R1046)</f>
        <v/>
      </c>
      <c r="U1046" s="172">
        <f>IF('Оперативный ввод'!S1046="","",'Оперативный ввод'!S1046)</f>
        <v/>
      </c>
      <c r="V1046" s="172">
        <f>IF('Оперативный ввод'!T1046="","",'Оперативный ввод'!T1046)</f>
        <v/>
      </c>
      <c r="W1046" s="172" t="n"/>
      <c r="X1046" s="172" t="n"/>
      <c r="Y1046" s="172" t="n"/>
      <c r="Z1046" s="172" t="n"/>
      <c r="AA1046" s="172">
        <f>IF('Оперативный ввод'!U1046="","",'Оперативный ввод'!U1046)</f>
        <v/>
      </c>
      <c r="AB1046" s="172">
        <f>IF('Оперативный ввод'!V1046="","",'Оперативный ввод'!V1046)</f>
        <v/>
      </c>
      <c r="AC1046" s="172">
        <f>IF('Оперативный ввод'!W1046="","",'Оперативный ввод'!W1046)</f>
        <v/>
      </c>
      <c r="BB1046" s="172" t="n"/>
      <c r="BC1046" s="172" t="n"/>
      <c r="BD1046" s="205">
        <f>IF(AND(A1046="",B1046=""),"",IF(AND(P1046="ГОТОВО",R1046&lt;&gt;"",T1046&lt;&gt;"",U1046&lt;&gt;"",AA1046&lt;&gt;"",AB1046&lt;&gt;"",AC1046&lt;&gt;"",BB1046&lt;&gt;"",BC1046&lt;&gt;""),"ГОТОВО","НЕ ГОТОВО"))</f>
        <v/>
      </c>
      <c r="BE1046" s="205">
        <f>IF(BD1046&lt;&gt;"ГОТОВО","","Полное заключение: "&amp;A1046&amp;", скв. "&amp;B1046&amp;". МРП: "&amp;E1046&amp;" сут. ГНО: "&amp;F1046&amp;"; причина: "&amp;U1046&amp;"; категория: "&amp;V1046&amp;"; решение комиссии: "&amp;BB1046&amp;".")</f>
        <v/>
      </c>
      <c r="BF1046" s="173">
        <f>IF('Оперативный ввод'!X1046="","",'Оперативный ввод'!X1046)</f>
        <v/>
      </c>
    </row>
    <row r="1047">
      <c r="A1047" s="171">
        <f>IF('Оперативный ввод'!A1047="","",'Оперативный ввод'!A1047)</f>
        <v/>
      </c>
      <c r="B1047" s="172">
        <f>IF('Оперативный ввод'!B1047="","",'Оперативный ввод'!B1047)</f>
        <v/>
      </c>
      <c r="C1047" s="270">
        <f>IF('Оперативный ввод'!C1047="","",'Оперативный ввод'!C1047)</f>
        <v/>
      </c>
      <c r="D1047" s="270">
        <f>IF('Оперативный ввод'!D1047="","",'Оперативный ввод'!D1047)</f>
        <v/>
      </c>
      <c r="E1047" s="271">
        <f>IF(OR(C1047="",D1047=""),"",D1047-C1047)</f>
        <v/>
      </c>
      <c r="F1047" s="172">
        <f>IF('Оперативный ввод'!F1047="","",'Оперативный ввод'!F1047)</f>
        <v/>
      </c>
      <c r="G1047" s="172">
        <f>IF('Оперативный ввод'!G1047="","",'Оперативный ввод'!G1047)</f>
        <v/>
      </c>
      <c r="H1047" s="172">
        <f>IF('Оперативный ввод'!H1047="","",'Оперативный ввод'!H1047)</f>
        <v/>
      </c>
      <c r="I1047" s="172">
        <f>IF('Оперативный ввод'!I1047="","",'Оперативный ввод'!I1047)</f>
        <v/>
      </c>
      <c r="J1047" s="172">
        <f>IF('Оперативный ввод'!J1047="","",'Оперативный ввод'!J1047)</f>
        <v/>
      </c>
      <c r="K1047" s="172">
        <f>IF('Оперативный ввод'!K1047="","",'Оперативный ввод'!K1047)</f>
        <v/>
      </c>
      <c r="L1047" s="172">
        <f>IF('Оперативный ввод'!L1047="","",'Оперативный ввод'!L1047)</f>
        <v/>
      </c>
      <c r="M1047" s="172">
        <f>IF('Оперативный ввод'!M1047="","",'Оперативный ввод'!M1047)</f>
        <v/>
      </c>
      <c r="N1047" s="172">
        <f>IF('Оперативный ввод'!N1047="","",'Оперативный ввод'!N1047)</f>
        <v/>
      </c>
      <c r="O1047" s="172">
        <f>IF('Оперативный ввод'!O1047="","",'Оперативный ввод'!O1047)</f>
        <v/>
      </c>
      <c r="P1047" s="205">
        <f>IF(AND(A1047="",B1047=""),"",IF(AND(A1047&lt;&gt;"",B1047&lt;&gt;"",C1047&lt;&gt;"",D1047&lt;&gt;"",F1047&lt;&gt;"",G1047&lt;&gt;"",H1047&lt;&gt;"",ISERROR(SEARCH("по паспорту",G1047)),ISERROR(SEARCH("по паспорту",H1047)),I1047&lt;&gt;"",J1047&lt;&gt;"",K1047&lt;&gt;"",L1047&lt;&gt;"",M1047&lt;&gt;""),"ГОТОВО","НЕ ГОТОВО"))</f>
        <v/>
      </c>
      <c r="Q1047" s="205">
        <f>IF(P1047&lt;&gt;"ГОТОВО","", "Предварительное заключение: "&amp;A1047&amp;", скв. "&amp;B1047&amp;". МРП: "&amp;E1047&amp;" сут. ГНО: "&amp;F1047&amp;", типоразмер "&amp;G1047&amp;", марка "&amp;H1047&amp;". Событие: "&amp;I1047&amp;". Признак: "&amp;J1047&amp;". Узел: "&amp;K1047&amp;". Предварительная причина: "&amp;L1047&amp;". Основное осложнение: "&amp;M1047&amp;IF(N1047&lt;&gt;"","; сопутствующее: "&amp;N1047,"")&amp;IF(O1047&lt;&gt;"","; дополнительно: "&amp;O1047,"")&amp;".")</f>
        <v/>
      </c>
      <c r="R1047" s="172">
        <f>IF('Оперативный ввод'!P1047="","",'Оперативный ввод'!P1047)</f>
        <v/>
      </c>
      <c r="S1047" s="172">
        <f>IF('Оперативный ввод'!Q1047="","",'Оперативный ввод'!Q1047)</f>
        <v/>
      </c>
      <c r="T1047" s="172">
        <f>IF('Оперативный ввод'!R1047="","",'Оперативный ввод'!R1047)</f>
        <v/>
      </c>
      <c r="U1047" s="172">
        <f>IF('Оперативный ввод'!S1047="","",'Оперативный ввод'!S1047)</f>
        <v/>
      </c>
      <c r="V1047" s="172">
        <f>IF('Оперативный ввод'!T1047="","",'Оперативный ввод'!T1047)</f>
        <v/>
      </c>
      <c r="W1047" s="172" t="n"/>
      <c r="X1047" s="172" t="n"/>
      <c r="Y1047" s="172" t="n"/>
      <c r="Z1047" s="172" t="n"/>
      <c r="AA1047" s="172">
        <f>IF('Оперативный ввод'!U1047="","",'Оперативный ввод'!U1047)</f>
        <v/>
      </c>
      <c r="AB1047" s="172">
        <f>IF('Оперативный ввод'!V1047="","",'Оперативный ввод'!V1047)</f>
        <v/>
      </c>
      <c r="AC1047" s="172">
        <f>IF('Оперативный ввод'!W1047="","",'Оперативный ввод'!W1047)</f>
        <v/>
      </c>
      <c r="BB1047" s="172" t="n"/>
      <c r="BC1047" s="172" t="n"/>
      <c r="BD1047" s="205">
        <f>IF(AND(A1047="",B1047=""),"",IF(AND(P1047="ГОТОВО",R1047&lt;&gt;"",T1047&lt;&gt;"",U1047&lt;&gt;"",AA1047&lt;&gt;"",AB1047&lt;&gt;"",AC1047&lt;&gt;"",BB1047&lt;&gt;"",BC1047&lt;&gt;""),"ГОТОВО","НЕ ГОТОВО"))</f>
        <v/>
      </c>
      <c r="BE1047" s="205">
        <f>IF(BD1047&lt;&gt;"ГОТОВО","","Полное заключение: "&amp;A1047&amp;", скв. "&amp;B1047&amp;". МРП: "&amp;E1047&amp;" сут. ГНО: "&amp;F1047&amp;"; причина: "&amp;U1047&amp;"; категория: "&amp;V1047&amp;"; решение комиссии: "&amp;BB1047&amp;".")</f>
        <v/>
      </c>
      <c r="BF1047" s="173">
        <f>IF('Оперативный ввод'!X1047="","",'Оперативный ввод'!X1047)</f>
        <v/>
      </c>
    </row>
    <row r="1048">
      <c r="A1048" s="171">
        <f>IF('Оперативный ввод'!A1048="","",'Оперативный ввод'!A1048)</f>
        <v/>
      </c>
      <c r="B1048" s="172">
        <f>IF('Оперативный ввод'!B1048="","",'Оперативный ввод'!B1048)</f>
        <v/>
      </c>
      <c r="C1048" s="270">
        <f>IF('Оперативный ввод'!C1048="","",'Оперативный ввод'!C1048)</f>
        <v/>
      </c>
      <c r="D1048" s="270">
        <f>IF('Оперативный ввод'!D1048="","",'Оперативный ввод'!D1048)</f>
        <v/>
      </c>
      <c r="E1048" s="271">
        <f>IF(OR(C1048="",D1048=""),"",D1048-C1048)</f>
        <v/>
      </c>
      <c r="F1048" s="172">
        <f>IF('Оперативный ввод'!F1048="","",'Оперативный ввод'!F1048)</f>
        <v/>
      </c>
      <c r="G1048" s="172">
        <f>IF('Оперативный ввод'!G1048="","",'Оперативный ввод'!G1048)</f>
        <v/>
      </c>
      <c r="H1048" s="172">
        <f>IF('Оперативный ввод'!H1048="","",'Оперативный ввод'!H1048)</f>
        <v/>
      </c>
      <c r="I1048" s="172">
        <f>IF('Оперативный ввод'!I1048="","",'Оперативный ввод'!I1048)</f>
        <v/>
      </c>
      <c r="J1048" s="172">
        <f>IF('Оперативный ввод'!J1048="","",'Оперативный ввод'!J1048)</f>
        <v/>
      </c>
      <c r="K1048" s="172">
        <f>IF('Оперативный ввод'!K1048="","",'Оперативный ввод'!K1048)</f>
        <v/>
      </c>
      <c r="L1048" s="172">
        <f>IF('Оперативный ввод'!L1048="","",'Оперативный ввод'!L1048)</f>
        <v/>
      </c>
      <c r="M1048" s="172">
        <f>IF('Оперативный ввод'!M1048="","",'Оперативный ввод'!M1048)</f>
        <v/>
      </c>
      <c r="N1048" s="172">
        <f>IF('Оперативный ввод'!N1048="","",'Оперативный ввод'!N1048)</f>
        <v/>
      </c>
      <c r="O1048" s="172">
        <f>IF('Оперативный ввод'!O1048="","",'Оперативный ввод'!O1048)</f>
        <v/>
      </c>
      <c r="P1048" s="205">
        <f>IF(AND(A1048="",B1048=""),"",IF(AND(A1048&lt;&gt;"",B1048&lt;&gt;"",C1048&lt;&gt;"",D1048&lt;&gt;"",F1048&lt;&gt;"",G1048&lt;&gt;"",H1048&lt;&gt;"",ISERROR(SEARCH("по паспорту",G1048)),ISERROR(SEARCH("по паспорту",H1048)),I1048&lt;&gt;"",J1048&lt;&gt;"",K1048&lt;&gt;"",L1048&lt;&gt;"",M1048&lt;&gt;""),"ГОТОВО","НЕ ГОТОВО"))</f>
        <v/>
      </c>
      <c r="Q1048" s="205">
        <f>IF(P1048&lt;&gt;"ГОТОВО","", "Предварительное заключение: "&amp;A1048&amp;", скв. "&amp;B1048&amp;". МРП: "&amp;E1048&amp;" сут. ГНО: "&amp;F1048&amp;", типоразмер "&amp;G1048&amp;", марка "&amp;H1048&amp;". Событие: "&amp;I1048&amp;". Признак: "&amp;J1048&amp;". Узел: "&amp;K1048&amp;". Предварительная причина: "&amp;L1048&amp;". Основное осложнение: "&amp;M1048&amp;IF(N1048&lt;&gt;"","; сопутствующее: "&amp;N1048,"")&amp;IF(O1048&lt;&gt;"","; дополнительно: "&amp;O1048,"")&amp;".")</f>
        <v/>
      </c>
      <c r="R1048" s="172">
        <f>IF('Оперативный ввод'!P1048="","",'Оперативный ввод'!P1048)</f>
        <v/>
      </c>
      <c r="S1048" s="172">
        <f>IF('Оперативный ввод'!Q1048="","",'Оперативный ввод'!Q1048)</f>
        <v/>
      </c>
      <c r="T1048" s="172">
        <f>IF('Оперативный ввод'!R1048="","",'Оперативный ввод'!R1048)</f>
        <v/>
      </c>
      <c r="U1048" s="172">
        <f>IF('Оперативный ввод'!S1048="","",'Оперативный ввод'!S1048)</f>
        <v/>
      </c>
      <c r="V1048" s="172">
        <f>IF('Оперативный ввод'!T1048="","",'Оперативный ввод'!T1048)</f>
        <v/>
      </c>
      <c r="W1048" s="172" t="n"/>
      <c r="X1048" s="172" t="n"/>
      <c r="Y1048" s="172" t="n"/>
      <c r="Z1048" s="172" t="n"/>
      <c r="AA1048" s="172">
        <f>IF('Оперативный ввод'!U1048="","",'Оперативный ввод'!U1048)</f>
        <v/>
      </c>
      <c r="AB1048" s="172">
        <f>IF('Оперативный ввод'!V1048="","",'Оперативный ввод'!V1048)</f>
        <v/>
      </c>
      <c r="AC1048" s="172">
        <f>IF('Оперативный ввод'!W1048="","",'Оперативный ввод'!W1048)</f>
        <v/>
      </c>
      <c r="BB1048" s="172" t="n"/>
      <c r="BC1048" s="172" t="n"/>
      <c r="BD1048" s="205">
        <f>IF(AND(A1048="",B1048=""),"",IF(AND(P1048="ГОТОВО",R1048&lt;&gt;"",T1048&lt;&gt;"",U1048&lt;&gt;"",AA1048&lt;&gt;"",AB1048&lt;&gt;"",AC1048&lt;&gt;"",BB1048&lt;&gt;"",BC1048&lt;&gt;""),"ГОТОВО","НЕ ГОТОВО"))</f>
        <v/>
      </c>
      <c r="BE1048" s="205">
        <f>IF(BD1048&lt;&gt;"ГОТОВО","","Полное заключение: "&amp;A1048&amp;", скв. "&amp;B1048&amp;". МРП: "&amp;E1048&amp;" сут. ГНО: "&amp;F1048&amp;"; причина: "&amp;U1048&amp;"; категория: "&amp;V1048&amp;"; решение комиссии: "&amp;BB1048&amp;".")</f>
        <v/>
      </c>
      <c r="BF1048" s="173">
        <f>IF('Оперативный ввод'!X1048="","",'Оперативный ввод'!X1048)</f>
        <v/>
      </c>
    </row>
    <row r="1049">
      <c r="A1049" s="171">
        <f>IF('Оперативный ввод'!A1049="","",'Оперативный ввод'!A1049)</f>
        <v/>
      </c>
      <c r="B1049" s="172">
        <f>IF('Оперативный ввод'!B1049="","",'Оперативный ввод'!B1049)</f>
        <v/>
      </c>
      <c r="C1049" s="270">
        <f>IF('Оперативный ввод'!C1049="","",'Оперативный ввод'!C1049)</f>
        <v/>
      </c>
      <c r="D1049" s="270">
        <f>IF('Оперативный ввод'!D1049="","",'Оперативный ввод'!D1049)</f>
        <v/>
      </c>
      <c r="E1049" s="271">
        <f>IF(OR(C1049="",D1049=""),"",D1049-C1049)</f>
        <v/>
      </c>
      <c r="F1049" s="172">
        <f>IF('Оперативный ввод'!F1049="","",'Оперативный ввод'!F1049)</f>
        <v/>
      </c>
      <c r="G1049" s="172">
        <f>IF('Оперативный ввод'!G1049="","",'Оперативный ввод'!G1049)</f>
        <v/>
      </c>
      <c r="H1049" s="172">
        <f>IF('Оперативный ввод'!H1049="","",'Оперативный ввод'!H1049)</f>
        <v/>
      </c>
      <c r="I1049" s="172">
        <f>IF('Оперативный ввод'!I1049="","",'Оперативный ввод'!I1049)</f>
        <v/>
      </c>
      <c r="J1049" s="172">
        <f>IF('Оперативный ввод'!J1049="","",'Оперативный ввод'!J1049)</f>
        <v/>
      </c>
      <c r="K1049" s="172">
        <f>IF('Оперативный ввод'!K1049="","",'Оперативный ввод'!K1049)</f>
        <v/>
      </c>
      <c r="L1049" s="172">
        <f>IF('Оперативный ввод'!L1049="","",'Оперативный ввод'!L1049)</f>
        <v/>
      </c>
      <c r="M1049" s="172">
        <f>IF('Оперативный ввод'!M1049="","",'Оперативный ввод'!M1049)</f>
        <v/>
      </c>
      <c r="N1049" s="172">
        <f>IF('Оперативный ввод'!N1049="","",'Оперативный ввод'!N1049)</f>
        <v/>
      </c>
      <c r="O1049" s="172">
        <f>IF('Оперативный ввод'!O1049="","",'Оперативный ввод'!O1049)</f>
        <v/>
      </c>
      <c r="P1049" s="205">
        <f>IF(AND(A1049="",B1049=""),"",IF(AND(A1049&lt;&gt;"",B1049&lt;&gt;"",C1049&lt;&gt;"",D1049&lt;&gt;"",F1049&lt;&gt;"",G1049&lt;&gt;"",H1049&lt;&gt;"",ISERROR(SEARCH("по паспорту",G1049)),ISERROR(SEARCH("по паспорту",H1049)),I1049&lt;&gt;"",J1049&lt;&gt;"",K1049&lt;&gt;"",L1049&lt;&gt;"",M1049&lt;&gt;""),"ГОТОВО","НЕ ГОТОВО"))</f>
        <v/>
      </c>
      <c r="Q1049" s="205">
        <f>IF(P1049&lt;&gt;"ГОТОВО","", "Предварительное заключение: "&amp;A1049&amp;", скв. "&amp;B1049&amp;". МРП: "&amp;E1049&amp;" сут. ГНО: "&amp;F1049&amp;", типоразмер "&amp;G1049&amp;", марка "&amp;H1049&amp;". Событие: "&amp;I1049&amp;". Признак: "&amp;J1049&amp;". Узел: "&amp;K1049&amp;". Предварительная причина: "&amp;L1049&amp;". Основное осложнение: "&amp;M1049&amp;IF(N1049&lt;&gt;"","; сопутствующее: "&amp;N1049,"")&amp;IF(O1049&lt;&gt;"","; дополнительно: "&amp;O1049,"")&amp;".")</f>
        <v/>
      </c>
      <c r="R1049" s="172">
        <f>IF('Оперативный ввод'!P1049="","",'Оперативный ввод'!P1049)</f>
        <v/>
      </c>
      <c r="S1049" s="172">
        <f>IF('Оперативный ввод'!Q1049="","",'Оперативный ввод'!Q1049)</f>
        <v/>
      </c>
      <c r="T1049" s="172">
        <f>IF('Оперативный ввод'!R1049="","",'Оперативный ввод'!R1049)</f>
        <v/>
      </c>
      <c r="U1049" s="172">
        <f>IF('Оперативный ввод'!S1049="","",'Оперативный ввод'!S1049)</f>
        <v/>
      </c>
      <c r="V1049" s="172">
        <f>IF('Оперативный ввод'!T1049="","",'Оперативный ввод'!T1049)</f>
        <v/>
      </c>
      <c r="W1049" s="172" t="n"/>
      <c r="X1049" s="172" t="n"/>
      <c r="Y1049" s="172" t="n"/>
      <c r="Z1049" s="172" t="n"/>
      <c r="AA1049" s="172">
        <f>IF('Оперативный ввод'!U1049="","",'Оперативный ввод'!U1049)</f>
        <v/>
      </c>
      <c r="AB1049" s="172">
        <f>IF('Оперативный ввод'!V1049="","",'Оперативный ввод'!V1049)</f>
        <v/>
      </c>
      <c r="AC1049" s="172">
        <f>IF('Оперативный ввод'!W1049="","",'Оперативный ввод'!W1049)</f>
        <v/>
      </c>
      <c r="BB1049" s="172" t="n"/>
      <c r="BC1049" s="172" t="n"/>
      <c r="BD1049" s="205">
        <f>IF(AND(A1049="",B1049=""),"",IF(AND(P1049="ГОТОВО",R1049&lt;&gt;"",T1049&lt;&gt;"",U1049&lt;&gt;"",AA1049&lt;&gt;"",AB1049&lt;&gt;"",AC1049&lt;&gt;"",BB1049&lt;&gt;"",BC1049&lt;&gt;""),"ГОТОВО","НЕ ГОТОВО"))</f>
        <v/>
      </c>
      <c r="BE1049" s="205">
        <f>IF(BD1049&lt;&gt;"ГОТОВО","","Полное заключение: "&amp;A1049&amp;", скв. "&amp;B1049&amp;". МРП: "&amp;E1049&amp;" сут. ГНО: "&amp;F1049&amp;"; причина: "&amp;U1049&amp;"; категория: "&amp;V1049&amp;"; решение комиссии: "&amp;BB1049&amp;".")</f>
        <v/>
      </c>
      <c r="BF1049" s="173">
        <f>IF('Оперативный ввод'!X1049="","",'Оперативный ввод'!X1049)</f>
        <v/>
      </c>
    </row>
    <row r="1050">
      <c r="A1050" s="171">
        <f>IF('Оперативный ввод'!A1050="","",'Оперативный ввод'!A1050)</f>
        <v/>
      </c>
      <c r="B1050" s="172">
        <f>IF('Оперативный ввод'!B1050="","",'Оперативный ввод'!B1050)</f>
        <v/>
      </c>
      <c r="C1050" s="270">
        <f>IF('Оперативный ввод'!C1050="","",'Оперативный ввод'!C1050)</f>
        <v/>
      </c>
      <c r="D1050" s="270">
        <f>IF('Оперативный ввод'!D1050="","",'Оперативный ввод'!D1050)</f>
        <v/>
      </c>
      <c r="E1050" s="271">
        <f>IF(OR(C1050="",D1050=""),"",D1050-C1050)</f>
        <v/>
      </c>
      <c r="F1050" s="172">
        <f>IF('Оперативный ввод'!F1050="","",'Оперативный ввод'!F1050)</f>
        <v/>
      </c>
      <c r="G1050" s="172">
        <f>IF('Оперативный ввод'!G1050="","",'Оперативный ввод'!G1050)</f>
        <v/>
      </c>
      <c r="H1050" s="172">
        <f>IF('Оперативный ввод'!H1050="","",'Оперативный ввод'!H1050)</f>
        <v/>
      </c>
      <c r="I1050" s="172">
        <f>IF('Оперативный ввод'!I1050="","",'Оперативный ввод'!I1050)</f>
        <v/>
      </c>
      <c r="J1050" s="172">
        <f>IF('Оперативный ввод'!J1050="","",'Оперативный ввод'!J1050)</f>
        <v/>
      </c>
      <c r="K1050" s="172">
        <f>IF('Оперативный ввод'!K1050="","",'Оперативный ввод'!K1050)</f>
        <v/>
      </c>
      <c r="L1050" s="172">
        <f>IF('Оперативный ввод'!L1050="","",'Оперативный ввод'!L1050)</f>
        <v/>
      </c>
      <c r="M1050" s="172">
        <f>IF('Оперативный ввод'!M1050="","",'Оперативный ввод'!M1050)</f>
        <v/>
      </c>
      <c r="N1050" s="172">
        <f>IF('Оперативный ввод'!N1050="","",'Оперативный ввод'!N1050)</f>
        <v/>
      </c>
      <c r="O1050" s="172">
        <f>IF('Оперативный ввод'!O1050="","",'Оперативный ввод'!O1050)</f>
        <v/>
      </c>
      <c r="P1050" s="205">
        <f>IF(AND(A1050="",B1050=""),"",IF(AND(A1050&lt;&gt;"",B1050&lt;&gt;"",C1050&lt;&gt;"",D1050&lt;&gt;"",F1050&lt;&gt;"",G1050&lt;&gt;"",H1050&lt;&gt;"",ISERROR(SEARCH("по паспорту",G1050)),ISERROR(SEARCH("по паспорту",H1050)),I1050&lt;&gt;"",J1050&lt;&gt;"",K1050&lt;&gt;"",L1050&lt;&gt;"",M1050&lt;&gt;""),"ГОТОВО","НЕ ГОТОВО"))</f>
        <v/>
      </c>
      <c r="Q1050" s="205">
        <f>IF(P1050&lt;&gt;"ГОТОВО","", "Предварительное заключение: "&amp;A1050&amp;", скв. "&amp;B1050&amp;". МРП: "&amp;E1050&amp;" сут. ГНО: "&amp;F1050&amp;", типоразмер "&amp;G1050&amp;", марка "&amp;H1050&amp;". Событие: "&amp;I1050&amp;". Признак: "&amp;J1050&amp;". Узел: "&amp;K1050&amp;". Предварительная причина: "&amp;L1050&amp;". Основное осложнение: "&amp;M1050&amp;IF(N1050&lt;&gt;"","; сопутствующее: "&amp;N1050,"")&amp;IF(O1050&lt;&gt;"","; дополнительно: "&amp;O1050,"")&amp;".")</f>
        <v/>
      </c>
      <c r="R1050" s="172">
        <f>IF('Оперативный ввод'!P1050="","",'Оперативный ввод'!P1050)</f>
        <v/>
      </c>
      <c r="S1050" s="172">
        <f>IF('Оперативный ввод'!Q1050="","",'Оперативный ввод'!Q1050)</f>
        <v/>
      </c>
      <c r="T1050" s="172">
        <f>IF('Оперативный ввод'!R1050="","",'Оперативный ввод'!R1050)</f>
        <v/>
      </c>
      <c r="U1050" s="172">
        <f>IF('Оперативный ввод'!S1050="","",'Оперативный ввод'!S1050)</f>
        <v/>
      </c>
      <c r="V1050" s="172">
        <f>IF('Оперативный ввод'!T1050="","",'Оперативный ввод'!T1050)</f>
        <v/>
      </c>
      <c r="W1050" s="172" t="n"/>
      <c r="X1050" s="172" t="n"/>
      <c r="Y1050" s="172" t="n"/>
      <c r="Z1050" s="172" t="n"/>
      <c r="AA1050" s="172">
        <f>IF('Оперативный ввод'!U1050="","",'Оперативный ввод'!U1050)</f>
        <v/>
      </c>
      <c r="AB1050" s="172">
        <f>IF('Оперативный ввод'!V1050="","",'Оперативный ввод'!V1050)</f>
        <v/>
      </c>
      <c r="AC1050" s="172">
        <f>IF('Оперативный ввод'!W1050="","",'Оперативный ввод'!W1050)</f>
        <v/>
      </c>
      <c r="BB1050" s="172" t="n"/>
      <c r="BC1050" s="172" t="n"/>
      <c r="BD1050" s="205">
        <f>IF(AND(A1050="",B1050=""),"",IF(AND(P1050="ГОТОВО",R1050&lt;&gt;"",T1050&lt;&gt;"",U1050&lt;&gt;"",AA1050&lt;&gt;"",AB1050&lt;&gt;"",AC1050&lt;&gt;"",BB1050&lt;&gt;"",BC1050&lt;&gt;""),"ГОТОВО","НЕ ГОТОВО"))</f>
        <v/>
      </c>
      <c r="BE1050" s="205">
        <f>IF(BD1050&lt;&gt;"ГОТОВО","","Полное заключение: "&amp;A1050&amp;", скв. "&amp;B1050&amp;". МРП: "&amp;E1050&amp;" сут. ГНО: "&amp;F1050&amp;"; причина: "&amp;U1050&amp;"; категория: "&amp;V1050&amp;"; решение комиссии: "&amp;BB1050&amp;".")</f>
        <v/>
      </c>
      <c r="BF1050" s="173">
        <f>IF('Оперативный ввод'!X1050="","",'Оперативный ввод'!X1050)</f>
        <v/>
      </c>
    </row>
    <row r="1051">
      <c r="A1051" s="171">
        <f>IF('Оперативный ввод'!A1051="","",'Оперативный ввод'!A1051)</f>
        <v/>
      </c>
      <c r="B1051" s="172">
        <f>IF('Оперативный ввод'!B1051="","",'Оперативный ввод'!B1051)</f>
        <v/>
      </c>
      <c r="C1051" s="270">
        <f>IF('Оперативный ввод'!C1051="","",'Оперативный ввод'!C1051)</f>
        <v/>
      </c>
      <c r="D1051" s="270">
        <f>IF('Оперативный ввод'!D1051="","",'Оперативный ввод'!D1051)</f>
        <v/>
      </c>
      <c r="E1051" s="271">
        <f>IF(OR(C1051="",D1051=""),"",D1051-C1051)</f>
        <v/>
      </c>
      <c r="F1051" s="172">
        <f>IF('Оперативный ввод'!F1051="","",'Оперативный ввод'!F1051)</f>
        <v/>
      </c>
      <c r="G1051" s="172">
        <f>IF('Оперативный ввод'!G1051="","",'Оперативный ввод'!G1051)</f>
        <v/>
      </c>
      <c r="H1051" s="172">
        <f>IF('Оперативный ввод'!H1051="","",'Оперативный ввод'!H1051)</f>
        <v/>
      </c>
      <c r="I1051" s="172">
        <f>IF('Оперативный ввод'!I1051="","",'Оперативный ввод'!I1051)</f>
        <v/>
      </c>
      <c r="J1051" s="172">
        <f>IF('Оперативный ввод'!J1051="","",'Оперативный ввод'!J1051)</f>
        <v/>
      </c>
      <c r="K1051" s="172">
        <f>IF('Оперативный ввод'!K1051="","",'Оперативный ввод'!K1051)</f>
        <v/>
      </c>
      <c r="L1051" s="172">
        <f>IF('Оперативный ввод'!L1051="","",'Оперативный ввод'!L1051)</f>
        <v/>
      </c>
      <c r="M1051" s="172">
        <f>IF('Оперативный ввод'!M1051="","",'Оперативный ввод'!M1051)</f>
        <v/>
      </c>
      <c r="N1051" s="172">
        <f>IF('Оперативный ввод'!N1051="","",'Оперативный ввод'!N1051)</f>
        <v/>
      </c>
      <c r="O1051" s="172">
        <f>IF('Оперативный ввод'!O1051="","",'Оперативный ввод'!O1051)</f>
        <v/>
      </c>
      <c r="P1051" s="205">
        <f>IF(AND(A1051="",B1051=""),"",IF(AND(A1051&lt;&gt;"",B1051&lt;&gt;"",C1051&lt;&gt;"",D1051&lt;&gt;"",F1051&lt;&gt;"",G1051&lt;&gt;"",H1051&lt;&gt;"",ISERROR(SEARCH("по паспорту",G1051)),ISERROR(SEARCH("по паспорту",H1051)),I1051&lt;&gt;"",J1051&lt;&gt;"",K1051&lt;&gt;"",L1051&lt;&gt;"",M1051&lt;&gt;""),"ГОТОВО","НЕ ГОТОВО"))</f>
        <v/>
      </c>
      <c r="Q1051" s="205">
        <f>IF(P1051&lt;&gt;"ГОТОВО","", "Предварительное заключение: "&amp;A1051&amp;", скв. "&amp;B1051&amp;". МРП: "&amp;E1051&amp;" сут. ГНО: "&amp;F1051&amp;", типоразмер "&amp;G1051&amp;", марка "&amp;H1051&amp;". Событие: "&amp;I1051&amp;". Признак: "&amp;J1051&amp;". Узел: "&amp;K1051&amp;". Предварительная причина: "&amp;L1051&amp;". Основное осложнение: "&amp;M1051&amp;IF(N1051&lt;&gt;"","; сопутствующее: "&amp;N1051,"")&amp;IF(O1051&lt;&gt;"","; дополнительно: "&amp;O1051,"")&amp;".")</f>
        <v/>
      </c>
      <c r="R1051" s="172">
        <f>IF('Оперативный ввод'!P1051="","",'Оперативный ввод'!P1051)</f>
        <v/>
      </c>
      <c r="S1051" s="172">
        <f>IF('Оперативный ввод'!Q1051="","",'Оперативный ввод'!Q1051)</f>
        <v/>
      </c>
      <c r="T1051" s="172">
        <f>IF('Оперативный ввод'!R1051="","",'Оперативный ввод'!R1051)</f>
        <v/>
      </c>
      <c r="U1051" s="172">
        <f>IF('Оперативный ввод'!S1051="","",'Оперативный ввод'!S1051)</f>
        <v/>
      </c>
      <c r="V1051" s="172">
        <f>IF('Оперативный ввод'!T1051="","",'Оперативный ввод'!T1051)</f>
        <v/>
      </c>
      <c r="W1051" s="172" t="n"/>
      <c r="X1051" s="172" t="n"/>
      <c r="Y1051" s="172" t="n"/>
      <c r="Z1051" s="172" t="n"/>
      <c r="AA1051" s="172">
        <f>IF('Оперативный ввод'!U1051="","",'Оперативный ввод'!U1051)</f>
        <v/>
      </c>
      <c r="AB1051" s="172">
        <f>IF('Оперативный ввод'!V1051="","",'Оперативный ввод'!V1051)</f>
        <v/>
      </c>
      <c r="AC1051" s="172">
        <f>IF('Оперативный ввод'!W1051="","",'Оперативный ввод'!W1051)</f>
        <v/>
      </c>
      <c r="BB1051" s="172" t="n"/>
      <c r="BC1051" s="172" t="n"/>
      <c r="BD1051" s="205">
        <f>IF(AND(A1051="",B1051=""),"",IF(AND(P1051="ГОТОВО",R1051&lt;&gt;"",T1051&lt;&gt;"",U1051&lt;&gt;"",AA1051&lt;&gt;"",AB1051&lt;&gt;"",AC1051&lt;&gt;"",BB1051&lt;&gt;"",BC1051&lt;&gt;""),"ГОТОВО","НЕ ГОТОВО"))</f>
        <v/>
      </c>
      <c r="BE1051" s="205">
        <f>IF(BD1051&lt;&gt;"ГОТОВО","","Полное заключение: "&amp;A1051&amp;", скв. "&amp;B1051&amp;". МРП: "&amp;E1051&amp;" сут. ГНО: "&amp;F1051&amp;"; причина: "&amp;U1051&amp;"; категория: "&amp;V1051&amp;"; решение комиссии: "&amp;BB1051&amp;".")</f>
        <v/>
      </c>
      <c r="BF1051" s="173">
        <f>IF('Оперативный ввод'!X1051="","",'Оперативный ввод'!X1051)</f>
        <v/>
      </c>
    </row>
    <row r="1052">
      <c r="A1052" s="171">
        <f>IF('Оперативный ввод'!A1052="","",'Оперативный ввод'!A1052)</f>
        <v/>
      </c>
      <c r="B1052" s="172">
        <f>IF('Оперативный ввод'!B1052="","",'Оперативный ввод'!B1052)</f>
        <v/>
      </c>
      <c r="C1052" s="270">
        <f>IF('Оперативный ввод'!C1052="","",'Оперативный ввод'!C1052)</f>
        <v/>
      </c>
      <c r="D1052" s="270">
        <f>IF('Оперативный ввод'!D1052="","",'Оперативный ввод'!D1052)</f>
        <v/>
      </c>
      <c r="E1052" s="271">
        <f>IF(OR(C1052="",D1052=""),"",D1052-C1052)</f>
        <v/>
      </c>
      <c r="F1052" s="172">
        <f>IF('Оперативный ввод'!F1052="","",'Оперативный ввод'!F1052)</f>
        <v/>
      </c>
      <c r="G1052" s="172">
        <f>IF('Оперативный ввод'!G1052="","",'Оперативный ввод'!G1052)</f>
        <v/>
      </c>
      <c r="H1052" s="172">
        <f>IF('Оперативный ввод'!H1052="","",'Оперативный ввод'!H1052)</f>
        <v/>
      </c>
      <c r="I1052" s="172">
        <f>IF('Оперативный ввод'!I1052="","",'Оперативный ввод'!I1052)</f>
        <v/>
      </c>
      <c r="J1052" s="172">
        <f>IF('Оперативный ввод'!J1052="","",'Оперативный ввод'!J1052)</f>
        <v/>
      </c>
      <c r="K1052" s="172">
        <f>IF('Оперативный ввод'!K1052="","",'Оперативный ввод'!K1052)</f>
        <v/>
      </c>
      <c r="L1052" s="172">
        <f>IF('Оперативный ввод'!L1052="","",'Оперативный ввод'!L1052)</f>
        <v/>
      </c>
      <c r="M1052" s="172">
        <f>IF('Оперативный ввод'!M1052="","",'Оперативный ввод'!M1052)</f>
        <v/>
      </c>
      <c r="N1052" s="172">
        <f>IF('Оперативный ввод'!N1052="","",'Оперативный ввод'!N1052)</f>
        <v/>
      </c>
      <c r="O1052" s="172">
        <f>IF('Оперативный ввод'!O1052="","",'Оперативный ввод'!O1052)</f>
        <v/>
      </c>
      <c r="P1052" s="205">
        <f>IF(AND(A1052="",B1052=""),"",IF(AND(A1052&lt;&gt;"",B1052&lt;&gt;"",C1052&lt;&gt;"",D1052&lt;&gt;"",F1052&lt;&gt;"",G1052&lt;&gt;"",H1052&lt;&gt;"",ISERROR(SEARCH("по паспорту",G1052)),ISERROR(SEARCH("по паспорту",H1052)),I1052&lt;&gt;"",J1052&lt;&gt;"",K1052&lt;&gt;"",L1052&lt;&gt;"",M1052&lt;&gt;""),"ГОТОВО","НЕ ГОТОВО"))</f>
        <v/>
      </c>
      <c r="Q1052" s="205">
        <f>IF(P1052&lt;&gt;"ГОТОВО","", "Предварительное заключение: "&amp;A1052&amp;", скв. "&amp;B1052&amp;". МРП: "&amp;E1052&amp;" сут. ГНО: "&amp;F1052&amp;", типоразмер "&amp;G1052&amp;", марка "&amp;H1052&amp;". Событие: "&amp;I1052&amp;". Признак: "&amp;J1052&amp;". Узел: "&amp;K1052&amp;". Предварительная причина: "&amp;L1052&amp;". Основное осложнение: "&amp;M1052&amp;IF(N1052&lt;&gt;"","; сопутствующее: "&amp;N1052,"")&amp;IF(O1052&lt;&gt;"","; дополнительно: "&amp;O1052,"")&amp;".")</f>
        <v/>
      </c>
      <c r="R1052" s="172">
        <f>IF('Оперативный ввод'!P1052="","",'Оперативный ввод'!P1052)</f>
        <v/>
      </c>
      <c r="S1052" s="172">
        <f>IF('Оперативный ввод'!Q1052="","",'Оперативный ввод'!Q1052)</f>
        <v/>
      </c>
      <c r="T1052" s="172">
        <f>IF('Оперативный ввод'!R1052="","",'Оперативный ввод'!R1052)</f>
        <v/>
      </c>
      <c r="U1052" s="172">
        <f>IF('Оперативный ввод'!S1052="","",'Оперативный ввод'!S1052)</f>
        <v/>
      </c>
      <c r="V1052" s="172">
        <f>IF('Оперативный ввод'!T1052="","",'Оперативный ввод'!T1052)</f>
        <v/>
      </c>
      <c r="W1052" s="172" t="n"/>
      <c r="X1052" s="172" t="n"/>
      <c r="Y1052" s="172" t="n"/>
      <c r="Z1052" s="172" t="n"/>
      <c r="AA1052" s="172">
        <f>IF('Оперативный ввод'!U1052="","",'Оперативный ввод'!U1052)</f>
        <v/>
      </c>
      <c r="AB1052" s="172">
        <f>IF('Оперативный ввод'!V1052="","",'Оперативный ввод'!V1052)</f>
        <v/>
      </c>
      <c r="AC1052" s="172">
        <f>IF('Оперативный ввод'!W1052="","",'Оперативный ввод'!W1052)</f>
        <v/>
      </c>
      <c r="BB1052" s="172" t="n"/>
      <c r="BC1052" s="172" t="n"/>
      <c r="BD1052" s="205">
        <f>IF(AND(A1052="",B1052=""),"",IF(AND(P1052="ГОТОВО",R1052&lt;&gt;"",T1052&lt;&gt;"",U1052&lt;&gt;"",AA1052&lt;&gt;"",AB1052&lt;&gt;"",AC1052&lt;&gt;"",BB1052&lt;&gt;"",BC1052&lt;&gt;""),"ГОТОВО","НЕ ГОТОВО"))</f>
        <v/>
      </c>
      <c r="BE1052" s="205">
        <f>IF(BD1052&lt;&gt;"ГОТОВО","","Полное заключение: "&amp;A1052&amp;", скв. "&amp;B1052&amp;". МРП: "&amp;E1052&amp;" сут. ГНО: "&amp;F1052&amp;"; причина: "&amp;U1052&amp;"; категория: "&amp;V1052&amp;"; решение комиссии: "&amp;BB1052&amp;".")</f>
        <v/>
      </c>
      <c r="BF1052" s="173">
        <f>IF('Оперативный ввод'!X1052="","",'Оперативный ввод'!X1052)</f>
        <v/>
      </c>
    </row>
    <row r="1053">
      <c r="A1053" s="171">
        <f>IF('Оперативный ввод'!A1053="","",'Оперативный ввод'!A1053)</f>
        <v/>
      </c>
      <c r="B1053" s="172">
        <f>IF('Оперативный ввод'!B1053="","",'Оперативный ввод'!B1053)</f>
        <v/>
      </c>
      <c r="C1053" s="270">
        <f>IF('Оперативный ввод'!C1053="","",'Оперативный ввод'!C1053)</f>
        <v/>
      </c>
      <c r="D1053" s="270">
        <f>IF('Оперативный ввод'!D1053="","",'Оперативный ввод'!D1053)</f>
        <v/>
      </c>
      <c r="E1053" s="271">
        <f>IF(OR(C1053="",D1053=""),"",D1053-C1053)</f>
        <v/>
      </c>
      <c r="F1053" s="172">
        <f>IF('Оперативный ввод'!F1053="","",'Оперативный ввод'!F1053)</f>
        <v/>
      </c>
      <c r="G1053" s="172">
        <f>IF('Оперативный ввод'!G1053="","",'Оперативный ввод'!G1053)</f>
        <v/>
      </c>
      <c r="H1053" s="172">
        <f>IF('Оперативный ввод'!H1053="","",'Оперативный ввод'!H1053)</f>
        <v/>
      </c>
      <c r="I1053" s="172">
        <f>IF('Оперативный ввод'!I1053="","",'Оперативный ввод'!I1053)</f>
        <v/>
      </c>
      <c r="J1053" s="172">
        <f>IF('Оперативный ввод'!J1053="","",'Оперативный ввод'!J1053)</f>
        <v/>
      </c>
      <c r="K1053" s="172">
        <f>IF('Оперативный ввод'!K1053="","",'Оперативный ввод'!K1053)</f>
        <v/>
      </c>
      <c r="L1053" s="172">
        <f>IF('Оперативный ввод'!L1053="","",'Оперативный ввод'!L1053)</f>
        <v/>
      </c>
      <c r="M1053" s="172">
        <f>IF('Оперативный ввод'!M1053="","",'Оперативный ввод'!M1053)</f>
        <v/>
      </c>
      <c r="N1053" s="172">
        <f>IF('Оперативный ввод'!N1053="","",'Оперативный ввод'!N1053)</f>
        <v/>
      </c>
      <c r="O1053" s="172">
        <f>IF('Оперативный ввод'!O1053="","",'Оперативный ввод'!O1053)</f>
        <v/>
      </c>
      <c r="P1053" s="205">
        <f>IF(AND(A1053="",B1053=""),"",IF(AND(A1053&lt;&gt;"",B1053&lt;&gt;"",C1053&lt;&gt;"",D1053&lt;&gt;"",F1053&lt;&gt;"",G1053&lt;&gt;"",H1053&lt;&gt;"",ISERROR(SEARCH("по паспорту",G1053)),ISERROR(SEARCH("по паспорту",H1053)),I1053&lt;&gt;"",J1053&lt;&gt;"",K1053&lt;&gt;"",L1053&lt;&gt;"",M1053&lt;&gt;""),"ГОТОВО","НЕ ГОТОВО"))</f>
        <v/>
      </c>
      <c r="Q1053" s="205">
        <f>IF(P1053&lt;&gt;"ГОТОВО","", "Предварительное заключение: "&amp;A1053&amp;", скв. "&amp;B1053&amp;". МРП: "&amp;E1053&amp;" сут. ГНО: "&amp;F1053&amp;", типоразмер "&amp;G1053&amp;", марка "&amp;H1053&amp;". Событие: "&amp;I1053&amp;". Признак: "&amp;J1053&amp;". Узел: "&amp;K1053&amp;". Предварительная причина: "&amp;L1053&amp;". Основное осложнение: "&amp;M1053&amp;IF(N1053&lt;&gt;"","; сопутствующее: "&amp;N1053,"")&amp;IF(O1053&lt;&gt;"","; дополнительно: "&amp;O1053,"")&amp;".")</f>
        <v/>
      </c>
      <c r="R1053" s="172">
        <f>IF('Оперативный ввод'!P1053="","",'Оперативный ввод'!P1053)</f>
        <v/>
      </c>
      <c r="S1053" s="172">
        <f>IF('Оперативный ввод'!Q1053="","",'Оперативный ввод'!Q1053)</f>
        <v/>
      </c>
      <c r="T1053" s="172">
        <f>IF('Оперативный ввод'!R1053="","",'Оперативный ввод'!R1053)</f>
        <v/>
      </c>
      <c r="U1053" s="172">
        <f>IF('Оперативный ввод'!S1053="","",'Оперативный ввод'!S1053)</f>
        <v/>
      </c>
      <c r="V1053" s="172">
        <f>IF('Оперативный ввод'!T1053="","",'Оперативный ввод'!T1053)</f>
        <v/>
      </c>
      <c r="W1053" s="172" t="n"/>
      <c r="X1053" s="172" t="n"/>
      <c r="Y1053" s="172" t="n"/>
      <c r="Z1053" s="172" t="n"/>
      <c r="AA1053" s="172">
        <f>IF('Оперативный ввод'!U1053="","",'Оперативный ввод'!U1053)</f>
        <v/>
      </c>
      <c r="AB1053" s="172">
        <f>IF('Оперативный ввод'!V1053="","",'Оперативный ввод'!V1053)</f>
        <v/>
      </c>
      <c r="AC1053" s="172">
        <f>IF('Оперативный ввод'!W1053="","",'Оперативный ввод'!W1053)</f>
        <v/>
      </c>
      <c r="BB1053" s="172" t="n"/>
      <c r="BC1053" s="172" t="n"/>
      <c r="BD1053" s="205">
        <f>IF(AND(A1053="",B1053=""),"",IF(AND(P1053="ГОТОВО",R1053&lt;&gt;"",T1053&lt;&gt;"",U1053&lt;&gt;"",AA1053&lt;&gt;"",AB1053&lt;&gt;"",AC1053&lt;&gt;"",BB1053&lt;&gt;"",BC1053&lt;&gt;""),"ГОТОВО","НЕ ГОТОВО"))</f>
        <v/>
      </c>
      <c r="BE1053" s="205">
        <f>IF(BD1053&lt;&gt;"ГОТОВО","","Полное заключение: "&amp;A1053&amp;", скв. "&amp;B1053&amp;". МРП: "&amp;E1053&amp;" сут. ГНО: "&amp;F1053&amp;"; причина: "&amp;U1053&amp;"; категория: "&amp;V1053&amp;"; решение комиссии: "&amp;BB1053&amp;".")</f>
        <v/>
      </c>
      <c r="BF1053" s="173">
        <f>IF('Оперативный ввод'!X1053="","",'Оперативный ввод'!X1053)</f>
        <v/>
      </c>
    </row>
    <row r="1054">
      <c r="A1054" s="171">
        <f>IF('Оперативный ввод'!A1054="","",'Оперативный ввод'!A1054)</f>
        <v/>
      </c>
      <c r="B1054" s="172">
        <f>IF('Оперативный ввод'!B1054="","",'Оперативный ввод'!B1054)</f>
        <v/>
      </c>
      <c r="C1054" s="270">
        <f>IF('Оперативный ввод'!C1054="","",'Оперативный ввод'!C1054)</f>
        <v/>
      </c>
      <c r="D1054" s="270">
        <f>IF('Оперативный ввод'!D1054="","",'Оперативный ввод'!D1054)</f>
        <v/>
      </c>
      <c r="E1054" s="271">
        <f>IF(OR(C1054="",D1054=""),"",D1054-C1054)</f>
        <v/>
      </c>
      <c r="F1054" s="172">
        <f>IF('Оперативный ввод'!F1054="","",'Оперативный ввод'!F1054)</f>
        <v/>
      </c>
      <c r="G1054" s="172">
        <f>IF('Оперативный ввод'!G1054="","",'Оперативный ввод'!G1054)</f>
        <v/>
      </c>
      <c r="H1054" s="172">
        <f>IF('Оперативный ввод'!H1054="","",'Оперативный ввод'!H1054)</f>
        <v/>
      </c>
      <c r="I1054" s="172">
        <f>IF('Оперативный ввод'!I1054="","",'Оперативный ввод'!I1054)</f>
        <v/>
      </c>
      <c r="J1054" s="172">
        <f>IF('Оперативный ввод'!J1054="","",'Оперативный ввод'!J1054)</f>
        <v/>
      </c>
      <c r="K1054" s="172">
        <f>IF('Оперативный ввод'!K1054="","",'Оперативный ввод'!K1054)</f>
        <v/>
      </c>
      <c r="L1054" s="172">
        <f>IF('Оперативный ввод'!L1054="","",'Оперативный ввод'!L1054)</f>
        <v/>
      </c>
      <c r="M1054" s="172">
        <f>IF('Оперативный ввод'!M1054="","",'Оперативный ввод'!M1054)</f>
        <v/>
      </c>
      <c r="N1054" s="172">
        <f>IF('Оперативный ввод'!N1054="","",'Оперативный ввод'!N1054)</f>
        <v/>
      </c>
      <c r="O1054" s="172">
        <f>IF('Оперативный ввод'!O1054="","",'Оперативный ввод'!O1054)</f>
        <v/>
      </c>
      <c r="P1054" s="205">
        <f>IF(AND(A1054="",B1054=""),"",IF(AND(A1054&lt;&gt;"",B1054&lt;&gt;"",C1054&lt;&gt;"",D1054&lt;&gt;"",F1054&lt;&gt;"",G1054&lt;&gt;"",H1054&lt;&gt;"",ISERROR(SEARCH("по паспорту",G1054)),ISERROR(SEARCH("по паспорту",H1054)),I1054&lt;&gt;"",J1054&lt;&gt;"",K1054&lt;&gt;"",L1054&lt;&gt;"",M1054&lt;&gt;""),"ГОТОВО","НЕ ГОТОВО"))</f>
        <v/>
      </c>
      <c r="Q1054" s="205">
        <f>IF(P1054&lt;&gt;"ГОТОВО","", "Предварительное заключение: "&amp;A1054&amp;", скв. "&amp;B1054&amp;". МРП: "&amp;E1054&amp;" сут. ГНО: "&amp;F1054&amp;", типоразмер "&amp;G1054&amp;", марка "&amp;H1054&amp;". Событие: "&amp;I1054&amp;". Признак: "&amp;J1054&amp;". Узел: "&amp;K1054&amp;". Предварительная причина: "&amp;L1054&amp;". Основное осложнение: "&amp;M1054&amp;IF(N1054&lt;&gt;"","; сопутствующее: "&amp;N1054,"")&amp;IF(O1054&lt;&gt;"","; дополнительно: "&amp;O1054,"")&amp;".")</f>
        <v/>
      </c>
      <c r="R1054" s="172">
        <f>IF('Оперативный ввод'!P1054="","",'Оперативный ввод'!P1054)</f>
        <v/>
      </c>
      <c r="S1054" s="172">
        <f>IF('Оперативный ввод'!Q1054="","",'Оперативный ввод'!Q1054)</f>
        <v/>
      </c>
      <c r="T1054" s="172">
        <f>IF('Оперативный ввод'!R1054="","",'Оперативный ввод'!R1054)</f>
        <v/>
      </c>
      <c r="U1054" s="172">
        <f>IF('Оперативный ввод'!S1054="","",'Оперативный ввод'!S1054)</f>
        <v/>
      </c>
      <c r="V1054" s="172">
        <f>IF('Оперативный ввод'!T1054="","",'Оперативный ввод'!T1054)</f>
        <v/>
      </c>
      <c r="W1054" s="172" t="n"/>
      <c r="X1054" s="172" t="n"/>
      <c r="Y1054" s="172" t="n"/>
      <c r="Z1054" s="172" t="n"/>
      <c r="AA1054" s="172">
        <f>IF('Оперативный ввод'!U1054="","",'Оперативный ввод'!U1054)</f>
        <v/>
      </c>
      <c r="AB1054" s="172">
        <f>IF('Оперативный ввод'!V1054="","",'Оперативный ввод'!V1054)</f>
        <v/>
      </c>
      <c r="AC1054" s="172">
        <f>IF('Оперативный ввод'!W1054="","",'Оперативный ввод'!W1054)</f>
        <v/>
      </c>
      <c r="BB1054" s="172" t="n"/>
      <c r="BC1054" s="172" t="n"/>
      <c r="BD1054" s="205">
        <f>IF(AND(A1054="",B1054=""),"",IF(AND(P1054="ГОТОВО",R1054&lt;&gt;"",T1054&lt;&gt;"",U1054&lt;&gt;"",AA1054&lt;&gt;"",AB1054&lt;&gt;"",AC1054&lt;&gt;"",BB1054&lt;&gt;"",BC1054&lt;&gt;""),"ГОТОВО","НЕ ГОТОВО"))</f>
        <v/>
      </c>
      <c r="BE1054" s="205">
        <f>IF(BD1054&lt;&gt;"ГОТОВО","","Полное заключение: "&amp;A1054&amp;", скв. "&amp;B1054&amp;". МРП: "&amp;E1054&amp;" сут. ГНО: "&amp;F1054&amp;"; причина: "&amp;U1054&amp;"; категория: "&amp;V1054&amp;"; решение комиссии: "&amp;BB1054&amp;".")</f>
        <v/>
      </c>
      <c r="BF1054" s="173">
        <f>IF('Оперативный ввод'!X1054="","",'Оперативный ввод'!X1054)</f>
        <v/>
      </c>
    </row>
    <row r="1055">
      <c r="A1055" s="171">
        <f>IF('Оперативный ввод'!A1055="","",'Оперативный ввод'!A1055)</f>
        <v/>
      </c>
      <c r="B1055" s="172">
        <f>IF('Оперативный ввод'!B1055="","",'Оперативный ввод'!B1055)</f>
        <v/>
      </c>
      <c r="C1055" s="270">
        <f>IF('Оперативный ввод'!C1055="","",'Оперативный ввод'!C1055)</f>
        <v/>
      </c>
      <c r="D1055" s="270">
        <f>IF('Оперативный ввод'!D1055="","",'Оперативный ввод'!D1055)</f>
        <v/>
      </c>
      <c r="E1055" s="271">
        <f>IF(OR(C1055="",D1055=""),"",D1055-C1055)</f>
        <v/>
      </c>
      <c r="F1055" s="172">
        <f>IF('Оперативный ввод'!F1055="","",'Оперативный ввод'!F1055)</f>
        <v/>
      </c>
      <c r="G1055" s="172">
        <f>IF('Оперативный ввод'!G1055="","",'Оперативный ввод'!G1055)</f>
        <v/>
      </c>
      <c r="H1055" s="172">
        <f>IF('Оперативный ввод'!H1055="","",'Оперативный ввод'!H1055)</f>
        <v/>
      </c>
      <c r="I1055" s="172">
        <f>IF('Оперативный ввод'!I1055="","",'Оперативный ввод'!I1055)</f>
        <v/>
      </c>
      <c r="J1055" s="172">
        <f>IF('Оперативный ввод'!J1055="","",'Оперативный ввод'!J1055)</f>
        <v/>
      </c>
      <c r="K1055" s="172">
        <f>IF('Оперативный ввод'!K1055="","",'Оперативный ввод'!K1055)</f>
        <v/>
      </c>
      <c r="L1055" s="172">
        <f>IF('Оперативный ввод'!L1055="","",'Оперативный ввод'!L1055)</f>
        <v/>
      </c>
      <c r="M1055" s="172">
        <f>IF('Оперативный ввод'!M1055="","",'Оперативный ввод'!M1055)</f>
        <v/>
      </c>
      <c r="N1055" s="172">
        <f>IF('Оперативный ввод'!N1055="","",'Оперативный ввод'!N1055)</f>
        <v/>
      </c>
      <c r="O1055" s="172">
        <f>IF('Оперативный ввод'!O1055="","",'Оперативный ввод'!O1055)</f>
        <v/>
      </c>
      <c r="P1055" s="205">
        <f>IF(AND(A1055="",B1055=""),"",IF(AND(A1055&lt;&gt;"",B1055&lt;&gt;"",C1055&lt;&gt;"",D1055&lt;&gt;"",F1055&lt;&gt;"",G1055&lt;&gt;"",H1055&lt;&gt;"",ISERROR(SEARCH("по паспорту",G1055)),ISERROR(SEARCH("по паспорту",H1055)),I1055&lt;&gt;"",J1055&lt;&gt;"",K1055&lt;&gt;"",L1055&lt;&gt;"",M1055&lt;&gt;""),"ГОТОВО","НЕ ГОТОВО"))</f>
        <v/>
      </c>
      <c r="Q1055" s="205">
        <f>IF(P1055&lt;&gt;"ГОТОВО","", "Предварительное заключение: "&amp;A1055&amp;", скв. "&amp;B1055&amp;". МРП: "&amp;E1055&amp;" сут. ГНО: "&amp;F1055&amp;", типоразмер "&amp;G1055&amp;", марка "&amp;H1055&amp;". Событие: "&amp;I1055&amp;". Признак: "&amp;J1055&amp;". Узел: "&amp;K1055&amp;". Предварительная причина: "&amp;L1055&amp;". Основное осложнение: "&amp;M1055&amp;IF(N1055&lt;&gt;"","; сопутствующее: "&amp;N1055,"")&amp;IF(O1055&lt;&gt;"","; дополнительно: "&amp;O1055,"")&amp;".")</f>
        <v/>
      </c>
      <c r="R1055" s="172">
        <f>IF('Оперативный ввод'!P1055="","",'Оперативный ввод'!P1055)</f>
        <v/>
      </c>
      <c r="S1055" s="172">
        <f>IF('Оперативный ввод'!Q1055="","",'Оперативный ввод'!Q1055)</f>
        <v/>
      </c>
      <c r="T1055" s="172">
        <f>IF('Оперативный ввод'!R1055="","",'Оперативный ввод'!R1055)</f>
        <v/>
      </c>
      <c r="U1055" s="172">
        <f>IF('Оперативный ввод'!S1055="","",'Оперативный ввод'!S1055)</f>
        <v/>
      </c>
      <c r="V1055" s="172">
        <f>IF('Оперативный ввод'!T1055="","",'Оперативный ввод'!T1055)</f>
        <v/>
      </c>
      <c r="W1055" s="172" t="n"/>
      <c r="X1055" s="172" t="n"/>
      <c r="Y1055" s="172" t="n"/>
      <c r="Z1055" s="172" t="n"/>
      <c r="AA1055" s="172">
        <f>IF('Оперативный ввод'!U1055="","",'Оперативный ввод'!U1055)</f>
        <v/>
      </c>
      <c r="AB1055" s="172">
        <f>IF('Оперативный ввод'!V1055="","",'Оперативный ввод'!V1055)</f>
        <v/>
      </c>
      <c r="AC1055" s="172">
        <f>IF('Оперативный ввод'!W1055="","",'Оперативный ввод'!W1055)</f>
        <v/>
      </c>
      <c r="BB1055" s="172" t="n"/>
      <c r="BC1055" s="172" t="n"/>
      <c r="BD1055" s="205">
        <f>IF(AND(A1055="",B1055=""),"",IF(AND(P1055="ГОТОВО",R1055&lt;&gt;"",T1055&lt;&gt;"",U1055&lt;&gt;"",AA1055&lt;&gt;"",AB1055&lt;&gt;"",AC1055&lt;&gt;"",BB1055&lt;&gt;"",BC1055&lt;&gt;""),"ГОТОВО","НЕ ГОТОВО"))</f>
        <v/>
      </c>
      <c r="BE1055" s="205">
        <f>IF(BD1055&lt;&gt;"ГОТОВО","","Полное заключение: "&amp;A1055&amp;", скв. "&amp;B1055&amp;". МРП: "&amp;E1055&amp;" сут. ГНО: "&amp;F1055&amp;"; причина: "&amp;U1055&amp;"; категория: "&amp;V1055&amp;"; решение комиссии: "&amp;BB1055&amp;".")</f>
        <v/>
      </c>
      <c r="BF1055" s="173">
        <f>IF('Оперативный ввод'!X1055="","",'Оперативный ввод'!X1055)</f>
        <v/>
      </c>
    </row>
    <row r="1056">
      <c r="A1056" s="171">
        <f>IF('Оперативный ввод'!A1056="","",'Оперативный ввод'!A1056)</f>
        <v/>
      </c>
      <c r="B1056" s="172">
        <f>IF('Оперативный ввод'!B1056="","",'Оперативный ввод'!B1056)</f>
        <v/>
      </c>
      <c r="C1056" s="270">
        <f>IF('Оперативный ввод'!C1056="","",'Оперативный ввод'!C1056)</f>
        <v/>
      </c>
      <c r="D1056" s="270">
        <f>IF('Оперативный ввод'!D1056="","",'Оперативный ввод'!D1056)</f>
        <v/>
      </c>
      <c r="E1056" s="271">
        <f>IF(OR(C1056="",D1056=""),"",D1056-C1056)</f>
        <v/>
      </c>
      <c r="F1056" s="172">
        <f>IF('Оперативный ввод'!F1056="","",'Оперативный ввод'!F1056)</f>
        <v/>
      </c>
      <c r="G1056" s="172">
        <f>IF('Оперативный ввод'!G1056="","",'Оперативный ввод'!G1056)</f>
        <v/>
      </c>
      <c r="H1056" s="172">
        <f>IF('Оперативный ввод'!H1056="","",'Оперативный ввод'!H1056)</f>
        <v/>
      </c>
      <c r="I1056" s="172">
        <f>IF('Оперативный ввод'!I1056="","",'Оперативный ввод'!I1056)</f>
        <v/>
      </c>
      <c r="J1056" s="172">
        <f>IF('Оперативный ввод'!J1056="","",'Оперативный ввод'!J1056)</f>
        <v/>
      </c>
      <c r="K1056" s="172">
        <f>IF('Оперативный ввод'!K1056="","",'Оперативный ввод'!K1056)</f>
        <v/>
      </c>
      <c r="L1056" s="172">
        <f>IF('Оперативный ввод'!L1056="","",'Оперативный ввод'!L1056)</f>
        <v/>
      </c>
      <c r="M1056" s="172">
        <f>IF('Оперативный ввод'!M1056="","",'Оперативный ввод'!M1056)</f>
        <v/>
      </c>
      <c r="N1056" s="172">
        <f>IF('Оперативный ввод'!N1056="","",'Оперативный ввод'!N1056)</f>
        <v/>
      </c>
      <c r="O1056" s="172">
        <f>IF('Оперативный ввод'!O1056="","",'Оперативный ввод'!O1056)</f>
        <v/>
      </c>
      <c r="P1056" s="205">
        <f>IF(AND(A1056="",B1056=""),"",IF(AND(A1056&lt;&gt;"",B1056&lt;&gt;"",C1056&lt;&gt;"",D1056&lt;&gt;"",F1056&lt;&gt;"",G1056&lt;&gt;"",H1056&lt;&gt;"",ISERROR(SEARCH("по паспорту",G1056)),ISERROR(SEARCH("по паспорту",H1056)),I1056&lt;&gt;"",J1056&lt;&gt;"",K1056&lt;&gt;"",L1056&lt;&gt;"",M1056&lt;&gt;""),"ГОТОВО","НЕ ГОТОВО"))</f>
        <v/>
      </c>
      <c r="Q1056" s="205">
        <f>IF(P1056&lt;&gt;"ГОТОВО","", "Предварительное заключение: "&amp;A1056&amp;", скв. "&amp;B1056&amp;". МРП: "&amp;E1056&amp;" сут. ГНО: "&amp;F1056&amp;", типоразмер "&amp;G1056&amp;", марка "&amp;H1056&amp;". Событие: "&amp;I1056&amp;". Признак: "&amp;J1056&amp;". Узел: "&amp;K1056&amp;". Предварительная причина: "&amp;L1056&amp;". Основное осложнение: "&amp;M1056&amp;IF(N1056&lt;&gt;"","; сопутствующее: "&amp;N1056,"")&amp;IF(O1056&lt;&gt;"","; дополнительно: "&amp;O1056,"")&amp;".")</f>
        <v/>
      </c>
      <c r="R1056" s="172">
        <f>IF('Оперативный ввод'!P1056="","",'Оперативный ввод'!P1056)</f>
        <v/>
      </c>
      <c r="S1056" s="172">
        <f>IF('Оперативный ввод'!Q1056="","",'Оперативный ввод'!Q1056)</f>
        <v/>
      </c>
      <c r="T1056" s="172">
        <f>IF('Оперативный ввод'!R1056="","",'Оперативный ввод'!R1056)</f>
        <v/>
      </c>
      <c r="U1056" s="172">
        <f>IF('Оперативный ввод'!S1056="","",'Оперативный ввод'!S1056)</f>
        <v/>
      </c>
      <c r="V1056" s="172">
        <f>IF('Оперативный ввод'!T1056="","",'Оперативный ввод'!T1056)</f>
        <v/>
      </c>
      <c r="W1056" s="172" t="n"/>
      <c r="X1056" s="172" t="n"/>
      <c r="Y1056" s="172" t="n"/>
      <c r="Z1056" s="172" t="n"/>
      <c r="AA1056" s="172">
        <f>IF('Оперативный ввод'!U1056="","",'Оперативный ввод'!U1056)</f>
        <v/>
      </c>
      <c r="AB1056" s="172">
        <f>IF('Оперативный ввод'!V1056="","",'Оперативный ввод'!V1056)</f>
        <v/>
      </c>
      <c r="AC1056" s="172">
        <f>IF('Оперативный ввод'!W1056="","",'Оперативный ввод'!W1056)</f>
        <v/>
      </c>
      <c r="BB1056" s="172" t="n"/>
      <c r="BC1056" s="172" t="n"/>
      <c r="BD1056" s="205">
        <f>IF(AND(A1056="",B1056=""),"",IF(AND(P1056="ГОТОВО",R1056&lt;&gt;"",T1056&lt;&gt;"",U1056&lt;&gt;"",AA1056&lt;&gt;"",AB1056&lt;&gt;"",AC1056&lt;&gt;"",BB1056&lt;&gt;"",BC1056&lt;&gt;""),"ГОТОВО","НЕ ГОТОВО"))</f>
        <v/>
      </c>
      <c r="BE1056" s="205">
        <f>IF(BD1056&lt;&gt;"ГОТОВО","","Полное заключение: "&amp;A1056&amp;", скв. "&amp;B1056&amp;". МРП: "&amp;E1056&amp;" сут. ГНО: "&amp;F1056&amp;"; причина: "&amp;U1056&amp;"; категория: "&amp;V1056&amp;"; решение комиссии: "&amp;BB1056&amp;".")</f>
        <v/>
      </c>
      <c r="BF1056" s="173">
        <f>IF('Оперативный ввод'!X1056="","",'Оперативный ввод'!X1056)</f>
        <v/>
      </c>
    </row>
    <row r="1057">
      <c r="A1057" s="171">
        <f>IF('Оперативный ввод'!A1057="","",'Оперативный ввод'!A1057)</f>
        <v/>
      </c>
      <c r="B1057" s="172">
        <f>IF('Оперативный ввод'!B1057="","",'Оперативный ввод'!B1057)</f>
        <v/>
      </c>
      <c r="C1057" s="270">
        <f>IF('Оперативный ввод'!C1057="","",'Оперативный ввод'!C1057)</f>
        <v/>
      </c>
      <c r="D1057" s="270">
        <f>IF('Оперативный ввод'!D1057="","",'Оперативный ввод'!D1057)</f>
        <v/>
      </c>
      <c r="E1057" s="271">
        <f>IF(OR(C1057="",D1057=""),"",D1057-C1057)</f>
        <v/>
      </c>
      <c r="F1057" s="172">
        <f>IF('Оперативный ввод'!F1057="","",'Оперативный ввод'!F1057)</f>
        <v/>
      </c>
      <c r="G1057" s="172">
        <f>IF('Оперативный ввод'!G1057="","",'Оперативный ввод'!G1057)</f>
        <v/>
      </c>
      <c r="H1057" s="172">
        <f>IF('Оперативный ввод'!H1057="","",'Оперативный ввод'!H1057)</f>
        <v/>
      </c>
      <c r="I1057" s="172">
        <f>IF('Оперативный ввод'!I1057="","",'Оперативный ввод'!I1057)</f>
        <v/>
      </c>
      <c r="J1057" s="172">
        <f>IF('Оперативный ввод'!J1057="","",'Оперативный ввод'!J1057)</f>
        <v/>
      </c>
      <c r="K1057" s="172">
        <f>IF('Оперативный ввод'!K1057="","",'Оперативный ввод'!K1057)</f>
        <v/>
      </c>
      <c r="L1057" s="172">
        <f>IF('Оперативный ввод'!L1057="","",'Оперативный ввод'!L1057)</f>
        <v/>
      </c>
      <c r="M1057" s="172">
        <f>IF('Оперативный ввод'!M1057="","",'Оперативный ввод'!M1057)</f>
        <v/>
      </c>
      <c r="N1057" s="172">
        <f>IF('Оперативный ввод'!N1057="","",'Оперативный ввод'!N1057)</f>
        <v/>
      </c>
      <c r="O1057" s="172">
        <f>IF('Оперативный ввод'!O1057="","",'Оперативный ввод'!O1057)</f>
        <v/>
      </c>
      <c r="P1057" s="205">
        <f>IF(AND(A1057="",B1057=""),"",IF(AND(A1057&lt;&gt;"",B1057&lt;&gt;"",C1057&lt;&gt;"",D1057&lt;&gt;"",F1057&lt;&gt;"",G1057&lt;&gt;"",H1057&lt;&gt;"",ISERROR(SEARCH("по паспорту",G1057)),ISERROR(SEARCH("по паспорту",H1057)),I1057&lt;&gt;"",J1057&lt;&gt;"",K1057&lt;&gt;"",L1057&lt;&gt;"",M1057&lt;&gt;""),"ГОТОВО","НЕ ГОТОВО"))</f>
        <v/>
      </c>
      <c r="Q1057" s="205">
        <f>IF(P1057&lt;&gt;"ГОТОВО","", "Предварительное заключение: "&amp;A1057&amp;", скв. "&amp;B1057&amp;". МРП: "&amp;E1057&amp;" сут. ГНО: "&amp;F1057&amp;", типоразмер "&amp;G1057&amp;", марка "&amp;H1057&amp;". Событие: "&amp;I1057&amp;". Признак: "&amp;J1057&amp;". Узел: "&amp;K1057&amp;". Предварительная причина: "&amp;L1057&amp;". Основное осложнение: "&amp;M1057&amp;IF(N1057&lt;&gt;"","; сопутствующее: "&amp;N1057,"")&amp;IF(O1057&lt;&gt;"","; дополнительно: "&amp;O1057,"")&amp;".")</f>
        <v/>
      </c>
      <c r="R1057" s="172">
        <f>IF('Оперативный ввод'!P1057="","",'Оперативный ввод'!P1057)</f>
        <v/>
      </c>
      <c r="S1057" s="172">
        <f>IF('Оперативный ввод'!Q1057="","",'Оперативный ввод'!Q1057)</f>
        <v/>
      </c>
      <c r="T1057" s="172">
        <f>IF('Оперативный ввод'!R1057="","",'Оперативный ввод'!R1057)</f>
        <v/>
      </c>
      <c r="U1057" s="172">
        <f>IF('Оперативный ввод'!S1057="","",'Оперативный ввод'!S1057)</f>
        <v/>
      </c>
      <c r="V1057" s="172">
        <f>IF('Оперативный ввод'!T1057="","",'Оперативный ввод'!T1057)</f>
        <v/>
      </c>
      <c r="W1057" s="172" t="n"/>
      <c r="X1057" s="172" t="n"/>
      <c r="Y1057" s="172" t="n"/>
      <c r="Z1057" s="172" t="n"/>
      <c r="AA1057" s="172">
        <f>IF('Оперативный ввод'!U1057="","",'Оперативный ввод'!U1057)</f>
        <v/>
      </c>
      <c r="AB1057" s="172">
        <f>IF('Оперативный ввод'!V1057="","",'Оперативный ввод'!V1057)</f>
        <v/>
      </c>
      <c r="AC1057" s="172">
        <f>IF('Оперативный ввод'!W1057="","",'Оперативный ввод'!W1057)</f>
        <v/>
      </c>
      <c r="BB1057" s="172" t="n"/>
      <c r="BC1057" s="172" t="n"/>
      <c r="BD1057" s="205">
        <f>IF(AND(A1057="",B1057=""),"",IF(AND(P1057="ГОТОВО",R1057&lt;&gt;"",T1057&lt;&gt;"",U1057&lt;&gt;"",AA1057&lt;&gt;"",AB1057&lt;&gt;"",AC1057&lt;&gt;"",BB1057&lt;&gt;"",BC1057&lt;&gt;""),"ГОТОВО","НЕ ГОТОВО"))</f>
        <v/>
      </c>
      <c r="BE1057" s="205">
        <f>IF(BD1057&lt;&gt;"ГОТОВО","","Полное заключение: "&amp;A1057&amp;", скв. "&amp;B1057&amp;". МРП: "&amp;E1057&amp;" сут. ГНО: "&amp;F1057&amp;"; причина: "&amp;U1057&amp;"; категория: "&amp;V1057&amp;"; решение комиссии: "&amp;BB1057&amp;".")</f>
        <v/>
      </c>
      <c r="BF1057" s="173">
        <f>IF('Оперативный ввод'!X1057="","",'Оперативный ввод'!X1057)</f>
        <v/>
      </c>
    </row>
    <row r="1058">
      <c r="A1058" s="171">
        <f>IF('Оперативный ввод'!A1058="","",'Оперативный ввод'!A1058)</f>
        <v/>
      </c>
      <c r="B1058" s="172">
        <f>IF('Оперативный ввод'!B1058="","",'Оперативный ввод'!B1058)</f>
        <v/>
      </c>
      <c r="C1058" s="270">
        <f>IF('Оперативный ввод'!C1058="","",'Оперативный ввод'!C1058)</f>
        <v/>
      </c>
      <c r="D1058" s="270">
        <f>IF('Оперативный ввод'!D1058="","",'Оперативный ввод'!D1058)</f>
        <v/>
      </c>
      <c r="E1058" s="271">
        <f>IF(OR(C1058="",D1058=""),"",D1058-C1058)</f>
        <v/>
      </c>
      <c r="F1058" s="172">
        <f>IF('Оперативный ввод'!F1058="","",'Оперативный ввод'!F1058)</f>
        <v/>
      </c>
      <c r="G1058" s="172">
        <f>IF('Оперативный ввод'!G1058="","",'Оперативный ввод'!G1058)</f>
        <v/>
      </c>
      <c r="H1058" s="172">
        <f>IF('Оперативный ввод'!H1058="","",'Оперативный ввод'!H1058)</f>
        <v/>
      </c>
      <c r="I1058" s="172">
        <f>IF('Оперативный ввод'!I1058="","",'Оперативный ввод'!I1058)</f>
        <v/>
      </c>
      <c r="J1058" s="172">
        <f>IF('Оперативный ввод'!J1058="","",'Оперативный ввод'!J1058)</f>
        <v/>
      </c>
      <c r="K1058" s="172">
        <f>IF('Оперативный ввод'!K1058="","",'Оперативный ввод'!K1058)</f>
        <v/>
      </c>
      <c r="L1058" s="172">
        <f>IF('Оперативный ввод'!L1058="","",'Оперативный ввод'!L1058)</f>
        <v/>
      </c>
      <c r="M1058" s="172">
        <f>IF('Оперативный ввод'!M1058="","",'Оперативный ввод'!M1058)</f>
        <v/>
      </c>
      <c r="N1058" s="172">
        <f>IF('Оперативный ввод'!N1058="","",'Оперативный ввод'!N1058)</f>
        <v/>
      </c>
      <c r="O1058" s="172">
        <f>IF('Оперативный ввод'!O1058="","",'Оперативный ввод'!O1058)</f>
        <v/>
      </c>
      <c r="P1058" s="205">
        <f>IF(AND(A1058="",B1058=""),"",IF(AND(A1058&lt;&gt;"",B1058&lt;&gt;"",C1058&lt;&gt;"",D1058&lt;&gt;"",F1058&lt;&gt;"",G1058&lt;&gt;"",H1058&lt;&gt;"",ISERROR(SEARCH("по паспорту",G1058)),ISERROR(SEARCH("по паспорту",H1058)),I1058&lt;&gt;"",J1058&lt;&gt;"",K1058&lt;&gt;"",L1058&lt;&gt;"",M1058&lt;&gt;""),"ГОТОВО","НЕ ГОТОВО"))</f>
        <v/>
      </c>
      <c r="Q1058" s="205">
        <f>IF(P1058&lt;&gt;"ГОТОВО","", "Предварительное заключение: "&amp;A1058&amp;", скв. "&amp;B1058&amp;". МРП: "&amp;E1058&amp;" сут. ГНО: "&amp;F1058&amp;", типоразмер "&amp;G1058&amp;", марка "&amp;H1058&amp;". Событие: "&amp;I1058&amp;". Признак: "&amp;J1058&amp;". Узел: "&amp;K1058&amp;". Предварительная причина: "&amp;L1058&amp;". Основное осложнение: "&amp;M1058&amp;IF(N1058&lt;&gt;"","; сопутствующее: "&amp;N1058,"")&amp;IF(O1058&lt;&gt;"","; дополнительно: "&amp;O1058,"")&amp;".")</f>
        <v/>
      </c>
      <c r="R1058" s="172">
        <f>IF('Оперативный ввод'!P1058="","",'Оперативный ввод'!P1058)</f>
        <v/>
      </c>
      <c r="S1058" s="172">
        <f>IF('Оперативный ввод'!Q1058="","",'Оперативный ввод'!Q1058)</f>
        <v/>
      </c>
      <c r="T1058" s="172">
        <f>IF('Оперативный ввод'!R1058="","",'Оперативный ввод'!R1058)</f>
        <v/>
      </c>
      <c r="U1058" s="172">
        <f>IF('Оперативный ввод'!S1058="","",'Оперативный ввод'!S1058)</f>
        <v/>
      </c>
      <c r="V1058" s="172">
        <f>IF('Оперативный ввод'!T1058="","",'Оперативный ввод'!T1058)</f>
        <v/>
      </c>
      <c r="W1058" s="172" t="n"/>
      <c r="X1058" s="172" t="n"/>
      <c r="Y1058" s="172" t="n"/>
      <c r="Z1058" s="172" t="n"/>
      <c r="AA1058" s="172">
        <f>IF('Оперативный ввод'!U1058="","",'Оперативный ввод'!U1058)</f>
        <v/>
      </c>
      <c r="AB1058" s="172">
        <f>IF('Оперативный ввод'!V1058="","",'Оперативный ввод'!V1058)</f>
        <v/>
      </c>
      <c r="AC1058" s="172">
        <f>IF('Оперативный ввод'!W1058="","",'Оперативный ввод'!W1058)</f>
        <v/>
      </c>
      <c r="BB1058" s="172" t="n"/>
      <c r="BC1058" s="172" t="n"/>
      <c r="BD1058" s="205">
        <f>IF(AND(A1058="",B1058=""),"",IF(AND(P1058="ГОТОВО",R1058&lt;&gt;"",T1058&lt;&gt;"",U1058&lt;&gt;"",AA1058&lt;&gt;"",AB1058&lt;&gt;"",AC1058&lt;&gt;"",BB1058&lt;&gt;"",BC1058&lt;&gt;""),"ГОТОВО","НЕ ГОТОВО"))</f>
        <v/>
      </c>
      <c r="BE1058" s="205">
        <f>IF(BD1058&lt;&gt;"ГОТОВО","","Полное заключение: "&amp;A1058&amp;", скв. "&amp;B1058&amp;". МРП: "&amp;E1058&amp;" сут. ГНО: "&amp;F1058&amp;"; причина: "&amp;U1058&amp;"; категория: "&amp;V1058&amp;"; решение комиссии: "&amp;BB1058&amp;".")</f>
        <v/>
      </c>
      <c r="BF1058" s="173">
        <f>IF('Оперативный ввод'!X1058="","",'Оперативный ввод'!X1058)</f>
        <v/>
      </c>
    </row>
    <row r="1059">
      <c r="A1059" s="171">
        <f>IF('Оперативный ввод'!A1059="","",'Оперативный ввод'!A1059)</f>
        <v/>
      </c>
      <c r="B1059" s="172">
        <f>IF('Оперативный ввод'!B1059="","",'Оперативный ввод'!B1059)</f>
        <v/>
      </c>
      <c r="C1059" s="270">
        <f>IF('Оперативный ввод'!C1059="","",'Оперативный ввод'!C1059)</f>
        <v/>
      </c>
      <c r="D1059" s="270">
        <f>IF('Оперативный ввод'!D1059="","",'Оперативный ввод'!D1059)</f>
        <v/>
      </c>
      <c r="E1059" s="271">
        <f>IF(OR(C1059="",D1059=""),"",D1059-C1059)</f>
        <v/>
      </c>
      <c r="F1059" s="172">
        <f>IF('Оперативный ввод'!F1059="","",'Оперативный ввод'!F1059)</f>
        <v/>
      </c>
      <c r="G1059" s="172">
        <f>IF('Оперативный ввод'!G1059="","",'Оперативный ввод'!G1059)</f>
        <v/>
      </c>
      <c r="H1059" s="172">
        <f>IF('Оперативный ввод'!H1059="","",'Оперативный ввод'!H1059)</f>
        <v/>
      </c>
      <c r="I1059" s="172">
        <f>IF('Оперативный ввод'!I1059="","",'Оперативный ввод'!I1059)</f>
        <v/>
      </c>
      <c r="J1059" s="172">
        <f>IF('Оперативный ввод'!J1059="","",'Оперативный ввод'!J1059)</f>
        <v/>
      </c>
      <c r="K1059" s="172">
        <f>IF('Оперативный ввод'!K1059="","",'Оперативный ввод'!K1059)</f>
        <v/>
      </c>
      <c r="L1059" s="172">
        <f>IF('Оперативный ввод'!L1059="","",'Оперативный ввод'!L1059)</f>
        <v/>
      </c>
      <c r="M1059" s="172">
        <f>IF('Оперативный ввод'!M1059="","",'Оперативный ввод'!M1059)</f>
        <v/>
      </c>
      <c r="N1059" s="172">
        <f>IF('Оперативный ввод'!N1059="","",'Оперативный ввод'!N1059)</f>
        <v/>
      </c>
      <c r="O1059" s="172">
        <f>IF('Оперативный ввод'!O1059="","",'Оперативный ввод'!O1059)</f>
        <v/>
      </c>
      <c r="P1059" s="205">
        <f>IF(AND(A1059="",B1059=""),"",IF(AND(A1059&lt;&gt;"",B1059&lt;&gt;"",C1059&lt;&gt;"",D1059&lt;&gt;"",F1059&lt;&gt;"",G1059&lt;&gt;"",H1059&lt;&gt;"",ISERROR(SEARCH("по паспорту",G1059)),ISERROR(SEARCH("по паспорту",H1059)),I1059&lt;&gt;"",J1059&lt;&gt;"",K1059&lt;&gt;"",L1059&lt;&gt;"",M1059&lt;&gt;""),"ГОТОВО","НЕ ГОТОВО"))</f>
        <v/>
      </c>
      <c r="Q1059" s="205">
        <f>IF(P1059&lt;&gt;"ГОТОВО","", "Предварительное заключение: "&amp;A1059&amp;", скв. "&amp;B1059&amp;". МРП: "&amp;E1059&amp;" сут. ГНО: "&amp;F1059&amp;", типоразмер "&amp;G1059&amp;", марка "&amp;H1059&amp;". Событие: "&amp;I1059&amp;". Признак: "&amp;J1059&amp;". Узел: "&amp;K1059&amp;". Предварительная причина: "&amp;L1059&amp;". Основное осложнение: "&amp;M1059&amp;IF(N1059&lt;&gt;"","; сопутствующее: "&amp;N1059,"")&amp;IF(O1059&lt;&gt;"","; дополнительно: "&amp;O1059,"")&amp;".")</f>
        <v/>
      </c>
      <c r="R1059" s="172">
        <f>IF('Оперативный ввод'!P1059="","",'Оперативный ввод'!P1059)</f>
        <v/>
      </c>
      <c r="S1059" s="172">
        <f>IF('Оперативный ввод'!Q1059="","",'Оперативный ввод'!Q1059)</f>
        <v/>
      </c>
      <c r="T1059" s="172">
        <f>IF('Оперативный ввод'!R1059="","",'Оперативный ввод'!R1059)</f>
        <v/>
      </c>
      <c r="U1059" s="172">
        <f>IF('Оперативный ввод'!S1059="","",'Оперативный ввод'!S1059)</f>
        <v/>
      </c>
      <c r="V1059" s="172">
        <f>IF('Оперативный ввод'!T1059="","",'Оперативный ввод'!T1059)</f>
        <v/>
      </c>
      <c r="W1059" s="172" t="n"/>
      <c r="X1059" s="172" t="n"/>
      <c r="Y1059" s="172" t="n"/>
      <c r="Z1059" s="172" t="n"/>
      <c r="AA1059" s="172">
        <f>IF('Оперативный ввод'!U1059="","",'Оперативный ввод'!U1059)</f>
        <v/>
      </c>
      <c r="AB1059" s="172">
        <f>IF('Оперативный ввод'!V1059="","",'Оперативный ввод'!V1059)</f>
        <v/>
      </c>
      <c r="AC1059" s="172">
        <f>IF('Оперативный ввод'!W1059="","",'Оперативный ввод'!W1059)</f>
        <v/>
      </c>
      <c r="BB1059" s="172" t="n"/>
      <c r="BC1059" s="172" t="n"/>
      <c r="BD1059" s="205">
        <f>IF(AND(A1059="",B1059=""),"",IF(AND(P1059="ГОТОВО",R1059&lt;&gt;"",T1059&lt;&gt;"",U1059&lt;&gt;"",AA1059&lt;&gt;"",AB1059&lt;&gt;"",AC1059&lt;&gt;"",BB1059&lt;&gt;"",BC1059&lt;&gt;""),"ГОТОВО","НЕ ГОТОВО"))</f>
        <v/>
      </c>
      <c r="BE1059" s="205">
        <f>IF(BD1059&lt;&gt;"ГОТОВО","","Полное заключение: "&amp;A1059&amp;", скв. "&amp;B1059&amp;". МРП: "&amp;E1059&amp;" сут. ГНО: "&amp;F1059&amp;"; причина: "&amp;U1059&amp;"; категория: "&amp;V1059&amp;"; решение комиссии: "&amp;BB1059&amp;".")</f>
        <v/>
      </c>
      <c r="BF1059" s="173">
        <f>IF('Оперативный ввод'!X1059="","",'Оперативный ввод'!X1059)</f>
        <v/>
      </c>
    </row>
    <row r="1060">
      <c r="A1060" s="171">
        <f>IF('Оперативный ввод'!A1060="","",'Оперативный ввод'!A1060)</f>
        <v/>
      </c>
      <c r="B1060" s="172">
        <f>IF('Оперативный ввод'!B1060="","",'Оперативный ввод'!B1060)</f>
        <v/>
      </c>
      <c r="C1060" s="270">
        <f>IF('Оперативный ввод'!C1060="","",'Оперативный ввод'!C1060)</f>
        <v/>
      </c>
      <c r="D1060" s="270">
        <f>IF('Оперативный ввод'!D1060="","",'Оперативный ввод'!D1060)</f>
        <v/>
      </c>
      <c r="E1060" s="271">
        <f>IF(OR(C1060="",D1060=""),"",D1060-C1060)</f>
        <v/>
      </c>
      <c r="F1060" s="172">
        <f>IF('Оперативный ввод'!F1060="","",'Оперативный ввод'!F1060)</f>
        <v/>
      </c>
      <c r="G1060" s="172">
        <f>IF('Оперативный ввод'!G1060="","",'Оперативный ввод'!G1060)</f>
        <v/>
      </c>
      <c r="H1060" s="172">
        <f>IF('Оперативный ввод'!H1060="","",'Оперативный ввод'!H1060)</f>
        <v/>
      </c>
      <c r="I1060" s="172">
        <f>IF('Оперативный ввод'!I1060="","",'Оперативный ввод'!I1060)</f>
        <v/>
      </c>
      <c r="J1060" s="172">
        <f>IF('Оперативный ввод'!J1060="","",'Оперативный ввод'!J1060)</f>
        <v/>
      </c>
      <c r="K1060" s="172">
        <f>IF('Оперативный ввод'!K1060="","",'Оперативный ввод'!K1060)</f>
        <v/>
      </c>
      <c r="L1060" s="172">
        <f>IF('Оперативный ввод'!L1060="","",'Оперативный ввод'!L1060)</f>
        <v/>
      </c>
      <c r="M1060" s="172">
        <f>IF('Оперативный ввод'!M1060="","",'Оперативный ввод'!M1060)</f>
        <v/>
      </c>
      <c r="N1060" s="172">
        <f>IF('Оперативный ввод'!N1060="","",'Оперативный ввод'!N1060)</f>
        <v/>
      </c>
      <c r="O1060" s="172">
        <f>IF('Оперативный ввод'!O1060="","",'Оперативный ввод'!O1060)</f>
        <v/>
      </c>
      <c r="P1060" s="205">
        <f>IF(AND(A1060="",B1060=""),"",IF(AND(A1060&lt;&gt;"",B1060&lt;&gt;"",C1060&lt;&gt;"",D1060&lt;&gt;"",F1060&lt;&gt;"",G1060&lt;&gt;"",H1060&lt;&gt;"",ISERROR(SEARCH("по паспорту",G1060)),ISERROR(SEARCH("по паспорту",H1060)),I1060&lt;&gt;"",J1060&lt;&gt;"",K1060&lt;&gt;"",L1060&lt;&gt;"",M1060&lt;&gt;""),"ГОТОВО","НЕ ГОТОВО"))</f>
        <v/>
      </c>
      <c r="Q1060" s="205">
        <f>IF(P1060&lt;&gt;"ГОТОВО","", "Предварительное заключение: "&amp;A1060&amp;", скв. "&amp;B1060&amp;". МРП: "&amp;E1060&amp;" сут. ГНО: "&amp;F1060&amp;", типоразмер "&amp;G1060&amp;", марка "&amp;H1060&amp;". Событие: "&amp;I1060&amp;". Признак: "&amp;J1060&amp;". Узел: "&amp;K1060&amp;". Предварительная причина: "&amp;L1060&amp;". Основное осложнение: "&amp;M1060&amp;IF(N1060&lt;&gt;"","; сопутствующее: "&amp;N1060,"")&amp;IF(O1060&lt;&gt;"","; дополнительно: "&amp;O1060,"")&amp;".")</f>
        <v/>
      </c>
      <c r="R1060" s="172">
        <f>IF('Оперативный ввод'!P1060="","",'Оперативный ввод'!P1060)</f>
        <v/>
      </c>
      <c r="S1060" s="172">
        <f>IF('Оперативный ввод'!Q1060="","",'Оперативный ввод'!Q1060)</f>
        <v/>
      </c>
      <c r="T1060" s="172">
        <f>IF('Оперативный ввод'!R1060="","",'Оперативный ввод'!R1060)</f>
        <v/>
      </c>
      <c r="U1060" s="172">
        <f>IF('Оперативный ввод'!S1060="","",'Оперативный ввод'!S1060)</f>
        <v/>
      </c>
      <c r="V1060" s="172">
        <f>IF('Оперативный ввод'!T1060="","",'Оперативный ввод'!T1060)</f>
        <v/>
      </c>
      <c r="W1060" s="172" t="n"/>
      <c r="X1060" s="172" t="n"/>
      <c r="Y1060" s="172" t="n"/>
      <c r="Z1060" s="172" t="n"/>
      <c r="AA1060" s="172">
        <f>IF('Оперативный ввод'!U1060="","",'Оперативный ввод'!U1060)</f>
        <v/>
      </c>
      <c r="AB1060" s="172">
        <f>IF('Оперативный ввод'!V1060="","",'Оперативный ввод'!V1060)</f>
        <v/>
      </c>
      <c r="AC1060" s="172">
        <f>IF('Оперативный ввод'!W1060="","",'Оперативный ввод'!W1060)</f>
        <v/>
      </c>
      <c r="BB1060" s="172" t="n"/>
      <c r="BC1060" s="172" t="n"/>
      <c r="BD1060" s="205">
        <f>IF(AND(A1060="",B1060=""),"",IF(AND(P1060="ГОТОВО",R1060&lt;&gt;"",T1060&lt;&gt;"",U1060&lt;&gt;"",AA1060&lt;&gt;"",AB1060&lt;&gt;"",AC1060&lt;&gt;"",BB1060&lt;&gt;"",BC1060&lt;&gt;""),"ГОТОВО","НЕ ГОТОВО"))</f>
        <v/>
      </c>
      <c r="BE1060" s="205">
        <f>IF(BD1060&lt;&gt;"ГОТОВО","","Полное заключение: "&amp;A1060&amp;", скв. "&amp;B1060&amp;". МРП: "&amp;E1060&amp;" сут. ГНО: "&amp;F1060&amp;"; причина: "&amp;U1060&amp;"; категория: "&amp;V1060&amp;"; решение комиссии: "&amp;BB1060&amp;".")</f>
        <v/>
      </c>
      <c r="BF1060" s="173">
        <f>IF('Оперативный ввод'!X1060="","",'Оперативный ввод'!X1060)</f>
        <v/>
      </c>
    </row>
    <row r="1061">
      <c r="A1061" s="171">
        <f>IF('Оперативный ввод'!A1061="","",'Оперативный ввод'!A1061)</f>
        <v/>
      </c>
      <c r="B1061" s="172">
        <f>IF('Оперативный ввод'!B1061="","",'Оперативный ввод'!B1061)</f>
        <v/>
      </c>
      <c r="C1061" s="270">
        <f>IF('Оперативный ввод'!C1061="","",'Оперативный ввод'!C1061)</f>
        <v/>
      </c>
      <c r="D1061" s="270">
        <f>IF('Оперативный ввод'!D1061="","",'Оперативный ввод'!D1061)</f>
        <v/>
      </c>
      <c r="E1061" s="271">
        <f>IF(OR(C1061="",D1061=""),"",D1061-C1061)</f>
        <v/>
      </c>
      <c r="F1061" s="172">
        <f>IF('Оперативный ввод'!F1061="","",'Оперативный ввод'!F1061)</f>
        <v/>
      </c>
      <c r="G1061" s="172">
        <f>IF('Оперативный ввод'!G1061="","",'Оперативный ввод'!G1061)</f>
        <v/>
      </c>
      <c r="H1061" s="172">
        <f>IF('Оперативный ввод'!H1061="","",'Оперативный ввод'!H1061)</f>
        <v/>
      </c>
      <c r="I1061" s="172">
        <f>IF('Оперативный ввод'!I1061="","",'Оперативный ввод'!I1061)</f>
        <v/>
      </c>
      <c r="J1061" s="172">
        <f>IF('Оперативный ввод'!J1061="","",'Оперативный ввод'!J1061)</f>
        <v/>
      </c>
      <c r="K1061" s="172">
        <f>IF('Оперативный ввод'!K1061="","",'Оперативный ввод'!K1061)</f>
        <v/>
      </c>
      <c r="L1061" s="172">
        <f>IF('Оперативный ввод'!L1061="","",'Оперативный ввод'!L1061)</f>
        <v/>
      </c>
      <c r="M1061" s="172">
        <f>IF('Оперативный ввод'!M1061="","",'Оперативный ввод'!M1061)</f>
        <v/>
      </c>
      <c r="N1061" s="172">
        <f>IF('Оперативный ввод'!N1061="","",'Оперативный ввод'!N1061)</f>
        <v/>
      </c>
      <c r="O1061" s="172">
        <f>IF('Оперативный ввод'!O1061="","",'Оперативный ввод'!O1061)</f>
        <v/>
      </c>
      <c r="P1061" s="205">
        <f>IF(AND(A1061="",B1061=""),"",IF(AND(A1061&lt;&gt;"",B1061&lt;&gt;"",C1061&lt;&gt;"",D1061&lt;&gt;"",F1061&lt;&gt;"",G1061&lt;&gt;"",H1061&lt;&gt;"",ISERROR(SEARCH("по паспорту",G1061)),ISERROR(SEARCH("по паспорту",H1061)),I1061&lt;&gt;"",J1061&lt;&gt;"",K1061&lt;&gt;"",L1061&lt;&gt;"",M1061&lt;&gt;""),"ГОТОВО","НЕ ГОТОВО"))</f>
        <v/>
      </c>
      <c r="Q1061" s="205">
        <f>IF(P1061&lt;&gt;"ГОТОВО","", "Предварительное заключение: "&amp;A1061&amp;", скв. "&amp;B1061&amp;". МРП: "&amp;E1061&amp;" сут. ГНО: "&amp;F1061&amp;", типоразмер "&amp;G1061&amp;", марка "&amp;H1061&amp;". Событие: "&amp;I1061&amp;". Признак: "&amp;J1061&amp;". Узел: "&amp;K1061&amp;". Предварительная причина: "&amp;L1061&amp;". Основное осложнение: "&amp;M1061&amp;IF(N1061&lt;&gt;"","; сопутствующее: "&amp;N1061,"")&amp;IF(O1061&lt;&gt;"","; дополнительно: "&amp;O1061,"")&amp;".")</f>
        <v/>
      </c>
      <c r="R1061" s="172">
        <f>IF('Оперативный ввод'!P1061="","",'Оперативный ввод'!P1061)</f>
        <v/>
      </c>
      <c r="S1061" s="172">
        <f>IF('Оперативный ввод'!Q1061="","",'Оперативный ввод'!Q1061)</f>
        <v/>
      </c>
      <c r="T1061" s="172">
        <f>IF('Оперативный ввод'!R1061="","",'Оперативный ввод'!R1061)</f>
        <v/>
      </c>
      <c r="U1061" s="172">
        <f>IF('Оперативный ввод'!S1061="","",'Оперативный ввод'!S1061)</f>
        <v/>
      </c>
      <c r="V1061" s="172">
        <f>IF('Оперативный ввод'!T1061="","",'Оперативный ввод'!T1061)</f>
        <v/>
      </c>
      <c r="W1061" s="172" t="n"/>
      <c r="X1061" s="172" t="n"/>
      <c r="Y1061" s="172" t="n"/>
      <c r="Z1061" s="172" t="n"/>
      <c r="AA1061" s="172">
        <f>IF('Оперативный ввод'!U1061="","",'Оперативный ввод'!U1061)</f>
        <v/>
      </c>
      <c r="AB1061" s="172">
        <f>IF('Оперативный ввод'!V1061="","",'Оперативный ввод'!V1061)</f>
        <v/>
      </c>
      <c r="AC1061" s="172">
        <f>IF('Оперативный ввод'!W1061="","",'Оперативный ввод'!W1061)</f>
        <v/>
      </c>
      <c r="BB1061" s="172" t="n"/>
      <c r="BC1061" s="172" t="n"/>
      <c r="BD1061" s="205">
        <f>IF(AND(A1061="",B1061=""),"",IF(AND(P1061="ГОТОВО",R1061&lt;&gt;"",T1061&lt;&gt;"",U1061&lt;&gt;"",AA1061&lt;&gt;"",AB1061&lt;&gt;"",AC1061&lt;&gt;"",BB1061&lt;&gt;"",BC1061&lt;&gt;""),"ГОТОВО","НЕ ГОТОВО"))</f>
        <v/>
      </c>
      <c r="BE1061" s="205">
        <f>IF(BD1061&lt;&gt;"ГОТОВО","","Полное заключение: "&amp;A1061&amp;", скв. "&amp;B1061&amp;". МРП: "&amp;E1061&amp;" сут. ГНО: "&amp;F1061&amp;"; причина: "&amp;U1061&amp;"; категория: "&amp;V1061&amp;"; решение комиссии: "&amp;BB1061&amp;".")</f>
        <v/>
      </c>
      <c r="BF1061" s="173">
        <f>IF('Оперативный ввод'!X1061="","",'Оперативный ввод'!X1061)</f>
        <v/>
      </c>
    </row>
    <row r="1062">
      <c r="A1062" s="171">
        <f>IF('Оперативный ввод'!A1062="","",'Оперативный ввод'!A1062)</f>
        <v/>
      </c>
      <c r="B1062" s="172">
        <f>IF('Оперативный ввод'!B1062="","",'Оперативный ввод'!B1062)</f>
        <v/>
      </c>
      <c r="C1062" s="270">
        <f>IF('Оперативный ввод'!C1062="","",'Оперативный ввод'!C1062)</f>
        <v/>
      </c>
      <c r="D1062" s="270">
        <f>IF('Оперативный ввод'!D1062="","",'Оперативный ввод'!D1062)</f>
        <v/>
      </c>
      <c r="E1062" s="271">
        <f>IF(OR(C1062="",D1062=""),"",D1062-C1062)</f>
        <v/>
      </c>
      <c r="F1062" s="172">
        <f>IF('Оперативный ввод'!F1062="","",'Оперативный ввод'!F1062)</f>
        <v/>
      </c>
      <c r="G1062" s="172">
        <f>IF('Оперативный ввод'!G1062="","",'Оперативный ввод'!G1062)</f>
        <v/>
      </c>
      <c r="H1062" s="172">
        <f>IF('Оперативный ввод'!H1062="","",'Оперативный ввод'!H1062)</f>
        <v/>
      </c>
      <c r="I1062" s="172">
        <f>IF('Оперативный ввод'!I1062="","",'Оперативный ввод'!I1062)</f>
        <v/>
      </c>
      <c r="J1062" s="172">
        <f>IF('Оперативный ввод'!J1062="","",'Оперативный ввод'!J1062)</f>
        <v/>
      </c>
      <c r="K1062" s="172">
        <f>IF('Оперативный ввод'!K1062="","",'Оперативный ввод'!K1062)</f>
        <v/>
      </c>
      <c r="L1062" s="172">
        <f>IF('Оперативный ввод'!L1062="","",'Оперативный ввод'!L1062)</f>
        <v/>
      </c>
      <c r="M1062" s="172">
        <f>IF('Оперативный ввод'!M1062="","",'Оперативный ввод'!M1062)</f>
        <v/>
      </c>
      <c r="N1062" s="172">
        <f>IF('Оперативный ввод'!N1062="","",'Оперативный ввод'!N1062)</f>
        <v/>
      </c>
      <c r="O1062" s="172">
        <f>IF('Оперативный ввод'!O1062="","",'Оперативный ввод'!O1062)</f>
        <v/>
      </c>
      <c r="P1062" s="205">
        <f>IF(AND(A1062="",B1062=""),"",IF(AND(A1062&lt;&gt;"",B1062&lt;&gt;"",C1062&lt;&gt;"",D1062&lt;&gt;"",F1062&lt;&gt;"",G1062&lt;&gt;"",H1062&lt;&gt;"",ISERROR(SEARCH("по паспорту",G1062)),ISERROR(SEARCH("по паспорту",H1062)),I1062&lt;&gt;"",J1062&lt;&gt;"",K1062&lt;&gt;"",L1062&lt;&gt;"",M1062&lt;&gt;""),"ГОТОВО","НЕ ГОТОВО"))</f>
        <v/>
      </c>
      <c r="Q1062" s="205">
        <f>IF(P1062&lt;&gt;"ГОТОВО","", "Предварительное заключение: "&amp;A1062&amp;", скв. "&amp;B1062&amp;". МРП: "&amp;E1062&amp;" сут. ГНО: "&amp;F1062&amp;", типоразмер "&amp;G1062&amp;", марка "&amp;H1062&amp;". Событие: "&amp;I1062&amp;". Признак: "&amp;J1062&amp;". Узел: "&amp;K1062&amp;". Предварительная причина: "&amp;L1062&amp;". Основное осложнение: "&amp;M1062&amp;IF(N1062&lt;&gt;"","; сопутствующее: "&amp;N1062,"")&amp;IF(O1062&lt;&gt;"","; дополнительно: "&amp;O1062,"")&amp;".")</f>
        <v/>
      </c>
      <c r="R1062" s="172">
        <f>IF('Оперативный ввод'!P1062="","",'Оперативный ввод'!P1062)</f>
        <v/>
      </c>
      <c r="S1062" s="172">
        <f>IF('Оперативный ввод'!Q1062="","",'Оперативный ввод'!Q1062)</f>
        <v/>
      </c>
      <c r="T1062" s="172">
        <f>IF('Оперативный ввод'!R1062="","",'Оперативный ввод'!R1062)</f>
        <v/>
      </c>
      <c r="U1062" s="172">
        <f>IF('Оперативный ввод'!S1062="","",'Оперативный ввод'!S1062)</f>
        <v/>
      </c>
      <c r="V1062" s="172">
        <f>IF('Оперативный ввод'!T1062="","",'Оперативный ввод'!T1062)</f>
        <v/>
      </c>
      <c r="W1062" s="172" t="n"/>
      <c r="X1062" s="172" t="n"/>
      <c r="Y1062" s="172" t="n"/>
      <c r="Z1062" s="172" t="n"/>
      <c r="AA1062" s="172">
        <f>IF('Оперативный ввод'!U1062="","",'Оперативный ввод'!U1062)</f>
        <v/>
      </c>
      <c r="AB1062" s="172">
        <f>IF('Оперативный ввод'!V1062="","",'Оперативный ввод'!V1062)</f>
        <v/>
      </c>
      <c r="AC1062" s="172">
        <f>IF('Оперативный ввод'!W1062="","",'Оперативный ввод'!W1062)</f>
        <v/>
      </c>
      <c r="BB1062" s="172" t="n"/>
      <c r="BC1062" s="172" t="n"/>
      <c r="BD1062" s="205">
        <f>IF(AND(A1062="",B1062=""),"",IF(AND(P1062="ГОТОВО",R1062&lt;&gt;"",T1062&lt;&gt;"",U1062&lt;&gt;"",AA1062&lt;&gt;"",AB1062&lt;&gt;"",AC1062&lt;&gt;"",BB1062&lt;&gt;"",BC1062&lt;&gt;""),"ГОТОВО","НЕ ГОТОВО"))</f>
        <v/>
      </c>
      <c r="BE1062" s="205">
        <f>IF(BD1062&lt;&gt;"ГОТОВО","","Полное заключение: "&amp;A1062&amp;", скв. "&amp;B1062&amp;". МРП: "&amp;E1062&amp;" сут. ГНО: "&amp;F1062&amp;"; причина: "&amp;U1062&amp;"; категория: "&amp;V1062&amp;"; решение комиссии: "&amp;BB1062&amp;".")</f>
        <v/>
      </c>
      <c r="BF1062" s="173">
        <f>IF('Оперативный ввод'!X1062="","",'Оперативный ввод'!X1062)</f>
        <v/>
      </c>
    </row>
    <row r="1063">
      <c r="A1063" s="171">
        <f>IF('Оперативный ввод'!A1063="","",'Оперативный ввод'!A1063)</f>
        <v/>
      </c>
      <c r="B1063" s="172">
        <f>IF('Оперативный ввод'!B1063="","",'Оперативный ввод'!B1063)</f>
        <v/>
      </c>
      <c r="C1063" s="270">
        <f>IF('Оперативный ввод'!C1063="","",'Оперативный ввод'!C1063)</f>
        <v/>
      </c>
      <c r="D1063" s="270">
        <f>IF('Оперативный ввод'!D1063="","",'Оперативный ввод'!D1063)</f>
        <v/>
      </c>
      <c r="E1063" s="271">
        <f>IF(OR(C1063="",D1063=""),"",D1063-C1063)</f>
        <v/>
      </c>
      <c r="F1063" s="172">
        <f>IF('Оперативный ввод'!F1063="","",'Оперативный ввод'!F1063)</f>
        <v/>
      </c>
      <c r="G1063" s="172">
        <f>IF('Оперативный ввод'!G1063="","",'Оперативный ввод'!G1063)</f>
        <v/>
      </c>
      <c r="H1063" s="172">
        <f>IF('Оперативный ввод'!H1063="","",'Оперативный ввод'!H1063)</f>
        <v/>
      </c>
      <c r="I1063" s="172">
        <f>IF('Оперативный ввод'!I1063="","",'Оперативный ввод'!I1063)</f>
        <v/>
      </c>
      <c r="J1063" s="172">
        <f>IF('Оперативный ввод'!J1063="","",'Оперативный ввод'!J1063)</f>
        <v/>
      </c>
      <c r="K1063" s="172">
        <f>IF('Оперативный ввод'!K1063="","",'Оперативный ввод'!K1063)</f>
        <v/>
      </c>
      <c r="L1063" s="172">
        <f>IF('Оперативный ввод'!L1063="","",'Оперативный ввод'!L1063)</f>
        <v/>
      </c>
      <c r="M1063" s="172">
        <f>IF('Оперативный ввод'!M1063="","",'Оперативный ввод'!M1063)</f>
        <v/>
      </c>
      <c r="N1063" s="172">
        <f>IF('Оперативный ввод'!N1063="","",'Оперативный ввод'!N1063)</f>
        <v/>
      </c>
      <c r="O1063" s="172">
        <f>IF('Оперативный ввод'!O1063="","",'Оперативный ввод'!O1063)</f>
        <v/>
      </c>
      <c r="P1063" s="205">
        <f>IF(AND(A1063="",B1063=""),"",IF(AND(A1063&lt;&gt;"",B1063&lt;&gt;"",C1063&lt;&gt;"",D1063&lt;&gt;"",F1063&lt;&gt;"",G1063&lt;&gt;"",H1063&lt;&gt;"",ISERROR(SEARCH("по паспорту",G1063)),ISERROR(SEARCH("по паспорту",H1063)),I1063&lt;&gt;"",J1063&lt;&gt;"",K1063&lt;&gt;"",L1063&lt;&gt;"",M1063&lt;&gt;""),"ГОТОВО","НЕ ГОТОВО"))</f>
        <v/>
      </c>
      <c r="Q1063" s="205">
        <f>IF(P1063&lt;&gt;"ГОТОВО","", "Предварительное заключение: "&amp;A1063&amp;", скв. "&amp;B1063&amp;". МРП: "&amp;E1063&amp;" сут. ГНО: "&amp;F1063&amp;", типоразмер "&amp;G1063&amp;", марка "&amp;H1063&amp;". Событие: "&amp;I1063&amp;". Признак: "&amp;J1063&amp;". Узел: "&amp;K1063&amp;". Предварительная причина: "&amp;L1063&amp;". Основное осложнение: "&amp;M1063&amp;IF(N1063&lt;&gt;"","; сопутствующее: "&amp;N1063,"")&amp;IF(O1063&lt;&gt;"","; дополнительно: "&amp;O1063,"")&amp;".")</f>
        <v/>
      </c>
      <c r="R1063" s="172">
        <f>IF('Оперативный ввод'!P1063="","",'Оперативный ввод'!P1063)</f>
        <v/>
      </c>
      <c r="S1063" s="172">
        <f>IF('Оперативный ввод'!Q1063="","",'Оперативный ввод'!Q1063)</f>
        <v/>
      </c>
      <c r="T1063" s="172">
        <f>IF('Оперативный ввод'!R1063="","",'Оперативный ввод'!R1063)</f>
        <v/>
      </c>
      <c r="U1063" s="172">
        <f>IF('Оперативный ввод'!S1063="","",'Оперативный ввод'!S1063)</f>
        <v/>
      </c>
      <c r="V1063" s="172">
        <f>IF('Оперативный ввод'!T1063="","",'Оперативный ввод'!T1063)</f>
        <v/>
      </c>
      <c r="W1063" s="172" t="n"/>
      <c r="X1063" s="172" t="n"/>
      <c r="Y1063" s="172" t="n"/>
      <c r="Z1063" s="172" t="n"/>
      <c r="AA1063" s="172">
        <f>IF('Оперативный ввод'!U1063="","",'Оперативный ввод'!U1063)</f>
        <v/>
      </c>
      <c r="AB1063" s="172">
        <f>IF('Оперативный ввод'!V1063="","",'Оперативный ввод'!V1063)</f>
        <v/>
      </c>
      <c r="AC1063" s="172">
        <f>IF('Оперативный ввод'!W1063="","",'Оперативный ввод'!W1063)</f>
        <v/>
      </c>
      <c r="BB1063" s="172" t="n"/>
      <c r="BC1063" s="172" t="n"/>
      <c r="BD1063" s="205">
        <f>IF(AND(A1063="",B1063=""),"",IF(AND(P1063="ГОТОВО",R1063&lt;&gt;"",T1063&lt;&gt;"",U1063&lt;&gt;"",AA1063&lt;&gt;"",AB1063&lt;&gt;"",AC1063&lt;&gt;"",BB1063&lt;&gt;"",BC1063&lt;&gt;""),"ГОТОВО","НЕ ГОТОВО"))</f>
        <v/>
      </c>
      <c r="BE1063" s="205">
        <f>IF(BD1063&lt;&gt;"ГОТОВО","","Полное заключение: "&amp;A1063&amp;", скв. "&amp;B1063&amp;". МРП: "&amp;E1063&amp;" сут. ГНО: "&amp;F1063&amp;"; причина: "&amp;U1063&amp;"; категория: "&amp;V1063&amp;"; решение комиссии: "&amp;BB1063&amp;".")</f>
        <v/>
      </c>
      <c r="BF1063" s="173">
        <f>IF('Оперативный ввод'!X1063="","",'Оперативный ввод'!X1063)</f>
        <v/>
      </c>
    </row>
    <row r="1064">
      <c r="A1064" s="171">
        <f>IF('Оперативный ввод'!A1064="","",'Оперативный ввод'!A1064)</f>
        <v/>
      </c>
      <c r="B1064" s="172">
        <f>IF('Оперативный ввод'!B1064="","",'Оперативный ввод'!B1064)</f>
        <v/>
      </c>
      <c r="C1064" s="270">
        <f>IF('Оперативный ввод'!C1064="","",'Оперативный ввод'!C1064)</f>
        <v/>
      </c>
      <c r="D1064" s="270">
        <f>IF('Оперативный ввод'!D1064="","",'Оперативный ввод'!D1064)</f>
        <v/>
      </c>
      <c r="E1064" s="271">
        <f>IF(OR(C1064="",D1064=""),"",D1064-C1064)</f>
        <v/>
      </c>
      <c r="F1064" s="172">
        <f>IF('Оперативный ввод'!F1064="","",'Оперативный ввод'!F1064)</f>
        <v/>
      </c>
      <c r="G1064" s="172">
        <f>IF('Оперативный ввод'!G1064="","",'Оперативный ввод'!G1064)</f>
        <v/>
      </c>
      <c r="H1064" s="172">
        <f>IF('Оперативный ввод'!H1064="","",'Оперативный ввод'!H1064)</f>
        <v/>
      </c>
      <c r="I1064" s="172">
        <f>IF('Оперативный ввод'!I1064="","",'Оперативный ввод'!I1064)</f>
        <v/>
      </c>
      <c r="J1064" s="172">
        <f>IF('Оперативный ввод'!J1064="","",'Оперативный ввод'!J1064)</f>
        <v/>
      </c>
      <c r="K1064" s="172">
        <f>IF('Оперативный ввод'!K1064="","",'Оперативный ввод'!K1064)</f>
        <v/>
      </c>
      <c r="L1064" s="172">
        <f>IF('Оперативный ввод'!L1064="","",'Оперативный ввод'!L1064)</f>
        <v/>
      </c>
      <c r="M1064" s="172">
        <f>IF('Оперативный ввод'!M1064="","",'Оперативный ввод'!M1064)</f>
        <v/>
      </c>
      <c r="N1064" s="172">
        <f>IF('Оперативный ввод'!N1064="","",'Оперативный ввод'!N1064)</f>
        <v/>
      </c>
      <c r="O1064" s="172">
        <f>IF('Оперативный ввод'!O1064="","",'Оперативный ввод'!O1064)</f>
        <v/>
      </c>
      <c r="P1064" s="205">
        <f>IF(AND(A1064="",B1064=""),"",IF(AND(A1064&lt;&gt;"",B1064&lt;&gt;"",C1064&lt;&gt;"",D1064&lt;&gt;"",F1064&lt;&gt;"",G1064&lt;&gt;"",H1064&lt;&gt;"",ISERROR(SEARCH("по паспорту",G1064)),ISERROR(SEARCH("по паспорту",H1064)),I1064&lt;&gt;"",J1064&lt;&gt;"",K1064&lt;&gt;"",L1064&lt;&gt;"",M1064&lt;&gt;""),"ГОТОВО","НЕ ГОТОВО"))</f>
        <v/>
      </c>
      <c r="Q1064" s="205">
        <f>IF(P1064&lt;&gt;"ГОТОВО","", "Предварительное заключение: "&amp;A1064&amp;", скв. "&amp;B1064&amp;". МРП: "&amp;E1064&amp;" сут. ГНО: "&amp;F1064&amp;", типоразмер "&amp;G1064&amp;", марка "&amp;H1064&amp;". Событие: "&amp;I1064&amp;". Признак: "&amp;J1064&amp;". Узел: "&amp;K1064&amp;". Предварительная причина: "&amp;L1064&amp;". Основное осложнение: "&amp;M1064&amp;IF(N1064&lt;&gt;"","; сопутствующее: "&amp;N1064,"")&amp;IF(O1064&lt;&gt;"","; дополнительно: "&amp;O1064,"")&amp;".")</f>
        <v/>
      </c>
      <c r="R1064" s="172">
        <f>IF('Оперативный ввод'!P1064="","",'Оперативный ввод'!P1064)</f>
        <v/>
      </c>
      <c r="S1064" s="172">
        <f>IF('Оперативный ввод'!Q1064="","",'Оперативный ввод'!Q1064)</f>
        <v/>
      </c>
      <c r="T1064" s="172">
        <f>IF('Оперативный ввод'!R1064="","",'Оперативный ввод'!R1064)</f>
        <v/>
      </c>
      <c r="U1064" s="172">
        <f>IF('Оперативный ввод'!S1064="","",'Оперативный ввод'!S1064)</f>
        <v/>
      </c>
      <c r="V1064" s="172">
        <f>IF('Оперативный ввод'!T1064="","",'Оперативный ввод'!T1064)</f>
        <v/>
      </c>
      <c r="W1064" s="172" t="n"/>
      <c r="X1064" s="172" t="n"/>
      <c r="Y1064" s="172" t="n"/>
      <c r="Z1064" s="172" t="n"/>
      <c r="AA1064" s="172">
        <f>IF('Оперативный ввод'!U1064="","",'Оперативный ввод'!U1064)</f>
        <v/>
      </c>
      <c r="AB1064" s="172">
        <f>IF('Оперативный ввод'!V1064="","",'Оперативный ввод'!V1064)</f>
        <v/>
      </c>
      <c r="AC1064" s="172">
        <f>IF('Оперативный ввод'!W1064="","",'Оперативный ввод'!W1064)</f>
        <v/>
      </c>
      <c r="BB1064" s="172" t="n"/>
      <c r="BC1064" s="172" t="n"/>
      <c r="BD1064" s="205">
        <f>IF(AND(A1064="",B1064=""),"",IF(AND(P1064="ГОТОВО",R1064&lt;&gt;"",T1064&lt;&gt;"",U1064&lt;&gt;"",AA1064&lt;&gt;"",AB1064&lt;&gt;"",AC1064&lt;&gt;"",BB1064&lt;&gt;"",BC1064&lt;&gt;""),"ГОТОВО","НЕ ГОТОВО"))</f>
        <v/>
      </c>
      <c r="BE1064" s="205">
        <f>IF(BD1064&lt;&gt;"ГОТОВО","","Полное заключение: "&amp;A1064&amp;", скв. "&amp;B1064&amp;". МРП: "&amp;E1064&amp;" сут. ГНО: "&amp;F1064&amp;"; причина: "&amp;U1064&amp;"; категория: "&amp;V1064&amp;"; решение комиссии: "&amp;BB1064&amp;".")</f>
        <v/>
      </c>
      <c r="BF1064" s="173">
        <f>IF('Оперативный ввод'!X1064="","",'Оперативный ввод'!X1064)</f>
        <v/>
      </c>
    </row>
    <row r="1065">
      <c r="A1065" s="171">
        <f>IF('Оперативный ввод'!A1065="","",'Оперативный ввод'!A1065)</f>
        <v/>
      </c>
      <c r="B1065" s="172">
        <f>IF('Оперативный ввод'!B1065="","",'Оперативный ввод'!B1065)</f>
        <v/>
      </c>
      <c r="C1065" s="270">
        <f>IF('Оперативный ввод'!C1065="","",'Оперативный ввод'!C1065)</f>
        <v/>
      </c>
      <c r="D1065" s="270">
        <f>IF('Оперативный ввод'!D1065="","",'Оперативный ввод'!D1065)</f>
        <v/>
      </c>
      <c r="E1065" s="271">
        <f>IF(OR(C1065="",D1065=""),"",D1065-C1065)</f>
        <v/>
      </c>
      <c r="F1065" s="172">
        <f>IF('Оперативный ввод'!F1065="","",'Оперативный ввод'!F1065)</f>
        <v/>
      </c>
      <c r="G1065" s="172">
        <f>IF('Оперативный ввод'!G1065="","",'Оперативный ввод'!G1065)</f>
        <v/>
      </c>
      <c r="H1065" s="172">
        <f>IF('Оперативный ввод'!H1065="","",'Оперативный ввод'!H1065)</f>
        <v/>
      </c>
      <c r="I1065" s="172">
        <f>IF('Оперативный ввод'!I1065="","",'Оперативный ввод'!I1065)</f>
        <v/>
      </c>
      <c r="J1065" s="172">
        <f>IF('Оперативный ввод'!J1065="","",'Оперативный ввод'!J1065)</f>
        <v/>
      </c>
      <c r="K1065" s="172">
        <f>IF('Оперативный ввод'!K1065="","",'Оперативный ввод'!K1065)</f>
        <v/>
      </c>
      <c r="L1065" s="172">
        <f>IF('Оперативный ввод'!L1065="","",'Оперативный ввод'!L1065)</f>
        <v/>
      </c>
      <c r="M1065" s="172">
        <f>IF('Оперативный ввод'!M1065="","",'Оперативный ввод'!M1065)</f>
        <v/>
      </c>
      <c r="N1065" s="172">
        <f>IF('Оперативный ввод'!N1065="","",'Оперативный ввод'!N1065)</f>
        <v/>
      </c>
      <c r="O1065" s="172">
        <f>IF('Оперативный ввод'!O1065="","",'Оперативный ввод'!O1065)</f>
        <v/>
      </c>
      <c r="P1065" s="205">
        <f>IF(AND(A1065="",B1065=""),"",IF(AND(A1065&lt;&gt;"",B1065&lt;&gt;"",C1065&lt;&gt;"",D1065&lt;&gt;"",F1065&lt;&gt;"",G1065&lt;&gt;"",H1065&lt;&gt;"",ISERROR(SEARCH("по паспорту",G1065)),ISERROR(SEARCH("по паспорту",H1065)),I1065&lt;&gt;"",J1065&lt;&gt;"",K1065&lt;&gt;"",L1065&lt;&gt;"",M1065&lt;&gt;""),"ГОТОВО","НЕ ГОТОВО"))</f>
        <v/>
      </c>
      <c r="Q1065" s="205">
        <f>IF(P1065&lt;&gt;"ГОТОВО","", "Предварительное заключение: "&amp;A1065&amp;", скв. "&amp;B1065&amp;". МРП: "&amp;E1065&amp;" сут. ГНО: "&amp;F1065&amp;", типоразмер "&amp;G1065&amp;", марка "&amp;H1065&amp;". Событие: "&amp;I1065&amp;". Признак: "&amp;J1065&amp;". Узел: "&amp;K1065&amp;". Предварительная причина: "&amp;L1065&amp;". Основное осложнение: "&amp;M1065&amp;IF(N1065&lt;&gt;"","; сопутствующее: "&amp;N1065,"")&amp;IF(O1065&lt;&gt;"","; дополнительно: "&amp;O1065,"")&amp;".")</f>
        <v/>
      </c>
      <c r="R1065" s="172">
        <f>IF('Оперативный ввод'!P1065="","",'Оперативный ввод'!P1065)</f>
        <v/>
      </c>
      <c r="S1065" s="172">
        <f>IF('Оперативный ввод'!Q1065="","",'Оперативный ввод'!Q1065)</f>
        <v/>
      </c>
      <c r="T1065" s="172">
        <f>IF('Оперативный ввод'!R1065="","",'Оперативный ввод'!R1065)</f>
        <v/>
      </c>
      <c r="U1065" s="172">
        <f>IF('Оперативный ввод'!S1065="","",'Оперативный ввод'!S1065)</f>
        <v/>
      </c>
      <c r="V1065" s="172">
        <f>IF('Оперативный ввод'!T1065="","",'Оперативный ввод'!T1065)</f>
        <v/>
      </c>
      <c r="W1065" s="172" t="n"/>
      <c r="X1065" s="172" t="n"/>
      <c r="Y1065" s="172" t="n"/>
      <c r="Z1065" s="172" t="n"/>
      <c r="AA1065" s="172">
        <f>IF('Оперативный ввод'!U1065="","",'Оперативный ввод'!U1065)</f>
        <v/>
      </c>
      <c r="AB1065" s="172">
        <f>IF('Оперативный ввод'!V1065="","",'Оперативный ввод'!V1065)</f>
        <v/>
      </c>
      <c r="AC1065" s="172">
        <f>IF('Оперативный ввод'!W1065="","",'Оперативный ввод'!W1065)</f>
        <v/>
      </c>
      <c r="BB1065" s="172" t="n"/>
      <c r="BC1065" s="172" t="n"/>
      <c r="BD1065" s="205">
        <f>IF(AND(A1065="",B1065=""),"",IF(AND(P1065="ГОТОВО",R1065&lt;&gt;"",T1065&lt;&gt;"",U1065&lt;&gt;"",AA1065&lt;&gt;"",AB1065&lt;&gt;"",AC1065&lt;&gt;"",BB1065&lt;&gt;"",BC1065&lt;&gt;""),"ГОТОВО","НЕ ГОТОВО"))</f>
        <v/>
      </c>
      <c r="BE1065" s="205">
        <f>IF(BD1065&lt;&gt;"ГОТОВО","","Полное заключение: "&amp;A1065&amp;", скв. "&amp;B1065&amp;". МРП: "&amp;E1065&amp;" сут. ГНО: "&amp;F1065&amp;"; причина: "&amp;U1065&amp;"; категория: "&amp;V1065&amp;"; решение комиссии: "&amp;BB1065&amp;".")</f>
        <v/>
      </c>
      <c r="BF1065" s="173">
        <f>IF('Оперативный ввод'!X1065="","",'Оперативный ввод'!X1065)</f>
        <v/>
      </c>
    </row>
    <row r="1066">
      <c r="A1066" s="171">
        <f>IF('Оперативный ввод'!A1066="","",'Оперативный ввод'!A1066)</f>
        <v/>
      </c>
      <c r="B1066" s="172">
        <f>IF('Оперативный ввод'!B1066="","",'Оперативный ввод'!B1066)</f>
        <v/>
      </c>
      <c r="C1066" s="270">
        <f>IF('Оперативный ввод'!C1066="","",'Оперативный ввод'!C1066)</f>
        <v/>
      </c>
      <c r="D1066" s="270">
        <f>IF('Оперативный ввод'!D1066="","",'Оперативный ввод'!D1066)</f>
        <v/>
      </c>
      <c r="E1066" s="271">
        <f>IF(OR(C1066="",D1066=""),"",D1066-C1066)</f>
        <v/>
      </c>
      <c r="F1066" s="172">
        <f>IF('Оперативный ввод'!F1066="","",'Оперативный ввод'!F1066)</f>
        <v/>
      </c>
      <c r="G1066" s="172">
        <f>IF('Оперативный ввод'!G1066="","",'Оперативный ввод'!G1066)</f>
        <v/>
      </c>
      <c r="H1066" s="172">
        <f>IF('Оперативный ввод'!H1066="","",'Оперативный ввод'!H1066)</f>
        <v/>
      </c>
      <c r="I1066" s="172">
        <f>IF('Оперативный ввод'!I1066="","",'Оперативный ввод'!I1066)</f>
        <v/>
      </c>
      <c r="J1066" s="172">
        <f>IF('Оперативный ввод'!J1066="","",'Оперативный ввод'!J1066)</f>
        <v/>
      </c>
      <c r="K1066" s="172">
        <f>IF('Оперативный ввод'!K1066="","",'Оперативный ввод'!K1066)</f>
        <v/>
      </c>
      <c r="L1066" s="172">
        <f>IF('Оперативный ввод'!L1066="","",'Оперативный ввод'!L1066)</f>
        <v/>
      </c>
      <c r="M1066" s="172">
        <f>IF('Оперативный ввод'!M1066="","",'Оперативный ввод'!M1066)</f>
        <v/>
      </c>
      <c r="N1066" s="172">
        <f>IF('Оперативный ввод'!N1066="","",'Оперативный ввод'!N1066)</f>
        <v/>
      </c>
      <c r="O1066" s="172">
        <f>IF('Оперативный ввод'!O1066="","",'Оперативный ввод'!O1066)</f>
        <v/>
      </c>
      <c r="P1066" s="205">
        <f>IF(AND(A1066="",B1066=""),"",IF(AND(A1066&lt;&gt;"",B1066&lt;&gt;"",C1066&lt;&gt;"",D1066&lt;&gt;"",F1066&lt;&gt;"",G1066&lt;&gt;"",H1066&lt;&gt;"",ISERROR(SEARCH("по паспорту",G1066)),ISERROR(SEARCH("по паспорту",H1066)),I1066&lt;&gt;"",J1066&lt;&gt;"",K1066&lt;&gt;"",L1066&lt;&gt;"",M1066&lt;&gt;""),"ГОТОВО","НЕ ГОТОВО"))</f>
        <v/>
      </c>
      <c r="Q1066" s="205">
        <f>IF(P1066&lt;&gt;"ГОТОВО","", "Предварительное заключение: "&amp;A1066&amp;", скв. "&amp;B1066&amp;". МРП: "&amp;E1066&amp;" сут. ГНО: "&amp;F1066&amp;", типоразмер "&amp;G1066&amp;", марка "&amp;H1066&amp;". Событие: "&amp;I1066&amp;". Признак: "&amp;J1066&amp;". Узел: "&amp;K1066&amp;". Предварительная причина: "&amp;L1066&amp;". Основное осложнение: "&amp;M1066&amp;IF(N1066&lt;&gt;"","; сопутствующее: "&amp;N1066,"")&amp;IF(O1066&lt;&gt;"","; дополнительно: "&amp;O1066,"")&amp;".")</f>
        <v/>
      </c>
      <c r="R1066" s="172">
        <f>IF('Оперативный ввод'!P1066="","",'Оперативный ввод'!P1066)</f>
        <v/>
      </c>
      <c r="S1066" s="172">
        <f>IF('Оперативный ввод'!Q1066="","",'Оперативный ввод'!Q1066)</f>
        <v/>
      </c>
      <c r="T1066" s="172">
        <f>IF('Оперативный ввод'!R1066="","",'Оперативный ввод'!R1066)</f>
        <v/>
      </c>
      <c r="U1066" s="172">
        <f>IF('Оперативный ввод'!S1066="","",'Оперативный ввод'!S1066)</f>
        <v/>
      </c>
      <c r="V1066" s="172">
        <f>IF('Оперативный ввод'!T1066="","",'Оперативный ввод'!T1066)</f>
        <v/>
      </c>
      <c r="W1066" s="172" t="n"/>
      <c r="X1066" s="172" t="n"/>
      <c r="Y1066" s="172" t="n"/>
      <c r="Z1066" s="172" t="n"/>
      <c r="AA1066" s="172">
        <f>IF('Оперативный ввод'!U1066="","",'Оперативный ввод'!U1066)</f>
        <v/>
      </c>
      <c r="AB1066" s="172">
        <f>IF('Оперативный ввод'!V1066="","",'Оперативный ввод'!V1066)</f>
        <v/>
      </c>
      <c r="AC1066" s="172">
        <f>IF('Оперативный ввод'!W1066="","",'Оперативный ввод'!W1066)</f>
        <v/>
      </c>
      <c r="BB1066" s="172" t="n"/>
      <c r="BC1066" s="172" t="n"/>
      <c r="BD1066" s="205">
        <f>IF(AND(A1066="",B1066=""),"",IF(AND(P1066="ГОТОВО",R1066&lt;&gt;"",T1066&lt;&gt;"",U1066&lt;&gt;"",AA1066&lt;&gt;"",AB1066&lt;&gt;"",AC1066&lt;&gt;"",BB1066&lt;&gt;"",BC1066&lt;&gt;""),"ГОТОВО","НЕ ГОТОВО"))</f>
        <v/>
      </c>
      <c r="BE1066" s="205">
        <f>IF(BD1066&lt;&gt;"ГОТОВО","","Полное заключение: "&amp;A1066&amp;", скв. "&amp;B1066&amp;". МРП: "&amp;E1066&amp;" сут. ГНО: "&amp;F1066&amp;"; причина: "&amp;U1066&amp;"; категория: "&amp;V1066&amp;"; решение комиссии: "&amp;BB1066&amp;".")</f>
        <v/>
      </c>
      <c r="BF1066" s="173">
        <f>IF('Оперативный ввод'!X1066="","",'Оперативный ввод'!X1066)</f>
        <v/>
      </c>
    </row>
    <row r="1067">
      <c r="A1067" s="171">
        <f>IF('Оперативный ввод'!A1067="","",'Оперативный ввод'!A1067)</f>
        <v/>
      </c>
      <c r="B1067" s="172">
        <f>IF('Оперативный ввод'!B1067="","",'Оперативный ввод'!B1067)</f>
        <v/>
      </c>
      <c r="C1067" s="270">
        <f>IF('Оперативный ввод'!C1067="","",'Оперативный ввод'!C1067)</f>
        <v/>
      </c>
      <c r="D1067" s="270">
        <f>IF('Оперативный ввод'!D1067="","",'Оперативный ввод'!D1067)</f>
        <v/>
      </c>
      <c r="E1067" s="271">
        <f>IF(OR(C1067="",D1067=""),"",D1067-C1067)</f>
        <v/>
      </c>
      <c r="F1067" s="172">
        <f>IF('Оперативный ввод'!F1067="","",'Оперативный ввод'!F1067)</f>
        <v/>
      </c>
      <c r="G1067" s="172">
        <f>IF('Оперативный ввод'!G1067="","",'Оперативный ввод'!G1067)</f>
        <v/>
      </c>
      <c r="H1067" s="172">
        <f>IF('Оперативный ввод'!H1067="","",'Оперативный ввод'!H1067)</f>
        <v/>
      </c>
      <c r="I1067" s="172">
        <f>IF('Оперативный ввод'!I1067="","",'Оперативный ввод'!I1067)</f>
        <v/>
      </c>
      <c r="J1067" s="172">
        <f>IF('Оперативный ввод'!J1067="","",'Оперативный ввод'!J1067)</f>
        <v/>
      </c>
      <c r="K1067" s="172">
        <f>IF('Оперативный ввод'!K1067="","",'Оперативный ввод'!K1067)</f>
        <v/>
      </c>
      <c r="L1067" s="172">
        <f>IF('Оперативный ввод'!L1067="","",'Оперативный ввод'!L1067)</f>
        <v/>
      </c>
      <c r="M1067" s="172">
        <f>IF('Оперативный ввод'!M1067="","",'Оперативный ввод'!M1067)</f>
        <v/>
      </c>
      <c r="N1067" s="172">
        <f>IF('Оперативный ввод'!N1067="","",'Оперативный ввод'!N1067)</f>
        <v/>
      </c>
      <c r="O1067" s="172">
        <f>IF('Оперативный ввод'!O1067="","",'Оперативный ввод'!O1067)</f>
        <v/>
      </c>
      <c r="P1067" s="205">
        <f>IF(AND(A1067="",B1067=""),"",IF(AND(A1067&lt;&gt;"",B1067&lt;&gt;"",C1067&lt;&gt;"",D1067&lt;&gt;"",F1067&lt;&gt;"",G1067&lt;&gt;"",H1067&lt;&gt;"",ISERROR(SEARCH("по паспорту",G1067)),ISERROR(SEARCH("по паспорту",H1067)),I1067&lt;&gt;"",J1067&lt;&gt;"",K1067&lt;&gt;"",L1067&lt;&gt;"",M1067&lt;&gt;""),"ГОТОВО","НЕ ГОТОВО"))</f>
        <v/>
      </c>
      <c r="Q1067" s="205">
        <f>IF(P1067&lt;&gt;"ГОТОВО","", "Предварительное заключение: "&amp;A1067&amp;", скв. "&amp;B1067&amp;". МРП: "&amp;E1067&amp;" сут. ГНО: "&amp;F1067&amp;", типоразмер "&amp;G1067&amp;", марка "&amp;H1067&amp;". Событие: "&amp;I1067&amp;". Признак: "&amp;J1067&amp;". Узел: "&amp;K1067&amp;". Предварительная причина: "&amp;L1067&amp;". Основное осложнение: "&amp;M1067&amp;IF(N1067&lt;&gt;"","; сопутствующее: "&amp;N1067,"")&amp;IF(O1067&lt;&gt;"","; дополнительно: "&amp;O1067,"")&amp;".")</f>
        <v/>
      </c>
      <c r="R1067" s="172">
        <f>IF('Оперативный ввод'!P1067="","",'Оперативный ввод'!P1067)</f>
        <v/>
      </c>
      <c r="S1067" s="172">
        <f>IF('Оперативный ввод'!Q1067="","",'Оперативный ввод'!Q1067)</f>
        <v/>
      </c>
      <c r="T1067" s="172">
        <f>IF('Оперативный ввод'!R1067="","",'Оперативный ввод'!R1067)</f>
        <v/>
      </c>
      <c r="U1067" s="172">
        <f>IF('Оперативный ввод'!S1067="","",'Оперативный ввод'!S1067)</f>
        <v/>
      </c>
      <c r="V1067" s="172">
        <f>IF('Оперативный ввод'!T1067="","",'Оперативный ввод'!T1067)</f>
        <v/>
      </c>
      <c r="W1067" s="172" t="n"/>
      <c r="X1067" s="172" t="n"/>
      <c r="Y1067" s="172" t="n"/>
      <c r="Z1067" s="172" t="n"/>
      <c r="AA1067" s="172">
        <f>IF('Оперативный ввод'!U1067="","",'Оперативный ввод'!U1067)</f>
        <v/>
      </c>
      <c r="AB1067" s="172">
        <f>IF('Оперативный ввод'!V1067="","",'Оперативный ввод'!V1067)</f>
        <v/>
      </c>
      <c r="AC1067" s="172">
        <f>IF('Оперативный ввод'!W1067="","",'Оперативный ввод'!W1067)</f>
        <v/>
      </c>
      <c r="BB1067" s="172" t="n"/>
      <c r="BC1067" s="172" t="n"/>
      <c r="BD1067" s="205">
        <f>IF(AND(A1067="",B1067=""),"",IF(AND(P1067="ГОТОВО",R1067&lt;&gt;"",T1067&lt;&gt;"",U1067&lt;&gt;"",AA1067&lt;&gt;"",AB1067&lt;&gt;"",AC1067&lt;&gt;"",BB1067&lt;&gt;"",BC1067&lt;&gt;""),"ГОТОВО","НЕ ГОТОВО"))</f>
        <v/>
      </c>
      <c r="BE1067" s="205">
        <f>IF(BD1067&lt;&gt;"ГОТОВО","","Полное заключение: "&amp;A1067&amp;", скв. "&amp;B1067&amp;". МРП: "&amp;E1067&amp;" сут. ГНО: "&amp;F1067&amp;"; причина: "&amp;U1067&amp;"; категория: "&amp;V1067&amp;"; решение комиссии: "&amp;BB1067&amp;".")</f>
        <v/>
      </c>
      <c r="BF1067" s="173">
        <f>IF('Оперативный ввод'!X1067="","",'Оперативный ввод'!X1067)</f>
        <v/>
      </c>
    </row>
    <row r="1068">
      <c r="A1068" s="171">
        <f>IF('Оперативный ввод'!A1068="","",'Оперативный ввод'!A1068)</f>
        <v/>
      </c>
      <c r="B1068" s="172">
        <f>IF('Оперативный ввод'!B1068="","",'Оперативный ввод'!B1068)</f>
        <v/>
      </c>
      <c r="C1068" s="270">
        <f>IF('Оперативный ввод'!C1068="","",'Оперативный ввод'!C1068)</f>
        <v/>
      </c>
      <c r="D1068" s="270">
        <f>IF('Оперативный ввод'!D1068="","",'Оперативный ввод'!D1068)</f>
        <v/>
      </c>
      <c r="E1068" s="271">
        <f>IF(OR(C1068="",D1068=""),"",D1068-C1068)</f>
        <v/>
      </c>
      <c r="F1068" s="172">
        <f>IF('Оперативный ввод'!F1068="","",'Оперативный ввод'!F1068)</f>
        <v/>
      </c>
      <c r="G1068" s="172">
        <f>IF('Оперативный ввод'!G1068="","",'Оперативный ввод'!G1068)</f>
        <v/>
      </c>
      <c r="H1068" s="172">
        <f>IF('Оперативный ввод'!H1068="","",'Оперативный ввод'!H1068)</f>
        <v/>
      </c>
      <c r="I1068" s="172">
        <f>IF('Оперативный ввод'!I1068="","",'Оперативный ввод'!I1068)</f>
        <v/>
      </c>
      <c r="J1068" s="172">
        <f>IF('Оперативный ввод'!J1068="","",'Оперативный ввод'!J1068)</f>
        <v/>
      </c>
      <c r="K1068" s="172">
        <f>IF('Оперативный ввод'!K1068="","",'Оперативный ввод'!K1068)</f>
        <v/>
      </c>
      <c r="L1068" s="172">
        <f>IF('Оперативный ввод'!L1068="","",'Оперативный ввод'!L1068)</f>
        <v/>
      </c>
      <c r="M1068" s="172">
        <f>IF('Оперативный ввод'!M1068="","",'Оперативный ввод'!M1068)</f>
        <v/>
      </c>
      <c r="N1068" s="172">
        <f>IF('Оперативный ввод'!N1068="","",'Оперативный ввод'!N1068)</f>
        <v/>
      </c>
      <c r="O1068" s="172">
        <f>IF('Оперативный ввод'!O1068="","",'Оперативный ввод'!O1068)</f>
        <v/>
      </c>
      <c r="P1068" s="205">
        <f>IF(AND(A1068="",B1068=""),"",IF(AND(A1068&lt;&gt;"",B1068&lt;&gt;"",C1068&lt;&gt;"",D1068&lt;&gt;"",F1068&lt;&gt;"",G1068&lt;&gt;"",H1068&lt;&gt;"",ISERROR(SEARCH("по паспорту",G1068)),ISERROR(SEARCH("по паспорту",H1068)),I1068&lt;&gt;"",J1068&lt;&gt;"",K1068&lt;&gt;"",L1068&lt;&gt;"",M1068&lt;&gt;""),"ГОТОВО","НЕ ГОТОВО"))</f>
        <v/>
      </c>
      <c r="Q1068" s="205">
        <f>IF(P1068&lt;&gt;"ГОТОВО","", "Предварительное заключение: "&amp;A1068&amp;", скв. "&amp;B1068&amp;". МРП: "&amp;E1068&amp;" сут. ГНО: "&amp;F1068&amp;", типоразмер "&amp;G1068&amp;", марка "&amp;H1068&amp;". Событие: "&amp;I1068&amp;". Признак: "&amp;J1068&amp;". Узел: "&amp;K1068&amp;". Предварительная причина: "&amp;L1068&amp;". Основное осложнение: "&amp;M1068&amp;IF(N1068&lt;&gt;"","; сопутствующее: "&amp;N1068,"")&amp;IF(O1068&lt;&gt;"","; дополнительно: "&amp;O1068,"")&amp;".")</f>
        <v/>
      </c>
      <c r="R1068" s="172">
        <f>IF('Оперативный ввод'!P1068="","",'Оперативный ввод'!P1068)</f>
        <v/>
      </c>
      <c r="S1068" s="172">
        <f>IF('Оперативный ввод'!Q1068="","",'Оперативный ввод'!Q1068)</f>
        <v/>
      </c>
      <c r="T1068" s="172">
        <f>IF('Оперативный ввод'!R1068="","",'Оперативный ввод'!R1068)</f>
        <v/>
      </c>
      <c r="U1068" s="172">
        <f>IF('Оперативный ввод'!S1068="","",'Оперативный ввод'!S1068)</f>
        <v/>
      </c>
      <c r="V1068" s="172">
        <f>IF('Оперативный ввод'!T1068="","",'Оперативный ввод'!T1068)</f>
        <v/>
      </c>
      <c r="W1068" s="172" t="n"/>
      <c r="X1068" s="172" t="n"/>
      <c r="Y1068" s="172" t="n"/>
      <c r="Z1068" s="172" t="n"/>
      <c r="AA1068" s="172">
        <f>IF('Оперативный ввод'!U1068="","",'Оперативный ввод'!U1068)</f>
        <v/>
      </c>
      <c r="AB1068" s="172">
        <f>IF('Оперативный ввод'!V1068="","",'Оперативный ввод'!V1068)</f>
        <v/>
      </c>
      <c r="AC1068" s="172">
        <f>IF('Оперативный ввод'!W1068="","",'Оперативный ввод'!W1068)</f>
        <v/>
      </c>
      <c r="BB1068" s="172" t="n"/>
      <c r="BC1068" s="172" t="n"/>
      <c r="BD1068" s="205">
        <f>IF(AND(A1068="",B1068=""),"",IF(AND(P1068="ГОТОВО",R1068&lt;&gt;"",T1068&lt;&gt;"",U1068&lt;&gt;"",AA1068&lt;&gt;"",AB1068&lt;&gt;"",AC1068&lt;&gt;"",BB1068&lt;&gt;"",BC1068&lt;&gt;""),"ГОТОВО","НЕ ГОТОВО"))</f>
        <v/>
      </c>
      <c r="BE1068" s="205">
        <f>IF(BD1068&lt;&gt;"ГОТОВО","","Полное заключение: "&amp;A1068&amp;", скв. "&amp;B1068&amp;". МРП: "&amp;E1068&amp;" сут. ГНО: "&amp;F1068&amp;"; причина: "&amp;U1068&amp;"; категория: "&amp;V1068&amp;"; решение комиссии: "&amp;BB1068&amp;".")</f>
        <v/>
      </c>
      <c r="BF1068" s="173">
        <f>IF('Оперативный ввод'!X1068="","",'Оперативный ввод'!X1068)</f>
        <v/>
      </c>
    </row>
    <row r="1069">
      <c r="A1069" s="171">
        <f>IF('Оперативный ввод'!A1069="","",'Оперативный ввод'!A1069)</f>
        <v/>
      </c>
      <c r="B1069" s="172">
        <f>IF('Оперативный ввод'!B1069="","",'Оперативный ввод'!B1069)</f>
        <v/>
      </c>
      <c r="C1069" s="270">
        <f>IF('Оперативный ввод'!C1069="","",'Оперативный ввод'!C1069)</f>
        <v/>
      </c>
      <c r="D1069" s="270">
        <f>IF('Оперативный ввод'!D1069="","",'Оперативный ввод'!D1069)</f>
        <v/>
      </c>
      <c r="E1069" s="271">
        <f>IF(OR(C1069="",D1069=""),"",D1069-C1069)</f>
        <v/>
      </c>
      <c r="F1069" s="172">
        <f>IF('Оперативный ввод'!F1069="","",'Оперативный ввод'!F1069)</f>
        <v/>
      </c>
      <c r="G1069" s="172">
        <f>IF('Оперативный ввод'!G1069="","",'Оперативный ввод'!G1069)</f>
        <v/>
      </c>
      <c r="H1069" s="172">
        <f>IF('Оперативный ввод'!H1069="","",'Оперативный ввод'!H1069)</f>
        <v/>
      </c>
      <c r="I1069" s="172">
        <f>IF('Оперативный ввод'!I1069="","",'Оперативный ввод'!I1069)</f>
        <v/>
      </c>
      <c r="J1069" s="172">
        <f>IF('Оперативный ввод'!J1069="","",'Оперативный ввод'!J1069)</f>
        <v/>
      </c>
      <c r="K1069" s="172">
        <f>IF('Оперативный ввод'!K1069="","",'Оперативный ввод'!K1069)</f>
        <v/>
      </c>
      <c r="L1069" s="172">
        <f>IF('Оперативный ввод'!L1069="","",'Оперативный ввод'!L1069)</f>
        <v/>
      </c>
      <c r="M1069" s="172">
        <f>IF('Оперативный ввод'!M1069="","",'Оперативный ввод'!M1069)</f>
        <v/>
      </c>
      <c r="N1069" s="172">
        <f>IF('Оперативный ввод'!N1069="","",'Оперативный ввод'!N1069)</f>
        <v/>
      </c>
      <c r="O1069" s="172">
        <f>IF('Оперативный ввод'!O1069="","",'Оперативный ввод'!O1069)</f>
        <v/>
      </c>
      <c r="P1069" s="205">
        <f>IF(AND(A1069="",B1069=""),"",IF(AND(A1069&lt;&gt;"",B1069&lt;&gt;"",C1069&lt;&gt;"",D1069&lt;&gt;"",F1069&lt;&gt;"",G1069&lt;&gt;"",H1069&lt;&gt;"",ISERROR(SEARCH("по паспорту",G1069)),ISERROR(SEARCH("по паспорту",H1069)),I1069&lt;&gt;"",J1069&lt;&gt;"",K1069&lt;&gt;"",L1069&lt;&gt;"",M1069&lt;&gt;""),"ГОТОВО","НЕ ГОТОВО"))</f>
        <v/>
      </c>
      <c r="Q1069" s="205">
        <f>IF(P1069&lt;&gt;"ГОТОВО","", "Предварительное заключение: "&amp;A1069&amp;", скв. "&amp;B1069&amp;". МРП: "&amp;E1069&amp;" сут. ГНО: "&amp;F1069&amp;", типоразмер "&amp;G1069&amp;", марка "&amp;H1069&amp;". Событие: "&amp;I1069&amp;". Признак: "&amp;J1069&amp;". Узел: "&amp;K1069&amp;". Предварительная причина: "&amp;L1069&amp;". Основное осложнение: "&amp;M1069&amp;IF(N1069&lt;&gt;"","; сопутствующее: "&amp;N1069,"")&amp;IF(O1069&lt;&gt;"","; дополнительно: "&amp;O1069,"")&amp;".")</f>
        <v/>
      </c>
      <c r="R1069" s="172">
        <f>IF('Оперативный ввод'!P1069="","",'Оперативный ввод'!P1069)</f>
        <v/>
      </c>
      <c r="S1069" s="172">
        <f>IF('Оперативный ввод'!Q1069="","",'Оперативный ввод'!Q1069)</f>
        <v/>
      </c>
      <c r="T1069" s="172">
        <f>IF('Оперативный ввод'!R1069="","",'Оперативный ввод'!R1069)</f>
        <v/>
      </c>
      <c r="U1069" s="172">
        <f>IF('Оперативный ввод'!S1069="","",'Оперативный ввод'!S1069)</f>
        <v/>
      </c>
      <c r="V1069" s="172">
        <f>IF('Оперативный ввод'!T1069="","",'Оперативный ввод'!T1069)</f>
        <v/>
      </c>
      <c r="W1069" s="172" t="n"/>
      <c r="X1069" s="172" t="n"/>
      <c r="Y1069" s="172" t="n"/>
      <c r="Z1069" s="172" t="n"/>
      <c r="AA1069" s="172">
        <f>IF('Оперативный ввод'!U1069="","",'Оперативный ввод'!U1069)</f>
        <v/>
      </c>
      <c r="AB1069" s="172">
        <f>IF('Оперативный ввод'!V1069="","",'Оперативный ввод'!V1069)</f>
        <v/>
      </c>
      <c r="AC1069" s="172">
        <f>IF('Оперативный ввод'!W1069="","",'Оперативный ввод'!W1069)</f>
        <v/>
      </c>
      <c r="BB1069" s="172" t="n"/>
      <c r="BC1069" s="172" t="n"/>
      <c r="BD1069" s="205">
        <f>IF(AND(A1069="",B1069=""),"",IF(AND(P1069="ГОТОВО",R1069&lt;&gt;"",T1069&lt;&gt;"",U1069&lt;&gt;"",AA1069&lt;&gt;"",AB1069&lt;&gt;"",AC1069&lt;&gt;"",BB1069&lt;&gt;"",BC1069&lt;&gt;""),"ГОТОВО","НЕ ГОТОВО"))</f>
        <v/>
      </c>
      <c r="BE1069" s="205">
        <f>IF(BD1069&lt;&gt;"ГОТОВО","","Полное заключение: "&amp;A1069&amp;", скв. "&amp;B1069&amp;". МРП: "&amp;E1069&amp;" сут. ГНО: "&amp;F1069&amp;"; причина: "&amp;U1069&amp;"; категория: "&amp;V1069&amp;"; решение комиссии: "&amp;BB1069&amp;".")</f>
        <v/>
      </c>
      <c r="BF1069" s="173">
        <f>IF('Оперативный ввод'!X1069="","",'Оперативный ввод'!X1069)</f>
        <v/>
      </c>
    </row>
    <row r="1070">
      <c r="A1070" s="171">
        <f>IF('Оперативный ввод'!A1070="","",'Оперативный ввод'!A1070)</f>
        <v/>
      </c>
      <c r="B1070" s="172">
        <f>IF('Оперативный ввод'!B1070="","",'Оперативный ввод'!B1070)</f>
        <v/>
      </c>
      <c r="C1070" s="270">
        <f>IF('Оперативный ввод'!C1070="","",'Оперативный ввод'!C1070)</f>
        <v/>
      </c>
      <c r="D1070" s="270">
        <f>IF('Оперативный ввод'!D1070="","",'Оперативный ввод'!D1070)</f>
        <v/>
      </c>
      <c r="E1070" s="271">
        <f>IF(OR(C1070="",D1070=""),"",D1070-C1070)</f>
        <v/>
      </c>
      <c r="F1070" s="172">
        <f>IF('Оперативный ввод'!F1070="","",'Оперативный ввод'!F1070)</f>
        <v/>
      </c>
      <c r="G1070" s="172">
        <f>IF('Оперативный ввод'!G1070="","",'Оперативный ввод'!G1070)</f>
        <v/>
      </c>
      <c r="H1070" s="172">
        <f>IF('Оперативный ввод'!H1070="","",'Оперативный ввод'!H1070)</f>
        <v/>
      </c>
      <c r="I1070" s="172">
        <f>IF('Оперативный ввод'!I1070="","",'Оперативный ввод'!I1070)</f>
        <v/>
      </c>
      <c r="J1070" s="172">
        <f>IF('Оперативный ввод'!J1070="","",'Оперативный ввод'!J1070)</f>
        <v/>
      </c>
      <c r="K1070" s="172">
        <f>IF('Оперативный ввод'!K1070="","",'Оперативный ввод'!K1070)</f>
        <v/>
      </c>
      <c r="L1070" s="172">
        <f>IF('Оперативный ввод'!L1070="","",'Оперативный ввод'!L1070)</f>
        <v/>
      </c>
      <c r="M1070" s="172">
        <f>IF('Оперативный ввод'!M1070="","",'Оперативный ввод'!M1070)</f>
        <v/>
      </c>
      <c r="N1070" s="172">
        <f>IF('Оперативный ввод'!N1070="","",'Оперативный ввод'!N1070)</f>
        <v/>
      </c>
      <c r="O1070" s="172">
        <f>IF('Оперативный ввод'!O1070="","",'Оперативный ввод'!O1070)</f>
        <v/>
      </c>
      <c r="P1070" s="205">
        <f>IF(AND(A1070="",B1070=""),"",IF(AND(A1070&lt;&gt;"",B1070&lt;&gt;"",C1070&lt;&gt;"",D1070&lt;&gt;"",F1070&lt;&gt;"",G1070&lt;&gt;"",H1070&lt;&gt;"",ISERROR(SEARCH("по паспорту",G1070)),ISERROR(SEARCH("по паспорту",H1070)),I1070&lt;&gt;"",J1070&lt;&gt;"",K1070&lt;&gt;"",L1070&lt;&gt;"",M1070&lt;&gt;""),"ГОТОВО","НЕ ГОТОВО"))</f>
        <v/>
      </c>
      <c r="Q1070" s="205">
        <f>IF(P1070&lt;&gt;"ГОТОВО","", "Предварительное заключение: "&amp;A1070&amp;", скв. "&amp;B1070&amp;". МРП: "&amp;E1070&amp;" сут. ГНО: "&amp;F1070&amp;", типоразмер "&amp;G1070&amp;", марка "&amp;H1070&amp;". Событие: "&amp;I1070&amp;". Признак: "&amp;J1070&amp;". Узел: "&amp;K1070&amp;". Предварительная причина: "&amp;L1070&amp;". Основное осложнение: "&amp;M1070&amp;IF(N1070&lt;&gt;"","; сопутствующее: "&amp;N1070,"")&amp;IF(O1070&lt;&gt;"","; дополнительно: "&amp;O1070,"")&amp;".")</f>
        <v/>
      </c>
      <c r="R1070" s="172">
        <f>IF('Оперативный ввод'!P1070="","",'Оперативный ввод'!P1070)</f>
        <v/>
      </c>
      <c r="S1070" s="172">
        <f>IF('Оперативный ввод'!Q1070="","",'Оперативный ввод'!Q1070)</f>
        <v/>
      </c>
      <c r="T1070" s="172">
        <f>IF('Оперативный ввод'!R1070="","",'Оперативный ввод'!R1070)</f>
        <v/>
      </c>
      <c r="U1070" s="172">
        <f>IF('Оперативный ввод'!S1070="","",'Оперативный ввод'!S1070)</f>
        <v/>
      </c>
      <c r="V1070" s="172">
        <f>IF('Оперативный ввод'!T1070="","",'Оперативный ввод'!T1070)</f>
        <v/>
      </c>
      <c r="W1070" s="172" t="n"/>
      <c r="X1070" s="172" t="n"/>
      <c r="Y1070" s="172" t="n"/>
      <c r="Z1070" s="172" t="n"/>
      <c r="AA1070" s="172">
        <f>IF('Оперативный ввод'!U1070="","",'Оперативный ввод'!U1070)</f>
        <v/>
      </c>
      <c r="AB1070" s="172">
        <f>IF('Оперативный ввод'!V1070="","",'Оперативный ввод'!V1070)</f>
        <v/>
      </c>
      <c r="AC1070" s="172">
        <f>IF('Оперативный ввод'!W1070="","",'Оперативный ввод'!W1070)</f>
        <v/>
      </c>
      <c r="BB1070" s="172" t="n"/>
      <c r="BC1070" s="172" t="n"/>
      <c r="BD1070" s="205">
        <f>IF(AND(A1070="",B1070=""),"",IF(AND(P1070="ГОТОВО",R1070&lt;&gt;"",T1070&lt;&gt;"",U1070&lt;&gt;"",AA1070&lt;&gt;"",AB1070&lt;&gt;"",AC1070&lt;&gt;"",BB1070&lt;&gt;"",BC1070&lt;&gt;""),"ГОТОВО","НЕ ГОТОВО"))</f>
        <v/>
      </c>
      <c r="BE1070" s="205">
        <f>IF(BD1070&lt;&gt;"ГОТОВО","","Полное заключение: "&amp;A1070&amp;", скв. "&amp;B1070&amp;". МРП: "&amp;E1070&amp;" сут. ГНО: "&amp;F1070&amp;"; причина: "&amp;U1070&amp;"; категория: "&amp;V1070&amp;"; решение комиссии: "&amp;BB1070&amp;".")</f>
        <v/>
      </c>
      <c r="BF1070" s="173">
        <f>IF('Оперативный ввод'!X1070="","",'Оперативный ввод'!X1070)</f>
        <v/>
      </c>
    </row>
    <row r="1071">
      <c r="A1071" s="171">
        <f>IF('Оперативный ввод'!A1071="","",'Оперативный ввод'!A1071)</f>
        <v/>
      </c>
      <c r="B1071" s="172">
        <f>IF('Оперативный ввод'!B1071="","",'Оперативный ввод'!B1071)</f>
        <v/>
      </c>
      <c r="C1071" s="270">
        <f>IF('Оперативный ввод'!C1071="","",'Оперативный ввод'!C1071)</f>
        <v/>
      </c>
      <c r="D1071" s="270">
        <f>IF('Оперативный ввод'!D1071="","",'Оперативный ввод'!D1071)</f>
        <v/>
      </c>
      <c r="E1071" s="271">
        <f>IF(OR(C1071="",D1071=""),"",D1071-C1071)</f>
        <v/>
      </c>
      <c r="F1071" s="172">
        <f>IF('Оперативный ввод'!F1071="","",'Оперативный ввод'!F1071)</f>
        <v/>
      </c>
      <c r="G1071" s="172">
        <f>IF('Оперативный ввод'!G1071="","",'Оперативный ввод'!G1071)</f>
        <v/>
      </c>
      <c r="H1071" s="172">
        <f>IF('Оперативный ввод'!H1071="","",'Оперативный ввод'!H1071)</f>
        <v/>
      </c>
      <c r="I1071" s="172">
        <f>IF('Оперативный ввод'!I1071="","",'Оперативный ввод'!I1071)</f>
        <v/>
      </c>
      <c r="J1071" s="172">
        <f>IF('Оперативный ввод'!J1071="","",'Оперативный ввод'!J1071)</f>
        <v/>
      </c>
      <c r="K1071" s="172">
        <f>IF('Оперативный ввод'!K1071="","",'Оперативный ввод'!K1071)</f>
        <v/>
      </c>
      <c r="L1071" s="172">
        <f>IF('Оперативный ввод'!L1071="","",'Оперативный ввод'!L1071)</f>
        <v/>
      </c>
      <c r="M1071" s="172">
        <f>IF('Оперативный ввод'!M1071="","",'Оперативный ввод'!M1071)</f>
        <v/>
      </c>
      <c r="N1071" s="172">
        <f>IF('Оперативный ввод'!N1071="","",'Оперативный ввод'!N1071)</f>
        <v/>
      </c>
      <c r="O1071" s="172">
        <f>IF('Оперативный ввод'!O1071="","",'Оперативный ввод'!O1071)</f>
        <v/>
      </c>
      <c r="P1071" s="205">
        <f>IF(AND(A1071="",B1071=""),"",IF(AND(A1071&lt;&gt;"",B1071&lt;&gt;"",C1071&lt;&gt;"",D1071&lt;&gt;"",F1071&lt;&gt;"",G1071&lt;&gt;"",H1071&lt;&gt;"",ISERROR(SEARCH("по паспорту",G1071)),ISERROR(SEARCH("по паспорту",H1071)),I1071&lt;&gt;"",J1071&lt;&gt;"",K1071&lt;&gt;"",L1071&lt;&gt;"",M1071&lt;&gt;""),"ГОТОВО","НЕ ГОТОВО"))</f>
        <v/>
      </c>
      <c r="Q1071" s="205">
        <f>IF(P1071&lt;&gt;"ГОТОВО","", "Предварительное заключение: "&amp;A1071&amp;", скв. "&amp;B1071&amp;". МРП: "&amp;E1071&amp;" сут. ГНО: "&amp;F1071&amp;", типоразмер "&amp;G1071&amp;", марка "&amp;H1071&amp;". Событие: "&amp;I1071&amp;". Признак: "&amp;J1071&amp;". Узел: "&amp;K1071&amp;". Предварительная причина: "&amp;L1071&amp;". Основное осложнение: "&amp;M1071&amp;IF(N1071&lt;&gt;"","; сопутствующее: "&amp;N1071,"")&amp;IF(O1071&lt;&gt;"","; дополнительно: "&amp;O1071,"")&amp;".")</f>
        <v/>
      </c>
      <c r="R1071" s="172">
        <f>IF('Оперативный ввод'!P1071="","",'Оперативный ввод'!P1071)</f>
        <v/>
      </c>
      <c r="S1071" s="172">
        <f>IF('Оперативный ввод'!Q1071="","",'Оперативный ввод'!Q1071)</f>
        <v/>
      </c>
      <c r="T1071" s="172">
        <f>IF('Оперативный ввод'!R1071="","",'Оперативный ввод'!R1071)</f>
        <v/>
      </c>
      <c r="U1071" s="172">
        <f>IF('Оперативный ввод'!S1071="","",'Оперативный ввод'!S1071)</f>
        <v/>
      </c>
      <c r="V1071" s="172">
        <f>IF('Оперативный ввод'!T1071="","",'Оперативный ввод'!T1071)</f>
        <v/>
      </c>
      <c r="W1071" s="172" t="n"/>
      <c r="X1071" s="172" t="n"/>
      <c r="Y1071" s="172" t="n"/>
      <c r="Z1071" s="172" t="n"/>
      <c r="AA1071" s="172">
        <f>IF('Оперативный ввод'!U1071="","",'Оперативный ввод'!U1071)</f>
        <v/>
      </c>
      <c r="AB1071" s="172">
        <f>IF('Оперативный ввод'!V1071="","",'Оперативный ввод'!V1071)</f>
        <v/>
      </c>
      <c r="AC1071" s="172">
        <f>IF('Оперативный ввод'!W1071="","",'Оперативный ввод'!W1071)</f>
        <v/>
      </c>
      <c r="BB1071" s="172" t="n"/>
      <c r="BC1071" s="172" t="n"/>
      <c r="BD1071" s="205">
        <f>IF(AND(A1071="",B1071=""),"",IF(AND(P1071="ГОТОВО",R1071&lt;&gt;"",T1071&lt;&gt;"",U1071&lt;&gt;"",AA1071&lt;&gt;"",AB1071&lt;&gt;"",AC1071&lt;&gt;"",BB1071&lt;&gt;"",BC1071&lt;&gt;""),"ГОТОВО","НЕ ГОТОВО"))</f>
        <v/>
      </c>
      <c r="BE1071" s="205">
        <f>IF(BD1071&lt;&gt;"ГОТОВО","","Полное заключение: "&amp;A1071&amp;", скв. "&amp;B1071&amp;". МРП: "&amp;E1071&amp;" сут. ГНО: "&amp;F1071&amp;"; причина: "&amp;U1071&amp;"; категория: "&amp;V1071&amp;"; решение комиссии: "&amp;BB1071&amp;".")</f>
        <v/>
      </c>
      <c r="BF1071" s="173">
        <f>IF('Оперативный ввод'!X1071="","",'Оперативный ввод'!X1071)</f>
        <v/>
      </c>
    </row>
    <row r="1072">
      <c r="A1072" s="171">
        <f>IF('Оперативный ввод'!A1072="","",'Оперативный ввод'!A1072)</f>
        <v/>
      </c>
      <c r="B1072" s="172">
        <f>IF('Оперативный ввод'!B1072="","",'Оперативный ввод'!B1072)</f>
        <v/>
      </c>
      <c r="C1072" s="270">
        <f>IF('Оперативный ввод'!C1072="","",'Оперативный ввод'!C1072)</f>
        <v/>
      </c>
      <c r="D1072" s="270">
        <f>IF('Оперативный ввод'!D1072="","",'Оперативный ввод'!D1072)</f>
        <v/>
      </c>
      <c r="E1072" s="271">
        <f>IF(OR(C1072="",D1072=""),"",D1072-C1072)</f>
        <v/>
      </c>
      <c r="F1072" s="172">
        <f>IF('Оперативный ввод'!F1072="","",'Оперативный ввод'!F1072)</f>
        <v/>
      </c>
      <c r="G1072" s="172">
        <f>IF('Оперативный ввод'!G1072="","",'Оперативный ввод'!G1072)</f>
        <v/>
      </c>
      <c r="H1072" s="172">
        <f>IF('Оперативный ввод'!H1072="","",'Оперативный ввод'!H1072)</f>
        <v/>
      </c>
      <c r="I1072" s="172">
        <f>IF('Оперативный ввод'!I1072="","",'Оперативный ввод'!I1072)</f>
        <v/>
      </c>
      <c r="J1072" s="172">
        <f>IF('Оперативный ввод'!J1072="","",'Оперативный ввод'!J1072)</f>
        <v/>
      </c>
      <c r="K1072" s="172">
        <f>IF('Оперативный ввод'!K1072="","",'Оперативный ввод'!K1072)</f>
        <v/>
      </c>
      <c r="L1072" s="172">
        <f>IF('Оперативный ввод'!L1072="","",'Оперативный ввод'!L1072)</f>
        <v/>
      </c>
      <c r="M1072" s="172">
        <f>IF('Оперативный ввод'!M1072="","",'Оперативный ввод'!M1072)</f>
        <v/>
      </c>
      <c r="N1072" s="172">
        <f>IF('Оперативный ввод'!N1072="","",'Оперативный ввод'!N1072)</f>
        <v/>
      </c>
      <c r="O1072" s="172">
        <f>IF('Оперативный ввод'!O1072="","",'Оперативный ввод'!O1072)</f>
        <v/>
      </c>
      <c r="P1072" s="205">
        <f>IF(AND(A1072="",B1072=""),"",IF(AND(A1072&lt;&gt;"",B1072&lt;&gt;"",C1072&lt;&gt;"",D1072&lt;&gt;"",F1072&lt;&gt;"",G1072&lt;&gt;"",H1072&lt;&gt;"",ISERROR(SEARCH("по паспорту",G1072)),ISERROR(SEARCH("по паспорту",H1072)),I1072&lt;&gt;"",J1072&lt;&gt;"",K1072&lt;&gt;"",L1072&lt;&gt;"",M1072&lt;&gt;""),"ГОТОВО","НЕ ГОТОВО"))</f>
        <v/>
      </c>
      <c r="Q1072" s="205">
        <f>IF(P1072&lt;&gt;"ГОТОВО","", "Предварительное заключение: "&amp;A1072&amp;", скв. "&amp;B1072&amp;". МРП: "&amp;E1072&amp;" сут. ГНО: "&amp;F1072&amp;", типоразмер "&amp;G1072&amp;", марка "&amp;H1072&amp;". Событие: "&amp;I1072&amp;". Признак: "&amp;J1072&amp;". Узел: "&amp;K1072&amp;". Предварительная причина: "&amp;L1072&amp;". Основное осложнение: "&amp;M1072&amp;IF(N1072&lt;&gt;"","; сопутствующее: "&amp;N1072,"")&amp;IF(O1072&lt;&gt;"","; дополнительно: "&amp;O1072,"")&amp;".")</f>
        <v/>
      </c>
      <c r="R1072" s="172">
        <f>IF('Оперативный ввод'!P1072="","",'Оперативный ввод'!P1072)</f>
        <v/>
      </c>
      <c r="S1072" s="172">
        <f>IF('Оперативный ввод'!Q1072="","",'Оперативный ввод'!Q1072)</f>
        <v/>
      </c>
      <c r="T1072" s="172">
        <f>IF('Оперативный ввод'!R1072="","",'Оперативный ввод'!R1072)</f>
        <v/>
      </c>
      <c r="U1072" s="172">
        <f>IF('Оперативный ввод'!S1072="","",'Оперативный ввод'!S1072)</f>
        <v/>
      </c>
      <c r="V1072" s="172">
        <f>IF('Оперативный ввод'!T1072="","",'Оперативный ввод'!T1072)</f>
        <v/>
      </c>
      <c r="W1072" s="172" t="n"/>
      <c r="X1072" s="172" t="n"/>
      <c r="Y1072" s="172" t="n"/>
      <c r="Z1072" s="172" t="n"/>
      <c r="AA1072" s="172">
        <f>IF('Оперативный ввод'!U1072="","",'Оперативный ввод'!U1072)</f>
        <v/>
      </c>
      <c r="AB1072" s="172">
        <f>IF('Оперативный ввод'!V1072="","",'Оперативный ввод'!V1072)</f>
        <v/>
      </c>
      <c r="AC1072" s="172">
        <f>IF('Оперативный ввод'!W1072="","",'Оперативный ввод'!W1072)</f>
        <v/>
      </c>
      <c r="BB1072" s="172" t="n"/>
      <c r="BC1072" s="172" t="n"/>
      <c r="BD1072" s="205">
        <f>IF(AND(A1072="",B1072=""),"",IF(AND(P1072="ГОТОВО",R1072&lt;&gt;"",T1072&lt;&gt;"",U1072&lt;&gt;"",AA1072&lt;&gt;"",AB1072&lt;&gt;"",AC1072&lt;&gt;"",BB1072&lt;&gt;"",BC1072&lt;&gt;""),"ГОТОВО","НЕ ГОТОВО"))</f>
        <v/>
      </c>
      <c r="BE1072" s="205">
        <f>IF(BD1072&lt;&gt;"ГОТОВО","","Полное заключение: "&amp;A1072&amp;", скв. "&amp;B1072&amp;". МРП: "&amp;E1072&amp;" сут. ГНО: "&amp;F1072&amp;"; причина: "&amp;U1072&amp;"; категория: "&amp;V1072&amp;"; решение комиссии: "&amp;BB1072&amp;".")</f>
        <v/>
      </c>
      <c r="BF1072" s="173">
        <f>IF('Оперативный ввод'!X1072="","",'Оперативный ввод'!X1072)</f>
        <v/>
      </c>
    </row>
    <row r="1073">
      <c r="A1073" s="171">
        <f>IF('Оперативный ввод'!A1073="","",'Оперативный ввод'!A1073)</f>
        <v/>
      </c>
      <c r="B1073" s="172">
        <f>IF('Оперативный ввод'!B1073="","",'Оперативный ввод'!B1073)</f>
        <v/>
      </c>
      <c r="C1073" s="270">
        <f>IF('Оперативный ввод'!C1073="","",'Оперативный ввод'!C1073)</f>
        <v/>
      </c>
      <c r="D1073" s="270">
        <f>IF('Оперативный ввод'!D1073="","",'Оперативный ввод'!D1073)</f>
        <v/>
      </c>
      <c r="E1073" s="271">
        <f>IF(OR(C1073="",D1073=""),"",D1073-C1073)</f>
        <v/>
      </c>
      <c r="F1073" s="172">
        <f>IF('Оперативный ввод'!F1073="","",'Оперативный ввод'!F1073)</f>
        <v/>
      </c>
      <c r="G1073" s="172">
        <f>IF('Оперативный ввод'!G1073="","",'Оперативный ввод'!G1073)</f>
        <v/>
      </c>
      <c r="H1073" s="172">
        <f>IF('Оперативный ввод'!H1073="","",'Оперативный ввод'!H1073)</f>
        <v/>
      </c>
      <c r="I1073" s="172">
        <f>IF('Оперативный ввод'!I1073="","",'Оперативный ввод'!I1073)</f>
        <v/>
      </c>
      <c r="J1073" s="172">
        <f>IF('Оперативный ввод'!J1073="","",'Оперативный ввод'!J1073)</f>
        <v/>
      </c>
      <c r="K1073" s="172">
        <f>IF('Оперативный ввод'!K1073="","",'Оперативный ввод'!K1073)</f>
        <v/>
      </c>
      <c r="L1073" s="172">
        <f>IF('Оперативный ввод'!L1073="","",'Оперативный ввод'!L1073)</f>
        <v/>
      </c>
      <c r="M1073" s="172">
        <f>IF('Оперативный ввод'!M1073="","",'Оперативный ввод'!M1073)</f>
        <v/>
      </c>
      <c r="N1073" s="172">
        <f>IF('Оперативный ввод'!N1073="","",'Оперативный ввод'!N1073)</f>
        <v/>
      </c>
      <c r="O1073" s="172">
        <f>IF('Оперативный ввод'!O1073="","",'Оперативный ввод'!O1073)</f>
        <v/>
      </c>
      <c r="P1073" s="205">
        <f>IF(AND(A1073="",B1073=""),"",IF(AND(A1073&lt;&gt;"",B1073&lt;&gt;"",C1073&lt;&gt;"",D1073&lt;&gt;"",F1073&lt;&gt;"",G1073&lt;&gt;"",H1073&lt;&gt;"",ISERROR(SEARCH("по паспорту",G1073)),ISERROR(SEARCH("по паспорту",H1073)),I1073&lt;&gt;"",J1073&lt;&gt;"",K1073&lt;&gt;"",L1073&lt;&gt;"",M1073&lt;&gt;""),"ГОТОВО","НЕ ГОТОВО"))</f>
        <v/>
      </c>
      <c r="Q1073" s="205">
        <f>IF(P1073&lt;&gt;"ГОТОВО","", "Предварительное заключение: "&amp;A1073&amp;", скв. "&amp;B1073&amp;". МРП: "&amp;E1073&amp;" сут. ГНО: "&amp;F1073&amp;", типоразмер "&amp;G1073&amp;", марка "&amp;H1073&amp;". Событие: "&amp;I1073&amp;". Признак: "&amp;J1073&amp;". Узел: "&amp;K1073&amp;". Предварительная причина: "&amp;L1073&amp;". Основное осложнение: "&amp;M1073&amp;IF(N1073&lt;&gt;"","; сопутствующее: "&amp;N1073,"")&amp;IF(O1073&lt;&gt;"","; дополнительно: "&amp;O1073,"")&amp;".")</f>
        <v/>
      </c>
      <c r="R1073" s="172">
        <f>IF('Оперативный ввод'!P1073="","",'Оперативный ввод'!P1073)</f>
        <v/>
      </c>
      <c r="S1073" s="172">
        <f>IF('Оперативный ввод'!Q1073="","",'Оперативный ввод'!Q1073)</f>
        <v/>
      </c>
      <c r="T1073" s="172">
        <f>IF('Оперативный ввод'!R1073="","",'Оперативный ввод'!R1073)</f>
        <v/>
      </c>
      <c r="U1073" s="172">
        <f>IF('Оперативный ввод'!S1073="","",'Оперативный ввод'!S1073)</f>
        <v/>
      </c>
      <c r="V1073" s="172">
        <f>IF('Оперативный ввод'!T1073="","",'Оперативный ввод'!T1073)</f>
        <v/>
      </c>
      <c r="W1073" s="172" t="n"/>
      <c r="X1073" s="172" t="n"/>
      <c r="Y1073" s="172" t="n"/>
      <c r="Z1073" s="172" t="n"/>
      <c r="AA1073" s="172">
        <f>IF('Оперативный ввод'!U1073="","",'Оперативный ввод'!U1073)</f>
        <v/>
      </c>
      <c r="AB1073" s="172">
        <f>IF('Оперативный ввод'!V1073="","",'Оперативный ввод'!V1073)</f>
        <v/>
      </c>
      <c r="AC1073" s="172">
        <f>IF('Оперативный ввод'!W1073="","",'Оперативный ввод'!W1073)</f>
        <v/>
      </c>
      <c r="BB1073" s="172" t="n"/>
      <c r="BC1073" s="172" t="n"/>
      <c r="BD1073" s="205">
        <f>IF(AND(A1073="",B1073=""),"",IF(AND(P1073="ГОТОВО",R1073&lt;&gt;"",T1073&lt;&gt;"",U1073&lt;&gt;"",AA1073&lt;&gt;"",AB1073&lt;&gt;"",AC1073&lt;&gt;"",BB1073&lt;&gt;"",BC1073&lt;&gt;""),"ГОТОВО","НЕ ГОТОВО"))</f>
        <v/>
      </c>
      <c r="BE1073" s="205">
        <f>IF(BD1073&lt;&gt;"ГОТОВО","","Полное заключение: "&amp;A1073&amp;", скв. "&amp;B1073&amp;". МРП: "&amp;E1073&amp;" сут. ГНО: "&amp;F1073&amp;"; причина: "&amp;U1073&amp;"; категория: "&amp;V1073&amp;"; решение комиссии: "&amp;BB1073&amp;".")</f>
        <v/>
      </c>
      <c r="BF1073" s="173">
        <f>IF('Оперативный ввод'!X1073="","",'Оперативный ввод'!X1073)</f>
        <v/>
      </c>
    </row>
    <row r="1074">
      <c r="A1074" s="171">
        <f>IF('Оперативный ввод'!A1074="","",'Оперативный ввод'!A1074)</f>
        <v/>
      </c>
      <c r="B1074" s="172">
        <f>IF('Оперативный ввод'!B1074="","",'Оперативный ввод'!B1074)</f>
        <v/>
      </c>
      <c r="C1074" s="270">
        <f>IF('Оперативный ввод'!C1074="","",'Оперативный ввод'!C1074)</f>
        <v/>
      </c>
      <c r="D1074" s="270">
        <f>IF('Оперативный ввод'!D1074="","",'Оперативный ввод'!D1074)</f>
        <v/>
      </c>
      <c r="E1074" s="271">
        <f>IF(OR(C1074="",D1074=""),"",D1074-C1074)</f>
        <v/>
      </c>
      <c r="F1074" s="172">
        <f>IF('Оперативный ввод'!F1074="","",'Оперативный ввод'!F1074)</f>
        <v/>
      </c>
      <c r="G1074" s="172">
        <f>IF('Оперативный ввод'!G1074="","",'Оперативный ввод'!G1074)</f>
        <v/>
      </c>
      <c r="H1074" s="172">
        <f>IF('Оперативный ввод'!H1074="","",'Оперативный ввод'!H1074)</f>
        <v/>
      </c>
      <c r="I1074" s="172">
        <f>IF('Оперативный ввод'!I1074="","",'Оперативный ввод'!I1074)</f>
        <v/>
      </c>
      <c r="J1074" s="172">
        <f>IF('Оперативный ввод'!J1074="","",'Оперативный ввод'!J1074)</f>
        <v/>
      </c>
      <c r="K1074" s="172">
        <f>IF('Оперативный ввод'!K1074="","",'Оперативный ввод'!K1074)</f>
        <v/>
      </c>
      <c r="L1074" s="172">
        <f>IF('Оперативный ввод'!L1074="","",'Оперативный ввод'!L1074)</f>
        <v/>
      </c>
      <c r="M1074" s="172">
        <f>IF('Оперативный ввод'!M1074="","",'Оперативный ввод'!M1074)</f>
        <v/>
      </c>
      <c r="N1074" s="172">
        <f>IF('Оперативный ввод'!N1074="","",'Оперативный ввод'!N1074)</f>
        <v/>
      </c>
      <c r="O1074" s="172">
        <f>IF('Оперативный ввод'!O1074="","",'Оперативный ввод'!O1074)</f>
        <v/>
      </c>
      <c r="P1074" s="205">
        <f>IF(AND(A1074="",B1074=""),"",IF(AND(A1074&lt;&gt;"",B1074&lt;&gt;"",C1074&lt;&gt;"",D1074&lt;&gt;"",F1074&lt;&gt;"",G1074&lt;&gt;"",H1074&lt;&gt;"",ISERROR(SEARCH("по паспорту",G1074)),ISERROR(SEARCH("по паспорту",H1074)),I1074&lt;&gt;"",J1074&lt;&gt;"",K1074&lt;&gt;"",L1074&lt;&gt;"",M1074&lt;&gt;""),"ГОТОВО","НЕ ГОТОВО"))</f>
        <v/>
      </c>
      <c r="Q1074" s="205">
        <f>IF(P1074&lt;&gt;"ГОТОВО","", "Предварительное заключение: "&amp;A1074&amp;", скв. "&amp;B1074&amp;". МРП: "&amp;E1074&amp;" сут. ГНО: "&amp;F1074&amp;", типоразмер "&amp;G1074&amp;", марка "&amp;H1074&amp;". Событие: "&amp;I1074&amp;". Признак: "&amp;J1074&amp;". Узел: "&amp;K1074&amp;". Предварительная причина: "&amp;L1074&amp;". Основное осложнение: "&amp;M1074&amp;IF(N1074&lt;&gt;"","; сопутствующее: "&amp;N1074,"")&amp;IF(O1074&lt;&gt;"","; дополнительно: "&amp;O1074,"")&amp;".")</f>
        <v/>
      </c>
      <c r="R1074" s="172">
        <f>IF('Оперативный ввод'!P1074="","",'Оперативный ввод'!P1074)</f>
        <v/>
      </c>
      <c r="S1074" s="172">
        <f>IF('Оперативный ввод'!Q1074="","",'Оперативный ввод'!Q1074)</f>
        <v/>
      </c>
      <c r="T1074" s="172">
        <f>IF('Оперативный ввод'!R1074="","",'Оперативный ввод'!R1074)</f>
        <v/>
      </c>
      <c r="U1074" s="172">
        <f>IF('Оперативный ввод'!S1074="","",'Оперативный ввод'!S1074)</f>
        <v/>
      </c>
      <c r="V1074" s="172">
        <f>IF('Оперативный ввод'!T1074="","",'Оперативный ввод'!T1074)</f>
        <v/>
      </c>
      <c r="W1074" s="172" t="n"/>
      <c r="X1074" s="172" t="n"/>
      <c r="Y1074" s="172" t="n"/>
      <c r="Z1074" s="172" t="n"/>
      <c r="AA1074" s="172">
        <f>IF('Оперативный ввод'!U1074="","",'Оперативный ввод'!U1074)</f>
        <v/>
      </c>
      <c r="AB1074" s="172">
        <f>IF('Оперативный ввод'!V1074="","",'Оперативный ввод'!V1074)</f>
        <v/>
      </c>
      <c r="AC1074" s="172">
        <f>IF('Оперативный ввод'!W1074="","",'Оперативный ввод'!W1074)</f>
        <v/>
      </c>
      <c r="BB1074" s="172" t="n"/>
      <c r="BC1074" s="172" t="n"/>
      <c r="BD1074" s="205">
        <f>IF(AND(A1074="",B1074=""),"",IF(AND(P1074="ГОТОВО",R1074&lt;&gt;"",T1074&lt;&gt;"",U1074&lt;&gt;"",AA1074&lt;&gt;"",AB1074&lt;&gt;"",AC1074&lt;&gt;"",BB1074&lt;&gt;"",BC1074&lt;&gt;""),"ГОТОВО","НЕ ГОТОВО"))</f>
        <v/>
      </c>
      <c r="BE1074" s="205">
        <f>IF(BD1074&lt;&gt;"ГОТОВО","","Полное заключение: "&amp;A1074&amp;", скв. "&amp;B1074&amp;". МРП: "&amp;E1074&amp;" сут. ГНО: "&amp;F1074&amp;"; причина: "&amp;U1074&amp;"; категория: "&amp;V1074&amp;"; решение комиссии: "&amp;BB1074&amp;".")</f>
        <v/>
      </c>
      <c r="BF1074" s="173">
        <f>IF('Оперативный ввод'!X1074="","",'Оперативный ввод'!X1074)</f>
        <v/>
      </c>
    </row>
    <row r="1075">
      <c r="A1075" s="171">
        <f>IF('Оперативный ввод'!A1075="","",'Оперативный ввод'!A1075)</f>
        <v/>
      </c>
      <c r="B1075" s="172">
        <f>IF('Оперативный ввод'!B1075="","",'Оперативный ввод'!B1075)</f>
        <v/>
      </c>
      <c r="C1075" s="270">
        <f>IF('Оперативный ввод'!C1075="","",'Оперативный ввод'!C1075)</f>
        <v/>
      </c>
      <c r="D1075" s="270">
        <f>IF('Оперативный ввод'!D1075="","",'Оперативный ввод'!D1075)</f>
        <v/>
      </c>
      <c r="E1075" s="271">
        <f>IF(OR(C1075="",D1075=""),"",D1075-C1075)</f>
        <v/>
      </c>
      <c r="F1075" s="172">
        <f>IF('Оперативный ввод'!F1075="","",'Оперативный ввод'!F1075)</f>
        <v/>
      </c>
      <c r="G1075" s="172">
        <f>IF('Оперативный ввод'!G1075="","",'Оперативный ввод'!G1075)</f>
        <v/>
      </c>
      <c r="H1075" s="172">
        <f>IF('Оперативный ввод'!H1075="","",'Оперативный ввод'!H1075)</f>
        <v/>
      </c>
      <c r="I1075" s="172">
        <f>IF('Оперативный ввод'!I1075="","",'Оперативный ввод'!I1075)</f>
        <v/>
      </c>
      <c r="J1075" s="172">
        <f>IF('Оперативный ввод'!J1075="","",'Оперативный ввод'!J1075)</f>
        <v/>
      </c>
      <c r="K1075" s="172">
        <f>IF('Оперативный ввод'!K1075="","",'Оперативный ввод'!K1075)</f>
        <v/>
      </c>
      <c r="L1075" s="172">
        <f>IF('Оперативный ввод'!L1075="","",'Оперативный ввод'!L1075)</f>
        <v/>
      </c>
      <c r="M1075" s="172">
        <f>IF('Оперативный ввод'!M1075="","",'Оперативный ввод'!M1075)</f>
        <v/>
      </c>
      <c r="N1075" s="172">
        <f>IF('Оперативный ввод'!N1075="","",'Оперативный ввод'!N1075)</f>
        <v/>
      </c>
      <c r="O1075" s="172">
        <f>IF('Оперативный ввод'!O1075="","",'Оперативный ввод'!O1075)</f>
        <v/>
      </c>
      <c r="P1075" s="205">
        <f>IF(AND(A1075="",B1075=""),"",IF(AND(A1075&lt;&gt;"",B1075&lt;&gt;"",C1075&lt;&gt;"",D1075&lt;&gt;"",F1075&lt;&gt;"",G1075&lt;&gt;"",H1075&lt;&gt;"",ISERROR(SEARCH("по паспорту",G1075)),ISERROR(SEARCH("по паспорту",H1075)),I1075&lt;&gt;"",J1075&lt;&gt;"",K1075&lt;&gt;"",L1075&lt;&gt;"",M1075&lt;&gt;""),"ГОТОВО","НЕ ГОТОВО"))</f>
        <v/>
      </c>
      <c r="Q1075" s="205">
        <f>IF(P1075&lt;&gt;"ГОТОВО","", "Предварительное заключение: "&amp;A1075&amp;", скв. "&amp;B1075&amp;". МРП: "&amp;E1075&amp;" сут. ГНО: "&amp;F1075&amp;", типоразмер "&amp;G1075&amp;", марка "&amp;H1075&amp;". Событие: "&amp;I1075&amp;". Признак: "&amp;J1075&amp;". Узел: "&amp;K1075&amp;". Предварительная причина: "&amp;L1075&amp;". Основное осложнение: "&amp;M1075&amp;IF(N1075&lt;&gt;"","; сопутствующее: "&amp;N1075,"")&amp;IF(O1075&lt;&gt;"","; дополнительно: "&amp;O1075,"")&amp;".")</f>
        <v/>
      </c>
      <c r="R1075" s="172">
        <f>IF('Оперативный ввод'!P1075="","",'Оперативный ввод'!P1075)</f>
        <v/>
      </c>
      <c r="S1075" s="172">
        <f>IF('Оперативный ввод'!Q1075="","",'Оперативный ввод'!Q1075)</f>
        <v/>
      </c>
      <c r="T1075" s="172">
        <f>IF('Оперативный ввод'!R1075="","",'Оперативный ввод'!R1075)</f>
        <v/>
      </c>
      <c r="U1075" s="172">
        <f>IF('Оперативный ввод'!S1075="","",'Оперативный ввод'!S1075)</f>
        <v/>
      </c>
      <c r="V1075" s="172">
        <f>IF('Оперативный ввод'!T1075="","",'Оперативный ввод'!T1075)</f>
        <v/>
      </c>
      <c r="W1075" s="172" t="n"/>
      <c r="X1075" s="172" t="n"/>
      <c r="Y1075" s="172" t="n"/>
      <c r="Z1075" s="172" t="n"/>
      <c r="AA1075" s="172">
        <f>IF('Оперативный ввод'!U1075="","",'Оперативный ввод'!U1075)</f>
        <v/>
      </c>
      <c r="AB1075" s="172">
        <f>IF('Оперативный ввод'!V1075="","",'Оперативный ввод'!V1075)</f>
        <v/>
      </c>
      <c r="AC1075" s="172">
        <f>IF('Оперативный ввод'!W1075="","",'Оперативный ввод'!W1075)</f>
        <v/>
      </c>
      <c r="BB1075" s="172" t="n"/>
      <c r="BC1075" s="172" t="n"/>
      <c r="BD1075" s="205">
        <f>IF(AND(A1075="",B1075=""),"",IF(AND(P1075="ГОТОВО",R1075&lt;&gt;"",T1075&lt;&gt;"",U1075&lt;&gt;"",AA1075&lt;&gt;"",AB1075&lt;&gt;"",AC1075&lt;&gt;"",BB1075&lt;&gt;"",BC1075&lt;&gt;""),"ГОТОВО","НЕ ГОТОВО"))</f>
        <v/>
      </c>
      <c r="BE1075" s="205">
        <f>IF(BD1075&lt;&gt;"ГОТОВО","","Полное заключение: "&amp;A1075&amp;", скв. "&amp;B1075&amp;". МРП: "&amp;E1075&amp;" сут. ГНО: "&amp;F1075&amp;"; причина: "&amp;U1075&amp;"; категория: "&amp;V1075&amp;"; решение комиссии: "&amp;BB1075&amp;".")</f>
        <v/>
      </c>
      <c r="BF1075" s="173">
        <f>IF('Оперативный ввод'!X1075="","",'Оперативный ввод'!X1075)</f>
        <v/>
      </c>
    </row>
    <row r="1076">
      <c r="A1076" s="171">
        <f>IF('Оперативный ввод'!A1076="","",'Оперативный ввод'!A1076)</f>
        <v/>
      </c>
      <c r="B1076" s="172">
        <f>IF('Оперативный ввод'!B1076="","",'Оперативный ввод'!B1076)</f>
        <v/>
      </c>
      <c r="C1076" s="270">
        <f>IF('Оперативный ввод'!C1076="","",'Оперативный ввод'!C1076)</f>
        <v/>
      </c>
      <c r="D1076" s="270">
        <f>IF('Оперативный ввод'!D1076="","",'Оперативный ввод'!D1076)</f>
        <v/>
      </c>
      <c r="E1076" s="271">
        <f>IF(OR(C1076="",D1076=""),"",D1076-C1076)</f>
        <v/>
      </c>
      <c r="F1076" s="172">
        <f>IF('Оперативный ввод'!F1076="","",'Оперативный ввод'!F1076)</f>
        <v/>
      </c>
      <c r="G1076" s="172">
        <f>IF('Оперативный ввод'!G1076="","",'Оперативный ввод'!G1076)</f>
        <v/>
      </c>
      <c r="H1076" s="172">
        <f>IF('Оперативный ввод'!H1076="","",'Оперативный ввод'!H1076)</f>
        <v/>
      </c>
      <c r="I1076" s="172">
        <f>IF('Оперативный ввод'!I1076="","",'Оперативный ввод'!I1076)</f>
        <v/>
      </c>
      <c r="J1076" s="172">
        <f>IF('Оперативный ввод'!J1076="","",'Оперативный ввод'!J1076)</f>
        <v/>
      </c>
      <c r="K1076" s="172">
        <f>IF('Оперативный ввод'!K1076="","",'Оперативный ввод'!K1076)</f>
        <v/>
      </c>
      <c r="L1076" s="172">
        <f>IF('Оперативный ввод'!L1076="","",'Оперативный ввод'!L1076)</f>
        <v/>
      </c>
      <c r="M1076" s="172">
        <f>IF('Оперативный ввод'!M1076="","",'Оперативный ввод'!M1076)</f>
        <v/>
      </c>
      <c r="N1076" s="172">
        <f>IF('Оперативный ввод'!N1076="","",'Оперативный ввод'!N1076)</f>
        <v/>
      </c>
      <c r="O1076" s="172">
        <f>IF('Оперативный ввод'!O1076="","",'Оперативный ввод'!O1076)</f>
        <v/>
      </c>
      <c r="P1076" s="205">
        <f>IF(AND(A1076="",B1076=""),"",IF(AND(A1076&lt;&gt;"",B1076&lt;&gt;"",C1076&lt;&gt;"",D1076&lt;&gt;"",F1076&lt;&gt;"",G1076&lt;&gt;"",H1076&lt;&gt;"",ISERROR(SEARCH("по паспорту",G1076)),ISERROR(SEARCH("по паспорту",H1076)),I1076&lt;&gt;"",J1076&lt;&gt;"",K1076&lt;&gt;"",L1076&lt;&gt;"",M1076&lt;&gt;""),"ГОТОВО","НЕ ГОТОВО"))</f>
        <v/>
      </c>
      <c r="Q1076" s="205">
        <f>IF(P1076&lt;&gt;"ГОТОВО","", "Предварительное заключение: "&amp;A1076&amp;", скв. "&amp;B1076&amp;". МРП: "&amp;E1076&amp;" сут. ГНО: "&amp;F1076&amp;", типоразмер "&amp;G1076&amp;", марка "&amp;H1076&amp;". Событие: "&amp;I1076&amp;". Признак: "&amp;J1076&amp;". Узел: "&amp;K1076&amp;". Предварительная причина: "&amp;L1076&amp;". Основное осложнение: "&amp;M1076&amp;IF(N1076&lt;&gt;"","; сопутствующее: "&amp;N1076,"")&amp;IF(O1076&lt;&gt;"","; дополнительно: "&amp;O1076,"")&amp;".")</f>
        <v/>
      </c>
      <c r="R1076" s="172">
        <f>IF('Оперативный ввод'!P1076="","",'Оперативный ввод'!P1076)</f>
        <v/>
      </c>
      <c r="S1076" s="172">
        <f>IF('Оперативный ввод'!Q1076="","",'Оперативный ввод'!Q1076)</f>
        <v/>
      </c>
      <c r="T1076" s="172">
        <f>IF('Оперативный ввод'!R1076="","",'Оперативный ввод'!R1076)</f>
        <v/>
      </c>
      <c r="U1076" s="172">
        <f>IF('Оперативный ввод'!S1076="","",'Оперативный ввод'!S1076)</f>
        <v/>
      </c>
      <c r="V1076" s="172">
        <f>IF('Оперативный ввод'!T1076="","",'Оперативный ввод'!T1076)</f>
        <v/>
      </c>
      <c r="W1076" s="172" t="n"/>
      <c r="X1076" s="172" t="n"/>
      <c r="Y1076" s="172" t="n"/>
      <c r="Z1076" s="172" t="n"/>
      <c r="AA1076" s="172">
        <f>IF('Оперативный ввод'!U1076="","",'Оперативный ввод'!U1076)</f>
        <v/>
      </c>
      <c r="AB1076" s="172">
        <f>IF('Оперативный ввод'!V1076="","",'Оперативный ввод'!V1076)</f>
        <v/>
      </c>
      <c r="AC1076" s="172">
        <f>IF('Оперативный ввод'!W1076="","",'Оперативный ввод'!W1076)</f>
        <v/>
      </c>
      <c r="BB1076" s="172" t="n"/>
      <c r="BC1076" s="172" t="n"/>
      <c r="BD1076" s="205">
        <f>IF(AND(A1076="",B1076=""),"",IF(AND(P1076="ГОТОВО",R1076&lt;&gt;"",T1076&lt;&gt;"",U1076&lt;&gt;"",AA1076&lt;&gt;"",AB1076&lt;&gt;"",AC1076&lt;&gt;"",BB1076&lt;&gt;"",BC1076&lt;&gt;""),"ГОТОВО","НЕ ГОТОВО"))</f>
        <v/>
      </c>
      <c r="BE1076" s="205">
        <f>IF(BD1076&lt;&gt;"ГОТОВО","","Полное заключение: "&amp;A1076&amp;", скв. "&amp;B1076&amp;". МРП: "&amp;E1076&amp;" сут. ГНО: "&amp;F1076&amp;"; причина: "&amp;U1076&amp;"; категория: "&amp;V1076&amp;"; решение комиссии: "&amp;BB1076&amp;".")</f>
        <v/>
      </c>
      <c r="BF1076" s="173">
        <f>IF('Оперативный ввод'!X1076="","",'Оперативный ввод'!X1076)</f>
        <v/>
      </c>
    </row>
    <row r="1077">
      <c r="A1077" s="171">
        <f>IF('Оперативный ввод'!A1077="","",'Оперативный ввод'!A1077)</f>
        <v/>
      </c>
      <c r="B1077" s="172">
        <f>IF('Оперативный ввод'!B1077="","",'Оперативный ввод'!B1077)</f>
        <v/>
      </c>
      <c r="C1077" s="270">
        <f>IF('Оперативный ввод'!C1077="","",'Оперативный ввод'!C1077)</f>
        <v/>
      </c>
      <c r="D1077" s="270">
        <f>IF('Оперативный ввод'!D1077="","",'Оперативный ввод'!D1077)</f>
        <v/>
      </c>
      <c r="E1077" s="271">
        <f>IF(OR(C1077="",D1077=""),"",D1077-C1077)</f>
        <v/>
      </c>
      <c r="F1077" s="172">
        <f>IF('Оперативный ввод'!F1077="","",'Оперативный ввод'!F1077)</f>
        <v/>
      </c>
      <c r="G1077" s="172">
        <f>IF('Оперативный ввод'!G1077="","",'Оперативный ввод'!G1077)</f>
        <v/>
      </c>
      <c r="H1077" s="172">
        <f>IF('Оперативный ввод'!H1077="","",'Оперативный ввод'!H1077)</f>
        <v/>
      </c>
      <c r="I1077" s="172">
        <f>IF('Оперативный ввод'!I1077="","",'Оперативный ввод'!I1077)</f>
        <v/>
      </c>
      <c r="J1077" s="172">
        <f>IF('Оперативный ввод'!J1077="","",'Оперативный ввод'!J1077)</f>
        <v/>
      </c>
      <c r="K1077" s="172">
        <f>IF('Оперативный ввод'!K1077="","",'Оперативный ввод'!K1077)</f>
        <v/>
      </c>
      <c r="L1077" s="172">
        <f>IF('Оперативный ввод'!L1077="","",'Оперативный ввод'!L1077)</f>
        <v/>
      </c>
      <c r="M1077" s="172">
        <f>IF('Оперативный ввод'!M1077="","",'Оперативный ввод'!M1077)</f>
        <v/>
      </c>
      <c r="N1077" s="172">
        <f>IF('Оперативный ввод'!N1077="","",'Оперативный ввод'!N1077)</f>
        <v/>
      </c>
      <c r="O1077" s="172">
        <f>IF('Оперативный ввод'!O1077="","",'Оперативный ввод'!O1077)</f>
        <v/>
      </c>
      <c r="P1077" s="205">
        <f>IF(AND(A1077="",B1077=""),"",IF(AND(A1077&lt;&gt;"",B1077&lt;&gt;"",C1077&lt;&gt;"",D1077&lt;&gt;"",F1077&lt;&gt;"",G1077&lt;&gt;"",H1077&lt;&gt;"",ISERROR(SEARCH("по паспорту",G1077)),ISERROR(SEARCH("по паспорту",H1077)),I1077&lt;&gt;"",J1077&lt;&gt;"",K1077&lt;&gt;"",L1077&lt;&gt;"",M1077&lt;&gt;""),"ГОТОВО","НЕ ГОТОВО"))</f>
        <v/>
      </c>
      <c r="Q1077" s="205">
        <f>IF(P1077&lt;&gt;"ГОТОВО","", "Предварительное заключение: "&amp;A1077&amp;", скв. "&amp;B1077&amp;". МРП: "&amp;E1077&amp;" сут. ГНО: "&amp;F1077&amp;", типоразмер "&amp;G1077&amp;", марка "&amp;H1077&amp;". Событие: "&amp;I1077&amp;". Признак: "&amp;J1077&amp;". Узел: "&amp;K1077&amp;". Предварительная причина: "&amp;L1077&amp;". Основное осложнение: "&amp;M1077&amp;IF(N1077&lt;&gt;"","; сопутствующее: "&amp;N1077,"")&amp;IF(O1077&lt;&gt;"","; дополнительно: "&amp;O1077,"")&amp;".")</f>
        <v/>
      </c>
      <c r="R1077" s="172">
        <f>IF('Оперативный ввод'!P1077="","",'Оперативный ввод'!P1077)</f>
        <v/>
      </c>
      <c r="S1077" s="172">
        <f>IF('Оперативный ввод'!Q1077="","",'Оперативный ввод'!Q1077)</f>
        <v/>
      </c>
      <c r="T1077" s="172">
        <f>IF('Оперативный ввод'!R1077="","",'Оперативный ввод'!R1077)</f>
        <v/>
      </c>
      <c r="U1077" s="172">
        <f>IF('Оперативный ввод'!S1077="","",'Оперативный ввод'!S1077)</f>
        <v/>
      </c>
      <c r="V1077" s="172">
        <f>IF('Оперативный ввод'!T1077="","",'Оперативный ввод'!T1077)</f>
        <v/>
      </c>
      <c r="W1077" s="172" t="n"/>
      <c r="X1077" s="172" t="n"/>
      <c r="Y1077" s="172" t="n"/>
      <c r="Z1077" s="172" t="n"/>
      <c r="AA1077" s="172">
        <f>IF('Оперативный ввод'!U1077="","",'Оперативный ввод'!U1077)</f>
        <v/>
      </c>
      <c r="AB1077" s="172">
        <f>IF('Оперативный ввод'!V1077="","",'Оперативный ввод'!V1077)</f>
        <v/>
      </c>
      <c r="AC1077" s="172">
        <f>IF('Оперативный ввод'!W1077="","",'Оперативный ввод'!W1077)</f>
        <v/>
      </c>
      <c r="BB1077" s="172" t="n"/>
      <c r="BC1077" s="172" t="n"/>
      <c r="BD1077" s="205">
        <f>IF(AND(A1077="",B1077=""),"",IF(AND(P1077="ГОТОВО",R1077&lt;&gt;"",T1077&lt;&gt;"",U1077&lt;&gt;"",AA1077&lt;&gt;"",AB1077&lt;&gt;"",AC1077&lt;&gt;"",BB1077&lt;&gt;"",BC1077&lt;&gt;""),"ГОТОВО","НЕ ГОТОВО"))</f>
        <v/>
      </c>
      <c r="BE1077" s="205">
        <f>IF(BD1077&lt;&gt;"ГОТОВО","","Полное заключение: "&amp;A1077&amp;", скв. "&amp;B1077&amp;". МРП: "&amp;E1077&amp;" сут. ГНО: "&amp;F1077&amp;"; причина: "&amp;U1077&amp;"; категория: "&amp;V1077&amp;"; решение комиссии: "&amp;BB1077&amp;".")</f>
        <v/>
      </c>
      <c r="BF1077" s="173">
        <f>IF('Оперативный ввод'!X1077="","",'Оперативный ввод'!X1077)</f>
        <v/>
      </c>
    </row>
    <row r="1078">
      <c r="A1078" s="171">
        <f>IF('Оперативный ввод'!A1078="","",'Оперативный ввод'!A1078)</f>
        <v/>
      </c>
      <c r="B1078" s="172">
        <f>IF('Оперативный ввод'!B1078="","",'Оперативный ввод'!B1078)</f>
        <v/>
      </c>
      <c r="C1078" s="270">
        <f>IF('Оперативный ввод'!C1078="","",'Оперативный ввод'!C1078)</f>
        <v/>
      </c>
      <c r="D1078" s="270">
        <f>IF('Оперативный ввод'!D1078="","",'Оперативный ввод'!D1078)</f>
        <v/>
      </c>
      <c r="E1078" s="271">
        <f>IF(OR(C1078="",D1078=""),"",D1078-C1078)</f>
        <v/>
      </c>
      <c r="F1078" s="172">
        <f>IF('Оперативный ввод'!F1078="","",'Оперативный ввод'!F1078)</f>
        <v/>
      </c>
      <c r="G1078" s="172">
        <f>IF('Оперативный ввод'!G1078="","",'Оперативный ввод'!G1078)</f>
        <v/>
      </c>
      <c r="H1078" s="172">
        <f>IF('Оперативный ввод'!H1078="","",'Оперативный ввод'!H1078)</f>
        <v/>
      </c>
      <c r="I1078" s="172">
        <f>IF('Оперативный ввод'!I1078="","",'Оперативный ввод'!I1078)</f>
        <v/>
      </c>
      <c r="J1078" s="172">
        <f>IF('Оперативный ввод'!J1078="","",'Оперативный ввод'!J1078)</f>
        <v/>
      </c>
      <c r="K1078" s="172">
        <f>IF('Оперативный ввод'!K1078="","",'Оперативный ввод'!K1078)</f>
        <v/>
      </c>
      <c r="L1078" s="172">
        <f>IF('Оперативный ввод'!L1078="","",'Оперативный ввод'!L1078)</f>
        <v/>
      </c>
      <c r="M1078" s="172">
        <f>IF('Оперативный ввод'!M1078="","",'Оперативный ввод'!M1078)</f>
        <v/>
      </c>
      <c r="N1078" s="172">
        <f>IF('Оперативный ввод'!N1078="","",'Оперативный ввод'!N1078)</f>
        <v/>
      </c>
      <c r="O1078" s="172">
        <f>IF('Оперативный ввод'!O1078="","",'Оперативный ввод'!O1078)</f>
        <v/>
      </c>
      <c r="P1078" s="205">
        <f>IF(AND(A1078="",B1078=""),"",IF(AND(A1078&lt;&gt;"",B1078&lt;&gt;"",C1078&lt;&gt;"",D1078&lt;&gt;"",F1078&lt;&gt;"",G1078&lt;&gt;"",H1078&lt;&gt;"",ISERROR(SEARCH("по паспорту",G1078)),ISERROR(SEARCH("по паспорту",H1078)),I1078&lt;&gt;"",J1078&lt;&gt;"",K1078&lt;&gt;"",L1078&lt;&gt;"",M1078&lt;&gt;""),"ГОТОВО","НЕ ГОТОВО"))</f>
        <v/>
      </c>
      <c r="Q1078" s="205">
        <f>IF(P1078&lt;&gt;"ГОТОВО","", "Предварительное заключение: "&amp;A1078&amp;", скв. "&amp;B1078&amp;". МРП: "&amp;E1078&amp;" сут. ГНО: "&amp;F1078&amp;", типоразмер "&amp;G1078&amp;", марка "&amp;H1078&amp;". Событие: "&amp;I1078&amp;". Признак: "&amp;J1078&amp;". Узел: "&amp;K1078&amp;". Предварительная причина: "&amp;L1078&amp;". Основное осложнение: "&amp;M1078&amp;IF(N1078&lt;&gt;"","; сопутствующее: "&amp;N1078,"")&amp;IF(O1078&lt;&gt;"","; дополнительно: "&amp;O1078,"")&amp;".")</f>
        <v/>
      </c>
      <c r="R1078" s="172">
        <f>IF('Оперативный ввод'!P1078="","",'Оперативный ввод'!P1078)</f>
        <v/>
      </c>
      <c r="S1078" s="172">
        <f>IF('Оперативный ввод'!Q1078="","",'Оперативный ввод'!Q1078)</f>
        <v/>
      </c>
      <c r="T1078" s="172">
        <f>IF('Оперативный ввод'!R1078="","",'Оперативный ввод'!R1078)</f>
        <v/>
      </c>
      <c r="U1078" s="172">
        <f>IF('Оперативный ввод'!S1078="","",'Оперативный ввод'!S1078)</f>
        <v/>
      </c>
      <c r="V1078" s="172">
        <f>IF('Оперативный ввод'!T1078="","",'Оперативный ввод'!T1078)</f>
        <v/>
      </c>
      <c r="W1078" s="172" t="n"/>
      <c r="X1078" s="172" t="n"/>
      <c r="Y1078" s="172" t="n"/>
      <c r="Z1078" s="172" t="n"/>
      <c r="AA1078" s="172">
        <f>IF('Оперативный ввод'!U1078="","",'Оперативный ввод'!U1078)</f>
        <v/>
      </c>
      <c r="AB1078" s="172">
        <f>IF('Оперативный ввод'!V1078="","",'Оперативный ввод'!V1078)</f>
        <v/>
      </c>
      <c r="AC1078" s="172">
        <f>IF('Оперативный ввод'!W1078="","",'Оперативный ввод'!W1078)</f>
        <v/>
      </c>
      <c r="BB1078" s="172" t="n"/>
      <c r="BC1078" s="172" t="n"/>
      <c r="BD1078" s="205">
        <f>IF(AND(A1078="",B1078=""),"",IF(AND(P1078="ГОТОВО",R1078&lt;&gt;"",T1078&lt;&gt;"",U1078&lt;&gt;"",AA1078&lt;&gt;"",AB1078&lt;&gt;"",AC1078&lt;&gt;"",BB1078&lt;&gt;"",BC1078&lt;&gt;""),"ГОТОВО","НЕ ГОТОВО"))</f>
        <v/>
      </c>
      <c r="BE1078" s="205">
        <f>IF(BD1078&lt;&gt;"ГОТОВО","","Полное заключение: "&amp;A1078&amp;", скв. "&amp;B1078&amp;". МРП: "&amp;E1078&amp;" сут. ГНО: "&amp;F1078&amp;"; причина: "&amp;U1078&amp;"; категория: "&amp;V1078&amp;"; решение комиссии: "&amp;BB1078&amp;".")</f>
        <v/>
      </c>
      <c r="BF1078" s="173">
        <f>IF('Оперативный ввод'!X1078="","",'Оперативный ввод'!X1078)</f>
        <v/>
      </c>
    </row>
    <row r="1079">
      <c r="A1079" s="171">
        <f>IF('Оперативный ввод'!A1079="","",'Оперативный ввод'!A1079)</f>
        <v/>
      </c>
      <c r="B1079" s="172">
        <f>IF('Оперативный ввод'!B1079="","",'Оперативный ввод'!B1079)</f>
        <v/>
      </c>
      <c r="C1079" s="270">
        <f>IF('Оперативный ввод'!C1079="","",'Оперативный ввод'!C1079)</f>
        <v/>
      </c>
      <c r="D1079" s="270">
        <f>IF('Оперативный ввод'!D1079="","",'Оперативный ввод'!D1079)</f>
        <v/>
      </c>
      <c r="E1079" s="271">
        <f>IF(OR(C1079="",D1079=""),"",D1079-C1079)</f>
        <v/>
      </c>
      <c r="F1079" s="172">
        <f>IF('Оперативный ввод'!F1079="","",'Оперативный ввод'!F1079)</f>
        <v/>
      </c>
      <c r="G1079" s="172">
        <f>IF('Оперативный ввод'!G1079="","",'Оперативный ввод'!G1079)</f>
        <v/>
      </c>
      <c r="H1079" s="172">
        <f>IF('Оперативный ввод'!H1079="","",'Оперативный ввод'!H1079)</f>
        <v/>
      </c>
      <c r="I1079" s="172">
        <f>IF('Оперативный ввод'!I1079="","",'Оперативный ввод'!I1079)</f>
        <v/>
      </c>
      <c r="J1079" s="172">
        <f>IF('Оперативный ввод'!J1079="","",'Оперативный ввод'!J1079)</f>
        <v/>
      </c>
      <c r="K1079" s="172">
        <f>IF('Оперативный ввод'!K1079="","",'Оперативный ввод'!K1079)</f>
        <v/>
      </c>
      <c r="L1079" s="172">
        <f>IF('Оперативный ввод'!L1079="","",'Оперативный ввод'!L1079)</f>
        <v/>
      </c>
      <c r="M1079" s="172">
        <f>IF('Оперативный ввод'!M1079="","",'Оперативный ввод'!M1079)</f>
        <v/>
      </c>
      <c r="N1079" s="172">
        <f>IF('Оперативный ввод'!N1079="","",'Оперативный ввод'!N1079)</f>
        <v/>
      </c>
      <c r="O1079" s="172">
        <f>IF('Оперативный ввод'!O1079="","",'Оперативный ввод'!O1079)</f>
        <v/>
      </c>
      <c r="P1079" s="205">
        <f>IF(AND(A1079="",B1079=""),"",IF(AND(A1079&lt;&gt;"",B1079&lt;&gt;"",C1079&lt;&gt;"",D1079&lt;&gt;"",F1079&lt;&gt;"",G1079&lt;&gt;"",H1079&lt;&gt;"",ISERROR(SEARCH("по паспорту",G1079)),ISERROR(SEARCH("по паспорту",H1079)),I1079&lt;&gt;"",J1079&lt;&gt;"",K1079&lt;&gt;"",L1079&lt;&gt;"",M1079&lt;&gt;""),"ГОТОВО","НЕ ГОТОВО"))</f>
        <v/>
      </c>
      <c r="Q1079" s="205">
        <f>IF(P1079&lt;&gt;"ГОТОВО","", "Предварительное заключение: "&amp;A1079&amp;", скв. "&amp;B1079&amp;". МРП: "&amp;E1079&amp;" сут. ГНО: "&amp;F1079&amp;", типоразмер "&amp;G1079&amp;", марка "&amp;H1079&amp;". Событие: "&amp;I1079&amp;". Признак: "&amp;J1079&amp;". Узел: "&amp;K1079&amp;". Предварительная причина: "&amp;L1079&amp;". Основное осложнение: "&amp;M1079&amp;IF(N1079&lt;&gt;"","; сопутствующее: "&amp;N1079,"")&amp;IF(O1079&lt;&gt;"","; дополнительно: "&amp;O1079,"")&amp;".")</f>
        <v/>
      </c>
      <c r="R1079" s="172">
        <f>IF('Оперативный ввод'!P1079="","",'Оперативный ввод'!P1079)</f>
        <v/>
      </c>
      <c r="S1079" s="172">
        <f>IF('Оперативный ввод'!Q1079="","",'Оперативный ввод'!Q1079)</f>
        <v/>
      </c>
      <c r="T1079" s="172">
        <f>IF('Оперативный ввод'!R1079="","",'Оперативный ввод'!R1079)</f>
        <v/>
      </c>
      <c r="U1079" s="172">
        <f>IF('Оперативный ввод'!S1079="","",'Оперативный ввод'!S1079)</f>
        <v/>
      </c>
      <c r="V1079" s="172">
        <f>IF('Оперативный ввод'!T1079="","",'Оперативный ввод'!T1079)</f>
        <v/>
      </c>
      <c r="W1079" s="172" t="n"/>
      <c r="X1079" s="172" t="n"/>
      <c r="Y1079" s="172" t="n"/>
      <c r="Z1079" s="172" t="n"/>
      <c r="AA1079" s="172">
        <f>IF('Оперативный ввод'!U1079="","",'Оперативный ввод'!U1079)</f>
        <v/>
      </c>
      <c r="AB1079" s="172">
        <f>IF('Оперативный ввод'!V1079="","",'Оперативный ввод'!V1079)</f>
        <v/>
      </c>
      <c r="AC1079" s="172">
        <f>IF('Оперативный ввод'!W1079="","",'Оперативный ввод'!W1079)</f>
        <v/>
      </c>
      <c r="BB1079" s="172" t="n"/>
      <c r="BC1079" s="172" t="n"/>
      <c r="BD1079" s="205">
        <f>IF(AND(A1079="",B1079=""),"",IF(AND(P1079="ГОТОВО",R1079&lt;&gt;"",T1079&lt;&gt;"",U1079&lt;&gt;"",AA1079&lt;&gt;"",AB1079&lt;&gt;"",AC1079&lt;&gt;"",BB1079&lt;&gt;"",BC1079&lt;&gt;""),"ГОТОВО","НЕ ГОТОВО"))</f>
        <v/>
      </c>
      <c r="BE1079" s="205">
        <f>IF(BD1079&lt;&gt;"ГОТОВО","","Полное заключение: "&amp;A1079&amp;", скв. "&amp;B1079&amp;". МРП: "&amp;E1079&amp;" сут. ГНО: "&amp;F1079&amp;"; причина: "&amp;U1079&amp;"; категория: "&amp;V1079&amp;"; решение комиссии: "&amp;BB1079&amp;".")</f>
        <v/>
      </c>
      <c r="BF1079" s="173">
        <f>IF('Оперативный ввод'!X1079="","",'Оперативный ввод'!X1079)</f>
        <v/>
      </c>
    </row>
    <row r="1080">
      <c r="A1080" s="171">
        <f>IF('Оперативный ввод'!A1080="","",'Оперативный ввод'!A1080)</f>
        <v/>
      </c>
      <c r="B1080" s="172">
        <f>IF('Оперативный ввод'!B1080="","",'Оперативный ввод'!B1080)</f>
        <v/>
      </c>
      <c r="C1080" s="270">
        <f>IF('Оперативный ввод'!C1080="","",'Оперативный ввод'!C1080)</f>
        <v/>
      </c>
      <c r="D1080" s="270">
        <f>IF('Оперативный ввод'!D1080="","",'Оперативный ввод'!D1080)</f>
        <v/>
      </c>
      <c r="E1080" s="271">
        <f>IF(OR(C1080="",D1080=""),"",D1080-C1080)</f>
        <v/>
      </c>
      <c r="F1080" s="172">
        <f>IF('Оперативный ввод'!F1080="","",'Оперативный ввод'!F1080)</f>
        <v/>
      </c>
      <c r="G1080" s="172">
        <f>IF('Оперативный ввод'!G1080="","",'Оперативный ввод'!G1080)</f>
        <v/>
      </c>
      <c r="H1080" s="172">
        <f>IF('Оперативный ввод'!H1080="","",'Оперативный ввод'!H1080)</f>
        <v/>
      </c>
      <c r="I1080" s="172">
        <f>IF('Оперативный ввод'!I1080="","",'Оперативный ввод'!I1080)</f>
        <v/>
      </c>
      <c r="J1080" s="172">
        <f>IF('Оперативный ввод'!J1080="","",'Оперативный ввод'!J1080)</f>
        <v/>
      </c>
      <c r="K1080" s="172">
        <f>IF('Оперативный ввод'!K1080="","",'Оперативный ввод'!K1080)</f>
        <v/>
      </c>
      <c r="L1080" s="172">
        <f>IF('Оперативный ввод'!L1080="","",'Оперативный ввод'!L1080)</f>
        <v/>
      </c>
      <c r="M1080" s="172">
        <f>IF('Оперативный ввод'!M1080="","",'Оперативный ввод'!M1080)</f>
        <v/>
      </c>
      <c r="N1080" s="172">
        <f>IF('Оперативный ввод'!N1080="","",'Оперативный ввод'!N1080)</f>
        <v/>
      </c>
      <c r="O1080" s="172">
        <f>IF('Оперативный ввод'!O1080="","",'Оперативный ввод'!O1080)</f>
        <v/>
      </c>
      <c r="P1080" s="205">
        <f>IF(AND(A1080="",B1080=""),"",IF(AND(A1080&lt;&gt;"",B1080&lt;&gt;"",C1080&lt;&gt;"",D1080&lt;&gt;"",F1080&lt;&gt;"",G1080&lt;&gt;"",H1080&lt;&gt;"",ISERROR(SEARCH("по паспорту",G1080)),ISERROR(SEARCH("по паспорту",H1080)),I1080&lt;&gt;"",J1080&lt;&gt;"",K1080&lt;&gt;"",L1080&lt;&gt;"",M1080&lt;&gt;""),"ГОТОВО","НЕ ГОТОВО"))</f>
        <v/>
      </c>
      <c r="Q1080" s="205">
        <f>IF(P1080&lt;&gt;"ГОТОВО","", "Предварительное заключение: "&amp;A1080&amp;", скв. "&amp;B1080&amp;". МРП: "&amp;E1080&amp;" сут. ГНО: "&amp;F1080&amp;", типоразмер "&amp;G1080&amp;", марка "&amp;H1080&amp;". Событие: "&amp;I1080&amp;". Признак: "&amp;J1080&amp;". Узел: "&amp;K1080&amp;". Предварительная причина: "&amp;L1080&amp;". Основное осложнение: "&amp;M1080&amp;IF(N1080&lt;&gt;"","; сопутствующее: "&amp;N1080,"")&amp;IF(O1080&lt;&gt;"","; дополнительно: "&amp;O1080,"")&amp;".")</f>
        <v/>
      </c>
      <c r="R1080" s="172">
        <f>IF('Оперативный ввод'!P1080="","",'Оперативный ввод'!P1080)</f>
        <v/>
      </c>
      <c r="S1080" s="172">
        <f>IF('Оперативный ввод'!Q1080="","",'Оперативный ввод'!Q1080)</f>
        <v/>
      </c>
      <c r="T1080" s="172">
        <f>IF('Оперативный ввод'!R1080="","",'Оперативный ввод'!R1080)</f>
        <v/>
      </c>
      <c r="U1080" s="172">
        <f>IF('Оперативный ввод'!S1080="","",'Оперативный ввод'!S1080)</f>
        <v/>
      </c>
      <c r="V1080" s="172">
        <f>IF('Оперативный ввод'!T1080="","",'Оперативный ввод'!T1080)</f>
        <v/>
      </c>
      <c r="W1080" s="172" t="n"/>
      <c r="X1080" s="172" t="n"/>
      <c r="Y1080" s="172" t="n"/>
      <c r="Z1080" s="172" t="n"/>
      <c r="AA1080" s="172">
        <f>IF('Оперативный ввод'!U1080="","",'Оперативный ввод'!U1080)</f>
        <v/>
      </c>
      <c r="AB1080" s="172">
        <f>IF('Оперативный ввод'!V1080="","",'Оперативный ввод'!V1080)</f>
        <v/>
      </c>
      <c r="AC1080" s="172">
        <f>IF('Оперативный ввод'!W1080="","",'Оперативный ввод'!W1080)</f>
        <v/>
      </c>
      <c r="BB1080" s="172" t="n"/>
      <c r="BC1080" s="172" t="n"/>
      <c r="BD1080" s="205">
        <f>IF(AND(A1080="",B1080=""),"",IF(AND(P1080="ГОТОВО",R1080&lt;&gt;"",T1080&lt;&gt;"",U1080&lt;&gt;"",AA1080&lt;&gt;"",AB1080&lt;&gt;"",AC1080&lt;&gt;"",BB1080&lt;&gt;"",BC1080&lt;&gt;""),"ГОТОВО","НЕ ГОТОВО"))</f>
        <v/>
      </c>
      <c r="BE1080" s="205">
        <f>IF(BD1080&lt;&gt;"ГОТОВО","","Полное заключение: "&amp;A1080&amp;", скв. "&amp;B1080&amp;". МРП: "&amp;E1080&amp;" сут. ГНО: "&amp;F1080&amp;"; причина: "&amp;U1080&amp;"; категория: "&amp;V1080&amp;"; решение комиссии: "&amp;BB1080&amp;".")</f>
        <v/>
      </c>
      <c r="BF1080" s="173">
        <f>IF('Оперативный ввод'!X1080="","",'Оперативный ввод'!X1080)</f>
        <v/>
      </c>
    </row>
    <row r="1081">
      <c r="A1081" s="171">
        <f>IF('Оперативный ввод'!A1081="","",'Оперативный ввод'!A1081)</f>
        <v/>
      </c>
      <c r="B1081" s="172">
        <f>IF('Оперативный ввод'!B1081="","",'Оперативный ввод'!B1081)</f>
        <v/>
      </c>
      <c r="C1081" s="270">
        <f>IF('Оперативный ввод'!C1081="","",'Оперативный ввод'!C1081)</f>
        <v/>
      </c>
      <c r="D1081" s="270">
        <f>IF('Оперативный ввод'!D1081="","",'Оперативный ввод'!D1081)</f>
        <v/>
      </c>
      <c r="E1081" s="271">
        <f>IF(OR(C1081="",D1081=""),"",D1081-C1081)</f>
        <v/>
      </c>
      <c r="F1081" s="172">
        <f>IF('Оперативный ввод'!F1081="","",'Оперативный ввод'!F1081)</f>
        <v/>
      </c>
      <c r="G1081" s="172">
        <f>IF('Оперативный ввод'!G1081="","",'Оперативный ввод'!G1081)</f>
        <v/>
      </c>
      <c r="H1081" s="172">
        <f>IF('Оперативный ввод'!H1081="","",'Оперативный ввод'!H1081)</f>
        <v/>
      </c>
      <c r="I1081" s="172">
        <f>IF('Оперативный ввод'!I1081="","",'Оперативный ввод'!I1081)</f>
        <v/>
      </c>
      <c r="J1081" s="172">
        <f>IF('Оперативный ввод'!J1081="","",'Оперативный ввод'!J1081)</f>
        <v/>
      </c>
      <c r="K1081" s="172">
        <f>IF('Оперативный ввод'!K1081="","",'Оперативный ввод'!K1081)</f>
        <v/>
      </c>
      <c r="L1081" s="172">
        <f>IF('Оперативный ввод'!L1081="","",'Оперативный ввод'!L1081)</f>
        <v/>
      </c>
      <c r="M1081" s="172">
        <f>IF('Оперативный ввод'!M1081="","",'Оперативный ввод'!M1081)</f>
        <v/>
      </c>
      <c r="N1081" s="172">
        <f>IF('Оперативный ввод'!N1081="","",'Оперативный ввод'!N1081)</f>
        <v/>
      </c>
      <c r="O1081" s="172">
        <f>IF('Оперативный ввод'!O1081="","",'Оперативный ввод'!O1081)</f>
        <v/>
      </c>
      <c r="P1081" s="205">
        <f>IF(AND(A1081="",B1081=""),"",IF(AND(A1081&lt;&gt;"",B1081&lt;&gt;"",C1081&lt;&gt;"",D1081&lt;&gt;"",F1081&lt;&gt;"",G1081&lt;&gt;"",H1081&lt;&gt;"",ISERROR(SEARCH("по паспорту",G1081)),ISERROR(SEARCH("по паспорту",H1081)),I1081&lt;&gt;"",J1081&lt;&gt;"",K1081&lt;&gt;"",L1081&lt;&gt;"",M1081&lt;&gt;""),"ГОТОВО","НЕ ГОТОВО"))</f>
        <v/>
      </c>
      <c r="Q1081" s="205">
        <f>IF(P1081&lt;&gt;"ГОТОВО","", "Предварительное заключение: "&amp;A1081&amp;", скв. "&amp;B1081&amp;". МРП: "&amp;E1081&amp;" сут. ГНО: "&amp;F1081&amp;", типоразмер "&amp;G1081&amp;", марка "&amp;H1081&amp;". Событие: "&amp;I1081&amp;". Признак: "&amp;J1081&amp;". Узел: "&amp;K1081&amp;". Предварительная причина: "&amp;L1081&amp;". Основное осложнение: "&amp;M1081&amp;IF(N1081&lt;&gt;"","; сопутствующее: "&amp;N1081,"")&amp;IF(O1081&lt;&gt;"","; дополнительно: "&amp;O1081,"")&amp;".")</f>
        <v/>
      </c>
      <c r="R1081" s="172">
        <f>IF('Оперативный ввод'!P1081="","",'Оперативный ввод'!P1081)</f>
        <v/>
      </c>
      <c r="S1081" s="172">
        <f>IF('Оперативный ввод'!Q1081="","",'Оперативный ввод'!Q1081)</f>
        <v/>
      </c>
      <c r="T1081" s="172">
        <f>IF('Оперативный ввод'!R1081="","",'Оперативный ввод'!R1081)</f>
        <v/>
      </c>
      <c r="U1081" s="172">
        <f>IF('Оперативный ввод'!S1081="","",'Оперативный ввод'!S1081)</f>
        <v/>
      </c>
      <c r="V1081" s="172">
        <f>IF('Оперативный ввод'!T1081="","",'Оперативный ввод'!T1081)</f>
        <v/>
      </c>
      <c r="W1081" s="172" t="n"/>
      <c r="X1081" s="172" t="n"/>
      <c r="Y1081" s="172" t="n"/>
      <c r="Z1081" s="172" t="n"/>
      <c r="AA1081" s="172">
        <f>IF('Оперативный ввод'!U1081="","",'Оперативный ввод'!U1081)</f>
        <v/>
      </c>
      <c r="AB1081" s="172">
        <f>IF('Оперативный ввод'!V1081="","",'Оперативный ввод'!V1081)</f>
        <v/>
      </c>
      <c r="AC1081" s="172">
        <f>IF('Оперативный ввод'!W1081="","",'Оперативный ввод'!W1081)</f>
        <v/>
      </c>
      <c r="BB1081" s="172" t="n"/>
      <c r="BC1081" s="172" t="n"/>
      <c r="BD1081" s="205">
        <f>IF(AND(A1081="",B1081=""),"",IF(AND(P1081="ГОТОВО",R1081&lt;&gt;"",T1081&lt;&gt;"",U1081&lt;&gt;"",AA1081&lt;&gt;"",AB1081&lt;&gt;"",AC1081&lt;&gt;"",BB1081&lt;&gt;"",BC1081&lt;&gt;""),"ГОТОВО","НЕ ГОТОВО"))</f>
        <v/>
      </c>
      <c r="BE1081" s="205">
        <f>IF(BD1081&lt;&gt;"ГОТОВО","","Полное заключение: "&amp;A1081&amp;", скв. "&amp;B1081&amp;". МРП: "&amp;E1081&amp;" сут. ГНО: "&amp;F1081&amp;"; причина: "&amp;U1081&amp;"; категория: "&amp;V1081&amp;"; решение комиссии: "&amp;BB1081&amp;".")</f>
        <v/>
      </c>
      <c r="BF1081" s="173">
        <f>IF('Оперативный ввод'!X1081="","",'Оперативный ввод'!X1081)</f>
        <v/>
      </c>
    </row>
    <row r="1082">
      <c r="A1082" s="171">
        <f>IF('Оперативный ввод'!A1082="","",'Оперативный ввод'!A1082)</f>
        <v/>
      </c>
      <c r="B1082" s="172">
        <f>IF('Оперативный ввод'!B1082="","",'Оперативный ввод'!B1082)</f>
        <v/>
      </c>
      <c r="C1082" s="270">
        <f>IF('Оперативный ввод'!C1082="","",'Оперативный ввод'!C1082)</f>
        <v/>
      </c>
      <c r="D1082" s="270">
        <f>IF('Оперативный ввод'!D1082="","",'Оперативный ввод'!D1082)</f>
        <v/>
      </c>
      <c r="E1082" s="271">
        <f>IF(OR(C1082="",D1082=""),"",D1082-C1082)</f>
        <v/>
      </c>
      <c r="F1082" s="172">
        <f>IF('Оперативный ввод'!F1082="","",'Оперативный ввод'!F1082)</f>
        <v/>
      </c>
      <c r="G1082" s="172">
        <f>IF('Оперативный ввод'!G1082="","",'Оперативный ввод'!G1082)</f>
        <v/>
      </c>
      <c r="H1082" s="172">
        <f>IF('Оперативный ввод'!H1082="","",'Оперативный ввод'!H1082)</f>
        <v/>
      </c>
      <c r="I1082" s="172">
        <f>IF('Оперативный ввод'!I1082="","",'Оперативный ввод'!I1082)</f>
        <v/>
      </c>
      <c r="J1082" s="172">
        <f>IF('Оперативный ввод'!J1082="","",'Оперативный ввод'!J1082)</f>
        <v/>
      </c>
      <c r="K1082" s="172">
        <f>IF('Оперативный ввод'!K1082="","",'Оперативный ввод'!K1082)</f>
        <v/>
      </c>
      <c r="L1082" s="172">
        <f>IF('Оперативный ввод'!L1082="","",'Оперативный ввод'!L1082)</f>
        <v/>
      </c>
      <c r="M1082" s="172">
        <f>IF('Оперативный ввод'!M1082="","",'Оперативный ввод'!M1082)</f>
        <v/>
      </c>
      <c r="N1082" s="172">
        <f>IF('Оперативный ввод'!N1082="","",'Оперативный ввод'!N1082)</f>
        <v/>
      </c>
      <c r="O1082" s="172">
        <f>IF('Оперативный ввод'!O1082="","",'Оперативный ввод'!O1082)</f>
        <v/>
      </c>
      <c r="P1082" s="205">
        <f>IF(AND(A1082="",B1082=""),"",IF(AND(A1082&lt;&gt;"",B1082&lt;&gt;"",C1082&lt;&gt;"",D1082&lt;&gt;"",F1082&lt;&gt;"",G1082&lt;&gt;"",H1082&lt;&gt;"",ISERROR(SEARCH("по паспорту",G1082)),ISERROR(SEARCH("по паспорту",H1082)),I1082&lt;&gt;"",J1082&lt;&gt;"",K1082&lt;&gt;"",L1082&lt;&gt;"",M1082&lt;&gt;""),"ГОТОВО","НЕ ГОТОВО"))</f>
        <v/>
      </c>
      <c r="Q1082" s="205">
        <f>IF(P1082&lt;&gt;"ГОТОВО","", "Предварительное заключение: "&amp;A1082&amp;", скв. "&amp;B1082&amp;". МРП: "&amp;E1082&amp;" сут. ГНО: "&amp;F1082&amp;", типоразмер "&amp;G1082&amp;", марка "&amp;H1082&amp;". Событие: "&amp;I1082&amp;". Признак: "&amp;J1082&amp;". Узел: "&amp;K1082&amp;". Предварительная причина: "&amp;L1082&amp;". Основное осложнение: "&amp;M1082&amp;IF(N1082&lt;&gt;"","; сопутствующее: "&amp;N1082,"")&amp;IF(O1082&lt;&gt;"","; дополнительно: "&amp;O1082,"")&amp;".")</f>
        <v/>
      </c>
      <c r="R1082" s="172">
        <f>IF('Оперативный ввод'!P1082="","",'Оперативный ввод'!P1082)</f>
        <v/>
      </c>
      <c r="S1082" s="172">
        <f>IF('Оперативный ввод'!Q1082="","",'Оперативный ввод'!Q1082)</f>
        <v/>
      </c>
      <c r="T1082" s="172">
        <f>IF('Оперативный ввод'!R1082="","",'Оперативный ввод'!R1082)</f>
        <v/>
      </c>
      <c r="U1082" s="172">
        <f>IF('Оперативный ввод'!S1082="","",'Оперативный ввод'!S1082)</f>
        <v/>
      </c>
      <c r="V1082" s="172">
        <f>IF('Оперативный ввод'!T1082="","",'Оперативный ввод'!T1082)</f>
        <v/>
      </c>
      <c r="W1082" s="172" t="n"/>
      <c r="X1082" s="172" t="n"/>
      <c r="Y1082" s="172" t="n"/>
      <c r="Z1082" s="172" t="n"/>
      <c r="AA1082" s="172">
        <f>IF('Оперативный ввод'!U1082="","",'Оперативный ввод'!U1082)</f>
        <v/>
      </c>
      <c r="AB1082" s="172">
        <f>IF('Оперативный ввод'!V1082="","",'Оперативный ввод'!V1082)</f>
        <v/>
      </c>
      <c r="AC1082" s="172">
        <f>IF('Оперативный ввод'!W1082="","",'Оперативный ввод'!W1082)</f>
        <v/>
      </c>
      <c r="BB1082" s="172" t="n"/>
      <c r="BC1082" s="172" t="n"/>
      <c r="BD1082" s="205">
        <f>IF(AND(A1082="",B1082=""),"",IF(AND(P1082="ГОТОВО",R1082&lt;&gt;"",T1082&lt;&gt;"",U1082&lt;&gt;"",AA1082&lt;&gt;"",AB1082&lt;&gt;"",AC1082&lt;&gt;"",BB1082&lt;&gt;"",BC1082&lt;&gt;""),"ГОТОВО","НЕ ГОТОВО"))</f>
        <v/>
      </c>
      <c r="BE1082" s="205">
        <f>IF(BD1082&lt;&gt;"ГОТОВО","","Полное заключение: "&amp;A1082&amp;", скв. "&amp;B1082&amp;". МРП: "&amp;E1082&amp;" сут. ГНО: "&amp;F1082&amp;"; причина: "&amp;U1082&amp;"; категория: "&amp;V1082&amp;"; решение комиссии: "&amp;BB1082&amp;".")</f>
        <v/>
      </c>
      <c r="BF1082" s="173">
        <f>IF('Оперативный ввод'!X1082="","",'Оперативный ввод'!X1082)</f>
        <v/>
      </c>
    </row>
    <row r="1083">
      <c r="A1083" s="171">
        <f>IF('Оперативный ввод'!A1083="","",'Оперативный ввод'!A1083)</f>
        <v/>
      </c>
      <c r="B1083" s="172">
        <f>IF('Оперативный ввод'!B1083="","",'Оперативный ввод'!B1083)</f>
        <v/>
      </c>
      <c r="C1083" s="270">
        <f>IF('Оперативный ввод'!C1083="","",'Оперативный ввод'!C1083)</f>
        <v/>
      </c>
      <c r="D1083" s="270">
        <f>IF('Оперативный ввод'!D1083="","",'Оперативный ввод'!D1083)</f>
        <v/>
      </c>
      <c r="E1083" s="271">
        <f>IF(OR(C1083="",D1083=""),"",D1083-C1083)</f>
        <v/>
      </c>
      <c r="F1083" s="172">
        <f>IF('Оперативный ввод'!F1083="","",'Оперативный ввод'!F1083)</f>
        <v/>
      </c>
      <c r="G1083" s="172">
        <f>IF('Оперативный ввод'!G1083="","",'Оперативный ввод'!G1083)</f>
        <v/>
      </c>
      <c r="H1083" s="172">
        <f>IF('Оперативный ввод'!H1083="","",'Оперативный ввод'!H1083)</f>
        <v/>
      </c>
      <c r="I1083" s="172">
        <f>IF('Оперативный ввод'!I1083="","",'Оперативный ввод'!I1083)</f>
        <v/>
      </c>
      <c r="J1083" s="172">
        <f>IF('Оперативный ввод'!J1083="","",'Оперативный ввод'!J1083)</f>
        <v/>
      </c>
      <c r="K1083" s="172">
        <f>IF('Оперативный ввод'!K1083="","",'Оперативный ввод'!K1083)</f>
        <v/>
      </c>
      <c r="L1083" s="172">
        <f>IF('Оперативный ввод'!L1083="","",'Оперативный ввод'!L1083)</f>
        <v/>
      </c>
      <c r="M1083" s="172">
        <f>IF('Оперативный ввод'!M1083="","",'Оперативный ввод'!M1083)</f>
        <v/>
      </c>
      <c r="N1083" s="172">
        <f>IF('Оперативный ввод'!N1083="","",'Оперативный ввод'!N1083)</f>
        <v/>
      </c>
      <c r="O1083" s="172">
        <f>IF('Оперативный ввод'!O1083="","",'Оперативный ввод'!O1083)</f>
        <v/>
      </c>
      <c r="P1083" s="205">
        <f>IF(AND(A1083="",B1083=""),"",IF(AND(A1083&lt;&gt;"",B1083&lt;&gt;"",C1083&lt;&gt;"",D1083&lt;&gt;"",F1083&lt;&gt;"",G1083&lt;&gt;"",H1083&lt;&gt;"",ISERROR(SEARCH("по паспорту",G1083)),ISERROR(SEARCH("по паспорту",H1083)),I1083&lt;&gt;"",J1083&lt;&gt;"",K1083&lt;&gt;"",L1083&lt;&gt;"",M1083&lt;&gt;""),"ГОТОВО","НЕ ГОТОВО"))</f>
        <v/>
      </c>
      <c r="Q1083" s="205">
        <f>IF(P1083&lt;&gt;"ГОТОВО","", "Предварительное заключение: "&amp;A1083&amp;", скв. "&amp;B1083&amp;". МРП: "&amp;E1083&amp;" сут. ГНО: "&amp;F1083&amp;", типоразмер "&amp;G1083&amp;", марка "&amp;H1083&amp;". Событие: "&amp;I1083&amp;". Признак: "&amp;J1083&amp;". Узел: "&amp;K1083&amp;". Предварительная причина: "&amp;L1083&amp;". Основное осложнение: "&amp;M1083&amp;IF(N1083&lt;&gt;"","; сопутствующее: "&amp;N1083,"")&amp;IF(O1083&lt;&gt;"","; дополнительно: "&amp;O1083,"")&amp;".")</f>
        <v/>
      </c>
      <c r="R1083" s="172">
        <f>IF('Оперативный ввод'!P1083="","",'Оперативный ввод'!P1083)</f>
        <v/>
      </c>
      <c r="S1083" s="172">
        <f>IF('Оперативный ввод'!Q1083="","",'Оперативный ввод'!Q1083)</f>
        <v/>
      </c>
      <c r="T1083" s="172">
        <f>IF('Оперативный ввод'!R1083="","",'Оперативный ввод'!R1083)</f>
        <v/>
      </c>
      <c r="U1083" s="172">
        <f>IF('Оперативный ввод'!S1083="","",'Оперативный ввод'!S1083)</f>
        <v/>
      </c>
      <c r="V1083" s="172">
        <f>IF('Оперативный ввод'!T1083="","",'Оперативный ввод'!T1083)</f>
        <v/>
      </c>
      <c r="W1083" s="172" t="n"/>
      <c r="X1083" s="172" t="n"/>
      <c r="Y1083" s="172" t="n"/>
      <c r="Z1083" s="172" t="n"/>
      <c r="AA1083" s="172">
        <f>IF('Оперативный ввод'!U1083="","",'Оперативный ввод'!U1083)</f>
        <v/>
      </c>
      <c r="AB1083" s="172">
        <f>IF('Оперативный ввод'!V1083="","",'Оперативный ввод'!V1083)</f>
        <v/>
      </c>
      <c r="AC1083" s="172">
        <f>IF('Оперативный ввод'!W1083="","",'Оперативный ввод'!W1083)</f>
        <v/>
      </c>
      <c r="BB1083" s="172" t="n"/>
      <c r="BC1083" s="172" t="n"/>
      <c r="BD1083" s="205">
        <f>IF(AND(A1083="",B1083=""),"",IF(AND(P1083="ГОТОВО",R1083&lt;&gt;"",T1083&lt;&gt;"",U1083&lt;&gt;"",AA1083&lt;&gt;"",AB1083&lt;&gt;"",AC1083&lt;&gt;"",BB1083&lt;&gt;"",BC1083&lt;&gt;""),"ГОТОВО","НЕ ГОТОВО"))</f>
        <v/>
      </c>
      <c r="BE1083" s="205">
        <f>IF(BD1083&lt;&gt;"ГОТОВО","","Полное заключение: "&amp;A1083&amp;", скв. "&amp;B1083&amp;". МРП: "&amp;E1083&amp;" сут. ГНО: "&amp;F1083&amp;"; причина: "&amp;U1083&amp;"; категория: "&amp;V1083&amp;"; решение комиссии: "&amp;BB1083&amp;".")</f>
        <v/>
      </c>
      <c r="BF1083" s="173">
        <f>IF('Оперативный ввод'!X1083="","",'Оперативный ввод'!X1083)</f>
        <v/>
      </c>
    </row>
    <row r="1084">
      <c r="A1084" s="171">
        <f>IF('Оперативный ввод'!A1084="","",'Оперативный ввод'!A1084)</f>
        <v/>
      </c>
      <c r="B1084" s="172">
        <f>IF('Оперативный ввод'!B1084="","",'Оперативный ввод'!B1084)</f>
        <v/>
      </c>
      <c r="C1084" s="270">
        <f>IF('Оперативный ввод'!C1084="","",'Оперативный ввод'!C1084)</f>
        <v/>
      </c>
      <c r="D1084" s="270">
        <f>IF('Оперативный ввод'!D1084="","",'Оперативный ввод'!D1084)</f>
        <v/>
      </c>
      <c r="E1084" s="271">
        <f>IF(OR(C1084="",D1084=""),"",D1084-C1084)</f>
        <v/>
      </c>
      <c r="F1084" s="172">
        <f>IF('Оперативный ввод'!F1084="","",'Оперативный ввод'!F1084)</f>
        <v/>
      </c>
      <c r="G1084" s="172">
        <f>IF('Оперативный ввод'!G1084="","",'Оперативный ввод'!G1084)</f>
        <v/>
      </c>
      <c r="H1084" s="172">
        <f>IF('Оперативный ввод'!H1084="","",'Оперативный ввод'!H1084)</f>
        <v/>
      </c>
      <c r="I1084" s="172">
        <f>IF('Оперативный ввод'!I1084="","",'Оперативный ввод'!I1084)</f>
        <v/>
      </c>
      <c r="J1084" s="172">
        <f>IF('Оперативный ввод'!J1084="","",'Оперативный ввод'!J1084)</f>
        <v/>
      </c>
      <c r="K1084" s="172">
        <f>IF('Оперативный ввод'!K1084="","",'Оперативный ввод'!K1084)</f>
        <v/>
      </c>
      <c r="L1084" s="172">
        <f>IF('Оперативный ввод'!L1084="","",'Оперативный ввод'!L1084)</f>
        <v/>
      </c>
      <c r="M1084" s="172">
        <f>IF('Оперативный ввод'!M1084="","",'Оперативный ввод'!M1084)</f>
        <v/>
      </c>
      <c r="N1084" s="172">
        <f>IF('Оперативный ввод'!N1084="","",'Оперативный ввод'!N1084)</f>
        <v/>
      </c>
      <c r="O1084" s="172">
        <f>IF('Оперативный ввод'!O1084="","",'Оперативный ввод'!O1084)</f>
        <v/>
      </c>
      <c r="P1084" s="205">
        <f>IF(AND(A1084="",B1084=""),"",IF(AND(A1084&lt;&gt;"",B1084&lt;&gt;"",C1084&lt;&gt;"",D1084&lt;&gt;"",F1084&lt;&gt;"",G1084&lt;&gt;"",H1084&lt;&gt;"",ISERROR(SEARCH("по паспорту",G1084)),ISERROR(SEARCH("по паспорту",H1084)),I1084&lt;&gt;"",J1084&lt;&gt;"",K1084&lt;&gt;"",L1084&lt;&gt;"",M1084&lt;&gt;""),"ГОТОВО","НЕ ГОТОВО"))</f>
        <v/>
      </c>
      <c r="Q1084" s="205">
        <f>IF(P1084&lt;&gt;"ГОТОВО","", "Предварительное заключение: "&amp;A1084&amp;", скв. "&amp;B1084&amp;". МРП: "&amp;E1084&amp;" сут. ГНО: "&amp;F1084&amp;", типоразмер "&amp;G1084&amp;", марка "&amp;H1084&amp;". Событие: "&amp;I1084&amp;". Признак: "&amp;J1084&amp;". Узел: "&amp;K1084&amp;". Предварительная причина: "&amp;L1084&amp;". Основное осложнение: "&amp;M1084&amp;IF(N1084&lt;&gt;"","; сопутствующее: "&amp;N1084,"")&amp;IF(O1084&lt;&gt;"","; дополнительно: "&amp;O1084,"")&amp;".")</f>
        <v/>
      </c>
      <c r="R1084" s="172">
        <f>IF('Оперативный ввод'!P1084="","",'Оперативный ввод'!P1084)</f>
        <v/>
      </c>
      <c r="S1084" s="172">
        <f>IF('Оперативный ввод'!Q1084="","",'Оперативный ввод'!Q1084)</f>
        <v/>
      </c>
      <c r="T1084" s="172">
        <f>IF('Оперативный ввод'!R1084="","",'Оперативный ввод'!R1084)</f>
        <v/>
      </c>
      <c r="U1084" s="172">
        <f>IF('Оперативный ввод'!S1084="","",'Оперативный ввод'!S1084)</f>
        <v/>
      </c>
      <c r="V1084" s="172">
        <f>IF('Оперативный ввод'!T1084="","",'Оперативный ввод'!T1084)</f>
        <v/>
      </c>
      <c r="W1084" s="172" t="n"/>
      <c r="X1084" s="172" t="n"/>
      <c r="Y1084" s="172" t="n"/>
      <c r="Z1084" s="172" t="n"/>
      <c r="AA1084" s="172">
        <f>IF('Оперативный ввод'!U1084="","",'Оперативный ввод'!U1084)</f>
        <v/>
      </c>
      <c r="AB1084" s="172">
        <f>IF('Оперативный ввод'!V1084="","",'Оперативный ввод'!V1084)</f>
        <v/>
      </c>
      <c r="AC1084" s="172">
        <f>IF('Оперативный ввод'!W1084="","",'Оперативный ввод'!W1084)</f>
        <v/>
      </c>
      <c r="BB1084" s="172" t="n"/>
      <c r="BC1084" s="172" t="n"/>
      <c r="BD1084" s="205">
        <f>IF(AND(A1084="",B1084=""),"",IF(AND(P1084="ГОТОВО",R1084&lt;&gt;"",T1084&lt;&gt;"",U1084&lt;&gt;"",AA1084&lt;&gt;"",AB1084&lt;&gt;"",AC1084&lt;&gt;"",BB1084&lt;&gt;"",BC1084&lt;&gt;""),"ГОТОВО","НЕ ГОТОВО"))</f>
        <v/>
      </c>
      <c r="BE1084" s="205">
        <f>IF(BD1084&lt;&gt;"ГОТОВО","","Полное заключение: "&amp;A1084&amp;", скв. "&amp;B1084&amp;". МРП: "&amp;E1084&amp;" сут. ГНО: "&amp;F1084&amp;"; причина: "&amp;U1084&amp;"; категория: "&amp;V1084&amp;"; решение комиссии: "&amp;BB1084&amp;".")</f>
        <v/>
      </c>
      <c r="BF1084" s="173">
        <f>IF('Оперативный ввод'!X1084="","",'Оперативный ввод'!X1084)</f>
        <v/>
      </c>
    </row>
    <row r="1085">
      <c r="A1085" s="171">
        <f>IF('Оперативный ввод'!A1085="","",'Оперативный ввод'!A1085)</f>
        <v/>
      </c>
      <c r="B1085" s="172">
        <f>IF('Оперативный ввод'!B1085="","",'Оперативный ввод'!B1085)</f>
        <v/>
      </c>
      <c r="C1085" s="270">
        <f>IF('Оперативный ввод'!C1085="","",'Оперативный ввод'!C1085)</f>
        <v/>
      </c>
      <c r="D1085" s="270">
        <f>IF('Оперативный ввод'!D1085="","",'Оперативный ввод'!D1085)</f>
        <v/>
      </c>
      <c r="E1085" s="271">
        <f>IF(OR(C1085="",D1085=""),"",D1085-C1085)</f>
        <v/>
      </c>
      <c r="F1085" s="172">
        <f>IF('Оперативный ввод'!F1085="","",'Оперативный ввод'!F1085)</f>
        <v/>
      </c>
      <c r="G1085" s="172">
        <f>IF('Оперативный ввод'!G1085="","",'Оперативный ввод'!G1085)</f>
        <v/>
      </c>
      <c r="H1085" s="172">
        <f>IF('Оперативный ввод'!H1085="","",'Оперативный ввод'!H1085)</f>
        <v/>
      </c>
      <c r="I1085" s="172">
        <f>IF('Оперативный ввод'!I1085="","",'Оперативный ввод'!I1085)</f>
        <v/>
      </c>
      <c r="J1085" s="172">
        <f>IF('Оперативный ввод'!J1085="","",'Оперативный ввод'!J1085)</f>
        <v/>
      </c>
      <c r="K1085" s="172">
        <f>IF('Оперативный ввод'!K1085="","",'Оперативный ввод'!K1085)</f>
        <v/>
      </c>
      <c r="L1085" s="172">
        <f>IF('Оперативный ввод'!L1085="","",'Оперативный ввод'!L1085)</f>
        <v/>
      </c>
      <c r="M1085" s="172">
        <f>IF('Оперативный ввод'!M1085="","",'Оперативный ввод'!M1085)</f>
        <v/>
      </c>
      <c r="N1085" s="172">
        <f>IF('Оперативный ввод'!N1085="","",'Оперативный ввод'!N1085)</f>
        <v/>
      </c>
      <c r="O1085" s="172">
        <f>IF('Оперативный ввод'!O1085="","",'Оперативный ввод'!O1085)</f>
        <v/>
      </c>
      <c r="P1085" s="205">
        <f>IF(AND(A1085="",B1085=""),"",IF(AND(A1085&lt;&gt;"",B1085&lt;&gt;"",C1085&lt;&gt;"",D1085&lt;&gt;"",F1085&lt;&gt;"",G1085&lt;&gt;"",H1085&lt;&gt;"",ISERROR(SEARCH("по паспорту",G1085)),ISERROR(SEARCH("по паспорту",H1085)),I1085&lt;&gt;"",J1085&lt;&gt;"",K1085&lt;&gt;"",L1085&lt;&gt;"",M1085&lt;&gt;""),"ГОТОВО","НЕ ГОТОВО"))</f>
        <v/>
      </c>
      <c r="Q1085" s="205">
        <f>IF(P1085&lt;&gt;"ГОТОВО","", "Предварительное заключение: "&amp;A1085&amp;", скв. "&amp;B1085&amp;". МРП: "&amp;E1085&amp;" сут. ГНО: "&amp;F1085&amp;", типоразмер "&amp;G1085&amp;", марка "&amp;H1085&amp;". Событие: "&amp;I1085&amp;". Признак: "&amp;J1085&amp;". Узел: "&amp;K1085&amp;". Предварительная причина: "&amp;L1085&amp;". Основное осложнение: "&amp;M1085&amp;IF(N1085&lt;&gt;"","; сопутствующее: "&amp;N1085,"")&amp;IF(O1085&lt;&gt;"","; дополнительно: "&amp;O1085,"")&amp;".")</f>
        <v/>
      </c>
      <c r="R1085" s="172">
        <f>IF('Оперативный ввод'!P1085="","",'Оперативный ввод'!P1085)</f>
        <v/>
      </c>
      <c r="S1085" s="172">
        <f>IF('Оперативный ввод'!Q1085="","",'Оперативный ввод'!Q1085)</f>
        <v/>
      </c>
      <c r="T1085" s="172">
        <f>IF('Оперативный ввод'!R1085="","",'Оперативный ввод'!R1085)</f>
        <v/>
      </c>
      <c r="U1085" s="172">
        <f>IF('Оперативный ввод'!S1085="","",'Оперативный ввод'!S1085)</f>
        <v/>
      </c>
      <c r="V1085" s="172">
        <f>IF('Оперативный ввод'!T1085="","",'Оперативный ввод'!T1085)</f>
        <v/>
      </c>
      <c r="W1085" s="172" t="n"/>
      <c r="X1085" s="172" t="n"/>
      <c r="Y1085" s="172" t="n"/>
      <c r="Z1085" s="172" t="n"/>
      <c r="AA1085" s="172">
        <f>IF('Оперативный ввод'!U1085="","",'Оперативный ввод'!U1085)</f>
        <v/>
      </c>
      <c r="AB1085" s="172">
        <f>IF('Оперативный ввод'!V1085="","",'Оперативный ввод'!V1085)</f>
        <v/>
      </c>
      <c r="AC1085" s="172">
        <f>IF('Оперативный ввод'!W1085="","",'Оперативный ввод'!W1085)</f>
        <v/>
      </c>
      <c r="BB1085" s="172" t="n"/>
      <c r="BC1085" s="172" t="n"/>
      <c r="BD1085" s="205">
        <f>IF(AND(A1085="",B1085=""),"",IF(AND(P1085="ГОТОВО",R1085&lt;&gt;"",T1085&lt;&gt;"",U1085&lt;&gt;"",AA1085&lt;&gt;"",AB1085&lt;&gt;"",AC1085&lt;&gt;"",BB1085&lt;&gt;"",BC1085&lt;&gt;""),"ГОТОВО","НЕ ГОТОВО"))</f>
        <v/>
      </c>
      <c r="BE1085" s="205">
        <f>IF(BD1085&lt;&gt;"ГОТОВО","","Полное заключение: "&amp;A1085&amp;", скв. "&amp;B1085&amp;". МРП: "&amp;E1085&amp;" сут. ГНО: "&amp;F1085&amp;"; причина: "&amp;U1085&amp;"; категория: "&amp;V1085&amp;"; решение комиссии: "&amp;BB1085&amp;".")</f>
        <v/>
      </c>
      <c r="BF1085" s="173">
        <f>IF('Оперативный ввод'!X1085="","",'Оперативный ввод'!X1085)</f>
        <v/>
      </c>
    </row>
    <row r="1086">
      <c r="A1086" s="171">
        <f>IF('Оперативный ввод'!A1086="","",'Оперативный ввод'!A1086)</f>
        <v/>
      </c>
      <c r="B1086" s="172">
        <f>IF('Оперативный ввод'!B1086="","",'Оперативный ввод'!B1086)</f>
        <v/>
      </c>
      <c r="C1086" s="270">
        <f>IF('Оперативный ввод'!C1086="","",'Оперативный ввод'!C1086)</f>
        <v/>
      </c>
      <c r="D1086" s="270">
        <f>IF('Оперативный ввод'!D1086="","",'Оперативный ввод'!D1086)</f>
        <v/>
      </c>
      <c r="E1086" s="271">
        <f>IF(OR(C1086="",D1086=""),"",D1086-C1086)</f>
        <v/>
      </c>
      <c r="F1086" s="172">
        <f>IF('Оперативный ввод'!F1086="","",'Оперативный ввод'!F1086)</f>
        <v/>
      </c>
      <c r="G1086" s="172">
        <f>IF('Оперативный ввод'!G1086="","",'Оперативный ввод'!G1086)</f>
        <v/>
      </c>
      <c r="H1086" s="172">
        <f>IF('Оперативный ввод'!H1086="","",'Оперативный ввод'!H1086)</f>
        <v/>
      </c>
      <c r="I1086" s="172">
        <f>IF('Оперативный ввод'!I1086="","",'Оперативный ввод'!I1086)</f>
        <v/>
      </c>
      <c r="J1086" s="172">
        <f>IF('Оперативный ввод'!J1086="","",'Оперативный ввод'!J1086)</f>
        <v/>
      </c>
      <c r="K1086" s="172">
        <f>IF('Оперативный ввод'!K1086="","",'Оперативный ввод'!K1086)</f>
        <v/>
      </c>
      <c r="L1086" s="172">
        <f>IF('Оперативный ввод'!L1086="","",'Оперативный ввод'!L1086)</f>
        <v/>
      </c>
      <c r="M1086" s="172">
        <f>IF('Оперативный ввод'!M1086="","",'Оперативный ввод'!M1086)</f>
        <v/>
      </c>
      <c r="N1086" s="172">
        <f>IF('Оперативный ввод'!N1086="","",'Оперативный ввод'!N1086)</f>
        <v/>
      </c>
      <c r="O1086" s="172">
        <f>IF('Оперативный ввод'!O1086="","",'Оперативный ввод'!O1086)</f>
        <v/>
      </c>
      <c r="P1086" s="205">
        <f>IF(AND(A1086="",B1086=""),"",IF(AND(A1086&lt;&gt;"",B1086&lt;&gt;"",C1086&lt;&gt;"",D1086&lt;&gt;"",F1086&lt;&gt;"",G1086&lt;&gt;"",H1086&lt;&gt;"",ISERROR(SEARCH("по паспорту",G1086)),ISERROR(SEARCH("по паспорту",H1086)),I1086&lt;&gt;"",J1086&lt;&gt;"",K1086&lt;&gt;"",L1086&lt;&gt;"",M1086&lt;&gt;""),"ГОТОВО","НЕ ГОТОВО"))</f>
        <v/>
      </c>
      <c r="Q1086" s="205">
        <f>IF(P1086&lt;&gt;"ГОТОВО","", "Предварительное заключение: "&amp;A1086&amp;", скв. "&amp;B1086&amp;". МРП: "&amp;E1086&amp;" сут. ГНО: "&amp;F1086&amp;", типоразмер "&amp;G1086&amp;", марка "&amp;H1086&amp;". Событие: "&amp;I1086&amp;". Признак: "&amp;J1086&amp;". Узел: "&amp;K1086&amp;". Предварительная причина: "&amp;L1086&amp;". Основное осложнение: "&amp;M1086&amp;IF(N1086&lt;&gt;"","; сопутствующее: "&amp;N1086,"")&amp;IF(O1086&lt;&gt;"","; дополнительно: "&amp;O1086,"")&amp;".")</f>
        <v/>
      </c>
      <c r="R1086" s="172">
        <f>IF('Оперативный ввод'!P1086="","",'Оперативный ввод'!P1086)</f>
        <v/>
      </c>
      <c r="S1086" s="172">
        <f>IF('Оперативный ввод'!Q1086="","",'Оперативный ввод'!Q1086)</f>
        <v/>
      </c>
      <c r="T1086" s="172">
        <f>IF('Оперативный ввод'!R1086="","",'Оперативный ввод'!R1086)</f>
        <v/>
      </c>
      <c r="U1086" s="172">
        <f>IF('Оперативный ввод'!S1086="","",'Оперативный ввод'!S1086)</f>
        <v/>
      </c>
      <c r="V1086" s="172">
        <f>IF('Оперативный ввод'!T1086="","",'Оперативный ввод'!T1086)</f>
        <v/>
      </c>
      <c r="W1086" s="172" t="n"/>
      <c r="X1086" s="172" t="n"/>
      <c r="Y1086" s="172" t="n"/>
      <c r="Z1086" s="172" t="n"/>
      <c r="AA1086" s="172">
        <f>IF('Оперативный ввод'!U1086="","",'Оперативный ввод'!U1086)</f>
        <v/>
      </c>
      <c r="AB1086" s="172">
        <f>IF('Оперативный ввод'!V1086="","",'Оперативный ввод'!V1086)</f>
        <v/>
      </c>
      <c r="AC1086" s="172">
        <f>IF('Оперативный ввод'!W1086="","",'Оперативный ввод'!W1086)</f>
        <v/>
      </c>
      <c r="BB1086" s="172" t="n"/>
      <c r="BC1086" s="172" t="n"/>
      <c r="BD1086" s="205">
        <f>IF(AND(A1086="",B1086=""),"",IF(AND(P1086="ГОТОВО",R1086&lt;&gt;"",T1086&lt;&gt;"",U1086&lt;&gt;"",AA1086&lt;&gt;"",AB1086&lt;&gt;"",AC1086&lt;&gt;"",BB1086&lt;&gt;"",BC1086&lt;&gt;""),"ГОТОВО","НЕ ГОТОВО"))</f>
        <v/>
      </c>
      <c r="BE1086" s="205">
        <f>IF(BD1086&lt;&gt;"ГОТОВО","","Полное заключение: "&amp;A1086&amp;", скв. "&amp;B1086&amp;". МРП: "&amp;E1086&amp;" сут. ГНО: "&amp;F1086&amp;"; причина: "&amp;U1086&amp;"; категория: "&amp;V1086&amp;"; решение комиссии: "&amp;BB1086&amp;".")</f>
        <v/>
      </c>
      <c r="BF1086" s="173">
        <f>IF('Оперативный ввод'!X1086="","",'Оперативный ввод'!X1086)</f>
        <v/>
      </c>
    </row>
    <row r="1087">
      <c r="A1087" s="171">
        <f>IF('Оперативный ввод'!A1087="","",'Оперативный ввод'!A1087)</f>
        <v/>
      </c>
      <c r="B1087" s="172">
        <f>IF('Оперативный ввод'!B1087="","",'Оперативный ввод'!B1087)</f>
        <v/>
      </c>
      <c r="C1087" s="270">
        <f>IF('Оперативный ввод'!C1087="","",'Оперативный ввод'!C1087)</f>
        <v/>
      </c>
      <c r="D1087" s="270">
        <f>IF('Оперативный ввод'!D1087="","",'Оперативный ввод'!D1087)</f>
        <v/>
      </c>
      <c r="E1087" s="271">
        <f>IF(OR(C1087="",D1087=""),"",D1087-C1087)</f>
        <v/>
      </c>
      <c r="F1087" s="172">
        <f>IF('Оперативный ввод'!F1087="","",'Оперативный ввод'!F1087)</f>
        <v/>
      </c>
      <c r="G1087" s="172">
        <f>IF('Оперативный ввод'!G1087="","",'Оперативный ввод'!G1087)</f>
        <v/>
      </c>
      <c r="H1087" s="172">
        <f>IF('Оперативный ввод'!H1087="","",'Оперативный ввод'!H1087)</f>
        <v/>
      </c>
      <c r="I1087" s="172">
        <f>IF('Оперативный ввод'!I1087="","",'Оперативный ввод'!I1087)</f>
        <v/>
      </c>
      <c r="J1087" s="172">
        <f>IF('Оперативный ввод'!J1087="","",'Оперативный ввод'!J1087)</f>
        <v/>
      </c>
      <c r="K1087" s="172">
        <f>IF('Оперативный ввод'!K1087="","",'Оперативный ввод'!K1087)</f>
        <v/>
      </c>
      <c r="L1087" s="172">
        <f>IF('Оперативный ввод'!L1087="","",'Оперативный ввод'!L1087)</f>
        <v/>
      </c>
      <c r="M1087" s="172">
        <f>IF('Оперативный ввод'!M1087="","",'Оперативный ввод'!M1087)</f>
        <v/>
      </c>
      <c r="N1087" s="172">
        <f>IF('Оперативный ввод'!N1087="","",'Оперативный ввод'!N1087)</f>
        <v/>
      </c>
      <c r="O1087" s="172">
        <f>IF('Оперативный ввод'!O1087="","",'Оперативный ввод'!O1087)</f>
        <v/>
      </c>
      <c r="P1087" s="205">
        <f>IF(AND(A1087="",B1087=""),"",IF(AND(A1087&lt;&gt;"",B1087&lt;&gt;"",C1087&lt;&gt;"",D1087&lt;&gt;"",F1087&lt;&gt;"",G1087&lt;&gt;"",H1087&lt;&gt;"",ISERROR(SEARCH("по паспорту",G1087)),ISERROR(SEARCH("по паспорту",H1087)),I1087&lt;&gt;"",J1087&lt;&gt;"",K1087&lt;&gt;"",L1087&lt;&gt;"",M1087&lt;&gt;""),"ГОТОВО","НЕ ГОТОВО"))</f>
        <v/>
      </c>
      <c r="Q1087" s="205">
        <f>IF(P1087&lt;&gt;"ГОТОВО","", "Предварительное заключение: "&amp;A1087&amp;", скв. "&amp;B1087&amp;". МРП: "&amp;E1087&amp;" сут. ГНО: "&amp;F1087&amp;", типоразмер "&amp;G1087&amp;", марка "&amp;H1087&amp;". Событие: "&amp;I1087&amp;". Признак: "&amp;J1087&amp;". Узел: "&amp;K1087&amp;". Предварительная причина: "&amp;L1087&amp;". Основное осложнение: "&amp;M1087&amp;IF(N1087&lt;&gt;"","; сопутствующее: "&amp;N1087,"")&amp;IF(O1087&lt;&gt;"","; дополнительно: "&amp;O1087,"")&amp;".")</f>
        <v/>
      </c>
      <c r="R1087" s="172">
        <f>IF('Оперативный ввод'!P1087="","",'Оперативный ввод'!P1087)</f>
        <v/>
      </c>
      <c r="S1087" s="172">
        <f>IF('Оперативный ввод'!Q1087="","",'Оперативный ввод'!Q1087)</f>
        <v/>
      </c>
      <c r="T1087" s="172">
        <f>IF('Оперативный ввод'!R1087="","",'Оперативный ввод'!R1087)</f>
        <v/>
      </c>
      <c r="U1087" s="172">
        <f>IF('Оперативный ввод'!S1087="","",'Оперативный ввод'!S1087)</f>
        <v/>
      </c>
      <c r="V1087" s="172">
        <f>IF('Оперативный ввод'!T1087="","",'Оперативный ввод'!T1087)</f>
        <v/>
      </c>
      <c r="W1087" s="172" t="n"/>
      <c r="X1087" s="172" t="n"/>
      <c r="Y1087" s="172" t="n"/>
      <c r="Z1087" s="172" t="n"/>
      <c r="AA1087" s="172">
        <f>IF('Оперативный ввод'!U1087="","",'Оперативный ввод'!U1087)</f>
        <v/>
      </c>
      <c r="AB1087" s="172">
        <f>IF('Оперативный ввод'!V1087="","",'Оперативный ввод'!V1087)</f>
        <v/>
      </c>
      <c r="AC1087" s="172">
        <f>IF('Оперативный ввод'!W1087="","",'Оперативный ввод'!W1087)</f>
        <v/>
      </c>
      <c r="BB1087" s="172" t="n"/>
      <c r="BC1087" s="172" t="n"/>
      <c r="BD1087" s="205">
        <f>IF(AND(A1087="",B1087=""),"",IF(AND(P1087="ГОТОВО",R1087&lt;&gt;"",T1087&lt;&gt;"",U1087&lt;&gt;"",AA1087&lt;&gt;"",AB1087&lt;&gt;"",AC1087&lt;&gt;"",BB1087&lt;&gt;"",BC1087&lt;&gt;""),"ГОТОВО","НЕ ГОТОВО"))</f>
        <v/>
      </c>
      <c r="BE1087" s="205">
        <f>IF(BD1087&lt;&gt;"ГОТОВО","","Полное заключение: "&amp;A1087&amp;", скв. "&amp;B1087&amp;". МРП: "&amp;E1087&amp;" сут. ГНО: "&amp;F1087&amp;"; причина: "&amp;U1087&amp;"; категория: "&amp;V1087&amp;"; решение комиссии: "&amp;BB1087&amp;".")</f>
        <v/>
      </c>
      <c r="BF1087" s="173">
        <f>IF('Оперативный ввод'!X1087="","",'Оперативный ввод'!X1087)</f>
        <v/>
      </c>
    </row>
    <row r="1088">
      <c r="A1088" s="171">
        <f>IF('Оперативный ввод'!A1088="","",'Оперативный ввод'!A1088)</f>
        <v/>
      </c>
      <c r="B1088" s="172">
        <f>IF('Оперативный ввод'!B1088="","",'Оперативный ввод'!B1088)</f>
        <v/>
      </c>
      <c r="C1088" s="270">
        <f>IF('Оперативный ввод'!C1088="","",'Оперативный ввод'!C1088)</f>
        <v/>
      </c>
      <c r="D1088" s="270">
        <f>IF('Оперативный ввод'!D1088="","",'Оперативный ввод'!D1088)</f>
        <v/>
      </c>
      <c r="E1088" s="271">
        <f>IF(OR(C1088="",D1088=""),"",D1088-C1088)</f>
        <v/>
      </c>
      <c r="F1088" s="172">
        <f>IF('Оперативный ввод'!F1088="","",'Оперативный ввод'!F1088)</f>
        <v/>
      </c>
      <c r="G1088" s="172">
        <f>IF('Оперативный ввод'!G1088="","",'Оперативный ввод'!G1088)</f>
        <v/>
      </c>
      <c r="H1088" s="172">
        <f>IF('Оперативный ввод'!H1088="","",'Оперативный ввод'!H1088)</f>
        <v/>
      </c>
      <c r="I1088" s="172">
        <f>IF('Оперативный ввод'!I1088="","",'Оперативный ввод'!I1088)</f>
        <v/>
      </c>
      <c r="J1088" s="172">
        <f>IF('Оперативный ввод'!J1088="","",'Оперативный ввод'!J1088)</f>
        <v/>
      </c>
      <c r="K1088" s="172">
        <f>IF('Оперативный ввод'!K1088="","",'Оперативный ввод'!K1088)</f>
        <v/>
      </c>
      <c r="L1088" s="172">
        <f>IF('Оперативный ввод'!L1088="","",'Оперативный ввод'!L1088)</f>
        <v/>
      </c>
      <c r="M1088" s="172">
        <f>IF('Оперативный ввод'!M1088="","",'Оперативный ввод'!M1088)</f>
        <v/>
      </c>
      <c r="N1088" s="172">
        <f>IF('Оперативный ввод'!N1088="","",'Оперативный ввод'!N1088)</f>
        <v/>
      </c>
      <c r="O1088" s="172">
        <f>IF('Оперативный ввод'!O1088="","",'Оперативный ввод'!O1088)</f>
        <v/>
      </c>
      <c r="P1088" s="205">
        <f>IF(AND(A1088="",B1088=""),"",IF(AND(A1088&lt;&gt;"",B1088&lt;&gt;"",C1088&lt;&gt;"",D1088&lt;&gt;"",F1088&lt;&gt;"",G1088&lt;&gt;"",H1088&lt;&gt;"",ISERROR(SEARCH("по паспорту",G1088)),ISERROR(SEARCH("по паспорту",H1088)),I1088&lt;&gt;"",J1088&lt;&gt;"",K1088&lt;&gt;"",L1088&lt;&gt;"",M1088&lt;&gt;""),"ГОТОВО","НЕ ГОТОВО"))</f>
        <v/>
      </c>
      <c r="Q1088" s="205">
        <f>IF(P1088&lt;&gt;"ГОТОВО","", "Предварительное заключение: "&amp;A1088&amp;", скв. "&amp;B1088&amp;". МРП: "&amp;E1088&amp;" сут. ГНО: "&amp;F1088&amp;", типоразмер "&amp;G1088&amp;", марка "&amp;H1088&amp;". Событие: "&amp;I1088&amp;". Признак: "&amp;J1088&amp;". Узел: "&amp;K1088&amp;". Предварительная причина: "&amp;L1088&amp;". Основное осложнение: "&amp;M1088&amp;IF(N1088&lt;&gt;"","; сопутствующее: "&amp;N1088,"")&amp;IF(O1088&lt;&gt;"","; дополнительно: "&amp;O1088,"")&amp;".")</f>
        <v/>
      </c>
      <c r="R1088" s="172">
        <f>IF('Оперативный ввод'!P1088="","",'Оперативный ввод'!P1088)</f>
        <v/>
      </c>
      <c r="S1088" s="172">
        <f>IF('Оперативный ввод'!Q1088="","",'Оперативный ввод'!Q1088)</f>
        <v/>
      </c>
      <c r="T1088" s="172">
        <f>IF('Оперативный ввод'!R1088="","",'Оперативный ввод'!R1088)</f>
        <v/>
      </c>
      <c r="U1088" s="172">
        <f>IF('Оперативный ввод'!S1088="","",'Оперативный ввод'!S1088)</f>
        <v/>
      </c>
      <c r="V1088" s="172">
        <f>IF('Оперативный ввод'!T1088="","",'Оперативный ввод'!T1088)</f>
        <v/>
      </c>
      <c r="W1088" s="172" t="n"/>
      <c r="X1088" s="172" t="n"/>
      <c r="Y1088" s="172" t="n"/>
      <c r="Z1088" s="172" t="n"/>
      <c r="AA1088" s="172">
        <f>IF('Оперативный ввод'!U1088="","",'Оперативный ввод'!U1088)</f>
        <v/>
      </c>
      <c r="AB1088" s="172">
        <f>IF('Оперативный ввод'!V1088="","",'Оперативный ввод'!V1088)</f>
        <v/>
      </c>
      <c r="AC1088" s="172">
        <f>IF('Оперативный ввод'!W1088="","",'Оперативный ввод'!W1088)</f>
        <v/>
      </c>
      <c r="BB1088" s="172" t="n"/>
      <c r="BC1088" s="172" t="n"/>
      <c r="BD1088" s="205">
        <f>IF(AND(A1088="",B1088=""),"",IF(AND(P1088="ГОТОВО",R1088&lt;&gt;"",T1088&lt;&gt;"",U1088&lt;&gt;"",AA1088&lt;&gt;"",AB1088&lt;&gt;"",AC1088&lt;&gt;"",BB1088&lt;&gt;"",BC1088&lt;&gt;""),"ГОТОВО","НЕ ГОТОВО"))</f>
        <v/>
      </c>
      <c r="BE1088" s="205">
        <f>IF(BD1088&lt;&gt;"ГОТОВО","","Полное заключение: "&amp;A1088&amp;", скв. "&amp;B1088&amp;". МРП: "&amp;E1088&amp;" сут. ГНО: "&amp;F1088&amp;"; причина: "&amp;U1088&amp;"; категория: "&amp;V1088&amp;"; решение комиссии: "&amp;BB1088&amp;".")</f>
        <v/>
      </c>
      <c r="BF1088" s="173">
        <f>IF('Оперативный ввод'!X1088="","",'Оперативный ввод'!X1088)</f>
        <v/>
      </c>
    </row>
    <row r="1089">
      <c r="A1089" s="171">
        <f>IF('Оперативный ввод'!A1089="","",'Оперативный ввод'!A1089)</f>
        <v/>
      </c>
      <c r="B1089" s="172">
        <f>IF('Оперативный ввод'!B1089="","",'Оперативный ввод'!B1089)</f>
        <v/>
      </c>
      <c r="C1089" s="270">
        <f>IF('Оперативный ввод'!C1089="","",'Оперативный ввод'!C1089)</f>
        <v/>
      </c>
      <c r="D1089" s="270">
        <f>IF('Оперативный ввод'!D1089="","",'Оперативный ввод'!D1089)</f>
        <v/>
      </c>
      <c r="E1089" s="271">
        <f>IF(OR(C1089="",D1089=""),"",D1089-C1089)</f>
        <v/>
      </c>
      <c r="F1089" s="172">
        <f>IF('Оперативный ввод'!F1089="","",'Оперативный ввод'!F1089)</f>
        <v/>
      </c>
      <c r="G1089" s="172">
        <f>IF('Оперативный ввод'!G1089="","",'Оперативный ввод'!G1089)</f>
        <v/>
      </c>
      <c r="H1089" s="172">
        <f>IF('Оперативный ввод'!H1089="","",'Оперативный ввод'!H1089)</f>
        <v/>
      </c>
      <c r="I1089" s="172">
        <f>IF('Оперативный ввод'!I1089="","",'Оперативный ввод'!I1089)</f>
        <v/>
      </c>
      <c r="J1089" s="172">
        <f>IF('Оперативный ввод'!J1089="","",'Оперативный ввод'!J1089)</f>
        <v/>
      </c>
      <c r="K1089" s="172">
        <f>IF('Оперативный ввод'!K1089="","",'Оперативный ввод'!K1089)</f>
        <v/>
      </c>
      <c r="L1089" s="172">
        <f>IF('Оперативный ввод'!L1089="","",'Оперативный ввод'!L1089)</f>
        <v/>
      </c>
      <c r="M1089" s="172">
        <f>IF('Оперативный ввод'!M1089="","",'Оперативный ввод'!M1089)</f>
        <v/>
      </c>
      <c r="N1089" s="172">
        <f>IF('Оперативный ввод'!N1089="","",'Оперативный ввод'!N1089)</f>
        <v/>
      </c>
      <c r="O1089" s="172">
        <f>IF('Оперативный ввод'!O1089="","",'Оперативный ввод'!O1089)</f>
        <v/>
      </c>
      <c r="P1089" s="205">
        <f>IF(AND(A1089="",B1089=""),"",IF(AND(A1089&lt;&gt;"",B1089&lt;&gt;"",C1089&lt;&gt;"",D1089&lt;&gt;"",F1089&lt;&gt;"",G1089&lt;&gt;"",H1089&lt;&gt;"",ISERROR(SEARCH("по паспорту",G1089)),ISERROR(SEARCH("по паспорту",H1089)),I1089&lt;&gt;"",J1089&lt;&gt;"",K1089&lt;&gt;"",L1089&lt;&gt;"",M1089&lt;&gt;""),"ГОТОВО","НЕ ГОТОВО"))</f>
        <v/>
      </c>
      <c r="Q1089" s="205">
        <f>IF(P1089&lt;&gt;"ГОТОВО","", "Предварительное заключение: "&amp;A1089&amp;", скв. "&amp;B1089&amp;". МРП: "&amp;E1089&amp;" сут. ГНО: "&amp;F1089&amp;", типоразмер "&amp;G1089&amp;", марка "&amp;H1089&amp;". Событие: "&amp;I1089&amp;". Признак: "&amp;J1089&amp;". Узел: "&amp;K1089&amp;". Предварительная причина: "&amp;L1089&amp;". Основное осложнение: "&amp;M1089&amp;IF(N1089&lt;&gt;"","; сопутствующее: "&amp;N1089,"")&amp;IF(O1089&lt;&gt;"","; дополнительно: "&amp;O1089,"")&amp;".")</f>
        <v/>
      </c>
      <c r="R1089" s="172">
        <f>IF('Оперативный ввод'!P1089="","",'Оперативный ввод'!P1089)</f>
        <v/>
      </c>
      <c r="S1089" s="172">
        <f>IF('Оперативный ввод'!Q1089="","",'Оперативный ввод'!Q1089)</f>
        <v/>
      </c>
      <c r="T1089" s="172">
        <f>IF('Оперативный ввод'!R1089="","",'Оперативный ввод'!R1089)</f>
        <v/>
      </c>
      <c r="U1089" s="172">
        <f>IF('Оперативный ввод'!S1089="","",'Оперативный ввод'!S1089)</f>
        <v/>
      </c>
      <c r="V1089" s="172">
        <f>IF('Оперативный ввод'!T1089="","",'Оперативный ввод'!T1089)</f>
        <v/>
      </c>
      <c r="W1089" s="172" t="n"/>
      <c r="X1089" s="172" t="n"/>
      <c r="Y1089" s="172" t="n"/>
      <c r="Z1089" s="172" t="n"/>
      <c r="AA1089" s="172">
        <f>IF('Оперативный ввод'!U1089="","",'Оперативный ввод'!U1089)</f>
        <v/>
      </c>
      <c r="AB1089" s="172">
        <f>IF('Оперативный ввод'!V1089="","",'Оперативный ввод'!V1089)</f>
        <v/>
      </c>
      <c r="AC1089" s="172">
        <f>IF('Оперативный ввод'!W1089="","",'Оперативный ввод'!W1089)</f>
        <v/>
      </c>
      <c r="BB1089" s="172" t="n"/>
      <c r="BC1089" s="172" t="n"/>
      <c r="BD1089" s="205">
        <f>IF(AND(A1089="",B1089=""),"",IF(AND(P1089="ГОТОВО",R1089&lt;&gt;"",T1089&lt;&gt;"",U1089&lt;&gt;"",AA1089&lt;&gt;"",AB1089&lt;&gt;"",AC1089&lt;&gt;"",BB1089&lt;&gt;"",BC1089&lt;&gt;""),"ГОТОВО","НЕ ГОТОВО"))</f>
        <v/>
      </c>
      <c r="BE1089" s="205">
        <f>IF(BD1089&lt;&gt;"ГОТОВО","","Полное заключение: "&amp;A1089&amp;", скв. "&amp;B1089&amp;". МРП: "&amp;E1089&amp;" сут. ГНО: "&amp;F1089&amp;"; причина: "&amp;U1089&amp;"; категория: "&amp;V1089&amp;"; решение комиссии: "&amp;BB1089&amp;".")</f>
        <v/>
      </c>
      <c r="BF1089" s="173">
        <f>IF('Оперативный ввод'!X1089="","",'Оперативный ввод'!X1089)</f>
        <v/>
      </c>
    </row>
    <row r="1090">
      <c r="A1090" s="171">
        <f>IF('Оперативный ввод'!A1090="","",'Оперативный ввод'!A1090)</f>
        <v/>
      </c>
      <c r="B1090" s="172">
        <f>IF('Оперативный ввод'!B1090="","",'Оперативный ввод'!B1090)</f>
        <v/>
      </c>
      <c r="C1090" s="270">
        <f>IF('Оперативный ввод'!C1090="","",'Оперативный ввод'!C1090)</f>
        <v/>
      </c>
      <c r="D1090" s="270">
        <f>IF('Оперативный ввод'!D1090="","",'Оперативный ввод'!D1090)</f>
        <v/>
      </c>
      <c r="E1090" s="271">
        <f>IF(OR(C1090="",D1090=""),"",D1090-C1090)</f>
        <v/>
      </c>
      <c r="F1090" s="172">
        <f>IF('Оперативный ввод'!F1090="","",'Оперативный ввод'!F1090)</f>
        <v/>
      </c>
      <c r="G1090" s="172">
        <f>IF('Оперативный ввод'!G1090="","",'Оперативный ввод'!G1090)</f>
        <v/>
      </c>
      <c r="H1090" s="172">
        <f>IF('Оперативный ввод'!H1090="","",'Оперативный ввод'!H1090)</f>
        <v/>
      </c>
      <c r="I1090" s="172">
        <f>IF('Оперативный ввод'!I1090="","",'Оперативный ввод'!I1090)</f>
        <v/>
      </c>
      <c r="J1090" s="172">
        <f>IF('Оперативный ввод'!J1090="","",'Оперативный ввод'!J1090)</f>
        <v/>
      </c>
      <c r="K1090" s="172">
        <f>IF('Оперативный ввод'!K1090="","",'Оперативный ввод'!K1090)</f>
        <v/>
      </c>
      <c r="L1090" s="172">
        <f>IF('Оперативный ввод'!L1090="","",'Оперативный ввод'!L1090)</f>
        <v/>
      </c>
      <c r="M1090" s="172">
        <f>IF('Оперативный ввод'!M1090="","",'Оперативный ввод'!M1090)</f>
        <v/>
      </c>
      <c r="N1090" s="172">
        <f>IF('Оперативный ввод'!N1090="","",'Оперативный ввод'!N1090)</f>
        <v/>
      </c>
      <c r="O1090" s="172">
        <f>IF('Оперативный ввод'!O1090="","",'Оперативный ввод'!O1090)</f>
        <v/>
      </c>
      <c r="P1090" s="205">
        <f>IF(AND(A1090="",B1090=""),"",IF(AND(A1090&lt;&gt;"",B1090&lt;&gt;"",C1090&lt;&gt;"",D1090&lt;&gt;"",F1090&lt;&gt;"",G1090&lt;&gt;"",H1090&lt;&gt;"",ISERROR(SEARCH("по паспорту",G1090)),ISERROR(SEARCH("по паспорту",H1090)),I1090&lt;&gt;"",J1090&lt;&gt;"",K1090&lt;&gt;"",L1090&lt;&gt;"",M1090&lt;&gt;""),"ГОТОВО","НЕ ГОТОВО"))</f>
        <v/>
      </c>
      <c r="Q1090" s="205">
        <f>IF(P1090&lt;&gt;"ГОТОВО","", "Предварительное заключение: "&amp;A1090&amp;", скв. "&amp;B1090&amp;". МРП: "&amp;E1090&amp;" сут. ГНО: "&amp;F1090&amp;", типоразмер "&amp;G1090&amp;", марка "&amp;H1090&amp;". Событие: "&amp;I1090&amp;". Признак: "&amp;J1090&amp;". Узел: "&amp;K1090&amp;". Предварительная причина: "&amp;L1090&amp;". Основное осложнение: "&amp;M1090&amp;IF(N1090&lt;&gt;"","; сопутствующее: "&amp;N1090,"")&amp;IF(O1090&lt;&gt;"","; дополнительно: "&amp;O1090,"")&amp;".")</f>
        <v/>
      </c>
      <c r="R1090" s="172">
        <f>IF('Оперативный ввод'!P1090="","",'Оперативный ввод'!P1090)</f>
        <v/>
      </c>
      <c r="S1090" s="172">
        <f>IF('Оперативный ввод'!Q1090="","",'Оперативный ввод'!Q1090)</f>
        <v/>
      </c>
      <c r="T1090" s="172">
        <f>IF('Оперативный ввод'!R1090="","",'Оперативный ввод'!R1090)</f>
        <v/>
      </c>
      <c r="U1090" s="172">
        <f>IF('Оперативный ввод'!S1090="","",'Оперативный ввод'!S1090)</f>
        <v/>
      </c>
      <c r="V1090" s="172">
        <f>IF('Оперативный ввод'!T1090="","",'Оперативный ввод'!T1090)</f>
        <v/>
      </c>
      <c r="W1090" s="172" t="n"/>
      <c r="X1090" s="172" t="n"/>
      <c r="Y1090" s="172" t="n"/>
      <c r="Z1090" s="172" t="n"/>
      <c r="AA1090" s="172">
        <f>IF('Оперативный ввод'!U1090="","",'Оперативный ввод'!U1090)</f>
        <v/>
      </c>
      <c r="AB1090" s="172">
        <f>IF('Оперативный ввод'!V1090="","",'Оперативный ввод'!V1090)</f>
        <v/>
      </c>
      <c r="AC1090" s="172">
        <f>IF('Оперативный ввод'!W1090="","",'Оперативный ввод'!W1090)</f>
        <v/>
      </c>
      <c r="BB1090" s="172" t="n"/>
      <c r="BC1090" s="172" t="n"/>
      <c r="BD1090" s="205">
        <f>IF(AND(A1090="",B1090=""),"",IF(AND(P1090="ГОТОВО",R1090&lt;&gt;"",T1090&lt;&gt;"",U1090&lt;&gt;"",AA1090&lt;&gt;"",AB1090&lt;&gt;"",AC1090&lt;&gt;"",BB1090&lt;&gt;"",BC1090&lt;&gt;""),"ГОТОВО","НЕ ГОТОВО"))</f>
        <v/>
      </c>
      <c r="BE1090" s="205">
        <f>IF(BD1090&lt;&gt;"ГОТОВО","","Полное заключение: "&amp;A1090&amp;", скв. "&amp;B1090&amp;". МРП: "&amp;E1090&amp;" сут. ГНО: "&amp;F1090&amp;"; причина: "&amp;U1090&amp;"; категория: "&amp;V1090&amp;"; решение комиссии: "&amp;BB1090&amp;".")</f>
        <v/>
      </c>
      <c r="BF1090" s="173">
        <f>IF('Оперативный ввод'!X1090="","",'Оперативный ввод'!X1090)</f>
        <v/>
      </c>
    </row>
    <row r="1091">
      <c r="A1091" s="171">
        <f>IF('Оперативный ввод'!A1091="","",'Оперативный ввод'!A1091)</f>
        <v/>
      </c>
      <c r="B1091" s="172">
        <f>IF('Оперативный ввод'!B1091="","",'Оперативный ввод'!B1091)</f>
        <v/>
      </c>
      <c r="C1091" s="270">
        <f>IF('Оперативный ввод'!C1091="","",'Оперативный ввод'!C1091)</f>
        <v/>
      </c>
      <c r="D1091" s="270">
        <f>IF('Оперативный ввод'!D1091="","",'Оперативный ввод'!D1091)</f>
        <v/>
      </c>
      <c r="E1091" s="271">
        <f>IF(OR(C1091="",D1091=""),"",D1091-C1091)</f>
        <v/>
      </c>
      <c r="F1091" s="172">
        <f>IF('Оперативный ввод'!F1091="","",'Оперативный ввод'!F1091)</f>
        <v/>
      </c>
      <c r="G1091" s="172">
        <f>IF('Оперативный ввод'!G1091="","",'Оперативный ввод'!G1091)</f>
        <v/>
      </c>
      <c r="H1091" s="172">
        <f>IF('Оперативный ввод'!H1091="","",'Оперативный ввод'!H1091)</f>
        <v/>
      </c>
      <c r="I1091" s="172">
        <f>IF('Оперативный ввод'!I1091="","",'Оперативный ввод'!I1091)</f>
        <v/>
      </c>
      <c r="J1091" s="172">
        <f>IF('Оперативный ввод'!J1091="","",'Оперативный ввод'!J1091)</f>
        <v/>
      </c>
      <c r="K1091" s="172">
        <f>IF('Оперативный ввод'!K1091="","",'Оперативный ввод'!K1091)</f>
        <v/>
      </c>
      <c r="L1091" s="172">
        <f>IF('Оперативный ввод'!L1091="","",'Оперативный ввод'!L1091)</f>
        <v/>
      </c>
      <c r="M1091" s="172">
        <f>IF('Оперативный ввод'!M1091="","",'Оперативный ввод'!M1091)</f>
        <v/>
      </c>
      <c r="N1091" s="172">
        <f>IF('Оперативный ввод'!N1091="","",'Оперативный ввод'!N1091)</f>
        <v/>
      </c>
      <c r="O1091" s="172">
        <f>IF('Оперативный ввод'!O1091="","",'Оперативный ввод'!O1091)</f>
        <v/>
      </c>
      <c r="P1091" s="205">
        <f>IF(AND(A1091="",B1091=""),"",IF(AND(A1091&lt;&gt;"",B1091&lt;&gt;"",C1091&lt;&gt;"",D1091&lt;&gt;"",F1091&lt;&gt;"",G1091&lt;&gt;"",H1091&lt;&gt;"",ISERROR(SEARCH("по паспорту",G1091)),ISERROR(SEARCH("по паспорту",H1091)),I1091&lt;&gt;"",J1091&lt;&gt;"",K1091&lt;&gt;"",L1091&lt;&gt;"",M1091&lt;&gt;""),"ГОТОВО","НЕ ГОТОВО"))</f>
        <v/>
      </c>
      <c r="Q1091" s="205">
        <f>IF(P1091&lt;&gt;"ГОТОВО","", "Предварительное заключение: "&amp;A1091&amp;", скв. "&amp;B1091&amp;". МРП: "&amp;E1091&amp;" сут. ГНО: "&amp;F1091&amp;", типоразмер "&amp;G1091&amp;", марка "&amp;H1091&amp;". Событие: "&amp;I1091&amp;". Признак: "&amp;J1091&amp;". Узел: "&amp;K1091&amp;". Предварительная причина: "&amp;L1091&amp;". Основное осложнение: "&amp;M1091&amp;IF(N1091&lt;&gt;"","; сопутствующее: "&amp;N1091,"")&amp;IF(O1091&lt;&gt;"","; дополнительно: "&amp;O1091,"")&amp;".")</f>
        <v/>
      </c>
      <c r="R1091" s="172">
        <f>IF('Оперативный ввод'!P1091="","",'Оперативный ввод'!P1091)</f>
        <v/>
      </c>
      <c r="S1091" s="172">
        <f>IF('Оперативный ввод'!Q1091="","",'Оперативный ввод'!Q1091)</f>
        <v/>
      </c>
      <c r="T1091" s="172">
        <f>IF('Оперативный ввод'!R1091="","",'Оперативный ввод'!R1091)</f>
        <v/>
      </c>
      <c r="U1091" s="172">
        <f>IF('Оперативный ввод'!S1091="","",'Оперативный ввод'!S1091)</f>
        <v/>
      </c>
      <c r="V1091" s="172">
        <f>IF('Оперативный ввод'!T1091="","",'Оперативный ввод'!T1091)</f>
        <v/>
      </c>
      <c r="W1091" s="172" t="n"/>
      <c r="X1091" s="172" t="n"/>
      <c r="Y1091" s="172" t="n"/>
      <c r="Z1091" s="172" t="n"/>
      <c r="AA1091" s="172">
        <f>IF('Оперативный ввод'!U1091="","",'Оперативный ввод'!U1091)</f>
        <v/>
      </c>
      <c r="AB1091" s="172">
        <f>IF('Оперативный ввод'!V1091="","",'Оперативный ввод'!V1091)</f>
        <v/>
      </c>
      <c r="AC1091" s="172">
        <f>IF('Оперативный ввод'!W1091="","",'Оперативный ввод'!W1091)</f>
        <v/>
      </c>
      <c r="BB1091" s="172" t="n"/>
      <c r="BC1091" s="172" t="n"/>
      <c r="BD1091" s="205">
        <f>IF(AND(A1091="",B1091=""),"",IF(AND(P1091="ГОТОВО",R1091&lt;&gt;"",T1091&lt;&gt;"",U1091&lt;&gt;"",AA1091&lt;&gt;"",AB1091&lt;&gt;"",AC1091&lt;&gt;"",BB1091&lt;&gt;"",BC1091&lt;&gt;""),"ГОТОВО","НЕ ГОТОВО"))</f>
        <v/>
      </c>
      <c r="BE1091" s="205">
        <f>IF(BD1091&lt;&gt;"ГОТОВО","","Полное заключение: "&amp;A1091&amp;", скв. "&amp;B1091&amp;". МРП: "&amp;E1091&amp;" сут. ГНО: "&amp;F1091&amp;"; причина: "&amp;U1091&amp;"; категория: "&amp;V1091&amp;"; решение комиссии: "&amp;BB1091&amp;".")</f>
        <v/>
      </c>
      <c r="BF1091" s="173">
        <f>IF('Оперативный ввод'!X1091="","",'Оперативный ввод'!X1091)</f>
        <v/>
      </c>
    </row>
    <row r="1092">
      <c r="A1092" s="171">
        <f>IF('Оперативный ввод'!A1092="","",'Оперативный ввод'!A1092)</f>
        <v/>
      </c>
      <c r="B1092" s="172">
        <f>IF('Оперативный ввод'!B1092="","",'Оперативный ввод'!B1092)</f>
        <v/>
      </c>
      <c r="C1092" s="270">
        <f>IF('Оперативный ввод'!C1092="","",'Оперативный ввод'!C1092)</f>
        <v/>
      </c>
      <c r="D1092" s="270">
        <f>IF('Оперативный ввод'!D1092="","",'Оперативный ввод'!D1092)</f>
        <v/>
      </c>
      <c r="E1092" s="271">
        <f>IF(OR(C1092="",D1092=""),"",D1092-C1092)</f>
        <v/>
      </c>
      <c r="F1092" s="172">
        <f>IF('Оперативный ввод'!F1092="","",'Оперативный ввод'!F1092)</f>
        <v/>
      </c>
      <c r="G1092" s="172">
        <f>IF('Оперативный ввод'!G1092="","",'Оперативный ввод'!G1092)</f>
        <v/>
      </c>
      <c r="H1092" s="172">
        <f>IF('Оперативный ввод'!H1092="","",'Оперативный ввод'!H1092)</f>
        <v/>
      </c>
      <c r="I1092" s="172">
        <f>IF('Оперативный ввод'!I1092="","",'Оперативный ввод'!I1092)</f>
        <v/>
      </c>
      <c r="J1092" s="172">
        <f>IF('Оперативный ввод'!J1092="","",'Оперативный ввод'!J1092)</f>
        <v/>
      </c>
      <c r="K1092" s="172">
        <f>IF('Оперативный ввод'!K1092="","",'Оперативный ввод'!K1092)</f>
        <v/>
      </c>
      <c r="L1092" s="172">
        <f>IF('Оперативный ввод'!L1092="","",'Оперативный ввод'!L1092)</f>
        <v/>
      </c>
      <c r="M1092" s="172">
        <f>IF('Оперативный ввод'!M1092="","",'Оперативный ввод'!M1092)</f>
        <v/>
      </c>
      <c r="N1092" s="172">
        <f>IF('Оперативный ввод'!N1092="","",'Оперативный ввод'!N1092)</f>
        <v/>
      </c>
      <c r="O1092" s="172">
        <f>IF('Оперативный ввод'!O1092="","",'Оперативный ввод'!O1092)</f>
        <v/>
      </c>
      <c r="P1092" s="205">
        <f>IF(AND(A1092="",B1092=""),"",IF(AND(A1092&lt;&gt;"",B1092&lt;&gt;"",C1092&lt;&gt;"",D1092&lt;&gt;"",F1092&lt;&gt;"",G1092&lt;&gt;"",H1092&lt;&gt;"",ISERROR(SEARCH("по паспорту",G1092)),ISERROR(SEARCH("по паспорту",H1092)),I1092&lt;&gt;"",J1092&lt;&gt;"",K1092&lt;&gt;"",L1092&lt;&gt;"",M1092&lt;&gt;""),"ГОТОВО","НЕ ГОТОВО"))</f>
        <v/>
      </c>
      <c r="Q1092" s="205">
        <f>IF(P1092&lt;&gt;"ГОТОВО","", "Предварительное заключение: "&amp;A1092&amp;", скв. "&amp;B1092&amp;". МРП: "&amp;E1092&amp;" сут. ГНО: "&amp;F1092&amp;", типоразмер "&amp;G1092&amp;", марка "&amp;H1092&amp;". Событие: "&amp;I1092&amp;". Признак: "&amp;J1092&amp;". Узел: "&amp;K1092&amp;". Предварительная причина: "&amp;L1092&amp;". Основное осложнение: "&amp;M1092&amp;IF(N1092&lt;&gt;"","; сопутствующее: "&amp;N1092,"")&amp;IF(O1092&lt;&gt;"","; дополнительно: "&amp;O1092,"")&amp;".")</f>
        <v/>
      </c>
      <c r="R1092" s="172">
        <f>IF('Оперативный ввод'!P1092="","",'Оперативный ввод'!P1092)</f>
        <v/>
      </c>
      <c r="S1092" s="172">
        <f>IF('Оперативный ввод'!Q1092="","",'Оперативный ввод'!Q1092)</f>
        <v/>
      </c>
      <c r="T1092" s="172">
        <f>IF('Оперативный ввод'!R1092="","",'Оперативный ввод'!R1092)</f>
        <v/>
      </c>
      <c r="U1092" s="172">
        <f>IF('Оперативный ввод'!S1092="","",'Оперативный ввод'!S1092)</f>
        <v/>
      </c>
      <c r="V1092" s="172">
        <f>IF('Оперативный ввод'!T1092="","",'Оперативный ввод'!T1092)</f>
        <v/>
      </c>
      <c r="W1092" s="172" t="n"/>
      <c r="X1092" s="172" t="n"/>
      <c r="Y1092" s="172" t="n"/>
      <c r="Z1092" s="172" t="n"/>
      <c r="AA1092" s="172">
        <f>IF('Оперативный ввод'!U1092="","",'Оперативный ввод'!U1092)</f>
        <v/>
      </c>
      <c r="AB1092" s="172">
        <f>IF('Оперативный ввод'!V1092="","",'Оперативный ввод'!V1092)</f>
        <v/>
      </c>
      <c r="AC1092" s="172">
        <f>IF('Оперативный ввод'!W1092="","",'Оперативный ввод'!W1092)</f>
        <v/>
      </c>
      <c r="BB1092" s="172" t="n"/>
      <c r="BC1092" s="172" t="n"/>
      <c r="BD1092" s="205">
        <f>IF(AND(A1092="",B1092=""),"",IF(AND(P1092="ГОТОВО",R1092&lt;&gt;"",T1092&lt;&gt;"",U1092&lt;&gt;"",AA1092&lt;&gt;"",AB1092&lt;&gt;"",AC1092&lt;&gt;"",BB1092&lt;&gt;"",BC1092&lt;&gt;""),"ГОТОВО","НЕ ГОТОВО"))</f>
        <v/>
      </c>
      <c r="BE1092" s="205">
        <f>IF(BD1092&lt;&gt;"ГОТОВО","","Полное заключение: "&amp;A1092&amp;", скв. "&amp;B1092&amp;". МРП: "&amp;E1092&amp;" сут. ГНО: "&amp;F1092&amp;"; причина: "&amp;U1092&amp;"; категория: "&amp;V1092&amp;"; решение комиссии: "&amp;BB1092&amp;".")</f>
        <v/>
      </c>
      <c r="BF1092" s="173">
        <f>IF('Оперативный ввод'!X1092="","",'Оперативный ввод'!X1092)</f>
        <v/>
      </c>
    </row>
    <row r="1093">
      <c r="A1093" s="171">
        <f>IF('Оперативный ввод'!A1093="","",'Оперативный ввод'!A1093)</f>
        <v/>
      </c>
      <c r="B1093" s="172">
        <f>IF('Оперативный ввод'!B1093="","",'Оперативный ввод'!B1093)</f>
        <v/>
      </c>
      <c r="C1093" s="270">
        <f>IF('Оперативный ввод'!C1093="","",'Оперативный ввод'!C1093)</f>
        <v/>
      </c>
      <c r="D1093" s="270">
        <f>IF('Оперативный ввод'!D1093="","",'Оперативный ввод'!D1093)</f>
        <v/>
      </c>
      <c r="E1093" s="271">
        <f>IF(OR(C1093="",D1093=""),"",D1093-C1093)</f>
        <v/>
      </c>
      <c r="F1093" s="172">
        <f>IF('Оперативный ввод'!F1093="","",'Оперативный ввод'!F1093)</f>
        <v/>
      </c>
      <c r="G1093" s="172">
        <f>IF('Оперативный ввод'!G1093="","",'Оперативный ввод'!G1093)</f>
        <v/>
      </c>
      <c r="H1093" s="172">
        <f>IF('Оперативный ввод'!H1093="","",'Оперативный ввод'!H1093)</f>
        <v/>
      </c>
      <c r="I1093" s="172">
        <f>IF('Оперативный ввод'!I1093="","",'Оперативный ввод'!I1093)</f>
        <v/>
      </c>
      <c r="J1093" s="172">
        <f>IF('Оперативный ввод'!J1093="","",'Оперативный ввод'!J1093)</f>
        <v/>
      </c>
      <c r="K1093" s="172">
        <f>IF('Оперативный ввод'!K1093="","",'Оперативный ввод'!K1093)</f>
        <v/>
      </c>
      <c r="L1093" s="172">
        <f>IF('Оперативный ввод'!L1093="","",'Оперативный ввод'!L1093)</f>
        <v/>
      </c>
      <c r="M1093" s="172">
        <f>IF('Оперативный ввод'!M1093="","",'Оперативный ввод'!M1093)</f>
        <v/>
      </c>
      <c r="N1093" s="172">
        <f>IF('Оперативный ввод'!N1093="","",'Оперативный ввод'!N1093)</f>
        <v/>
      </c>
      <c r="O1093" s="172">
        <f>IF('Оперативный ввод'!O1093="","",'Оперативный ввод'!O1093)</f>
        <v/>
      </c>
      <c r="P1093" s="205">
        <f>IF(AND(A1093="",B1093=""),"",IF(AND(A1093&lt;&gt;"",B1093&lt;&gt;"",C1093&lt;&gt;"",D1093&lt;&gt;"",F1093&lt;&gt;"",G1093&lt;&gt;"",H1093&lt;&gt;"",ISERROR(SEARCH("по паспорту",G1093)),ISERROR(SEARCH("по паспорту",H1093)),I1093&lt;&gt;"",J1093&lt;&gt;"",K1093&lt;&gt;"",L1093&lt;&gt;"",M1093&lt;&gt;""),"ГОТОВО","НЕ ГОТОВО"))</f>
        <v/>
      </c>
      <c r="Q1093" s="205">
        <f>IF(P1093&lt;&gt;"ГОТОВО","", "Предварительное заключение: "&amp;A1093&amp;", скв. "&amp;B1093&amp;". МРП: "&amp;E1093&amp;" сут. ГНО: "&amp;F1093&amp;", типоразмер "&amp;G1093&amp;", марка "&amp;H1093&amp;". Событие: "&amp;I1093&amp;". Признак: "&amp;J1093&amp;". Узел: "&amp;K1093&amp;". Предварительная причина: "&amp;L1093&amp;". Основное осложнение: "&amp;M1093&amp;IF(N1093&lt;&gt;"","; сопутствующее: "&amp;N1093,"")&amp;IF(O1093&lt;&gt;"","; дополнительно: "&amp;O1093,"")&amp;".")</f>
        <v/>
      </c>
      <c r="R1093" s="172">
        <f>IF('Оперативный ввод'!P1093="","",'Оперативный ввод'!P1093)</f>
        <v/>
      </c>
      <c r="S1093" s="172">
        <f>IF('Оперативный ввод'!Q1093="","",'Оперативный ввод'!Q1093)</f>
        <v/>
      </c>
      <c r="T1093" s="172">
        <f>IF('Оперативный ввод'!R1093="","",'Оперативный ввод'!R1093)</f>
        <v/>
      </c>
      <c r="U1093" s="172">
        <f>IF('Оперативный ввод'!S1093="","",'Оперативный ввод'!S1093)</f>
        <v/>
      </c>
      <c r="V1093" s="172">
        <f>IF('Оперативный ввод'!T1093="","",'Оперативный ввод'!T1093)</f>
        <v/>
      </c>
      <c r="W1093" s="172" t="n"/>
      <c r="X1093" s="172" t="n"/>
      <c r="Y1093" s="172" t="n"/>
      <c r="Z1093" s="172" t="n"/>
      <c r="AA1093" s="172">
        <f>IF('Оперативный ввод'!U1093="","",'Оперативный ввод'!U1093)</f>
        <v/>
      </c>
      <c r="AB1093" s="172">
        <f>IF('Оперативный ввод'!V1093="","",'Оперативный ввод'!V1093)</f>
        <v/>
      </c>
      <c r="AC1093" s="172">
        <f>IF('Оперативный ввод'!W1093="","",'Оперативный ввод'!W1093)</f>
        <v/>
      </c>
      <c r="BB1093" s="172" t="n"/>
      <c r="BC1093" s="172" t="n"/>
      <c r="BD1093" s="205">
        <f>IF(AND(A1093="",B1093=""),"",IF(AND(P1093="ГОТОВО",R1093&lt;&gt;"",T1093&lt;&gt;"",U1093&lt;&gt;"",AA1093&lt;&gt;"",AB1093&lt;&gt;"",AC1093&lt;&gt;"",BB1093&lt;&gt;"",BC1093&lt;&gt;""),"ГОТОВО","НЕ ГОТОВО"))</f>
        <v/>
      </c>
      <c r="BE1093" s="205">
        <f>IF(BD1093&lt;&gt;"ГОТОВО","","Полное заключение: "&amp;A1093&amp;", скв. "&amp;B1093&amp;". МРП: "&amp;E1093&amp;" сут. ГНО: "&amp;F1093&amp;"; причина: "&amp;U1093&amp;"; категория: "&amp;V1093&amp;"; решение комиссии: "&amp;BB1093&amp;".")</f>
        <v/>
      </c>
      <c r="BF1093" s="173">
        <f>IF('Оперативный ввод'!X1093="","",'Оперативный ввод'!X1093)</f>
        <v/>
      </c>
    </row>
    <row r="1094">
      <c r="A1094" s="171">
        <f>IF('Оперативный ввод'!A1094="","",'Оперативный ввод'!A1094)</f>
        <v/>
      </c>
      <c r="B1094" s="172">
        <f>IF('Оперативный ввод'!B1094="","",'Оперативный ввод'!B1094)</f>
        <v/>
      </c>
      <c r="C1094" s="270">
        <f>IF('Оперативный ввод'!C1094="","",'Оперативный ввод'!C1094)</f>
        <v/>
      </c>
      <c r="D1094" s="270">
        <f>IF('Оперативный ввод'!D1094="","",'Оперативный ввод'!D1094)</f>
        <v/>
      </c>
      <c r="E1094" s="271">
        <f>IF(OR(C1094="",D1094=""),"",D1094-C1094)</f>
        <v/>
      </c>
      <c r="F1094" s="172">
        <f>IF('Оперативный ввод'!F1094="","",'Оперативный ввод'!F1094)</f>
        <v/>
      </c>
      <c r="G1094" s="172">
        <f>IF('Оперативный ввод'!G1094="","",'Оперативный ввод'!G1094)</f>
        <v/>
      </c>
      <c r="H1094" s="172">
        <f>IF('Оперативный ввод'!H1094="","",'Оперативный ввод'!H1094)</f>
        <v/>
      </c>
      <c r="I1094" s="172">
        <f>IF('Оперативный ввод'!I1094="","",'Оперативный ввод'!I1094)</f>
        <v/>
      </c>
      <c r="J1094" s="172">
        <f>IF('Оперативный ввод'!J1094="","",'Оперативный ввод'!J1094)</f>
        <v/>
      </c>
      <c r="K1094" s="172">
        <f>IF('Оперативный ввод'!K1094="","",'Оперативный ввод'!K1094)</f>
        <v/>
      </c>
      <c r="L1094" s="172">
        <f>IF('Оперативный ввод'!L1094="","",'Оперативный ввод'!L1094)</f>
        <v/>
      </c>
      <c r="M1094" s="172">
        <f>IF('Оперативный ввод'!M1094="","",'Оперативный ввод'!M1094)</f>
        <v/>
      </c>
      <c r="N1094" s="172">
        <f>IF('Оперативный ввод'!N1094="","",'Оперативный ввод'!N1094)</f>
        <v/>
      </c>
      <c r="O1094" s="172">
        <f>IF('Оперативный ввод'!O1094="","",'Оперативный ввод'!O1094)</f>
        <v/>
      </c>
      <c r="P1094" s="205">
        <f>IF(AND(A1094="",B1094=""),"",IF(AND(A1094&lt;&gt;"",B1094&lt;&gt;"",C1094&lt;&gt;"",D1094&lt;&gt;"",F1094&lt;&gt;"",G1094&lt;&gt;"",H1094&lt;&gt;"",ISERROR(SEARCH("по паспорту",G1094)),ISERROR(SEARCH("по паспорту",H1094)),I1094&lt;&gt;"",J1094&lt;&gt;"",K1094&lt;&gt;"",L1094&lt;&gt;"",M1094&lt;&gt;""),"ГОТОВО","НЕ ГОТОВО"))</f>
        <v/>
      </c>
      <c r="Q1094" s="205">
        <f>IF(P1094&lt;&gt;"ГОТОВО","", "Предварительное заключение: "&amp;A1094&amp;", скв. "&amp;B1094&amp;". МРП: "&amp;E1094&amp;" сут. ГНО: "&amp;F1094&amp;", типоразмер "&amp;G1094&amp;", марка "&amp;H1094&amp;". Событие: "&amp;I1094&amp;". Признак: "&amp;J1094&amp;". Узел: "&amp;K1094&amp;". Предварительная причина: "&amp;L1094&amp;". Основное осложнение: "&amp;M1094&amp;IF(N1094&lt;&gt;"","; сопутствующее: "&amp;N1094,"")&amp;IF(O1094&lt;&gt;"","; дополнительно: "&amp;O1094,"")&amp;".")</f>
        <v/>
      </c>
      <c r="R1094" s="172">
        <f>IF('Оперативный ввод'!P1094="","",'Оперативный ввод'!P1094)</f>
        <v/>
      </c>
      <c r="S1094" s="172">
        <f>IF('Оперативный ввод'!Q1094="","",'Оперативный ввод'!Q1094)</f>
        <v/>
      </c>
      <c r="T1094" s="172">
        <f>IF('Оперативный ввод'!R1094="","",'Оперативный ввод'!R1094)</f>
        <v/>
      </c>
      <c r="U1094" s="172">
        <f>IF('Оперативный ввод'!S1094="","",'Оперативный ввод'!S1094)</f>
        <v/>
      </c>
      <c r="V1094" s="172">
        <f>IF('Оперативный ввод'!T1094="","",'Оперативный ввод'!T1094)</f>
        <v/>
      </c>
      <c r="W1094" s="172" t="n"/>
      <c r="X1094" s="172" t="n"/>
      <c r="Y1094" s="172" t="n"/>
      <c r="Z1094" s="172" t="n"/>
      <c r="AA1094" s="172">
        <f>IF('Оперативный ввод'!U1094="","",'Оперативный ввод'!U1094)</f>
        <v/>
      </c>
      <c r="AB1094" s="172">
        <f>IF('Оперативный ввод'!V1094="","",'Оперативный ввод'!V1094)</f>
        <v/>
      </c>
      <c r="AC1094" s="172">
        <f>IF('Оперативный ввод'!W1094="","",'Оперативный ввод'!W1094)</f>
        <v/>
      </c>
      <c r="BB1094" s="172" t="n"/>
      <c r="BC1094" s="172" t="n"/>
      <c r="BD1094" s="205">
        <f>IF(AND(A1094="",B1094=""),"",IF(AND(P1094="ГОТОВО",R1094&lt;&gt;"",T1094&lt;&gt;"",U1094&lt;&gt;"",AA1094&lt;&gt;"",AB1094&lt;&gt;"",AC1094&lt;&gt;"",BB1094&lt;&gt;"",BC1094&lt;&gt;""),"ГОТОВО","НЕ ГОТОВО"))</f>
        <v/>
      </c>
      <c r="BE1094" s="205">
        <f>IF(BD1094&lt;&gt;"ГОТОВО","","Полное заключение: "&amp;A1094&amp;", скв. "&amp;B1094&amp;". МРП: "&amp;E1094&amp;" сут. ГНО: "&amp;F1094&amp;"; причина: "&amp;U1094&amp;"; категория: "&amp;V1094&amp;"; решение комиссии: "&amp;BB1094&amp;".")</f>
        <v/>
      </c>
      <c r="BF1094" s="173">
        <f>IF('Оперативный ввод'!X1094="","",'Оперативный ввод'!X1094)</f>
        <v/>
      </c>
    </row>
    <row r="1095">
      <c r="A1095" s="171">
        <f>IF('Оперативный ввод'!A1095="","",'Оперативный ввод'!A1095)</f>
        <v/>
      </c>
      <c r="B1095" s="172">
        <f>IF('Оперативный ввод'!B1095="","",'Оперативный ввод'!B1095)</f>
        <v/>
      </c>
      <c r="C1095" s="270">
        <f>IF('Оперативный ввод'!C1095="","",'Оперативный ввод'!C1095)</f>
        <v/>
      </c>
      <c r="D1095" s="270">
        <f>IF('Оперативный ввод'!D1095="","",'Оперативный ввод'!D1095)</f>
        <v/>
      </c>
      <c r="E1095" s="271">
        <f>IF(OR(C1095="",D1095=""),"",D1095-C1095)</f>
        <v/>
      </c>
      <c r="F1095" s="172">
        <f>IF('Оперативный ввод'!F1095="","",'Оперативный ввод'!F1095)</f>
        <v/>
      </c>
      <c r="G1095" s="172">
        <f>IF('Оперативный ввод'!G1095="","",'Оперативный ввод'!G1095)</f>
        <v/>
      </c>
      <c r="H1095" s="172">
        <f>IF('Оперативный ввод'!H1095="","",'Оперативный ввод'!H1095)</f>
        <v/>
      </c>
      <c r="I1095" s="172">
        <f>IF('Оперативный ввод'!I1095="","",'Оперативный ввод'!I1095)</f>
        <v/>
      </c>
      <c r="J1095" s="172">
        <f>IF('Оперативный ввод'!J1095="","",'Оперативный ввод'!J1095)</f>
        <v/>
      </c>
      <c r="K1095" s="172">
        <f>IF('Оперативный ввод'!K1095="","",'Оперативный ввод'!K1095)</f>
        <v/>
      </c>
      <c r="L1095" s="172">
        <f>IF('Оперативный ввод'!L1095="","",'Оперативный ввод'!L1095)</f>
        <v/>
      </c>
      <c r="M1095" s="172">
        <f>IF('Оперативный ввод'!M1095="","",'Оперативный ввод'!M1095)</f>
        <v/>
      </c>
      <c r="N1095" s="172">
        <f>IF('Оперативный ввод'!N1095="","",'Оперативный ввод'!N1095)</f>
        <v/>
      </c>
      <c r="O1095" s="172">
        <f>IF('Оперативный ввод'!O1095="","",'Оперативный ввод'!O1095)</f>
        <v/>
      </c>
      <c r="P1095" s="205">
        <f>IF(AND(A1095="",B1095=""),"",IF(AND(A1095&lt;&gt;"",B1095&lt;&gt;"",C1095&lt;&gt;"",D1095&lt;&gt;"",F1095&lt;&gt;"",G1095&lt;&gt;"",H1095&lt;&gt;"",ISERROR(SEARCH("по паспорту",G1095)),ISERROR(SEARCH("по паспорту",H1095)),I1095&lt;&gt;"",J1095&lt;&gt;"",K1095&lt;&gt;"",L1095&lt;&gt;"",M1095&lt;&gt;""),"ГОТОВО","НЕ ГОТОВО"))</f>
        <v/>
      </c>
      <c r="Q1095" s="205">
        <f>IF(P1095&lt;&gt;"ГОТОВО","", "Предварительное заключение: "&amp;A1095&amp;", скв. "&amp;B1095&amp;". МРП: "&amp;E1095&amp;" сут. ГНО: "&amp;F1095&amp;", типоразмер "&amp;G1095&amp;", марка "&amp;H1095&amp;". Событие: "&amp;I1095&amp;". Признак: "&amp;J1095&amp;". Узел: "&amp;K1095&amp;". Предварительная причина: "&amp;L1095&amp;". Основное осложнение: "&amp;M1095&amp;IF(N1095&lt;&gt;"","; сопутствующее: "&amp;N1095,"")&amp;IF(O1095&lt;&gt;"","; дополнительно: "&amp;O1095,"")&amp;".")</f>
        <v/>
      </c>
      <c r="R1095" s="172">
        <f>IF('Оперативный ввод'!P1095="","",'Оперативный ввод'!P1095)</f>
        <v/>
      </c>
      <c r="S1095" s="172">
        <f>IF('Оперативный ввод'!Q1095="","",'Оперативный ввод'!Q1095)</f>
        <v/>
      </c>
      <c r="T1095" s="172">
        <f>IF('Оперативный ввод'!R1095="","",'Оперативный ввод'!R1095)</f>
        <v/>
      </c>
      <c r="U1095" s="172">
        <f>IF('Оперативный ввод'!S1095="","",'Оперативный ввод'!S1095)</f>
        <v/>
      </c>
      <c r="V1095" s="172">
        <f>IF('Оперативный ввод'!T1095="","",'Оперативный ввод'!T1095)</f>
        <v/>
      </c>
      <c r="W1095" s="172" t="n"/>
      <c r="X1095" s="172" t="n"/>
      <c r="Y1095" s="172" t="n"/>
      <c r="Z1095" s="172" t="n"/>
      <c r="AA1095" s="172">
        <f>IF('Оперативный ввод'!U1095="","",'Оперативный ввод'!U1095)</f>
        <v/>
      </c>
      <c r="AB1095" s="172">
        <f>IF('Оперативный ввод'!V1095="","",'Оперативный ввод'!V1095)</f>
        <v/>
      </c>
      <c r="AC1095" s="172">
        <f>IF('Оперативный ввод'!W1095="","",'Оперативный ввод'!W1095)</f>
        <v/>
      </c>
      <c r="BB1095" s="172" t="n"/>
      <c r="BC1095" s="172" t="n"/>
      <c r="BD1095" s="205">
        <f>IF(AND(A1095="",B1095=""),"",IF(AND(P1095="ГОТОВО",R1095&lt;&gt;"",T1095&lt;&gt;"",U1095&lt;&gt;"",AA1095&lt;&gt;"",AB1095&lt;&gt;"",AC1095&lt;&gt;"",BB1095&lt;&gt;"",BC1095&lt;&gt;""),"ГОТОВО","НЕ ГОТОВО"))</f>
        <v/>
      </c>
      <c r="BE1095" s="205">
        <f>IF(BD1095&lt;&gt;"ГОТОВО","","Полное заключение: "&amp;A1095&amp;", скв. "&amp;B1095&amp;". МРП: "&amp;E1095&amp;" сут. ГНО: "&amp;F1095&amp;"; причина: "&amp;U1095&amp;"; категория: "&amp;V1095&amp;"; решение комиссии: "&amp;BB1095&amp;".")</f>
        <v/>
      </c>
      <c r="BF1095" s="173">
        <f>IF('Оперативный ввод'!X1095="","",'Оперативный ввод'!X1095)</f>
        <v/>
      </c>
    </row>
    <row r="1096">
      <c r="A1096" s="171">
        <f>IF('Оперативный ввод'!A1096="","",'Оперативный ввод'!A1096)</f>
        <v/>
      </c>
      <c r="B1096" s="172">
        <f>IF('Оперативный ввод'!B1096="","",'Оперативный ввод'!B1096)</f>
        <v/>
      </c>
      <c r="C1096" s="270">
        <f>IF('Оперативный ввод'!C1096="","",'Оперативный ввод'!C1096)</f>
        <v/>
      </c>
      <c r="D1096" s="270">
        <f>IF('Оперативный ввод'!D1096="","",'Оперативный ввод'!D1096)</f>
        <v/>
      </c>
      <c r="E1096" s="271">
        <f>IF(OR(C1096="",D1096=""),"",D1096-C1096)</f>
        <v/>
      </c>
      <c r="F1096" s="172">
        <f>IF('Оперативный ввод'!F1096="","",'Оперативный ввод'!F1096)</f>
        <v/>
      </c>
      <c r="G1096" s="172">
        <f>IF('Оперативный ввод'!G1096="","",'Оперативный ввод'!G1096)</f>
        <v/>
      </c>
      <c r="H1096" s="172">
        <f>IF('Оперативный ввод'!H1096="","",'Оперативный ввод'!H1096)</f>
        <v/>
      </c>
      <c r="I1096" s="172">
        <f>IF('Оперативный ввод'!I1096="","",'Оперативный ввод'!I1096)</f>
        <v/>
      </c>
      <c r="J1096" s="172">
        <f>IF('Оперативный ввод'!J1096="","",'Оперативный ввод'!J1096)</f>
        <v/>
      </c>
      <c r="K1096" s="172">
        <f>IF('Оперативный ввод'!K1096="","",'Оперативный ввод'!K1096)</f>
        <v/>
      </c>
      <c r="L1096" s="172">
        <f>IF('Оперативный ввод'!L1096="","",'Оперативный ввод'!L1096)</f>
        <v/>
      </c>
      <c r="M1096" s="172">
        <f>IF('Оперативный ввод'!M1096="","",'Оперативный ввод'!M1096)</f>
        <v/>
      </c>
      <c r="N1096" s="172">
        <f>IF('Оперативный ввод'!N1096="","",'Оперативный ввод'!N1096)</f>
        <v/>
      </c>
      <c r="O1096" s="172">
        <f>IF('Оперативный ввод'!O1096="","",'Оперативный ввод'!O1096)</f>
        <v/>
      </c>
      <c r="P1096" s="205">
        <f>IF(AND(A1096="",B1096=""),"",IF(AND(A1096&lt;&gt;"",B1096&lt;&gt;"",C1096&lt;&gt;"",D1096&lt;&gt;"",F1096&lt;&gt;"",G1096&lt;&gt;"",H1096&lt;&gt;"",ISERROR(SEARCH("по паспорту",G1096)),ISERROR(SEARCH("по паспорту",H1096)),I1096&lt;&gt;"",J1096&lt;&gt;"",K1096&lt;&gt;"",L1096&lt;&gt;"",M1096&lt;&gt;""),"ГОТОВО","НЕ ГОТОВО"))</f>
        <v/>
      </c>
      <c r="Q1096" s="205">
        <f>IF(P1096&lt;&gt;"ГОТОВО","", "Предварительное заключение: "&amp;A1096&amp;", скв. "&amp;B1096&amp;". МРП: "&amp;E1096&amp;" сут. ГНО: "&amp;F1096&amp;", типоразмер "&amp;G1096&amp;", марка "&amp;H1096&amp;". Событие: "&amp;I1096&amp;". Признак: "&amp;J1096&amp;". Узел: "&amp;K1096&amp;". Предварительная причина: "&amp;L1096&amp;". Основное осложнение: "&amp;M1096&amp;IF(N1096&lt;&gt;"","; сопутствующее: "&amp;N1096,"")&amp;IF(O1096&lt;&gt;"","; дополнительно: "&amp;O1096,"")&amp;".")</f>
        <v/>
      </c>
      <c r="R1096" s="172">
        <f>IF('Оперативный ввод'!P1096="","",'Оперативный ввод'!P1096)</f>
        <v/>
      </c>
      <c r="S1096" s="172">
        <f>IF('Оперативный ввод'!Q1096="","",'Оперативный ввод'!Q1096)</f>
        <v/>
      </c>
      <c r="T1096" s="172">
        <f>IF('Оперативный ввод'!R1096="","",'Оперативный ввод'!R1096)</f>
        <v/>
      </c>
      <c r="U1096" s="172">
        <f>IF('Оперативный ввод'!S1096="","",'Оперативный ввод'!S1096)</f>
        <v/>
      </c>
      <c r="V1096" s="172">
        <f>IF('Оперативный ввод'!T1096="","",'Оперативный ввод'!T1096)</f>
        <v/>
      </c>
      <c r="W1096" s="172" t="n"/>
      <c r="X1096" s="172" t="n"/>
      <c r="Y1096" s="172" t="n"/>
      <c r="Z1096" s="172" t="n"/>
      <c r="AA1096" s="172">
        <f>IF('Оперативный ввод'!U1096="","",'Оперативный ввод'!U1096)</f>
        <v/>
      </c>
      <c r="AB1096" s="172">
        <f>IF('Оперативный ввод'!V1096="","",'Оперативный ввод'!V1096)</f>
        <v/>
      </c>
      <c r="AC1096" s="172">
        <f>IF('Оперативный ввод'!W1096="","",'Оперативный ввод'!W1096)</f>
        <v/>
      </c>
      <c r="BB1096" s="172" t="n"/>
      <c r="BC1096" s="172" t="n"/>
      <c r="BD1096" s="205">
        <f>IF(AND(A1096="",B1096=""),"",IF(AND(P1096="ГОТОВО",R1096&lt;&gt;"",T1096&lt;&gt;"",U1096&lt;&gt;"",AA1096&lt;&gt;"",AB1096&lt;&gt;"",AC1096&lt;&gt;"",BB1096&lt;&gt;"",BC1096&lt;&gt;""),"ГОТОВО","НЕ ГОТОВО"))</f>
        <v/>
      </c>
      <c r="BE1096" s="205">
        <f>IF(BD1096&lt;&gt;"ГОТОВО","","Полное заключение: "&amp;A1096&amp;", скв. "&amp;B1096&amp;". МРП: "&amp;E1096&amp;" сут. ГНО: "&amp;F1096&amp;"; причина: "&amp;U1096&amp;"; категория: "&amp;V1096&amp;"; решение комиссии: "&amp;BB1096&amp;".")</f>
        <v/>
      </c>
      <c r="BF1096" s="173">
        <f>IF('Оперативный ввод'!X1096="","",'Оперативный ввод'!X1096)</f>
        <v/>
      </c>
    </row>
    <row r="1097">
      <c r="A1097" s="171">
        <f>IF('Оперативный ввод'!A1097="","",'Оперативный ввод'!A1097)</f>
        <v/>
      </c>
      <c r="B1097" s="172">
        <f>IF('Оперативный ввод'!B1097="","",'Оперативный ввод'!B1097)</f>
        <v/>
      </c>
      <c r="C1097" s="270">
        <f>IF('Оперативный ввод'!C1097="","",'Оперативный ввод'!C1097)</f>
        <v/>
      </c>
      <c r="D1097" s="270">
        <f>IF('Оперативный ввод'!D1097="","",'Оперативный ввод'!D1097)</f>
        <v/>
      </c>
      <c r="E1097" s="271">
        <f>IF(OR(C1097="",D1097=""),"",D1097-C1097)</f>
        <v/>
      </c>
      <c r="F1097" s="172">
        <f>IF('Оперативный ввод'!F1097="","",'Оперативный ввод'!F1097)</f>
        <v/>
      </c>
      <c r="G1097" s="172">
        <f>IF('Оперативный ввод'!G1097="","",'Оперативный ввод'!G1097)</f>
        <v/>
      </c>
      <c r="H1097" s="172">
        <f>IF('Оперативный ввод'!H1097="","",'Оперативный ввод'!H1097)</f>
        <v/>
      </c>
      <c r="I1097" s="172">
        <f>IF('Оперативный ввод'!I1097="","",'Оперативный ввод'!I1097)</f>
        <v/>
      </c>
      <c r="J1097" s="172">
        <f>IF('Оперативный ввод'!J1097="","",'Оперативный ввод'!J1097)</f>
        <v/>
      </c>
      <c r="K1097" s="172">
        <f>IF('Оперативный ввод'!K1097="","",'Оперативный ввод'!K1097)</f>
        <v/>
      </c>
      <c r="L1097" s="172">
        <f>IF('Оперативный ввод'!L1097="","",'Оперативный ввод'!L1097)</f>
        <v/>
      </c>
      <c r="M1097" s="172">
        <f>IF('Оперативный ввод'!M1097="","",'Оперативный ввод'!M1097)</f>
        <v/>
      </c>
      <c r="N1097" s="172">
        <f>IF('Оперативный ввод'!N1097="","",'Оперативный ввод'!N1097)</f>
        <v/>
      </c>
      <c r="O1097" s="172">
        <f>IF('Оперативный ввод'!O1097="","",'Оперативный ввод'!O1097)</f>
        <v/>
      </c>
      <c r="P1097" s="205">
        <f>IF(AND(A1097="",B1097=""),"",IF(AND(A1097&lt;&gt;"",B1097&lt;&gt;"",C1097&lt;&gt;"",D1097&lt;&gt;"",F1097&lt;&gt;"",G1097&lt;&gt;"",H1097&lt;&gt;"",ISERROR(SEARCH("по паспорту",G1097)),ISERROR(SEARCH("по паспорту",H1097)),I1097&lt;&gt;"",J1097&lt;&gt;"",K1097&lt;&gt;"",L1097&lt;&gt;"",M1097&lt;&gt;""),"ГОТОВО","НЕ ГОТОВО"))</f>
        <v/>
      </c>
      <c r="Q1097" s="205">
        <f>IF(P1097&lt;&gt;"ГОТОВО","", "Предварительное заключение: "&amp;A1097&amp;", скв. "&amp;B1097&amp;". МРП: "&amp;E1097&amp;" сут. ГНО: "&amp;F1097&amp;", типоразмер "&amp;G1097&amp;", марка "&amp;H1097&amp;". Событие: "&amp;I1097&amp;". Признак: "&amp;J1097&amp;". Узел: "&amp;K1097&amp;". Предварительная причина: "&amp;L1097&amp;". Основное осложнение: "&amp;M1097&amp;IF(N1097&lt;&gt;"","; сопутствующее: "&amp;N1097,"")&amp;IF(O1097&lt;&gt;"","; дополнительно: "&amp;O1097,"")&amp;".")</f>
        <v/>
      </c>
      <c r="R1097" s="172">
        <f>IF('Оперативный ввод'!P1097="","",'Оперативный ввод'!P1097)</f>
        <v/>
      </c>
      <c r="S1097" s="172">
        <f>IF('Оперативный ввод'!Q1097="","",'Оперативный ввод'!Q1097)</f>
        <v/>
      </c>
      <c r="T1097" s="172">
        <f>IF('Оперативный ввод'!R1097="","",'Оперативный ввод'!R1097)</f>
        <v/>
      </c>
      <c r="U1097" s="172">
        <f>IF('Оперативный ввод'!S1097="","",'Оперативный ввод'!S1097)</f>
        <v/>
      </c>
      <c r="V1097" s="172">
        <f>IF('Оперативный ввод'!T1097="","",'Оперативный ввод'!T1097)</f>
        <v/>
      </c>
      <c r="W1097" s="172" t="n"/>
      <c r="X1097" s="172" t="n"/>
      <c r="Y1097" s="172" t="n"/>
      <c r="Z1097" s="172" t="n"/>
      <c r="AA1097" s="172">
        <f>IF('Оперативный ввод'!U1097="","",'Оперативный ввод'!U1097)</f>
        <v/>
      </c>
      <c r="AB1097" s="172">
        <f>IF('Оперативный ввод'!V1097="","",'Оперативный ввод'!V1097)</f>
        <v/>
      </c>
      <c r="AC1097" s="172">
        <f>IF('Оперативный ввод'!W1097="","",'Оперативный ввод'!W1097)</f>
        <v/>
      </c>
      <c r="BB1097" s="172" t="n"/>
      <c r="BC1097" s="172" t="n"/>
      <c r="BD1097" s="205">
        <f>IF(AND(A1097="",B1097=""),"",IF(AND(P1097="ГОТОВО",R1097&lt;&gt;"",T1097&lt;&gt;"",U1097&lt;&gt;"",AA1097&lt;&gt;"",AB1097&lt;&gt;"",AC1097&lt;&gt;"",BB1097&lt;&gt;"",BC1097&lt;&gt;""),"ГОТОВО","НЕ ГОТОВО"))</f>
        <v/>
      </c>
      <c r="BE1097" s="205">
        <f>IF(BD1097&lt;&gt;"ГОТОВО","","Полное заключение: "&amp;A1097&amp;", скв. "&amp;B1097&amp;". МРП: "&amp;E1097&amp;" сут. ГНО: "&amp;F1097&amp;"; причина: "&amp;U1097&amp;"; категория: "&amp;V1097&amp;"; решение комиссии: "&amp;BB1097&amp;".")</f>
        <v/>
      </c>
      <c r="BF1097" s="173">
        <f>IF('Оперативный ввод'!X1097="","",'Оперативный ввод'!X1097)</f>
        <v/>
      </c>
    </row>
    <row r="1098">
      <c r="A1098" s="171">
        <f>IF('Оперативный ввод'!A1098="","",'Оперативный ввод'!A1098)</f>
        <v/>
      </c>
      <c r="B1098" s="172">
        <f>IF('Оперативный ввод'!B1098="","",'Оперативный ввод'!B1098)</f>
        <v/>
      </c>
      <c r="C1098" s="270">
        <f>IF('Оперативный ввод'!C1098="","",'Оперативный ввод'!C1098)</f>
        <v/>
      </c>
      <c r="D1098" s="270">
        <f>IF('Оперативный ввод'!D1098="","",'Оперативный ввод'!D1098)</f>
        <v/>
      </c>
      <c r="E1098" s="271">
        <f>IF(OR(C1098="",D1098=""),"",D1098-C1098)</f>
        <v/>
      </c>
      <c r="F1098" s="172">
        <f>IF('Оперативный ввод'!F1098="","",'Оперативный ввод'!F1098)</f>
        <v/>
      </c>
      <c r="G1098" s="172">
        <f>IF('Оперативный ввод'!G1098="","",'Оперативный ввод'!G1098)</f>
        <v/>
      </c>
      <c r="H1098" s="172">
        <f>IF('Оперативный ввод'!H1098="","",'Оперативный ввод'!H1098)</f>
        <v/>
      </c>
      <c r="I1098" s="172">
        <f>IF('Оперативный ввод'!I1098="","",'Оперативный ввод'!I1098)</f>
        <v/>
      </c>
      <c r="J1098" s="172">
        <f>IF('Оперативный ввод'!J1098="","",'Оперативный ввод'!J1098)</f>
        <v/>
      </c>
      <c r="K1098" s="172">
        <f>IF('Оперативный ввод'!K1098="","",'Оперативный ввод'!K1098)</f>
        <v/>
      </c>
      <c r="L1098" s="172">
        <f>IF('Оперативный ввод'!L1098="","",'Оперативный ввод'!L1098)</f>
        <v/>
      </c>
      <c r="M1098" s="172">
        <f>IF('Оперативный ввод'!M1098="","",'Оперативный ввод'!M1098)</f>
        <v/>
      </c>
      <c r="N1098" s="172">
        <f>IF('Оперативный ввод'!N1098="","",'Оперативный ввод'!N1098)</f>
        <v/>
      </c>
      <c r="O1098" s="172">
        <f>IF('Оперативный ввод'!O1098="","",'Оперативный ввод'!O1098)</f>
        <v/>
      </c>
      <c r="P1098" s="205">
        <f>IF(AND(A1098="",B1098=""),"",IF(AND(A1098&lt;&gt;"",B1098&lt;&gt;"",C1098&lt;&gt;"",D1098&lt;&gt;"",F1098&lt;&gt;"",G1098&lt;&gt;"",H1098&lt;&gt;"",ISERROR(SEARCH("по паспорту",G1098)),ISERROR(SEARCH("по паспорту",H1098)),I1098&lt;&gt;"",J1098&lt;&gt;"",K1098&lt;&gt;"",L1098&lt;&gt;"",M1098&lt;&gt;""),"ГОТОВО","НЕ ГОТОВО"))</f>
        <v/>
      </c>
      <c r="Q1098" s="205">
        <f>IF(P1098&lt;&gt;"ГОТОВО","", "Предварительное заключение: "&amp;A1098&amp;", скв. "&amp;B1098&amp;". МРП: "&amp;E1098&amp;" сут. ГНО: "&amp;F1098&amp;", типоразмер "&amp;G1098&amp;", марка "&amp;H1098&amp;". Событие: "&amp;I1098&amp;". Признак: "&amp;J1098&amp;". Узел: "&amp;K1098&amp;". Предварительная причина: "&amp;L1098&amp;". Основное осложнение: "&amp;M1098&amp;IF(N1098&lt;&gt;"","; сопутствующее: "&amp;N1098,"")&amp;IF(O1098&lt;&gt;"","; дополнительно: "&amp;O1098,"")&amp;".")</f>
        <v/>
      </c>
      <c r="R1098" s="172">
        <f>IF('Оперативный ввод'!P1098="","",'Оперативный ввод'!P1098)</f>
        <v/>
      </c>
      <c r="S1098" s="172">
        <f>IF('Оперативный ввод'!Q1098="","",'Оперативный ввод'!Q1098)</f>
        <v/>
      </c>
      <c r="T1098" s="172">
        <f>IF('Оперативный ввод'!R1098="","",'Оперативный ввод'!R1098)</f>
        <v/>
      </c>
      <c r="U1098" s="172">
        <f>IF('Оперативный ввод'!S1098="","",'Оперативный ввод'!S1098)</f>
        <v/>
      </c>
      <c r="V1098" s="172">
        <f>IF('Оперативный ввод'!T1098="","",'Оперативный ввод'!T1098)</f>
        <v/>
      </c>
      <c r="W1098" s="172" t="n"/>
      <c r="X1098" s="172" t="n"/>
      <c r="Y1098" s="172" t="n"/>
      <c r="Z1098" s="172" t="n"/>
      <c r="AA1098" s="172">
        <f>IF('Оперативный ввод'!U1098="","",'Оперативный ввод'!U1098)</f>
        <v/>
      </c>
      <c r="AB1098" s="172">
        <f>IF('Оперативный ввод'!V1098="","",'Оперативный ввод'!V1098)</f>
        <v/>
      </c>
      <c r="AC1098" s="172">
        <f>IF('Оперативный ввод'!W1098="","",'Оперативный ввод'!W1098)</f>
        <v/>
      </c>
      <c r="BB1098" s="172" t="n"/>
      <c r="BC1098" s="172" t="n"/>
      <c r="BD1098" s="205">
        <f>IF(AND(A1098="",B1098=""),"",IF(AND(P1098="ГОТОВО",R1098&lt;&gt;"",T1098&lt;&gt;"",U1098&lt;&gt;"",AA1098&lt;&gt;"",AB1098&lt;&gt;"",AC1098&lt;&gt;"",BB1098&lt;&gt;"",BC1098&lt;&gt;""),"ГОТОВО","НЕ ГОТОВО"))</f>
        <v/>
      </c>
      <c r="BE1098" s="205">
        <f>IF(BD1098&lt;&gt;"ГОТОВО","","Полное заключение: "&amp;A1098&amp;", скв. "&amp;B1098&amp;". МРП: "&amp;E1098&amp;" сут. ГНО: "&amp;F1098&amp;"; причина: "&amp;U1098&amp;"; категория: "&amp;V1098&amp;"; решение комиссии: "&amp;BB1098&amp;".")</f>
        <v/>
      </c>
      <c r="BF1098" s="173">
        <f>IF('Оперативный ввод'!X1098="","",'Оперативный ввод'!X1098)</f>
        <v/>
      </c>
    </row>
    <row r="1099">
      <c r="A1099" s="171">
        <f>IF('Оперативный ввод'!A1099="","",'Оперативный ввод'!A1099)</f>
        <v/>
      </c>
      <c r="B1099" s="172">
        <f>IF('Оперативный ввод'!B1099="","",'Оперативный ввод'!B1099)</f>
        <v/>
      </c>
      <c r="C1099" s="270">
        <f>IF('Оперативный ввод'!C1099="","",'Оперативный ввод'!C1099)</f>
        <v/>
      </c>
      <c r="D1099" s="270">
        <f>IF('Оперативный ввод'!D1099="","",'Оперативный ввод'!D1099)</f>
        <v/>
      </c>
      <c r="E1099" s="271">
        <f>IF(OR(C1099="",D1099=""),"",D1099-C1099)</f>
        <v/>
      </c>
      <c r="F1099" s="172">
        <f>IF('Оперативный ввод'!F1099="","",'Оперативный ввод'!F1099)</f>
        <v/>
      </c>
      <c r="G1099" s="172">
        <f>IF('Оперативный ввод'!G1099="","",'Оперативный ввод'!G1099)</f>
        <v/>
      </c>
      <c r="H1099" s="172">
        <f>IF('Оперативный ввод'!H1099="","",'Оперативный ввод'!H1099)</f>
        <v/>
      </c>
      <c r="I1099" s="172">
        <f>IF('Оперативный ввод'!I1099="","",'Оперативный ввод'!I1099)</f>
        <v/>
      </c>
      <c r="J1099" s="172">
        <f>IF('Оперативный ввод'!J1099="","",'Оперативный ввод'!J1099)</f>
        <v/>
      </c>
      <c r="K1099" s="172">
        <f>IF('Оперативный ввод'!K1099="","",'Оперативный ввод'!K1099)</f>
        <v/>
      </c>
      <c r="L1099" s="172">
        <f>IF('Оперативный ввод'!L1099="","",'Оперативный ввод'!L1099)</f>
        <v/>
      </c>
      <c r="M1099" s="172">
        <f>IF('Оперативный ввод'!M1099="","",'Оперативный ввод'!M1099)</f>
        <v/>
      </c>
      <c r="N1099" s="172">
        <f>IF('Оперативный ввод'!N1099="","",'Оперативный ввод'!N1099)</f>
        <v/>
      </c>
      <c r="O1099" s="172">
        <f>IF('Оперативный ввод'!O1099="","",'Оперативный ввод'!O1099)</f>
        <v/>
      </c>
      <c r="P1099" s="205">
        <f>IF(AND(A1099="",B1099=""),"",IF(AND(A1099&lt;&gt;"",B1099&lt;&gt;"",C1099&lt;&gt;"",D1099&lt;&gt;"",F1099&lt;&gt;"",G1099&lt;&gt;"",H1099&lt;&gt;"",ISERROR(SEARCH("по паспорту",G1099)),ISERROR(SEARCH("по паспорту",H1099)),I1099&lt;&gt;"",J1099&lt;&gt;"",K1099&lt;&gt;"",L1099&lt;&gt;"",M1099&lt;&gt;""),"ГОТОВО","НЕ ГОТОВО"))</f>
        <v/>
      </c>
      <c r="Q1099" s="205">
        <f>IF(P1099&lt;&gt;"ГОТОВО","", "Предварительное заключение: "&amp;A1099&amp;", скв. "&amp;B1099&amp;". МРП: "&amp;E1099&amp;" сут. ГНО: "&amp;F1099&amp;", типоразмер "&amp;G1099&amp;", марка "&amp;H1099&amp;". Событие: "&amp;I1099&amp;". Признак: "&amp;J1099&amp;". Узел: "&amp;K1099&amp;". Предварительная причина: "&amp;L1099&amp;". Основное осложнение: "&amp;M1099&amp;IF(N1099&lt;&gt;"","; сопутствующее: "&amp;N1099,"")&amp;IF(O1099&lt;&gt;"","; дополнительно: "&amp;O1099,"")&amp;".")</f>
        <v/>
      </c>
      <c r="R1099" s="172">
        <f>IF('Оперативный ввод'!P1099="","",'Оперативный ввод'!P1099)</f>
        <v/>
      </c>
      <c r="S1099" s="172">
        <f>IF('Оперативный ввод'!Q1099="","",'Оперативный ввод'!Q1099)</f>
        <v/>
      </c>
      <c r="T1099" s="172">
        <f>IF('Оперативный ввод'!R1099="","",'Оперативный ввод'!R1099)</f>
        <v/>
      </c>
      <c r="U1099" s="172">
        <f>IF('Оперативный ввод'!S1099="","",'Оперативный ввод'!S1099)</f>
        <v/>
      </c>
      <c r="V1099" s="172">
        <f>IF('Оперативный ввод'!T1099="","",'Оперативный ввод'!T1099)</f>
        <v/>
      </c>
      <c r="W1099" s="172" t="n"/>
      <c r="X1099" s="172" t="n"/>
      <c r="Y1099" s="172" t="n"/>
      <c r="Z1099" s="172" t="n"/>
      <c r="AA1099" s="172">
        <f>IF('Оперативный ввод'!U1099="","",'Оперативный ввод'!U1099)</f>
        <v/>
      </c>
      <c r="AB1099" s="172">
        <f>IF('Оперативный ввод'!V1099="","",'Оперативный ввод'!V1099)</f>
        <v/>
      </c>
      <c r="AC1099" s="172">
        <f>IF('Оперативный ввод'!W1099="","",'Оперативный ввод'!W1099)</f>
        <v/>
      </c>
      <c r="BB1099" s="172" t="n"/>
      <c r="BC1099" s="172" t="n"/>
      <c r="BD1099" s="205">
        <f>IF(AND(A1099="",B1099=""),"",IF(AND(P1099="ГОТОВО",R1099&lt;&gt;"",T1099&lt;&gt;"",U1099&lt;&gt;"",AA1099&lt;&gt;"",AB1099&lt;&gt;"",AC1099&lt;&gt;"",BB1099&lt;&gt;"",BC1099&lt;&gt;""),"ГОТОВО","НЕ ГОТОВО"))</f>
        <v/>
      </c>
      <c r="BE1099" s="205">
        <f>IF(BD1099&lt;&gt;"ГОТОВО","","Полное заключение: "&amp;A1099&amp;", скв. "&amp;B1099&amp;". МРП: "&amp;E1099&amp;" сут. ГНО: "&amp;F1099&amp;"; причина: "&amp;U1099&amp;"; категория: "&amp;V1099&amp;"; решение комиссии: "&amp;BB1099&amp;".")</f>
        <v/>
      </c>
      <c r="BF1099" s="173">
        <f>IF('Оперативный ввод'!X1099="","",'Оперативный ввод'!X1099)</f>
        <v/>
      </c>
    </row>
    <row r="1100">
      <c r="A1100" s="171">
        <f>IF('Оперативный ввод'!A1100="","",'Оперативный ввод'!A1100)</f>
        <v/>
      </c>
      <c r="B1100" s="172">
        <f>IF('Оперативный ввод'!B1100="","",'Оперативный ввод'!B1100)</f>
        <v/>
      </c>
      <c r="C1100" s="270">
        <f>IF('Оперативный ввод'!C1100="","",'Оперативный ввод'!C1100)</f>
        <v/>
      </c>
      <c r="D1100" s="270">
        <f>IF('Оперативный ввод'!D1100="","",'Оперативный ввод'!D1100)</f>
        <v/>
      </c>
      <c r="E1100" s="271">
        <f>IF(OR(C1100="",D1100=""),"",D1100-C1100)</f>
        <v/>
      </c>
      <c r="F1100" s="172">
        <f>IF('Оперативный ввод'!F1100="","",'Оперативный ввод'!F1100)</f>
        <v/>
      </c>
      <c r="G1100" s="172">
        <f>IF('Оперативный ввод'!G1100="","",'Оперативный ввод'!G1100)</f>
        <v/>
      </c>
      <c r="H1100" s="172">
        <f>IF('Оперативный ввод'!H1100="","",'Оперативный ввод'!H1100)</f>
        <v/>
      </c>
      <c r="I1100" s="172">
        <f>IF('Оперативный ввод'!I1100="","",'Оперативный ввод'!I1100)</f>
        <v/>
      </c>
      <c r="J1100" s="172">
        <f>IF('Оперативный ввод'!J1100="","",'Оперативный ввод'!J1100)</f>
        <v/>
      </c>
      <c r="K1100" s="172">
        <f>IF('Оперативный ввод'!K1100="","",'Оперативный ввод'!K1100)</f>
        <v/>
      </c>
      <c r="L1100" s="172">
        <f>IF('Оперативный ввод'!L1100="","",'Оперативный ввод'!L1100)</f>
        <v/>
      </c>
      <c r="M1100" s="172">
        <f>IF('Оперативный ввод'!M1100="","",'Оперативный ввод'!M1100)</f>
        <v/>
      </c>
      <c r="N1100" s="172">
        <f>IF('Оперативный ввод'!N1100="","",'Оперативный ввод'!N1100)</f>
        <v/>
      </c>
      <c r="O1100" s="172">
        <f>IF('Оперативный ввод'!O1100="","",'Оперативный ввод'!O1100)</f>
        <v/>
      </c>
      <c r="P1100" s="205">
        <f>IF(AND(A1100="",B1100=""),"",IF(AND(A1100&lt;&gt;"",B1100&lt;&gt;"",C1100&lt;&gt;"",D1100&lt;&gt;"",F1100&lt;&gt;"",G1100&lt;&gt;"",H1100&lt;&gt;"",ISERROR(SEARCH("по паспорту",G1100)),ISERROR(SEARCH("по паспорту",H1100)),I1100&lt;&gt;"",J1100&lt;&gt;"",K1100&lt;&gt;"",L1100&lt;&gt;"",M1100&lt;&gt;""),"ГОТОВО","НЕ ГОТОВО"))</f>
        <v/>
      </c>
      <c r="Q1100" s="205">
        <f>IF(P1100&lt;&gt;"ГОТОВО","", "Предварительное заключение: "&amp;A1100&amp;", скв. "&amp;B1100&amp;". МРП: "&amp;E1100&amp;" сут. ГНО: "&amp;F1100&amp;", типоразмер "&amp;G1100&amp;", марка "&amp;H1100&amp;". Событие: "&amp;I1100&amp;". Признак: "&amp;J1100&amp;". Узел: "&amp;K1100&amp;". Предварительная причина: "&amp;L1100&amp;". Основное осложнение: "&amp;M1100&amp;IF(N1100&lt;&gt;"","; сопутствующее: "&amp;N1100,"")&amp;IF(O1100&lt;&gt;"","; дополнительно: "&amp;O1100,"")&amp;".")</f>
        <v/>
      </c>
      <c r="R1100" s="172">
        <f>IF('Оперативный ввод'!P1100="","",'Оперативный ввод'!P1100)</f>
        <v/>
      </c>
      <c r="S1100" s="172">
        <f>IF('Оперативный ввод'!Q1100="","",'Оперативный ввод'!Q1100)</f>
        <v/>
      </c>
      <c r="T1100" s="172">
        <f>IF('Оперативный ввод'!R1100="","",'Оперативный ввод'!R1100)</f>
        <v/>
      </c>
      <c r="U1100" s="172">
        <f>IF('Оперативный ввод'!S1100="","",'Оперативный ввод'!S1100)</f>
        <v/>
      </c>
      <c r="V1100" s="172">
        <f>IF('Оперативный ввод'!T1100="","",'Оперативный ввод'!T1100)</f>
        <v/>
      </c>
      <c r="W1100" s="172" t="n"/>
      <c r="X1100" s="172" t="n"/>
      <c r="Y1100" s="172" t="n"/>
      <c r="Z1100" s="172" t="n"/>
      <c r="AA1100" s="172">
        <f>IF('Оперативный ввод'!U1100="","",'Оперативный ввод'!U1100)</f>
        <v/>
      </c>
      <c r="AB1100" s="172">
        <f>IF('Оперативный ввод'!V1100="","",'Оперативный ввод'!V1100)</f>
        <v/>
      </c>
      <c r="AC1100" s="172">
        <f>IF('Оперативный ввод'!W1100="","",'Оперативный ввод'!W1100)</f>
        <v/>
      </c>
      <c r="BB1100" s="172" t="n"/>
      <c r="BC1100" s="172" t="n"/>
      <c r="BD1100" s="205">
        <f>IF(AND(A1100="",B1100=""),"",IF(AND(P1100="ГОТОВО",R1100&lt;&gt;"",T1100&lt;&gt;"",U1100&lt;&gt;"",AA1100&lt;&gt;"",AB1100&lt;&gt;"",AC1100&lt;&gt;"",BB1100&lt;&gt;"",BC1100&lt;&gt;""),"ГОТОВО","НЕ ГОТОВО"))</f>
        <v/>
      </c>
      <c r="BE1100" s="205">
        <f>IF(BD1100&lt;&gt;"ГОТОВО","","Полное заключение: "&amp;A1100&amp;", скв. "&amp;B1100&amp;". МРП: "&amp;E1100&amp;" сут. ГНО: "&amp;F1100&amp;"; причина: "&amp;U1100&amp;"; категория: "&amp;V1100&amp;"; решение комиссии: "&amp;BB1100&amp;".")</f>
        <v/>
      </c>
      <c r="BF1100" s="173">
        <f>IF('Оперативный ввод'!X1100="","",'Оперативный ввод'!X1100)</f>
        <v/>
      </c>
    </row>
    <row r="1101">
      <c r="A1101" s="171">
        <f>IF('Оперативный ввод'!A1101="","",'Оперативный ввод'!A1101)</f>
        <v/>
      </c>
      <c r="B1101" s="172">
        <f>IF('Оперативный ввод'!B1101="","",'Оперативный ввод'!B1101)</f>
        <v/>
      </c>
      <c r="C1101" s="270">
        <f>IF('Оперативный ввод'!C1101="","",'Оперативный ввод'!C1101)</f>
        <v/>
      </c>
      <c r="D1101" s="270">
        <f>IF('Оперативный ввод'!D1101="","",'Оперативный ввод'!D1101)</f>
        <v/>
      </c>
      <c r="E1101" s="271">
        <f>IF(OR(C1101="",D1101=""),"",D1101-C1101)</f>
        <v/>
      </c>
      <c r="F1101" s="172">
        <f>IF('Оперативный ввод'!F1101="","",'Оперативный ввод'!F1101)</f>
        <v/>
      </c>
      <c r="G1101" s="172">
        <f>IF('Оперативный ввод'!G1101="","",'Оперативный ввод'!G1101)</f>
        <v/>
      </c>
      <c r="H1101" s="172">
        <f>IF('Оперативный ввод'!H1101="","",'Оперативный ввод'!H1101)</f>
        <v/>
      </c>
      <c r="I1101" s="172">
        <f>IF('Оперативный ввод'!I1101="","",'Оперативный ввод'!I1101)</f>
        <v/>
      </c>
      <c r="J1101" s="172">
        <f>IF('Оперативный ввод'!J1101="","",'Оперативный ввод'!J1101)</f>
        <v/>
      </c>
      <c r="K1101" s="172">
        <f>IF('Оперативный ввод'!K1101="","",'Оперативный ввод'!K1101)</f>
        <v/>
      </c>
      <c r="L1101" s="172">
        <f>IF('Оперативный ввод'!L1101="","",'Оперативный ввод'!L1101)</f>
        <v/>
      </c>
      <c r="M1101" s="172">
        <f>IF('Оперативный ввод'!M1101="","",'Оперативный ввод'!M1101)</f>
        <v/>
      </c>
      <c r="N1101" s="172">
        <f>IF('Оперативный ввод'!N1101="","",'Оперативный ввод'!N1101)</f>
        <v/>
      </c>
      <c r="O1101" s="172">
        <f>IF('Оперативный ввод'!O1101="","",'Оперативный ввод'!O1101)</f>
        <v/>
      </c>
      <c r="P1101" s="205">
        <f>IF(AND(A1101="",B1101=""),"",IF(AND(A1101&lt;&gt;"",B1101&lt;&gt;"",C1101&lt;&gt;"",D1101&lt;&gt;"",F1101&lt;&gt;"",G1101&lt;&gt;"",H1101&lt;&gt;"",ISERROR(SEARCH("по паспорту",G1101)),ISERROR(SEARCH("по паспорту",H1101)),I1101&lt;&gt;"",J1101&lt;&gt;"",K1101&lt;&gt;"",L1101&lt;&gt;"",M1101&lt;&gt;""),"ГОТОВО","НЕ ГОТОВО"))</f>
        <v/>
      </c>
      <c r="Q1101" s="205">
        <f>IF(P1101&lt;&gt;"ГОТОВО","", "Предварительное заключение: "&amp;A1101&amp;", скв. "&amp;B1101&amp;". МРП: "&amp;E1101&amp;" сут. ГНО: "&amp;F1101&amp;", типоразмер "&amp;G1101&amp;", марка "&amp;H1101&amp;". Событие: "&amp;I1101&amp;". Признак: "&amp;J1101&amp;". Узел: "&amp;K1101&amp;". Предварительная причина: "&amp;L1101&amp;". Основное осложнение: "&amp;M1101&amp;IF(N1101&lt;&gt;"","; сопутствующее: "&amp;N1101,"")&amp;IF(O1101&lt;&gt;"","; дополнительно: "&amp;O1101,"")&amp;".")</f>
        <v/>
      </c>
      <c r="R1101" s="172">
        <f>IF('Оперативный ввод'!P1101="","",'Оперативный ввод'!P1101)</f>
        <v/>
      </c>
      <c r="S1101" s="172">
        <f>IF('Оперативный ввод'!Q1101="","",'Оперативный ввод'!Q1101)</f>
        <v/>
      </c>
      <c r="T1101" s="172">
        <f>IF('Оперативный ввод'!R1101="","",'Оперативный ввод'!R1101)</f>
        <v/>
      </c>
      <c r="U1101" s="172">
        <f>IF('Оперативный ввод'!S1101="","",'Оперативный ввод'!S1101)</f>
        <v/>
      </c>
      <c r="V1101" s="172">
        <f>IF('Оперативный ввод'!T1101="","",'Оперативный ввод'!T1101)</f>
        <v/>
      </c>
      <c r="W1101" s="172" t="n"/>
      <c r="X1101" s="172" t="n"/>
      <c r="Y1101" s="172" t="n"/>
      <c r="Z1101" s="172" t="n"/>
      <c r="AA1101" s="172">
        <f>IF('Оперативный ввод'!U1101="","",'Оперативный ввод'!U1101)</f>
        <v/>
      </c>
      <c r="AB1101" s="172">
        <f>IF('Оперативный ввод'!V1101="","",'Оперативный ввод'!V1101)</f>
        <v/>
      </c>
      <c r="AC1101" s="172">
        <f>IF('Оперативный ввод'!W1101="","",'Оперативный ввод'!W1101)</f>
        <v/>
      </c>
      <c r="BB1101" s="172" t="n"/>
      <c r="BC1101" s="172" t="n"/>
      <c r="BD1101" s="205">
        <f>IF(AND(A1101="",B1101=""),"",IF(AND(P1101="ГОТОВО",R1101&lt;&gt;"",T1101&lt;&gt;"",U1101&lt;&gt;"",AA1101&lt;&gt;"",AB1101&lt;&gt;"",AC1101&lt;&gt;"",BB1101&lt;&gt;"",BC1101&lt;&gt;""),"ГОТОВО","НЕ ГОТОВО"))</f>
        <v/>
      </c>
      <c r="BE1101" s="205">
        <f>IF(BD1101&lt;&gt;"ГОТОВО","","Полное заключение: "&amp;A1101&amp;", скв. "&amp;B1101&amp;". МРП: "&amp;E1101&amp;" сут. ГНО: "&amp;F1101&amp;"; причина: "&amp;U1101&amp;"; категория: "&amp;V1101&amp;"; решение комиссии: "&amp;BB1101&amp;".")</f>
        <v/>
      </c>
      <c r="BF1101" s="173">
        <f>IF('Оперативный ввод'!X1101="","",'Оперативный ввод'!X1101)</f>
        <v/>
      </c>
    </row>
    <row r="1102">
      <c r="A1102" s="171">
        <f>IF('Оперативный ввод'!A1102="","",'Оперативный ввод'!A1102)</f>
        <v/>
      </c>
      <c r="B1102" s="172">
        <f>IF('Оперативный ввод'!B1102="","",'Оперативный ввод'!B1102)</f>
        <v/>
      </c>
      <c r="C1102" s="270">
        <f>IF('Оперативный ввод'!C1102="","",'Оперативный ввод'!C1102)</f>
        <v/>
      </c>
      <c r="D1102" s="270">
        <f>IF('Оперативный ввод'!D1102="","",'Оперативный ввод'!D1102)</f>
        <v/>
      </c>
      <c r="E1102" s="271">
        <f>IF(OR(C1102="",D1102=""),"",D1102-C1102)</f>
        <v/>
      </c>
      <c r="F1102" s="172">
        <f>IF('Оперативный ввод'!F1102="","",'Оперативный ввод'!F1102)</f>
        <v/>
      </c>
      <c r="G1102" s="172">
        <f>IF('Оперативный ввод'!G1102="","",'Оперативный ввод'!G1102)</f>
        <v/>
      </c>
      <c r="H1102" s="172">
        <f>IF('Оперативный ввод'!H1102="","",'Оперативный ввод'!H1102)</f>
        <v/>
      </c>
      <c r="I1102" s="172">
        <f>IF('Оперативный ввод'!I1102="","",'Оперативный ввод'!I1102)</f>
        <v/>
      </c>
      <c r="J1102" s="172">
        <f>IF('Оперативный ввод'!J1102="","",'Оперативный ввод'!J1102)</f>
        <v/>
      </c>
      <c r="K1102" s="172">
        <f>IF('Оперативный ввод'!K1102="","",'Оперативный ввод'!K1102)</f>
        <v/>
      </c>
      <c r="L1102" s="172">
        <f>IF('Оперативный ввод'!L1102="","",'Оперативный ввод'!L1102)</f>
        <v/>
      </c>
      <c r="M1102" s="172">
        <f>IF('Оперативный ввод'!M1102="","",'Оперативный ввод'!M1102)</f>
        <v/>
      </c>
      <c r="N1102" s="172">
        <f>IF('Оперативный ввод'!N1102="","",'Оперативный ввод'!N1102)</f>
        <v/>
      </c>
      <c r="O1102" s="172">
        <f>IF('Оперативный ввод'!O1102="","",'Оперативный ввод'!O1102)</f>
        <v/>
      </c>
      <c r="P1102" s="205">
        <f>IF(AND(A1102="",B1102=""),"",IF(AND(A1102&lt;&gt;"",B1102&lt;&gt;"",C1102&lt;&gt;"",D1102&lt;&gt;"",F1102&lt;&gt;"",G1102&lt;&gt;"",H1102&lt;&gt;"",ISERROR(SEARCH("по паспорту",G1102)),ISERROR(SEARCH("по паспорту",H1102)),I1102&lt;&gt;"",J1102&lt;&gt;"",K1102&lt;&gt;"",L1102&lt;&gt;"",M1102&lt;&gt;""),"ГОТОВО","НЕ ГОТОВО"))</f>
        <v/>
      </c>
      <c r="Q1102" s="205">
        <f>IF(P1102&lt;&gt;"ГОТОВО","", "Предварительное заключение: "&amp;A1102&amp;", скв. "&amp;B1102&amp;". МРП: "&amp;E1102&amp;" сут. ГНО: "&amp;F1102&amp;", типоразмер "&amp;G1102&amp;", марка "&amp;H1102&amp;". Событие: "&amp;I1102&amp;". Признак: "&amp;J1102&amp;". Узел: "&amp;K1102&amp;". Предварительная причина: "&amp;L1102&amp;". Основное осложнение: "&amp;M1102&amp;IF(N1102&lt;&gt;"","; сопутствующее: "&amp;N1102,"")&amp;IF(O1102&lt;&gt;"","; дополнительно: "&amp;O1102,"")&amp;".")</f>
        <v/>
      </c>
      <c r="R1102" s="172">
        <f>IF('Оперативный ввод'!P1102="","",'Оперативный ввод'!P1102)</f>
        <v/>
      </c>
      <c r="S1102" s="172">
        <f>IF('Оперативный ввод'!Q1102="","",'Оперативный ввод'!Q1102)</f>
        <v/>
      </c>
      <c r="T1102" s="172">
        <f>IF('Оперативный ввод'!R1102="","",'Оперативный ввод'!R1102)</f>
        <v/>
      </c>
      <c r="U1102" s="172">
        <f>IF('Оперативный ввод'!S1102="","",'Оперативный ввод'!S1102)</f>
        <v/>
      </c>
      <c r="V1102" s="172">
        <f>IF('Оперативный ввод'!T1102="","",'Оперативный ввод'!T1102)</f>
        <v/>
      </c>
      <c r="W1102" s="172" t="n"/>
      <c r="X1102" s="172" t="n"/>
      <c r="Y1102" s="172" t="n"/>
      <c r="Z1102" s="172" t="n"/>
      <c r="AA1102" s="172">
        <f>IF('Оперативный ввод'!U1102="","",'Оперативный ввод'!U1102)</f>
        <v/>
      </c>
      <c r="AB1102" s="172">
        <f>IF('Оперативный ввод'!V1102="","",'Оперативный ввод'!V1102)</f>
        <v/>
      </c>
      <c r="AC1102" s="172">
        <f>IF('Оперативный ввод'!W1102="","",'Оперативный ввод'!W1102)</f>
        <v/>
      </c>
      <c r="BB1102" s="172" t="n"/>
      <c r="BC1102" s="172" t="n"/>
      <c r="BD1102" s="205">
        <f>IF(AND(A1102="",B1102=""),"",IF(AND(P1102="ГОТОВО",R1102&lt;&gt;"",T1102&lt;&gt;"",U1102&lt;&gt;"",AA1102&lt;&gt;"",AB1102&lt;&gt;"",AC1102&lt;&gt;"",BB1102&lt;&gt;"",BC1102&lt;&gt;""),"ГОТОВО","НЕ ГОТОВО"))</f>
        <v/>
      </c>
      <c r="BE1102" s="205">
        <f>IF(BD1102&lt;&gt;"ГОТОВО","","Полное заключение: "&amp;A1102&amp;", скв. "&amp;B1102&amp;". МРП: "&amp;E1102&amp;" сут. ГНО: "&amp;F1102&amp;"; причина: "&amp;U1102&amp;"; категория: "&amp;V1102&amp;"; решение комиссии: "&amp;BB1102&amp;".")</f>
        <v/>
      </c>
      <c r="BF1102" s="173">
        <f>IF('Оперативный ввод'!X1102="","",'Оперативный ввод'!X1102)</f>
        <v/>
      </c>
    </row>
    <row r="1103">
      <c r="A1103" s="171">
        <f>IF('Оперативный ввод'!A1103="","",'Оперативный ввод'!A1103)</f>
        <v/>
      </c>
      <c r="B1103" s="172">
        <f>IF('Оперативный ввод'!B1103="","",'Оперативный ввод'!B1103)</f>
        <v/>
      </c>
      <c r="C1103" s="270">
        <f>IF('Оперативный ввод'!C1103="","",'Оперативный ввод'!C1103)</f>
        <v/>
      </c>
      <c r="D1103" s="270">
        <f>IF('Оперативный ввод'!D1103="","",'Оперативный ввод'!D1103)</f>
        <v/>
      </c>
      <c r="E1103" s="271">
        <f>IF(OR(C1103="",D1103=""),"",D1103-C1103)</f>
        <v/>
      </c>
      <c r="F1103" s="172">
        <f>IF('Оперативный ввод'!F1103="","",'Оперативный ввод'!F1103)</f>
        <v/>
      </c>
      <c r="G1103" s="172">
        <f>IF('Оперативный ввод'!G1103="","",'Оперативный ввод'!G1103)</f>
        <v/>
      </c>
      <c r="H1103" s="172">
        <f>IF('Оперативный ввод'!H1103="","",'Оперативный ввод'!H1103)</f>
        <v/>
      </c>
      <c r="I1103" s="172">
        <f>IF('Оперативный ввод'!I1103="","",'Оперативный ввод'!I1103)</f>
        <v/>
      </c>
      <c r="J1103" s="172">
        <f>IF('Оперативный ввод'!J1103="","",'Оперативный ввод'!J1103)</f>
        <v/>
      </c>
      <c r="K1103" s="172">
        <f>IF('Оперативный ввод'!K1103="","",'Оперативный ввод'!K1103)</f>
        <v/>
      </c>
      <c r="L1103" s="172">
        <f>IF('Оперативный ввод'!L1103="","",'Оперативный ввод'!L1103)</f>
        <v/>
      </c>
      <c r="M1103" s="172">
        <f>IF('Оперативный ввод'!M1103="","",'Оперативный ввод'!M1103)</f>
        <v/>
      </c>
      <c r="N1103" s="172">
        <f>IF('Оперативный ввод'!N1103="","",'Оперативный ввод'!N1103)</f>
        <v/>
      </c>
      <c r="O1103" s="172">
        <f>IF('Оперативный ввод'!O1103="","",'Оперативный ввод'!O1103)</f>
        <v/>
      </c>
      <c r="P1103" s="205">
        <f>IF(AND(A1103="",B1103=""),"",IF(AND(A1103&lt;&gt;"",B1103&lt;&gt;"",C1103&lt;&gt;"",D1103&lt;&gt;"",F1103&lt;&gt;"",G1103&lt;&gt;"",H1103&lt;&gt;"",ISERROR(SEARCH("по паспорту",G1103)),ISERROR(SEARCH("по паспорту",H1103)),I1103&lt;&gt;"",J1103&lt;&gt;"",K1103&lt;&gt;"",L1103&lt;&gt;"",M1103&lt;&gt;""),"ГОТОВО","НЕ ГОТОВО"))</f>
        <v/>
      </c>
      <c r="Q1103" s="205">
        <f>IF(P1103&lt;&gt;"ГОТОВО","", "Предварительное заключение: "&amp;A1103&amp;", скв. "&amp;B1103&amp;". МРП: "&amp;E1103&amp;" сут. ГНО: "&amp;F1103&amp;", типоразмер "&amp;G1103&amp;", марка "&amp;H1103&amp;". Событие: "&amp;I1103&amp;". Признак: "&amp;J1103&amp;". Узел: "&amp;K1103&amp;". Предварительная причина: "&amp;L1103&amp;". Основное осложнение: "&amp;M1103&amp;IF(N1103&lt;&gt;"","; сопутствующее: "&amp;N1103,"")&amp;IF(O1103&lt;&gt;"","; дополнительно: "&amp;O1103,"")&amp;".")</f>
        <v/>
      </c>
      <c r="R1103" s="172">
        <f>IF('Оперативный ввод'!P1103="","",'Оперативный ввод'!P1103)</f>
        <v/>
      </c>
      <c r="S1103" s="172">
        <f>IF('Оперативный ввод'!Q1103="","",'Оперативный ввод'!Q1103)</f>
        <v/>
      </c>
      <c r="T1103" s="172">
        <f>IF('Оперативный ввод'!R1103="","",'Оперативный ввод'!R1103)</f>
        <v/>
      </c>
      <c r="U1103" s="172">
        <f>IF('Оперативный ввод'!S1103="","",'Оперативный ввод'!S1103)</f>
        <v/>
      </c>
      <c r="V1103" s="172">
        <f>IF('Оперативный ввод'!T1103="","",'Оперативный ввод'!T1103)</f>
        <v/>
      </c>
      <c r="W1103" s="172" t="n"/>
      <c r="X1103" s="172" t="n"/>
      <c r="Y1103" s="172" t="n"/>
      <c r="Z1103" s="172" t="n"/>
      <c r="AA1103" s="172">
        <f>IF('Оперативный ввод'!U1103="","",'Оперативный ввод'!U1103)</f>
        <v/>
      </c>
      <c r="AB1103" s="172">
        <f>IF('Оперативный ввод'!V1103="","",'Оперативный ввод'!V1103)</f>
        <v/>
      </c>
      <c r="AC1103" s="172">
        <f>IF('Оперативный ввод'!W1103="","",'Оперативный ввод'!W1103)</f>
        <v/>
      </c>
      <c r="BB1103" s="172" t="n"/>
      <c r="BC1103" s="172" t="n"/>
      <c r="BD1103" s="205">
        <f>IF(AND(A1103="",B1103=""),"",IF(AND(P1103="ГОТОВО",R1103&lt;&gt;"",T1103&lt;&gt;"",U1103&lt;&gt;"",AA1103&lt;&gt;"",AB1103&lt;&gt;"",AC1103&lt;&gt;"",BB1103&lt;&gt;"",BC1103&lt;&gt;""),"ГОТОВО","НЕ ГОТОВО"))</f>
        <v/>
      </c>
      <c r="BE1103" s="205">
        <f>IF(BD1103&lt;&gt;"ГОТОВО","","Полное заключение: "&amp;A1103&amp;", скв. "&amp;B1103&amp;". МРП: "&amp;E1103&amp;" сут. ГНО: "&amp;F1103&amp;"; причина: "&amp;U1103&amp;"; категория: "&amp;V1103&amp;"; решение комиссии: "&amp;BB1103&amp;".")</f>
        <v/>
      </c>
      <c r="BF1103" s="173">
        <f>IF('Оперативный ввод'!X1103="","",'Оперативный ввод'!X1103)</f>
        <v/>
      </c>
    </row>
    <row r="1104">
      <c r="A1104" s="171">
        <f>IF('Оперативный ввод'!A1104="","",'Оперативный ввод'!A1104)</f>
        <v/>
      </c>
      <c r="B1104" s="172">
        <f>IF('Оперативный ввод'!B1104="","",'Оперативный ввод'!B1104)</f>
        <v/>
      </c>
      <c r="C1104" s="270">
        <f>IF('Оперативный ввод'!C1104="","",'Оперативный ввод'!C1104)</f>
        <v/>
      </c>
      <c r="D1104" s="270">
        <f>IF('Оперативный ввод'!D1104="","",'Оперативный ввод'!D1104)</f>
        <v/>
      </c>
      <c r="E1104" s="271">
        <f>IF(OR(C1104="",D1104=""),"",D1104-C1104)</f>
        <v/>
      </c>
      <c r="F1104" s="172">
        <f>IF('Оперативный ввод'!F1104="","",'Оперативный ввод'!F1104)</f>
        <v/>
      </c>
      <c r="G1104" s="172">
        <f>IF('Оперативный ввод'!G1104="","",'Оперативный ввод'!G1104)</f>
        <v/>
      </c>
      <c r="H1104" s="172">
        <f>IF('Оперативный ввод'!H1104="","",'Оперативный ввод'!H1104)</f>
        <v/>
      </c>
      <c r="I1104" s="172">
        <f>IF('Оперативный ввод'!I1104="","",'Оперативный ввод'!I1104)</f>
        <v/>
      </c>
      <c r="J1104" s="172">
        <f>IF('Оперативный ввод'!J1104="","",'Оперативный ввод'!J1104)</f>
        <v/>
      </c>
      <c r="K1104" s="172">
        <f>IF('Оперативный ввод'!K1104="","",'Оперативный ввод'!K1104)</f>
        <v/>
      </c>
      <c r="L1104" s="172">
        <f>IF('Оперативный ввод'!L1104="","",'Оперативный ввод'!L1104)</f>
        <v/>
      </c>
      <c r="M1104" s="172">
        <f>IF('Оперативный ввод'!M1104="","",'Оперативный ввод'!M1104)</f>
        <v/>
      </c>
      <c r="N1104" s="172">
        <f>IF('Оперативный ввод'!N1104="","",'Оперативный ввод'!N1104)</f>
        <v/>
      </c>
      <c r="O1104" s="172">
        <f>IF('Оперативный ввод'!O1104="","",'Оперативный ввод'!O1104)</f>
        <v/>
      </c>
      <c r="P1104" s="205">
        <f>IF(AND(A1104="",B1104=""),"",IF(AND(A1104&lt;&gt;"",B1104&lt;&gt;"",C1104&lt;&gt;"",D1104&lt;&gt;"",F1104&lt;&gt;"",G1104&lt;&gt;"",H1104&lt;&gt;"",ISERROR(SEARCH("по паспорту",G1104)),ISERROR(SEARCH("по паспорту",H1104)),I1104&lt;&gt;"",J1104&lt;&gt;"",K1104&lt;&gt;"",L1104&lt;&gt;"",M1104&lt;&gt;""),"ГОТОВО","НЕ ГОТОВО"))</f>
        <v/>
      </c>
      <c r="Q1104" s="205">
        <f>IF(P1104&lt;&gt;"ГОТОВО","", "Предварительное заключение: "&amp;A1104&amp;", скв. "&amp;B1104&amp;". МРП: "&amp;E1104&amp;" сут. ГНО: "&amp;F1104&amp;", типоразмер "&amp;G1104&amp;", марка "&amp;H1104&amp;". Событие: "&amp;I1104&amp;". Признак: "&amp;J1104&amp;". Узел: "&amp;K1104&amp;". Предварительная причина: "&amp;L1104&amp;". Основное осложнение: "&amp;M1104&amp;IF(N1104&lt;&gt;"","; сопутствующее: "&amp;N1104,"")&amp;IF(O1104&lt;&gt;"","; дополнительно: "&amp;O1104,"")&amp;".")</f>
        <v/>
      </c>
      <c r="R1104" s="172">
        <f>IF('Оперативный ввод'!P1104="","",'Оперативный ввод'!P1104)</f>
        <v/>
      </c>
      <c r="S1104" s="172">
        <f>IF('Оперативный ввод'!Q1104="","",'Оперативный ввод'!Q1104)</f>
        <v/>
      </c>
      <c r="T1104" s="172">
        <f>IF('Оперативный ввод'!R1104="","",'Оперативный ввод'!R1104)</f>
        <v/>
      </c>
      <c r="U1104" s="172">
        <f>IF('Оперативный ввод'!S1104="","",'Оперативный ввод'!S1104)</f>
        <v/>
      </c>
      <c r="V1104" s="172">
        <f>IF('Оперативный ввод'!T1104="","",'Оперативный ввод'!T1104)</f>
        <v/>
      </c>
      <c r="W1104" s="172" t="n"/>
      <c r="X1104" s="172" t="n"/>
      <c r="Y1104" s="172" t="n"/>
      <c r="Z1104" s="172" t="n"/>
      <c r="AA1104" s="172">
        <f>IF('Оперативный ввод'!U1104="","",'Оперативный ввод'!U1104)</f>
        <v/>
      </c>
      <c r="AB1104" s="172">
        <f>IF('Оперативный ввод'!V1104="","",'Оперативный ввод'!V1104)</f>
        <v/>
      </c>
      <c r="AC1104" s="172">
        <f>IF('Оперативный ввод'!W1104="","",'Оперативный ввод'!W1104)</f>
        <v/>
      </c>
      <c r="BB1104" s="172" t="n"/>
      <c r="BC1104" s="172" t="n"/>
      <c r="BD1104" s="205">
        <f>IF(AND(A1104="",B1104=""),"",IF(AND(P1104="ГОТОВО",R1104&lt;&gt;"",T1104&lt;&gt;"",U1104&lt;&gt;"",AA1104&lt;&gt;"",AB1104&lt;&gt;"",AC1104&lt;&gt;"",BB1104&lt;&gt;"",BC1104&lt;&gt;""),"ГОТОВО","НЕ ГОТОВО"))</f>
        <v/>
      </c>
      <c r="BE1104" s="205">
        <f>IF(BD1104&lt;&gt;"ГОТОВО","","Полное заключение: "&amp;A1104&amp;", скв. "&amp;B1104&amp;". МРП: "&amp;E1104&amp;" сут. ГНО: "&amp;F1104&amp;"; причина: "&amp;U1104&amp;"; категория: "&amp;V1104&amp;"; решение комиссии: "&amp;BB1104&amp;".")</f>
        <v/>
      </c>
      <c r="BF1104" s="173">
        <f>IF('Оперативный ввод'!X1104="","",'Оперативный ввод'!X1104)</f>
        <v/>
      </c>
    </row>
    <row r="1105">
      <c r="A1105" s="171">
        <f>IF('Оперативный ввод'!A1105="","",'Оперативный ввод'!A1105)</f>
        <v/>
      </c>
      <c r="B1105" s="172">
        <f>IF('Оперативный ввод'!B1105="","",'Оперативный ввод'!B1105)</f>
        <v/>
      </c>
      <c r="C1105" s="270">
        <f>IF('Оперативный ввод'!C1105="","",'Оперативный ввод'!C1105)</f>
        <v/>
      </c>
      <c r="D1105" s="270">
        <f>IF('Оперативный ввод'!D1105="","",'Оперативный ввод'!D1105)</f>
        <v/>
      </c>
      <c r="E1105" s="271">
        <f>IF(OR(C1105="",D1105=""),"",D1105-C1105)</f>
        <v/>
      </c>
      <c r="F1105" s="172">
        <f>IF('Оперативный ввод'!F1105="","",'Оперативный ввод'!F1105)</f>
        <v/>
      </c>
      <c r="G1105" s="172">
        <f>IF('Оперативный ввод'!G1105="","",'Оперативный ввод'!G1105)</f>
        <v/>
      </c>
      <c r="H1105" s="172">
        <f>IF('Оперативный ввод'!H1105="","",'Оперативный ввод'!H1105)</f>
        <v/>
      </c>
      <c r="I1105" s="172">
        <f>IF('Оперативный ввод'!I1105="","",'Оперативный ввод'!I1105)</f>
        <v/>
      </c>
      <c r="J1105" s="172">
        <f>IF('Оперативный ввод'!J1105="","",'Оперативный ввод'!J1105)</f>
        <v/>
      </c>
      <c r="K1105" s="172">
        <f>IF('Оперативный ввод'!K1105="","",'Оперативный ввод'!K1105)</f>
        <v/>
      </c>
      <c r="L1105" s="172">
        <f>IF('Оперативный ввод'!L1105="","",'Оперативный ввод'!L1105)</f>
        <v/>
      </c>
      <c r="M1105" s="172">
        <f>IF('Оперативный ввод'!M1105="","",'Оперативный ввод'!M1105)</f>
        <v/>
      </c>
      <c r="N1105" s="172">
        <f>IF('Оперативный ввод'!N1105="","",'Оперативный ввод'!N1105)</f>
        <v/>
      </c>
      <c r="O1105" s="172">
        <f>IF('Оперативный ввод'!O1105="","",'Оперативный ввод'!O1105)</f>
        <v/>
      </c>
      <c r="P1105" s="205">
        <f>IF(AND(A1105="",B1105=""),"",IF(AND(A1105&lt;&gt;"",B1105&lt;&gt;"",C1105&lt;&gt;"",D1105&lt;&gt;"",F1105&lt;&gt;"",G1105&lt;&gt;"",H1105&lt;&gt;"",ISERROR(SEARCH("по паспорту",G1105)),ISERROR(SEARCH("по паспорту",H1105)),I1105&lt;&gt;"",J1105&lt;&gt;"",K1105&lt;&gt;"",L1105&lt;&gt;"",M1105&lt;&gt;""),"ГОТОВО","НЕ ГОТОВО"))</f>
        <v/>
      </c>
      <c r="Q1105" s="205">
        <f>IF(P1105&lt;&gt;"ГОТОВО","", "Предварительное заключение: "&amp;A1105&amp;", скв. "&amp;B1105&amp;". МРП: "&amp;E1105&amp;" сут. ГНО: "&amp;F1105&amp;", типоразмер "&amp;G1105&amp;", марка "&amp;H1105&amp;". Событие: "&amp;I1105&amp;". Признак: "&amp;J1105&amp;". Узел: "&amp;K1105&amp;". Предварительная причина: "&amp;L1105&amp;". Основное осложнение: "&amp;M1105&amp;IF(N1105&lt;&gt;"","; сопутствующее: "&amp;N1105,"")&amp;IF(O1105&lt;&gt;"","; дополнительно: "&amp;O1105,"")&amp;".")</f>
        <v/>
      </c>
      <c r="R1105" s="172">
        <f>IF('Оперативный ввод'!P1105="","",'Оперативный ввод'!P1105)</f>
        <v/>
      </c>
      <c r="S1105" s="172">
        <f>IF('Оперативный ввод'!Q1105="","",'Оперативный ввод'!Q1105)</f>
        <v/>
      </c>
      <c r="T1105" s="172">
        <f>IF('Оперативный ввод'!R1105="","",'Оперативный ввод'!R1105)</f>
        <v/>
      </c>
      <c r="U1105" s="172">
        <f>IF('Оперативный ввод'!S1105="","",'Оперативный ввод'!S1105)</f>
        <v/>
      </c>
      <c r="V1105" s="172">
        <f>IF('Оперативный ввод'!T1105="","",'Оперативный ввод'!T1105)</f>
        <v/>
      </c>
      <c r="W1105" s="172" t="n"/>
      <c r="X1105" s="172" t="n"/>
      <c r="Y1105" s="172" t="n"/>
      <c r="Z1105" s="172" t="n"/>
      <c r="AA1105" s="172">
        <f>IF('Оперативный ввод'!U1105="","",'Оперативный ввод'!U1105)</f>
        <v/>
      </c>
      <c r="AB1105" s="172">
        <f>IF('Оперативный ввод'!V1105="","",'Оперативный ввод'!V1105)</f>
        <v/>
      </c>
      <c r="AC1105" s="172">
        <f>IF('Оперативный ввод'!W1105="","",'Оперативный ввод'!W1105)</f>
        <v/>
      </c>
      <c r="BB1105" s="172" t="n"/>
      <c r="BC1105" s="172" t="n"/>
      <c r="BD1105" s="205">
        <f>IF(AND(A1105="",B1105=""),"",IF(AND(P1105="ГОТОВО",R1105&lt;&gt;"",T1105&lt;&gt;"",U1105&lt;&gt;"",AA1105&lt;&gt;"",AB1105&lt;&gt;"",AC1105&lt;&gt;"",BB1105&lt;&gt;"",BC1105&lt;&gt;""),"ГОТОВО","НЕ ГОТОВО"))</f>
        <v/>
      </c>
      <c r="BE1105" s="205">
        <f>IF(BD1105&lt;&gt;"ГОТОВО","","Полное заключение: "&amp;A1105&amp;", скв. "&amp;B1105&amp;". МРП: "&amp;E1105&amp;" сут. ГНО: "&amp;F1105&amp;"; причина: "&amp;U1105&amp;"; категория: "&amp;V1105&amp;"; решение комиссии: "&amp;BB1105&amp;".")</f>
        <v/>
      </c>
      <c r="BF1105" s="173">
        <f>IF('Оперативный ввод'!X1105="","",'Оперативный ввод'!X1105)</f>
        <v/>
      </c>
    </row>
    <row r="1106">
      <c r="A1106" s="171">
        <f>IF('Оперативный ввод'!A1106="","",'Оперативный ввод'!A1106)</f>
        <v/>
      </c>
      <c r="B1106" s="172">
        <f>IF('Оперативный ввод'!B1106="","",'Оперативный ввод'!B1106)</f>
        <v/>
      </c>
      <c r="C1106" s="270">
        <f>IF('Оперативный ввод'!C1106="","",'Оперативный ввод'!C1106)</f>
        <v/>
      </c>
      <c r="D1106" s="270">
        <f>IF('Оперативный ввод'!D1106="","",'Оперативный ввод'!D1106)</f>
        <v/>
      </c>
      <c r="E1106" s="271">
        <f>IF(OR(C1106="",D1106=""),"",D1106-C1106)</f>
        <v/>
      </c>
      <c r="F1106" s="172">
        <f>IF('Оперативный ввод'!F1106="","",'Оперативный ввод'!F1106)</f>
        <v/>
      </c>
      <c r="G1106" s="172">
        <f>IF('Оперативный ввод'!G1106="","",'Оперативный ввод'!G1106)</f>
        <v/>
      </c>
      <c r="H1106" s="172">
        <f>IF('Оперативный ввод'!H1106="","",'Оперативный ввод'!H1106)</f>
        <v/>
      </c>
      <c r="I1106" s="172">
        <f>IF('Оперативный ввод'!I1106="","",'Оперативный ввод'!I1106)</f>
        <v/>
      </c>
      <c r="J1106" s="172">
        <f>IF('Оперативный ввод'!J1106="","",'Оперативный ввод'!J1106)</f>
        <v/>
      </c>
      <c r="K1106" s="172">
        <f>IF('Оперативный ввод'!K1106="","",'Оперативный ввод'!K1106)</f>
        <v/>
      </c>
      <c r="L1106" s="172">
        <f>IF('Оперативный ввод'!L1106="","",'Оперативный ввод'!L1106)</f>
        <v/>
      </c>
      <c r="M1106" s="172">
        <f>IF('Оперативный ввод'!M1106="","",'Оперативный ввод'!M1106)</f>
        <v/>
      </c>
      <c r="N1106" s="172">
        <f>IF('Оперативный ввод'!N1106="","",'Оперативный ввод'!N1106)</f>
        <v/>
      </c>
      <c r="O1106" s="172">
        <f>IF('Оперативный ввод'!O1106="","",'Оперативный ввод'!O1106)</f>
        <v/>
      </c>
      <c r="P1106" s="205">
        <f>IF(AND(A1106="",B1106=""),"",IF(AND(A1106&lt;&gt;"",B1106&lt;&gt;"",C1106&lt;&gt;"",D1106&lt;&gt;"",F1106&lt;&gt;"",G1106&lt;&gt;"",H1106&lt;&gt;"",ISERROR(SEARCH("по паспорту",G1106)),ISERROR(SEARCH("по паспорту",H1106)),I1106&lt;&gt;"",J1106&lt;&gt;"",K1106&lt;&gt;"",L1106&lt;&gt;"",M1106&lt;&gt;""),"ГОТОВО","НЕ ГОТОВО"))</f>
        <v/>
      </c>
      <c r="Q1106" s="205">
        <f>IF(P1106&lt;&gt;"ГОТОВО","", "Предварительное заключение: "&amp;A1106&amp;", скв. "&amp;B1106&amp;". МРП: "&amp;E1106&amp;" сут. ГНО: "&amp;F1106&amp;", типоразмер "&amp;G1106&amp;", марка "&amp;H1106&amp;". Событие: "&amp;I1106&amp;". Признак: "&amp;J1106&amp;". Узел: "&amp;K1106&amp;". Предварительная причина: "&amp;L1106&amp;". Основное осложнение: "&amp;M1106&amp;IF(N1106&lt;&gt;"","; сопутствующее: "&amp;N1106,"")&amp;IF(O1106&lt;&gt;"","; дополнительно: "&amp;O1106,"")&amp;".")</f>
        <v/>
      </c>
      <c r="R1106" s="172">
        <f>IF('Оперативный ввод'!P1106="","",'Оперативный ввод'!P1106)</f>
        <v/>
      </c>
      <c r="S1106" s="172">
        <f>IF('Оперативный ввод'!Q1106="","",'Оперативный ввод'!Q1106)</f>
        <v/>
      </c>
      <c r="T1106" s="172">
        <f>IF('Оперативный ввод'!R1106="","",'Оперативный ввод'!R1106)</f>
        <v/>
      </c>
      <c r="U1106" s="172">
        <f>IF('Оперативный ввод'!S1106="","",'Оперативный ввод'!S1106)</f>
        <v/>
      </c>
      <c r="V1106" s="172">
        <f>IF('Оперативный ввод'!T1106="","",'Оперативный ввод'!T1106)</f>
        <v/>
      </c>
      <c r="W1106" s="172" t="n"/>
      <c r="X1106" s="172" t="n"/>
      <c r="Y1106" s="172" t="n"/>
      <c r="Z1106" s="172" t="n"/>
      <c r="AA1106" s="172">
        <f>IF('Оперативный ввод'!U1106="","",'Оперативный ввод'!U1106)</f>
        <v/>
      </c>
      <c r="AB1106" s="172">
        <f>IF('Оперативный ввод'!V1106="","",'Оперативный ввод'!V1106)</f>
        <v/>
      </c>
      <c r="AC1106" s="172">
        <f>IF('Оперативный ввод'!W1106="","",'Оперативный ввод'!W1106)</f>
        <v/>
      </c>
      <c r="BB1106" s="172" t="n"/>
      <c r="BC1106" s="172" t="n"/>
      <c r="BD1106" s="205">
        <f>IF(AND(A1106="",B1106=""),"",IF(AND(P1106="ГОТОВО",R1106&lt;&gt;"",T1106&lt;&gt;"",U1106&lt;&gt;"",AA1106&lt;&gt;"",AB1106&lt;&gt;"",AC1106&lt;&gt;"",BB1106&lt;&gt;"",BC1106&lt;&gt;""),"ГОТОВО","НЕ ГОТОВО"))</f>
        <v/>
      </c>
      <c r="BE1106" s="205">
        <f>IF(BD1106&lt;&gt;"ГОТОВО","","Полное заключение: "&amp;A1106&amp;", скв. "&amp;B1106&amp;". МРП: "&amp;E1106&amp;" сут. ГНО: "&amp;F1106&amp;"; причина: "&amp;U1106&amp;"; категория: "&amp;V1106&amp;"; решение комиссии: "&amp;BB1106&amp;".")</f>
        <v/>
      </c>
      <c r="BF1106" s="173">
        <f>IF('Оперативный ввод'!X1106="","",'Оперативный ввод'!X1106)</f>
        <v/>
      </c>
    </row>
    <row r="1107">
      <c r="A1107" s="171">
        <f>IF('Оперативный ввод'!A1107="","",'Оперативный ввод'!A1107)</f>
        <v/>
      </c>
      <c r="B1107" s="172">
        <f>IF('Оперативный ввод'!B1107="","",'Оперативный ввод'!B1107)</f>
        <v/>
      </c>
      <c r="C1107" s="270">
        <f>IF('Оперативный ввод'!C1107="","",'Оперативный ввод'!C1107)</f>
        <v/>
      </c>
      <c r="D1107" s="270">
        <f>IF('Оперативный ввод'!D1107="","",'Оперативный ввод'!D1107)</f>
        <v/>
      </c>
      <c r="E1107" s="271">
        <f>IF(OR(C1107="",D1107=""),"",D1107-C1107)</f>
        <v/>
      </c>
      <c r="F1107" s="172">
        <f>IF('Оперативный ввод'!F1107="","",'Оперативный ввод'!F1107)</f>
        <v/>
      </c>
      <c r="G1107" s="172">
        <f>IF('Оперативный ввод'!G1107="","",'Оперативный ввод'!G1107)</f>
        <v/>
      </c>
      <c r="H1107" s="172">
        <f>IF('Оперативный ввод'!H1107="","",'Оперативный ввод'!H1107)</f>
        <v/>
      </c>
      <c r="I1107" s="172">
        <f>IF('Оперативный ввод'!I1107="","",'Оперативный ввод'!I1107)</f>
        <v/>
      </c>
      <c r="J1107" s="172">
        <f>IF('Оперативный ввод'!J1107="","",'Оперативный ввод'!J1107)</f>
        <v/>
      </c>
      <c r="K1107" s="172">
        <f>IF('Оперативный ввод'!K1107="","",'Оперативный ввод'!K1107)</f>
        <v/>
      </c>
      <c r="L1107" s="172">
        <f>IF('Оперативный ввод'!L1107="","",'Оперативный ввод'!L1107)</f>
        <v/>
      </c>
      <c r="M1107" s="172">
        <f>IF('Оперативный ввод'!M1107="","",'Оперативный ввод'!M1107)</f>
        <v/>
      </c>
      <c r="N1107" s="172">
        <f>IF('Оперативный ввод'!N1107="","",'Оперативный ввод'!N1107)</f>
        <v/>
      </c>
      <c r="O1107" s="172">
        <f>IF('Оперативный ввод'!O1107="","",'Оперативный ввод'!O1107)</f>
        <v/>
      </c>
      <c r="P1107" s="205">
        <f>IF(AND(A1107="",B1107=""),"",IF(AND(A1107&lt;&gt;"",B1107&lt;&gt;"",C1107&lt;&gt;"",D1107&lt;&gt;"",F1107&lt;&gt;"",G1107&lt;&gt;"",H1107&lt;&gt;"",ISERROR(SEARCH("по паспорту",G1107)),ISERROR(SEARCH("по паспорту",H1107)),I1107&lt;&gt;"",J1107&lt;&gt;"",K1107&lt;&gt;"",L1107&lt;&gt;"",M1107&lt;&gt;""),"ГОТОВО","НЕ ГОТОВО"))</f>
        <v/>
      </c>
      <c r="Q1107" s="205">
        <f>IF(P1107&lt;&gt;"ГОТОВО","", "Предварительное заключение: "&amp;A1107&amp;", скв. "&amp;B1107&amp;". МРП: "&amp;E1107&amp;" сут. ГНО: "&amp;F1107&amp;", типоразмер "&amp;G1107&amp;", марка "&amp;H1107&amp;". Событие: "&amp;I1107&amp;". Признак: "&amp;J1107&amp;". Узел: "&amp;K1107&amp;". Предварительная причина: "&amp;L1107&amp;". Основное осложнение: "&amp;M1107&amp;IF(N1107&lt;&gt;"","; сопутствующее: "&amp;N1107,"")&amp;IF(O1107&lt;&gt;"","; дополнительно: "&amp;O1107,"")&amp;".")</f>
        <v/>
      </c>
      <c r="R1107" s="172">
        <f>IF('Оперативный ввод'!P1107="","",'Оперативный ввод'!P1107)</f>
        <v/>
      </c>
      <c r="S1107" s="172">
        <f>IF('Оперативный ввод'!Q1107="","",'Оперативный ввод'!Q1107)</f>
        <v/>
      </c>
      <c r="T1107" s="172">
        <f>IF('Оперативный ввод'!R1107="","",'Оперативный ввод'!R1107)</f>
        <v/>
      </c>
      <c r="U1107" s="172">
        <f>IF('Оперативный ввод'!S1107="","",'Оперативный ввод'!S1107)</f>
        <v/>
      </c>
      <c r="V1107" s="172">
        <f>IF('Оперативный ввод'!T1107="","",'Оперативный ввод'!T1107)</f>
        <v/>
      </c>
      <c r="W1107" s="172" t="n"/>
      <c r="X1107" s="172" t="n"/>
      <c r="Y1107" s="172" t="n"/>
      <c r="Z1107" s="172" t="n"/>
      <c r="AA1107" s="172">
        <f>IF('Оперативный ввод'!U1107="","",'Оперативный ввод'!U1107)</f>
        <v/>
      </c>
      <c r="AB1107" s="172">
        <f>IF('Оперативный ввод'!V1107="","",'Оперативный ввод'!V1107)</f>
        <v/>
      </c>
      <c r="AC1107" s="172">
        <f>IF('Оперативный ввод'!W1107="","",'Оперативный ввод'!W1107)</f>
        <v/>
      </c>
      <c r="BB1107" s="172" t="n"/>
      <c r="BC1107" s="172" t="n"/>
      <c r="BD1107" s="205">
        <f>IF(AND(A1107="",B1107=""),"",IF(AND(P1107="ГОТОВО",R1107&lt;&gt;"",T1107&lt;&gt;"",U1107&lt;&gt;"",AA1107&lt;&gt;"",AB1107&lt;&gt;"",AC1107&lt;&gt;"",BB1107&lt;&gt;"",BC1107&lt;&gt;""),"ГОТОВО","НЕ ГОТОВО"))</f>
        <v/>
      </c>
      <c r="BE1107" s="205">
        <f>IF(BD1107&lt;&gt;"ГОТОВО","","Полное заключение: "&amp;A1107&amp;", скв. "&amp;B1107&amp;". МРП: "&amp;E1107&amp;" сут. ГНО: "&amp;F1107&amp;"; причина: "&amp;U1107&amp;"; категория: "&amp;V1107&amp;"; решение комиссии: "&amp;BB1107&amp;".")</f>
        <v/>
      </c>
      <c r="BF1107" s="173">
        <f>IF('Оперативный ввод'!X1107="","",'Оперативный ввод'!X1107)</f>
        <v/>
      </c>
    </row>
    <row r="1108">
      <c r="A1108" s="171">
        <f>IF('Оперативный ввод'!A1108="","",'Оперативный ввод'!A1108)</f>
        <v/>
      </c>
      <c r="B1108" s="172">
        <f>IF('Оперативный ввод'!B1108="","",'Оперативный ввод'!B1108)</f>
        <v/>
      </c>
      <c r="C1108" s="270">
        <f>IF('Оперативный ввод'!C1108="","",'Оперативный ввод'!C1108)</f>
        <v/>
      </c>
      <c r="D1108" s="270">
        <f>IF('Оперативный ввод'!D1108="","",'Оперативный ввод'!D1108)</f>
        <v/>
      </c>
      <c r="E1108" s="271">
        <f>IF(OR(C1108="",D1108=""),"",D1108-C1108)</f>
        <v/>
      </c>
      <c r="F1108" s="172">
        <f>IF('Оперативный ввод'!F1108="","",'Оперативный ввод'!F1108)</f>
        <v/>
      </c>
      <c r="G1108" s="172">
        <f>IF('Оперативный ввод'!G1108="","",'Оперативный ввод'!G1108)</f>
        <v/>
      </c>
      <c r="H1108" s="172">
        <f>IF('Оперативный ввод'!H1108="","",'Оперативный ввод'!H1108)</f>
        <v/>
      </c>
      <c r="I1108" s="172">
        <f>IF('Оперативный ввод'!I1108="","",'Оперативный ввод'!I1108)</f>
        <v/>
      </c>
      <c r="J1108" s="172">
        <f>IF('Оперативный ввод'!J1108="","",'Оперативный ввод'!J1108)</f>
        <v/>
      </c>
      <c r="K1108" s="172">
        <f>IF('Оперативный ввод'!K1108="","",'Оперативный ввод'!K1108)</f>
        <v/>
      </c>
      <c r="L1108" s="172">
        <f>IF('Оперативный ввод'!L1108="","",'Оперативный ввод'!L1108)</f>
        <v/>
      </c>
      <c r="M1108" s="172">
        <f>IF('Оперативный ввод'!M1108="","",'Оперативный ввод'!M1108)</f>
        <v/>
      </c>
      <c r="N1108" s="172">
        <f>IF('Оперативный ввод'!N1108="","",'Оперативный ввод'!N1108)</f>
        <v/>
      </c>
      <c r="O1108" s="172">
        <f>IF('Оперативный ввод'!O1108="","",'Оперативный ввод'!O1108)</f>
        <v/>
      </c>
      <c r="P1108" s="205">
        <f>IF(AND(A1108="",B1108=""),"",IF(AND(A1108&lt;&gt;"",B1108&lt;&gt;"",C1108&lt;&gt;"",D1108&lt;&gt;"",F1108&lt;&gt;"",G1108&lt;&gt;"",H1108&lt;&gt;"",ISERROR(SEARCH("по паспорту",G1108)),ISERROR(SEARCH("по паспорту",H1108)),I1108&lt;&gt;"",J1108&lt;&gt;"",K1108&lt;&gt;"",L1108&lt;&gt;"",M1108&lt;&gt;""),"ГОТОВО","НЕ ГОТОВО"))</f>
        <v/>
      </c>
      <c r="Q1108" s="205">
        <f>IF(P1108&lt;&gt;"ГОТОВО","", "Предварительное заключение: "&amp;A1108&amp;", скв. "&amp;B1108&amp;". МРП: "&amp;E1108&amp;" сут. ГНО: "&amp;F1108&amp;", типоразмер "&amp;G1108&amp;", марка "&amp;H1108&amp;". Событие: "&amp;I1108&amp;". Признак: "&amp;J1108&amp;". Узел: "&amp;K1108&amp;". Предварительная причина: "&amp;L1108&amp;". Основное осложнение: "&amp;M1108&amp;IF(N1108&lt;&gt;"","; сопутствующее: "&amp;N1108,"")&amp;IF(O1108&lt;&gt;"","; дополнительно: "&amp;O1108,"")&amp;".")</f>
        <v/>
      </c>
      <c r="R1108" s="172">
        <f>IF('Оперативный ввод'!P1108="","",'Оперативный ввод'!P1108)</f>
        <v/>
      </c>
      <c r="S1108" s="172">
        <f>IF('Оперативный ввод'!Q1108="","",'Оперативный ввод'!Q1108)</f>
        <v/>
      </c>
      <c r="T1108" s="172">
        <f>IF('Оперативный ввод'!R1108="","",'Оперативный ввод'!R1108)</f>
        <v/>
      </c>
      <c r="U1108" s="172">
        <f>IF('Оперативный ввод'!S1108="","",'Оперативный ввод'!S1108)</f>
        <v/>
      </c>
      <c r="V1108" s="172">
        <f>IF('Оперативный ввод'!T1108="","",'Оперативный ввод'!T1108)</f>
        <v/>
      </c>
      <c r="W1108" s="172" t="n"/>
      <c r="X1108" s="172" t="n"/>
      <c r="Y1108" s="172" t="n"/>
      <c r="Z1108" s="172" t="n"/>
      <c r="AA1108" s="172">
        <f>IF('Оперативный ввод'!U1108="","",'Оперативный ввод'!U1108)</f>
        <v/>
      </c>
      <c r="AB1108" s="172">
        <f>IF('Оперативный ввод'!V1108="","",'Оперативный ввод'!V1108)</f>
        <v/>
      </c>
      <c r="AC1108" s="172">
        <f>IF('Оперативный ввод'!W1108="","",'Оперативный ввод'!W1108)</f>
        <v/>
      </c>
      <c r="BB1108" s="172" t="n"/>
      <c r="BC1108" s="172" t="n"/>
      <c r="BD1108" s="205">
        <f>IF(AND(A1108="",B1108=""),"",IF(AND(P1108="ГОТОВО",R1108&lt;&gt;"",T1108&lt;&gt;"",U1108&lt;&gt;"",AA1108&lt;&gt;"",AB1108&lt;&gt;"",AC1108&lt;&gt;"",BB1108&lt;&gt;"",BC1108&lt;&gt;""),"ГОТОВО","НЕ ГОТОВО"))</f>
        <v/>
      </c>
      <c r="BE1108" s="205">
        <f>IF(BD1108&lt;&gt;"ГОТОВО","","Полное заключение: "&amp;A1108&amp;", скв. "&amp;B1108&amp;". МРП: "&amp;E1108&amp;" сут. ГНО: "&amp;F1108&amp;"; причина: "&amp;U1108&amp;"; категория: "&amp;V1108&amp;"; решение комиссии: "&amp;BB1108&amp;".")</f>
        <v/>
      </c>
      <c r="BF1108" s="173">
        <f>IF('Оперативный ввод'!X1108="","",'Оперативный ввод'!X1108)</f>
        <v/>
      </c>
    </row>
    <row r="1109">
      <c r="A1109" s="171">
        <f>IF('Оперативный ввод'!A1109="","",'Оперативный ввод'!A1109)</f>
        <v/>
      </c>
      <c r="B1109" s="172">
        <f>IF('Оперативный ввод'!B1109="","",'Оперативный ввод'!B1109)</f>
        <v/>
      </c>
      <c r="C1109" s="270">
        <f>IF('Оперативный ввод'!C1109="","",'Оперативный ввод'!C1109)</f>
        <v/>
      </c>
      <c r="D1109" s="270">
        <f>IF('Оперативный ввод'!D1109="","",'Оперативный ввод'!D1109)</f>
        <v/>
      </c>
      <c r="E1109" s="271">
        <f>IF(OR(C1109="",D1109=""),"",D1109-C1109)</f>
        <v/>
      </c>
      <c r="F1109" s="172">
        <f>IF('Оперативный ввод'!F1109="","",'Оперативный ввод'!F1109)</f>
        <v/>
      </c>
      <c r="G1109" s="172">
        <f>IF('Оперативный ввод'!G1109="","",'Оперативный ввод'!G1109)</f>
        <v/>
      </c>
      <c r="H1109" s="172">
        <f>IF('Оперативный ввод'!H1109="","",'Оперативный ввод'!H1109)</f>
        <v/>
      </c>
      <c r="I1109" s="172">
        <f>IF('Оперативный ввод'!I1109="","",'Оперативный ввод'!I1109)</f>
        <v/>
      </c>
      <c r="J1109" s="172">
        <f>IF('Оперативный ввод'!J1109="","",'Оперативный ввод'!J1109)</f>
        <v/>
      </c>
      <c r="K1109" s="172">
        <f>IF('Оперативный ввод'!K1109="","",'Оперативный ввод'!K1109)</f>
        <v/>
      </c>
      <c r="L1109" s="172">
        <f>IF('Оперативный ввод'!L1109="","",'Оперативный ввод'!L1109)</f>
        <v/>
      </c>
      <c r="M1109" s="172">
        <f>IF('Оперативный ввод'!M1109="","",'Оперативный ввод'!M1109)</f>
        <v/>
      </c>
      <c r="N1109" s="172">
        <f>IF('Оперативный ввод'!N1109="","",'Оперативный ввод'!N1109)</f>
        <v/>
      </c>
      <c r="O1109" s="172">
        <f>IF('Оперативный ввод'!O1109="","",'Оперативный ввод'!O1109)</f>
        <v/>
      </c>
      <c r="P1109" s="205">
        <f>IF(AND(A1109="",B1109=""),"",IF(AND(A1109&lt;&gt;"",B1109&lt;&gt;"",C1109&lt;&gt;"",D1109&lt;&gt;"",F1109&lt;&gt;"",G1109&lt;&gt;"",H1109&lt;&gt;"",ISERROR(SEARCH("по паспорту",G1109)),ISERROR(SEARCH("по паспорту",H1109)),I1109&lt;&gt;"",J1109&lt;&gt;"",K1109&lt;&gt;"",L1109&lt;&gt;"",M1109&lt;&gt;""),"ГОТОВО","НЕ ГОТОВО"))</f>
        <v/>
      </c>
      <c r="Q1109" s="205">
        <f>IF(P1109&lt;&gt;"ГОТОВО","", "Предварительное заключение: "&amp;A1109&amp;", скв. "&amp;B1109&amp;". МРП: "&amp;E1109&amp;" сут. ГНО: "&amp;F1109&amp;", типоразмер "&amp;G1109&amp;", марка "&amp;H1109&amp;". Событие: "&amp;I1109&amp;". Признак: "&amp;J1109&amp;". Узел: "&amp;K1109&amp;". Предварительная причина: "&amp;L1109&amp;". Основное осложнение: "&amp;M1109&amp;IF(N1109&lt;&gt;"","; сопутствующее: "&amp;N1109,"")&amp;IF(O1109&lt;&gt;"","; дополнительно: "&amp;O1109,"")&amp;".")</f>
        <v/>
      </c>
      <c r="R1109" s="172">
        <f>IF('Оперативный ввод'!P1109="","",'Оперативный ввод'!P1109)</f>
        <v/>
      </c>
      <c r="S1109" s="172">
        <f>IF('Оперативный ввод'!Q1109="","",'Оперативный ввод'!Q1109)</f>
        <v/>
      </c>
      <c r="T1109" s="172">
        <f>IF('Оперативный ввод'!R1109="","",'Оперативный ввод'!R1109)</f>
        <v/>
      </c>
      <c r="U1109" s="172">
        <f>IF('Оперативный ввод'!S1109="","",'Оперативный ввод'!S1109)</f>
        <v/>
      </c>
      <c r="V1109" s="172">
        <f>IF('Оперативный ввод'!T1109="","",'Оперативный ввод'!T1109)</f>
        <v/>
      </c>
      <c r="W1109" s="172" t="n"/>
      <c r="X1109" s="172" t="n"/>
      <c r="Y1109" s="172" t="n"/>
      <c r="Z1109" s="172" t="n"/>
      <c r="AA1109" s="172">
        <f>IF('Оперативный ввод'!U1109="","",'Оперативный ввод'!U1109)</f>
        <v/>
      </c>
      <c r="AB1109" s="172">
        <f>IF('Оперативный ввод'!V1109="","",'Оперативный ввод'!V1109)</f>
        <v/>
      </c>
      <c r="AC1109" s="172">
        <f>IF('Оперативный ввод'!W1109="","",'Оперативный ввод'!W1109)</f>
        <v/>
      </c>
      <c r="BB1109" s="172" t="n"/>
      <c r="BC1109" s="172" t="n"/>
      <c r="BD1109" s="205">
        <f>IF(AND(A1109="",B1109=""),"",IF(AND(P1109="ГОТОВО",R1109&lt;&gt;"",T1109&lt;&gt;"",U1109&lt;&gt;"",AA1109&lt;&gt;"",AB1109&lt;&gt;"",AC1109&lt;&gt;"",BB1109&lt;&gt;"",BC1109&lt;&gt;""),"ГОТОВО","НЕ ГОТОВО"))</f>
        <v/>
      </c>
      <c r="BE1109" s="205">
        <f>IF(BD1109&lt;&gt;"ГОТОВО","","Полное заключение: "&amp;A1109&amp;", скв. "&amp;B1109&amp;". МРП: "&amp;E1109&amp;" сут. ГНО: "&amp;F1109&amp;"; причина: "&amp;U1109&amp;"; категория: "&amp;V1109&amp;"; решение комиссии: "&amp;BB1109&amp;".")</f>
        <v/>
      </c>
      <c r="BF1109" s="173">
        <f>IF('Оперативный ввод'!X1109="","",'Оперативный ввод'!X1109)</f>
        <v/>
      </c>
    </row>
    <row r="1110">
      <c r="A1110" s="171">
        <f>IF('Оперативный ввод'!A1110="","",'Оперативный ввод'!A1110)</f>
        <v/>
      </c>
      <c r="B1110" s="172">
        <f>IF('Оперативный ввод'!B1110="","",'Оперативный ввод'!B1110)</f>
        <v/>
      </c>
      <c r="C1110" s="270">
        <f>IF('Оперативный ввод'!C1110="","",'Оперативный ввод'!C1110)</f>
        <v/>
      </c>
      <c r="D1110" s="270">
        <f>IF('Оперативный ввод'!D1110="","",'Оперативный ввод'!D1110)</f>
        <v/>
      </c>
      <c r="E1110" s="271">
        <f>IF(OR(C1110="",D1110=""),"",D1110-C1110)</f>
        <v/>
      </c>
      <c r="F1110" s="172">
        <f>IF('Оперативный ввод'!F1110="","",'Оперативный ввод'!F1110)</f>
        <v/>
      </c>
      <c r="G1110" s="172">
        <f>IF('Оперативный ввод'!G1110="","",'Оперативный ввод'!G1110)</f>
        <v/>
      </c>
      <c r="H1110" s="172">
        <f>IF('Оперативный ввод'!H1110="","",'Оперативный ввод'!H1110)</f>
        <v/>
      </c>
      <c r="I1110" s="172">
        <f>IF('Оперативный ввод'!I1110="","",'Оперативный ввод'!I1110)</f>
        <v/>
      </c>
      <c r="J1110" s="172">
        <f>IF('Оперативный ввод'!J1110="","",'Оперативный ввод'!J1110)</f>
        <v/>
      </c>
      <c r="K1110" s="172">
        <f>IF('Оперативный ввод'!K1110="","",'Оперативный ввод'!K1110)</f>
        <v/>
      </c>
      <c r="L1110" s="172">
        <f>IF('Оперативный ввод'!L1110="","",'Оперативный ввод'!L1110)</f>
        <v/>
      </c>
      <c r="M1110" s="172">
        <f>IF('Оперативный ввод'!M1110="","",'Оперативный ввод'!M1110)</f>
        <v/>
      </c>
      <c r="N1110" s="172">
        <f>IF('Оперативный ввод'!N1110="","",'Оперативный ввод'!N1110)</f>
        <v/>
      </c>
      <c r="O1110" s="172">
        <f>IF('Оперативный ввод'!O1110="","",'Оперативный ввод'!O1110)</f>
        <v/>
      </c>
      <c r="P1110" s="205">
        <f>IF(AND(A1110="",B1110=""),"",IF(AND(A1110&lt;&gt;"",B1110&lt;&gt;"",C1110&lt;&gt;"",D1110&lt;&gt;"",F1110&lt;&gt;"",G1110&lt;&gt;"",H1110&lt;&gt;"",ISERROR(SEARCH("по паспорту",G1110)),ISERROR(SEARCH("по паспорту",H1110)),I1110&lt;&gt;"",J1110&lt;&gt;"",K1110&lt;&gt;"",L1110&lt;&gt;"",M1110&lt;&gt;""),"ГОТОВО","НЕ ГОТОВО"))</f>
        <v/>
      </c>
      <c r="Q1110" s="205">
        <f>IF(P1110&lt;&gt;"ГОТОВО","", "Предварительное заключение: "&amp;A1110&amp;", скв. "&amp;B1110&amp;". МРП: "&amp;E1110&amp;" сут. ГНО: "&amp;F1110&amp;", типоразмер "&amp;G1110&amp;", марка "&amp;H1110&amp;". Событие: "&amp;I1110&amp;". Признак: "&amp;J1110&amp;". Узел: "&amp;K1110&amp;". Предварительная причина: "&amp;L1110&amp;". Основное осложнение: "&amp;M1110&amp;IF(N1110&lt;&gt;"","; сопутствующее: "&amp;N1110,"")&amp;IF(O1110&lt;&gt;"","; дополнительно: "&amp;O1110,"")&amp;".")</f>
        <v/>
      </c>
      <c r="R1110" s="172">
        <f>IF('Оперативный ввод'!P1110="","",'Оперативный ввод'!P1110)</f>
        <v/>
      </c>
      <c r="S1110" s="172">
        <f>IF('Оперативный ввод'!Q1110="","",'Оперативный ввод'!Q1110)</f>
        <v/>
      </c>
      <c r="T1110" s="172">
        <f>IF('Оперативный ввод'!R1110="","",'Оперативный ввод'!R1110)</f>
        <v/>
      </c>
      <c r="U1110" s="172">
        <f>IF('Оперативный ввод'!S1110="","",'Оперативный ввод'!S1110)</f>
        <v/>
      </c>
      <c r="V1110" s="172">
        <f>IF('Оперативный ввод'!T1110="","",'Оперативный ввод'!T1110)</f>
        <v/>
      </c>
      <c r="W1110" s="172" t="n"/>
      <c r="X1110" s="172" t="n"/>
      <c r="Y1110" s="172" t="n"/>
      <c r="Z1110" s="172" t="n"/>
      <c r="AA1110" s="172">
        <f>IF('Оперативный ввод'!U1110="","",'Оперативный ввод'!U1110)</f>
        <v/>
      </c>
      <c r="AB1110" s="172">
        <f>IF('Оперативный ввод'!V1110="","",'Оперативный ввод'!V1110)</f>
        <v/>
      </c>
      <c r="AC1110" s="172">
        <f>IF('Оперативный ввод'!W1110="","",'Оперативный ввод'!W1110)</f>
        <v/>
      </c>
      <c r="BB1110" s="172" t="n"/>
      <c r="BC1110" s="172" t="n"/>
      <c r="BD1110" s="205">
        <f>IF(AND(A1110="",B1110=""),"",IF(AND(P1110="ГОТОВО",R1110&lt;&gt;"",T1110&lt;&gt;"",U1110&lt;&gt;"",AA1110&lt;&gt;"",AB1110&lt;&gt;"",AC1110&lt;&gt;"",BB1110&lt;&gt;"",BC1110&lt;&gt;""),"ГОТОВО","НЕ ГОТОВО"))</f>
        <v/>
      </c>
      <c r="BE1110" s="205">
        <f>IF(BD1110&lt;&gt;"ГОТОВО","","Полное заключение: "&amp;A1110&amp;", скв. "&amp;B1110&amp;". МРП: "&amp;E1110&amp;" сут. ГНО: "&amp;F1110&amp;"; причина: "&amp;U1110&amp;"; категория: "&amp;V1110&amp;"; решение комиссии: "&amp;BB1110&amp;".")</f>
        <v/>
      </c>
      <c r="BF1110" s="173">
        <f>IF('Оперативный ввод'!X1110="","",'Оперативный ввод'!X1110)</f>
        <v/>
      </c>
    </row>
    <row r="1111">
      <c r="A1111" s="171">
        <f>IF('Оперативный ввод'!A1111="","",'Оперативный ввод'!A1111)</f>
        <v/>
      </c>
      <c r="B1111" s="172">
        <f>IF('Оперативный ввод'!B1111="","",'Оперативный ввод'!B1111)</f>
        <v/>
      </c>
      <c r="C1111" s="270">
        <f>IF('Оперативный ввод'!C1111="","",'Оперативный ввод'!C1111)</f>
        <v/>
      </c>
      <c r="D1111" s="270">
        <f>IF('Оперативный ввод'!D1111="","",'Оперативный ввод'!D1111)</f>
        <v/>
      </c>
      <c r="E1111" s="271">
        <f>IF(OR(C1111="",D1111=""),"",D1111-C1111)</f>
        <v/>
      </c>
      <c r="F1111" s="172">
        <f>IF('Оперативный ввод'!F1111="","",'Оперативный ввод'!F1111)</f>
        <v/>
      </c>
      <c r="G1111" s="172">
        <f>IF('Оперативный ввод'!G1111="","",'Оперативный ввод'!G1111)</f>
        <v/>
      </c>
      <c r="H1111" s="172">
        <f>IF('Оперативный ввод'!H1111="","",'Оперативный ввод'!H1111)</f>
        <v/>
      </c>
      <c r="I1111" s="172">
        <f>IF('Оперативный ввод'!I1111="","",'Оперативный ввод'!I1111)</f>
        <v/>
      </c>
      <c r="J1111" s="172">
        <f>IF('Оперативный ввод'!J1111="","",'Оперативный ввод'!J1111)</f>
        <v/>
      </c>
      <c r="K1111" s="172">
        <f>IF('Оперативный ввод'!K1111="","",'Оперативный ввод'!K1111)</f>
        <v/>
      </c>
      <c r="L1111" s="172">
        <f>IF('Оперативный ввод'!L1111="","",'Оперативный ввод'!L1111)</f>
        <v/>
      </c>
      <c r="M1111" s="172">
        <f>IF('Оперативный ввод'!M1111="","",'Оперативный ввод'!M1111)</f>
        <v/>
      </c>
      <c r="N1111" s="172">
        <f>IF('Оперативный ввод'!N1111="","",'Оперативный ввод'!N1111)</f>
        <v/>
      </c>
      <c r="O1111" s="172">
        <f>IF('Оперативный ввод'!O1111="","",'Оперативный ввод'!O1111)</f>
        <v/>
      </c>
      <c r="P1111" s="205">
        <f>IF(AND(A1111="",B1111=""),"",IF(AND(A1111&lt;&gt;"",B1111&lt;&gt;"",C1111&lt;&gt;"",D1111&lt;&gt;"",F1111&lt;&gt;"",G1111&lt;&gt;"",H1111&lt;&gt;"",ISERROR(SEARCH("по паспорту",G1111)),ISERROR(SEARCH("по паспорту",H1111)),I1111&lt;&gt;"",J1111&lt;&gt;"",K1111&lt;&gt;"",L1111&lt;&gt;"",M1111&lt;&gt;""),"ГОТОВО","НЕ ГОТОВО"))</f>
        <v/>
      </c>
      <c r="Q1111" s="205">
        <f>IF(P1111&lt;&gt;"ГОТОВО","", "Предварительное заключение: "&amp;A1111&amp;", скв. "&amp;B1111&amp;". МРП: "&amp;E1111&amp;" сут. ГНО: "&amp;F1111&amp;", типоразмер "&amp;G1111&amp;", марка "&amp;H1111&amp;". Событие: "&amp;I1111&amp;". Признак: "&amp;J1111&amp;". Узел: "&amp;K1111&amp;". Предварительная причина: "&amp;L1111&amp;". Основное осложнение: "&amp;M1111&amp;IF(N1111&lt;&gt;"","; сопутствующее: "&amp;N1111,"")&amp;IF(O1111&lt;&gt;"","; дополнительно: "&amp;O1111,"")&amp;".")</f>
        <v/>
      </c>
      <c r="R1111" s="172">
        <f>IF('Оперативный ввод'!P1111="","",'Оперативный ввод'!P1111)</f>
        <v/>
      </c>
      <c r="S1111" s="172">
        <f>IF('Оперативный ввод'!Q1111="","",'Оперативный ввод'!Q1111)</f>
        <v/>
      </c>
      <c r="T1111" s="172">
        <f>IF('Оперативный ввод'!R1111="","",'Оперативный ввод'!R1111)</f>
        <v/>
      </c>
      <c r="U1111" s="172">
        <f>IF('Оперативный ввод'!S1111="","",'Оперативный ввод'!S1111)</f>
        <v/>
      </c>
      <c r="V1111" s="172">
        <f>IF('Оперативный ввод'!T1111="","",'Оперативный ввод'!T1111)</f>
        <v/>
      </c>
      <c r="W1111" s="172" t="n"/>
      <c r="X1111" s="172" t="n"/>
      <c r="Y1111" s="172" t="n"/>
      <c r="Z1111" s="172" t="n"/>
      <c r="AA1111" s="172">
        <f>IF('Оперативный ввод'!U1111="","",'Оперативный ввод'!U1111)</f>
        <v/>
      </c>
      <c r="AB1111" s="172">
        <f>IF('Оперативный ввод'!V1111="","",'Оперативный ввод'!V1111)</f>
        <v/>
      </c>
      <c r="AC1111" s="172">
        <f>IF('Оперативный ввод'!W1111="","",'Оперативный ввод'!W1111)</f>
        <v/>
      </c>
      <c r="BB1111" s="172" t="n"/>
      <c r="BC1111" s="172" t="n"/>
      <c r="BD1111" s="205">
        <f>IF(AND(A1111="",B1111=""),"",IF(AND(P1111="ГОТОВО",R1111&lt;&gt;"",T1111&lt;&gt;"",U1111&lt;&gt;"",AA1111&lt;&gt;"",AB1111&lt;&gt;"",AC1111&lt;&gt;"",BB1111&lt;&gt;"",BC1111&lt;&gt;""),"ГОТОВО","НЕ ГОТОВО"))</f>
        <v/>
      </c>
      <c r="BE1111" s="205">
        <f>IF(BD1111&lt;&gt;"ГОТОВО","","Полное заключение: "&amp;A1111&amp;", скв. "&amp;B1111&amp;". МРП: "&amp;E1111&amp;" сут. ГНО: "&amp;F1111&amp;"; причина: "&amp;U1111&amp;"; категория: "&amp;V1111&amp;"; решение комиссии: "&amp;BB1111&amp;".")</f>
        <v/>
      </c>
      <c r="BF1111" s="173">
        <f>IF('Оперативный ввод'!X1111="","",'Оперативный ввод'!X1111)</f>
        <v/>
      </c>
    </row>
    <row r="1112">
      <c r="A1112" s="171">
        <f>IF('Оперативный ввод'!A1112="","",'Оперативный ввод'!A1112)</f>
        <v/>
      </c>
      <c r="B1112" s="172">
        <f>IF('Оперативный ввод'!B1112="","",'Оперативный ввод'!B1112)</f>
        <v/>
      </c>
      <c r="C1112" s="270">
        <f>IF('Оперативный ввод'!C1112="","",'Оперативный ввод'!C1112)</f>
        <v/>
      </c>
      <c r="D1112" s="270">
        <f>IF('Оперативный ввод'!D1112="","",'Оперативный ввод'!D1112)</f>
        <v/>
      </c>
      <c r="E1112" s="271">
        <f>IF(OR(C1112="",D1112=""),"",D1112-C1112)</f>
        <v/>
      </c>
      <c r="F1112" s="172">
        <f>IF('Оперативный ввод'!F1112="","",'Оперативный ввод'!F1112)</f>
        <v/>
      </c>
      <c r="G1112" s="172">
        <f>IF('Оперативный ввод'!G1112="","",'Оперативный ввод'!G1112)</f>
        <v/>
      </c>
      <c r="H1112" s="172">
        <f>IF('Оперативный ввод'!H1112="","",'Оперативный ввод'!H1112)</f>
        <v/>
      </c>
      <c r="I1112" s="172">
        <f>IF('Оперативный ввод'!I1112="","",'Оперативный ввод'!I1112)</f>
        <v/>
      </c>
      <c r="J1112" s="172">
        <f>IF('Оперативный ввод'!J1112="","",'Оперативный ввод'!J1112)</f>
        <v/>
      </c>
      <c r="K1112" s="172">
        <f>IF('Оперативный ввод'!K1112="","",'Оперативный ввод'!K1112)</f>
        <v/>
      </c>
      <c r="L1112" s="172">
        <f>IF('Оперативный ввод'!L1112="","",'Оперативный ввод'!L1112)</f>
        <v/>
      </c>
      <c r="M1112" s="172">
        <f>IF('Оперативный ввод'!M1112="","",'Оперативный ввод'!M1112)</f>
        <v/>
      </c>
      <c r="N1112" s="172">
        <f>IF('Оперативный ввод'!N1112="","",'Оперативный ввод'!N1112)</f>
        <v/>
      </c>
      <c r="O1112" s="172">
        <f>IF('Оперативный ввод'!O1112="","",'Оперативный ввод'!O1112)</f>
        <v/>
      </c>
      <c r="P1112" s="205">
        <f>IF(AND(A1112="",B1112=""),"",IF(AND(A1112&lt;&gt;"",B1112&lt;&gt;"",C1112&lt;&gt;"",D1112&lt;&gt;"",F1112&lt;&gt;"",G1112&lt;&gt;"",H1112&lt;&gt;"",ISERROR(SEARCH("по паспорту",G1112)),ISERROR(SEARCH("по паспорту",H1112)),I1112&lt;&gt;"",J1112&lt;&gt;"",K1112&lt;&gt;"",L1112&lt;&gt;"",M1112&lt;&gt;""),"ГОТОВО","НЕ ГОТОВО"))</f>
        <v/>
      </c>
      <c r="Q1112" s="205">
        <f>IF(P1112&lt;&gt;"ГОТОВО","", "Предварительное заключение: "&amp;A1112&amp;", скв. "&amp;B1112&amp;". МРП: "&amp;E1112&amp;" сут. ГНО: "&amp;F1112&amp;", типоразмер "&amp;G1112&amp;", марка "&amp;H1112&amp;". Событие: "&amp;I1112&amp;". Признак: "&amp;J1112&amp;". Узел: "&amp;K1112&amp;". Предварительная причина: "&amp;L1112&amp;". Основное осложнение: "&amp;M1112&amp;IF(N1112&lt;&gt;"","; сопутствующее: "&amp;N1112,"")&amp;IF(O1112&lt;&gt;"","; дополнительно: "&amp;O1112,"")&amp;".")</f>
        <v/>
      </c>
      <c r="R1112" s="172">
        <f>IF('Оперативный ввод'!P1112="","",'Оперативный ввод'!P1112)</f>
        <v/>
      </c>
      <c r="S1112" s="172">
        <f>IF('Оперативный ввод'!Q1112="","",'Оперативный ввод'!Q1112)</f>
        <v/>
      </c>
      <c r="T1112" s="172">
        <f>IF('Оперативный ввод'!R1112="","",'Оперативный ввод'!R1112)</f>
        <v/>
      </c>
      <c r="U1112" s="172">
        <f>IF('Оперативный ввод'!S1112="","",'Оперативный ввод'!S1112)</f>
        <v/>
      </c>
      <c r="V1112" s="172">
        <f>IF('Оперативный ввод'!T1112="","",'Оперативный ввод'!T1112)</f>
        <v/>
      </c>
      <c r="W1112" s="172" t="n"/>
      <c r="X1112" s="172" t="n"/>
      <c r="Y1112" s="172" t="n"/>
      <c r="Z1112" s="172" t="n"/>
      <c r="AA1112" s="172">
        <f>IF('Оперативный ввод'!U1112="","",'Оперативный ввод'!U1112)</f>
        <v/>
      </c>
      <c r="AB1112" s="172">
        <f>IF('Оперативный ввод'!V1112="","",'Оперативный ввод'!V1112)</f>
        <v/>
      </c>
      <c r="AC1112" s="172">
        <f>IF('Оперативный ввод'!W1112="","",'Оперативный ввод'!W1112)</f>
        <v/>
      </c>
      <c r="BB1112" s="172" t="n"/>
      <c r="BC1112" s="172" t="n"/>
      <c r="BD1112" s="205">
        <f>IF(AND(A1112="",B1112=""),"",IF(AND(P1112="ГОТОВО",R1112&lt;&gt;"",T1112&lt;&gt;"",U1112&lt;&gt;"",AA1112&lt;&gt;"",AB1112&lt;&gt;"",AC1112&lt;&gt;"",BB1112&lt;&gt;"",BC1112&lt;&gt;""),"ГОТОВО","НЕ ГОТОВО"))</f>
        <v/>
      </c>
      <c r="BE1112" s="205">
        <f>IF(BD1112&lt;&gt;"ГОТОВО","","Полное заключение: "&amp;A1112&amp;", скв. "&amp;B1112&amp;". МРП: "&amp;E1112&amp;" сут. ГНО: "&amp;F1112&amp;"; причина: "&amp;U1112&amp;"; категория: "&amp;V1112&amp;"; решение комиссии: "&amp;BB1112&amp;".")</f>
        <v/>
      </c>
      <c r="BF1112" s="173">
        <f>IF('Оперативный ввод'!X1112="","",'Оперативный ввод'!X1112)</f>
        <v/>
      </c>
    </row>
    <row r="1113">
      <c r="A1113" s="171">
        <f>IF('Оперативный ввод'!A1113="","",'Оперативный ввод'!A1113)</f>
        <v/>
      </c>
      <c r="B1113" s="172">
        <f>IF('Оперативный ввод'!B1113="","",'Оперативный ввод'!B1113)</f>
        <v/>
      </c>
      <c r="C1113" s="270">
        <f>IF('Оперативный ввод'!C1113="","",'Оперативный ввод'!C1113)</f>
        <v/>
      </c>
      <c r="D1113" s="270">
        <f>IF('Оперативный ввод'!D1113="","",'Оперативный ввод'!D1113)</f>
        <v/>
      </c>
      <c r="E1113" s="271">
        <f>IF(OR(C1113="",D1113=""),"",D1113-C1113)</f>
        <v/>
      </c>
      <c r="F1113" s="172">
        <f>IF('Оперативный ввод'!F1113="","",'Оперативный ввод'!F1113)</f>
        <v/>
      </c>
      <c r="G1113" s="172">
        <f>IF('Оперативный ввод'!G1113="","",'Оперативный ввод'!G1113)</f>
        <v/>
      </c>
      <c r="H1113" s="172">
        <f>IF('Оперативный ввод'!H1113="","",'Оперативный ввод'!H1113)</f>
        <v/>
      </c>
      <c r="I1113" s="172">
        <f>IF('Оперативный ввод'!I1113="","",'Оперативный ввод'!I1113)</f>
        <v/>
      </c>
      <c r="J1113" s="172">
        <f>IF('Оперативный ввод'!J1113="","",'Оперативный ввод'!J1113)</f>
        <v/>
      </c>
      <c r="K1113" s="172">
        <f>IF('Оперативный ввод'!K1113="","",'Оперативный ввод'!K1113)</f>
        <v/>
      </c>
      <c r="L1113" s="172">
        <f>IF('Оперативный ввод'!L1113="","",'Оперативный ввод'!L1113)</f>
        <v/>
      </c>
      <c r="M1113" s="172">
        <f>IF('Оперативный ввод'!M1113="","",'Оперативный ввод'!M1113)</f>
        <v/>
      </c>
      <c r="N1113" s="172">
        <f>IF('Оперативный ввод'!N1113="","",'Оперативный ввод'!N1113)</f>
        <v/>
      </c>
      <c r="O1113" s="172">
        <f>IF('Оперативный ввод'!O1113="","",'Оперативный ввод'!O1113)</f>
        <v/>
      </c>
      <c r="P1113" s="205">
        <f>IF(AND(A1113="",B1113=""),"",IF(AND(A1113&lt;&gt;"",B1113&lt;&gt;"",C1113&lt;&gt;"",D1113&lt;&gt;"",F1113&lt;&gt;"",G1113&lt;&gt;"",H1113&lt;&gt;"",ISERROR(SEARCH("по паспорту",G1113)),ISERROR(SEARCH("по паспорту",H1113)),I1113&lt;&gt;"",J1113&lt;&gt;"",K1113&lt;&gt;"",L1113&lt;&gt;"",M1113&lt;&gt;""),"ГОТОВО","НЕ ГОТОВО"))</f>
        <v/>
      </c>
      <c r="Q1113" s="205">
        <f>IF(P1113&lt;&gt;"ГОТОВО","", "Предварительное заключение: "&amp;A1113&amp;", скв. "&amp;B1113&amp;". МРП: "&amp;E1113&amp;" сут. ГНО: "&amp;F1113&amp;", типоразмер "&amp;G1113&amp;", марка "&amp;H1113&amp;". Событие: "&amp;I1113&amp;". Признак: "&amp;J1113&amp;". Узел: "&amp;K1113&amp;". Предварительная причина: "&amp;L1113&amp;". Основное осложнение: "&amp;M1113&amp;IF(N1113&lt;&gt;"","; сопутствующее: "&amp;N1113,"")&amp;IF(O1113&lt;&gt;"","; дополнительно: "&amp;O1113,"")&amp;".")</f>
        <v/>
      </c>
      <c r="R1113" s="172">
        <f>IF('Оперативный ввод'!P1113="","",'Оперативный ввод'!P1113)</f>
        <v/>
      </c>
      <c r="S1113" s="172">
        <f>IF('Оперативный ввод'!Q1113="","",'Оперативный ввод'!Q1113)</f>
        <v/>
      </c>
      <c r="T1113" s="172">
        <f>IF('Оперативный ввод'!R1113="","",'Оперативный ввод'!R1113)</f>
        <v/>
      </c>
      <c r="U1113" s="172">
        <f>IF('Оперативный ввод'!S1113="","",'Оперативный ввод'!S1113)</f>
        <v/>
      </c>
      <c r="V1113" s="172">
        <f>IF('Оперативный ввод'!T1113="","",'Оперативный ввод'!T1113)</f>
        <v/>
      </c>
      <c r="W1113" s="172" t="n"/>
      <c r="X1113" s="172" t="n"/>
      <c r="Y1113" s="172" t="n"/>
      <c r="Z1113" s="172" t="n"/>
      <c r="AA1113" s="172">
        <f>IF('Оперативный ввод'!U1113="","",'Оперативный ввод'!U1113)</f>
        <v/>
      </c>
      <c r="AB1113" s="172">
        <f>IF('Оперативный ввод'!V1113="","",'Оперативный ввод'!V1113)</f>
        <v/>
      </c>
      <c r="AC1113" s="172">
        <f>IF('Оперативный ввод'!W1113="","",'Оперативный ввод'!W1113)</f>
        <v/>
      </c>
      <c r="BB1113" s="172" t="n"/>
      <c r="BC1113" s="172" t="n"/>
      <c r="BD1113" s="205">
        <f>IF(AND(A1113="",B1113=""),"",IF(AND(P1113="ГОТОВО",R1113&lt;&gt;"",T1113&lt;&gt;"",U1113&lt;&gt;"",AA1113&lt;&gt;"",AB1113&lt;&gt;"",AC1113&lt;&gt;"",BB1113&lt;&gt;"",BC1113&lt;&gt;""),"ГОТОВО","НЕ ГОТОВО"))</f>
        <v/>
      </c>
      <c r="BE1113" s="205">
        <f>IF(BD1113&lt;&gt;"ГОТОВО","","Полное заключение: "&amp;A1113&amp;", скв. "&amp;B1113&amp;". МРП: "&amp;E1113&amp;" сут. ГНО: "&amp;F1113&amp;"; причина: "&amp;U1113&amp;"; категория: "&amp;V1113&amp;"; решение комиссии: "&amp;BB1113&amp;".")</f>
        <v/>
      </c>
      <c r="BF1113" s="173">
        <f>IF('Оперативный ввод'!X1113="","",'Оперативный ввод'!X1113)</f>
        <v/>
      </c>
    </row>
    <row r="1114">
      <c r="A1114" s="171">
        <f>IF('Оперативный ввод'!A1114="","",'Оперативный ввод'!A1114)</f>
        <v/>
      </c>
      <c r="B1114" s="172">
        <f>IF('Оперативный ввод'!B1114="","",'Оперативный ввод'!B1114)</f>
        <v/>
      </c>
      <c r="C1114" s="270">
        <f>IF('Оперативный ввод'!C1114="","",'Оперативный ввод'!C1114)</f>
        <v/>
      </c>
      <c r="D1114" s="270">
        <f>IF('Оперативный ввод'!D1114="","",'Оперативный ввод'!D1114)</f>
        <v/>
      </c>
      <c r="E1114" s="271">
        <f>IF(OR(C1114="",D1114=""),"",D1114-C1114)</f>
        <v/>
      </c>
      <c r="F1114" s="172">
        <f>IF('Оперативный ввод'!F1114="","",'Оперативный ввод'!F1114)</f>
        <v/>
      </c>
      <c r="G1114" s="172">
        <f>IF('Оперативный ввод'!G1114="","",'Оперативный ввод'!G1114)</f>
        <v/>
      </c>
      <c r="H1114" s="172">
        <f>IF('Оперативный ввод'!H1114="","",'Оперативный ввод'!H1114)</f>
        <v/>
      </c>
      <c r="I1114" s="172">
        <f>IF('Оперативный ввод'!I1114="","",'Оперативный ввод'!I1114)</f>
        <v/>
      </c>
      <c r="J1114" s="172">
        <f>IF('Оперативный ввод'!J1114="","",'Оперативный ввод'!J1114)</f>
        <v/>
      </c>
      <c r="K1114" s="172">
        <f>IF('Оперативный ввод'!K1114="","",'Оперативный ввод'!K1114)</f>
        <v/>
      </c>
      <c r="L1114" s="172">
        <f>IF('Оперативный ввод'!L1114="","",'Оперативный ввод'!L1114)</f>
        <v/>
      </c>
      <c r="M1114" s="172">
        <f>IF('Оперативный ввод'!M1114="","",'Оперативный ввод'!M1114)</f>
        <v/>
      </c>
      <c r="N1114" s="172">
        <f>IF('Оперативный ввод'!N1114="","",'Оперативный ввод'!N1114)</f>
        <v/>
      </c>
      <c r="O1114" s="172">
        <f>IF('Оперативный ввод'!O1114="","",'Оперативный ввод'!O1114)</f>
        <v/>
      </c>
      <c r="P1114" s="205">
        <f>IF(AND(A1114="",B1114=""),"",IF(AND(A1114&lt;&gt;"",B1114&lt;&gt;"",C1114&lt;&gt;"",D1114&lt;&gt;"",F1114&lt;&gt;"",G1114&lt;&gt;"",H1114&lt;&gt;"",ISERROR(SEARCH("по паспорту",G1114)),ISERROR(SEARCH("по паспорту",H1114)),I1114&lt;&gt;"",J1114&lt;&gt;"",K1114&lt;&gt;"",L1114&lt;&gt;"",M1114&lt;&gt;""),"ГОТОВО","НЕ ГОТОВО"))</f>
        <v/>
      </c>
      <c r="Q1114" s="205">
        <f>IF(P1114&lt;&gt;"ГОТОВО","", "Предварительное заключение: "&amp;A1114&amp;", скв. "&amp;B1114&amp;". МРП: "&amp;E1114&amp;" сут. ГНО: "&amp;F1114&amp;", типоразмер "&amp;G1114&amp;", марка "&amp;H1114&amp;". Событие: "&amp;I1114&amp;". Признак: "&amp;J1114&amp;". Узел: "&amp;K1114&amp;". Предварительная причина: "&amp;L1114&amp;". Основное осложнение: "&amp;M1114&amp;IF(N1114&lt;&gt;"","; сопутствующее: "&amp;N1114,"")&amp;IF(O1114&lt;&gt;"","; дополнительно: "&amp;O1114,"")&amp;".")</f>
        <v/>
      </c>
      <c r="R1114" s="172">
        <f>IF('Оперативный ввод'!P1114="","",'Оперативный ввод'!P1114)</f>
        <v/>
      </c>
      <c r="S1114" s="172">
        <f>IF('Оперативный ввод'!Q1114="","",'Оперативный ввод'!Q1114)</f>
        <v/>
      </c>
      <c r="T1114" s="172">
        <f>IF('Оперативный ввод'!R1114="","",'Оперативный ввод'!R1114)</f>
        <v/>
      </c>
      <c r="U1114" s="172">
        <f>IF('Оперативный ввод'!S1114="","",'Оперативный ввод'!S1114)</f>
        <v/>
      </c>
      <c r="V1114" s="172">
        <f>IF('Оперативный ввод'!T1114="","",'Оперативный ввод'!T1114)</f>
        <v/>
      </c>
      <c r="W1114" s="172" t="n"/>
      <c r="X1114" s="172" t="n"/>
      <c r="Y1114" s="172" t="n"/>
      <c r="Z1114" s="172" t="n"/>
      <c r="AA1114" s="172">
        <f>IF('Оперативный ввод'!U1114="","",'Оперативный ввод'!U1114)</f>
        <v/>
      </c>
      <c r="AB1114" s="172">
        <f>IF('Оперативный ввод'!V1114="","",'Оперативный ввод'!V1114)</f>
        <v/>
      </c>
      <c r="AC1114" s="172">
        <f>IF('Оперативный ввод'!W1114="","",'Оперативный ввод'!W1114)</f>
        <v/>
      </c>
      <c r="BB1114" s="172" t="n"/>
      <c r="BC1114" s="172" t="n"/>
      <c r="BD1114" s="205">
        <f>IF(AND(A1114="",B1114=""),"",IF(AND(P1114="ГОТОВО",R1114&lt;&gt;"",T1114&lt;&gt;"",U1114&lt;&gt;"",AA1114&lt;&gt;"",AB1114&lt;&gt;"",AC1114&lt;&gt;"",BB1114&lt;&gt;"",BC1114&lt;&gt;""),"ГОТОВО","НЕ ГОТОВО"))</f>
        <v/>
      </c>
      <c r="BE1114" s="205">
        <f>IF(BD1114&lt;&gt;"ГОТОВО","","Полное заключение: "&amp;A1114&amp;", скв. "&amp;B1114&amp;". МРП: "&amp;E1114&amp;" сут. ГНО: "&amp;F1114&amp;"; причина: "&amp;U1114&amp;"; категория: "&amp;V1114&amp;"; решение комиссии: "&amp;BB1114&amp;".")</f>
        <v/>
      </c>
      <c r="BF1114" s="173">
        <f>IF('Оперативный ввод'!X1114="","",'Оперативный ввод'!X1114)</f>
        <v/>
      </c>
    </row>
    <row r="1115">
      <c r="A1115" s="171">
        <f>IF('Оперативный ввод'!A1115="","",'Оперативный ввод'!A1115)</f>
        <v/>
      </c>
      <c r="B1115" s="172">
        <f>IF('Оперативный ввод'!B1115="","",'Оперативный ввод'!B1115)</f>
        <v/>
      </c>
      <c r="C1115" s="270">
        <f>IF('Оперативный ввод'!C1115="","",'Оперативный ввод'!C1115)</f>
        <v/>
      </c>
      <c r="D1115" s="270">
        <f>IF('Оперативный ввод'!D1115="","",'Оперативный ввод'!D1115)</f>
        <v/>
      </c>
      <c r="E1115" s="271">
        <f>IF(OR(C1115="",D1115=""),"",D1115-C1115)</f>
        <v/>
      </c>
      <c r="F1115" s="172">
        <f>IF('Оперативный ввод'!F1115="","",'Оперативный ввод'!F1115)</f>
        <v/>
      </c>
      <c r="G1115" s="172">
        <f>IF('Оперативный ввод'!G1115="","",'Оперативный ввод'!G1115)</f>
        <v/>
      </c>
      <c r="H1115" s="172">
        <f>IF('Оперативный ввод'!H1115="","",'Оперативный ввод'!H1115)</f>
        <v/>
      </c>
      <c r="I1115" s="172">
        <f>IF('Оперативный ввод'!I1115="","",'Оперативный ввод'!I1115)</f>
        <v/>
      </c>
      <c r="J1115" s="172">
        <f>IF('Оперативный ввод'!J1115="","",'Оперативный ввод'!J1115)</f>
        <v/>
      </c>
      <c r="K1115" s="172">
        <f>IF('Оперативный ввод'!K1115="","",'Оперативный ввод'!K1115)</f>
        <v/>
      </c>
      <c r="L1115" s="172">
        <f>IF('Оперативный ввод'!L1115="","",'Оперативный ввод'!L1115)</f>
        <v/>
      </c>
      <c r="M1115" s="172">
        <f>IF('Оперативный ввод'!M1115="","",'Оперативный ввод'!M1115)</f>
        <v/>
      </c>
      <c r="N1115" s="172">
        <f>IF('Оперативный ввод'!N1115="","",'Оперативный ввод'!N1115)</f>
        <v/>
      </c>
      <c r="O1115" s="172">
        <f>IF('Оперативный ввод'!O1115="","",'Оперативный ввод'!O1115)</f>
        <v/>
      </c>
      <c r="P1115" s="205">
        <f>IF(AND(A1115="",B1115=""),"",IF(AND(A1115&lt;&gt;"",B1115&lt;&gt;"",C1115&lt;&gt;"",D1115&lt;&gt;"",F1115&lt;&gt;"",G1115&lt;&gt;"",H1115&lt;&gt;"",ISERROR(SEARCH("по паспорту",G1115)),ISERROR(SEARCH("по паспорту",H1115)),I1115&lt;&gt;"",J1115&lt;&gt;"",K1115&lt;&gt;"",L1115&lt;&gt;"",M1115&lt;&gt;""),"ГОТОВО","НЕ ГОТОВО"))</f>
        <v/>
      </c>
      <c r="Q1115" s="205">
        <f>IF(P1115&lt;&gt;"ГОТОВО","", "Предварительное заключение: "&amp;A1115&amp;", скв. "&amp;B1115&amp;". МРП: "&amp;E1115&amp;" сут. ГНО: "&amp;F1115&amp;", типоразмер "&amp;G1115&amp;", марка "&amp;H1115&amp;". Событие: "&amp;I1115&amp;". Признак: "&amp;J1115&amp;". Узел: "&amp;K1115&amp;". Предварительная причина: "&amp;L1115&amp;". Основное осложнение: "&amp;M1115&amp;IF(N1115&lt;&gt;"","; сопутствующее: "&amp;N1115,"")&amp;IF(O1115&lt;&gt;"","; дополнительно: "&amp;O1115,"")&amp;".")</f>
        <v/>
      </c>
      <c r="R1115" s="172">
        <f>IF('Оперативный ввод'!P1115="","",'Оперативный ввод'!P1115)</f>
        <v/>
      </c>
      <c r="S1115" s="172">
        <f>IF('Оперативный ввод'!Q1115="","",'Оперативный ввод'!Q1115)</f>
        <v/>
      </c>
      <c r="T1115" s="172">
        <f>IF('Оперативный ввод'!R1115="","",'Оперативный ввод'!R1115)</f>
        <v/>
      </c>
      <c r="U1115" s="172">
        <f>IF('Оперативный ввод'!S1115="","",'Оперативный ввод'!S1115)</f>
        <v/>
      </c>
      <c r="V1115" s="172">
        <f>IF('Оперативный ввод'!T1115="","",'Оперативный ввод'!T1115)</f>
        <v/>
      </c>
      <c r="W1115" s="172" t="n"/>
      <c r="X1115" s="172" t="n"/>
      <c r="Y1115" s="172" t="n"/>
      <c r="Z1115" s="172" t="n"/>
      <c r="AA1115" s="172">
        <f>IF('Оперативный ввод'!U1115="","",'Оперативный ввод'!U1115)</f>
        <v/>
      </c>
      <c r="AB1115" s="172">
        <f>IF('Оперативный ввод'!V1115="","",'Оперативный ввод'!V1115)</f>
        <v/>
      </c>
      <c r="AC1115" s="172">
        <f>IF('Оперативный ввод'!W1115="","",'Оперативный ввод'!W1115)</f>
        <v/>
      </c>
      <c r="BB1115" s="172" t="n"/>
      <c r="BC1115" s="172" t="n"/>
      <c r="BD1115" s="205">
        <f>IF(AND(A1115="",B1115=""),"",IF(AND(P1115="ГОТОВО",R1115&lt;&gt;"",T1115&lt;&gt;"",U1115&lt;&gt;"",AA1115&lt;&gt;"",AB1115&lt;&gt;"",AC1115&lt;&gt;"",BB1115&lt;&gt;"",BC1115&lt;&gt;""),"ГОТОВО","НЕ ГОТОВО"))</f>
        <v/>
      </c>
      <c r="BE1115" s="205">
        <f>IF(BD1115&lt;&gt;"ГОТОВО","","Полное заключение: "&amp;A1115&amp;", скв. "&amp;B1115&amp;". МРП: "&amp;E1115&amp;" сут. ГНО: "&amp;F1115&amp;"; причина: "&amp;U1115&amp;"; категория: "&amp;V1115&amp;"; решение комиссии: "&amp;BB1115&amp;".")</f>
        <v/>
      </c>
      <c r="BF1115" s="173">
        <f>IF('Оперативный ввод'!X1115="","",'Оперативный ввод'!X1115)</f>
        <v/>
      </c>
    </row>
    <row r="1116">
      <c r="A1116" s="171">
        <f>IF('Оперативный ввод'!A1116="","",'Оперативный ввод'!A1116)</f>
        <v/>
      </c>
      <c r="B1116" s="172">
        <f>IF('Оперативный ввод'!B1116="","",'Оперативный ввод'!B1116)</f>
        <v/>
      </c>
      <c r="C1116" s="270">
        <f>IF('Оперативный ввод'!C1116="","",'Оперативный ввод'!C1116)</f>
        <v/>
      </c>
      <c r="D1116" s="270">
        <f>IF('Оперативный ввод'!D1116="","",'Оперативный ввод'!D1116)</f>
        <v/>
      </c>
      <c r="E1116" s="271">
        <f>IF(OR(C1116="",D1116=""),"",D1116-C1116)</f>
        <v/>
      </c>
      <c r="F1116" s="172">
        <f>IF('Оперативный ввод'!F1116="","",'Оперативный ввод'!F1116)</f>
        <v/>
      </c>
      <c r="G1116" s="172">
        <f>IF('Оперативный ввод'!G1116="","",'Оперативный ввод'!G1116)</f>
        <v/>
      </c>
      <c r="H1116" s="172">
        <f>IF('Оперативный ввод'!H1116="","",'Оперативный ввод'!H1116)</f>
        <v/>
      </c>
      <c r="I1116" s="172">
        <f>IF('Оперативный ввод'!I1116="","",'Оперативный ввод'!I1116)</f>
        <v/>
      </c>
      <c r="J1116" s="172">
        <f>IF('Оперативный ввод'!J1116="","",'Оперативный ввод'!J1116)</f>
        <v/>
      </c>
      <c r="K1116" s="172">
        <f>IF('Оперативный ввод'!K1116="","",'Оперативный ввод'!K1116)</f>
        <v/>
      </c>
      <c r="L1116" s="172">
        <f>IF('Оперативный ввод'!L1116="","",'Оперативный ввод'!L1116)</f>
        <v/>
      </c>
      <c r="M1116" s="172">
        <f>IF('Оперативный ввод'!M1116="","",'Оперативный ввод'!M1116)</f>
        <v/>
      </c>
      <c r="N1116" s="172">
        <f>IF('Оперативный ввод'!N1116="","",'Оперативный ввод'!N1116)</f>
        <v/>
      </c>
      <c r="O1116" s="172">
        <f>IF('Оперативный ввод'!O1116="","",'Оперативный ввод'!O1116)</f>
        <v/>
      </c>
      <c r="P1116" s="205">
        <f>IF(AND(A1116="",B1116=""),"",IF(AND(A1116&lt;&gt;"",B1116&lt;&gt;"",C1116&lt;&gt;"",D1116&lt;&gt;"",F1116&lt;&gt;"",G1116&lt;&gt;"",H1116&lt;&gt;"",ISERROR(SEARCH("по паспорту",G1116)),ISERROR(SEARCH("по паспорту",H1116)),I1116&lt;&gt;"",J1116&lt;&gt;"",K1116&lt;&gt;"",L1116&lt;&gt;"",M1116&lt;&gt;""),"ГОТОВО","НЕ ГОТОВО"))</f>
        <v/>
      </c>
      <c r="Q1116" s="205">
        <f>IF(P1116&lt;&gt;"ГОТОВО","", "Предварительное заключение: "&amp;A1116&amp;", скв. "&amp;B1116&amp;". МРП: "&amp;E1116&amp;" сут. ГНО: "&amp;F1116&amp;", типоразмер "&amp;G1116&amp;", марка "&amp;H1116&amp;". Событие: "&amp;I1116&amp;". Признак: "&amp;J1116&amp;". Узел: "&amp;K1116&amp;". Предварительная причина: "&amp;L1116&amp;". Основное осложнение: "&amp;M1116&amp;IF(N1116&lt;&gt;"","; сопутствующее: "&amp;N1116,"")&amp;IF(O1116&lt;&gt;"","; дополнительно: "&amp;O1116,"")&amp;".")</f>
        <v/>
      </c>
      <c r="R1116" s="172">
        <f>IF('Оперативный ввод'!P1116="","",'Оперативный ввод'!P1116)</f>
        <v/>
      </c>
      <c r="S1116" s="172">
        <f>IF('Оперативный ввод'!Q1116="","",'Оперативный ввод'!Q1116)</f>
        <v/>
      </c>
      <c r="T1116" s="172">
        <f>IF('Оперативный ввод'!R1116="","",'Оперативный ввод'!R1116)</f>
        <v/>
      </c>
      <c r="U1116" s="172">
        <f>IF('Оперативный ввод'!S1116="","",'Оперативный ввод'!S1116)</f>
        <v/>
      </c>
      <c r="V1116" s="172">
        <f>IF('Оперативный ввод'!T1116="","",'Оперативный ввод'!T1116)</f>
        <v/>
      </c>
      <c r="W1116" s="172" t="n"/>
      <c r="X1116" s="172" t="n"/>
      <c r="Y1116" s="172" t="n"/>
      <c r="Z1116" s="172" t="n"/>
      <c r="AA1116" s="172">
        <f>IF('Оперативный ввод'!U1116="","",'Оперативный ввод'!U1116)</f>
        <v/>
      </c>
      <c r="AB1116" s="172">
        <f>IF('Оперативный ввод'!V1116="","",'Оперативный ввод'!V1116)</f>
        <v/>
      </c>
      <c r="AC1116" s="172">
        <f>IF('Оперативный ввод'!W1116="","",'Оперативный ввод'!W1116)</f>
        <v/>
      </c>
      <c r="BB1116" s="172" t="n"/>
      <c r="BC1116" s="172" t="n"/>
      <c r="BD1116" s="205">
        <f>IF(AND(A1116="",B1116=""),"",IF(AND(P1116="ГОТОВО",R1116&lt;&gt;"",T1116&lt;&gt;"",U1116&lt;&gt;"",AA1116&lt;&gt;"",AB1116&lt;&gt;"",AC1116&lt;&gt;"",BB1116&lt;&gt;"",BC1116&lt;&gt;""),"ГОТОВО","НЕ ГОТОВО"))</f>
        <v/>
      </c>
      <c r="BE1116" s="205">
        <f>IF(BD1116&lt;&gt;"ГОТОВО","","Полное заключение: "&amp;A1116&amp;", скв. "&amp;B1116&amp;". МРП: "&amp;E1116&amp;" сут. ГНО: "&amp;F1116&amp;"; причина: "&amp;U1116&amp;"; категория: "&amp;V1116&amp;"; решение комиссии: "&amp;BB1116&amp;".")</f>
        <v/>
      </c>
      <c r="BF1116" s="173">
        <f>IF('Оперативный ввод'!X1116="","",'Оперативный ввод'!X1116)</f>
        <v/>
      </c>
    </row>
    <row r="1117">
      <c r="A1117" s="171">
        <f>IF('Оперативный ввод'!A1117="","",'Оперативный ввод'!A1117)</f>
        <v/>
      </c>
      <c r="B1117" s="172">
        <f>IF('Оперативный ввод'!B1117="","",'Оперативный ввод'!B1117)</f>
        <v/>
      </c>
      <c r="C1117" s="270">
        <f>IF('Оперативный ввод'!C1117="","",'Оперативный ввод'!C1117)</f>
        <v/>
      </c>
      <c r="D1117" s="270">
        <f>IF('Оперативный ввод'!D1117="","",'Оперативный ввод'!D1117)</f>
        <v/>
      </c>
      <c r="E1117" s="271">
        <f>IF(OR(C1117="",D1117=""),"",D1117-C1117)</f>
        <v/>
      </c>
      <c r="F1117" s="172">
        <f>IF('Оперативный ввод'!F1117="","",'Оперативный ввод'!F1117)</f>
        <v/>
      </c>
      <c r="G1117" s="172">
        <f>IF('Оперативный ввод'!G1117="","",'Оперативный ввод'!G1117)</f>
        <v/>
      </c>
      <c r="H1117" s="172">
        <f>IF('Оперативный ввод'!H1117="","",'Оперативный ввод'!H1117)</f>
        <v/>
      </c>
      <c r="I1117" s="172">
        <f>IF('Оперативный ввод'!I1117="","",'Оперативный ввод'!I1117)</f>
        <v/>
      </c>
      <c r="J1117" s="172">
        <f>IF('Оперативный ввод'!J1117="","",'Оперативный ввод'!J1117)</f>
        <v/>
      </c>
      <c r="K1117" s="172">
        <f>IF('Оперативный ввод'!K1117="","",'Оперативный ввод'!K1117)</f>
        <v/>
      </c>
      <c r="L1117" s="172">
        <f>IF('Оперативный ввод'!L1117="","",'Оперативный ввод'!L1117)</f>
        <v/>
      </c>
      <c r="M1117" s="172">
        <f>IF('Оперативный ввод'!M1117="","",'Оперативный ввод'!M1117)</f>
        <v/>
      </c>
      <c r="N1117" s="172">
        <f>IF('Оперативный ввод'!N1117="","",'Оперативный ввод'!N1117)</f>
        <v/>
      </c>
      <c r="O1117" s="172">
        <f>IF('Оперативный ввод'!O1117="","",'Оперативный ввод'!O1117)</f>
        <v/>
      </c>
      <c r="P1117" s="205">
        <f>IF(AND(A1117="",B1117=""),"",IF(AND(A1117&lt;&gt;"",B1117&lt;&gt;"",C1117&lt;&gt;"",D1117&lt;&gt;"",F1117&lt;&gt;"",G1117&lt;&gt;"",H1117&lt;&gt;"",ISERROR(SEARCH("по паспорту",G1117)),ISERROR(SEARCH("по паспорту",H1117)),I1117&lt;&gt;"",J1117&lt;&gt;"",K1117&lt;&gt;"",L1117&lt;&gt;"",M1117&lt;&gt;""),"ГОТОВО","НЕ ГОТОВО"))</f>
        <v/>
      </c>
      <c r="Q1117" s="205">
        <f>IF(P1117&lt;&gt;"ГОТОВО","", "Предварительное заключение: "&amp;A1117&amp;", скв. "&amp;B1117&amp;". МРП: "&amp;E1117&amp;" сут. ГНО: "&amp;F1117&amp;", типоразмер "&amp;G1117&amp;", марка "&amp;H1117&amp;". Событие: "&amp;I1117&amp;". Признак: "&amp;J1117&amp;". Узел: "&amp;K1117&amp;". Предварительная причина: "&amp;L1117&amp;". Основное осложнение: "&amp;M1117&amp;IF(N1117&lt;&gt;"","; сопутствующее: "&amp;N1117,"")&amp;IF(O1117&lt;&gt;"","; дополнительно: "&amp;O1117,"")&amp;".")</f>
        <v/>
      </c>
      <c r="R1117" s="172">
        <f>IF('Оперативный ввод'!P1117="","",'Оперативный ввод'!P1117)</f>
        <v/>
      </c>
      <c r="S1117" s="172">
        <f>IF('Оперативный ввод'!Q1117="","",'Оперативный ввод'!Q1117)</f>
        <v/>
      </c>
      <c r="T1117" s="172">
        <f>IF('Оперативный ввод'!R1117="","",'Оперативный ввод'!R1117)</f>
        <v/>
      </c>
      <c r="U1117" s="172">
        <f>IF('Оперативный ввод'!S1117="","",'Оперативный ввод'!S1117)</f>
        <v/>
      </c>
      <c r="V1117" s="172">
        <f>IF('Оперативный ввод'!T1117="","",'Оперативный ввод'!T1117)</f>
        <v/>
      </c>
      <c r="W1117" s="172" t="n"/>
      <c r="X1117" s="172" t="n"/>
      <c r="Y1117" s="172" t="n"/>
      <c r="Z1117" s="172" t="n"/>
      <c r="AA1117" s="172">
        <f>IF('Оперативный ввод'!U1117="","",'Оперативный ввод'!U1117)</f>
        <v/>
      </c>
      <c r="AB1117" s="172">
        <f>IF('Оперативный ввод'!V1117="","",'Оперативный ввод'!V1117)</f>
        <v/>
      </c>
      <c r="AC1117" s="172">
        <f>IF('Оперативный ввод'!W1117="","",'Оперативный ввод'!W1117)</f>
        <v/>
      </c>
      <c r="BB1117" s="172" t="n"/>
      <c r="BC1117" s="172" t="n"/>
      <c r="BD1117" s="205">
        <f>IF(AND(A1117="",B1117=""),"",IF(AND(P1117="ГОТОВО",R1117&lt;&gt;"",T1117&lt;&gt;"",U1117&lt;&gt;"",AA1117&lt;&gt;"",AB1117&lt;&gt;"",AC1117&lt;&gt;"",BB1117&lt;&gt;"",BC1117&lt;&gt;""),"ГОТОВО","НЕ ГОТОВО"))</f>
        <v/>
      </c>
      <c r="BE1117" s="205">
        <f>IF(BD1117&lt;&gt;"ГОТОВО","","Полное заключение: "&amp;A1117&amp;", скв. "&amp;B1117&amp;". МРП: "&amp;E1117&amp;" сут. ГНО: "&amp;F1117&amp;"; причина: "&amp;U1117&amp;"; категория: "&amp;V1117&amp;"; решение комиссии: "&amp;BB1117&amp;".")</f>
        <v/>
      </c>
      <c r="BF1117" s="173">
        <f>IF('Оперативный ввод'!X1117="","",'Оперативный ввод'!X1117)</f>
        <v/>
      </c>
    </row>
    <row r="1118">
      <c r="A1118" s="171">
        <f>IF('Оперативный ввод'!A1118="","",'Оперативный ввод'!A1118)</f>
        <v/>
      </c>
      <c r="B1118" s="172">
        <f>IF('Оперативный ввод'!B1118="","",'Оперативный ввод'!B1118)</f>
        <v/>
      </c>
      <c r="C1118" s="270">
        <f>IF('Оперативный ввод'!C1118="","",'Оперативный ввод'!C1118)</f>
        <v/>
      </c>
      <c r="D1118" s="270">
        <f>IF('Оперативный ввод'!D1118="","",'Оперативный ввод'!D1118)</f>
        <v/>
      </c>
      <c r="E1118" s="271">
        <f>IF(OR(C1118="",D1118=""),"",D1118-C1118)</f>
        <v/>
      </c>
      <c r="F1118" s="172">
        <f>IF('Оперативный ввод'!F1118="","",'Оперативный ввод'!F1118)</f>
        <v/>
      </c>
      <c r="G1118" s="172">
        <f>IF('Оперативный ввод'!G1118="","",'Оперативный ввод'!G1118)</f>
        <v/>
      </c>
      <c r="H1118" s="172">
        <f>IF('Оперативный ввод'!H1118="","",'Оперативный ввод'!H1118)</f>
        <v/>
      </c>
      <c r="I1118" s="172">
        <f>IF('Оперативный ввод'!I1118="","",'Оперативный ввод'!I1118)</f>
        <v/>
      </c>
      <c r="J1118" s="172">
        <f>IF('Оперативный ввод'!J1118="","",'Оперативный ввод'!J1118)</f>
        <v/>
      </c>
      <c r="K1118" s="172">
        <f>IF('Оперативный ввод'!K1118="","",'Оперативный ввод'!K1118)</f>
        <v/>
      </c>
      <c r="L1118" s="172">
        <f>IF('Оперативный ввод'!L1118="","",'Оперативный ввод'!L1118)</f>
        <v/>
      </c>
      <c r="M1118" s="172">
        <f>IF('Оперативный ввод'!M1118="","",'Оперативный ввод'!M1118)</f>
        <v/>
      </c>
      <c r="N1118" s="172">
        <f>IF('Оперативный ввод'!N1118="","",'Оперативный ввод'!N1118)</f>
        <v/>
      </c>
      <c r="O1118" s="172">
        <f>IF('Оперативный ввод'!O1118="","",'Оперативный ввод'!O1118)</f>
        <v/>
      </c>
      <c r="P1118" s="205">
        <f>IF(AND(A1118="",B1118=""),"",IF(AND(A1118&lt;&gt;"",B1118&lt;&gt;"",C1118&lt;&gt;"",D1118&lt;&gt;"",F1118&lt;&gt;"",G1118&lt;&gt;"",H1118&lt;&gt;"",ISERROR(SEARCH("по паспорту",G1118)),ISERROR(SEARCH("по паспорту",H1118)),I1118&lt;&gt;"",J1118&lt;&gt;"",K1118&lt;&gt;"",L1118&lt;&gt;"",M1118&lt;&gt;""),"ГОТОВО","НЕ ГОТОВО"))</f>
        <v/>
      </c>
      <c r="Q1118" s="205">
        <f>IF(P1118&lt;&gt;"ГОТОВО","", "Предварительное заключение: "&amp;A1118&amp;", скв. "&amp;B1118&amp;". МРП: "&amp;E1118&amp;" сут. ГНО: "&amp;F1118&amp;", типоразмер "&amp;G1118&amp;", марка "&amp;H1118&amp;". Событие: "&amp;I1118&amp;". Признак: "&amp;J1118&amp;". Узел: "&amp;K1118&amp;". Предварительная причина: "&amp;L1118&amp;". Основное осложнение: "&amp;M1118&amp;IF(N1118&lt;&gt;"","; сопутствующее: "&amp;N1118,"")&amp;IF(O1118&lt;&gt;"","; дополнительно: "&amp;O1118,"")&amp;".")</f>
        <v/>
      </c>
      <c r="R1118" s="172">
        <f>IF('Оперативный ввод'!P1118="","",'Оперативный ввод'!P1118)</f>
        <v/>
      </c>
      <c r="S1118" s="172">
        <f>IF('Оперативный ввод'!Q1118="","",'Оперативный ввод'!Q1118)</f>
        <v/>
      </c>
      <c r="T1118" s="172">
        <f>IF('Оперативный ввод'!R1118="","",'Оперативный ввод'!R1118)</f>
        <v/>
      </c>
      <c r="U1118" s="172">
        <f>IF('Оперативный ввод'!S1118="","",'Оперативный ввод'!S1118)</f>
        <v/>
      </c>
      <c r="V1118" s="172">
        <f>IF('Оперативный ввод'!T1118="","",'Оперативный ввод'!T1118)</f>
        <v/>
      </c>
      <c r="W1118" s="172" t="n"/>
      <c r="X1118" s="172" t="n"/>
      <c r="Y1118" s="172" t="n"/>
      <c r="Z1118" s="172" t="n"/>
      <c r="AA1118" s="172">
        <f>IF('Оперативный ввод'!U1118="","",'Оперативный ввод'!U1118)</f>
        <v/>
      </c>
      <c r="AB1118" s="172">
        <f>IF('Оперативный ввод'!V1118="","",'Оперативный ввод'!V1118)</f>
        <v/>
      </c>
      <c r="AC1118" s="172">
        <f>IF('Оперативный ввод'!W1118="","",'Оперативный ввод'!W1118)</f>
        <v/>
      </c>
      <c r="BB1118" s="172" t="n"/>
      <c r="BC1118" s="172" t="n"/>
      <c r="BD1118" s="205">
        <f>IF(AND(A1118="",B1118=""),"",IF(AND(P1118="ГОТОВО",R1118&lt;&gt;"",T1118&lt;&gt;"",U1118&lt;&gt;"",AA1118&lt;&gt;"",AB1118&lt;&gt;"",AC1118&lt;&gt;"",BB1118&lt;&gt;"",BC1118&lt;&gt;""),"ГОТОВО","НЕ ГОТОВО"))</f>
        <v/>
      </c>
      <c r="BE1118" s="205">
        <f>IF(BD1118&lt;&gt;"ГОТОВО","","Полное заключение: "&amp;A1118&amp;", скв. "&amp;B1118&amp;". МРП: "&amp;E1118&amp;" сут. ГНО: "&amp;F1118&amp;"; причина: "&amp;U1118&amp;"; категория: "&amp;V1118&amp;"; решение комиссии: "&amp;BB1118&amp;".")</f>
        <v/>
      </c>
      <c r="BF1118" s="173">
        <f>IF('Оперативный ввод'!X1118="","",'Оперативный ввод'!X1118)</f>
        <v/>
      </c>
    </row>
    <row r="1119">
      <c r="A1119" s="171">
        <f>IF('Оперативный ввод'!A1119="","",'Оперативный ввод'!A1119)</f>
        <v/>
      </c>
      <c r="B1119" s="172">
        <f>IF('Оперативный ввод'!B1119="","",'Оперативный ввод'!B1119)</f>
        <v/>
      </c>
      <c r="C1119" s="270">
        <f>IF('Оперативный ввод'!C1119="","",'Оперативный ввод'!C1119)</f>
        <v/>
      </c>
      <c r="D1119" s="270">
        <f>IF('Оперативный ввод'!D1119="","",'Оперативный ввод'!D1119)</f>
        <v/>
      </c>
      <c r="E1119" s="271">
        <f>IF(OR(C1119="",D1119=""),"",D1119-C1119)</f>
        <v/>
      </c>
      <c r="F1119" s="172">
        <f>IF('Оперативный ввод'!F1119="","",'Оперативный ввод'!F1119)</f>
        <v/>
      </c>
      <c r="G1119" s="172">
        <f>IF('Оперативный ввод'!G1119="","",'Оперативный ввод'!G1119)</f>
        <v/>
      </c>
      <c r="H1119" s="172">
        <f>IF('Оперативный ввод'!H1119="","",'Оперативный ввод'!H1119)</f>
        <v/>
      </c>
      <c r="I1119" s="172">
        <f>IF('Оперативный ввод'!I1119="","",'Оперативный ввод'!I1119)</f>
        <v/>
      </c>
      <c r="J1119" s="172">
        <f>IF('Оперативный ввод'!J1119="","",'Оперативный ввод'!J1119)</f>
        <v/>
      </c>
      <c r="K1119" s="172">
        <f>IF('Оперативный ввод'!K1119="","",'Оперативный ввод'!K1119)</f>
        <v/>
      </c>
      <c r="L1119" s="172">
        <f>IF('Оперативный ввод'!L1119="","",'Оперативный ввод'!L1119)</f>
        <v/>
      </c>
      <c r="M1119" s="172">
        <f>IF('Оперативный ввод'!M1119="","",'Оперативный ввод'!M1119)</f>
        <v/>
      </c>
      <c r="N1119" s="172">
        <f>IF('Оперативный ввод'!N1119="","",'Оперативный ввод'!N1119)</f>
        <v/>
      </c>
      <c r="O1119" s="172">
        <f>IF('Оперативный ввод'!O1119="","",'Оперативный ввод'!O1119)</f>
        <v/>
      </c>
      <c r="P1119" s="205">
        <f>IF(AND(A1119="",B1119=""),"",IF(AND(A1119&lt;&gt;"",B1119&lt;&gt;"",C1119&lt;&gt;"",D1119&lt;&gt;"",F1119&lt;&gt;"",G1119&lt;&gt;"",H1119&lt;&gt;"",ISERROR(SEARCH("по паспорту",G1119)),ISERROR(SEARCH("по паспорту",H1119)),I1119&lt;&gt;"",J1119&lt;&gt;"",K1119&lt;&gt;"",L1119&lt;&gt;"",M1119&lt;&gt;""),"ГОТОВО","НЕ ГОТОВО"))</f>
        <v/>
      </c>
      <c r="Q1119" s="205">
        <f>IF(P1119&lt;&gt;"ГОТОВО","", "Предварительное заключение: "&amp;A1119&amp;", скв. "&amp;B1119&amp;". МРП: "&amp;E1119&amp;" сут. ГНО: "&amp;F1119&amp;", типоразмер "&amp;G1119&amp;", марка "&amp;H1119&amp;". Событие: "&amp;I1119&amp;". Признак: "&amp;J1119&amp;". Узел: "&amp;K1119&amp;". Предварительная причина: "&amp;L1119&amp;". Основное осложнение: "&amp;M1119&amp;IF(N1119&lt;&gt;"","; сопутствующее: "&amp;N1119,"")&amp;IF(O1119&lt;&gt;"","; дополнительно: "&amp;O1119,"")&amp;".")</f>
        <v/>
      </c>
      <c r="R1119" s="172">
        <f>IF('Оперативный ввод'!P1119="","",'Оперативный ввод'!P1119)</f>
        <v/>
      </c>
      <c r="S1119" s="172">
        <f>IF('Оперативный ввод'!Q1119="","",'Оперативный ввод'!Q1119)</f>
        <v/>
      </c>
      <c r="T1119" s="172">
        <f>IF('Оперативный ввод'!R1119="","",'Оперативный ввод'!R1119)</f>
        <v/>
      </c>
      <c r="U1119" s="172">
        <f>IF('Оперативный ввод'!S1119="","",'Оперативный ввод'!S1119)</f>
        <v/>
      </c>
      <c r="V1119" s="172">
        <f>IF('Оперативный ввод'!T1119="","",'Оперативный ввод'!T1119)</f>
        <v/>
      </c>
      <c r="W1119" s="172" t="n"/>
      <c r="X1119" s="172" t="n"/>
      <c r="Y1119" s="172" t="n"/>
      <c r="Z1119" s="172" t="n"/>
      <c r="AA1119" s="172">
        <f>IF('Оперативный ввод'!U1119="","",'Оперативный ввод'!U1119)</f>
        <v/>
      </c>
      <c r="AB1119" s="172">
        <f>IF('Оперативный ввод'!V1119="","",'Оперативный ввод'!V1119)</f>
        <v/>
      </c>
      <c r="AC1119" s="172">
        <f>IF('Оперативный ввод'!W1119="","",'Оперативный ввод'!W1119)</f>
        <v/>
      </c>
      <c r="BB1119" s="172" t="n"/>
      <c r="BC1119" s="172" t="n"/>
      <c r="BD1119" s="205">
        <f>IF(AND(A1119="",B1119=""),"",IF(AND(P1119="ГОТОВО",R1119&lt;&gt;"",T1119&lt;&gt;"",U1119&lt;&gt;"",AA1119&lt;&gt;"",AB1119&lt;&gt;"",AC1119&lt;&gt;"",BB1119&lt;&gt;"",BC1119&lt;&gt;""),"ГОТОВО","НЕ ГОТОВО"))</f>
        <v/>
      </c>
      <c r="BE1119" s="205">
        <f>IF(BD1119&lt;&gt;"ГОТОВО","","Полное заключение: "&amp;A1119&amp;", скв. "&amp;B1119&amp;". МРП: "&amp;E1119&amp;" сут. ГНО: "&amp;F1119&amp;"; причина: "&amp;U1119&amp;"; категория: "&amp;V1119&amp;"; решение комиссии: "&amp;BB1119&amp;".")</f>
        <v/>
      </c>
      <c r="BF1119" s="173">
        <f>IF('Оперативный ввод'!X1119="","",'Оперативный ввод'!X1119)</f>
        <v/>
      </c>
    </row>
    <row r="1120">
      <c r="A1120" s="171">
        <f>IF('Оперативный ввод'!A1120="","",'Оперативный ввод'!A1120)</f>
        <v/>
      </c>
      <c r="B1120" s="172">
        <f>IF('Оперативный ввод'!B1120="","",'Оперативный ввод'!B1120)</f>
        <v/>
      </c>
      <c r="C1120" s="270">
        <f>IF('Оперативный ввод'!C1120="","",'Оперативный ввод'!C1120)</f>
        <v/>
      </c>
      <c r="D1120" s="270">
        <f>IF('Оперативный ввод'!D1120="","",'Оперативный ввод'!D1120)</f>
        <v/>
      </c>
      <c r="E1120" s="271">
        <f>IF(OR(C1120="",D1120=""),"",D1120-C1120)</f>
        <v/>
      </c>
      <c r="F1120" s="172">
        <f>IF('Оперативный ввод'!F1120="","",'Оперативный ввод'!F1120)</f>
        <v/>
      </c>
      <c r="G1120" s="172">
        <f>IF('Оперативный ввод'!G1120="","",'Оперативный ввод'!G1120)</f>
        <v/>
      </c>
      <c r="H1120" s="172">
        <f>IF('Оперативный ввод'!H1120="","",'Оперативный ввод'!H1120)</f>
        <v/>
      </c>
      <c r="I1120" s="172">
        <f>IF('Оперативный ввод'!I1120="","",'Оперативный ввод'!I1120)</f>
        <v/>
      </c>
      <c r="J1120" s="172">
        <f>IF('Оперативный ввод'!J1120="","",'Оперативный ввод'!J1120)</f>
        <v/>
      </c>
      <c r="K1120" s="172">
        <f>IF('Оперативный ввод'!K1120="","",'Оперативный ввод'!K1120)</f>
        <v/>
      </c>
      <c r="L1120" s="172">
        <f>IF('Оперативный ввод'!L1120="","",'Оперативный ввод'!L1120)</f>
        <v/>
      </c>
      <c r="M1120" s="172">
        <f>IF('Оперативный ввод'!M1120="","",'Оперативный ввод'!M1120)</f>
        <v/>
      </c>
      <c r="N1120" s="172">
        <f>IF('Оперативный ввод'!N1120="","",'Оперативный ввод'!N1120)</f>
        <v/>
      </c>
      <c r="O1120" s="172">
        <f>IF('Оперативный ввод'!O1120="","",'Оперативный ввод'!O1120)</f>
        <v/>
      </c>
      <c r="P1120" s="205">
        <f>IF(AND(A1120="",B1120=""),"",IF(AND(A1120&lt;&gt;"",B1120&lt;&gt;"",C1120&lt;&gt;"",D1120&lt;&gt;"",F1120&lt;&gt;"",G1120&lt;&gt;"",H1120&lt;&gt;"",ISERROR(SEARCH("по паспорту",G1120)),ISERROR(SEARCH("по паспорту",H1120)),I1120&lt;&gt;"",J1120&lt;&gt;"",K1120&lt;&gt;"",L1120&lt;&gt;"",M1120&lt;&gt;""),"ГОТОВО","НЕ ГОТОВО"))</f>
        <v/>
      </c>
      <c r="Q1120" s="205">
        <f>IF(P1120&lt;&gt;"ГОТОВО","", "Предварительное заключение: "&amp;A1120&amp;", скв. "&amp;B1120&amp;". МРП: "&amp;E1120&amp;" сут. ГНО: "&amp;F1120&amp;", типоразмер "&amp;G1120&amp;", марка "&amp;H1120&amp;". Событие: "&amp;I1120&amp;". Признак: "&amp;J1120&amp;". Узел: "&amp;K1120&amp;". Предварительная причина: "&amp;L1120&amp;". Основное осложнение: "&amp;M1120&amp;IF(N1120&lt;&gt;"","; сопутствующее: "&amp;N1120,"")&amp;IF(O1120&lt;&gt;"","; дополнительно: "&amp;O1120,"")&amp;".")</f>
        <v/>
      </c>
      <c r="R1120" s="172">
        <f>IF('Оперативный ввод'!P1120="","",'Оперативный ввод'!P1120)</f>
        <v/>
      </c>
      <c r="S1120" s="172">
        <f>IF('Оперативный ввод'!Q1120="","",'Оперативный ввод'!Q1120)</f>
        <v/>
      </c>
      <c r="T1120" s="172">
        <f>IF('Оперативный ввод'!R1120="","",'Оперативный ввод'!R1120)</f>
        <v/>
      </c>
      <c r="U1120" s="172">
        <f>IF('Оперативный ввод'!S1120="","",'Оперативный ввод'!S1120)</f>
        <v/>
      </c>
      <c r="V1120" s="172">
        <f>IF('Оперативный ввод'!T1120="","",'Оперативный ввод'!T1120)</f>
        <v/>
      </c>
      <c r="W1120" s="172" t="n"/>
      <c r="X1120" s="172" t="n"/>
      <c r="Y1120" s="172" t="n"/>
      <c r="Z1120" s="172" t="n"/>
      <c r="AA1120" s="172">
        <f>IF('Оперативный ввод'!U1120="","",'Оперативный ввод'!U1120)</f>
        <v/>
      </c>
      <c r="AB1120" s="172">
        <f>IF('Оперативный ввод'!V1120="","",'Оперативный ввод'!V1120)</f>
        <v/>
      </c>
      <c r="AC1120" s="172">
        <f>IF('Оперативный ввод'!W1120="","",'Оперативный ввод'!W1120)</f>
        <v/>
      </c>
      <c r="BB1120" s="172" t="n"/>
      <c r="BC1120" s="172" t="n"/>
      <c r="BD1120" s="205">
        <f>IF(AND(A1120="",B1120=""),"",IF(AND(P1120="ГОТОВО",R1120&lt;&gt;"",T1120&lt;&gt;"",U1120&lt;&gt;"",AA1120&lt;&gt;"",AB1120&lt;&gt;"",AC1120&lt;&gt;"",BB1120&lt;&gt;"",BC1120&lt;&gt;""),"ГОТОВО","НЕ ГОТОВО"))</f>
        <v/>
      </c>
      <c r="BE1120" s="205">
        <f>IF(BD1120&lt;&gt;"ГОТОВО","","Полное заключение: "&amp;A1120&amp;", скв. "&amp;B1120&amp;". МРП: "&amp;E1120&amp;" сут. ГНО: "&amp;F1120&amp;"; причина: "&amp;U1120&amp;"; категория: "&amp;V1120&amp;"; решение комиссии: "&amp;BB1120&amp;".")</f>
        <v/>
      </c>
      <c r="BF1120" s="173">
        <f>IF('Оперативный ввод'!X1120="","",'Оперативный ввод'!X1120)</f>
        <v/>
      </c>
    </row>
    <row r="1121">
      <c r="A1121" s="171">
        <f>IF('Оперативный ввод'!A1121="","",'Оперативный ввод'!A1121)</f>
        <v/>
      </c>
      <c r="B1121" s="172">
        <f>IF('Оперативный ввод'!B1121="","",'Оперативный ввод'!B1121)</f>
        <v/>
      </c>
      <c r="C1121" s="270">
        <f>IF('Оперативный ввод'!C1121="","",'Оперативный ввод'!C1121)</f>
        <v/>
      </c>
      <c r="D1121" s="270">
        <f>IF('Оперативный ввод'!D1121="","",'Оперативный ввод'!D1121)</f>
        <v/>
      </c>
      <c r="E1121" s="271">
        <f>IF(OR(C1121="",D1121=""),"",D1121-C1121)</f>
        <v/>
      </c>
      <c r="F1121" s="172">
        <f>IF('Оперативный ввод'!F1121="","",'Оперативный ввод'!F1121)</f>
        <v/>
      </c>
      <c r="G1121" s="172">
        <f>IF('Оперативный ввод'!G1121="","",'Оперативный ввод'!G1121)</f>
        <v/>
      </c>
      <c r="H1121" s="172">
        <f>IF('Оперативный ввод'!H1121="","",'Оперативный ввод'!H1121)</f>
        <v/>
      </c>
      <c r="I1121" s="172">
        <f>IF('Оперативный ввод'!I1121="","",'Оперативный ввод'!I1121)</f>
        <v/>
      </c>
      <c r="J1121" s="172">
        <f>IF('Оперативный ввод'!J1121="","",'Оперативный ввод'!J1121)</f>
        <v/>
      </c>
      <c r="K1121" s="172">
        <f>IF('Оперативный ввод'!K1121="","",'Оперативный ввод'!K1121)</f>
        <v/>
      </c>
      <c r="L1121" s="172">
        <f>IF('Оперативный ввод'!L1121="","",'Оперативный ввод'!L1121)</f>
        <v/>
      </c>
      <c r="M1121" s="172">
        <f>IF('Оперативный ввод'!M1121="","",'Оперативный ввод'!M1121)</f>
        <v/>
      </c>
      <c r="N1121" s="172">
        <f>IF('Оперативный ввод'!N1121="","",'Оперативный ввод'!N1121)</f>
        <v/>
      </c>
      <c r="O1121" s="172">
        <f>IF('Оперативный ввод'!O1121="","",'Оперативный ввод'!O1121)</f>
        <v/>
      </c>
      <c r="P1121" s="205">
        <f>IF(AND(A1121="",B1121=""),"",IF(AND(A1121&lt;&gt;"",B1121&lt;&gt;"",C1121&lt;&gt;"",D1121&lt;&gt;"",F1121&lt;&gt;"",G1121&lt;&gt;"",H1121&lt;&gt;"",ISERROR(SEARCH("по паспорту",G1121)),ISERROR(SEARCH("по паспорту",H1121)),I1121&lt;&gt;"",J1121&lt;&gt;"",K1121&lt;&gt;"",L1121&lt;&gt;"",M1121&lt;&gt;""),"ГОТОВО","НЕ ГОТОВО"))</f>
        <v/>
      </c>
      <c r="Q1121" s="205">
        <f>IF(P1121&lt;&gt;"ГОТОВО","", "Предварительное заключение: "&amp;A1121&amp;", скв. "&amp;B1121&amp;". МРП: "&amp;E1121&amp;" сут. ГНО: "&amp;F1121&amp;", типоразмер "&amp;G1121&amp;", марка "&amp;H1121&amp;". Событие: "&amp;I1121&amp;". Признак: "&amp;J1121&amp;". Узел: "&amp;K1121&amp;". Предварительная причина: "&amp;L1121&amp;". Основное осложнение: "&amp;M1121&amp;IF(N1121&lt;&gt;"","; сопутствующее: "&amp;N1121,"")&amp;IF(O1121&lt;&gt;"","; дополнительно: "&amp;O1121,"")&amp;".")</f>
        <v/>
      </c>
      <c r="R1121" s="172">
        <f>IF('Оперативный ввод'!P1121="","",'Оперативный ввод'!P1121)</f>
        <v/>
      </c>
      <c r="S1121" s="172">
        <f>IF('Оперативный ввод'!Q1121="","",'Оперативный ввод'!Q1121)</f>
        <v/>
      </c>
      <c r="T1121" s="172">
        <f>IF('Оперативный ввод'!R1121="","",'Оперативный ввод'!R1121)</f>
        <v/>
      </c>
      <c r="U1121" s="172">
        <f>IF('Оперативный ввод'!S1121="","",'Оперативный ввод'!S1121)</f>
        <v/>
      </c>
      <c r="V1121" s="172">
        <f>IF('Оперативный ввод'!T1121="","",'Оперативный ввод'!T1121)</f>
        <v/>
      </c>
      <c r="W1121" s="172" t="n"/>
      <c r="X1121" s="172" t="n"/>
      <c r="Y1121" s="172" t="n"/>
      <c r="Z1121" s="172" t="n"/>
      <c r="AA1121" s="172">
        <f>IF('Оперативный ввод'!U1121="","",'Оперативный ввод'!U1121)</f>
        <v/>
      </c>
      <c r="AB1121" s="172">
        <f>IF('Оперативный ввод'!V1121="","",'Оперативный ввод'!V1121)</f>
        <v/>
      </c>
      <c r="AC1121" s="172">
        <f>IF('Оперативный ввод'!W1121="","",'Оперативный ввод'!W1121)</f>
        <v/>
      </c>
      <c r="BB1121" s="172" t="n"/>
      <c r="BC1121" s="172" t="n"/>
      <c r="BD1121" s="205">
        <f>IF(AND(A1121="",B1121=""),"",IF(AND(P1121="ГОТОВО",R1121&lt;&gt;"",T1121&lt;&gt;"",U1121&lt;&gt;"",AA1121&lt;&gt;"",AB1121&lt;&gt;"",AC1121&lt;&gt;"",BB1121&lt;&gt;"",BC1121&lt;&gt;""),"ГОТОВО","НЕ ГОТОВО"))</f>
        <v/>
      </c>
      <c r="BE1121" s="205">
        <f>IF(BD1121&lt;&gt;"ГОТОВО","","Полное заключение: "&amp;A1121&amp;", скв. "&amp;B1121&amp;". МРП: "&amp;E1121&amp;" сут. ГНО: "&amp;F1121&amp;"; причина: "&amp;U1121&amp;"; категория: "&amp;V1121&amp;"; решение комиссии: "&amp;BB1121&amp;".")</f>
        <v/>
      </c>
      <c r="BF1121" s="173">
        <f>IF('Оперативный ввод'!X1121="","",'Оперативный ввод'!X1121)</f>
        <v/>
      </c>
    </row>
    <row r="1122">
      <c r="A1122" s="171">
        <f>IF('Оперативный ввод'!A1122="","",'Оперативный ввод'!A1122)</f>
        <v/>
      </c>
      <c r="B1122" s="172">
        <f>IF('Оперативный ввод'!B1122="","",'Оперативный ввод'!B1122)</f>
        <v/>
      </c>
      <c r="C1122" s="270">
        <f>IF('Оперативный ввод'!C1122="","",'Оперативный ввод'!C1122)</f>
        <v/>
      </c>
      <c r="D1122" s="270">
        <f>IF('Оперативный ввод'!D1122="","",'Оперативный ввод'!D1122)</f>
        <v/>
      </c>
      <c r="E1122" s="271">
        <f>IF(OR(C1122="",D1122=""),"",D1122-C1122)</f>
        <v/>
      </c>
      <c r="F1122" s="172">
        <f>IF('Оперативный ввод'!F1122="","",'Оперативный ввод'!F1122)</f>
        <v/>
      </c>
      <c r="G1122" s="172">
        <f>IF('Оперативный ввод'!G1122="","",'Оперативный ввод'!G1122)</f>
        <v/>
      </c>
      <c r="H1122" s="172">
        <f>IF('Оперативный ввод'!H1122="","",'Оперативный ввод'!H1122)</f>
        <v/>
      </c>
      <c r="I1122" s="172">
        <f>IF('Оперативный ввод'!I1122="","",'Оперативный ввод'!I1122)</f>
        <v/>
      </c>
      <c r="J1122" s="172">
        <f>IF('Оперативный ввод'!J1122="","",'Оперативный ввод'!J1122)</f>
        <v/>
      </c>
      <c r="K1122" s="172">
        <f>IF('Оперативный ввод'!K1122="","",'Оперативный ввод'!K1122)</f>
        <v/>
      </c>
      <c r="L1122" s="172">
        <f>IF('Оперативный ввод'!L1122="","",'Оперативный ввод'!L1122)</f>
        <v/>
      </c>
      <c r="M1122" s="172">
        <f>IF('Оперативный ввод'!M1122="","",'Оперативный ввод'!M1122)</f>
        <v/>
      </c>
      <c r="N1122" s="172">
        <f>IF('Оперативный ввод'!N1122="","",'Оперативный ввод'!N1122)</f>
        <v/>
      </c>
      <c r="O1122" s="172">
        <f>IF('Оперативный ввод'!O1122="","",'Оперативный ввод'!O1122)</f>
        <v/>
      </c>
      <c r="P1122" s="205">
        <f>IF(AND(A1122="",B1122=""),"",IF(AND(A1122&lt;&gt;"",B1122&lt;&gt;"",C1122&lt;&gt;"",D1122&lt;&gt;"",F1122&lt;&gt;"",G1122&lt;&gt;"",H1122&lt;&gt;"",ISERROR(SEARCH("по паспорту",G1122)),ISERROR(SEARCH("по паспорту",H1122)),I1122&lt;&gt;"",J1122&lt;&gt;"",K1122&lt;&gt;"",L1122&lt;&gt;"",M1122&lt;&gt;""),"ГОТОВО","НЕ ГОТОВО"))</f>
        <v/>
      </c>
      <c r="Q1122" s="205">
        <f>IF(P1122&lt;&gt;"ГОТОВО","", "Предварительное заключение: "&amp;A1122&amp;", скв. "&amp;B1122&amp;". МРП: "&amp;E1122&amp;" сут. ГНО: "&amp;F1122&amp;", типоразмер "&amp;G1122&amp;", марка "&amp;H1122&amp;". Событие: "&amp;I1122&amp;". Признак: "&amp;J1122&amp;". Узел: "&amp;K1122&amp;". Предварительная причина: "&amp;L1122&amp;". Основное осложнение: "&amp;M1122&amp;IF(N1122&lt;&gt;"","; сопутствующее: "&amp;N1122,"")&amp;IF(O1122&lt;&gt;"","; дополнительно: "&amp;O1122,"")&amp;".")</f>
        <v/>
      </c>
      <c r="R1122" s="172">
        <f>IF('Оперативный ввод'!P1122="","",'Оперативный ввод'!P1122)</f>
        <v/>
      </c>
      <c r="S1122" s="172">
        <f>IF('Оперативный ввод'!Q1122="","",'Оперативный ввод'!Q1122)</f>
        <v/>
      </c>
      <c r="T1122" s="172">
        <f>IF('Оперативный ввод'!R1122="","",'Оперативный ввод'!R1122)</f>
        <v/>
      </c>
      <c r="U1122" s="172">
        <f>IF('Оперативный ввод'!S1122="","",'Оперативный ввод'!S1122)</f>
        <v/>
      </c>
      <c r="V1122" s="172">
        <f>IF('Оперативный ввод'!T1122="","",'Оперативный ввод'!T1122)</f>
        <v/>
      </c>
      <c r="W1122" s="172" t="n"/>
      <c r="X1122" s="172" t="n"/>
      <c r="Y1122" s="172" t="n"/>
      <c r="Z1122" s="172" t="n"/>
      <c r="AA1122" s="172">
        <f>IF('Оперативный ввод'!U1122="","",'Оперативный ввод'!U1122)</f>
        <v/>
      </c>
      <c r="AB1122" s="172">
        <f>IF('Оперативный ввод'!V1122="","",'Оперативный ввод'!V1122)</f>
        <v/>
      </c>
      <c r="AC1122" s="172">
        <f>IF('Оперативный ввод'!W1122="","",'Оперативный ввод'!W1122)</f>
        <v/>
      </c>
      <c r="BB1122" s="172" t="n"/>
      <c r="BC1122" s="172" t="n"/>
      <c r="BD1122" s="205">
        <f>IF(AND(A1122="",B1122=""),"",IF(AND(P1122="ГОТОВО",R1122&lt;&gt;"",T1122&lt;&gt;"",U1122&lt;&gt;"",AA1122&lt;&gt;"",AB1122&lt;&gt;"",AC1122&lt;&gt;"",BB1122&lt;&gt;"",BC1122&lt;&gt;""),"ГОТОВО","НЕ ГОТОВО"))</f>
        <v/>
      </c>
      <c r="BE1122" s="205">
        <f>IF(BD1122&lt;&gt;"ГОТОВО","","Полное заключение: "&amp;A1122&amp;", скв. "&amp;B1122&amp;". МРП: "&amp;E1122&amp;" сут. ГНО: "&amp;F1122&amp;"; причина: "&amp;U1122&amp;"; категория: "&amp;V1122&amp;"; решение комиссии: "&amp;BB1122&amp;".")</f>
        <v/>
      </c>
      <c r="BF1122" s="173">
        <f>IF('Оперативный ввод'!X1122="","",'Оперативный ввод'!X1122)</f>
        <v/>
      </c>
    </row>
    <row r="1123">
      <c r="A1123" s="171">
        <f>IF('Оперативный ввод'!A1123="","",'Оперативный ввод'!A1123)</f>
        <v/>
      </c>
      <c r="B1123" s="172">
        <f>IF('Оперативный ввод'!B1123="","",'Оперативный ввод'!B1123)</f>
        <v/>
      </c>
      <c r="C1123" s="270">
        <f>IF('Оперативный ввод'!C1123="","",'Оперативный ввод'!C1123)</f>
        <v/>
      </c>
      <c r="D1123" s="270">
        <f>IF('Оперативный ввод'!D1123="","",'Оперативный ввод'!D1123)</f>
        <v/>
      </c>
      <c r="E1123" s="271">
        <f>IF(OR(C1123="",D1123=""),"",D1123-C1123)</f>
        <v/>
      </c>
      <c r="F1123" s="172">
        <f>IF('Оперативный ввод'!F1123="","",'Оперативный ввод'!F1123)</f>
        <v/>
      </c>
      <c r="G1123" s="172">
        <f>IF('Оперативный ввод'!G1123="","",'Оперативный ввод'!G1123)</f>
        <v/>
      </c>
      <c r="H1123" s="172">
        <f>IF('Оперативный ввод'!H1123="","",'Оперативный ввод'!H1123)</f>
        <v/>
      </c>
      <c r="I1123" s="172">
        <f>IF('Оперативный ввод'!I1123="","",'Оперативный ввод'!I1123)</f>
        <v/>
      </c>
      <c r="J1123" s="172">
        <f>IF('Оперативный ввод'!J1123="","",'Оперативный ввод'!J1123)</f>
        <v/>
      </c>
      <c r="K1123" s="172">
        <f>IF('Оперативный ввод'!K1123="","",'Оперативный ввод'!K1123)</f>
        <v/>
      </c>
      <c r="L1123" s="172">
        <f>IF('Оперативный ввод'!L1123="","",'Оперативный ввод'!L1123)</f>
        <v/>
      </c>
      <c r="M1123" s="172">
        <f>IF('Оперативный ввод'!M1123="","",'Оперативный ввод'!M1123)</f>
        <v/>
      </c>
      <c r="N1123" s="172">
        <f>IF('Оперативный ввод'!N1123="","",'Оперативный ввод'!N1123)</f>
        <v/>
      </c>
      <c r="O1123" s="172">
        <f>IF('Оперативный ввод'!O1123="","",'Оперативный ввод'!O1123)</f>
        <v/>
      </c>
      <c r="P1123" s="205">
        <f>IF(AND(A1123="",B1123=""),"",IF(AND(A1123&lt;&gt;"",B1123&lt;&gt;"",C1123&lt;&gt;"",D1123&lt;&gt;"",F1123&lt;&gt;"",G1123&lt;&gt;"",H1123&lt;&gt;"",ISERROR(SEARCH("по паспорту",G1123)),ISERROR(SEARCH("по паспорту",H1123)),I1123&lt;&gt;"",J1123&lt;&gt;"",K1123&lt;&gt;"",L1123&lt;&gt;"",M1123&lt;&gt;""),"ГОТОВО","НЕ ГОТОВО"))</f>
        <v/>
      </c>
      <c r="Q1123" s="205">
        <f>IF(P1123&lt;&gt;"ГОТОВО","", "Предварительное заключение: "&amp;A1123&amp;", скв. "&amp;B1123&amp;". МРП: "&amp;E1123&amp;" сут. ГНО: "&amp;F1123&amp;", типоразмер "&amp;G1123&amp;", марка "&amp;H1123&amp;". Событие: "&amp;I1123&amp;". Признак: "&amp;J1123&amp;". Узел: "&amp;K1123&amp;". Предварительная причина: "&amp;L1123&amp;". Основное осложнение: "&amp;M1123&amp;IF(N1123&lt;&gt;"","; сопутствующее: "&amp;N1123,"")&amp;IF(O1123&lt;&gt;"","; дополнительно: "&amp;O1123,"")&amp;".")</f>
        <v/>
      </c>
      <c r="R1123" s="172">
        <f>IF('Оперативный ввод'!P1123="","",'Оперативный ввод'!P1123)</f>
        <v/>
      </c>
      <c r="S1123" s="172">
        <f>IF('Оперативный ввод'!Q1123="","",'Оперативный ввод'!Q1123)</f>
        <v/>
      </c>
      <c r="T1123" s="172">
        <f>IF('Оперативный ввод'!R1123="","",'Оперативный ввод'!R1123)</f>
        <v/>
      </c>
      <c r="U1123" s="172">
        <f>IF('Оперативный ввод'!S1123="","",'Оперативный ввод'!S1123)</f>
        <v/>
      </c>
      <c r="V1123" s="172">
        <f>IF('Оперативный ввод'!T1123="","",'Оперативный ввод'!T1123)</f>
        <v/>
      </c>
      <c r="W1123" s="172" t="n"/>
      <c r="X1123" s="172" t="n"/>
      <c r="Y1123" s="172" t="n"/>
      <c r="Z1123" s="172" t="n"/>
      <c r="AA1123" s="172">
        <f>IF('Оперативный ввод'!U1123="","",'Оперативный ввод'!U1123)</f>
        <v/>
      </c>
      <c r="AB1123" s="172">
        <f>IF('Оперативный ввод'!V1123="","",'Оперативный ввод'!V1123)</f>
        <v/>
      </c>
      <c r="AC1123" s="172">
        <f>IF('Оперативный ввод'!W1123="","",'Оперативный ввод'!W1123)</f>
        <v/>
      </c>
      <c r="BB1123" s="172" t="n"/>
      <c r="BC1123" s="172" t="n"/>
      <c r="BD1123" s="205">
        <f>IF(AND(A1123="",B1123=""),"",IF(AND(P1123="ГОТОВО",R1123&lt;&gt;"",T1123&lt;&gt;"",U1123&lt;&gt;"",AA1123&lt;&gt;"",AB1123&lt;&gt;"",AC1123&lt;&gt;"",BB1123&lt;&gt;"",BC1123&lt;&gt;""),"ГОТОВО","НЕ ГОТОВО"))</f>
        <v/>
      </c>
      <c r="BE1123" s="205">
        <f>IF(BD1123&lt;&gt;"ГОТОВО","","Полное заключение: "&amp;A1123&amp;", скв. "&amp;B1123&amp;". МРП: "&amp;E1123&amp;" сут. ГНО: "&amp;F1123&amp;"; причина: "&amp;U1123&amp;"; категория: "&amp;V1123&amp;"; решение комиссии: "&amp;BB1123&amp;".")</f>
        <v/>
      </c>
      <c r="BF1123" s="173">
        <f>IF('Оперативный ввод'!X1123="","",'Оперативный ввод'!X1123)</f>
        <v/>
      </c>
    </row>
    <row r="1124">
      <c r="A1124" s="171">
        <f>IF('Оперативный ввод'!A1124="","",'Оперативный ввод'!A1124)</f>
        <v/>
      </c>
      <c r="B1124" s="172">
        <f>IF('Оперативный ввод'!B1124="","",'Оперативный ввод'!B1124)</f>
        <v/>
      </c>
      <c r="C1124" s="270">
        <f>IF('Оперативный ввод'!C1124="","",'Оперативный ввод'!C1124)</f>
        <v/>
      </c>
      <c r="D1124" s="270">
        <f>IF('Оперативный ввод'!D1124="","",'Оперативный ввод'!D1124)</f>
        <v/>
      </c>
      <c r="E1124" s="271">
        <f>IF(OR(C1124="",D1124=""),"",D1124-C1124)</f>
        <v/>
      </c>
      <c r="F1124" s="172">
        <f>IF('Оперативный ввод'!F1124="","",'Оперативный ввод'!F1124)</f>
        <v/>
      </c>
      <c r="G1124" s="172">
        <f>IF('Оперативный ввод'!G1124="","",'Оперативный ввод'!G1124)</f>
        <v/>
      </c>
      <c r="H1124" s="172">
        <f>IF('Оперативный ввод'!H1124="","",'Оперативный ввод'!H1124)</f>
        <v/>
      </c>
      <c r="I1124" s="172">
        <f>IF('Оперативный ввод'!I1124="","",'Оперативный ввод'!I1124)</f>
        <v/>
      </c>
      <c r="J1124" s="172">
        <f>IF('Оперативный ввод'!J1124="","",'Оперативный ввод'!J1124)</f>
        <v/>
      </c>
      <c r="K1124" s="172">
        <f>IF('Оперативный ввод'!K1124="","",'Оперативный ввод'!K1124)</f>
        <v/>
      </c>
      <c r="L1124" s="172">
        <f>IF('Оперативный ввод'!L1124="","",'Оперативный ввод'!L1124)</f>
        <v/>
      </c>
      <c r="M1124" s="172">
        <f>IF('Оперативный ввод'!M1124="","",'Оперативный ввод'!M1124)</f>
        <v/>
      </c>
      <c r="N1124" s="172">
        <f>IF('Оперативный ввод'!N1124="","",'Оперативный ввод'!N1124)</f>
        <v/>
      </c>
      <c r="O1124" s="172">
        <f>IF('Оперативный ввод'!O1124="","",'Оперативный ввод'!O1124)</f>
        <v/>
      </c>
      <c r="P1124" s="205">
        <f>IF(AND(A1124="",B1124=""),"",IF(AND(A1124&lt;&gt;"",B1124&lt;&gt;"",C1124&lt;&gt;"",D1124&lt;&gt;"",F1124&lt;&gt;"",G1124&lt;&gt;"",H1124&lt;&gt;"",ISERROR(SEARCH("по паспорту",G1124)),ISERROR(SEARCH("по паспорту",H1124)),I1124&lt;&gt;"",J1124&lt;&gt;"",K1124&lt;&gt;"",L1124&lt;&gt;"",M1124&lt;&gt;""),"ГОТОВО","НЕ ГОТОВО"))</f>
        <v/>
      </c>
      <c r="Q1124" s="205">
        <f>IF(P1124&lt;&gt;"ГОТОВО","", "Предварительное заключение: "&amp;A1124&amp;", скв. "&amp;B1124&amp;". МРП: "&amp;E1124&amp;" сут. ГНО: "&amp;F1124&amp;", типоразмер "&amp;G1124&amp;", марка "&amp;H1124&amp;". Событие: "&amp;I1124&amp;". Признак: "&amp;J1124&amp;". Узел: "&amp;K1124&amp;". Предварительная причина: "&amp;L1124&amp;". Основное осложнение: "&amp;M1124&amp;IF(N1124&lt;&gt;"","; сопутствующее: "&amp;N1124,"")&amp;IF(O1124&lt;&gt;"","; дополнительно: "&amp;O1124,"")&amp;".")</f>
        <v/>
      </c>
      <c r="R1124" s="172">
        <f>IF('Оперативный ввод'!P1124="","",'Оперативный ввод'!P1124)</f>
        <v/>
      </c>
      <c r="S1124" s="172">
        <f>IF('Оперативный ввод'!Q1124="","",'Оперативный ввод'!Q1124)</f>
        <v/>
      </c>
      <c r="T1124" s="172">
        <f>IF('Оперативный ввод'!R1124="","",'Оперативный ввод'!R1124)</f>
        <v/>
      </c>
      <c r="U1124" s="172">
        <f>IF('Оперативный ввод'!S1124="","",'Оперативный ввод'!S1124)</f>
        <v/>
      </c>
      <c r="V1124" s="172">
        <f>IF('Оперативный ввод'!T1124="","",'Оперативный ввод'!T1124)</f>
        <v/>
      </c>
      <c r="W1124" s="172" t="n"/>
      <c r="X1124" s="172" t="n"/>
      <c r="Y1124" s="172" t="n"/>
      <c r="Z1124" s="172" t="n"/>
      <c r="AA1124" s="172">
        <f>IF('Оперативный ввод'!U1124="","",'Оперативный ввод'!U1124)</f>
        <v/>
      </c>
      <c r="AB1124" s="172">
        <f>IF('Оперативный ввод'!V1124="","",'Оперативный ввод'!V1124)</f>
        <v/>
      </c>
      <c r="AC1124" s="172">
        <f>IF('Оперативный ввод'!W1124="","",'Оперативный ввод'!W1124)</f>
        <v/>
      </c>
      <c r="BB1124" s="172" t="n"/>
      <c r="BC1124" s="172" t="n"/>
      <c r="BD1124" s="205">
        <f>IF(AND(A1124="",B1124=""),"",IF(AND(P1124="ГОТОВО",R1124&lt;&gt;"",T1124&lt;&gt;"",U1124&lt;&gt;"",AA1124&lt;&gt;"",AB1124&lt;&gt;"",AC1124&lt;&gt;"",BB1124&lt;&gt;"",BC1124&lt;&gt;""),"ГОТОВО","НЕ ГОТОВО"))</f>
        <v/>
      </c>
      <c r="BE1124" s="205">
        <f>IF(BD1124&lt;&gt;"ГОТОВО","","Полное заключение: "&amp;A1124&amp;", скв. "&amp;B1124&amp;". МРП: "&amp;E1124&amp;" сут. ГНО: "&amp;F1124&amp;"; причина: "&amp;U1124&amp;"; категория: "&amp;V1124&amp;"; решение комиссии: "&amp;BB1124&amp;".")</f>
        <v/>
      </c>
      <c r="BF1124" s="173">
        <f>IF('Оперативный ввод'!X1124="","",'Оперативный ввод'!X1124)</f>
        <v/>
      </c>
    </row>
    <row r="1125">
      <c r="A1125" s="171">
        <f>IF('Оперативный ввод'!A1125="","",'Оперативный ввод'!A1125)</f>
        <v/>
      </c>
      <c r="B1125" s="172">
        <f>IF('Оперативный ввод'!B1125="","",'Оперативный ввод'!B1125)</f>
        <v/>
      </c>
      <c r="C1125" s="270">
        <f>IF('Оперативный ввод'!C1125="","",'Оперативный ввод'!C1125)</f>
        <v/>
      </c>
      <c r="D1125" s="270">
        <f>IF('Оперативный ввод'!D1125="","",'Оперативный ввод'!D1125)</f>
        <v/>
      </c>
      <c r="E1125" s="271">
        <f>IF(OR(C1125="",D1125=""),"",D1125-C1125)</f>
        <v/>
      </c>
      <c r="F1125" s="172">
        <f>IF('Оперативный ввод'!F1125="","",'Оперативный ввод'!F1125)</f>
        <v/>
      </c>
      <c r="G1125" s="172">
        <f>IF('Оперативный ввод'!G1125="","",'Оперативный ввод'!G1125)</f>
        <v/>
      </c>
      <c r="H1125" s="172">
        <f>IF('Оперативный ввод'!H1125="","",'Оперативный ввод'!H1125)</f>
        <v/>
      </c>
      <c r="I1125" s="172">
        <f>IF('Оперативный ввод'!I1125="","",'Оперативный ввод'!I1125)</f>
        <v/>
      </c>
      <c r="J1125" s="172">
        <f>IF('Оперативный ввод'!J1125="","",'Оперативный ввод'!J1125)</f>
        <v/>
      </c>
      <c r="K1125" s="172">
        <f>IF('Оперативный ввод'!K1125="","",'Оперативный ввод'!K1125)</f>
        <v/>
      </c>
      <c r="L1125" s="172">
        <f>IF('Оперативный ввод'!L1125="","",'Оперативный ввод'!L1125)</f>
        <v/>
      </c>
      <c r="M1125" s="172">
        <f>IF('Оперативный ввод'!M1125="","",'Оперативный ввод'!M1125)</f>
        <v/>
      </c>
      <c r="N1125" s="172">
        <f>IF('Оперативный ввод'!N1125="","",'Оперативный ввод'!N1125)</f>
        <v/>
      </c>
      <c r="O1125" s="172">
        <f>IF('Оперативный ввод'!O1125="","",'Оперативный ввод'!O1125)</f>
        <v/>
      </c>
      <c r="P1125" s="205">
        <f>IF(AND(A1125="",B1125=""),"",IF(AND(A1125&lt;&gt;"",B1125&lt;&gt;"",C1125&lt;&gt;"",D1125&lt;&gt;"",F1125&lt;&gt;"",G1125&lt;&gt;"",H1125&lt;&gt;"",ISERROR(SEARCH("по паспорту",G1125)),ISERROR(SEARCH("по паспорту",H1125)),I1125&lt;&gt;"",J1125&lt;&gt;"",K1125&lt;&gt;"",L1125&lt;&gt;"",M1125&lt;&gt;""),"ГОТОВО","НЕ ГОТОВО"))</f>
        <v/>
      </c>
      <c r="Q1125" s="205">
        <f>IF(P1125&lt;&gt;"ГОТОВО","", "Предварительное заключение: "&amp;A1125&amp;", скв. "&amp;B1125&amp;". МРП: "&amp;E1125&amp;" сут. ГНО: "&amp;F1125&amp;", типоразмер "&amp;G1125&amp;", марка "&amp;H1125&amp;". Событие: "&amp;I1125&amp;". Признак: "&amp;J1125&amp;". Узел: "&amp;K1125&amp;". Предварительная причина: "&amp;L1125&amp;". Основное осложнение: "&amp;M1125&amp;IF(N1125&lt;&gt;"","; сопутствующее: "&amp;N1125,"")&amp;IF(O1125&lt;&gt;"","; дополнительно: "&amp;O1125,"")&amp;".")</f>
        <v/>
      </c>
      <c r="R1125" s="172">
        <f>IF('Оперативный ввод'!P1125="","",'Оперативный ввод'!P1125)</f>
        <v/>
      </c>
      <c r="S1125" s="172">
        <f>IF('Оперативный ввод'!Q1125="","",'Оперативный ввод'!Q1125)</f>
        <v/>
      </c>
      <c r="T1125" s="172">
        <f>IF('Оперативный ввод'!R1125="","",'Оперативный ввод'!R1125)</f>
        <v/>
      </c>
      <c r="U1125" s="172">
        <f>IF('Оперативный ввод'!S1125="","",'Оперативный ввод'!S1125)</f>
        <v/>
      </c>
      <c r="V1125" s="172">
        <f>IF('Оперативный ввод'!T1125="","",'Оперативный ввод'!T1125)</f>
        <v/>
      </c>
      <c r="W1125" s="172" t="n"/>
      <c r="X1125" s="172" t="n"/>
      <c r="Y1125" s="172" t="n"/>
      <c r="Z1125" s="172" t="n"/>
      <c r="AA1125" s="172">
        <f>IF('Оперативный ввод'!U1125="","",'Оперативный ввод'!U1125)</f>
        <v/>
      </c>
      <c r="AB1125" s="172">
        <f>IF('Оперативный ввод'!V1125="","",'Оперативный ввод'!V1125)</f>
        <v/>
      </c>
      <c r="AC1125" s="172">
        <f>IF('Оперативный ввод'!W1125="","",'Оперативный ввод'!W1125)</f>
        <v/>
      </c>
      <c r="BB1125" s="172" t="n"/>
      <c r="BC1125" s="172" t="n"/>
      <c r="BD1125" s="205">
        <f>IF(AND(A1125="",B1125=""),"",IF(AND(P1125="ГОТОВО",R1125&lt;&gt;"",T1125&lt;&gt;"",U1125&lt;&gt;"",AA1125&lt;&gt;"",AB1125&lt;&gt;"",AC1125&lt;&gt;"",BB1125&lt;&gt;"",BC1125&lt;&gt;""),"ГОТОВО","НЕ ГОТОВО"))</f>
        <v/>
      </c>
      <c r="BE1125" s="205">
        <f>IF(BD1125&lt;&gt;"ГОТОВО","","Полное заключение: "&amp;A1125&amp;", скв. "&amp;B1125&amp;". МРП: "&amp;E1125&amp;" сут. ГНО: "&amp;F1125&amp;"; причина: "&amp;U1125&amp;"; категория: "&amp;V1125&amp;"; решение комиссии: "&amp;BB1125&amp;".")</f>
        <v/>
      </c>
      <c r="BF1125" s="173">
        <f>IF('Оперативный ввод'!X1125="","",'Оперативный ввод'!X1125)</f>
        <v/>
      </c>
    </row>
    <row r="1126">
      <c r="A1126" s="171">
        <f>IF('Оперативный ввод'!A1126="","",'Оперативный ввод'!A1126)</f>
        <v/>
      </c>
      <c r="B1126" s="172">
        <f>IF('Оперативный ввод'!B1126="","",'Оперативный ввод'!B1126)</f>
        <v/>
      </c>
      <c r="C1126" s="270">
        <f>IF('Оперативный ввод'!C1126="","",'Оперативный ввод'!C1126)</f>
        <v/>
      </c>
      <c r="D1126" s="270">
        <f>IF('Оперативный ввод'!D1126="","",'Оперативный ввод'!D1126)</f>
        <v/>
      </c>
      <c r="E1126" s="271">
        <f>IF(OR(C1126="",D1126=""),"",D1126-C1126)</f>
        <v/>
      </c>
      <c r="F1126" s="172">
        <f>IF('Оперативный ввод'!F1126="","",'Оперативный ввод'!F1126)</f>
        <v/>
      </c>
      <c r="G1126" s="172">
        <f>IF('Оперативный ввод'!G1126="","",'Оперативный ввод'!G1126)</f>
        <v/>
      </c>
      <c r="H1126" s="172">
        <f>IF('Оперативный ввод'!H1126="","",'Оперативный ввод'!H1126)</f>
        <v/>
      </c>
      <c r="I1126" s="172">
        <f>IF('Оперативный ввод'!I1126="","",'Оперативный ввод'!I1126)</f>
        <v/>
      </c>
      <c r="J1126" s="172">
        <f>IF('Оперативный ввод'!J1126="","",'Оперативный ввод'!J1126)</f>
        <v/>
      </c>
      <c r="K1126" s="172">
        <f>IF('Оперативный ввод'!K1126="","",'Оперативный ввод'!K1126)</f>
        <v/>
      </c>
      <c r="L1126" s="172">
        <f>IF('Оперативный ввод'!L1126="","",'Оперативный ввод'!L1126)</f>
        <v/>
      </c>
      <c r="M1126" s="172">
        <f>IF('Оперативный ввод'!M1126="","",'Оперативный ввод'!M1126)</f>
        <v/>
      </c>
      <c r="N1126" s="172">
        <f>IF('Оперативный ввод'!N1126="","",'Оперативный ввод'!N1126)</f>
        <v/>
      </c>
      <c r="O1126" s="172">
        <f>IF('Оперативный ввод'!O1126="","",'Оперативный ввод'!O1126)</f>
        <v/>
      </c>
      <c r="P1126" s="205">
        <f>IF(AND(A1126="",B1126=""),"",IF(AND(A1126&lt;&gt;"",B1126&lt;&gt;"",C1126&lt;&gt;"",D1126&lt;&gt;"",F1126&lt;&gt;"",G1126&lt;&gt;"",H1126&lt;&gt;"",ISERROR(SEARCH("по паспорту",G1126)),ISERROR(SEARCH("по паспорту",H1126)),I1126&lt;&gt;"",J1126&lt;&gt;"",K1126&lt;&gt;"",L1126&lt;&gt;"",M1126&lt;&gt;""),"ГОТОВО","НЕ ГОТОВО"))</f>
        <v/>
      </c>
      <c r="Q1126" s="205">
        <f>IF(P1126&lt;&gt;"ГОТОВО","", "Предварительное заключение: "&amp;A1126&amp;", скв. "&amp;B1126&amp;". МРП: "&amp;E1126&amp;" сут. ГНО: "&amp;F1126&amp;", типоразмер "&amp;G1126&amp;", марка "&amp;H1126&amp;". Событие: "&amp;I1126&amp;". Признак: "&amp;J1126&amp;". Узел: "&amp;K1126&amp;". Предварительная причина: "&amp;L1126&amp;". Основное осложнение: "&amp;M1126&amp;IF(N1126&lt;&gt;"","; сопутствующее: "&amp;N1126,"")&amp;IF(O1126&lt;&gt;"","; дополнительно: "&amp;O1126,"")&amp;".")</f>
        <v/>
      </c>
      <c r="R1126" s="172">
        <f>IF('Оперативный ввод'!P1126="","",'Оперативный ввод'!P1126)</f>
        <v/>
      </c>
      <c r="S1126" s="172">
        <f>IF('Оперативный ввод'!Q1126="","",'Оперативный ввод'!Q1126)</f>
        <v/>
      </c>
      <c r="T1126" s="172">
        <f>IF('Оперативный ввод'!R1126="","",'Оперативный ввод'!R1126)</f>
        <v/>
      </c>
      <c r="U1126" s="172">
        <f>IF('Оперативный ввод'!S1126="","",'Оперативный ввод'!S1126)</f>
        <v/>
      </c>
      <c r="V1126" s="172">
        <f>IF('Оперативный ввод'!T1126="","",'Оперативный ввод'!T1126)</f>
        <v/>
      </c>
      <c r="W1126" s="172" t="n"/>
      <c r="X1126" s="172" t="n"/>
      <c r="Y1126" s="172" t="n"/>
      <c r="Z1126" s="172" t="n"/>
      <c r="AA1126" s="172">
        <f>IF('Оперативный ввод'!U1126="","",'Оперативный ввод'!U1126)</f>
        <v/>
      </c>
      <c r="AB1126" s="172">
        <f>IF('Оперативный ввод'!V1126="","",'Оперативный ввод'!V1126)</f>
        <v/>
      </c>
      <c r="AC1126" s="172">
        <f>IF('Оперативный ввод'!W1126="","",'Оперативный ввод'!W1126)</f>
        <v/>
      </c>
      <c r="BB1126" s="172" t="n"/>
      <c r="BC1126" s="172" t="n"/>
      <c r="BD1126" s="205">
        <f>IF(AND(A1126="",B1126=""),"",IF(AND(P1126="ГОТОВО",R1126&lt;&gt;"",T1126&lt;&gt;"",U1126&lt;&gt;"",AA1126&lt;&gt;"",AB1126&lt;&gt;"",AC1126&lt;&gt;"",BB1126&lt;&gt;"",BC1126&lt;&gt;""),"ГОТОВО","НЕ ГОТОВО"))</f>
        <v/>
      </c>
      <c r="BE1126" s="205">
        <f>IF(BD1126&lt;&gt;"ГОТОВО","","Полное заключение: "&amp;A1126&amp;", скв. "&amp;B1126&amp;". МРП: "&amp;E1126&amp;" сут. ГНО: "&amp;F1126&amp;"; причина: "&amp;U1126&amp;"; категория: "&amp;V1126&amp;"; решение комиссии: "&amp;BB1126&amp;".")</f>
        <v/>
      </c>
      <c r="BF1126" s="173">
        <f>IF('Оперативный ввод'!X1126="","",'Оперативный ввод'!X1126)</f>
        <v/>
      </c>
    </row>
    <row r="1127">
      <c r="A1127" s="171">
        <f>IF('Оперативный ввод'!A1127="","",'Оперативный ввод'!A1127)</f>
        <v/>
      </c>
      <c r="B1127" s="172">
        <f>IF('Оперативный ввод'!B1127="","",'Оперативный ввод'!B1127)</f>
        <v/>
      </c>
      <c r="C1127" s="270">
        <f>IF('Оперативный ввод'!C1127="","",'Оперативный ввод'!C1127)</f>
        <v/>
      </c>
      <c r="D1127" s="270">
        <f>IF('Оперативный ввод'!D1127="","",'Оперативный ввод'!D1127)</f>
        <v/>
      </c>
      <c r="E1127" s="271">
        <f>IF(OR(C1127="",D1127=""),"",D1127-C1127)</f>
        <v/>
      </c>
      <c r="F1127" s="172">
        <f>IF('Оперативный ввод'!F1127="","",'Оперативный ввод'!F1127)</f>
        <v/>
      </c>
      <c r="G1127" s="172">
        <f>IF('Оперативный ввод'!G1127="","",'Оперативный ввод'!G1127)</f>
        <v/>
      </c>
      <c r="H1127" s="172">
        <f>IF('Оперативный ввод'!H1127="","",'Оперативный ввод'!H1127)</f>
        <v/>
      </c>
      <c r="I1127" s="172">
        <f>IF('Оперативный ввод'!I1127="","",'Оперативный ввод'!I1127)</f>
        <v/>
      </c>
      <c r="J1127" s="172">
        <f>IF('Оперативный ввод'!J1127="","",'Оперативный ввод'!J1127)</f>
        <v/>
      </c>
      <c r="K1127" s="172">
        <f>IF('Оперативный ввод'!K1127="","",'Оперативный ввод'!K1127)</f>
        <v/>
      </c>
      <c r="L1127" s="172">
        <f>IF('Оперативный ввод'!L1127="","",'Оперативный ввод'!L1127)</f>
        <v/>
      </c>
      <c r="M1127" s="172">
        <f>IF('Оперативный ввод'!M1127="","",'Оперативный ввод'!M1127)</f>
        <v/>
      </c>
      <c r="N1127" s="172">
        <f>IF('Оперативный ввод'!N1127="","",'Оперативный ввод'!N1127)</f>
        <v/>
      </c>
      <c r="O1127" s="172">
        <f>IF('Оперативный ввод'!O1127="","",'Оперативный ввод'!O1127)</f>
        <v/>
      </c>
      <c r="P1127" s="205">
        <f>IF(AND(A1127="",B1127=""),"",IF(AND(A1127&lt;&gt;"",B1127&lt;&gt;"",C1127&lt;&gt;"",D1127&lt;&gt;"",F1127&lt;&gt;"",G1127&lt;&gt;"",H1127&lt;&gt;"",ISERROR(SEARCH("по паспорту",G1127)),ISERROR(SEARCH("по паспорту",H1127)),I1127&lt;&gt;"",J1127&lt;&gt;"",K1127&lt;&gt;"",L1127&lt;&gt;"",M1127&lt;&gt;""),"ГОТОВО","НЕ ГОТОВО"))</f>
        <v/>
      </c>
      <c r="Q1127" s="205">
        <f>IF(P1127&lt;&gt;"ГОТОВО","", "Предварительное заключение: "&amp;A1127&amp;", скв. "&amp;B1127&amp;". МРП: "&amp;E1127&amp;" сут. ГНО: "&amp;F1127&amp;", типоразмер "&amp;G1127&amp;", марка "&amp;H1127&amp;". Событие: "&amp;I1127&amp;". Признак: "&amp;J1127&amp;". Узел: "&amp;K1127&amp;". Предварительная причина: "&amp;L1127&amp;". Основное осложнение: "&amp;M1127&amp;IF(N1127&lt;&gt;"","; сопутствующее: "&amp;N1127,"")&amp;IF(O1127&lt;&gt;"","; дополнительно: "&amp;O1127,"")&amp;".")</f>
        <v/>
      </c>
      <c r="R1127" s="172">
        <f>IF('Оперативный ввод'!P1127="","",'Оперативный ввод'!P1127)</f>
        <v/>
      </c>
      <c r="S1127" s="172">
        <f>IF('Оперативный ввод'!Q1127="","",'Оперативный ввод'!Q1127)</f>
        <v/>
      </c>
      <c r="T1127" s="172">
        <f>IF('Оперативный ввод'!R1127="","",'Оперативный ввод'!R1127)</f>
        <v/>
      </c>
      <c r="U1127" s="172">
        <f>IF('Оперативный ввод'!S1127="","",'Оперативный ввод'!S1127)</f>
        <v/>
      </c>
      <c r="V1127" s="172">
        <f>IF('Оперативный ввод'!T1127="","",'Оперативный ввод'!T1127)</f>
        <v/>
      </c>
      <c r="W1127" s="172" t="n"/>
      <c r="X1127" s="172" t="n"/>
      <c r="Y1127" s="172" t="n"/>
      <c r="Z1127" s="172" t="n"/>
      <c r="AA1127" s="172">
        <f>IF('Оперативный ввод'!U1127="","",'Оперативный ввод'!U1127)</f>
        <v/>
      </c>
      <c r="AB1127" s="172">
        <f>IF('Оперативный ввод'!V1127="","",'Оперативный ввод'!V1127)</f>
        <v/>
      </c>
      <c r="AC1127" s="172">
        <f>IF('Оперативный ввод'!W1127="","",'Оперативный ввод'!W1127)</f>
        <v/>
      </c>
      <c r="BB1127" s="172" t="n"/>
      <c r="BC1127" s="172" t="n"/>
      <c r="BD1127" s="205">
        <f>IF(AND(A1127="",B1127=""),"",IF(AND(P1127="ГОТОВО",R1127&lt;&gt;"",T1127&lt;&gt;"",U1127&lt;&gt;"",AA1127&lt;&gt;"",AB1127&lt;&gt;"",AC1127&lt;&gt;"",BB1127&lt;&gt;"",BC1127&lt;&gt;""),"ГОТОВО","НЕ ГОТОВО"))</f>
        <v/>
      </c>
      <c r="BE1127" s="205">
        <f>IF(BD1127&lt;&gt;"ГОТОВО","","Полное заключение: "&amp;A1127&amp;", скв. "&amp;B1127&amp;". МРП: "&amp;E1127&amp;" сут. ГНО: "&amp;F1127&amp;"; причина: "&amp;U1127&amp;"; категория: "&amp;V1127&amp;"; решение комиссии: "&amp;BB1127&amp;".")</f>
        <v/>
      </c>
      <c r="BF1127" s="173">
        <f>IF('Оперативный ввод'!X1127="","",'Оперативный ввод'!X1127)</f>
        <v/>
      </c>
    </row>
    <row r="1128">
      <c r="A1128" s="171">
        <f>IF('Оперативный ввод'!A1128="","",'Оперативный ввод'!A1128)</f>
        <v/>
      </c>
      <c r="B1128" s="172">
        <f>IF('Оперативный ввод'!B1128="","",'Оперативный ввод'!B1128)</f>
        <v/>
      </c>
      <c r="C1128" s="270">
        <f>IF('Оперативный ввод'!C1128="","",'Оперативный ввод'!C1128)</f>
        <v/>
      </c>
      <c r="D1128" s="270">
        <f>IF('Оперативный ввод'!D1128="","",'Оперативный ввод'!D1128)</f>
        <v/>
      </c>
      <c r="E1128" s="271">
        <f>IF(OR(C1128="",D1128=""),"",D1128-C1128)</f>
        <v/>
      </c>
      <c r="F1128" s="172">
        <f>IF('Оперативный ввод'!F1128="","",'Оперативный ввод'!F1128)</f>
        <v/>
      </c>
      <c r="G1128" s="172">
        <f>IF('Оперативный ввод'!G1128="","",'Оперативный ввод'!G1128)</f>
        <v/>
      </c>
      <c r="H1128" s="172">
        <f>IF('Оперативный ввод'!H1128="","",'Оперативный ввод'!H1128)</f>
        <v/>
      </c>
      <c r="I1128" s="172">
        <f>IF('Оперативный ввод'!I1128="","",'Оперативный ввод'!I1128)</f>
        <v/>
      </c>
      <c r="J1128" s="172">
        <f>IF('Оперативный ввод'!J1128="","",'Оперативный ввод'!J1128)</f>
        <v/>
      </c>
      <c r="K1128" s="172">
        <f>IF('Оперативный ввод'!K1128="","",'Оперативный ввод'!K1128)</f>
        <v/>
      </c>
      <c r="L1128" s="172">
        <f>IF('Оперативный ввод'!L1128="","",'Оперативный ввод'!L1128)</f>
        <v/>
      </c>
      <c r="M1128" s="172">
        <f>IF('Оперативный ввод'!M1128="","",'Оперативный ввод'!M1128)</f>
        <v/>
      </c>
      <c r="N1128" s="172">
        <f>IF('Оперативный ввод'!N1128="","",'Оперативный ввод'!N1128)</f>
        <v/>
      </c>
      <c r="O1128" s="172">
        <f>IF('Оперативный ввод'!O1128="","",'Оперативный ввод'!O1128)</f>
        <v/>
      </c>
      <c r="P1128" s="205">
        <f>IF(AND(A1128="",B1128=""),"",IF(AND(A1128&lt;&gt;"",B1128&lt;&gt;"",C1128&lt;&gt;"",D1128&lt;&gt;"",F1128&lt;&gt;"",G1128&lt;&gt;"",H1128&lt;&gt;"",ISERROR(SEARCH("по паспорту",G1128)),ISERROR(SEARCH("по паспорту",H1128)),I1128&lt;&gt;"",J1128&lt;&gt;"",K1128&lt;&gt;"",L1128&lt;&gt;"",M1128&lt;&gt;""),"ГОТОВО","НЕ ГОТОВО"))</f>
        <v/>
      </c>
      <c r="Q1128" s="205">
        <f>IF(P1128&lt;&gt;"ГОТОВО","", "Предварительное заключение: "&amp;A1128&amp;", скв. "&amp;B1128&amp;". МРП: "&amp;E1128&amp;" сут. ГНО: "&amp;F1128&amp;", типоразмер "&amp;G1128&amp;", марка "&amp;H1128&amp;". Событие: "&amp;I1128&amp;". Признак: "&amp;J1128&amp;". Узел: "&amp;K1128&amp;". Предварительная причина: "&amp;L1128&amp;". Основное осложнение: "&amp;M1128&amp;IF(N1128&lt;&gt;"","; сопутствующее: "&amp;N1128,"")&amp;IF(O1128&lt;&gt;"","; дополнительно: "&amp;O1128,"")&amp;".")</f>
        <v/>
      </c>
      <c r="R1128" s="172">
        <f>IF('Оперативный ввод'!P1128="","",'Оперативный ввод'!P1128)</f>
        <v/>
      </c>
      <c r="S1128" s="172">
        <f>IF('Оперативный ввод'!Q1128="","",'Оперативный ввод'!Q1128)</f>
        <v/>
      </c>
      <c r="T1128" s="172">
        <f>IF('Оперативный ввод'!R1128="","",'Оперативный ввод'!R1128)</f>
        <v/>
      </c>
      <c r="U1128" s="172">
        <f>IF('Оперативный ввод'!S1128="","",'Оперативный ввод'!S1128)</f>
        <v/>
      </c>
      <c r="V1128" s="172">
        <f>IF('Оперативный ввод'!T1128="","",'Оперативный ввод'!T1128)</f>
        <v/>
      </c>
      <c r="W1128" s="172" t="n"/>
      <c r="X1128" s="172" t="n"/>
      <c r="Y1128" s="172" t="n"/>
      <c r="Z1128" s="172" t="n"/>
      <c r="AA1128" s="172">
        <f>IF('Оперативный ввод'!U1128="","",'Оперативный ввод'!U1128)</f>
        <v/>
      </c>
      <c r="AB1128" s="172">
        <f>IF('Оперативный ввод'!V1128="","",'Оперативный ввод'!V1128)</f>
        <v/>
      </c>
      <c r="AC1128" s="172">
        <f>IF('Оперативный ввод'!W1128="","",'Оперативный ввод'!W1128)</f>
        <v/>
      </c>
      <c r="BB1128" s="172" t="n"/>
      <c r="BC1128" s="172" t="n"/>
      <c r="BD1128" s="205">
        <f>IF(AND(A1128="",B1128=""),"",IF(AND(P1128="ГОТОВО",R1128&lt;&gt;"",T1128&lt;&gt;"",U1128&lt;&gt;"",AA1128&lt;&gt;"",AB1128&lt;&gt;"",AC1128&lt;&gt;"",BB1128&lt;&gt;"",BC1128&lt;&gt;""),"ГОТОВО","НЕ ГОТОВО"))</f>
        <v/>
      </c>
      <c r="BE1128" s="205">
        <f>IF(BD1128&lt;&gt;"ГОТОВО","","Полное заключение: "&amp;A1128&amp;", скв. "&amp;B1128&amp;". МРП: "&amp;E1128&amp;" сут. ГНО: "&amp;F1128&amp;"; причина: "&amp;U1128&amp;"; категория: "&amp;V1128&amp;"; решение комиссии: "&amp;BB1128&amp;".")</f>
        <v/>
      </c>
      <c r="BF1128" s="173">
        <f>IF('Оперативный ввод'!X1128="","",'Оперативный ввод'!X1128)</f>
        <v/>
      </c>
    </row>
    <row r="1129">
      <c r="A1129" s="171">
        <f>IF('Оперативный ввод'!A1129="","",'Оперативный ввод'!A1129)</f>
        <v/>
      </c>
      <c r="B1129" s="172">
        <f>IF('Оперативный ввод'!B1129="","",'Оперативный ввод'!B1129)</f>
        <v/>
      </c>
      <c r="C1129" s="270">
        <f>IF('Оперативный ввод'!C1129="","",'Оперативный ввод'!C1129)</f>
        <v/>
      </c>
      <c r="D1129" s="270">
        <f>IF('Оперативный ввод'!D1129="","",'Оперативный ввод'!D1129)</f>
        <v/>
      </c>
      <c r="E1129" s="271">
        <f>IF(OR(C1129="",D1129=""),"",D1129-C1129)</f>
        <v/>
      </c>
      <c r="F1129" s="172">
        <f>IF('Оперативный ввод'!F1129="","",'Оперативный ввод'!F1129)</f>
        <v/>
      </c>
      <c r="G1129" s="172">
        <f>IF('Оперативный ввод'!G1129="","",'Оперативный ввод'!G1129)</f>
        <v/>
      </c>
      <c r="H1129" s="172">
        <f>IF('Оперативный ввод'!H1129="","",'Оперативный ввод'!H1129)</f>
        <v/>
      </c>
      <c r="I1129" s="172">
        <f>IF('Оперативный ввод'!I1129="","",'Оперативный ввод'!I1129)</f>
        <v/>
      </c>
      <c r="J1129" s="172">
        <f>IF('Оперативный ввод'!J1129="","",'Оперативный ввод'!J1129)</f>
        <v/>
      </c>
      <c r="K1129" s="172">
        <f>IF('Оперативный ввод'!K1129="","",'Оперативный ввод'!K1129)</f>
        <v/>
      </c>
      <c r="L1129" s="172">
        <f>IF('Оперативный ввод'!L1129="","",'Оперативный ввод'!L1129)</f>
        <v/>
      </c>
      <c r="M1129" s="172">
        <f>IF('Оперативный ввод'!M1129="","",'Оперативный ввод'!M1129)</f>
        <v/>
      </c>
      <c r="N1129" s="172">
        <f>IF('Оперативный ввод'!N1129="","",'Оперативный ввод'!N1129)</f>
        <v/>
      </c>
      <c r="O1129" s="172">
        <f>IF('Оперативный ввод'!O1129="","",'Оперативный ввод'!O1129)</f>
        <v/>
      </c>
      <c r="P1129" s="205">
        <f>IF(AND(A1129="",B1129=""),"",IF(AND(A1129&lt;&gt;"",B1129&lt;&gt;"",C1129&lt;&gt;"",D1129&lt;&gt;"",F1129&lt;&gt;"",G1129&lt;&gt;"",H1129&lt;&gt;"",ISERROR(SEARCH("по паспорту",G1129)),ISERROR(SEARCH("по паспорту",H1129)),I1129&lt;&gt;"",J1129&lt;&gt;"",K1129&lt;&gt;"",L1129&lt;&gt;"",M1129&lt;&gt;""),"ГОТОВО","НЕ ГОТОВО"))</f>
        <v/>
      </c>
      <c r="Q1129" s="205">
        <f>IF(P1129&lt;&gt;"ГОТОВО","", "Предварительное заключение: "&amp;A1129&amp;", скв. "&amp;B1129&amp;". МРП: "&amp;E1129&amp;" сут. ГНО: "&amp;F1129&amp;", типоразмер "&amp;G1129&amp;", марка "&amp;H1129&amp;". Событие: "&amp;I1129&amp;". Признак: "&amp;J1129&amp;". Узел: "&amp;K1129&amp;". Предварительная причина: "&amp;L1129&amp;". Основное осложнение: "&amp;M1129&amp;IF(N1129&lt;&gt;"","; сопутствующее: "&amp;N1129,"")&amp;IF(O1129&lt;&gt;"","; дополнительно: "&amp;O1129,"")&amp;".")</f>
        <v/>
      </c>
      <c r="R1129" s="172">
        <f>IF('Оперативный ввод'!P1129="","",'Оперативный ввод'!P1129)</f>
        <v/>
      </c>
      <c r="S1129" s="172">
        <f>IF('Оперативный ввод'!Q1129="","",'Оперативный ввод'!Q1129)</f>
        <v/>
      </c>
      <c r="T1129" s="172">
        <f>IF('Оперативный ввод'!R1129="","",'Оперативный ввод'!R1129)</f>
        <v/>
      </c>
      <c r="U1129" s="172">
        <f>IF('Оперативный ввод'!S1129="","",'Оперативный ввод'!S1129)</f>
        <v/>
      </c>
      <c r="V1129" s="172">
        <f>IF('Оперативный ввод'!T1129="","",'Оперативный ввод'!T1129)</f>
        <v/>
      </c>
      <c r="W1129" s="172" t="n"/>
      <c r="X1129" s="172" t="n"/>
      <c r="Y1129" s="172" t="n"/>
      <c r="Z1129" s="172" t="n"/>
      <c r="AA1129" s="172">
        <f>IF('Оперативный ввод'!U1129="","",'Оперативный ввод'!U1129)</f>
        <v/>
      </c>
      <c r="AB1129" s="172">
        <f>IF('Оперативный ввод'!V1129="","",'Оперативный ввод'!V1129)</f>
        <v/>
      </c>
      <c r="AC1129" s="172">
        <f>IF('Оперативный ввод'!W1129="","",'Оперативный ввод'!W1129)</f>
        <v/>
      </c>
      <c r="BB1129" s="172" t="n"/>
      <c r="BC1129" s="172" t="n"/>
      <c r="BD1129" s="205">
        <f>IF(AND(A1129="",B1129=""),"",IF(AND(P1129="ГОТОВО",R1129&lt;&gt;"",T1129&lt;&gt;"",U1129&lt;&gt;"",AA1129&lt;&gt;"",AB1129&lt;&gt;"",AC1129&lt;&gt;"",BB1129&lt;&gt;"",BC1129&lt;&gt;""),"ГОТОВО","НЕ ГОТОВО"))</f>
        <v/>
      </c>
      <c r="BE1129" s="205">
        <f>IF(BD1129&lt;&gt;"ГОТОВО","","Полное заключение: "&amp;A1129&amp;", скв. "&amp;B1129&amp;". МРП: "&amp;E1129&amp;" сут. ГНО: "&amp;F1129&amp;"; причина: "&amp;U1129&amp;"; категория: "&amp;V1129&amp;"; решение комиссии: "&amp;BB1129&amp;".")</f>
        <v/>
      </c>
      <c r="BF1129" s="173">
        <f>IF('Оперативный ввод'!X1129="","",'Оперативный ввод'!X1129)</f>
        <v/>
      </c>
    </row>
    <row r="1130">
      <c r="A1130" s="171">
        <f>IF('Оперативный ввод'!A1130="","",'Оперативный ввод'!A1130)</f>
        <v/>
      </c>
      <c r="B1130" s="172">
        <f>IF('Оперативный ввод'!B1130="","",'Оперативный ввод'!B1130)</f>
        <v/>
      </c>
      <c r="C1130" s="270">
        <f>IF('Оперативный ввод'!C1130="","",'Оперативный ввод'!C1130)</f>
        <v/>
      </c>
      <c r="D1130" s="270">
        <f>IF('Оперативный ввод'!D1130="","",'Оперативный ввод'!D1130)</f>
        <v/>
      </c>
      <c r="E1130" s="271">
        <f>IF(OR(C1130="",D1130=""),"",D1130-C1130)</f>
        <v/>
      </c>
      <c r="F1130" s="172">
        <f>IF('Оперативный ввод'!F1130="","",'Оперативный ввод'!F1130)</f>
        <v/>
      </c>
      <c r="G1130" s="172">
        <f>IF('Оперативный ввод'!G1130="","",'Оперативный ввод'!G1130)</f>
        <v/>
      </c>
      <c r="H1130" s="172">
        <f>IF('Оперативный ввод'!H1130="","",'Оперативный ввод'!H1130)</f>
        <v/>
      </c>
      <c r="I1130" s="172">
        <f>IF('Оперативный ввод'!I1130="","",'Оперативный ввод'!I1130)</f>
        <v/>
      </c>
      <c r="J1130" s="172">
        <f>IF('Оперативный ввод'!J1130="","",'Оперативный ввод'!J1130)</f>
        <v/>
      </c>
      <c r="K1130" s="172">
        <f>IF('Оперативный ввод'!K1130="","",'Оперативный ввод'!K1130)</f>
        <v/>
      </c>
      <c r="L1130" s="172">
        <f>IF('Оперативный ввод'!L1130="","",'Оперативный ввод'!L1130)</f>
        <v/>
      </c>
      <c r="M1130" s="172">
        <f>IF('Оперативный ввод'!M1130="","",'Оперативный ввод'!M1130)</f>
        <v/>
      </c>
      <c r="N1130" s="172">
        <f>IF('Оперативный ввод'!N1130="","",'Оперативный ввод'!N1130)</f>
        <v/>
      </c>
      <c r="O1130" s="172">
        <f>IF('Оперативный ввод'!O1130="","",'Оперативный ввод'!O1130)</f>
        <v/>
      </c>
      <c r="P1130" s="205">
        <f>IF(AND(A1130="",B1130=""),"",IF(AND(A1130&lt;&gt;"",B1130&lt;&gt;"",C1130&lt;&gt;"",D1130&lt;&gt;"",F1130&lt;&gt;"",G1130&lt;&gt;"",H1130&lt;&gt;"",ISERROR(SEARCH("по паспорту",G1130)),ISERROR(SEARCH("по паспорту",H1130)),I1130&lt;&gt;"",J1130&lt;&gt;"",K1130&lt;&gt;"",L1130&lt;&gt;"",M1130&lt;&gt;""),"ГОТОВО","НЕ ГОТОВО"))</f>
        <v/>
      </c>
      <c r="Q1130" s="205">
        <f>IF(P1130&lt;&gt;"ГОТОВО","", "Предварительное заключение: "&amp;A1130&amp;", скв. "&amp;B1130&amp;". МРП: "&amp;E1130&amp;" сут. ГНО: "&amp;F1130&amp;", типоразмер "&amp;G1130&amp;", марка "&amp;H1130&amp;". Событие: "&amp;I1130&amp;". Признак: "&amp;J1130&amp;". Узел: "&amp;K1130&amp;". Предварительная причина: "&amp;L1130&amp;". Основное осложнение: "&amp;M1130&amp;IF(N1130&lt;&gt;"","; сопутствующее: "&amp;N1130,"")&amp;IF(O1130&lt;&gt;"","; дополнительно: "&amp;O1130,"")&amp;".")</f>
        <v/>
      </c>
      <c r="R1130" s="172">
        <f>IF('Оперативный ввод'!P1130="","",'Оперативный ввод'!P1130)</f>
        <v/>
      </c>
      <c r="S1130" s="172">
        <f>IF('Оперативный ввод'!Q1130="","",'Оперативный ввод'!Q1130)</f>
        <v/>
      </c>
      <c r="T1130" s="172">
        <f>IF('Оперативный ввод'!R1130="","",'Оперативный ввод'!R1130)</f>
        <v/>
      </c>
      <c r="U1130" s="172">
        <f>IF('Оперативный ввод'!S1130="","",'Оперативный ввод'!S1130)</f>
        <v/>
      </c>
      <c r="V1130" s="172">
        <f>IF('Оперативный ввод'!T1130="","",'Оперативный ввод'!T1130)</f>
        <v/>
      </c>
      <c r="W1130" s="172" t="n"/>
      <c r="X1130" s="172" t="n"/>
      <c r="Y1130" s="172" t="n"/>
      <c r="Z1130" s="172" t="n"/>
      <c r="AA1130" s="172">
        <f>IF('Оперативный ввод'!U1130="","",'Оперативный ввод'!U1130)</f>
        <v/>
      </c>
      <c r="AB1130" s="172">
        <f>IF('Оперативный ввод'!V1130="","",'Оперативный ввод'!V1130)</f>
        <v/>
      </c>
      <c r="AC1130" s="172">
        <f>IF('Оперативный ввод'!W1130="","",'Оперативный ввод'!W1130)</f>
        <v/>
      </c>
      <c r="BB1130" s="172" t="n"/>
      <c r="BC1130" s="172" t="n"/>
      <c r="BD1130" s="205">
        <f>IF(AND(A1130="",B1130=""),"",IF(AND(P1130="ГОТОВО",R1130&lt;&gt;"",T1130&lt;&gt;"",U1130&lt;&gt;"",AA1130&lt;&gt;"",AB1130&lt;&gt;"",AC1130&lt;&gt;"",BB1130&lt;&gt;"",BC1130&lt;&gt;""),"ГОТОВО","НЕ ГОТОВО"))</f>
        <v/>
      </c>
      <c r="BE1130" s="205">
        <f>IF(BD1130&lt;&gt;"ГОТОВО","","Полное заключение: "&amp;A1130&amp;", скв. "&amp;B1130&amp;". МРП: "&amp;E1130&amp;" сут. ГНО: "&amp;F1130&amp;"; причина: "&amp;U1130&amp;"; категория: "&amp;V1130&amp;"; решение комиссии: "&amp;BB1130&amp;".")</f>
        <v/>
      </c>
      <c r="BF1130" s="173">
        <f>IF('Оперативный ввод'!X1130="","",'Оперативный ввод'!X1130)</f>
        <v/>
      </c>
    </row>
    <row r="1131">
      <c r="A1131" s="171">
        <f>IF('Оперативный ввод'!A1131="","",'Оперативный ввод'!A1131)</f>
        <v/>
      </c>
      <c r="B1131" s="172">
        <f>IF('Оперативный ввод'!B1131="","",'Оперативный ввод'!B1131)</f>
        <v/>
      </c>
      <c r="C1131" s="270">
        <f>IF('Оперативный ввод'!C1131="","",'Оперативный ввод'!C1131)</f>
        <v/>
      </c>
      <c r="D1131" s="270">
        <f>IF('Оперативный ввод'!D1131="","",'Оперативный ввод'!D1131)</f>
        <v/>
      </c>
      <c r="E1131" s="271">
        <f>IF(OR(C1131="",D1131=""),"",D1131-C1131)</f>
        <v/>
      </c>
      <c r="F1131" s="172">
        <f>IF('Оперативный ввод'!F1131="","",'Оперативный ввод'!F1131)</f>
        <v/>
      </c>
      <c r="G1131" s="172">
        <f>IF('Оперативный ввод'!G1131="","",'Оперативный ввод'!G1131)</f>
        <v/>
      </c>
      <c r="H1131" s="172">
        <f>IF('Оперативный ввод'!H1131="","",'Оперативный ввод'!H1131)</f>
        <v/>
      </c>
      <c r="I1131" s="172">
        <f>IF('Оперативный ввод'!I1131="","",'Оперативный ввод'!I1131)</f>
        <v/>
      </c>
      <c r="J1131" s="172">
        <f>IF('Оперативный ввод'!J1131="","",'Оперативный ввод'!J1131)</f>
        <v/>
      </c>
      <c r="K1131" s="172">
        <f>IF('Оперативный ввод'!K1131="","",'Оперативный ввод'!K1131)</f>
        <v/>
      </c>
      <c r="L1131" s="172">
        <f>IF('Оперативный ввод'!L1131="","",'Оперативный ввод'!L1131)</f>
        <v/>
      </c>
      <c r="M1131" s="172">
        <f>IF('Оперативный ввод'!M1131="","",'Оперативный ввод'!M1131)</f>
        <v/>
      </c>
      <c r="N1131" s="172">
        <f>IF('Оперативный ввод'!N1131="","",'Оперативный ввод'!N1131)</f>
        <v/>
      </c>
      <c r="O1131" s="172">
        <f>IF('Оперативный ввод'!O1131="","",'Оперативный ввод'!O1131)</f>
        <v/>
      </c>
      <c r="P1131" s="205">
        <f>IF(AND(A1131="",B1131=""),"",IF(AND(A1131&lt;&gt;"",B1131&lt;&gt;"",C1131&lt;&gt;"",D1131&lt;&gt;"",F1131&lt;&gt;"",G1131&lt;&gt;"",H1131&lt;&gt;"",ISERROR(SEARCH("по паспорту",G1131)),ISERROR(SEARCH("по паспорту",H1131)),I1131&lt;&gt;"",J1131&lt;&gt;"",K1131&lt;&gt;"",L1131&lt;&gt;"",M1131&lt;&gt;""),"ГОТОВО","НЕ ГОТОВО"))</f>
        <v/>
      </c>
      <c r="Q1131" s="205">
        <f>IF(P1131&lt;&gt;"ГОТОВО","", "Предварительное заключение: "&amp;A1131&amp;", скв. "&amp;B1131&amp;". МРП: "&amp;E1131&amp;" сут. ГНО: "&amp;F1131&amp;", типоразмер "&amp;G1131&amp;", марка "&amp;H1131&amp;". Событие: "&amp;I1131&amp;". Признак: "&amp;J1131&amp;". Узел: "&amp;K1131&amp;". Предварительная причина: "&amp;L1131&amp;". Основное осложнение: "&amp;M1131&amp;IF(N1131&lt;&gt;"","; сопутствующее: "&amp;N1131,"")&amp;IF(O1131&lt;&gt;"","; дополнительно: "&amp;O1131,"")&amp;".")</f>
        <v/>
      </c>
      <c r="R1131" s="172">
        <f>IF('Оперативный ввод'!P1131="","",'Оперативный ввод'!P1131)</f>
        <v/>
      </c>
      <c r="S1131" s="172">
        <f>IF('Оперативный ввод'!Q1131="","",'Оперативный ввод'!Q1131)</f>
        <v/>
      </c>
      <c r="T1131" s="172">
        <f>IF('Оперативный ввод'!R1131="","",'Оперативный ввод'!R1131)</f>
        <v/>
      </c>
      <c r="U1131" s="172">
        <f>IF('Оперативный ввод'!S1131="","",'Оперативный ввод'!S1131)</f>
        <v/>
      </c>
      <c r="V1131" s="172">
        <f>IF('Оперативный ввод'!T1131="","",'Оперативный ввод'!T1131)</f>
        <v/>
      </c>
      <c r="W1131" s="172" t="n"/>
      <c r="X1131" s="172" t="n"/>
      <c r="Y1131" s="172" t="n"/>
      <c r="Z1131" s="172" t="n"/>
      <c r="AA1131" s="172">
        <f>IF('Оперативный ввод'!U1131="","",'Оперативный ввод'!U1131)</f>
        <v/>
      </c>
      <c r="AB1131" s="172">
        <f>IF('Оперативный ввод'!V1131="","",'Оперативный ввод'!V1131)</f>
        <v/>
      </c>
      <c r="AC1131" s="172">
        <f>IF('Оперативный ввод'!W1131="","",'Оперативный ввод'!W1131)</f>
        <v/>
      </c>
      <c r="BB1131" s="172" t="n"/>
      <c r="BC1131" s="172" t="n"/>
      <c r="BD1131" s="205">
        <f>IF(AND(A1131="",B1131=""),"",IF(AND(P1131="ГОТОВО",R1131&lt;&gt;"",T1131&lt;&gt;"",U1131&lt;&gt;"",AA1131&lt;&gt;"",AB1131&lt;&gt;"",AC1131&lt;&gt;"",BB1131&lt;&gt;"",BC1131&lt;&gt;""),"ГОТОВО","НЕ ГОТОВО"))</f>
        <v/>
      </c>
      <c r="BE1131" s="205">
        <f>IF(BD1131&lt;&gt;"ГОТОВО","","Полное заключение: "&amp;A1131&amp;", скв. "&amp;B1131&amp;". МРП: "&amp;E1131&amp;" сут. ГНО: "&amp;F1131&amp;"; причина: "&amp;U1131&amp;"; категория: "&amp;V1131&amp;"; решение комиссии: "&amp;BB1131&amp;".")</f>
        <v/>
      </c>
      <c r="BF1131" s="173">
        <f>IF('Оперативный ввод'!X1131="","",'Оперативный ввод'!X1131)</f>
        <v/>
      </c>
    </row>
    <row r="1132">
      <c r="A1132" s="171">
        <f>IF('Оперативный ввод'!A1132="","",'Оперативный ввод'!A1132)</f>
        <v/>
      </c>
      <c r="B1132" s="172">
        <f>IF('Оперативный ввод'!B1132="","",'Оперативный ввод'!B1132)</f>
        <v/>
      </c>
      <c r="C1132" s="270">
        <f>IF('Оперативный ввод'!C1132="","",'Оперативный ввод'!C1132)</f>
        <v/>
      </c>
      <c r="D1132" s="270">
        <f>IF('Оперативный ввод'!D1132="","",'Оперативный ввод'!D1132)</f>
        <v/>
      </c>
      <c r="E1132" s="271">
        <f>IF(OR(C1132="",D1132=""),"",D1132-C1132)</f>
        <v/>
      </c>
      <c r="F1132" s="172">
        <f>IF('Оперативный ввод'!F1132="","",'Оперативный ввод'!F1132)</f>
        <v/>
      </c>
      <c r="G1132" s="172">
        <f>IF('Оперативный ввод'!G1132="","",'Оперативный ввод'!G1132)</f>
        <v/>
      </c>
      <c r="H1132" s="172">
        <f>IF('Оперативный ввод'!H1132="","",'Оперативный ввод'!H1132)</f>
        <v/>
      </c>
      <c r="I1132" s="172">
        <f>IF('Оперативный ввод'!I1132="","",'Оперативный ввод'!I1132)</f>
        <v/>
      </c>
      <c r="J1132" s="172">
        <f>IF('Оперативный ввод'!J1132="","",'Оперативный ввод'!J1132)</f>
        <v/>
      </c>
      <c r="K1132" s="172">
        <f>IF('Оперативный ввод'!K1132="","",'Оперативный ввод'!K1132)</f>
        <v/>
      </c>
      <c r="L1132" s="172">
        <f>IF('Оперативный ввод'!L1132="","",'Оперативный ввод'!L1132)</f>
        <v/>
      </c>
      <c r="M1132" s="172">
        <f>IF('Оперативный ввод'!M1132="","",'Оперативный ввод'!M1132)</f>
        <v/>
      </c>
      <c r="N1132" s="172">
        <f>IF('Оперативный ввод'!N1132="","",'Оперативный ввод'!N1132)</f>
        <v/>
      </c>
      <c r="O1132" s="172">
        <f>IF('Оперативный ввод'!O1132="","",'Оперативный ввод'!O1132)</f>
        <v/>
      </c>
      <c r="P1132" s="205">
        <f>IF(AND(A1132="",B1132=""),"",IF(AND(A1132&lt;&gt;"",B1132&lt;&gt;"",C1132&lt;&gt;"",D1132&lt;&gt;"",F1132&lt;&gt;"",G1132&lt;&gt;"",H1132&lt;&gt;"",ISERROR(SEARCH("по паспорту",G1132)),ISERROR(SEARCH("по паспорту",H1132)),I1132&lt;&gt;"",J1132&lt;&gt;"",K1132&lt;&gt;"",L1132&lt;&gt;"",M1132&lt;&gt;""),"ГОТОВО","НЕ ГОТОВО"))</f>
        <v/>
      </c>
      <c r="Q1132" s="205">
        <f>IF(P1132&lt;&gt;"ГОТОВО","", "Предварительное заключение: "&amp;A1132&amp;", скв. "&amp;B1132&amp;". МРП: "&amp;E1132&amp;" сут. ГНО: "&amp;F1132&amp;", типоразмер "&amp;G1132&amp;", марка "&amp;H1132&amp;". Событие: "&amp;I1132&amp;". Признак: "&amp;J1132&amp;". Узел: "&amp;K1132&amp;". Предварительная причина: "&amp;L1132&amp;". Основное осложнение: "&amp;M1132&amp;IF(N1132&lt;&gt;"","; сопутствующее: "&amp;N1132,"")&amp;IF(O1132&lt;&gt;"","; дополнительно: "&amp;O1132,"")&amp;".")</f>
        <v/>
      </c>
      <c r="R1132" s="172">
        <f>IF('Оперативный ввод'!P1132="","",'Оперативный ввод'!P1132)</f>
        <v/>
      </c>
      <c r="S1132" s="172">
        <f>IF('Оперативный ввод'!Q1132="","",'Оперативный ввод'!Q1132)</f>
        <v/>
      </c>
      <c r="T1132" s="172">
        <f>IF('Оперативный ввод'!R1132="","",'Оперативный ввод'!R1132)</f>
        <v/>
      </c>
      <c r="U1132" s="172">
        <f>IF('Оперативный ввод'!S1132="","",'Оперативный ввод'!S1132)</f>
        <v/>
      </c>
      <c r="V1132" s="172">
        <f>IF('Оперативный ввод'!T1132="","",'Оперативный ввод'!T1132)</f>
        <v/>
      </c>
      <c r="W1132" s="172" t="n"/>
      <c r="X1132" s="172" t="n"/>
      <c r="Y1132" s="172" t="n"/>
      <c r="Z1132" s="172" t="n"/>
      <c r="AA1132" s="172">
        <f>IF('Оперативный ввод'!U1132="","",'Оперативный ввод'!U1132)</f>
        <v/>
      </c>
      <c r="AB1132" s="172">
        <f>IF('Оперативный ввод'!V1132="","",'Оперативный ввод'!V1132)</f>
        <v/>
      </c>
      <c r="AC1132" s="172">
        <f>IF('Оперативный ввод'!W1132="","",'Оперативный ввод'!W1132)</f>
        <v/>
      </c>
      <c r="BB1132" s="172" t="n"/>
      <c r="BC1132" s="172" t="n"/>
      <c r="BD1132" s="205">
        <f>IF(AND(A1132="",B1132=""),"",IF(AND(P1132="ГОТОВО",R1132&lt;&gt;"",T1132&lt;&gt;"",U1132&lt;&gt;"",AA1132&lt;&gt;"",AB1132&lt;&gt;"",AC1132&lt;&gt;"",BB1132&lt;&gt;"",BC1132&lt;&gt;""),"ГОТОВО","НЕ ГОТОВО"))</f>
        <v/>
      </c>
      <c r="BE1132" s="205">
        <f>IF(BD1132&lt;&gt;"ГОТОВО","","Полное заключение: "&amp;A1132&amp;", скв. "&amp;B1132&amp;". МРП: "&amp;E1132&amp;" сут. ГНО: "&amp;F1132&amp;"; причина: "&amp;U1132&amp;"; категория: "&amp;V1132&amp;"; решение комиссии: "&amp;BB1132&amp;".")</f>
        <v/>
      </c>
      <c r="BF1132" s="173">
        <f>IF('Оперативный ввод'!X1132="","",'Оперативный ввод'!X1132)</f>
        <v/>
      </c>
    </row>
    <row r="1133">
      <c r="A1133" s="171">
        <f>IF('Оперативный ввод'!A1133="","",'Оперативный ввод'!A1133)</f>
        <v/>
      </c>
      <c r="B1133" s="172">
        <f>IF('Оперативный ввод'!B1133="","",'Оперативный ввод'!B1133)</f>
        <v/>
      </c>
      <c r="C1133" s="270">
        <f>IF('Оперативный ввод'!C1133="","",'Оперативный ввод'!C1133)</f>
        <v/>
      </c>
      <c r="D1133" s="270">
        <f>IF('Оперативный ввод'!D1133="","",'Оперативный ввод'!D1133)</f>
        <v/>
      </c>
      <c r="E1133" s="271">
        <f>IF(OR(C1133="",D1133=""),"",D1133-C1133)</f>
        <v/>
      </c>
      <c r="F1133" s="172">
        <f>IF('Оперативный ввод'!F1133="","",'Оперативный ввод'!F1133)</f>
        <v/>
      </c>
      <c r="G1133" s="172">
        <f>IF('Оперативный ввод'!G1133="","",'Оперативный ввод'!G1133)</f>
        <v/>
      </c>
      <c r="H1133" s="172">
        <f>IF('Оперативный ввод'!H1133="","",'Оперативный ввод'!H1133)</f>
        <v/>
      </c>
      <c r="I1133" s="172">
        <f>IF('Оперативный ввод'!I1133="","",'Оперативный ввод'!I1133)</f>
        <v/>
      </c>
      <c r="J1133" s="172">
        <f>IF('Оперативный ввод'!J1133="","",'Оперативный ввод'!J1133)</f>
        <v/>
      </c>
      <c r="K1133" s="172">
        <f>IF('Оперативный ввод'!K1133="","",'Оперативный ввод'!K1133)</f>
        <v/>
      </c>
      <c r="L1133" s="172">
        <f>IF('Оперативный ввод'!L1133="","",'Оперативный ввод'!L1133)</f>
        <v/>
      </c>
      <c r="M1133" s="172">
        <f>IF('Оперативный ввод'!M1133="","",'Оперативный ввод'!M1133)</f>
        <v/>
      </c>
      <c r="N1133" s="172">
        <f>IF('Оперативный ввод'!N1133="","",'Оперативный ввод'!N1133)</f>
        <v/>
      </c>
      <c r="O1133" s="172">
        <f>IF('Оперативный ввод'!O1133="","",'Оперативный ввод'!O1133)</f>
        <v/>
      </c>
      <c r="P1133" s="205">
        <f>IF(AND(A1133="",B1133=""),"",IF(AND(A1133&lt;&gt;"",B1133&lt;&gt;"",C1133&lt;&gt;"",D1133&lt;&gt;"",F1133&lt;&gt;"",G1133&lt;&gt;"",H1133&lt;&gt;"",ISERROR(SEARCH("по паспорту",G1133)),ISERROR(SEARCH("по паспорту",H1133)),I1133&lt;&gt;"",J1133&lt;&gt;"",K1133&lt;&gt;"",L1133&lt;&gt;"",M1133&lt;&gt;""),"ГОТОВО","НЕ ГОТОВО"))</f>
        <v/>
      </c>
      <c r="Q1133" s="205">
        <f>IF(P1133&lt;&gt;"ГОТОВО","", "Предварительное заключение: "&amp;A1133&amp;", скв. "&amp;B1133&amp;". МРП: "&amp;E1133&amp;" сут. ГНО: "&amp;F1133&amp;", типоразмер "&amp;G1133&amp;", марка "&amp;H1133&amp;". Событие: "&amp;I1133&amp;". Признак: "&amp;J1133&amp;". Узел: "&amp;K1133&amp;". Предварительная причина: "&amp;L1133&amp;". Основное осложнение: "&amp;M1133&amp;IF(N1133&lt;&gt;"","; сопутствующее: "&amp;N1133,"")&amp;IF(O1133&lt;&gt;"","; дополнительно: "&amp;O1133,"")&amp;".")</f>
        <v/>
      </c>
      <c r="R1133" s="172">
        <f>IF('Оперативный ввод'!P1133="","",'Оперативный ввод'!P1133)</f>
        <v/>
      </c>
      <c r="S1133" s="172">
        <f>IF('Оперативный ввод'!Q1133="","",'Оперативный ввод'!Q1133)</f>
        <v/>
      </c>
      <c r="T1133" s="172">
        <f>IF('Оперативный ввод'!R1133="","",'Оперативный ввод'!R1133)</f>
        <v/>
      </c>
      <c r="U1133" s="172">
        <f>IF('Оперативный ввод'!S1133="","",'Оперативный ввод'!S1133)</f>
        <v/>
      </c>
      <c r="V1133" s="172">
        <f>IF('Оперативный ввод'!T1133="","",'Оперативный ввод'!T1133)</f>
        <v/>
      </c>
      <c r="W1133" s="172" t="n"/>
      <c r="X1133" s="172" t="n"/>
      <c r="Y1133" s="172" t="n"/>
      <c r="Z1133" s="172" t="n"/>
      <c r="AA1133" s="172">
        <f>IF('Оперативный ввод'!U1133="","",'Оперативный ввод'!U1133)</f>
        <v/>
      </c>
      <c r="AB1133" s="172">
        <f>IF('Оперативный ввод'!V1133="","",'Оперативный ввод'!V1133)</f>
        <v/>
      </c>
      <c r="AC1133" s="172">
        <f>IF('Оперативный ввод'!W1133="","",'Оперативный ввод'!W1133)</f>
        <v/>
      </c>
      <c r="BB1133" s="172" t="n"/>
      <c r="BC1133" s="172" t="n"/>
      <c r="BD1133" s="205">
        <f>IF(AND(A1133="",B1133=""),"",IF(AND(P1133="ГОТОВО",R1133&lt;&gt;"",T1133&lt;&gt;"",U1133&lt;&gt;"",AA1133&lt;&gt;"",AB1133&lt;&gt;"",AC1133&lt;&gt;"",BB1133&lt;&gt;"",BC1133&lt;&gt;""),"ГОТОВО","НЕ ГОТОВО"))</f>
        <v/>
      </c>
      <c r="BE1133" s="205">
        <f>IF(BD1133&lt;&gt;"ГОТОВО","","Полное заключение: "&amp;A1133&amp;", скв. "&amp;B1133&amp;". МРП: "&amp;E1133&amp;" сут. ГНО: "&amp;F1133&amp;"; причина: "&amp;U1133&amp;"; категория: "&amp;V1133&amp;"; решение комиссии: "&amp;BB1133&amp;".")</f>
        <v/>
      </c>
      <c r="BF1133" s="173">
        <f>IF('Оперативный ввод'!X1133="","",'Оперативный ввод'!X1133)</f>
        <v/>
      </c>
    </row>
    <row r="1134">
      <c r="A1134" s="171">
        <f>IF('Оперативный ввод'!A1134="","",'Оперативный ввод'!A1134)</f>
        <v/>
      </c>
      <c r="B1134" s="172">
        <f>IF('Оперативный ввод'!B1134="","",'Оперативный ввод'!B1134)</f>
        <v/>
      </c>
      <c r="C1134" s="270">
        <f>IF('Оперативный ввод'!C1134="","",'Оперативный ввод'!C1134)</f>
        <v/>
      </c>
      <c r="D1134" s="270">
        <f>IF('Оперативный ввод'!D1134="","",'Оперативный ввод'!D1134)</f>
        <v/>
      </c>
      <c r="E1134" s="271">
        <f>IF(OR(C1134="",D1134=""),"",D1134-C1134)</f>
        <v/>
      </c>
      <c r="F1134" s="172">
        <f>IF('Оперативный ввод'!F1134="","",'Оперативный ввод'!F1134)</f>
        <v/>
      </c>
      <c r="G1134" s="172">
        <f>IF('Оперативный ввод'!G1134="","",'Оперативный ввод'!G1134)</f>
        <v/>
      </c>
      <c r="H1134" s="172">
        <f>IF('Оперативный ввод'!H1134="","",'Оперативный ввод'!H1134)</f>
        <v/>
      </c>
      <c r="I1134" s="172">
        <f>IF('Оперативный ввод'!I1134="","",'Оперативный ввод'!I1134)</f>
        <v/>
      </c>
      <c r="J1134" s="172">
        <f>IF('Оперативный ввод'!J1134="","",'Оперативный ввод'!J1134)</f>
        <v/>
      </c>
      <c r="K1134" s="172">
        <f>IF('Оперативный ввод'!K1134="","",'Оперативный ввод'!K1134)</f>
        <v/>
      </c>
      <c r="L1134" s="172">
        <f>IF('Оперативный ввод'!L1134="","",'Оперативный ввод'!L1134)</f>
        <v/>
      </c>
      <c r="M1134" s="172">
        <f>IF('Оперативный ввод'!M1134="","",'Оперативный ввод'!M1134)</f>
        <v/>
      </c>
      <c r="N1134" s="172">
        <f>IF('Оперативный ввод'!N1134="","",'Оперативный ввод'!N1134)</f>
        <v/>
      </c>
      <c r="O1134" s="172">
        <f>IF('Оперативный ввод'!O1134="","",'Оперативный ввод'!O1134)</f>
        <v/>
      </c>
      <c r="P1134" s="205">
        <f>IF(AND(A1134="",B1134=""),"",IF(AND(A1134&lt;&gt;"",B1134&lt;&gt;"",C1134&lt;&gt;"",D1134&lt;&gt;"",F1134&lt;&gt;"",G1134&lt;&gt;"",H1134&lt;&gt;"",ISERROR(SEARCH("по паспорту",G1134)),ISERROR(SEARCH("по паспорту",H1134)),I1134&lt;&gt;"",J1134&lt;&gt;"",K1134&lt;&gt;"",L1134&lt;&gt;"",M1134&lt;&gt;""),"ГОТОВО","НЕ ГОТОВО"))</f>
        <v/>
      </c>
      <c r="Q1134" s="205">
        <f>IF(P1134&lt;&gt;"ГОТОВО","", "Предварительное заключение: "&amp;A1134&amp;", скв. "&amp;B1134&amp;". МРП: "&amp;E1134&amp;" сут. ГНО: "&amp;F1134&amp;", типоразмер "&amp;G1134&amp;", марка "&amp;H1134&amp;". Событие: "&amp;I1134&amp;". Признак: "&amp;J1134&amp;". Узел: "&amp;K1134&amp;". Предварительная причина: "&amp;L1134&amp;". Основное осложнение: "&amp;M1134&amp;IF(N1134&lt;&gt;"","; сопутствующее: "&amp;N1134,"")&amp;IF(O1134&lt;&gt;"","; дополнительно: "&amp;O1134,"")&amp;".")</f>
        <v/>
      </c>
      <c r="R1134" s="172">
        <f>IF('Оперативный ввод'!P1134="","",'Оперативный ввод'!P1134)</f>
        <v/>
      </c>
      <c r="S1134" s="172">
        <f>IF('Оперативный ввод'!Q1134="","",'Оперативный ввод'!Q1134)</f>
        <v/>
      </c>
      <c r="T1134" s="172">
        <f>IF('Оперативный ввод'!R1134="","",'Оперативный ввод'!R1134)</f>
        <v/>
      </c>
      <c r="U1134" s="172">
        <f>IF('Оперативный ввод'!S1134="","",'Оперативный ввод'!S1134)</f>
        <v/>
      </c>
      <c r="V1134" s="172">
        <f>IF('Оперативный ввод'!T1134="","",'Оперативный ввод'!T1134)</f>
        <v/>
      </c>
      <c r="W1134" s="172" t="n"/>
      <c r="X1134" s="172" t="n"/>
      <c r="Y1134" s="172" t="n"/>
      <c r="Z1134" s="172" t="n"/>
      <c r="AA1134" s="172">
        <f>IF('Оперативный ввод'!U1134="","",'Оперативный ввод'!U1134)</f>
        <v/>
      </c>
      <c r="AB1134" s="172">
        <f>IF('Оперативный ввод'!V1134="","",'Оперативный ввод'!V1134)</f>
        <v/>
      </c>
      <c r="AC1134" s="172">
        <f>IF('Оперативный ввод'!W1134="","",'Оперативный ввод'!W1134)</f>
        <v/>
      </c>
      <c r="BB1134" s="172" t="n"/>
      <c r="BC1134" s="172" t="n"/>
      <c r="BD1134" s="205">
        <f>IF(AND(A1134="",B1134=""),"",IF(AND(P1134="ГОТОВО",R1134&lt;&gt;"",T1134&lt;&gt;"",U1134&lt;&gt;"",AA1134&lt;&gt;"",AB1134&lt;&gt;"",AC1134&lt;&gt;"",BB1134&lt;&gt;"",BC1134&lt;&gt;""),"ГОТОВО","НЕ ГОТОВО"))</f>
        <v/>
      </c>
      <c r="BE1134" s="205">
        <f>IF(BD1134&lt;&gt;"ГОТОВО","","Полное заключение: "&amp;A1134&amp;", скв. "&amp;B1134&amp;". МРП: "&amp;E1134&amp;" сут. ГНО: "&amp;F1134&amp;"; причина: "&amp;U1134&amp;"; категория: "&amp;V1134&amp;"; решение комиссии: "&amp;BB1134&amp;".")</f>
        <v/>
      </c>
      <c r="BF1134" s="173">
        <f>IF('Оперативный ввод'!X1134="","",'Оперативный ввод'!X1134)</f>
        <v/>
      </c>
    </row>
    <row r="1135">
      <c r="A1135" s="171">
        <f>IF('Оперативный ввод'!A1135="","",'Оперативный ввод'!A1135)</f>
        <v/>
      </c>
      <c r="B1135" s="172">
        <f>IF('Оперативный ввод'!B1135="","",'Оперативный ввод'!B1135)</f>
        <v/>
      </c>
      <c r="C1135" s="270">
        <f>IF('Оперативный ввод'!C1135="","",'Оперативный ввод'!C1135)</f>
        <v/>
      </c>
      <c r="D1135" s="270">
        <f>IF('Оперативный ввод'!D1135="","",'Оперативный ввод'!D1135)</f>
        <v/>
      </c>
      <c r="E1135" s="271">
        <f>IF(OR(C1135="",D1135=""),"",D1135-C1135)</f>
        <v/>
      </c>
      <c r="F1135" s="172">
        <f>IF('Оперативный ввод'!F1135="","",'Оперативный ввод'!F1135)</f>
        <v/>
      </c>
      <c r="G1135" s="172">
        <f>IF('Оперативный ввод'!G1135="","",'Оперативный ввод'!G1135)</f>
        <v/>
      </c>
      <c r="H1135" s="172">
        <f>IF('Оперативный ввод'!H1135="","",'Оперативный ввод'!H1135)</f>
        <v/>
      </c>
      <c r="I1135" s="172">
        <f>IF('Оперативный ввод'!I1135="","",'Оперативный ввод'!I1135)</f>
        <v/>
      </c>
      <c r="J1135" s="172">
        <f>IF('Оперативный ввод'!J1135="","",'Оперативный ввод'!J1135)</f>
        <v/>
      </c>
      <c r="K1135" s="172">
        <f>IF('Оперативный ввод'!K1135="","",'Оперативный ввод'!K1135)</f>
        <v/>
      </c>
      <c r="L1135" s="172">
        <f>IF('Оперативный ввод'!L1135="","",'Оперативный ввод'!L1135)</f>
        <v/>
      </c>
      <c r="M1135" s="172">
        <f>IF('Оперативный ввод'!M1135="","",'Оперативный ввод'!M1135)</f>
        <v/>
      </c>
      <c r="N1135" s="172">
        <f>IF('Оперативный ввод'!N1135="","",'Оперативный ввод'!N1135)</f>
        <v/>
      </c>
      <c r="O1135" s="172">
        <f>IF('Оперативный ввод'!O1135="","",'Оперативный ввод'!O1135)</f>
        <v/>
      </c>
      <c r="P1135" s="205">
        <f>IF(AND(A1135="",B1135=""),"",IF(AND(A1135&lt;&gt;"",B1135&lt;&gt;"",C1135&lt;&gt;"",D1135&lt;&gt;"",F1135&lt;&gt;"",G1135&lt;&gt;"",H1135&lt;&gt;"",ISERROR(SEARCH("по паспорту",G1135)),ISERROR(SEARCH("по паспорту",H1135)),I1135&lt;&gt;"",J1135&lt;&gt;"",K1135&lt;&gt;"",L1135&lt;&gt;"",M1135&lt;&gt;""),"ГОТОВО","НЕ ГОТОВО"))</f>
        <v/>
      </c>
      <c r="Q1135" s="205">
        <f>IF(P1135&lt;&gt;"ГОТОВО","", "Предварительное заключение: "&amp;A1135&amp;", скв. "&amp;B1135&amp;". МРП: "&amp;E1135&amp;" сут. ГНО: "&amp;F1135&amp;", типоразмер "&amp;G1135&amp;", марка "&amp;H1135&amp;". Событие: "&amp;I1135&amp;". Признак: "&amp;J1135&amp;". Узел: "&amp;K1135&amp;". Предварительная причина: "&amp;L1135&amp;". Основное осложнение: "&amp;M1135&amp;IF(N1135&lt;&gt;"","; сопутствующее: "&amp;N1135,"")&amp;IF(O1135&lt;&gt;"","; дополнительно: "&amp;O1135,"")&amp;".")</f>
        <v/>
      </c>
      <c r="R1135" s="172">
        <f>IF('Оперативный ввод'!P1135="","",'Оперативный ввод'!P1135)</f>
        <v/>
      </c>
      <c r="S1135" s="172">
        <f>IF('Оперативный ввод'!Q1135="","",'Оперативный ввод'!Q1135)</f>
        <v/>
      </c>
      <c r="T1135" s="172">
        <f>IF('Оперативный ввод'!R1135="","",'Оперативный ввод'!R1135)</f>
        <v/>
      </c>
      <c r="U1135" s="172">
        <f>IF('Оперативный ввод'!S1135="","",'Оперативный ввод'!S1135)</f>
        <v/>
      </c>
      <c r="V1135" s="172">
        <f>IF('Оперативный ввод'!T1135="","",'Оперативный ввод'!T1135)</f>
        <v/>
      </c>
      <c r="W1135" s="172" t="n"/>
      <c r="X1135" s="172" t="n"/>
      <c r="Y1135" s="172" t="n"/>
      <c r="Z1135" s="172" t="n"/>
      <c r="AA1135" s="172">
        <f>IF('Оперативный ввод'!U1135="","",'Оперативный ввод'!U1135)</f>
        <v/>
      </c>
      <c r="AB1135" s="172">
        <f>IF('Оперативный ввод'!V1135="","",'Оперативный ввод'!V1135)</f>
        <v/>
      </c>
      <c r="AC1135" s="172">
        <f>IF('Оперативный ввод'!W1135="","",'Оперативный ввод'!W1135)</f>
        <v/>
      </c>
      <c r="BB1135" s="172" t="n"/>
      <c r="BC1135" s="172" t="n"/>
      <c r="BD1135" s="205">
        <f>IF(AND(A1135="",B1135=""),"",IF(AND(P1135="ГОТОВО",R1135&lt;&gt;"",T1135&lt;&gt;"",U1135&lt;&gt;"",AA1135&lt;&gt;"",AB1135&lt;&gt;"",AC1135&lt;&gt;"",BB1135&lt;&gt;"",BC1135&lt;&gt;""),"ГОТОВО","НЕ ГОТОВО"))</f>
        <v/>
      </c>
      <c r="BE1135" s="205">
        <f>IF(BD1135&lt;&gt;"ГОТОВО","","Полное заключение: "&amp;A1135&amp;", скв. "&amp;B1135&amp;". МРП: "&amp;E1135&amp;" сут. ГНО: "&amp;F1135&amp;"; причина: "&amp;U1135&amp;"; категория: "&amp;V1135&amp;"; решение комиссии: "&amp;BB1135&amp;".")</f>
        <v/>
      </c>
      <c r="BF1135" s="173">
        <f>IF('Оперативный ввод'!X1135="","",'Оперативный ввод'!X1135)</f>
        <v/>
      </c>
    </row>
    <row r="1136">
      <c r="A1136" s="171">
        <f>IF('Оперативный ввод'!A1136="","",'Оперативный ввод'!A1136)</f>
        <v/>
      </c>
      <c r="B1136" s="172">
        <f>IF('Оперативный ввод'!B1136="","",'Оперативный ввод'!B1136)</f>
        <v/>
      </c>
      <c r="C1136" s="270">
        <f>IF('Оперативный ввод'!C1136="","",'Оперативный ввод'!C1136)</f>
        <v/>
      </c>
      <c r="D1136" s="270">
        <f>IF('Оперативный ввод'!D1136="","",'Оперативный ввод'!D1136)</f>
        <v/>
      </c>
      <c r="E1136" s="271">
        <f>IF(OR(C1136="",D1136=""),"",D1136-C1136)</f>
        <v/>
      </c>
      <c r="F1136" s="172">
        <f>IF('Оперативный ввод'!F1136="","",'Оперативный ввод'!F1136)</f>
        <v/>
      </c>
      <c r="G1136" s="172">
        <f>IF('Оперативный ввод'!G1136="","",'Оперативный ввод'!G1136)</f>
        <v/>
      </c>
      <c r="H1136" s="172">
        <f>IF('Оперативный ввод'!H1136="","",'Оперативный ввод'!H1136)</f>
        <v/>
      </c>
      <c r="I1136" s="172">
        <f>IF('Оперативный ввод'!I1136="","",'Оперативный ввод'!I1136)</f>
        <v/>
      </c>
      <c r="J1136" s="172">
        <f>IF('Оперативный ввод'!J1136="","",'Оперативный ввод'!J1136)</f>
        <v/>
      </c>
      <c r="K1136" s="172">
        <f>IF('Оперативный ввод'!K1136="","",'Оперативный ввод'!K1136)</f>
        <v/>
      </c>
      <c r="L1136" s="172">
        <f>IF('Оперативный ввод'!L1136="","",'Оперативный ввод'!L1136)</f>
        <v/>
      </c>
      <c r="M1136" s="172">
        <f>IF('Оперативный ввод'!M1136="","",'Оперативный ввод'!M1136)</f>
        <v/>
      </c>
      <c r="N1136" s="172">
        <f>IF('Оперативный ввод'!N1136="","",'Оперативный ввод'!N1136)</f>
        <v/>
      </c>
      <c r="O1136" s="172">
        <f>IF('Оперативный ввод'!O1136="","",'Оперативный ввод'!O1136)</f>
        <v/>
      </c>
      <c r="P1136" s="205">
        <f>IF(AND(A1136="",B1136=""),"",IF(AND(A1136&lt;&gt;"",B1136&lt;&gt;"",C1136&lt;&gt;"",D1136&lt;&gt;"",F1136&lt;&gt;"",G1136&lt;&gt;"",H1136&lt;&gt;"",ISERROR(SEARCH("по паспорту",G1136)),ISERROR(SEARCH("по паспорту",H1136)),I1136&lt;&gt;"",J1136&lt;&gt;"",K1136&lt;&gt;"",L1136&lt;&gt;"",M1136&lt;&gt;""),"ГОТОВО","НЕ ГОТОВО"))</f>
        <v/>
      </c>
      <c r="Q1136" s="205">
        <f>IF(P1136&lt;&gt;"ГОТОВО","", "Предварительное заключение: "&amp;A1136&amp;", скв. "&amp;B1136&amp;". МРП: "&amp;E1136&amp;" сут. ГНО: "&amp;F1136&amp;", типоразмер "&amp;G1136&amp;", марка "&amp;H1136&amp;". Событие: "&amp;I1136&amp;". Признак: "&amp;J1136&amp;". Узел: "&amp;K1136&amp;". Предварительная причина: "&amp;L1136&amp;". Основное осложнение: "&amp;M1136&amp;IF(N1136&lt;&gt;"","; сопутствующее: "&amp;N1136,"")&amp;IF(O1136&lt;&gt;"","; дополнительно: "&amp;O1136,"")&amp;".")</f>
        <v/>
      </c>
      <c r="R1136" s="172">
        <f>IF('Оперативный ввод'!P1136="","",'Оперативный ввод'!P1136)</f>
        <v/>
      </c>
      <c r="S1136" s="172">
        <f>IF('Оперативный ввод'!Q1136="","",'Оперативный ввод'!Q1136)</f>
        <v/>
      </c>
      <c r="T1136" s="172">
        <f>IF('Оперативный ввод'!R1136="","",'Оперативный ввод'!R1136)</f>
        <v/>
      </c>
      <c r="U1136" s="172">
        <f>IF('Оперативный ввод'!S1136="","",'Оперативный ввод'!S1136)</f>
        <v/>
      </c>
      <c r="V1136" s="172">
        <f>IF('Оперативный ввод'!T1136="","",'Оперативный ввод'!T1136)</f>
        <v/>
      </c>
      <c r="W1136" s="172" t="n"/>
      <c r="X1136" s="172" t="n"/>
      <c r="Y1136" s="172" t="n"/>
      <c r="Z1136" s="172" t="n"/>
      <c r="AA1136" s="172">
        <f>IF('Оперативный ввод'!U1136="","",'Оперативный ввод'!U1136)</f>
        <v/>
      </c>
      <c r="AB1136" s="172">
        <f>IF('Оперативный ввод'!V1136="","",'Оперативный ввод'!V1136)</f>
        <v/>
      </c>
      <c r="AC1136" s="172">
        <f>IF('Оперативный ввод'!W1136="","",'Оперативный ввод'!W1136)</f>
        <v/>
      </c>
      <c r="BB1136" s="172" t="n"/>
      <c r="BC1136" s="172" t="n"/>
      <c r="BD1136" s="205">
        <f>IF(AND(A1136="",B1136=""),"",IF(AND(P1136="ГОТОВО",R1136&lt;&gt;"",T1136&lt;&gt;"",U1136&lt;&gt;"",AA1136&lt;&gt;"",AB1136&lt;&gt;"",AC1136&lt;&gt;"",BB1136&lt;&gt;"",BC1136&lt;&gt;""),"ГОТОВО","НЕ ГОТОВО"))</f>
        <v/>
      </c>
      <c r="BE1136" s="205">
        <f>IF(BD1136&lt;&gt;"ГОТОВО","","Полное заключение: "&amp;A1136&amp;", скв. "&amp;B1136&amp;". МРП: "&amp;E1136&amp;" сут. ГНО: "&amp;F1136&amp;"; причина: "&amp;U1136&amp;"; категория: "&amp;V1136&amp;"; решение комиссии: "&amp;BB1136&amp;".")</f>
        <v/>
      </c>
      <c r="BF1136" s="173">
        <f>IF('Оперативный ввод'!X1136="","",'Оперативный ввод'!X1136)</f>
        <v/>
      </c>
    </row>
    <row r="1137">
      <c r="A1137" s="171">
        <f>IF('Оперативный ввод'!A1137="","",'Оперативный ввод'!A1137)</f>
        <v/>
      </c>
      <c r="B1137" s="172">
        <f>IF('Оперативный ввод'!B1137="","",'Оперативный ввод'!B1137)</f>
        <v/>
      </c>
      <c r="C1137" s="270">
        <f>IF('Оперативный ввод'!C1137="","",'Оперативный ввод'!C1137)</f>
        <v/>
      </c>
      <c r="D1137" s="270">
        <f>IF('Оперативный ввод'!D1137="","",'Оперативный ввод'!D1137)</f>
        <v/>
      </c>
      <c r="E1137" s="271">
        <f>IF(OR(C1137="",D1137=""),"",D1137-C1137)</f>
        <v/>
      </c>
      <c r="F1137" s="172">
        <f>IF('Оперативный ввод'!F1137="","",'Оперативный ввод'!F1137)</f>
        <v/>
      </c>
      <c r="G1137" s="172">
        <f>IF('Оперативный ввод'!G1137="","",'Оперативный ввод'!G1137)</f>
        <v/>
      </c>
      <c r="H1137" s="172">
        <f>IF('Оперативный ввод'!H1137="","",'Оперативный ввод'!H1137)</f>
        <v/>
      </c>
      <c r="I1137" s="172">
        <f>IF('Оперативный ввод'!I1137="","",'Оперативный ввод'!I1137)</f>
        <v/>
      </c>
      <c r="J1137" s="172">
        <f>IF('Оперативный ввод'!J1137="","",'Оперативный ввод'!J1137)</f>
        <v/>
      </c>
      <c r="K1137" s="172">
        <f>IF('Оперативный ввод'!K1137="","",'Оперативный ввод'!K1137)</f>
        <v/>
      </c>
      <c r="L1137" s="172">
        <f>IF('Оперативный ввод'!L1137="","",'Оперативный ввод'!L1137)</f>
        <v/>
      </c>
      <c r="M1137" s="172">
        <f>IF('Оперативный ввод'!M1137="","",'Оперативный ввод'!M1137)</f>
        <v/>
      </c>
      <c r="N1137" s="172">
        <f>IF('Оперативный ввод'!N1137="","",'Оперативный ввод'!N1137)</f>
        <v/>
      </c>
      <c r="O1137" s="172">
        <f>IF('Оперативный ввод'!O1137="","",'Оперативный ввод'!O1137)</f>
        <v/>
      </c>
      <c r="P1137" s="205">
        <f>IF(AND(A1137="",B1137=""),"",IF(AND(A1137&lt;&gt;"",B1137&lt;&gt;"",C1137&lt;&gt;"",D1137&lt;&gt;"",F1137&lt;&gt;"",G1137&lt;&gt;"",H1137&lt;&gt;"",ISERROR(SEARCH("по паспорту",G1137)),ISERROR(SEARCH("по паспорту",H1137)),I1137&lt;&gt;"",J1137&lt;&gt;"",K1137&lt;&gt;"",L1137&lt;&gt;"",M1137&lt;&gt;""),"ГОТОВО","НЕ ГОТОВО"))</f>
        <v/>
      </c>
      <c r="Q1137" s="205">
        <f>IF(P1137&lt;&gt;"ГОТОВО","", "Предварительное заключение: "&amp;A1137&amp;", скв. "&amp;B1137&amp;". МРП: "&amp;E1137&amp;" сут. ГНО: "&amp;F1137&amp;", типоразмер "&amp;G1137&amp;", марка "&amp;H1137&amp;". Событие: "&amp;I1137&amp;". Признак: "&amp;J1137&amp;". Узел: "&amp;K1137&amp;". Предварительная причина: "&amp;L1137&amp;". Основное осложнение: "&amp;M1137&amp;IF(N1137&lt;&gt;"","; сопутствующее: "&amp;N1137,"")&amp;IF(O1137&lt;&gt;"","; дополнительно: "&amp;O1137,"")&amp;".")</f>
        <v/>
      </c>
      <c r="R1137" s="172">
        <f>IF('Оперативный ввод'!P1137="","",'Оперативный ввод'!P1137)</f>
        <v/>
      </c>
      <c r="S1137" s="172">
        <f>IF('Оперативный ввод'!Q1137="","",'Оперативный ввод'!Q1137)</f>
        <v/>
      </c>
      <c r="T1137" s="172">
        <f>IF('Оперативный ввод'!R1137="","",'Оперативный ввод'!R1137)</f>
        <v/>
      </c>
      <c r="U1137" s="172">
        <f>IF('Оперативный ввод'!S1137="","",'Оперативный ввод'!S1137)</f>
        <v/>
      </c>
      <c r="V1137" s="172">
        <f>IF('Оперативный ввод'!T1137="","",'Оперативный ввод'!T1137)</f>
        <v/>
      </c>
      <c r="W1137" s="172" t="n"/>
      <c r="X1137" s="172" t="n"/>
      <c r="Y1137" s="172" t="n"/>
      <c r="Z1137" s="172" t="n"/>
      <c r="AA1137" s="172">
        <f>IF('Оперативный ввод'!U1137="","",'Оперативный ввод'!U1137)</f>
        <v/>
      </c>
      <c r="AB1137" s="172">
        <f>IF('Оперативный ввод'!V1137="","",'Оперативный ввод'!V1137)</f>
        <v/>
      </c>
      <c r="AC1137" s="172">
        <f>IF('Оперативный ввод'!W1137="","",'Оперативный ввод'!W1137)</f>
        <v/>
      </c>
      <c r="BB1137" s="172" t="n"/>
      <c r="BC1137" s="172" t="n"/>
      <c r="BD1137" s="205">
        <f>IF(AND(A1137="",B1137=""),"",IF(AND(P1137="ГОТОВО",R1137&lt;&gt;"",T1137&lt;&gt;"",U1137&lt;&gt;"",AA1137&lt;&gt;"",AB1137&lt;&gt;"",AC1137&lt;&gt;"",BB1137&lt;&gt;"",BC1137&lt;&gt;""),"ГОТОВО","НЕ ГОТОВО"))</f>
        <v/>
      </c>
      <c r="BE1137" s="205">
        <f>IF(BD1137&lt;&gt;"ГОТОВО","","Полное заключение: "&amp;A1137&amp;", скв. "&amp;B1137&amp;". МРП: "&amp;E1137&amp;" сут. ГНО: "&amp;F1137&amp;"; причина: "&amp;U1137&amp;"; категория: "&amp;V1137&amp;"; решение комиссии: "&amp;BB1137&amp;".")</f>
        <v/>
      </c>
      <c r="BF1137" s="173">
        <f>IF('Оперативный ввод'!X1137="","",'Оперативный ввод'!X1137)</f>
        <v/>
      </c>
    </row>
    <row r="1138">
      <c r="A1138" s="171">
        <f>IF('Оперативный ввод'!A1138="","",'Оперативный ввод'!A1138)</f>
        <v/>
      </c>
      <c r="B1138" s="172">
        <f>IF('Оперативный ввод'!B1138="","",'Оперативный ввод'!B1138)</f>
        <v/>
      </c>
      <c r="C1138" s="270">
        <f>IF('Оперативный ввод'!C1138="","",'Оперативный ввод'!C1138)</f>
        <v/>
      </c>
      <c r="D1138" s="270">
        <f>IF('Оперативный ввод'!D1138="","",'Оперативный ввод'!D1138)</f>
        <v/>
      </c>
      <c r="E1138" s="271">
        <f>IF(OR(C1138="",D1138=""),"",D1138-C1138)</f>
        <v/>
      </c>
      <c r="F1138" s="172">
        <f>IF('Оперативный ввод'!F1138="","",'Оперативный ввод'!F1138)</f>
        <v/>
      </c>
      <c r="G1138" s="172">
        <f>IF('Оперативный ввод'!G1138="","",'Оперативный ввод'!G1138)</f>
        <v/>
      </c>
      <c r="H1138" s="172">
        <f>IF('Оперативный ввод'!H1138="","",'Оперативный ввод'!H1138)</f>
        <v/>
      </c>
      <c r="I1138" s="172">
        <f>IF('Оперативный ввод'!I1138="","",'Оперативный ввод'!I1138)</f>
        <v/>
      </c>
      <c r="J1138" s="172">
        <f>IF('Оперативный ввод'!J1138="","",'Оперативный ввод'!J1138)</f>
        <v/>
      </c>
      <c r="K1138" s="172">
        <f>IF('Оперативный ввод'!K1138="","",'Оперативный ввод'!K1138)</f>
        <v/>
      </c>
      <c r="L1138" s="172">
        <f>IF('Оперативный ввод'!L1138="","",'Оперативный ввод'!L1138)</f>
        <v/>
      </c>
      <c r="M1138" s="172">
        <f>IF('Оперативный ввод'!M1138="","",'Оперативный ввод'!M1138)</f>
        <v/>
      </c>
      <c r="N1138" s="172">
        <f>IF('Оперативный ввод'!N1138="","",'Оперативный ввод'!N1138)</f>
        <v/>
      </c>
      <c r="O1138" s="172">
        <f>IF('Оперативный ввод'!O1138="","",'Оперативный ввод'!O1138)</f>
        <v/>
      </c>
      <c r="P1138" s="205">
        <f>IF(AND(A1138="",B1138=""),"",IF(AND(A1138&lt;&gt;"",B1138&lt;&gt;"",C1138&lt;&gt;"",D1138&lt;&gt;"",F1138&lt;&gt;"",G1138&lt;&gt;"",H1138&lt;&gt;"",ISERROR(SEARCH("по паспорту",G1138)),ISERROR(SEARCH("по паспорту",H1138)),I1138&lt;&gt;"",J1138&lt;&gt;"",K1138&lt;&gt;"",L1138&lt;&gt;"",M1138&lt;&gt;""),"ГОТОВО","НЕ ГОТОВО"))</f>
        <v/>
      </c>
      <c r="Q1138" s="205">
        <f>IF(P1138&lt;&gt;"ГОТОВО","", "Предварительное заключение: "&amp;A1138&amp;", скв. "&amp;B1138&amp;". МРП: "&amp;E1138&amp;" сут. ГНО: "&amp;F1138&amp;", типоразмер "&amp;G1138&amp;", марка "&amp;H1138&amp;". Событие: "&amp;I1138&amp;". Признак: "&amp;J1138&amp;". Узел: "&amp;K1138&amp;". Предварительная причина: "&amp;L1138&amp;". Основное осложнение: "&amp;M1138&amp;IF(N1138&lt;&gt;"","; сопутствующее: "&amp;N1138,"")&amp;IF(O1138&lt;&gt;"","; дополнительно: "&amp;O1138,"")&amp;".")</f>
        <v/>
      </c>
      <c r="R1138" s="172">
        <f>IF('Оперативный ввод'!P1138="","",'Оперативный ввод'!P1138)</f>
        <v/>
      </c>
      <c r="S1138" s="172">
        <f>IF('Оперативный ввод'!Q1138="","",'Оперативный ввод'!Q1138)</f>
        <v/>
      </c>
      <c r="T1138" s="172">
        <f>IF('Оперативный ввод'!R1138="","",'Оперативный ввод'!R1138)</f>
        <v/>
      </c>
      <c r="U1138" s="172">
        <f>IF('Оперативный ввод'!S1138="","",'Оперативный ввод'!S1138)</f>
        <v/>
      </c>
      <c r="V1138" s="172">
        <f>IF('Оперативный ввод'!T1138="","",'Оперативный ввод'!T1138)</f>
        <v/>
      </c>
      <c r="W1138" s="172" t="n"/>
      <c r="X1138" s="172" t="n"/>
      <c r="Y1138" s="172" t="n"/>
      <c r="Z1138" s="172" t="n"/>
      <c r="AA1138" s="172">
        <f>IF('Оперативный ввод'!U1138="","",'Оперативный ввод'!U1138)</f>
        <v/>
      </c>
      <c r="AB1138" s="172">
        <f>IF('Оперативный ввод'!V1138="","",'Оперативный ввод'!V1138)</f>
        <v/>
      </c>
      <c r="AC1138" s="172">
        <f>IF('Оперативный ввод'!W1138="","",'Оперативный ввод'!W1138)</f>
        <v/>
      </c>
      <c r="BB1138" s="172" t="n"/>
      <c r="BC1138" s="172" t="n"/>
      <c r="BD1138" s="205">
        <f>IF(AND(A1138="",B1138=""),"",IF(AND(P1138="ГОТОВО",R1138&lt;&gt;"",T1138&lt;&gt;"",U1138&lt;&gt;"",AA1138&lt;&gt;"",AB1138&lt;&gt;"",AC1138&lt;&gt;"",BB1138&lt;&gt;"",BC1138&lt;&gt;""),"ГОТОВО","НЕ ГОТОВО"))</f>
        <v/>
      </c>
      <c r="BE1138" s="205">
        <f>IF(BD1138&lt;&gt;"ГОТОВО","","Полное заключение: "&amp;A1138&amp;", скв. "&amp;B1138&amp;". МРП: "&amp;E1138&amp;" сут. ГНО: "&amp;F1138&amp;"; причина: "&amp;U1138&amp;"; категория: "&amp;V1138&amp;"; решение комиссии: "&amp;BB1138&amp;".")</f>
        <v/>
      </c>
      <c r="BF1138" s="173">
        <f>IF('Оперативный ввод'!X1138="","",'Оперативный ввод'!X1138)</f>
        <v/>
      </c>
    </row>
    <row r="1139">
      <c r="A1139" s="171">
        <f>IF('Оперативный ввод'!A1139="","",'Оперативный ввод'!A1139)</f>
        <v/>
      </c>
      <c r="B1139" s="172">
        <f>IF('Оперативный ввод'!B1139="","",'Оперативный ввод'!B1139)</f>
        <v/>
      </c>
      <c r="C1139" s="270">
        <f>IF('Оперативный ввод'!C1139="","",'Оперативный ввод'!C1139)</f>
        <v/>
      </c>
      <c r="D1139" s="270">
        <f>IF('Оперативный ввод'!D1139="","",'Оперативный ввод'!D1139)</f>
        <v/>
      </c>
      <c r="E1139" s="271">
        <f>IF(OR(C1139="",D1139=""),"",D1139-C1139)</f>
        <v/>
      </c>
      <c r="F1139" s="172">
        <f>IF('Оперативный ввод'!F1139="","",'Оперативный ввод'!F1139)</f>
        <v/>
      </c>
      <c r="G1139" s="172">
        <f>IF('Оперативный ввод'!G1139="","",'Оперативный ввод'!G1139)</f>
        <v/>
      </c>
      <c r="H1139" s="172">
        <f>IF('Оперативный ввод'!H1139="","",'Оперативный ввод'!H1139)</f>
        <v/>
      </c>
      <c r="I1139" s="172">
        <f>IF('Оперативный ввод'!I1139="","",'Оперативный ввод'!I1139)</f>
        <v/>
      </c>
      <c r="J1139" s="172">
        <f>IF('Оперативный ввод'!J1139="","",'Оперативный ввод'!J1139)</f>
        <v/>
      </c>
      <c r="K1139" s="172">
        <f>IF('Оперативный ввод'!K1139="","",'Оперативный ввод'!K1139)</f>
        <v/>
      </c>
      <c r="L1139" s="172">
        <f>IF('Оперативный ввод'!L1139="","",'Оперативный ввод'!L1139)</f>
        <v/>
      </c>
      <c r="M1139" s="172">
        <f>IF('Оперативный ввод'!M1139="","",'Оперативный ввод'!M1139)</f>
        <v/>
      </c>
      <c r="N1139" s="172">
        <f>IF('Оперативный ввод'!N1139="","",'Оперативный ввод'!N1139)</f>
        <v/>
      </c>
      <c r="O1139" s="172">
        <f>IF('Оперативный ввод'!O1139="","",'Оперативный ввод'!O1139)</f>
        <v/>
      </c>
      <c r="P1139" s="205">
        <f>IF(AND(A1139="",B1139=""),"",IF(AND(A1139&lt;&gt;"",B1139&lt;&gt;"",C1139&lt;&gt;"",D1139&lt;&gt;"",F1139&lt;&gt;"",G1139&lt;&gt;"",H1139&lt;&gt;"",ISERROR(SEARCH("по паспорту",G1139)),ISERROR(SEARCH("по паспорту",H1139)),I1139&lt;&gt;"",J1139&lt;&gt;"",K1139&lt;&gt;"",L1139&lt;&gt;"",M1139&lt;&gt;""),"ГОТОВО","НЕ ГОТОВО"))</f>
        <v/>
      </c>
      <c r="Q1139" s="205">
        <f>IF(P1139&lt;&gt;"ГОТОВО","", "Предварительное заключение: "&amp;A1139&amp;", скв. "&amp;B1139&amp;". МРП: "&amp;E1139&amp;" сут. ГНО: "&amp;F1139&amp;", типоразмер "&amp;G1139&amp;", марка "&amp;H1139&amp;". Событие: "&amp;I1139&amp;". Признак: "&amp;J1139&amp;". Узел: "&amp;K1139&amp;". Предварительная причина: "&amp;L1139&amp;". Основное осложнение: "&amp;M1139&amp;IF(N1139&lt;&gt;"","; сопутствующее: "&amp;N1139,"")&amp;IF(O1139&lt;&gt;"","; дополнительно: "&amp;O1139,"")&amp;".")</f>
        <v/>
      </c>
      <c r="R1139" s="172">
        <f>IF('Оперативный ввод'!P1139="","",'Оперативный ввод'!P1139)</f>
        <v/>
      </c>
      <c r="S1139" s="172">
        <f>IF('Оперативный ввод'!Q1139="","",'Оперативный ввод'!Q1139)</f>
        <v/>
      </c>
      <c r="T1139" s="172">
        <f>IF('Оперативный ввод'!R1139="","",'Оперативный ввод'!R1139)</f>
        <v/>
      </c>
      <c r="U1139" s="172">
        <f>IF('Оперативный ввод'!S1139="","",'Оперативный ввод'!S1139)</f>
        <v/>
      </c>
      <c r="V1139" s="172">
        <f>IF('Оперативный ввод'!T1139="","",'Оперативный ввод'!T1139)</f>
        <v/>
      </c>
      <c r="W1139" s="172" t="n"/>
      <c r="X1139" s="172" t="n"/>
      <c r="Y1139" s="172" t="n"/>
      <c r="Z1139" s="172" t="n"/>
      <c r="AA1139" s="172">
        <f>IF('Оперативный ввод'!U1139="","",'Оперативный ввод'!U1139)</f>
        <v/>
      </c>
      <c r="AB1139" s="172">
        <f>IF('Оперативный ввод'!V1139="","",'Оперативный ввод'!V1139)</f>
        <v/>
      </c>
      <c r="AC1139" s="172">
        <f>IF('Оперативный ввод'!W1139="","",'Оперативный ввод'!W1139)</f>
        <v/>
      </c>
      <c r="BB1139" s="172" t="n"/>
      <c r="BC1139" s="172" t="n"/>
      <c r="BD1139" s="205">
        <f>IF(AND(A1139="",B1139=""),"",IF(AND(P1139="ГОТОВО",R1139&lt;&gt;"",T1139&lt;&gt;"",U1139&lt;&gt;"",AA1139&lt;&gt;"",AB1139&lt;&gt;"",AC1139&lt;&gt;"",BB1139&lt;&gt;"",BC1139&lt;&gt;""),"ГОТОВО","НЕ ГОТОВО"))</f>
        <v/>
      </c>
      <c r="BE1139" s="205">
        <f>IF(BD1139&lt;&gt;"ГОТОВО","","Полное заключение: "&amp;A1139&amp;", скв. "&amp;B1139&amp;". МРП: "&amp;E1139&amp;" сут. ГНО: "&amp;F1139&amp;"; причина: "&amp;U1139&amp;"; категория: "&amp;V1139&amp;"; решение комиссии: "&amp;BB1139&amp;".")</f>
        <v/>
      </c>
      <c r="BF1139" s="173">
        <f>IF('Оперативный ввод'!X1139="","",'Оперативный ввод'!X1139)</f>
        <v/>
      </c>
    </row>
    <row r="1140">
      <c r="A1140" s="171">
        <f>IF('Оперативный ввод'!A1140="","",'Оперативный ввод'!A1140)</f>
        <v/>
      </c>
      <c r="B1140" s="172">
        <f>IF('Оперативный ввод'!B1140="","",'Оперативный ввод'!B1140)</f>
        <v/>
      </c>
      <c r="C1140" s="270">
        <f>IF('Оперативный ввод'!C1140="","",'Оперативный ввод'!C1140)</f>
        <v/>
      </c>
      <c r="D1140" s="270">
        <f>IF('Оперативный ввод'!D1140="","",'Оперативный ввод'!D1140)</f>
        <v/>
      </c>
      <c r="E1140" s="271">
        <f>IF(OR(C1140="",D1140=""),"",D1140-C1140)</f>
        <v/>
      </c>
      <c r="F1140" s="172">
        <f>IF('Оперативный ввод'!F1140="","",'Оперативный ввод'!F1140)</f>
        <v/>
      </c>
      <c r="G1140" s="172">
        <f>IF('Оперативный ввод'!G1140="","",'Оперативный ввод'!G1140)</f>
        <v/>
      </c>
      <c r="H1140" s="172">
        <f>IF('Оперативный ввод'!H1140="","",'Оперативный ввод'!H1140)</f>
        <v/>
      </c>
      <c r="I1140" s="172">
        <f>IF('Оперативный ввод'!I1140="","",'Оперативный ввод'!I1140)</f>
        <v/>
      </c>
      <c r="J1140" s="172">
        <f>IF('Оперативный ввод'!J1140="","",'Оперативный ввод'!J1140)</f>
        <v/>
      </c>
      <c r="K1140" s="172">
        <f>IF('Оперативный ввод'!K1140="","",'Оперативный ввод'!K1140)</f>
        <v/>
      </c>
      <c r="L1140" s="172">
        <f>IF('Оперативный ввод'!L1140="","",'Оперативный ввод'!L1140)</f>
        <v/>
      </c>
      <c r="M1140" s="172">
        <f>IF('Оперативный ввод'!M1140="","",'Оперативный ввод'!M1140)</f>
        <v/>
      </c>
      <c r="N1140" s="172">
        <f>IF('Оперативный ввод'!N1140="","",'Оперативный ввод'!N1140)</f>
        <v/>
      </c>
      <c r="O1140" s="172">
        <f>IF('Оперативный ввод'!O1140="","",'Оперативный ввод'!O1140)</f>
        <v/>
      </c>
      <c r="P1140" s="205">
        <f>IF(AND(A1140="",B1140=""),"",IF(AND(A1140&lt;&gt;"",B1140&lt;&gt;"",C1140&lt;&gt;"",D1140&lt;&gt;"",F1140&lt;&gt;"",G1140&lt;&gt;"",H1140&lt;&gt;"",ISERROR(SEARCH("по паспорту",G1140)),ISERROR(SEARCH("по паспорту",H1140)),I1140&lt;&gt;"",J1140&lt;&gt;"",K1140&lt;&gt;"",L1140&lt;&gt;"",M1140&lt;&gt;""),"ГОТОВО","НЕ ГОТОВО"))</f>
        <v/>
      </c>
      <c r="Q1140" s="205">
        <f>IF(P1140&lt;&gt;"ГОТОВО","", "Предварительное заключение: "&amp;A1140&amp;", скв. "&amp;B1140&amp;". МРП: "&amp;E1140&amp;" сут. ГНО: "&amp;F1140&amp;", типоразмер "&amp;G1140&amp;", марка "&amp;H1140&amp;". Событие: "&amp;I1140&amp;". Признак: "&amp;J1140&amp;". Узел: "&amp;K1140&amp;". Предварительная причина: "&amp;L1140&amp;". Основное осложнение: "&amp;M1140&amp;IF(N1140&lt;&gt;"","; сопутствующее: "&amp;N1140,"")&amp;IF(O1140&lt;&gt;"","; дополнительно: "&amp;O1140,"")&amp;".")</f>
        <v/>
      </c>
      <c r="R1140" s="172">
        <f>IF('Оперативный ввод'!P1140="","",'Оперативный ввод'!P1140)</f>
        <v/>
      </c>
      <c r="S1140" s="172">
        <f>IF('Оперативный ввод'!Q1140="","",'Оперативный ввод'!Q1140)</f>
        <v/>
      </c>
      <c r="T1140" s="172">
        <f>IF('Оперативный ввод'!R1140="","",'Оперативный ввод'!R1140)</f>
        <v/>
      </c>
      <c r="U1140" s="172">
        <f>IF('Оперативный ввод'!S1140="","",'Оперативный ввод'!S1140)</f>
        <v/>
      </c>
      <c r="V1140" s="172">
        <f>IF('Оперативный ввод'!T1140="","",'Оперативный ввод'!T1140)</f>
        <v/>
      </c>
      <c r="W1140" s="172" t="n"/>
      <c r="X1140" s="172" t="n"/>
      <c r="Y1140" s="172" t="n"/>
      <c r="Z1140" s="172" t="n"/>
      <c r="AA1140" s="172">
        <f>IF('Оперативный ввод'!U1140="","",'Оперативный ввод'!U1140)</f>
        <v/>
      </c>
      <c r="AB1140" s="172">
        <f>IF('Оперативный ввод'!V1140="","",'Оперативный ввод'!V1140)</f>
        <v/>
      </c>
      <c r="AC1140" s="172">
        <f>IF('Оперативный ввод'!W1140="","",'Оперативный ввод'!W1140)</f>
        <v/>
      </c>
      <c r="BB1140" s="172" t="n"/>
      <c r="BC1140" s="172" t="n"/>
      <c r="BD1140" s="205">
        <f>IF(AND(A1140="",B1140=""),"",IF(AND(P1140="ГОТОВО",R1140&lt;&gt;"",T1140&lt;&gt;"",U1140&lt;&gt;"",AA1140&lt;&gt;"",AB1140&lt;&gt;"",AC1140&lt;&gt;"",BB1140&lt;&gt;"",BC1140&lt;&gt;""),"ГОТОВО","НЕ ГОТОВО"))</f>
        <v/>
      </c>
      <c r="BE1140" s="205">
        <f>IF(BD1140&lt;&gt;"ГОТОВО","","Полное заключение: "&amp;A1140&amp;", скв. "&amp;B1140&amp;". МРП: "&amp;E1140&amp;" сут. ГНО: "&amp;F1140&amp;"; причина: "&amp;U1140&amp;"; категория: "&amp;V1140&amp;"; решение комиссии: "&amp;BB1140&amp;".")</f>
        <v/>
      </c>
      <c r="BF1140" s="173">
        <f>IF('Оперативный ввод'!X1140="","",'Оперативный ввод'!X1140)</f>
        <v/>
      </c>
    </row>
    <row r="1141">
      <c r="A1141" s="171">
        <f>IF('Оперативный ввод'!A1141="","",'Оперативный ввод'!A1141)</f>
        <v/>
      </c>
      <c r="B1141" s="172">
        <f>IF('Оперативный ввод'!B1141="","",'Оперативный ввод'!B1141)</f>
        <v/>
      </c>
      <c r="C1141" s="270">
        <f>IF('Оперативный ввод'!C1141="","",'Оперативный ввод'!C1141)</f>
        <v/>
      </c>
      <c r="D1141" s="270">
        <f>IF('Оперативный ввод'!D1141="","",'Оперативный ввод'!D1141)</f>
        <v/>
      </c>
      <c r="E1141" s="271">
        <f>IF(OR(C1141="",D1141=""),"",D1141-C1141)</f>
        <v/>
      </c>
      <c r="F1141" s="172">
        <f>IF('Оперативный ввод'!F1141="","",'Оперативный ввод'!F1141)</f>
        <v/>
      </c>
      <c r="G1141" s="172">
        <f>IF('Оперативный ввод'!G1141="","",'Оперативный ввод'!G1141)</f>
        <v/>
      </c>
      <c r="H1141" s="172">
        <f>IF('Оперативный ввод'!H1141="","",'Оперативный ввод'!H1141)</f>
        <v/>
      </c>
      <c r="I1141" s="172">
        <f>IF('Оперативный ввод'!I1141="","",'Оперативный ввод'!I1141)</f>
        <v/>
      </c>
      <c r="J1141" s="172">
        <f>IF('Оперативный ввод'!J1141="","",'Оперативный ввод'!J1141)</f>
        <v/>
      </c>
      <c r="K1141" s="172">
        <f>IF('Оперативный ввод'!K1141="","",'Оперативный ввод'!K1141)</f>
        <v/>
      </c>
      <c r="L1141" s="172">
        <f>IF('Оперативный ввод'!L1141="","",'Оперативный ввод'!L1141)</f>
        <v/>
      </c>
      <c r="M1141" s="172">
        <f>IF('Оперативный ввод'!M1141="","",'Оперативный ввод'!M1141)</f>
        <v/>
      </c>
      <c r="N1141" s="172">
        <f>IF('Оперативный ввод'!N1141="","",'Оперативный ввод'!N1141)</f>
        <v/>
      </c>
      <c r="O1141" s="172">
        <f>IF('Оперативный ввод'!O1141="","",'Оперативный ввод'!O1141)</f>
        <v/>
      </c>
      <c r="P1141" s="205">
        <f>IF(AND(A1141="",B1141=""),"",IF(AND(A1141&lt;&gt;"",B1141&lt;&gt;"",C1141&lt;&gt;"",D1141&lt;&gt;"",F1141&lt;&gt;"",G1141&lt;&gt;"",H1141&lt;&gt;"",ISERROR(SEARCH("по паспорту",G1141)),ISERROR(SEARCH("по паспорту",H1141)),I1141&lt;&gt;"",J1141&lt;&gt;"",K1141&lt;&gt;"",L1141&lt;&gt;"",M1141&lt;&gt;""),"ГОТОВО","НЕ ГОТОВО"))</f>
        <v/>
      </c>
      <c r="Q1141" s="205">
        <f>IF(P1141&lt;&gt;"ГОТОВО","", "Предварительное заключение: "&amp;A1141&amp;", скв. "&amp;B1141&amp;". МРП: "&amp;E1141&amp;" сут. ГНО: "&amp;F1141&amp;", типоразмер "&amp;G1141&amp;", марка "&amp;H1141&amp;". Событие: "&amp;I1141&amp;". Признак: "&amp;J1141&amp;". Узел: "&amp;K1141&amp;". Предварительная причина: "&amp;L1141&amp;". Основное осложнение: "&amp;M1141&amp;IF(N1141&lt;&gt;"","; сопутствующее: "&amp;N1141,"")&amp;IF(O1141&lt;&gt;"","; дополнительно: "&amp;O1141,"")&amp;".")</f>
        <v/>
      </c>
      <c r="R1141" s="172">
        <f>IF('Оперативный ввод'!P1141="","",'Оперативный ввод'!P1141)</f>
        <v/>
      </c>
      <c r="S1141" s="172">
        <f>IF('Оперативный ввод'!Q1141="","",'Оперативный ввод'!Q1141)</f>
        <v/>
      </c>
      <c r="T1141" s="172">
        <f>IF('Оперативный ввод'!R1141="","",'Оперативный ввод'!R1141)</f>
        <v/>
      </c>
      <c r="U1141" s="172">
        <f>IF('Оперативный ввод'!S1141="","",'Оперативный ввод'!S1141)</f>
        <v/>
      </c>
      <c r="V1141" s="172">
        <f>IF('Оперативный ввод'!T1141="","",'Оперативный ввод'!T1141)</f>
        <v/>
      </c>
      <c r="W1141" s="172" t="n"/>
      <c r="X1141" s="172" t="n"/>
      <c r="Y1141" s="172" t="n"/>
      <c r="Z1141" s="172" t="n"/>
      <c r="AA1141" s="172">
        <f>IF('Оперативный ввод'!U1141="","",'Оперативный ввод'!U1141)</f>
        <v/>
      </c>
      <c r="AB1141" s="172">
        <f>IF('Оперативный ввод'!V1141="","",'Оперативный ввод'!V1141)</f>
        <v/>
      </c>
      <c r="AC1141" s="172">
        <f>IF('Оперативный ввод'!W1141="","",'Оперативный ввод'!W1141)</f>
        <v/>
      </c>
      <c r="BB1141" s="172" t="n"/>
      <c r="BC1141" s="172" t="n"/>
      <c r="BD1141" s="205">
        <f>IF(AND(A1141="",B1141=""),"",IF(AND(P1141="ГОТОВО",R1141&lt;&gt;"",T1141&lt;&gt;"",U1141&lt;&gt;"",AA1141&lt;&gt;"",AB1141&lt;&gt;"",AC1141&lt;&gt;"",BB1141&lt;&gt;"",BC1141&lt;&gt;""),"ГОТОВО","НЕ ГОТОВО"))</f>
        <v/>
      </c>
      <c r="BE1141" s="205">
        <f>IF(BD1141&lt;&gt;"ГОТОВО","","Полное заключение: "&amp;A1141&amp;", скв. "&amp;B1141&amp;". МРП: "&amp;E1141&amp;" сут. ГНО: "&amp;F1141&amp;"; причина: "&amp;U1141&amp;"; категория: "&amp;V1141&amp;"; решение комиссии: "&amp;BB1141&amp;".")</f>
        <v/>
      </c>
      <c r="BF1141" s="173">
        <f>IF('Оперативный ввод'!X1141="","",'Оперативный ввод'!X1141)</f>
        <v/>
      </c>
    </row>
    <row r="1142">
      <c r="A1142" s="171">
        <f>IF('Оперативный ввод'!A1142="","",'Оперативный ввод'!A1142)</f>
        <v/>
      </c>
      <c r="B1142" s="172">
        <f>IF('Оперативный ввод'!B1142="","",'Оперативный ввод'!B1142)</f>
        <v/>
      </c>
      <c r="C1142" s="270">
        <f>IF('Оперативный ввод'!C1142="","",'Оперативный ввод'!C1142)</f>
        <v/>
      </c>
      <c r="D1142" s="270">
        <f>IF('Оперативный ввод'!D1142="","",'Оперативный ввод'!D1142)</f>
        <v/>
      </c>
      <c r="E1142" s="271">
        <f>IF(OR(C1142="",D1142=""),"",D1142-C1142)</f>
        <v/>
      </c>
      <c r="F1142" s="172">
        <f>IF('Оперативный ввод'!F1142="","",'Оперативный ввод'!F1142)</f>
        <v/>
      </c>
      <c r="G1142" s="172">
        <f>IF('Оперативный ввод'!G1142="","",'Оперативный ввод'!G1142)</f>
        <v/>
      </c>
      <c r="H1142" s="172">
        <f>IF('Оперативный ввод'!H1142="","",'Оперативный ввод'!H1142)</f>
        <v/>
      </c>
      <c r="I1142" s="172">
        <f>IF('Оперативный ввод'!I1142="","",'Оперативный ввод'!I1142)</f>
        <v/>
      </c>
      <c r="J1142" s="172">
        <f>IF('Оперативный ввод'!J1142="","",'Оперативный ввод'!J1142)</f>
        <v/>
      </c>
      <c r="K1142" s="172">
        <f>IF('Оперативный ввод'!K1142="","",'Оперативный ввод'!K1142)</f>
        <v/>
      </c>
      <c r="L1142" s="172">
        <f>IF('Оперативный ввод'!L1142="","",'Оперативный ввод'!L1142)</f>
        <v/>
      </c>
      <c r="M1142" s="172">
        <f>IF('Оперативный ввод'!M1142="","",'Оперативный ввод'!M1142)</f>
        <v/>
      </c>
      <c r="N1142" s="172">
        <f>IF('Оперативный ввод'!N1142="","",'Оперативный ввод'!N1142)</f>
        <v/>
      </c>
      <c r="O1142" s="172">
        <f>IF('Оперативный ввод'!O1142="","",'Оперативный ввод'!O1142)</f>
        <v/>
      </c>
      <c r="P1142" s="205">
        <f>IF(AND(A1142="",B1142=""),"",IF(AND(A1142&lt;&gt;"",B1142&lt;&gt;"",C1142&lt;&gt;"",D1142&lt;&gt;"",F1142&lt;&gt;"",G1142&lt;&gt;"",H1142&lt;&gt;"",ISERROR(SEARCH("по паспорту",G1142)),ISERROR(SEARCH("по паспорту",H1142)),I1142&lt;&gt;"",J1142&lt;&gt;"",K1142&lt;&gt;"",L1142&lt;&gt;"",M1142&lt;&gt;""),"ГОТОВО","НЕ ГОТОВО"))</f>
        <v/>
      </c>
      <c r="Q1142" s="205">
        <f>IF(P1142&lt;&gt;"ГОТОВО","", "Предварительное заключение: "&amp;A1142&amp;", скв. "&amp;B1142&amp;". МРП: "&amp;E1142&amp;" сут. ГНО: "&amp;F1142&amp;", типоразмер "&amp;G1142&amp;", марка "&amp;H1142&amp;". Событие: "&amp;I1142&amp;". Признак: "&amp;J1142&amp;". Узел: "&amp;K1142&amp;". Предварительная причина: "&amp;L1142&amp;". Основное осложнение: "&amp;M1142&amp;IF(N1142&lt;&gt;"","; сопутствующее: "&amp;N1142,"")&amp;IF(O1142&lt;&gt;"","; дополнительно: "&amp;O1142,"")&amp;".")</f>
        <v/>
      </c>
      <c r="R1142" s="172">
        <f>IF('Оперативный ввод'!P1142="","",'Оперативный ввод'!P1142)</f>
        <v/>
      </c>
      <c r="S1142" s="172">
        <f>IF('Оперативный ввод'!Q1142="","",'Оперативный ввод'!Q1142)</f>
        <v/>
      </c>
      <c r="T1142" s="172">
        <f>IF('Оперативный ввод'!R1142="","",'Оперативный ввод'!R1142)</f>
        <v/>
      </c>
      <c r="U1142" s="172">
        <f>IF('Оперативный ввод'!S1142="","",'Оперативный ввод'!S1142)</f>
        <v/>
      </c>
      <c r="V1142" s="172">
        <f>IF('Оперативный ввод'!T1142="","",'Оперативный ввод'!T1142)</f>
        <v/>
      </c>
      <c r="W1142" s="172" t="n"/>
      <c r="X1142" s="172" t="n"/>
      <c r="Y1142" s="172" t="n"/>
      <c r="Z1142" s="172" t="n"/>
      <c r="AA1142" s="172">
        <f>IF('Оперативный ввод'!U1142="","",'Оперативный ввод'!U1142)</f>
        <v/>
      </c>
      <c r="AB1142" s="172">
        <f>IF('Оперативный ввод'!V1142="","",'Оперативный ввод'!V1142)</f>
        <v/>
      </c>
      <c r="AC1142" s="172">
        <f>IF('Оперативный ввод'!W1142="","",'Оперативный ввод'!W1142)</f>
        <v/>
      </c>
      <c r="BB1142" s="172" t="n"/>
      <c r="BC1142" s="172" t="n"/>
      <c r="BD1142" s="205">
        <f>IF(AND(A1142="",B1142=""),"",IF(AND(P1142="ГОТОВО",R1142&lt;&gt;"",T1142&lt;&gt;"",U1142&lt;&gt;"",AA1142&lt;&gt;"",AB1142&lt;&gt;"",AC1142&lt;&gt;"",BB1142&lt;&gt;"",BC1142&lt;&gt;""),"ГОТОВО","НЕ ГОТОВО"))</f>
        <v/>
      </c>
      <c r="BE1142" s="205">
        <f>IF(BD1142&lt;&gt;"ГОТОВО","","Полное заключение: "&amp;A1142&amp;", скв. "&amp;B1142&amp;". МРП: "&amp;E1142&amp;" сут. ГНО: "&amp;F1142&amp;"; причина: "&amp;U1142&amp;"; категория: "&amp;V1142&amp;"; решение комиссии: "&amp;BB1142&amp;".")</f>
        <v/>
      </c>
      <c r="BF1142" s="173">
        <f>IF('Оперативный ввод'!X1142="","",'Оперативный ввод'!X1142)</f>
        <v/>
      </c>
    </row>
    <row r="1143">
      <c r="A1143" s="171">
        <f>IF('Оперативный ввод'!A1143="","",'Оперативный ввод'!A1143)</f>
        <v/>
      </c>
      <c r="B1143" s="172">
        <f>IF('Оперативный ввод'!B1143="","",'Оперативный ввод'!B1143)</f>
        <v/>
      </c>
      <c r="C1143" s="270">
        <f>IF('Оперативный ввод'!C1143="","",'Оперативный ввод'!C1143)</f>
        <v/>
      </c>
      <c r="D1143" s="270">
        <f>IF('Оперативный ввод'!D1143="","",'Оперативный ввод'!D1143)</f>
        <v/>
      </c>
      <c r="E1143" s="271">
        <f>IF(OR(C1143="",D1143=""),"",D1143-C1143)</f>
        <v/>
      </c>
      <c r="F1143" s="172">
        <f>IF('Оперативный ввод'!F1143="","",'Оперативный ввод'!F1143)</f>
        <v/>
      </c>
      <c r="G1143" s="172">
        <f>IF('Оперативный ввод'!G1143="","",'Оперативный ввод'!G1143)</f>
        <v/>
      </c>
      <c r="H1143" s="172">
        <f>IF('Оперативный ввод'!H1143="","",'Оперативный ввод'!H1143)</f>
        <v/>
      </c>
      <c r="I1143" s="172">
        <f>IF('Оперативный ввод'!I1143="","",'Оперативный ввод'!I1143)</f>
        <v/>
      </c>
      <c r="J1143" s="172">
        <f>IF('Оперативный ввод'!J1143="","",'Оперативный ввод'!J1143)</f>
        <v/>
      </c>
      <c r="K1143" s="172">
        <f>IF('Оперативный ввод'!K1143="","",'Оперативный ввод'!K1143)</f>
        <v/>
      </c>
      <c r="L1143" s="172">
        <f>IF('Оперативный ввод'!L1143="","",'Оперативный ввод'!L1143)</f>
        <v/>
      </c>
      <c r="M1143" s="172">
        <f>IF('Оперативный ввод'!M1143="","",'Оперативный ввод'!M1143)</f>
        <v/>
      </c>
      <c r="N1143" s="172">
        <f>IF('Оперативный ввод'!N1143="","",'Оперативный ввод'!N1143)</f>
        <v/>
      </c>
      <c r="O1143" s="172">
        <f>IF('Оперативный ввод'!O1143="","",'Оперативный ввод'!O1143)</f>
        <v/>
      </c>
      <c r="P1143" s="205">
        <f>IF(AND(A1143="",B1143=""),"",IF(AND(A1143&lt;&gt;"",B1143&lt;&gt;"",C1143&lt;&gt;"",D1143&lt;&gt;"",F1143&lt;&gt;"",G1143&lt;&gt;"",H1143&lt;&gt;"",ISERROR(SEARCH("по паспорту",G1143)),ISERROR(SEARCH("по паспорту",H1143)),I1143&lt;&gt;"",J1143&lt;&gt;"",K1143&lt;&gt;"",L1143&lt;&gt;"",M1143&lt;&gt;""),"ГОТОВО","НЕ ГОТОВО"))</f>
        <v/>
      </c>
      <c r="Q1143" s="205">
        <f>IF(P1143&lt;&gt;"ГОТОВО","", "Предварительное заключение: "&amp;A1143&amp;", скв. "&amp;B1143&amp;". МРП: "&amp;E1143&amp;" сут. ГНО: "&amp;F1143&amp;", типоразмер "&amp;G1143&amp;", марка "&amp;H1143&amp;". Событие: "&amp;I1143&amp;". Признак: "&amp;J1143&amp;". Узел: "&amp;K1143&amp;". Предварительная причина: "&amp;L1143&amp;". Основное осложнение: "&amp;M1143&amp;IF(N1143&lt;&gt;"","; сопутствующее: "&amp;N1143,"")&amp;IF(O1143&lt;&gt;"","; дополнительно: "&amp;O1143,"")&amp;".")</f>
        <v/>
      </c>
      <c r="R1143" s="172">
        <f>IF('Оперативный ввод'!P1143="","",'Оперативный ввод'!P1143)</f>
        <v/>
      </c>
      <c r="S1143" s="172">
        <f>IF('Оперативный ввод'!Q1143="","",'Оперативный ввод'!Q1143)</f>
        <v/>
      </c>
      <c r="T1143" s="172">
        <f>IF('Оперативный ввод'!R1143="","",'Оперативный ввод'!R1143)</f>
        <v/>
      </c>
      <c r="U1143" s="172">
        <f>IF('Оперативный ввод'!S1143="","",'Оперативный ввод'!S1143)</f>
        <v/>
      </c>
      <c r="V1143" s="172">
        <f>IF('Оперативный ввод'!T1143="","",'Оперативный ввод'!T1143)</f>
        <v/>
      </c>
      <c r="W1143" s="172" t="n"/>
      <c r="X1143" s="172" t="n"/>
      <c r="Y1143" s="172" t="n"/>
      <c r="Z1143" s="172" t="n"/>
      <c r="AA1143" s="172">
        <f>IF('Оперативный ввод'!U1143="","",'Оперативный ввод'!U1143)</f>
        <v/>
      </c>
      <c r="AB1143" s="172">
        <f>IF('Оперативный ввод'!V1143="","",'Оперативный ввод'!V1143)</f>
        <v/>
      </c>
      <c r="AC1143" s="172">
        <f>IF('Оперативный ввод'!W1143="","",'Оперативный ввод'!W1143)</f>
        <v/>
      </c>
      <c r="BB1143" s="172" t="n"/>
      <c r="BC1143" s="172" t="n"/>
      <c r="BD1143" s="205">
        <f>IF(AND(A1143="",B1143=""),"",IF(AND(P1143="ГОТОВО",R1143&lt;&gt;"",T1143&lt;&gt;"",U1143&lt;&gt;"",AA1143&lt;&gt;"",AB1143&lt;&gt;"",AC1143&lt;&gt;"",BB1143&lt;&gt;"",BC1143&lt;&gt;""),"ГОТОВО","НЕ ГОТОВО"))</f>
        <v/>
      </c>
      <c r="BE1143" s="205">
        <f>IF(BD1143&lt;&gt;"ГОТОВО","","Полное заключение: "&amp;A1143&amp;", скв. "&amp;B1143&amp;". МРП: "&amp;E1143&amp;" сут. ГНО: "&amp;F1143&amp;"; причина: "&amp;U1143&amp;"; категория: "&amp;V1143&amp;"; решение комиссии: "&amp;BB1143&amp;".")</f>
        <v/>
      </c>
      <c r="BF1143" s="173">
        <f>IF('Оперативный ввод'!X1143="","",'Оперативный ввод'!X1143)</f>
        <v/>
      </c>
    </row>
    <row r="1144">
      <c r="A1144" s="171">
        <f>IF('Оперативный ввод'!A1144="","",'Оперативный ввод'!A1144)</f>
        <v/>
      </c>
      <c r="B1144" s="172">
        <f>IF('Оперативный ввод'!B1144="","",'Оперативный ввод'!B1144)</f>
        <v/>
      </c>
      <c r="C1144" s="270">
        <f>IF('Оперативный ввод'!C1144="","",'Оперативный ввод'!C1144)</f>
        <v/>
      </c>
      <c r="D1144" s="270">
        <f>IF('Оперативный ввод'!D1144="","",'Оперативный ввод'!D1144)</f>
        <v/>
      </c>
      <c r="E1144" s="271">
        <f>IF(OR(C1144="",D1144=""),"",D1144-C1144)</f>
        <v/>
      </c>
      <c r="F1144" s="172">
        <f>IF('Оперативный ввод'!F1144="","",'Оперативный ввод'!F1144)</f>
        <v/>
      </c>
      <c r="G1144" s="172">
        <f>IF('Оперативный ввод'!G1144="","",'Оперативный ввод'!G1144)</f>
        <v/>
      </c>
      <c r="H1144" s="172">
        <f>IF('Оперативный ввод'!H1144="","",'Оперативный ввод'!H1144)</f>
        <v/>
      </c>
      <c r="I1144" s="172">
        <f>IF('Оперативный ввод'!I1144="","",'Оперативный ввод'!I1144)</f>
        <v/>
      </c>
      <c r="J1144" s="172">
        <f>IF('Оперативный ввод'!J1144="","",'Оперативный ввод'!J1144)</f>
        <v/>
      </c>
      <c r="K1144" s="172">
        <f>IF('Оперативный ввод'!K1144="","",'Оперативный ввод'!K1144)</f>
        <v/>
      </c>
      <c r="L1144" s="172">
        <f>IF('Оперативный ввод'!L1144="","",'Оперативный ввод'!L1144)</f>
        <v/>
      </c>
      <c r="M1144" s="172">
        <f>IF('Оперативный ввод'!M1144="","",'Оперативный ввод'!M1144)</f>
        <v/>
      </c>
      <c r="N1144" s="172">
        <f>IF('Оперативный ввод'!N1144="","",'Оперативный ввод'!N1144)</f>
        <v/>
      </c>
      <c r="O1144" s="172">
        <f>IF('Оперативный ввод'!O1144="","",'Оперативный ввод'!O1144)</f>
        <v/>
      </c>
      <c r="P1144" s="205">
        <f>IF(AND(A1144="",B1144=""),"",IF(AND(A1144&lt;&gt;"",B1144&lt;&gt;"",C1144&lt;&gt;"",D1144&lt;&gt;"",F1144&lt;&gt;"",G1144&lt;&gt;"",H1144&lt;&gt;"",ISERROR(SEARCH("по паспорту",G1144)),ISERROR(SEARCH("по паспорту",H1144)),I1144&lt;&gt;"",J1144&lt;&gt;"",K1144&lt;&gt;"",L1144&lt;&gt;"",M1144&lt;&gt;""),"ГОТОВО","НЕ ГОТОВО"))</f>
        <v/>
      </c>
      <c r="Q1144" s="205">
        <f>IF(P1144&lt;&gt;"ГОТОВО","", "Предварительное заключение: "&amp;A1144&amp;", скв. "&amp;B1144&amp;". МРП: "&amp;E1144&amp;" сут. ГНО: "&amp;F1144&amp;", типоразмер "&amp;G1144&amp;", марка "&amp;H1144&amp;". Событие: "&amp;I1144&amp;". Признак: "&amp;J1144&amp;". Узел: "&amp;K1144&amp;". Предварительная причина: "&amp;L1144&amp;". Основное осложнение: "&amp;M1144&amp;IF(N1144&lt;&gt;"","; сопутствующее: "&amp;N1144,"")&amp;IF(O1144&lt;&gt;"","; дополнительно: "&amp;O1144,"")&amp;".")</f>
        <v/>
      </c>
      <c r="R1144" s="172">
        <f>IF('Оперативный ввод'!P1144="","",'Оперативный ввод'!P1144)</f>
        <v/>
      </c>
      <c r="S1144" s="172">
        <f>IF('Оперативный ввод'!Q1144="","",'Оперативный ввод'!Q1144)</f>
        <v/>
      </c>
      <c r="T1144" s="172">
        <f>IF('Оперативный ввод'!R1144="","",'Оперативный ввод'!R1144)</f>
        <v/>
      </c>
      <c r="U1144" s="172">
        <f>IF('Оперативный ввод'!S1144="","",'Оперативный ввод'!S1144)</f>
        <v/>
      </c>
      <c r="V1144" s="172">
        <f>IF('Оперативный ввод'!T1144="","",'Оперативный ввод'!T1144)</f>
        <v/>
      </c>
      <c r="W1144" s="172" t="n"/>
      <c r="X1144" s="172" t="n"/>
      <c r="Y1144" s="172" t="n"/>
      <c r="Z1144" s="172" t="n"/>
      <c r="AA1144" s="172">
        <f>IF('Оперативный ввод'!U1144="","",'Оперативный ввод'!U1144)</f>
        <v/>
      </c>
      <c r="AB1144" s="172">
        <f>IF('Оперативный ввод'!V1144="","",'Оперативный ввод'!V1144)</f>
        <v/>
      </c>
      <c r="AC1144" s="172">
        <f>IF('Оперативный ввод'!W1144="","",'Оперативный ввод'!W1144)</f>
        <v/>
      </c>
      <c r="BB1144" s="172" t="n"/>
      <c r="BC1144" s="172" t="n"/>
      <c r="BD1144" s="205">
        <f>IF(AND(A1144="",B1144=""),"",IF(AND(P1144="ГОТОВО",R1144&lt;&gt;"",T1144&lt;&gt;"",U1144&lt;&gt;"",AA1144&lt;&gt;"",AB1144&lt;&gt;"",AC1144&lt;&gt;"",BB1144&lt;&gt;"",BC1144&lt;&gt;""),"ГОТОВО","НЕ ГОТОВО"))</f>
        <v/>
      </c>
      <c r="BE1144" s="205">
        <f>IF(BD1144&lt;&gt;"ГОТОВО","","Полное заключение: "&amp;A1144&amp;", скв. "&amp;B1144&amp;". МРП: "&amp;E1144&amp;" сут. ГНО: "&amp;F1144&amp;"; причина: "&amp;U1144&amp;"; категория: "&amp;V1144&amp;"; решение комиссии: "&amp;BB1144&amp;".")</f>
        <v/>
      </c>
      <c r="BF1144" s="173">
        <f>IF('Оперативный ввод'!X1144="","",'Оперативный ввод'!X1144)</f>
        <v/>
      </c>
    </row>
    <row r="1145">
      <c r="A1145" s="171">
        <f>IF('Оперативный ввод'!A1145="","",'Оперативный ввод'!A1145)</f>
        <v/>
      </c>
      <c r="B1145" s="172">
        <f>IF('Оперативный ввод'!B1145="","",'Оперативный ввод'!B1145)</f>
        <v/>
      </c>
      <c r="C1145" s="270">
        <f>IF('Оперативный ввод'!C1145="","",'Оперативный ввод'!C1145)</f>
        <v/>
      </c>
      <c r="D1145" s="270">
        <f>IF('Оперативный ввод'!D1145="","",'Оперативный ввод'!D1145)</f>
        <v/>
      </c>
      <c r="E1145" s="271">
        <f>IF(OR(C1145="",D1145=""),"",D1145-C1145)</f>
        <v/>
      </c>
      <c r="F1145" s="172">
        <f>IF('Оперативный ввод'!F1145="","",'Оперативный ввод'!F1145)</f>
        <v/>
      </c>
      <c r="G1145" s="172">
        <f>IF('Оперативный ввод'!G1145="","",'Оперативный ввод'!G1145)</f>
        <v/>
      </c>
      <c r="H1145" s="172">
        <f>IF('Оперативный ввод'!H1145="","",'Оперативный ввод'!H1145)</f>
        <v/>
      </c>
      <c r="I1145" s="172">
        <f>IF('Оперативный ввод'!I1145="","",'Оперативный ввод'!I1145)</f>
        <v/>
      </c>
      <c r="J1145" s="172">
        <f>IF('Оперативный ввод'!J1145="","",'Оперативный ввод'!J1145)</f>
        <v/>
      </c>
      <c r="K1145" s="172">
        <f>IF('Оперативный ввод'!K1145="","",'Оперативный ввод'!K1145)</f>
        <v/>
      </c>
      <c r="L1145" s="172">
        <f>IF('Оперативный ввод'!L1145="","",'Оперативный ввод'!L1145)</f>
        <v/>
      </c>
      <c r="M1145" s="172">
        <f>IF('Оперативный ввод'!M1145="","",'Оперативный ввод'!M1145)</f>
        <v/>
      </c>
      <c r="N1145" s="172">
        <f>IF('Оперативный ввод'!N1145="","",'Оперативный ввод'!N1145)</f>
        <v/>
      </c>
      <c r="O1145" s="172">
        <f>IF('Оперативный ввод'!O1145="","",'Оперативный ввод'!O1145)</f>
        <v/>
      </c>
      <c r="P1145" s="205">
        <f>IF(AND(A1145="",B1145=""),"",IF(AND(A1145&lt;&gt;"",B1145&lt;&gt;"",C1145&lt;&gt;"",D1145&lt;&gt;"",F1145&lt;&gt;"",G1145&lt;&gt;"",H1145&lt;&gt;"",ISERROR(SEARCH("по паспорту",G1145)),ISERROR(SEARCH("по паспорту",H1145)),I1145&lt;&gt;"",J1145&lt;&gt;"",K1145&lt;&gt;"",L1145&lt;&gt;"",M1145&lt;&gt;""),"ГОТОВО","НЕ ГОТОВО"))</f>
        <v/>
      </c>
      <c r="Q1145" s="205">
        <f>IF(P1145&lt;&gt;"ГОТОВО","", "Предварительное заключение: "&amp;A1145&amp;", скв. "&amp;B1145&amp;". МРП: "&amp;E1145&amp;" сут. ГНО: "&amp;F1145&amp;", типоразмер "&amp;G1145&amp;", марка "&amp;H1145&amp;". Событие: "&amp;I1145&amp;". Признак: "&amp;J1145&amp;". Узел: "&amp;K1145&amp;". Предварительная причина: "&amp;L1145&amp;". Основное осложнение: "&amp;M1145&amp;IF(N1145&lt;&gt;"","; сопутствующее: "&amp;N1145,"")&amp;IF(O1145&lt;&gt;"","; дополнительно: "&amp;O1145,"")&amp;".")</f>
        <v/>
      </c>
      <c r="R1145" s="172">
        <f>IF('Оперативный ввод'!P1145="","",'Оперативный ввод'!P1145)</f>
        <v/>
      </c>
      <c r="S1145" s="172">
        <f>IF('Оперативный ввод'!Q1145="","",'Оперативный ввод'!Q1145)</f>
        <v/>
      </c>
      <c r="T1145" s="172">
        <f>IF('Оперативный ввод'!R1145="","",'Оперативный ввод'!R1145)</f>
        <v/>
      </c>
      <c r="U1145" s="172">
        <f>IF('Оперативный ввод'!S1145="","",'Оперативный ввод'!S1145)</f>
        <v/>
      </c>
      <c r="V1145" s="172">
        <f>IF('Оперативный ввод'!T1145="","",'Оперативный ввод'!T1145)</f>
        <v/>
      </c>
      <c r="W1145" s="172" t="n"/>
      <c r="X1145" s="172" t="n"/>
      <c r="Y1145" s="172" t="n"/>
      <c r="Z1145" s="172" t="n"/>
      <c r="AA1145" s="172">
        <f>IF('Оперативный ввод'!U1145="","",'Оперативный ввод'!U1145)</f>
        <v/>
      </c>
      <c r="AB1145" s="172">
        <f>IF('Оперативный ввод'!V1145="","",'Оперативный ввод'!V1145)</f>
        <v/>
      </c>
      <c r="AC1145" s="172">
        <f>IF('Оперативный ввод'!W1145="","",'Оперативный ввод'!W1145)</f>
        <v/>
      </c>
      <c r="BB1145" s="172" t="n"/>
      <c r="BC1145" s="172" t="n"/>
      <c r="BD1145" s="205">
        <f>IF(AND(A1145="",B1145=""),"",IF(AND(P1145="ГОТОВО",R1145&lt;&gt;"",T1145&lt;&gt;"",U1145&lt;&gt;"",AA1145&lt;&gt;"",AB1145&lt;&gt;"",AC1145&lt;&gt;"",BB1145&lt;&gt;"",BC1145&lt;&gt;""),"ГОТОВО","НЕ ГОТОВО"))</f>
        <v/>
      </c>
      <c r="BE1145" s="205">
        <f>IF(BD1145&lt;&gt;"ГОТОВО","","Полное заключение: "&amp;A1145&amp;", скв. "&amp;B1145&amp;". МРП: "&amp;E1145&amp;" сут. ГНО: "&amp;F1145&amp;"; причина: "&amp;U1145&amp;"; категория: "&amp;V1145&amp;"; решение комиссии: "&amp;BB1145&amp;".")</f>
        <v/>
      </c>
      <c r="BF1145" s="173">
        <f>IF('Оперативный ввод'!X1145="","",'Оперативный ввод'!X1145)</f>
        <v/>
      </c>
    </row>
    <row r="1146">
      <c r="A1146" s="171">
        <f>IF('Оперативный ввод'!A1146="","",'Оперативный ввод'!A1146)</f>
        <v/>
      </c>
      <c r="B1146" s="172">
        <f>IF('Оперативный ввод'!B1146="","",'Оперативный ввод'!B1146)</f>
        <v/>
      </c>
      <c r="C1146" s="270">
        <f>IF('Оперативный ввод'!C1146="","",'Оперативный ввод'!C1146)</f>
        <v/>
      </c>
      <c r="D1146" s="270">
        <f>IF('Оперативный ввод'!D1146="","",'Оперативный ввод'!D1146)</f>
        <v/>
      </c>
      <c r="E1146" s="271">
        <f>IF(OR(C1146="",D1146=""),"",D1146-C1146)</f>
        <v/>
      </c>
      <c r="F1146" s="172">
        <f>IF('Оперативный ввод'!F1146="","",'Оперативный ввод'!F1146)</f>
        <v/>
      </c>
      <c r="G1146" s="172">
        <f>IF('Оперативный ввод'!G1146="","",'Оперативный ввод'!G1146)</f>
        <v/>
      </c>
      <c r="H1146" s="172">
        <f>IF('Оперативный ввод'!H1146="","",'Оперативный ввод'!H1146)</f>
        <v/>
      </c>
      <c r="I1146" s="172">
        <f>IF('Оперативный ввод'!I1146="","",'Оперативный ввод'!I1146)</f>
        <v/>
      </c>
      <c r="J1146" s="172">
        <f>IF('Оперативный ввод'!J1146="","",'Оперативный ввод'!J1146)</f>
        <v/>
      </c>
      <c r="K1146" s="172">
        <f>IF('Оперативный ввод'!K1146="","",'Оперативный ввод'!K1146)</f>
        <v/>
      </c>
      <c r="L1146" s="172">
        <f>IF('Оперативный ввод'!L1146="","",'Оперативный ввод'!L1146)</f>
        <v/>
      </c>
      <c r="M1146" s="172">
        <f>IF('Оперативный ввод'!M1146="","",'Оперативный ввод'!M1146)</f>
        <v/>
      </c>
      <c r="N1146" s="172">
        <f>IF('Оперативный ввод'!N1146="","",'Оперативный ввод'!N1146)</f>
        <v/>
      </c>
      <c r="O1146" s="172">
        <f>IF('Оперативный ввод'!O1146="","",'Оперативный ввод'!O1146)</f>
        <v/>
      </c>
      <c r="P1146" s="205">
        <f>IF(AND(A1146="",B1146=""),"",IF(AND(A1146&lt;&gt;"",B1146&lt;&gt;"",C1146&lt;&gt;"",D1146&lt;&gt;"",F1146&lt;&gt;"",G1146&lt;&gt;"",H1146&lt;&gt;"",ISERROR(SEARCH("по паспорту",G1146)),ISERROR(SEARCH("по паспорту",H1146)),I1146&lt;&gt;"",J1146&lt;&gt;"",K1146&lt;&gt;"",L1146&lt;&gt;"",M1146&lt;&gt;""),"ГОТОВО","НЕ ГОТОВО"))</f>
        <v/>
      </c>
      <c r="Q1146" s="205">
        <f>IF(P1146&lt;&gt;"ГОТОВО","", "Предварительное заключение: "&amp;A1146&amp;", скв. "&amp;B1146&amp;". МРП: "&amp;E1146&amp;" сут. ГНО: "&amp;F1146&amp;", типоразмер "&amp;G1146&amp;", марка "&amp;H1146&amp;". Событие: "&amp;I1146&amp;". Признак: "&amp;J1146&amp;". Узел: "&amp;K1146&amp;". Предварительная причина: "&amp;L1146&amp;". Основное осложнение: "&amp;M1146&amp;IF(N1146&lt;&gt;"","; сопутствующее: "&amp;N1146,"")&amp;IF(O1146&lt;&gt;"","; дополнительно: "&amp;O1146,"")&amp;".")</f>
        <v/>
      </c>
      <c r="R1146" s="172">
        <f>IF('Оперативный ввод'!P1146="","",'Оперативный ввод'!P1146)</f>
        <v/>
      </c>
      <c r="S1146" s="172">
        <f>IF('Оперативный ввод'!Q1146="","",'Оперативный ввод'!Q1146)</f>
        <v/>
      </c>
      <c r="T1146" s="172">
        <f>IF('Оперативный ввод'!R1146="","",'Оперативный ввод'!R1146)</f>
        <v/>
      </c>
      <c r="U1146" s="172">
        <f>IF('Оперативный ввод'!S1146="","",'Оперативный ввод'!S1146)</f>
        <v/>
      </c>
      <c r="V1146" s="172">
        <f>IF('Оперативный ввод'!T1146="","",'Оперативный ввод'!T1146)</f>
        <v/>
      </c>
      <c r="W1146" s="172" t="n"/>
      <c r="X1146" s="172" t="n"/>
      <c r="Y1146" s="172" t="n"/>
      <c r="Z1146" s="172" t="n"/>
      <c r="AA1146" s="172">
        <f>IF('Оперативный ввод'!U1146="","",'Оперативный ввод'!U1146)</f>
        <v/>
      </c>
      <c r="AB1146" s="172">
        <f>IF('Оперативный ввод'!V1146="","",'Оперативный ввод'!V1146)</f>
        <v/>
      </c>
      <c r="AC1146" s="172">
        <f>IF('Оперативный ввод'!W1146="","",'Оперативный ввод'!W1146)</f>
        <v/>
      </c>
      <c r="BB1146" s="172" t="n"/>
      <c r="BC1146" s="172" t="n"/>
      <c r="BD1146" s="205">
        <f>IF(AND(A1146="",B1146=""),"",IF(AND(P1146="ГОТОВО",R1146&lt;&gt;"",T1146&lt;&gt;"",U1146&lt;&gt;"",AA1146&lt;&gt;"",AB1146&lt;&gt;"",AC1146&lt;&gt;"",BB1146&lt;&gt;"",BC1146&lt;&gt;""),"ГОТОВО","НЕ ГОТОВО"))</f>
        <v/>
      </c>
      <c r="BE1146" s="205">
        <f>IF(BD1146&lt;&gt;"ГОТОВО","","Полное заключение: "&amp;A1146&amp;", скв. "&amp;B1146&amp;". МРП: "&amp;E1146&amp;" сут. ГНО: "&amp;F1146&amp;"; причина: "&amp;U1146&amp;"; категория: "&amp;V1146&amp;"; решение комиссии: "&amp;BB1146&amp;".")</f>
        <v/>
      </c>
      <c r="BF1146" s="173">
        <f>IF('Оперативный ввод'!X1146="","",'Оперативный ввод'!X1146)</f>
        <v/>
      </c>
    </row>
    <row r="1147">
      <c r="A1147" s="171">
        <f>IF('Оперативный ввод'!A1147="","",'Оперативный ввод'!A1147)</f>
        <v/>
      </c>
      <c r="B1147" s="172">
        <f>IF('Оперативный ввод'!B1147="","",'Оперативный ввод'!B1147)</f>
        <v/>
      </c>
      <c r="C1147" s="270">
        <f>IF('Оперативный ввод'!C1147="","",'Оперативный ввод'!C1147)</f>
        <v/>
      </c>
      <c r="D1147" s="270">
        <f>IF('Оперативный ввод'!D1147="","",'Оперативный ввод'!D1147)</f>
        <v/>
      </c>
      <c r="E1147" s="271">
        <f>IF(OR(C1147="",D1147=""),"",D1147-C1147)</f>
        <v/>
      </c>
      <c r="F1147" s="172">
        <f>IF('Оперативный ввод'!F1147="","",'Оперативный ввод'!F1147)</f>
        <v/>
      </c>
      <c r="G1147" s="172">
        <f>IF('Оперативный ввод'!G1147="","",'Оперативный ввод'!G1147)</f>
        <v/>
      </c>
      <c r="H1147" s="172">
        <f>IF('Оперативный ввод'!H1147="","",'Оперативный ввод'!H1147)</f>
        <v/>
      </c>
      <c r="I1147" s="172">
        <f>IF('Оперативный ввод'!I1147="","",'Оперативный ввод'!I1147)</f>
        <v/>
      </c>
      <c r="J1147" s="172">
        <f>IF('Оперативный ввод'!J1147="","",'Оперативный ввод'!J1147)</f>
        <v/>
      </c>
      <c r="K1147" s="172">
        <f>IF('Оперативный ввод'!K1147="","",'Оперативный ввод'!K1147)</f>
        <v/>
      </c>
      <c r="L1147" s="172">
        <f>IF('Оперативный ввод'!L1147="","",'Оперативный ввод'!L1147)</f>
        <v/>
      </c>
      <c r="M1147" s="172">
        <f>IF('Оперативный ввод'!M1147="","",'Оперативный ввод'!M1147)</f>
        <v/>
      </c>
      <c r="N1147" s="172">
        <f>IF('Оперативный ввод'!N1147="","",'Оперативный ввод'!N1147)</f>
        <v/>
      </c>
      <c r="O1147" s="172">
        <f>IF('Оперативный ввод'!O1147="","",'Оперативный ввод'!O1147)</f>
        <v/>
      </c>
      <c r="P1147" s="205">
        <f>IF(AND(A1147="",B1147=""),"",IF(AND(A1147&lt;&gt;"",B1147&lt;&gt;"",C1147&lt;&gt;"",D1147&lt;&gt;"",F1147&lt;&gt;"",G1147&lt;&gt;"",H1147&lt;&gt;"",ISERROR(SEARCH("по паспорту",G1147)),ISERROR(SEARCH("по паспорту",H1147)),I1147&lt;&gt;"",J1147&lt;&gt;"",K1147&lt;&gt;"",L1147&lt;&gt;"",M1147&lt;&gt;""),"ГОТОВО","НЕ ГОТОВО"))</f>
        <v/>
      </c>
      <c r="Q1147" s="205">
        <f>IF(P1147&lt;&gt;"ГОТОВО","", "Предварительное заключение: "&amp;A1147&amp;", скв. "&amp;B1147&amp;". МРП: "&amp;E1147&amp;" сут. ГНО: "&amp;F1147&amp;", типоразмер "&amp;G1147&amp;", марка "&amp;H1147&amp;". Событие: "&amp;I1147&amp;". Признак: "&amp;J1147&amp;". Узел: "&amp;K1147&amp;". Предварительная причина: "&amp;L1147&amp;". Основное осложнение: "&amp;M1147&amp;IF(N1147&lt;&gt;"","; сопутствующее: "&amp;N1147,"")&amp;IF(O1147&lt;&gt;"","; дополнительно: "&amp;O1147,"")&amp;".")</f>
        <v/>
      </c>
      <c r="R1147" s="172">
        <f>IF('Оперативный ввод'!P1147="","",'Оперативный ввод'!P1147)</f>
        <v/>
      </c>
      <c r="S1147" s="172">
        <f>IF('Оперативный ввод'!Q1147="","",'Оперативный ввод'!Q1147)</f>
        <v/>
      </c>
      <c r="T1147" s="172">
        <f>IF('Оперативный ввод'!R1147="","",'Оперативный ввод'!R1147)</f>
        <v/>
      </c>
      <c r="U1147" s="172">
        <f>IF('Оперативный ввод'!S1147="","",'Оперативный ввод'!S1147)</f>
        <v/>
      </c>
      <c r="V1147" s="172">
        <f>IF('Оперативный ввод'!T1147="","",'Оперативный ввод'!T1147)</f>
        <v/>
      </c>
      <c r="W1147" s="172" t="n"/>
      <c r="X1147" s="172" t="n"/>
      <c r="Y1147" s="172" t="n"/>
      <c r="Z1147" s="172" t="n"/>
      <c r="AA1147" s="172">
        <f>IF('Оперативный ввод'!U1147="","",'Оперативный ввод'!U1147)</f>
        <v/>
      </c>
      <c r="AB1147" s="172">
        <f>IF('Оперативный ввод'!V1147="","",'Оперативный ввод'!V1147)</f>
        <v/>
      </c>
      <c r="AC1147" s="172">
        <f>IF('Оперативный ввод'!W1147="","",'Оперативный ввод'!W1147)</f>
        <v/>
      </c>
      <c r="BB1147" s="172" t="n"/>
      <c r="BC1147" s="172" t="n"/>
      <c r="BD1147" s="205">
        <f>IF(AND(A1147="",B1147=""),"",IF(AND(P1147="ГОТОВО",R1147&lt;&gt;"",T1147&lt;&gt;"",U1147&lt;&gt;"",AA1147&lt;&gt;"",AB1147&lt;&gt;"",AC1147&lt;&gt;"",BB1147&lt;&gt;"",BC1147&lt;&gt;""),"ГОТОВО","НЕ ГОТОВО"))</f>
        <v/>
      </c>
      <c r="BE1147" s="205">
        <f>IF(BD1147&lt;&gt;"ГОТОВО","","Полное заключение: "&amp;A1147&amp;", скв. "&amp;B1147&amp;". МРП: "&amp;E1147&amp;" сут. ГНО: "&amp;F1147&amp;"; причина: "&amp;U1147&amp;"; категория: "&amp;V1147&amp;"; решение комиссии: "&amp;BB1147&amp;".")</f>
        <v/>
      </c>
      <c r="BF1147" s="173">
        <f>IF('Оперативный ввод'!X1147="","",'Оперативный ввод'!X1147)</f>
        <v/>
      </c>
    </row>
    <row r="1148">
      <c r="A1148" s="171">
        <f>IF('Оперативный ввод'!A1148="","",'Оперативный ввод'!A1148)</f>
        <v/>
      </c>
      <c r="B1148" s="172">
        <f>IF('Оперативный ввод'!B1148="","",'Оперативный ввод'!B1148)</f>
        <v/>
      </c>
      <c r="C1148" s="270">
        <f>IF('Оперативный ввод'!C1148="","",'Оперативный ввод'!C1148)</f>
        <v/>
      </c>
      <c r="D1148" s="270">
        <f>IF('Оперативный ввод'!D1148="","",'Оперативный ввод'!D1148)</f>
        <v/>
      </c>
      <c r="E1148" s="271">
        <f>IF(OR(C1148="",D1148=""),"",D1148-C1148)</f>
        <v/>
      </c>
      <c r="F1148" s="172">
        <f>IF('Оперативный ввод'!F1148="","",'Оперативный ввод'!F1148)</f>
        <v/>
      </c>
      <c r="G1148" s="172">
        <f>IF('Оперативный ввод'!G1148="","",'Оперативный ввод'!G1148)</f>
        <v/>
      </c>
      <c r="H1148" s="172">
        <f>IF('Оперативный ввод'!H1148="","",'Оперативный ввод'!H1148)</f>
        <v/>
      </c>
      <c r="I1148" s="172">
        <f>IF('Оперативный ввод'!I1148="","",'Оперативный ввод'!I1148)</f>
        <v/>
      </c>
      <c r="J1148" s="172">
        <f>IF('Оперативный ввод'!J1148="","",'Оперативный ввод'!J1148)</f>
        <v/>
      </c>
      <c r="K1148" s="172">
        <f>IF('Оперативный ввод'!K1148="","",'Оперативный ввод'!K1148)</f>
        <v/>
      </c>
      <c r="L1148" s="172">
        <f>IF('Оперативный ввод'!L1148="","",'Оперативный ввод'!L1148)</f>
        <v/>
      </c>
      <c r="M1148" s="172">
        <f>IF('Оперативный ввод'!M1148="","",'Оперативный ввод'!M1148)</f>
        <v/>
      </c>
      <c r="N1148" s="172">
        <f>IF('Оперативный ввод'!N1148="","",'Оперативный ввод'!N1148)</f>
        <v/>
      </c>
      <c r="O1148" s="172">
        <f>IF('Оперативный ввод'!O1148="","",'Оперативный ввод'!O1148)</f>
        <v/>
      </c>
      <c r="P1148" s="205">
        <f>IF(AND(A1148="",B1148=""),"",IF(AND(A1148&lt;&gt;"",B1148&lt;&gt;"",C1148&lt;&gt;"",D1148&lt;&gt;"",F1148&lt;&gt;"",G1148&lt;&gt;"",H1148&lt;&gt;"",ISERROR(SEARCH("по паспорту",G1148)),ISERROR(SEARCH("по паспорту",H1148)),I1148&lt;&gt;"",J1148&lt;&gt;"",K1148&lt;&gt;"",L1148&lt;&gt;"",M1148&lt;&gt;""),"ГОТОВО","НЕ ГОТОВО"))</f>
        <v/>
      </c>
      <c r="Q1148" s="205">
        <f>IF(P1148&lt;&gt;"ГОТОВО","", "Предварительное заключение: "&amp;A1148&amp;", скв. "&amp;B1148&amp;". МРП: "&amp;E1148&amp;" сут. ГНО: "&amp;F1148&amp;", типоразмер "&amp;G1148&amp;", марка "&amp;H1148&amp;". Событие: "&amp;I1148&amp;". Признак: "&amp;J1148&amp;". Узел: "&amp;K1148&amp;". Предварительная причина: "&amp;L1148&amp;". Основное осложнение: "&amp;M1148&amp;IF(N1148&lt;&gt;"","; сопутствующее: "&amp;N1148,"")&amp;IF(O1148&lt;&gt;"","; дополнительно: "&amp;O1148,"")&amp;".")</f>
        <v/>
      </c>
      <c r="R1148" s="172">
        <f>IF('Оперативный ввод'!P1148="","",'Оперативный ввод'!P1148)</f>
        <v/>
      </c>
      <c r="S1148" s="172">
        <f>IF('Оперативный ввод'!Q1148="","",'Оперативный ввод'!Q1148)</f>
        <v/>
      </c>
      <c r="T1148" s="172">
        <f>IF('Оперативный ввод'!R1148="","",'Оперативный ввод'!R1148)</f>
        <v/>
      </c>
      <c r="U1148" s="172">
        <f>IF('Оперативный ввод'!S1148="","",'Оперативный ввод'!S1148)</f>
        <v/>
      </c>
      <c r="V1148" s="172">
        <f>IF('Оперативный ввод'!T1148="","",'Оперативный ввод'!T1148)</f>
        <v/>
      </c>
      <c r="W1148" s="172" t="n"/>
      <c r="X1148" s="172" t="n"/>
      <c r="Y1148" s="172" t="n"/>
      <c r="Z1148" s="172" t="n"/>
      <c r="AA1148" s="172">
        <f>IF('Оперативный ввод'!U1148="","",'Оперативный ввод'!U1148)</f>
        <v/>
      </c>
      <c r="AB1148" s="172">
        <f>IF('Оперативный ввод'!V1148="","",'Оперативный ввод'!V1148)</f>
        <v/>
      </c>
      <c r="AC1148" s="172">
        <f>IF('Оперативный ввод'!W1148="","",'Оперативный ввод'!W1148)</f>
        <v/>
      </c>
      <c r="BB1148" s="172" t="n"/>
      <c r="BC1148" s="172" t="n"/>
      <c r="BD1148" s="205">
        <f>IF(AND(A1148="",B1148=""),"",IF(AND(P1148="ГОТОВО",R1148&lt;&gt;"",T1148&lt;&gt;"",U1148&lt;&gt;"",AA1148&lt;&gt;"",AB1148&lt;&gt;"",AC1148&lt;&gt;"",BB1148&lt;&gt;"",BC1148&lt;&gt;""),"ГОТОВО","НЕ ГОТОВО"))</f>
        <v/>
      </c>
      <c r="BE1148" s="205">
        <f>IF(BD1148&lt;&gt;"ГОТОВО","","Полное заключение: "&amp;A1148&amp;", скв. "&amp;B1148&amp;". МРП: "&amp;E1148&amp;" сут. ГНО: "&amp;F1148&amp;"; причина: "&amp;U1148&amp;"; категория: "&amp;V1148&amp;"; решение комиссии: "&amp;BB1148&amp;".")</f>
        <v/>
      </c>
      <c r="BF1148" s="173">
        <f>IF('Оперативный ввод'!X1148="","",'Оперативный ввод'!X1148)</f>
        <v/>
      </c>
    </row>
    <row r="1149">
      <c r="A1149" s="171">
        <f>IF('Оперативный ввод'!A1149="","",'Оперативный ввод'!A1149)</f>
        <v/>
      </c>
      <c r="B1149" s="172">
        <f>IF('Оперативный ввод'!B1149="","",'Оперативный ввод'!B1149)</f>
        <v/>
      </c>
      <c r="C1149" s="270">
        <f>IF('Оперативный ввод'!C1149="","",'Оперативный ввод'!C1149)</f>
        <v/>
      </c>
      <c r="D1149" s="270">
        <f>IF('Оперативный ввод'!D1149="","",'Оперативный ввод'!D1149)</f>
        <v/>
      </c>
      <c r="E1149" s="271">
        <f>IF(OR(C1149="",D1149=""),"",D1149-C1149)</f>
        <v/>
      </c>
      <c r="F1149" s="172">
        <f>IF('Оперативный ввод'!F1149="","",'Оперативный ввод'!F1149)</f>
        <v/>
      </c>
      <c r="G1149" s="172">
        <f>IF('Оперативный ввод'!G1149="","",'Оперативный ввод'!G1149)</f>
        <v/>
      </c>
      <c r="H1149" s="172">
        <f>IF('Оперативный ввод'!H1149="","",'Оперативный ввод'!H1149)</f>
        <v/>
      </c>
      <c r="I1149" s="172">
        <f>IF('Оперативный ввод'!I1149="","",'Оперативный ввод'!I1149)</f>
        <v/>
      </c>
      <c r="J1149" s="172">
        <f>IF('Оперативный ввод'!J1149="","",'Оперативный ввод'!J1149)</f>
        <v/>
      </c>
      <c r="K1149" s="172">
        <f>IF('Оперативный ввод'!K1149="","",'Оперативный ввод'!K1149)</f>
        <v/>
      </c>
      <c r="L1149" s="172">
        <f>IF('Оперативный ввод'!L1149="","",'Оперативный ввод'!L1149)</f>
        <v/>
      </c>
      <c r="M1149" s="172">
        <f>IF('Оперативный ввод'!M1149="","",'Оперативный ввод'!M1149)</f>
        <v/>
      </c>
      <c r="N1149" s="172">
        <f>IF('Оперативный ввод'!N1149="","",'Оперативный ввод'!N1149)</f>
        <v/>
      </c>
      <c r="O1149" s="172">
        <f>IF('Оперативный ввод'!O1149="","",'Оперативный ввод'!O1149)</f>
        <v/>
      </c>
      <c r="P1149" s="205">
        <f>IF(AND(A1149="",B1149=""),"",IF(AND(A1149&lt;&gt;"",B1149&lt;&gt;"",C1149&lt;&gt;"",D1149&lt;&gt;"",F1149&lt;&gt;"",G1149&lt;&gt;"",H1149&lt;&gt;"",ISERROR(SEARCH("по паспорту",G1149)),ISERROR(SEARCH("по паспорту",H1149)),I1149&lt;&gt;"",J1149&lt;&gt;"",K1149&lt;&gt;"",L1149&lt;&gt;"",M1149&lt;&gt;""),"ГОТОВО","НЕ ГОТОВО"))</f>
        <v/>
      </c>
      <c r="Q1149" s="205">
        <f>IF(P1149&lt;&gt;"ГОТОВО","", "Предварительное заключение: "&amp;A1149&amp;", скв. "&amp;B1149&amp;". МРП: "&amp;E1149&amp;" сут. ГНО: "&amp;F1149&amp;", типоразмер "&amp;G1149&amp;", марка "&amp;H1149&amp;". Событие: "&amp;I1149&amp;". Признак: "&amp;J1149&amp;". Узел: "&amp;K1149&amp;". Предварительная причина: "&amp;L1149&amp;". Основное осложнение: "&amp;M1149&amp;IF(N1149&lt;&gt;"","; сопутствующее: "&amp;N1149,"")&amp;IF(O1149&lt;&gt;"","; дополнительно: "&amp;O1149,"")&amp;".")</f>
        <v/>
      </c>
      <c r="R1149" s="172">
        <f>IF('Оперативный ввод'!P1149="","",'Оперативный ввод'!P1149)</f>
        <v/>
      </c>
      <c r="S1149" s="172">
        <f>IF('Оперативный ввод'!Q1149="","",'Оперативный ввод'!Q1149)</f>
        <v/>
      </c>
      <c r="T1149" s="172">
        <f>IF('Оперативный ввод'!R1149="","",'Оперативный ввод'!R1149)</f>
        <v/>
      </c>
      <c r="U1149" s="172">
        <f>IF('Оперативный ввод'!S1149="","",'Оперативный ввод'!S1149)</f>
        <v/>
      </c>
      <c r="V1149" s="172">
        <f>IF('Оперативный ввод'!T1149="","",'Оперативный ввод'!T1149)</f>
        <v/>
      </c>
      <c r="W1149" s="172" t="n"/>
      <c r="X1149" s="172" t="n"/>
      <c r="Y1149" s="172" t="n"/>
      <c r="Z1149" s="172" t="n"/>
      <c r="AA1149" s="172">
        <f>IF('Оперативный ввод'!U1149="","",'Оперативный ввод'!U1149)</f>
        <v/>
      </c>
      <c r="AB1149" s="172">
        <f>IF('Оперативный ввод'!V1149="","",'Оперативный ввод'!V1149)</f>
        <v/>
      </c>
      <c r="AC1149" s="172">
        <f>IF('Оперативный ввод'!W1149="","",'Оперативный ввод'!W1149)</f>
        <v/>
      </c>
      <c r="BB1149" s="172" t="n"/>
      <c r="BC1149" s="172" t="n"/>
      <c r="BD1149" s="205">
        <f>IF(AND(A1149="",B1149=""),"",IF(AND(P1149="ГОТОВО",R1149&lt;&gt;"",T1149&lt;&gt;"",U1149&lt;&gt;"",AA1149&lt;&gt;"",AB1149&lt;&gt;"",AC1149&lt;&gt;"",BB1149&lt;&gt;"",BC1149&lt;&gt;""),"ГОТОВО","НЕ ГОТОВО"))</f>
        <v/>
      </c>
      <c r="BE1149" s="205">
        <f>IF(BD1149&lt;&gt;"ГОТОВО","","Полное заключение: "&amp;A1149&amp;", скв. "&amp;B1149&amp;". МРП: "&amp;E1149&amp;" сут. ГНО: "&amp;F1149&amp;"; причина: "&amp;U1149&amp;"; категория: "&amp;V1149&amp;"; решение комиссии: "&amp;BB1149&amp;".")</f>
        <v/>
      </c>
      <c r="BF1149" s="173">
        <f>IF('Оперативный ввод'!X1149="","",'Оперативный ввод'!X1149)</f>
        <v/>
      </c>
    </row>
    <row r="1150">
      <c r="A1150" s="171">
        <f>IF('Оперативный ввод'!A1150="","",'Оперативный ввод'!A1150)</f>
        <v/>
      </c>
      <c r="B1150" s="172">
        <f>IF('Оперативный ввод'!B1150="","",'Оперативный ввод'!B1150)</f>
        <v/>
      </c>
      <c r="C1150" s="270">
        <f>IF('Оперативный ввод'!C1150="","",'Оперативный ввод'!C1150)</f>
        <v/>
      </c>
      <c r="D1150" s="270">
        <f>IF('Оперативный ввод'!D1150="","",'Оперативный ввод'!D1150)</f>
        <v/>
      </c>
      <c r="E1150" s="271">
        <f>IF(OR(C1150="",D1150=""),"",D1150-C1150)</f>
        <v/>
      </c>
      <c r="F1150" s="172">
        <f>IF('Оперативный ввод'!F1150="","",'Оперативный ввод'!F1150)</f>
        <v/>
      </c>
      <c r="G1150" s="172">
        <f>IF('Оперативный ввод'!G1150="","",'Оперативный ввод'!G1150)</f>
        <v/>
      </c>
      <c r="H1150" s="172">
        <f>IF('Оперативный ввод'!H1150="","",'Оперативный ввод'!H1150)</f>
        <v/>
      </c>
      <c r="I1150" s="172">
        <f>IF('Оперативный ввод'!I1150="","",'Оперативный ввод'!I1150)</f>
        <v/>
      </c>
      <c r="J1150" s="172">
        <f>IF('Оперативный ввод'!J1150="","",'Оперативный ввод'!J1150)</f>
        <v/>
      </c>
      <c r="K1150" s="172">
        <f>IF('Оперативный ввод'!K1150="","",'Оперативный ввод'!K1150)</f>
        <v/>
      </c>
      <c r="L1150" s="172">
        <f>IF('Оперативный ввод'!L1150="","",'Оперативный ввод'!L1150)</f>
        <v/>
      </c>
      <c r="M1150" s="172">
        <f>IF('Оперативный ввод'!M1150="","",'Оперативный ввод'!M1150)</f>
        <v/>
      </c>
      <c r="N1150" s="172">
        <f>IF('Оперативный ввод'!N1150="","",'Оперативный ввод'!N1150)</f>
        <v/>
      </c>
      <c r="O1150" s="172">
        <f>IF('Оперативный ввод'!O1150="","",'Оперативный ввод'!O1150)</f>
        <v/>
      </c>
      <c r="P1150" s="205">
        <f>IF(AND(A1150="",B1150=""),"",IF(AND(A1150&lt;&gt;"",B1150&lt;&gt;"",C1150&lt;&gt;"",D1150&lt;&gt;"",F1150&lt;&gt;"",G1150&lt;&gt;"",H1150&lt;&gt;"",ISERROR(SEARCH("по паспорту",G1150)),ISERROR(SEARCH("по паспорту",H1150)),I1150&lt;&gt;"",J1150&lt;&gt;"",K1150&lt;&gt;"",L1150&lt;&gt;"",M1150&lt;&gt;""),"ГОТОВО","НЕ ГОТОВО"))</f>
        <v/>
      </c>
      <c r="Q1150" s="205">
        <f>IF(P1150&lt;&gt;"ГОТОВО","", "Предварительное заключение: "&amp;A1150&amp;", скв. "&amp;B1150&amp;". МРП: "&amp;E1150&amp;" сут. ГНО: "&amp;F1150&amp;", типоразмер "&amp;G1150&amp;", марка "&amp;H1150&amp;". Событие: "&amp;I1150&amp;". Признак: "&amp;J1150&amp;". Узел: "&amp;K1150&amp;". Предварительная причина: "&amp;L1150&amp;". Основное осложнение: "&amp;M1150&amp;IF(N1150&lt;&gt;"","; сопутствующее: "&amp;N1150,"")&amp;IF(O1150&lt;&gt;"","; дополнительно: "&amp;O1150,"")&amp;".")</f>
        <v/>
      </c>
      <c r="R1150" s="172">
        <f>IF('Оперативный ввод'!P1150="","",'Оперативный ввод'!P1150)</f>
        <v/>
      </c>
      <c r="S1150" s="172">
        <f>IF('Оперативный ввод'!Q1150="","",'Оперативный ввод'!Q1150)</f>
        <v/>
      </c>
      <c r="T1150" s="172">
        <f>IF('Оперативный ввод'!R1150="","",'Оперативный ввод'!R1150)</f>
        <v/>
      </c>
      <c r="U1150" s="172">
        <f>IF('Оперативный ввод'!S1150="","",'Оперативный ввод'!S1150)</f>
        <v/>
      </c>
      <c r="V1150" s="172">
        <f>IF('Оперативный ввод'!T1150="","",'Оперативный ввод'!T1150)</f>
        <v/>
      </c>
      <c r="W1150" s="172" t="n"/>
      <c r="X1150" s="172" t="n"/>
      <c r="Y1150" s="172" t="n"/>
      <c r="Z1150" s="172" t="n"/>
      <c r="AA1150" s="172">
        <f>IF('Оперативный ввод'!U1150="","",'Оперативный ввод'!U1150)</f>
        <v/>
      </c>
      <c r="AB1150" s="172">
        <f>IF('Оперативный ввод'!V1150="","",'Оперативный ввод'!V1150)</f>
        <v/>
      </c>
      <c r="AC1150" s="172">
        <f>IF('Оперативный ввод'!W1150="","",'Оперативный ввод'!W1150)</f>
        <v/>
      </c>
      <c r="BB1150" s="172" t="n"/>
      <c r="BC1150" s="172" t="n"/>
      <c r="BD1150" s="205">
        <f>IF(AND(A1150="",B1150=""),"",IF(AND(P1150="ГОТОВО",R1150&lt;&gt;"",T1150&lt;&gt;"",U1150&lt;&gt;"",AA1150&lt;&gt;"",AB1150&lt;&gt;"",AC1150&lt;&gt;"",BB1150&lt;&gt;"",BC1150&lt;&gt;""),"ГОТОВО","НЕ ГОТОВО"))</f>
        <v/>
      </c>
      <c r="BE1150" s="205">
        <f>IF(BD1150&lt;&gt;"ГОТОВО","","Полное заключение: "&amp;A1150&amp;", скв. "&amp;B1150&amp;". МРП: "&amp;E1150&amp;" сут. ГНО: "&amp;F1150&amp;"; причина: "&amp;U1150&amp;"; категория: "&amp;V1150&amp;"; решение комиссии: "&amp;BB1150&amp;".")</f>
        <v/>
      </c>
      <c r="BF1150" s="173">
        <f>IF('Оперативный ввод'!X1150="","",'Оперативный ввод'!X1150)</f>
        <v/>
      </c>
    </row>
    <row r="1151">
      <c r="A1151" s="171">
        <f>IF('Оперативный ввод'!A1151="","",'Оперативный ввод'!A1151)</f>
        <v/>
      </c>
      <c r="B1151" s="172">
        <f>IF('Оперативный ввод'!B1151="","",'Оперативный ввод'!B1151)</f>
        <v/>
      </c>
      <c r="C1151" s="270">
        <f>IF('Оперативный ввод'!C1151="","",'Оперативный ввод'!C1151)</f>
        <v/>
      </c>
      <c r="D1151" s="270">
        <f>IF('Оперативный ввод'!D1151="","",'Оперативный ввод'!D1151)</f>
        <v/>
      </c>
      <c r="E1151" s="271">
        <f>IF(OR(C1151="",D1151=""),"",D1151-C1151)</f>
        <v/>
      </c>
      <c r="F1151" s="172">
        <f>IF('Оперативный ввод'!F1151="","",'Оперативный ввод'!F1151)</f>
        <v/>
      </c>
      <c r="G1151" s="172">
        <f>IF('Оперативный ввод'!G1151="","",'Оперативный ввод'!G1151)</f>
        <v/>
      </c>
      <c r="H1151" s="172">
        <f>IF('Оперативный ввод'!H1151="","",'Оперативный ввод'!H1151)</f>
        <v/>
      </c>
      <c r="I1151" s="172">
        <f>IF('Оперативный ввод'!I1151="","",'Оперативный ввод'!I1151)</f>
        <v/>
      </c>
      <c r="J1151" s="172">
        <f>IF('Оперативный ввод'!J1151="","",'Оперативный ввод'!J1151)</f>
        <v/>
      </c>
      <c r="K1151" s="172">
        <f>IF('Оперативный ввод'!K1151="","",'Оперативный ввод'!K1151)</f>
        <v/>
      </c>
      <c r="L1151" s="172">
        <f>IF('Оперативный ввод'!L1151="","",'Оперативный ввод'!L1151)</f>
        <v/>
      </c>
      <c r="M1151" s="172">
        <f>IF('Оперативный ввод'!M1151="","",'Оперативный ввод'!M1151)</f>
        <v/>
      </c>
      <c r="N1151" s="172">
        <f>IF('Оперативный ввод'!N1151="","",'Оперативный ввод'!N1151)</f>
        <v/>
      </c>
      <c r="O1151" s="172">
        <f>IF('Оперативный ввод'!O1151="","",'Оперативный ввод'!O1151)</f>
        <v/>
      </c>
      <c r="P1151" s="205">
        <f>IF(AND(A1151="",B1151=""),"",IF(AND(A1151&lt;&gt;"",B1151&lt;&gt;"",C1151&lt;&gt;"",D1151&lt;&gt;"",F1151&lt;&gt;"",G1151&lt;&gt;"",H1151&lt;&gt;"",ISERROR(SEARCH("по паспорту",G1151)),ISERROR(SEARCH("по паспорту",H1151)),I1151&lt;&gt;"",J1151&lt;&gt;"",K1151&lt;&gt;"",L1151&lt;&gt;"",M1151&lt;&gt;""),"ГОТОВО","НЕ ГОТОВО"))</f>
        <v/>
      </c>
      <c r="Q1151" s="205">
        <f>IF(P1151&lt;&gt;"ГОТОВО","", "Предварительное заключение: "&amp;A1151&amp;", скв. "&amp;B1151&amp;". МРП: "&amp;E1151&amp;" сут. ГНО: "&amp;F1151&amp;", типоразмер "&amp;G1151&amp;", марка "&amp;H1151&amp;". Событие: "&amp;I1151&amp;". Признак: "&amp;J1151&amp;". Узел: "&amp;K1151&amp;". Предварительная причина: "&amp;L1151&amp;". Основное осложнение: "&amp;M1151&amp;IF(N1151&lt;&gt;"","; сопутствующее: "&amp;N1151,"")&amp;IF(O1151&lt;&gt;"","; дополнительно: "&amp;O1151,"")&amp;".")</f>
        <v/>
      </c>
      <c r="R1151" s="172">
        <f>IF('Оперативный ввод'!P1151="","",'Оперативный ввод'!P1151)</f>
        <v/>
      </c>
      <c r="S1151" s="172">
        <f>IF('Оперативный ввод'!Q1151="","",'Оперативный ввод'!Q1151)</f>
        <v/>
      </c>
      <c r="T1151" s="172">
        <f>IF('Оперативный ввод'!R1151="","",'Оперативный ввод'!R1151)</f>
        <v/>
      </c>
      <c r="U1151" s="172">
        <f>IF('Оперативный ввод'!S1151="","",'Оперативный ввод'!S1151)</f>
        <v/>
      </c>
      <c r="V1151" s="172">
        <f>IF('Оперативный ввод'!T1151="","",'Оперативный ввод'!T1151)</f>
        <v/>
      </c>
      <c r="W1151" s="172" t="n"/>
      <c r="X1151" s="172" t="n"/>
      <c r="Y1151" s="172" t="n"/>
      <c r="Z1151" s="172" t="n"/>
      <c r="AA1151" s="172">
        <f>IF('Оперативный ввод'!U1151="","",'Оперативный ввод'!U1151)</f>
        <v/>
      </c>
      <c r="AB1151" s="172">
        <f>IF('Оперативный ввод'!V1151="","",'Оперативный ввод'!V1151)</f>
        <v/>
      </c>
      <c r="AC1151" s="172">
        <f>IF('Оперативный ввод'!W1151="","",'Оперативный ввод'!W1151)</f>
        <v/>
      </c>
      <c r="BB1151" s="172" t="n"/>
      <c r="BC1151" s="172" t="n"/>
      <c r="BD1151" s="205">
        <f>IF(AND(A1151="",B1151=""),"",IF(AND(P1151="ГОТОВО",R1151&lt;&gt;"",T1151&lt;&gt;"",U1151&lt;&gt;"",AA1151&lt;&gt;"",AB1151&lt;&gt;"",AC1151&lt;&gt;"",BB1151&lt;&gt;"",BC1151&lt;&gt;""),"ГОТОВО","НЕ ГОТОВО"))</f>
        <v/>
      </c>
      <c r="BE1151" s="205">
        <f>IF(BD1151&lt;&gt;"ГОТОВО","","Полное заключение: "&amp;A1151&amp;", скв. "&amp;B1151&amp;". МРП: "&amp;E1151&amp;" сут. ГНО: "&amp;F1151&amp;"; причина: "&amp;U1151&amp;"; категория: "&amp;V1151&amp;"; решение комиссии: "&amp;BB1151&amp;".")</f>
        <v/>
      </c>
      <c r="BF1151" s="173">
        <f>IF('Оперативный ввод'!X1151="","",'Оперативный ввод'!X1151)</f>
        <v/>
      </c>
    </row>
    <row r="1152">
      <c r="A1152" s="171">
        <f>IF('Оперативный ввод'!A1152="","",'Оперативный ввод'!A1152)</f>
        <v/>
      </c>
      <c r="B1152" s="172">
        <f>IF('Оперативный ввод'!B1152="","",'Оперативный ввод'!B1152)</f>
        <v/>
      </c>
      <c r="C1152" s="270">
        <f>IF('Оперативный ввод'!C1152="","",'Оперативный ввод'!C1152)</f>
        <v/>
      </c>
      <c r="D1152" s="270">
        <f>IF('Оперативный ввод'!D1152="","",'Оперативный ввод'!D1152)</f>
        <v/>
      </c>
      <c r="E1152" s="271">
        <f>IF(OR(C1152="",D1152=""),"",D1152-C1152)</f>
        <v/>
      </c>
      <c r="F1152" s="172">
        <f>IF('Оперативный ввод'!F1152="","",'Оперативный ввод'!F1152)</f>
        <v/>
      </c>
      <c r="G1152" s="172">
        <f>IF('Оперативный ввод'!G1152="","",'Оперативный ввод'!G1152)</f>
        <v/>
      </c>
      <c r="H1152" s="172">
        <f>IF('Оперативный ввод'!H1152="","",'Оперативный ввод'!H1152)</f>
        <v/>
      </c>
      <c r="I1152" s="172">
        <f>IF('Оперативный ввод'!I1152="","",'Оперативный ввод'!I1152)</f>
        <v/>
      </c>
      <c r="J1152" s="172">
        <f>IF('Оперативный ввод'!J1152="","",'Оперативный ввод'!J1152)</f>
        <v/>
      </c>
      <c r="K1152" s="172">
        <f>IF('Оперативный ввод'!K1152="","",'Оперативный ввод'!K1152)</f>
        <v/>
      </c>
      <c r="L1152" s="172">
        <f>IF('Оперативный ввод'!L1152="","",'Оперативный ввод'!L1152)</f>
        <v/>
      </c>
      <c r="M1152" s="172">
        <f>IF('Оперативный ввод'!M1152="","",'Оперативный ввод'!M1152)</f>
        <v/>
      </c>
      <c r="N1152" s="172">
        <f>IF('Оперативный ввод'!N1152="","",'Оперативный ввод'!N1152)</f>
        <v/>
      </c>
      <c r="O1152" s="172">
        <f>IF('Оперативный ввод'!O1152="","",'Оперативный ввод'!O1152)</f>
        <v/>
      </c>
      <c r="P1152" s="205">
        <f>IF(AND(A1152="",B1152=""),"",IF(AND(A1152&lt;&gt;"",B1152&lt;&gt;"",C1152&lt;&gt;"",D1152&lt;&gt;"",F1152&lt;&gt;"",G1152&lt;&gt;"",H1152&lt;&gt;"",ISERROR(SEARCH("по паспорту",G1152)),ISERROR(SEARCH("по паспорту",H1152)),I1152&lt;&gt;"",J1152&lt;&gt;"",K1152&lt;&gt;"",L1152&lt;&gt;"",M1152&lt;&gt;""),"ГОТОВО","НЕ ГОТОВО"))</f>
        <v/>
      </c>
      <c r="Q1152" s="205">
        <f>IF(P1152&lt;&gt;"ГОТОВО","", "Предварительное заключение: "&amp;A1152&amp;", скв. "&amp;B1152&amp;". МРП: "&amp;E1152&amp;" сут. ГНО: "&amp;F1152&amp;", типоразмер "&amp;G1152&amp;", марка "&amp;H1152&amp;". Событие: "&amp;I1152&amp;". Признак: "&amp;J1152&amp;". Узел: "&amp;K1152&amp;". Предварительная причина: "&amp;L1152&amp;". Основное осложнение: "&amp;M1152&amp;IF(N1152&lt;&gt;"","; сопутствующее: "&amp;N1152,"")&amp;IF(O1152&lt;&gt;"","; дополнительно: "&amp;O1152,"")&amp;".")</f>
        <v/>
      </c>
      <c r="R1152" s="172">
        <f>IF('Оперативный ввод'!P1152="","",'Оперативный ввод'!P1152)</f>
        <v/>
      </c>
      <c r="S1152" s="172">
        <f>IF('Оперативный ввод'!Q1152="","",'Оперативный ввод'!Q1152)</f>
        <v/>
      </c>
      <c r="T1152" s="172">
        <f>IF('Оперативный ввод'!R1152="","",'Оперативный ввод'!R1152)</f>
        <v/>
      </c>
      <c r="U1152" s="172">
        <f>IF('Оперативный ввод'!S1152="","",'Оперативный ввод'!S1152)</f>
        <v/>
      </c>
      <c r="V1152" s="172">
        <f>IF('Оперативный ввод'!T1152="","",'Оперативный ввод'!T1152)</f>
        <v/>
      </c>
      <c r="W1152" s="172" t="n"/>
      <c r="X1152" s="172" t="n"/>
      <c r="Y1152" s="172" t="n"/>
      <c r="Z1152" s="172" t="n"/>
      <c r="AA1152" s="172">
        <f>IF('Оперативный ввод'!U1152="","",'Оперативный ввод'!U1152)</f>
        <v/>
      </c>
      <c r="AB1152" s="172">
        <f>IF('Оперативный ввод'!V1152="","",'Оперативный ввод'!V1152)</f>
        <v/>
      </c>
      <c r="AC1152" s="172">
        <f>IF('Оперативный ввод'!W1152="","",'Оперативный ввод'!W1152)</f>
        <v/>
      </c>
      <c r="BB1152" s="172" t="n"/>
      <c r="BC1152" s="172" t="n"/>
      <c r="BD1152" s="205">
        <f>IF(AND(A1152="",B1152=""),"",IF(AND(P1152="ГОТОВО",R1152&lt;&gt;"",T1152&lt;&gt;"",U1152&lt;&gt;"",AA1152&lt;&gt;"",AB1152&lt;&gt;"",AC1152&lt;&gt;"",BB1152&lt;&gt;"",BC1152&lt;&gt;""),"ГОТОВО","НЕ ГОТОВО"))</f>
        <v/>
      </c>
      <c r="BE1152" s="205">
        <f>IF(BD1152&lt;&gt;"ГОТОВО","","Полное заключение: "&amp;A1152&amp;", скв. "&amp;B1152&amp;". МРП: "&amp;E1152&amp;" сут. ГНО: "&amp;F1152&amp;"; причина: "&amp;U1152&amp;"; категория: "&amp;V1152&amp;"; решение комиссии: "&amp;BB1152&amp;".")</f>
        <v/>
      </c>
      <c r="BF1152" s="173">
        <f>IF('Оперативный ввод'!X1152="","",'Оперативный ввод'!X1152)</f>
        <v/>
      </c>
    </row>
    <row r="1153">
      <c r="A1153" s="171">
        <f>IF('Оперативный ввод'!A1153="","",'Оперативный ввод'!A1153)</f>
        <v/>
      </c>
      <c r="B1153" s="172">
        <f>IF('Оперативный ввод'!B1153="","",'Оперативный ввод'!B1153)</f>
        <v/>
      </c>
      <c r="C1153" s="270">
        <f>IF('Оперативный ввод'!C1153="","",'Оперативный ввод'!C1153)</f>
        <v/>
      </c>
      <c r="D1153" s="270">
        <f>IF('Оперативный ввод'!D1153="","",'Оперативный ввод'!D1153)</f>
        <v/>
      </c>
      <c r="E1153" s="271">
        <f>IF(OR(C1153="",D1153=""),"",D1153-C1153)</f>
        <v/>
      </c>
      <c r="F1153" s="172">
        <f>IF('Оперативный ввод'!F1153="","",'Оперативный ввод'!F1153)</f>
        <v/>
      </c>
      <c r="G1153" s="172">
        <f>IF('Оперативный ввод'!G1153="","",'Оперативный ввод'!G1153)</f>
        <v/>
      </c>
      <c r="H1153" s="172">
        <f>IF('Оперативный ввод'!H1153="","",'Оперативный ввод'!H1153)</f>
        <v/>
      </c>
      <c r="I1153" s="172">
        <f>IF('Оперативный ввод'!I1153="","",'Оперативный ввод'!I1153)</f>
        <v/>
      </c>
      <c r="J1153" s="172">
        <f>IF('Оперативный ввод'!J1153="","",'Оперативный ввод'!J1153)</f>
        <v/>
      </c>
      <c r="K1153" s="172">
        <f>IF('Оперативный ввод'!K1153="","",'Оперативный ввод'!K1153)</f>
        <v/>
      </c>
      <c r="L1153" s="172">
        <f>IF('Оперативный ввод'!L1153="","",'Оперативный ввод'!L1153)</f>
        <v/>
      </c>
      <c r="M1153" s="172">
        <f>IF('Оперативный ввод'!M1153="","",'Оперативный ввод'!M1153)</f>
        <v/>
      </c>
      <c r="N1153" s="172">
        <f>IF('Оперативный ввод'!N1153="","",'Оперативный ввод'!N1153)</f>
        <v/>
      </c>
      <c r="O1153" s="172">
        <f>IF('Оперативный ввод'!O1153="","",'Оперативный ввод'!O1153)</f>
        <v/>
      </c>
      <c r="P1153" s="205">
        <f>IF(AND(A1153="",B1153=""),"",IF(AND(A1153&lt;&gt;"",B1153&lt;&gt;"",C1153&lt;&gt;"",D1153&lt;&gt;"",F1153&lt;&gt;"",G1153&lt;&gt;"",H1153&lt;&gt;"",ISERROR(SEARCH("по паспорту",G1153)),ISERROR(SEARCH("по паспорту",H1153)),I1153&lt;&gt;"",J1153&lt;&gt;"",K1153&lt;&gt;"",L1153&lt;&gt;"",M1153&lt;&gt;""),"ГОТОВО","НЕ ГОТОВО"))</f>
        <v/>
      </c>
      <c r="Q1153" s="205">
        <f>IF(P1153&lt;&gt;"ГОТОВО","", "Предварительное заключение: "&amp;A1153&amp;", скв. "&amp;B1153&amp;". МРП: "&amp;E1153&amp;" сут. ГНО: "&amp;F1153&amp;", типоразмер "&amp;G1153&amp;", марка "&amp;H1153&amp;". Событие: "&amp;I1153&amp;". Признак: "&amp;J1153&amp;". Узел: "&amp;K1153&amp;". Предварительная причина: "&amp;L1153&amp;". Основное осложнение: "&amp;M1153&amp;IF(N1153&lt;&gt;"","; сопутствующее: "&amp;N1153,"")&amp;IF(O1153&lt;&gt;"","; дополнительно: "&amp;O1153,"")&amp;".")</f>
        <v/>
      </c>
      <c r="R1153" s="172">
        <f>IF('Оперативный ввод'!P1153="","",'Оперативный ввод'!P1153)</f>
        <v/>
      </c>
      <c r="S1153" s="172">
        <f>IF('Оперативный ввод'!Q1153="","",'Оперативный ввод'!Q1153)</f>
        <v/>
      </c>
      <c r="T1153" s="172">
        <f>IF('Оперативный ввод'!R1153="","",'Оперативный ввод'!R1153)</f>
        <v/>
      </c>
      <c r="U1153" s="172">
        <f>IF('Оперативный ввод'!S1153="","",'Оперативный ввод'!S1153)</f>
        <v/>
      </c>
      <c r="V1153" s="172">
        <f>IF('Оперативный ввод'!T1153="","",'Оперативный ввод'!T1153)</f>
        <v/>
      </c>
      <c r="W1153" s="172" t="n"/>
      <c r="X1153" s="172" t="n"/>
      <c r="Y1153" s="172" t="n"/>
      <c r="Z1153" s="172" t="n"/>
      <c r="AA1153" s="172">
        <f>IF('Оперативный ввод'!U1153="","",'Оперативный ввод'!U1153)</f>
        <v/>
      </c>
      <c r="AB1153" s="172">
        <f>IF('Оперативный ввод'!V1153="","",'Оперативный ввод'!V1153)</f>
        <v/>
      </c>
      <c r="AC1153" s="172">
        <f>IF('Оперативный ввод'!W1153="","",'Оперативный ввод'!W1153)</f>
        <v/>
      </c>
      <c r="BB1153" s="172" t="n"/>
      <c r="BC1153" s="172" t="n"/>
      <c r="BD1153" s="205">
        <f>IF(AND(A1153="",B1153=""),"",IF(AND(P1153="ГОТОВО",R1153&lt;&gt;"",T1153&lt;&gt;"",U1153&lt;&gt;"",AA1153&lt;&gt;"",AB1153&lt;&gt;"",AC1153&lt;&gt;"",BB1153&lt;&gt;"",BC1153&lt;&gt;""),"ГОТОВО","НЕ ГОТОВО"))</f>
        <v/>
      </c>
      <c r="BE1153" s="205">
        <f>IF(BD1153&lt;&gt;"ГОТОВО","","Полное заключение: "&amp;A1153&amp;", скв. "&amp;B1153&amp;". МРП: "&amp;E1153&amp;" сут. ГНО: "&amp;F1153&amp;"; причина: "&amp;U1153&amp;"; категория: "&amp;V1153&amp;"; решение комиссии: "&amp;BB1153&amp;".")</f>
        <v/>
      </c>
      <c r="BF1153" s="173">
        <f>IF('Оперативный ввод'!X1153="","",'Оперативный ввод'!X1153)</f>
        <v/>
      </c>
    </row>
    <row r="1154">
      <c r="A1154" s="171">
        <f>IF('Оперативный ввод'!A1154="","",'Оперативный ввод'!A1154)</f>
        <v/>
      </c>
      <c r="B1154" s="172">
        <f>IF('Оперативный ввод'!B1154="","",'Оперативный ввод'!B1154)</f>
        <v/>
      </c>
      <c r="C1154" s="270">
        <f>IF('Оперативный ввод'!C1154="","",'Оперативный ввод'!C1154)</f>
        <v/>
      </c>
      <c r="D1154" s="270">
        <f>IF('Оперативный ввод'!D1154="","",'Оперативный ввод'!D1154)</f>
        <v/>
      </c>
      <c r="E1154" s="271">
        <f>IF(OR(C1154="",D1154=""),"",D1154-C1154)</f>
        <v/>
      </c>
      <c r="F1154" s="172">
        <f>IF('Оперативный ввод'!F1154="","",'Оперативный ввод'!F1154)</f>
        <v/>
      </c>
      <c r="G1154" s="172">
        <f>IF('Оперативный ввод'!G1154="","",'Оперативный ввод'!G1154)</f>
        <v/>
      </c>
      <c r="H1154" s="172">
        <f>IF('Оперативный ввод'!H1154="","",'Оперативный ввод'!H1154)</f>
        <v/>
      </c>
      <c r="I1154" s="172">
        <f>IF('Оперативный ввод'!I1154="","",'Оперативный ввод'!I1154)</f>
        <v/>
      </c>
      <c r="J1154" s="172">
        <f>IF('Оперативный ввод'!J1154="","",'Оперативный ввод'!J1154)</f>
        <v/>
      </c>
      <c r="K1154" s="172">
        <f>IF('Оперативный ввод'!K1154="","",'Оперативный ввод'!K1154)</f>
        <v/>
      </c>
      <c r="L1154" s="172">
        <f>IF('Оперативный ввод'!L1154="","",'Оперативный ввод'!L1154)</f>
        <v/>
      </c>
      <c r="M1154" s="172">
        <f>IF('Оперативный ввод'!M1154="","",'Оперативный ввод'!M1154)</f>
        <v/>
      </c>
      <c r="N1154" s="172">
        <f>IF('Оперативный ввод'!N1154="","",'Оперативный ввод'!N1154)</f>
        <v/>
      </c>
      <c r="O1154" s="172">
        <f>IF('Оперативный ввод'!O1154="","",'Оперативный ввод'!O1154)</f>
        <v/>
      </c>
      <c r="P1154" s="205">
        <f>IF(AND(A1154="",B1154=""),"",IF(AND(A1154&lt;&gt;"",B1154&lt;&gt;"",C1154&lt;&gt;"",D1154&lt;&gt;"",F1154&lt;&gt;"",G1154&lt;&gt;"",H1154&lt;&gt;"",ISERROR(SEARCH("по паспорту",G1154)),ISERROR(SEARCH("по паспорту",H1154)),I1154&lt;&gt;"",J1154&lt;&gt;"",K1154&lt;&gt;"",L1154&lt;&gt;"",M1154&lt;&gt;""),"ГОТОВО","НЕ ГОТОВО"))</f>
        <v/>
      </c>
      <c r="Q1154" s="205">
        <f>IF(P1154&lt;&gt;"ГОТОВО","", "Предварительное заключение: "&amp;A1154&amp;", скв. "&amp;B1154&amp;". МРП: "&amp;E1154&amp;" сут. ГНО: "&amp;F1154&amp;", типоразмер "&amp;G1154&amp;", марка "&amp;H1154&amp;". Событие: "&amp;I1154&amp;". Признак: "&amp;J1154&amp;". Узел: "&amp;K1154&amp;". Предварительная причина: "&amp;L1154&amp;". Основное осложнение: "&amp;M1154&amp;IF(N1154&lt;&gt;"","; сопутствующее: "&amp;N1154,"")&amp;IF(O1154&lt;&gt;"","; дополнительно: "&amp;O1154,"")&amp;".")</f>
        <v/>
      </c>
      <c r="R1154" s="172">
        <f>IF('Оперативный ввод'!P1154="","",'Оперативный ввод'!P1154)</f>
        <v/>
      </c>
      <c r="S1154" s="172">
        <f>IF('Оперативный ввод'!Q1154="","",'Оперативный ввод'!Q1154)</f>
        <v/>
      </c>
      <c r="T1154" s="172">
        <f>IF('Оперативный ввод'!R1154="","",'Оперативный ввод'!R1154)</f>
        <v/>
      </c>
      <c r="U1154" s="172">
        <f>IF('Оперативный ввод'!S1154="","",'Оперативный ввод'!S1154)</f>
        <v/>
      </c>
      <c r="V1154" s="172">
        <f>IF('Оперативный ввод'!T1154="","",'Оперативный ввод'!T1154)</f>
        <v/>
      </c>
      <c r="W1154" s="172" t="n"/>
      <c r="X1154" s="172" t="n"/>
      <c r="Y1154" s="172" t="n"/>
      <c r="Z1154" s="172" t="n"/>
      <c r="AA1154" s="172">
        <f>IF('Оперативный ввод'!U1154="","",'Оперативный ввод'!U1154)</f>
        <v/>
      </c>
      <c r="AB1154" s="172">
        <f>IF('Оперативный ввод'!V1154="","",'Оперативный ввод'!V1154)</f>
        <v/>
      </c>
      <c r="AC1154" s="172">
        <f>IF('Оперативный ввод'!W1154="","",'Оперативный ввод'!W1154)</f>
        <v/>
      </c>
      <c r="BB1154" s="172" t="n"/>
      <c r="BC1154" s="172" t="n"/>
      <c r="BD1154" s="205">
        <f>IF(AND(A1154="",B1154=""),"",IF(AND(P1154="ГОТОВО",R1154&lt;&gt;"",T1154&lt;&gt;"",U1154&lt;&gt;"",AA1154&lt;&gt;"",AB1154&lt;&gt;"",AC1154&lt;&gt;"",BB1154&lt;&gt;"",BC1154&lt;&gt;""),"ГОТОВО","НЕ ГОТОВО"))</f>
        <v/>
      </c>
      <c r="BE1154" s="205">
        <f>IF(BD1154&lt;&gt;"ГОТОВО","","Полное заключение: "&amp;A1154&amp;", скв. "&amp;B1154&amp;". МРП: "&amp;E1154&amp;" сут. ГНО: "&amp;F1154&amp;"; причина: "&amp;U1154&amp;"; категория: "&amp;V1154&amp;"; решение комиссии: "&amp;BB1154&amp;".")</f>
        <v/>
      </c>
      <c r="BF1154" s="173">
        <f>IF('Оперативный ввод'!X1154="","",'Оперативный ввод'!X1154)</f>
        <v/>
      </c>
    </row>
    <row r="1155">
      <c r="A1155" s="171">
        <f>IF('Оперативный ввод'!A1155="","",'Оперативный ввод'!A1155)</f>
        <v/>
      </c>
      <c r="B1155" s="172">
        <f>IF('Оперативный ввод'!B1155="","",'Оперативный ввод'!B1155)</f>
        <v/>
      </c>
      <c r="C1155" s="270">
        <f>IF('Оперативный ввод'!C1155="","",'Оперативный ввод'!C1155)</f>
        <v/>
      </c>
      <c r="D1155" s="270">
        <f>IF('Оперативный ввод'!D1155="","",'Оперативный ввод'!D1155)</f>
        <v/>
      </c>
      <c r="E1155" s="271">
        <f>IF(OR(C1155="",D1155=""),"",D1155-C1155)</f>
        <v/>
      </c>
      <c r="F1155" s="172">
        <f>IF('Оперативный ввод'!F1155="","",'Оперативный ввод'!F1155)</f>
        <v/>
      </c>
      <c r="G1155" s="172">
        <f>IF('Оперативный ввод'!G1155="","",'Оперативный ввод'!G1155)</f>
        <v/>
      </c>
      <c r="H1155" s="172">
        <f>IF('Оперативный ввод'!H1155="","",'Оперативный ввод'!H1155)</f>
        <v/>
      </c>
      <c r="I1155" s="172">
        <f>IF('Оперативный ввод'!I1155="","",'Оперативный ввод'!I1155)</f>
        <v/>
      </c>
      <c r="J1155" s="172">
        <f>IF('Оперативный ввод'!J1155="","",'Оперативный ввод'!J1155)</f>
        <v/>
      </c>
      <c r="K1155" s="172">
        <f>IF('Оперативный ввод'!K1155="","",'Оперативный ввод'!K1155)</f>
        <v/>
      </c>
      <c r="L1155" s="172">
        <f>IF('Оперативный ввод'!L1155="","",'Оперативный ввод'!L1155)</f>
        <v/>
      </c>
      <c r="M1155" s="172">
        <f>IF('Оперативный ввод'!M1155="","",'Оперативный ввод'!M1155)</f>
        <v/>
      </c>
      <c r="N1155" s="172">
        <f>IF('Оперативный ввод'!N1155="","",'Оперативный ввод'!N1155)</f>
        <v/>
      </c>
      <c r="O1155" s="172">
        <f>IF('Оперативный ввод'!O1155="","",'Оперативный ввод'!O1155)</f>
        <v/>
      </c>
      <c r="P1155" s="205">
        <f>IF(AND(A1155="",B1155=""),"",IF(AND(A1155&lt;&gt;"",B1155&lt;&gt;"",C1155&lt;&gt;"",D1155&lt;&gt;"",F1155&lt;&gt;"",G1155&lt;&gt;"",H1155&lt;&gt;"",ISERROR(SEARCH("по паспорту",G1155)),ISERROR(SEARCH("по паспорту",H1155)),I1155&lt;&gt;"",J1155&lt;&gt;"",K1155&lt;&gt;"",L1155&lt;&gt;"",M1155&lt;&gt;""),"ГОТОВО","НЕ ГОТОВО"))</f>
        <v/>
      </c>
      <c r="Q1155" s="205">
        <f>IF(P1155&lt;&gt;"ГОТОВО","", "Предварительное заключение: "&amp;A1155&amp;", скв. "&amp;B1155&amp;". МРП: "&amp;E1155&amp;" сут. ГНО: "&amp;F1155&amp;", типоразмер "&amp;G1155&amp;", марка "&amp;H1155&amp;". Событие: "&amp;I1155&amp;". Признак: "&amp;J1155&amp;". Узел: "&amp;K1155&amp;". Предварительная причина: "&amp;L1155&amp;". Основное осложнение: "&amp;M1155&amp;IF(N1155&lt;&gt;"","; сопутствующее: "&amp;N1155,"")&amp;IF(O1155&lt;&gt;"","; дополнительно: "&amp;O1155,"")&amp;".")</f>
        <v/>
      </c>
      <c r="R1155" s="172">
        <f>IF('Оперативный ввод'!P1155="","",'Оперативный ввод'!P1155)</f>
        <v/>
      </c>
      <c r="S1155" s="172">
        <f>IF('Оперативный ввод'!Q1155="","",'Оперативный ввод'!Q1155)</f>
        <v/>
      </c>
      <c r="T1155" s="172">
        <f>IF('Оперативный ввод'!R1155="","",'Оперативный ввод'!R1155)</f>
        <v/>
      </c>
      <c r="U1155" s="172">
        <f>IF('Оперативный ввод'!S1155="","",'Оперативный ввод'!S1155)</f>
        <v/>
      </c>
      <c r="V1155" s="172">
        <f>IF('Оперативный ввод'!T1155="","",'Оперативный ввод'!T1155)</f>
        <v/>
      </c>
      <c r="W1155" s="172" t="n"/>
      <c r="X1155" s="172" t="n"/>
      <c r="Y1155" s="172" t="n"/>
      <c r="Z1155" s="172" t="n"/>
      <c r="AA1155" s="172">
        <f>IF('Оперативный ввод'!U1155="","",'Оперативный ввод'!U1155)</f>
        <v/>
      </c>
      <c r="AB1155" s="172">
        <f>IF('Оперативный ввод'!V1155="","",'Оперативный ввод'!V1155)</f>
        <v/>
      </c>
      <c r="AC1155" s="172">
        <f>IF('Оперативный ввод'!W1155="","",'Оперативный ввод'!W1155)</f>
        <v/>
      </c>
      <c r="BB1155" s="172" t="n"/>
      <c r="BC1155" s="172" t="n"/>
      <c r="BD1155" s="205">
        <f>IF(AND(A1155="",B1155=""),"",IF(AND(P1155="ГОТОВО",R1155&lt;&gt;"",T1155&lt;&gt;"",U1155&lt;&gt;"",AA1155&lt;&gt;"",AB1155&lt;&gt;"",AC1155&lt;&gt;"",BB1155&lt;&gt;"",BC1155&lt;&gt;""),"ГОТОВО","НЕ ГОТОВО"))</f>
        <v/>
      </c>
      <c r="BE1155" s="205">
        <f>IF(BD1155&lt;&gt;"ГОТОВО","","Полное заключение: "&amp;A1155&amp;", скв. "&amp;B1155&amp;". МРП: "&amp;E1155&amp;" сут. ГНО: "&amp;F1155&amp;"; причина: "&amp;U1155&amp;"; категория: "&amp;V1155&amp;"; решение комиссии: "&amp;BB1155&amp;".")</f>
        <v/>
      </c>
      <c r="BF1155" s="173">
        <f>IF('Оперативный ввод'!X1155="","",'Оперативный ввод'!X1155)</f>
        <v/>
      </c>
    </row>
    <row r="1156">
      <c r="A1156" s="171">
        <f>IF('Оперативный ввод'!A1156="","",'Оперативный ввод'!A1156)</f>
        <v/>
      </c>
      <c r="B1156" s="172">
        <f>IF('Оперативный ввод'!B1156="","",'Оперативный ввод'!B1156)</f>
        <v/>
      </c>
      <c r="C1156" s="270">
        <f>IF('Оперативный ввод'!C1156="","",'Оперативный ввод'!C1156)</f>
        <v/>
      </c>
      <c r="D1156" s="270">
        <f>IF('Оперативный ввод'!D1156="","",'Оперативный ввод'!D1156)</f>
        <v/>
      </c>
      <c r="E1156" s="271">
        <f>IF(OR(C1156="",D1156=""),"",D1156-C1156)</f>
        <v/>
      </c>
      <c r="F1156" s="172">
        <f>IF('Оперативный ввод'!F1156="","",'Оперативный ввод'!F1156)</f>
        <v/>
      </c>
      <c r="G1156" s="172">
        <f>IF('Оперативный ввод'!G1156="","",'Оперативный ввод'!G1156)</f>
        <v/>
      </c>
      <c r="H1156" s="172">
        <f>IF('Оперативный ввод'!H1156="","",'Оперативный ввод'!H1156)</f>
        <v/>
      </c>
      <c r="I1156" s="172">
        <f>IF('Оперативный ввод'!I1156="","",'Оперативный ввод'!I1156)</f>
        <v/>
      </c>
      <c r="J1156" s="172">
        <f>IF('Оперативный ввод'!J1156="","",'Оперативный ввод'!J1156)</f>
        <v/>
      </c>
      <c r="K1156" s="172">
        <f>IF('Оперативный ввод'!K1156="","",'Оперативный ввод'!K1156)</f>
        <v/>
      </c>
      <c r="L1156" s="172">
        <f>IF('Оперативный ввод'!L1156="","",'Оперативный ввод'!L1156)</f>
        <v/>
      </c>
      <c r="M1156" s="172">
        <f>IF('Оперативный ввод'!M1156="","",'Оперативный ввод'!M1156)</f>
        <v/>
      </c>
      <c r="N1156" s="172">
        <f>IF('Оперативный ввод'!N1156="","",'Оперативный ввод'!N1156)</f>
        <v/>
      </c>
      <c r="O1156" s="172">
        <f>IF('Оперативный ввод'!O1156="","",'Оперативный ввод'!O1156)</f>
        <v/>
      </c>
      <c r="P1156" s="205">
        <f>IF(AND(A1156="",B1156=""),"",IF(AND(A1156&lt;&gt;"",B1156&lt;&gt;"",C1156&lt;&gt;"",D1156&lt;&gt;"",F1156&lt;&gt;"",G1156&lt;&gt;"",H1156&lt;&gt;"",ISERROR(SEARCH("по паспорту",G1156)),ISERROR(SEARCH("по паспорту",H1156)),I1156&lt;&gt;"",J1156&lt;&gt;"",K1156&lt;&gt;"",L1156&lt;&gt;"",M1156&lt;&gt;""),"ГОТОВО","НЕ ГОТОВО"))</f>
        <v/>
      </c>
      <c r="Q1156" s="205">
        <f>IF(P1156&lt;&gt;"ГОТОВО","", "Предварительное заключение: "&amp;A1156&amp;", скв. "&amp;B1156&amp;". МРП: "&amp;E1156&amp;" сут. ГНО: "&amp;F1156&amp;", типоразмер "&amp;G1156&amp;", марка "&amp;H1156&amp;". Событие: "&amp;I1156&amp;". Признак: "&amp;J1156&amp;". Узел: "&amp;K1156&amp;". Предварительная причина: "&amp;L1156&amp;". Основное осложнение: "&amp;M1156&amp;IF(N1156&lt;&gt;"","; сопутствующее: "&amp;N1156,"")&amp;IF(O1156&lt;&gt;"","; дополнительно: "&amp;O1156,"")&amp;".")</f>
        <v/>
      </c>
      <c r="R1156" s="172">
        <f>IF('Оперативный ввод'!P1156="","",'Оперативный ввод'!P1156)</f>
        <v/>
      </c>
      <c r="S1156" s="172">
        <f>IF('Оперативный ввод'!Q1156="","",'Оперативный ввод'!Q1156)</f>
        <v/>
      </c>
      <c r="T1156" s="172">
        <f>IF('Оперативный ввод'!R1156="","",'Оперативный ввод'!R1156)</f>
        <v/>
      </c>
      <c r="U1156" s="172">
        <f>IF('Оперативный ввод'!S1156="","",'Оперативный ввод'!S1156)</f>
        <v/>
      </c>
      <c r="V1156" s="172">
        <f>IF('Оперативный ввод'!T1156="","",'Оперативный ввод'!T1156)</f>
        <v/>
      </c>
      <c r="W1156" s="172" t="n"/>
      <c r="X1156" s="172" t="n"/>
      <c r="Y1156" s="172" t="n"/>
      <c r="Z1156" s="172" t="n"/>
      <c r="AA1156" s="172">
        <f>IF('Оперативный ввод'!U1156="","",'Оперативный ввод'!U1156)</f>
        <v/>
      </c>
      <c r="AB1156" s="172">
        <f>IF('Оперативный ввод'!V1156="","",'Оперативный ввод'!V1156)</f>
        <v/>
      </c>
      <c r="AC1156" s="172">
        <f>IF('Оперативный ввод'!W1156="","",'Оперативный ввод'!W1156)</f>
        <v/>
      </c>
      <c r="BB1156" s="172" t="n"/>
      <c r="BC1156" s="172" t="n"/>
      <c r="BD1156" s="205">
        <f>IF(AND(A1156="",B1156=""),"",IF(AND(P1156="ГОТОВО",R1156&lt;&gt;"",T1156&lt;&gt;"",U1156&lt;&gt;"",AA1156&lt;&gt;"",AB1156&lt;&gt;"",AC1156&lt;&gt;"",BB1156&lt;&gt;"",BC1156&lt;&gt;""),"ГОТОВО","НЕ ГОТОВО"))</f>
        <v/>
      </c>
      <c r="BE1156" s="205">
        <f>IF(BD1156&lt;&gt;"ГОТОВО","","Полное заключение: "&amp;A1156&amp;", скв. "&amp;B1156&amp;". МРП: "&amp;E1156&amp;" сут. ГНО: "&amp;F1156&amp;"; причина: "&amp;U1156&amp;"; категория: "&amp;V1156&amp;"; решение комиссии: "&amp;BB1156&amp;".")</f>
        <v/>
      </c>
      <c r="BF1156" s="173">
        <f>IF('Оперативный ввод'!X1156="","",'Оперативный ввод'!X1156)</f>
        <v/>
      </c>
    </row>
    <row r="1157">
      <c r="A1157" s="171">
        <f>IF('Оперативный ввод'!A1157="","",'Оперативный ввод'!A1157)</f>
        <v/>
      </c>
      <c r="B1157" s="172">
        <f>IF('Оперативный ввод'!B1157="","",'Оперативный ввод'!B1157)</f>
        <v/>
      </c>
      <c r="C1157" s="270">
        <f>IF('Оперативный ввод'!C1157="","",'Оперативный ввод'!C1157)</f>
        <v/>
      </c>
      <c r="D1157" s="270">
        <f>IF('Оперативный ввод'!D1157="","",'Оперативный ввод'!D1157)</f>
        <v/>
      </c>
      <c r="E1157" s="271">
        <f>IF(OR(C1157="",D1157=""),"",D1157-C1157)</f>
        <v/>
      </c>
      <c r="F1157" s="172">
        <f>IF('Оперативный ввод'!F1157="","",'Оперативный ввод'!F1157)</f>
        <v/>
      </c>
      <c r="G1157" s="172">
        <f>IF('Оперативный ввод'!G1157="","",'Оперативный ввод'!G1157)</f>
        <v/>
      </c>
      <c r="H1157" s="172">
        <f>IF('Оперативный ввод'!H1157="","",'Оперативный ввод'!H1157)</f>
        <v/>
      </c>
      <c r="I1157" s="172">
        <f>IF('Оперативный ввод'!I1157="","",'Оперативный ввод'!I1157)</f>
        <v/>
      </c>
      <c r="J1157" s="172">
        <f>IF('Оперативный ввод'!J1157="","",'Оперативный ввод'!J1157)</f>
        <v/>
      </c>
      <c r="K1157" s="172">
        <f>IF('Оперативный ввод'!K1157="","",'Оперативный ввод'!K1157)</f>
        <v/>
      </c>
      <c r="L1157" s="172">
        <f>IF('Оперативный ввод'!L1157="","",'Оперативный ввод'!L1157)</f>
        <v/>
      </c>
      <c r="M1157" s="172">
        <f>IF('Оперативный ввод'!M1157="","",'Оперативный ввод'!M1157)</f>
        <v/>
      </c>
      <c r="N1157" s="172">
        <f>IF('Оперативный ввод'!N1157="","",'Оперативный ввод'!N1157)</f>
        <v/>
      </c>
      <c r="O1157" s="172">
        <f>IF('Оперативный ввод'!O1157="","",'Оперативный ввод'!O1157)</f>
        <v/>
      </c>
      <c r="P1157" s="205">
        <f>IF(AND(A1157="",B1157=""),"",IF(AND(A1157&lt;&gt;"",B1157&lt;&gt;"",C1157&lt;&gt;"",D1157&lt;&gt;"",F1157&lt;&gt;"",G1157&lt;&gt;"",H1157&lt;&gt;"",ISERROR(SEARCH("по паспорту",G1157)),ISERROR(SEARCH("по паспорту",H1157)),I1157&lt;&gt;"",J1157&lt;&gt;"",K1157&lt;&gt;"",L1157&lt;&gt;"",M1157&lt;&gt;""),"ГОТОВО","НЕ ГОТОВО"))</f>
        <v/>
      </c>
      <c r="Q1157" s="205">
        <f>IF(P1157&lt;&gt;"ГОТОВО","", "Предварительное заключение: "&amp;A1157&amp;", скв. "&amp;B1157&amp;". МРП: "&amp;E1157&amp;" сут. ГНО: "&amp;F1157&amp;", типоразмер "&amp;G1157&amp;", марка "&amp;H1157&amp;". Событие: "&amp;I1157&amp;". Признак: "&amp;J1157&amp;". Узел: "&amp;K1157&amp;". Предварительная причина: "&amp;L1157&amp;". Основное осложнение: "&amp;M1157&amp;IF(N1157&lt;&gt;"","; сопутствующее: "&amp;N1157,"")&amp;IF(O1157&lt;&gt;"","; дополнительно: "&amp;O1157,"")&amp;".")</f>
        <v/>
      </c>
      <c r="R1157" s="172">
        <f>IF('Оперативный ввод'!P1157="","",'Оперативный ввод'!P1157)</f>
        <v/>
      </c>
      <c r="S1157" s="172">
        <f>IF('Оперативный ввод'!Q1157="","",'Оперативный ввод'!Q1157)</f>
        <v/>
      </c>
      <c r="T1157" s="172">
        <f>IF('Оперативный ввод'!R1157="","",'Оперативный ввод'!R1157)</f>
        <v/>
      </c>
      <c r="U1157" s="172">
        <f>IF('Оперативный ввод'!S1157="","",'Оперативный ввод'!S1157)</f>
        <v/>
      </c>
      <c r="V1157" s="172">
        <f>IF('Оперативный ввод'!T1157="","",'Оперативный ввод'!T1157)</f>
        <v/>
      </c>
      <c r="W1157" s="172" t="n"/>
      <c r="X1157" s="172" t="n"/>
      <c r="Y1157" s="172" t="n"/>
      <c r="Z1157" s="172" t="n"/>
      <c r="AA1157" s="172">
        <f>IF('Оперативный ввод'!U1157="","",'Оперативный ввод'!U1157)</f>
        <v/>
      </c>
      <c r="AB1157" s="172">
        <f>IF('Оперативный ввод'!V1157="","",'Оперативный ввод'!V1157)</f>
        <v/>
      </c>
      <c r="AC1157" s="172">
        <f>IF('Оперативный ввод'!W1157="","",'Оперативный ввод'!W1157)</f>
        <v/>
      </c>
      <c r="BB1157" s="172" t="n"/>
      <c r="BC1157" s="172" t="n"/>
      <c r="BD1157" s="205">
        <f>IF(AND(A1157="",B1157=""),"",IF(AND(P1157="ГОТОВО",R1157&lt;&gt;"",T1157&lt;&gt;"",U1157&lt;&gt;"",AA1157&lt;&gt;"",AB1157&lt;&gt;"",AC1157&lt;&gt;"",BB1157&lt;&gt;"",BC1157&lt;&gt;""),"ГОТОВО","НЕ ГОТОВО"))</f>
        <v/>
      </c>
      <c r="BE1157" s="205">
        <f>IF(BD1157&lt;&gt;"ГОТОВО","","Полное заключение: "&amp;A1157&amp;", скв. "&amp;B1157&amp;". МРП: "&amp;E1157&amp;" сут. ГНО: "&amp;F1157&amp;"; причина: "&amp;U1157&amp;"; категория: "&amp;V1157&amp;"; решение комиссии: "&amp;BB1157&amp;".")</f>
        <v/>
      </c>
      <c r="BF1157" s="173">
        <f>IF('Оперативный ввод'!X1157="","",'Оперативный ввод'!X1157)</f>
        <v/>
      </c>
    </row>
    <row r="1158">
      <c r="A1158" s="171">
        <f>IF('Оперативный ввод'!A1158="","",'Оперативный ввод'!A1158)</f>
        <v/>
      </c>
      <c r="B1158" s="172">
        <f>IF('Оперативный ввод'!B1158="","",'Оперативный ввод'!B1158)</f>
        <v/>
      </c>
      <c r="C1158" s="270">
        <f>IF('Оперативный ввод'!C1158="","",'Оперативный ввод'!C1158)</f>
        <v/>
      </c>
      <c r="D1158" s="270">
        <f>IF('Оперативный ввод'!D1158="","",'Оперативный ввод'!D1158)</f>
        <v/>
      </c>
      <c r="E1158" s="271">
        <f>IF(OR(C1158="",D1158=""),"",D1158-C1158)</f>
        <v/>
      </c>
      <c r="F1158" s="172">
        <f>IF('Оперативный ввод'!F1158="","",'Оперативный ввод'!F1158)</f>
        <v/>
      </c>
      <c r="G1158" s="172">
        <f>IF('Оперативный ввод'!G1158="","",'Оперативный ввод'!G1158)</f>
        <v/>
      </c>
      <c r="H1158" s="172">
        <f>IF('Оперативный ввод'!H1158="","",'Оперативный ввод'!H1158)</f>
        <v/>
      </c>
      <c r="I1158" s="172">
        <f>IF('Оперативный ввод'!I1158="","",'Оперативный ввод'!I1158)</f>
        <v/>
      </c>
      <c r="J1158" s="172">
        <f>IF('Оперативный ввод'!J1158="","",'Оперативный ввод'!J1158)</f>
        <v/>
      </c>
      <c r="K1158" s="172">
        <f>IF('Оперативный ввод'!K1158="","",'Оперативный ввод'!K1158)</f>
        <v/>
      </c>
      <c r="L1158" s="172">
        <f>IF('Оперативный ввод'!L1158="","",'Оперативный ввод'!L1158)</f>
        <v/>
      </c>
      <c r="M1158" s="172">
        <f>IF('Оперативный ввод'!M1158="","",'Оперативный ввод'!M1158)</f>
        <v/>
      </c>
      <c r="N1158" s="172">
        <f>IF('Оперативный ввод'!N1158="","",'Оперативный ввод'!N1158)</f>
        <v/>
      </c>
      <c r="O1158" s="172">
        <f>IF('Оперативный ввод'!O1158="","",'Оперативный ввод'!O1158)</f>
        <v/>
      </c>
      <c r="P1158" s="205">
        <f>IF(AND(A1158="",B1158=""),"",IF(AND(A1158&lt;&gt;"",B1158&lt;&gt;"",C1158&lt;&gt;"",D1158&lt;&gt;"",F1158&lt;&gt;"",G1158&lt;&gt;"",H1158&lt;&gt;"",ISERROR(SEARCH("по паспорту",G1158)),ISERROR(SEARCH("по паспорту",H1158)),I1158&lt;&gt;"",J1158&lt;&gt;"",K1158&lt;&gt;"",L1158&lt;&gt;"",M1158&lt;&gt;""),"ГОТОВО","НЕ ГОТОВО"))</f>
        <v/>
      </c>
      <c r="Q1158" s="205">
        <f>IF(P1158&lt;&gt;"ГОТОВО","", "Предварительное заключение: "&amp;A1158&amp;", скв. "&amp;B1158&amp;". МРП: "&amp;E1158&amp;" сут. ГНО: "&amp;F1158&amp;", типоразмер "&amp;G1158&amp;", марка "&amp;H1158&amp;". Событие: "&amp;I1158&amp;". Признак: "&amp;J1158&amp;". Узел: "&amp;K1158&amp;". Предварительная причина: "&amp;L1158&amp;". Основное осложнение: "&amp;M1158&amp;IF(N1158&lt;&gt;"","; сопутствующее: "&amp;N1158,"")&amp;IF(O1158&lt;&gt;"","; дополнительно: "&amp;O1158,"")&amp;".")</f>
        <v/>
      </c>
      <c r="R1158" s="172">
        <f>IF('Оперативный ввод'!P1158="","",'Оперативный ввод'!P1158)</f>
        <v/>
      </c>
      <c r="S1158" s="172">
        <f>IF('Оперативный ввод'!Q1158="","",'Оперативный ввод'!Q1158)</f>
        <v/>
      </c>
      <c r="T1158" s="172">
        <f>IF('Оперативный ввод'!R1158="","",'Оперативный ввод'!R1158)</f>
        <v/>
      </c>
      <c r="U1158" s="172">
        <f>IF('Оперативный ввод'!S1158="","",'Оперативный ввод'!S1158)</f>
        <v/>
      </c>
      <c r="V1158" s="172">
        <f>IF('Оперативный ввод'!T1158="","",'Оперативный ввод'!T1158)</f>
        <v/>
      </c>
      <c r="W1158" s="172" t="n"/>
      <c r="X1158" s="172" t="n"/>
      <c r="Y1158" s="172" t="n"/>
      <c r="Z1158" s="172" t="n"/>
      <c r="AA1158" s="172">
        <f>IF('Оперативный ввод'!U1158="","",'Оперативный ввод'!U1158)</f>
        <v/>
      </c>
      <c r="AB1158" s="172">
        <f>IF('Оперативный ввод'!V1158="","",'Оперативный ввод'!V1158)</f>
        <v/>
      </c>
      <c r="AC1158" s="172">
        <f>IF('Оперативный ввод'!W1158="","",'Оперативный ввод'!W1158)</f>
        <v/>
      </c>
      <c r="BB1158" s="172" t="n"/>
      <c r="BC1158" s="172" t="n"/>
      <c r="BD1158" s="205">
        <f>IF(AND(A1158="",B1158=""),"",IF(AND(P1158="ГОТОВО",R1158&lt;&gt;"",T1158&lt;&gt;"",U1158&lt;&gt;"",AA1158&lt;&gt;"",AB1158&lt;&gt;"",AC1158&lt;&gt;"",BB1158&lt;&gt;"",BC1158&lt;&gt;""),"ГОТОВО","НЕ ГОТОВО"))</f>
        <v/>
      </c>
      <c r="BE1158" s="205">
        <f>IF(BD1158&lt;&gt;"ГОТОВО","","Полное заключение: "&amp;A1158&amp;", скв. "&amp;B1158&amp;". МРП: "&amp;E1158&amp;" сут. ГНО: "&amp;F1158&amp;"; причина: "&amp;U1158&amp;"; категория: "&amp;V1158&amp;"; решение комиссии: "&amp;BB1158&amp;".")</f>
        <v/>
      </c>
      <c r="BF1158" s="173">
        <f>IF('Оперативный ввод'!X1158="","",'Оперативный ввод'!X1158)</f>
        <v/>
      </c>
    </row>
    <row r="1159">
      <c r="A1159" s="171">
        <f>IF('Оперативный ввод'!A1159="","",'Оперативный ввод'!A1159)</f>
        <v/>
      </c>
      <c r="B1159" s="172">
        <f>IF('Оперативный ввод'!B1159="","",'Оперативный ввод'!B1159)</f>
        <v/>
      </c>
      <c r="C1159" s="270">
        <f>IF('Оперативный ввод'!C1159="","",'Оперативный ввод'!C1159)</f>
        <v/>
      </c>
      <c r="D1159" s="270">
        <f>IF('Оперативный ввод'!D1159="","",'Оперативный ввод'!D1159)</f>
        <v/>
      </c>
      <c r="E1159" s="271">
        <f>IF(OR(C1159="",D1159=""),"",D1159-C1159)</f>
        <v/>
      </c>
      <c r="F1159" s="172">
        <f>IF('Оперативный ввод'!F1159="","",'Оперативный ввод'!F1159)</f>
        <v/>
      </c>
      <c r="G1159" s="172">
        <f>IF('Оперативный ввод'!G1159="","",'Оперативный ввод'!G1159)</f>
        <v/>
      </c>
      <c r="H1159" s="172">
        <f>IF('Оперативный ввод'!H1159="","",'Оперативный ввод'!H1159)</f>
        <v/>
      </c>
      <c r="I1159" s="172">
        <f>IF('Оперативный ввод'!I1159="","",'Оперативный ввод'!I1159)</f>
        <v/>
      </c>
      <c r="J1159" s="172">
        <f>IF('Оперативный ввод'!J1159="","",'Оперативный ввод'!J1159)</f>
        <v/>
      </c>
      <c r="K1159" s="172">
        <f>IF('Оперативный ввод'!K1159="","",'Оперативный ввод'!K1159)</f>
        <v/>
      </c>
      <c r="L1159" s="172">
        <f>IF('Оперативный ввод'!L1159="","",'Оперативный ввод'!L1159)</f>
        <v/>
      </c>
      <c r="M1159" s="172">
        <f>IF('Оперативный ввод'!M1159="","",'Оперативный ввод'!M1159)</f>
        <v/>
      </c>
      <c r="N1159" s="172">
        <f>IF('Оперативный ввод'!N1159="","",'Оперативный ввод'!N1159)</f>
        <v/>
      </c>
      <c r="O1159" s="172">
        <f>IF('Оперативный ввод'!O1159="","",'Оперативный ввод'!O1159)</f>
        <v/>
      </c>
      <c r="P1159" s="205">
        <f>IF(AND(A1159="",B1159=""),"",IF(AND(A1159&lt;&gt;"",B1159&lt;&gt;"",C1159&lt;&gt;"",D1159&lt;&gt;"",F1159&lt;&gt;"",G1159&lt;&gt;"",H1159&lt;&gt;"",ISERROR(SEARCH("по паспорту",G1159)),ISERROR(SEARCH("по паспорту",H1159)),I1159&lt;&gt;"",J1159&lt;&gt;"",K1159&lt;&gt;"",L1159&lt;&gt;"",M1159&lt;&gt;""),"ГОТОВО","НЕ ГОТОВО"))</f>
        <v/>
      </c>
      <c r="Q1159" s="205">
        <f>IF(P1159&lt;&gt;"ГОТОВО","", "Предварительное заключение: "&amp;A1159&amp;", скв. "&amp;B1159&amp;". МРП: "&amp;E1159&amp;" сут. ГНО: "&amp;F1159&amp;", типоразмер "&amp;G1159&amp;", марка "&amp;H1159&amp;". Событие: "&amp;I1159&amp;". Признак: "&amp;J1159&amp;". Узел: "&amp;K1159&amp;". Предварительная причина: "&amp;L1159&amp;". Основное осложнение: "&amp;M1159&amp;IF(N1159&lt;&gt;"","; сопутствующее: "&amp;N1159,"")&amp;IF(O1159&lt;&gt;"","; дополнительно: "&amp;O1159,"")&amp;".")</f>
        <v/>
      </c>
      <c r="R1159" s="172">
        <f>IF('Оперативный ввод'!P1159="","",'Оперативный ввод'!P1159)</f>
        <v/>
      </c>
      <c r="S1159" s="172">
        <f>IF('Оперативный ввод'!Q1159="","",'Оперативный ввод'!Q1159)</f>
        <v/>
      </c>
      <c r="T1159" s="172">
        <f>IF('Оперативный ввод'!R1159="","",'Оперативный ввод'!R1159)</f>
        <v/>
      </c>
      <c r="U1159" s="172">
        <f>IF('Оперативный ввод'!S1159="","",'Оперативный ввод'!S1159)</f>
        <v/>
      </c>
      <c r="V1159" s="172">
        <f>IF('Оперативный ввод'!T1159="","",'Оперативный ввод'!T1159)</f>
        <v/>
      </c>
      <c r="W1159" s="172" t="n"/>
      <c r="X1159" s="172" t="n"/>
      <c r="Y1159" s="172" t="n"/>
      <c r="Z1159" s="172" t="n"/>
      <c r="AA1159" s="172">
        <f>IF('Оперативный ввод'!U1159="","",'Оперативный ввод'!U1159)</f>
        <v/>
      </c>
      <c r="AB1159" s="172">
        <f>IF('Оперативный ввод'!V1159="","",'Оперативный ввод'!V1159)</f>
        <v/>
      </c>
      <c r="AC1159" s="172">
        <f>IF('Оперативный ввод'!W1159="","",'Оперативный ввод'!W1159)</f>
        <v/>
      </c>
      <c r="BB1159" s="172" t="n"/>
      <c r="BC1159" s="172" t="n"/>
      <c r="BD1159" s="205">
        <f>IF(AND(A1159="",B1159=""),"",IF(AND(P1159="ГОТОВО",R1159&lt;&gt;"",T1159&lt;&gt;"",U1159&lt;&gt;"",AA1159&lt;&gt;"",AB1159&lt;&gt;"",AC1159&lt;&gt;"",BB1159&lt;&gt;"",BC1159&lt;&gt;""),"ГОТОВО","НЕ ГОТОВО"))</f>
        <v/>
      </c>
      <c r="BE1159" s="205">
        <f>IF(BD1159&lt;&gt;"ГОТОВО","","Полное заключение: "&amp;A1159&amp;", скв. "&amp;B1159&amp;". МРП: "&amp;E1159&amp;" сут. ГНО: "&amp;F1159&amp;"; причина: "&amp;U1159&amp;"; категория: "&amp;V1159&amp;"; решение комиссии: "&amp;BB1159&amp;".")</f>
        <v/>
      </c>
      <c r="BF1159" s="173">
        <f>IF('Оперативный ввод'!X1159="","",'Оперативный ввод'!X1159)</f>
        <v/>
      </c>
    </row>
    <row r="1160">
      <c r="A1160" s="171">
        <f>IF('Оперативный ввод'!A1160="","",'Оперативный ввод'!A1160)</f>
        <v/>
      </c>
      <c r="B1160" s="172">
        <f>IF('Оперативный ввод'!B1160="","",'Оперативный ввод'!B1160)</f>
        <v/>
      </c>
      <c r="C1160" s="270">
        <f>IF('Оперативный ввод'!C1160="","",'Оперативный ввод'!C1160)</f>
        <v/>
      </c>
      <c r="D1160" s="270">
        <f>IF('Оперативный ввод'!D1160="","",'Оперативный ввод'!D1160)</f>
        <v/>
      </c>
      <c r="E1160" s="271">
        <f>IF(OR(C1160="",D1160=""),"",D1160-C1160)</f>
        <v/>
      </c>
      <c r="F1160" s="172">
        <f>IF('Оперативный ввод'!F1160="","",'Оперативный ввод'!F1160)</f>
        <v/>
      </c>
      <c r="G1160" s="172">
        <f>IF('Оперативный ввод'!G1160="","",'Оперативный ввод'!G1160)</f>
        <v/>
      </c>
      <c r="H1160" s="172">
        <f>IF('Оперативный ввод'!H1160="","",'Оперативный ввод'!H1160)</f>
        <v/>
      </c>
      <c r="I1160" s="172">
        <f>IF('Оперативный ввод'!I1160="","",'Оперативный ввод'!I1160)</f>
        <v/>
      </c>
      <c r="J1160" s="172">
        <f>IF('Оперативный ввод'!J1160="","",'Оперативный ввод'!J1160)</f>
        <v/>
      </c>
      <c r="K1160" s="172">
        <f>IF('Оперативный ввод'!K1160="","",'Оперативный ввод'!K1160)</f>
        <v/>
      </c>
      <c r="L1160" s="172">
        <f>IF('Оперативный ввод'!L1160="","",'Оперативный ввод'!L1160)</f>
        <v/>
      </c>
      <c r="M1160" s="172">
        <f>IF('Оперативный ввод'!M1160="","",'Оперативный ввод'!M1160)</f>
        <v/>
      </c>
      <c r="N1160" s="172">
        <f>IF('Оперативный ввод'!N1160="","",'Оперативный ввод'!N1160)</f>
        <v/>
      </c>
      <c r="O1160" s="172">
        <f>IF('Оперативный ввод'!O1160="","",'Оперативный ввод'!O1160)</f>
        <v/>
      </c>
      <c r="P1160" s="205">
        <f>IF(AND(A1160="",B1160=""),"",IF(AND(A1160&lt;&gt;"",B1160&lt;&gt;"",C1160&lt;&gt;"",D1160&lt;&gt;"",F1160&lt;&gt;"",G1160&lt;&gt;"",H1160&lt;&gt;"",ISERROR(SEARCH("по паспорту",G1160)),ISERROR(SEARCH("по паспорту",H1160)),I1160&lt;&gt;"",J1160&lt;&gt;"",K1160&lt;&gt;"",L1160&lt;&gt;"",M1160&lt;&gt;""),"ГОТОВО","НЕ ГОТОВО"))</f>
        <v/>
      </c>
      <c r="Q1160" s="205">
        <f>IF(P1160&lt;&gt;"ГОТОВО","", "Предварительное заключение: "&amp;A1160&amp;", скв. "&amp;B1160&amp;". МРП: "&amp;E1160&amp;" сут. ГНО: "&amp;F1160&amp;", типоразмер "&amp;G1160&amp;", марка "&amp;H1160&amp;". Событие: "&amp;I1160&amp;". Признак: "&amp;J1160&amp;". Узел: "&amp;K1160&amp;". Предварительная причина: "&amp;L1160&amp;". Основное осложнение: "&amp;M1160&amp;IF(N1160&lt;&gt;"","; сопутствующее: "&amp;N1160,"")&amp;IF(O1160&lt;&gt;"","; дополнительно: "&amp;O1160,"")&amp;".")</f>
        <v/>
      </c>
      <c r="R1160" s="172">
        <f>IF('Оперативный ввод'!P1160="","",'Оперативный ввод'!P1160)</f>
        <v/>
      </c>
      <c r="S1160" s="172">
        <f>IF('Оперативный ввод'!Q1160="","",'Оперативный ввод'!Q1160)</f>
        <v/>
      </c>
      <c r="T1160" s="172">
        <f>IF('Оперативный ввод'!R1160="","",'Оперативный ввод'!R1160)</f>
        <v/>
      </c>
      <c r="U1160" s="172">
        <f>IF('Оперативный ввод'!S1160="","",'Оперативный ввод'!S1160)</f>
        <v/>
      </c>
      <c r="V1160" s="172">
        <f>IF('Оперативный ввод'!T1160="","",'Оперативный ввод'!T1160)</f>
        <v/>
      </c>
      <c r="W1160" s="172" t="n"/>
      <c r="X1160" s="172" t="n"/>
      <c r="Y1160" s="172" t="n"/>
      <c r="Z1160" s="172" t="n"/>
      <c r="AA1160" s="172">
        <f>IF('Оперативный ввод'!U1160="","",'Оперативный ввод'!U1160)</f>
        <v/>
      </c>
      <c r="AB1160" s="172">
        <f>IF('Оперативный ввод'!V1160="","",'Оперативный ввод'!V1160)</f>
        <v/>
      </c>
      <c r="AC1160" s="172">
        <f>IF('Оперативный ввод'!W1160="","",'Оперативный ввод'!W1160)</f>
        <v/>
      </c>
      <c r="BB1160" s="172" t="n"/>
      <c r="BC1160" s="172" t="n"/>
      <c r="BD1160" s="205">
        <f>IF(AND(A1160="",B1160=""),"",IF(AND(P1160="ГОТОВО",R1160&lt;&gt;"",T1160&lt;&gt;"",U1160&lt;&gt;"",AA1160&lt;&gt;"",AB1160&lt;&gt;"",AC1160&lt;&gt;"",BB1160&lt;&gt;"",BC1160&lt;&gt;""),"ГОТОВО","НЕ ГОТОВО"))</f>
        <v/>
      </c>
      <c r="BE1160" s="205">
        <f>IF(BD1160&lt;&gt;"ГОТОВО","","Полное заключение: "&amp;A1160&amp;", скв. "&amp;B1160&amp;". МРП: "&amp;E1160&amp;" сут. ГНО: "&amp;F1160&amp;"; причина: "&amp;U1160&amp;"; категория: "&amp;V1160&amp;"; решение комиссии: "&amp;BB1160&amp;".")</f>
        <v/>
      </c>
      <c r="BF1160" s="173">
        <f>IF('Оперативный ввод'!X1160="","",'Оперативный ввод'!X1160)</f>
        <v/>
      </c>
    </row>
    <row r="1161">
      <c r="A1161" s="171">
        <f>IF('Оперативный ввод'!A1161="","",'Оперативный ввод'!A1161)</f>
        <v/>
      </c>
      <c r="B1161" s="172">
        <f>IF('Оперативный ввод'!B1161="","",'Оперативный ввод'!B1161)</f>
        <v/>
      </c>
      <c r="C1161" s="270">
        <f>IF('Оперативный ввод'!C1161="","",'Оперативный ввод'!C1161)</f>
        <v/>
      </c>
      <c r="D1161" s="270">
        <f>IF('Оперативный ввод'!D1161="","",'Оперативный ввод'!D1161)</f>
        <v/>
      </c>
      <c r="E1161" s="271">
        <f>IF(OR(C1161="",D1161=""),"",D1161-C1161)</f>
        <v/>
      </c>
      <c r="F1161" s="172">
        <f>IF('Оперативный ввод'!F1161="","",'Оперативный ввод'!F1161)</f>
        <v/>
      </c>
      <c r="G1161" s="172">
        <f>IF('Оперативный ввод'!G1161="","",'Оперативный ввод'!G1161)</f>
        <v/>
      </c>
      <c r="H1161" s="172">
        <f>IF('Оперативный ввод'!H1161="","",'Оперативный ввод'!H1161)</f>
        <v/>
      </c>
      <c r="I1161" s="172">
        <f>IF('Оперативный ввод'!I1161="","",'Оперативный ввод'!I1161)</f>
        <v/>
      </c>
      <c r="J1161" s="172">
        <f>IF('Оперативный ввод'!J1161="","",'Оперативный ввод'!J1161)</f>
        <v/>
      </c>
      <c r="K1161" s="172">
        <f>IF('Оперативный ввод'!K1161="","",'Оперативный ввод'!K1161)</f>
        <v/>
      </c>
      <c r="L1161" s="172">
        <f>IF('Оперативный ввод'!L1161="","",'Оперативный ввод'!L1161)</f>
        <v/>
      </c>
      <c r="M1161" s="172">
        <f>IF('Оперативный ввод'!M1161="","",'Оперативный ввод'!M1161)</f>
        <v/>
      </c>
      <c r="N1161" s="172">
        <f>IF('Оперативный ввод'!N1161="","",'Оперативный ввод'!N1161)</f>
        <v/>
      </c>
      <c r="O1161" s="172">
        <f>IF('Оперативный ввод'!O1161="","",'Оперативный ввод'!O1161)</f>
        <v/>
      </c>
      <c r="P1161" s="205">
        <f>IF(AND(A1161="",B1161=""),"",IF(AND(A1161&lt;&gt;"",B1161&lt;&gt;"",C1161&lt;&gt;"",D1161&lt;&gt;"",F1161&lt;&gt;"",G1161&lt;&gt;"",H1161&lt;&gt;"",ISERROR(SEARCH("по паспорту",G1161)),ISERROR(SEARCH("по паспорту",H1161)),I1161&lt;&gt;"",J1161&lt;&gt;"",K1161&lt;&gt;"",L1161&lt;&gt;"",M1161&lt;&gt;""),"ГОТОВО","НЕ ГОТОВО"))</f>
        <v/>
      </c>
      <c r="Q1161" s="205">
        <f>IF(P1161&lt;&gt;"ГОТОВО","", "Предварительное заключение: "&amp;A1161&amp;", скв. "&amp;B1161&amp;". МРП: "&amp;E1161&amp;" сут. ГНО: "&amp;F1161&amp;", типоразмер "&amp;G1161&amp;", марка "&amp;H1161&amp;". Событие: "&amp;I1161&amp;". Признак: "&amp;J1161&amp;". Узел: "&amp;K1161&amp;". Предварительная причина: "&amp;L1161&amp;". Основное осложнение: "&amp;M1161&amp;IF(N1161&lt;&gt;"","; сопутствующее: "&amp;N1161,"")&amp;IF(O1161&lt;&gt;"","; дополнительно: "&amp;O1161,"")&amp;".")</f>
        <v/>
      </c>
      <c r="R1161" s="172">
        <f>IF('Оперативный ввод'!P1161="","",'Оперативный ввод'!P1161)</f>
        <v/>
      </c>
      <c r="S1161" s="172">
        <f>IF('Оперативный ввод'!Q1161="","",'Оперативный ввод'!Q1161)</f>
        <v/>
      </c>
      <c r="T1161" s="172">
        <f>IF('Оперативный ввод'!R1161="","",'Оперативный ввод'!R1161)</f>
        <v/>
      </c>
      <c r="U1161" s="172">
        <f>IF('Оперативный ввод'!S1161="","",'Оперативный ввод'!S1161)</f>
        <v/>
      </c>
      <c r="V1161" s="172">
        <f>IF('Оперативный ввод'!T1161="","",'Оперативный ввод'!T1161)</f>
        <v/>
      </c>
      <c r="W1161" s="172" t="n"/>
      <c r="X1161" s="172" t="n"/>
      <c r="Y1161" s="172" t="n"/>
      <c r="Z1161" s="172" t="n"/>
      <c r="AA1161" s="172">
        <f>IF('Оперативный ввод'!U1161="","",'Оперативный ввод'!U1161)</f>
        <v/>
      </c>
      <c r="AB1161" s="172">
        <f>IF('Оперативный ввод'!V1161="","",'Оперативный ввод'!V1161)</f>
        <v/>
      </c>
      <c r="AC1161" s="172">
        <f>IF('Оперативный ввод'!W1161="","",'Оперативный ввод'!W1161)</f>
        <v/>
      </c>
      <c r="BB1161" s="172" t="n"/>
      <c r="BC1161" s="172" t="n"/>
      <c r="BD1161" s="205">
        <f>IF(AND(A1161="",B1161=""),"",IF(AND(P1161="ГОТОВО",R1161&lt;&gt;"",T1161&lt;&gt;"",U1161&lt;&gt;"",AA1161&lt;&gt;"",AB1161&lt;&gt;"",AC1161&lt;&gt;"",BB1161&lt;&gt;"",BC1161&lt;&gt;""),"ГОТОВО","НЕ ГОТОВО"))</f>
        <v/>
      </c>
      <c r="BE1161" s="205">
        <f>IF(BD1161&lt;&gt;"ГОТОВО","","Полное заключение: "&amp;A1161&amp;", скв. "&amp;B1161&amp;". МРП: "&amp;E1161&amp;" сут. ГНО: "&amp;F1161&amp;"; причина: "&amp;U1161&amp;"; категория: "&amp;V1161&amp;"; решение комиссии: "&amp;BB1161&amp;".")</f>
        <v/>
      </c>
      <c r="BF1161" s="173">
        <f>IF('Оперативный ввод'!X1161="","",'Оперативный ввод'!X1161)</f>
        <v/>
      </c>
    </row>
    <row r="1162">
      <c r="A1162" s="171">
        <f>IF('Оперативный ввод'!A1162="","",'Оперативный ввод'!A1162)</f>
        <v/>
      </c>
      <c r="B1162" s="172">
        <f>IF('Оперативный ввод'!B1162="","",'Оперативный ввод'!B1162)</f>
        <v/>
      </c>
      <c r="C1162" s="270">
        <f>IF('Оперативный ввод'!C1162="","",'Оперативный ввод'!C1162)</f>
        <v/>
      </c>
      <c r="D1162" s="270">
        <f>IF('Оперативный ввод'!D1162="","",'Оперативный ввод'!D1162)</f>
        <v/>
      </c>
      <c r="E1162" s="271">
        <f>IF(OR(C1162="",D1162=""),"",D1162-C1162)</f>
        <v/>
      </c>
      <c r="F1162" s="172">
        <f>IF('Оперативный ввод'!F1162="","",'Оперативный ввод'!F1162)</f>
        <v/>
      </c>
      <c r="G1162" s="172">
        <f>IF('Оперативный ввод'!G1162="","",'Оперативный ввод'!G1162)</f>
        <v/>
      </c>
      <c r="H1162" s="172">
        <f>IF('Оперативный ввод'!H1162="","",'Оперативный ввод'!H1162)</f>
        <v/>
      </c>
      <c r="I1162" s="172">
        <f>IF('Оперативный ввод'!I1162="","",'Оперативный ввод'!I1162)</f>
        <v/>
      </c>
      <c r="J1162" s="172">
        <f>IF('Оперативный ввод'!J1162="","",'Оперативный ввод'!J1162)</f>
        <v/>
      </c>
      <c r="K1162" s="172">
        <f>IF('Оперативный ввод'!K1162="","",'Оперативный ввод'!K1162)</f>
        <v/>
      </c>
      <c r="L1162" s="172">
        <f>IF('Оперативный ввод'!L1162="","",'Оперативный ввод'!L1162)</f>
        <v/>
      </c>
      <c r="M1162" s="172">
        <f>IF('Оперативный ввод'!M1162="","",'Оперативный ввод'!M1162)</f>
        <v/>
      </c>
      <c r="N1162" s="172">
        <f>IF('Оперативный ввод'!N1162="","",'Оперативный ввод'!N1162)</f>
        <v/>
      </c>
      <c r="O1162" s="172">
        <f>IF('Оперативный ввод'!O1162="","",'Оперативный ввод'!O1162)</f>
        <v/>
      </c>
      <c r="P1162" s="205">
        <f>IF(AND(A1162="",B1162=""),"",IF(AND(A1162&lt;&gt;"",B1162&lt;&gt;"",C1162&lt;&gt;"",D1162&lt;&gt;"",F1162&lt;&gt;"",G1162&lt;&gt;"",H1162&lt;&gt;"",ISERROR(SEARCH("по паспорту",G1162)),ISERROR(SEARCH("по паспорту",H1162)),I1162&lt;&gt;"",J1162&lt;&gt;"",K1162&lt;&gt;"",L1162&lt;&gt;"",M1162&lt;&gt;""),"ГОТОВО","НЕ ГОТОВО"))</f>
        <v/>
      </c>
      <c r="Q1162" s="205">
        <f>IF(P1162&lt;&gt;"ГОТОВО","", "Предварительное заключение: "&amp;A1162&amp;", скв. "&amp;B1162&amp;". МРП: "&amp;E1162&amp;" сут. ГНО: "&amp;F1162&amp;", типоразмер "&amp;G1162&amp;", марка "&amp;H1162&amp;". Событие: "&amp;I1162&amp;". Признак: "&amp;J1162&amp;". Узел: "&amp;K1162&amp;". Предварительная причина: "&amp;L1162&amp;". Основное осложнение: "&amp;M1162&amp;IF(N1162&lt;&gt;"","; сопутствующее: "&amp;N1162,"")&amp;IF(O1162&lt;&gt;"","; дополнительно: "&amp;O1162,"")&amp;".")</f>
        <v/>
      </c>
      <c r="R1162" s="172">
        <f>IF('Оперативный ввод'!P1162="","",'Оперативный ввод'!P1162)</f>
        <v/>
      </c>
      <c r="S1162" s="172">
        <f>IF('Оперативный ввод'!Q1162="","",'Оперативный ввод'!Q1162)</f>
        <v/>
      </c>
      <c r="T1162" s="172">
        <f>IF('Оперативный ввод'!R1162="","",'Оперативный ввод'!R1162)</f>
        <v/>
      </c>
      <c r="U1162" s="172">
        <f>IF('Оперативный ввод'!S1162="","",'Оперативный ввод'!S1162)</f>
        <v/>
      </c>
      <c r="V1162" s="172">
        <f>IF('Оперативный ввод'!T1162="","",'Оперативный ввод'!T1162)</f>
        <v/>
      </c>
      <c r="W1162" s="172" t="n"/>
      <c r="X1162" s="172" t="n"/>
      <c r="Y1162" s="172" t="n"/>
      <c r="Z1162" s="172" t="n"/>
      <c r="AA1162" s="172">
        <f>IF('Оперативный ввод'!U1162="","",'Оперативный ввод'!U1162)</f>
        <v/>
      </c>
      <c r="AB1162" s="172">
        <f>IF('Оперативный ввод'!V1162="","",'Оперативный ввод'!V1162)</f>
        <v/>
      </c>
      <c r="AC1162" s="172">
        <f>IF('Оперативный ввод'!W1162="","",'Оперативный ввод'!W1162)</f>
        <v/>
      </c>
      <c r="BB1162" s="172" t="n"/>
      <c r="BC1162" s="172" t="n"/>
      <c r="BD1162" s="205">
        <f>IF(AND(A1162="",B1162=""),"",IF(AND(P1162="ГОТОВО",R1162&lt;&gt;"",T1162&lt;&gt;"",U1162&lt;&gt;"",AA1162&lt;&gt;"",AB1162&lt;&gt;"",AC1162&lt;&gt;"",BB1162&lt;&gt;"",BC1162&lt;&gt;""),"ГОТОВО","НЕ ГОТОВО"))</f>
        <v/>
      </c>
      <c r="BE1162" s="205">
        <f>IF(BD1162&lt;&gt;"ГОТОВО","","Полное заключение: "&amp;A1162&amp;", скв. "&amp;B1162&amp;". МРП: "&amp;E1162&amp;" сут. ГНО: "&amp;F1162&amp;"; причина: "&amp;U1162&amp;"; категория: "&amp;V1162&amp;"; решение комиссии: "&amp;BB1162&amp;".")</f>
        <v/>
      </c>
      <c r="BF1162" s="173">
        <f>IF('Оперативный ввод'!X1162="","",'Оперативный ввод'!X1162)</f>
        <v/>
      </c>
    </row>
    <row r="1163">
      <c r="A1163" s="171">
        <f>IF('Оперативный ввод'!A1163="","",'Оперативный ввод'!A1163)</f>
        <v/>
      </c>
      <c r="B1163" s="172">
        <f>IF('Оперативный ввод'!B1163="","",'Оперативный ввод'!B1163)</f>
        <v/>
      </c>
      <c r="C1163" s="270">
        <f>IF('Оперативный ввод'!C1163="","",'Оперативный ввод'!C1163)</f>
        <v/>
      </c>
      <c r="D1163" s="270">
        <f>IF('Оперативный ввод'!D1163="","",'Оперативный ввод'!D1163)</f>
        <v/>
      </c>
      <c r="E1163" s="271">
        <f>IF(OR(C1163="",D1163=""),"",D1163-C1163)</f>
        <v/>
      </c>
      <c r="F1163" s="172">
        <f>IF('Оперативный ввод'!F1163="","",'Оперативный ввод'!F1163)</f>
        <v/>
      </c>
      <c r="G1163" s="172">
        <f>IF('Оперативный ввод'!G1163="","",'Оперативный ввод'!G1163)</f>
        <v/>
      </c>
      <c r="H1163" s="172">
        <f>IF('Оперативный ввод'!H1163="","",'Оперативный ввод'!H1163)</f>
        <v/>
      </c>
      <c r="I1163" s="172">
        <f>IF('Оперативный ввод'!I1163="","",'Оперативный ввод'!I1163)</f>
        <v/>
      </c>
      <c r="J1163" s="172">
        <f>IF('Оперативный ввод'!J1163="","",'Оперативный ввод'!J1163)</f>
        <v/>
      </c>
      <c r="K1163" s="172">
        <f>IF('Оперативный ввод'!K1163="","",'Оперативный ввод'!K1163)</f>
        <v/>
      </c>
      <c r="L1163" s="172">
        <f>IF('Оперативный ввод'!L1163="","",'Оперативный ввод'!L1163)</f>
        <v/>
      </c>
      <c r="M1163" s="172">
        <f>IF('Оперативный ввод'!M1163="","",'Оперативный ввод'!M1163)</f>
        <v/>
      </c>
      <c r="N1163" s="172">
        <f>IF('Оперативный ввод'!N1163="","",'Оперативный ввод'!N1163)</f>
        <v/>
      </c>
      <c r="O1163" s="172">
        <f>IF('Оперативный ввод'!O1163="","",'Оперативный ввод'!O1163)</f>
        <v/>
      </c>
      <c r="P1163" s="205">
        <f>IF(AND(A1163="",B1163=""),"",IF(AND(A1163&lt;&gt;"",B1163&lt;&gt;"",C1163&lt;&gt;"",D1163&lt;&gt;"",F1163&lt;&gt;"",G1163&lt;&gt;"",H1163&lt;&gt;"",ISERROR(SEARCH("по паспорту",G1163)),ISERROR(SEARCH("по паспорту",H1163)),I1163&lt;&gt;"",J1163&lt;&gt;"",K1163&lt;&gt;"",L1163&lt;&gt;"",M1163&lt;&gt;""),"ГОТОВО","НЕ ГОТОВО"))</f>
        <v/>
      </c>
      <c r="Q1163" s="205">
        <f>IF(P1163&lt;&gt;"ГОТОВО","", "Предварительное заключение: "&amp;A1163&amp;", скв. "&amp;B1163&amp;". МРП: "&amp;E1163&amp;" сут. ГНО: "&amp;F1163&amp;", типоразмер "&amp;G1163&amp;", марка "&amp;H1163&amp;". Событие: "&amp;I1163&amp;". Признак: "&amp;J1163&amp;". Узел: "&amp;K1163&amp;". Предварительная причина: "&amp;L1163&amp;". Основное осложнение: "&amp;M1163&amp;IF(N1163&lt;&gt;"","; сопутствующее: "&amp;N1163,"")&amp;IF(O1163&lt;&gt;"","; дополнительно: "&amp;O1163,"")&amp;".")</f>
        <v/>
      </c>
      <c r="R1163" s="172">
        <f>IF('Оперативный ввод'!P1163="","",'Оперативный ввод'!P1163)</f>
        <v/>
      </c>
      <c r="S1163" s="172">
        <f>IF('Оперативный ввод'!Q1163="","",'Оперативный ввод'!Q1163)</f>
        <v/>
      </c>
      <c r="T1163" s="172">
        <f>IF('Оперативный ввод'!R1163="","",'Оперативный ввод'!R1163)</f>
        <v/>
      </c>
      <c r="U1163" s="172">
        <f>IF('Оперативный ввод'!S1163="","",'Оперативный ввод'!S1163)</f>
        <v/>
      </c>
      <c r="V1163" s="172">
        <f>IF('Оперативный ввод'!T1163="","",'Оперативный ввод'!T1163)</f>
        <v/>
      </c>
      <c r="W1163" s="172" t="n"/>
      <c r="X1163" s="172" t="n"/>
      <c r="Y1163" s="172" t="n"/>
      <c r="Z1163" s="172" t="n"/>
      <c r="AA1163" s="172">
        <f>IF('Оперативный ввод'!U1163="","",'Оперативный ввод'!U1163)</f>
        <v/>
      </c>
      <c r="AB1163" s="172">
        <f>IF('Оперативный ввод'!V1163="","",'Оперативный ввод'!V1163)</f>
        <v/>
      </c>
      <c r="AC1163" s="172">
        <f>IF('Оперативный ввод'!W1163="","",'Оперативный ввод'!W1163)</f>
        <v/>
      </c>
      <c r="BB1163" s="172" t="n"/>
      <c r="BC1163" s="172" t="n"/>
      <c r="BD1163" s="205">
        <f>IF(AND(A1163="",B1163=""),"",IF(AND(P1163="ГОТОВО",R1163&lt;&gt;"",T1163&lt;&gt;"",U1163&lt;&gt;"",AA1163&lt;&gt;"",AB1163&lt;&gt;"",AC1163&lt;&gt;"",BB1163&lt;&gt;"",BC1163&lt;&gt;""),"ГОТОВО","НЕ ГОТОВО"))</f>
        <v/>
      </c>
      <c r="BE1163" s="205">
        <f>IF(BD1163&lt;&gt;"ГОТОВО","","Полное заключение: "&amp;A1163&amp;", скв. "&amp;B1163&amp;". МРП: "&amp;E1163&amp;" сут. ГНО: "&amp;F1163&amp;"; причина: "&amp;U1163&amp;"; категория: "&amp;V1163&amp;"; решение комиссии: "&amp;BB1163&amp;".")</f>
        <v/>
      </c>
      <c r="BF1163" s="173">
        <f>IF('Оперативный ввод'!X1163="","",'Оперативный ввод'!X1163)</f>
        <v/>
      </c>
    </row>
    <row r="1164">
      <c r="A1164" s="171">
        <f>IF('Оперативный ввод'!A1164="","",'Оперативный ввод'!A1164)</f>
        <v/>
      </c>
      <c r="B1164" s="172">
        <f>IF('Оперативный ввод'!B1164="","",'Оперативный ввод'!B1164)</f>
        <v/>
      </c>
      <c r="C1164" s="270">
        <f>IF('Оперативный ввод'!C1164="","",'Оперативный ввод'!C1164)</f>
        <v/>
      </c>
      <c r="D1164" s="270">
        <f>IF('Оперативный ввод'!D1164="","",'Оперативный ввод'!D1164)</f>
        <v/>
      </c>
      <c r="E1164" s="271">
        <f>IF(OR(C1164="",D1164=""),"",D1164-C1164)</f>
        <v/>
      </c>
      <c r="F1164" s="172">
        <f>IF('Оперативный ввод'!F1164="","",'Оперативный ввод'!F1164)</f>
        <v/>
      </c>
      <c r="G1164" s="172">
        <f>IF('Оперативный ввод'!G1164="","",'Оперативный ввод'!G1164)</f>
        <v/>
      </c>
      <c r="H1164" s="172">
        <f>IF('Оперативный ввод'!H1164="","",'Оперативный ввод'!H1164)</f>
        <v/>
      </c>
      <c r="I1164" s="172">
        <f>IF('Оперативный ввод'!I1164="","",'Оперативный ввод'!I1164)</f>
        <v/>
      </c>
      <c r="J1164" s="172">
        <f>IF('Оперативный ввод'!J1164="","",'Оперативный ввод'!J1164)</f>
        <v/>
      </c>
      <c r="K1164" s="172">
        <f>IF('Оперативный ввод'!K1164="","",'Оперативный ввод'!K1164)</f>
        <v/>
      </c>
      <c r="L1164" s="172">
        <f>IF('Оперативный ввод'!L1164="","",'Оперативный ввод'!L1164)</f>
        <v/>
      </c>
      <c r="M1164" s="172">
        <f>IF('Оперативный ввод'!M1164="","",'Оперативный ввод'!M1164)</f>
        <v/>
      </c>
      <c r="N1164" s="172">
        <f>IF('Оперативный ввод'!N1164="","",'Оперативный ввод'!N1164)</f>
        <v/>
      </c>
      <c r="O1164" s="172">
        <f>IF('Оперативный ввод'!O1164="","",'Оперативный ввод'!O1164)</f>
        <v/>
      </c>
      <c r="P1164" s="205">
        <f>IF(AND(A1164="",B1164=""),"",IF(AND(A1164&lt;&gt;"",B1164&lt;&gt;"",C1164&lt;&gt;"",D1164&lt;&gt;"",F1164&lt;&gt;"",G1164&lt;&gt;"",H1164&lt;&gt;"",ISERROR(SEARCH("по паспорту",G1164)),ISERROR(SEARCH("по паспорту",H1164)),I1164&lt;&gt;"",J1164&lt;&gt;"",K1164&lt;&gt;"",L1164&lt;&gt;"",M1164&lt;&gt;""),"ГОТОВО","НЕ ГОТОВО"))</f>
        <v/>
      </c>
      <c r="Q1164" s="205">
        <f>IF(P1164&lt;&gt;"ГОТОВО","", "Предварительное заключение: "&amp;A1164&amp;", скв. "&amp;B1164&amp;". МРП: "&amp;E1164&amp;" сут. ГНО: "&amp;F1164&amp;", типоразмер "&amp;G1164&amp;", марка "&amp;H1164&amp;". Событие: "&amp;I1164&amp;". Признак: "&amp;J1164&amp;". Узел: "&amp;K1164&amp;". Предварительная причина: "&amp;L1164&amp;". Основное осложнение: "&amp;M1164&amp;IF(N1164&lt;&gt;"","; сопутствующее: "&amp;N1164,"")&amp;IF(O1164&lt;&gt;"","; дополнительно: "&amp;O1164,"")&amp;".")</f>
        <v/>
      </c>
      <c r="R1164" s="172">
        <f>IF('Оперативный ввод'!P1164="","",'Оперативный ввод'!P1164)</f>
        <v/>
      </c>
      <c r="S1164" s="172">
        <f>IF('Оперативный ввод'!Q1164="","",'Оперативный ввод'!Q1164)</f>
        <v/>
      </c>
      <c r="T1164" s="172">
        <f>IF('Оперативный ввод'!R1164="","",'Оперативный ввод'!R1164)</f>
        <v/>
      </c>
      <c r="U1164" s="172">
        <f>IF('Оперативный ввод'!S1164="","",'Оперативный ввод'!S1164)</f>
        <v/>
      </c>
      <c r="V1164" s="172">
        <f>IF('Оперативный ввод'!T1164="","",'Оперативный ввод'!T1164)</f>
        <v/>
      </c>
      <c r="W1164" s="172" t="n"/>
      <c r="X1164" s="172" t="n"/>
      <c r="Y1164" s="172" t="n"/>
      <c r="Z1164" s="172" t="n"/>
      <c r="AA1164" s="172">
        <f>IF('Оперативный ввод'!U1164="","",'Оперативный ввод'!U1164)</f>
        <v/>
      </c>
      <c r="AB1164" s="172">
        <f>IF('Оперативный ввод'!V1164="","",'Оперативный ввод'!V1164)</f>
        <v/>
      </c>
      <c r="AC1164" s="172">
        <f>IF('Оперативный ввод'!W1164="","",'Оперативный ввод'!W1164)</f>
        <v/>
      </c>
      <c r="BB1164" s="172" t="n"/>
      <c r="BC1164" s="172" t="n"/>
      <c r="BD1164" s="205">
        <f>IF(AND(A1164="",B1164=""),"",IF(AND(P1164="ГОТОВО",R1164&lt;&gt;"",T1164&lt;&gt;"",U1164&lt;&gt;"",AA1164&lt;&gt;"",AB1164&lt;&gt;"",AC1164&lt;&gt;"",BB1164&lt;&gt;"",BC1164&lt;&gt;""),"ГОТОВО","НЕ ГОТОВО"))</f>
        <v/>
      </c>
      <c r="BE1164" s="205">
        <f>IF(BD1164&lt;&gt;"ГОТОВО","","Полное заключение: "&amp;A1164&amp;", скв. "&amp;B1164&amp;". МРП: "&amp;E1164&amp;" сут. ГНО: "&amp;F1164&amp;"; причина: "&amp;U1164&amp;"; категория: "&amp;V1164&amp;"; решение комиссии: "&amp;BB1164&amp;".")</f>
        <v/>
      </c>
      <c r="BF1164" s="173">
        <f>IF('Оперативный ввод'!X1164="","",'Оперативный ввод'!X1164)</f>
        <v/>
      </c>
    </row>
    <row r="1165">
      <c r="A1165" s="171">
        <f>IF('Оперативный ввод'!A1165="","",'Оперативный ввод'!A1165)</f>
        <v/>
      </c>
      <c r="B1165" s="172">
        <f>IF('Оперативный ввод'!B1165="","",'Оперативный ввод'!B1165)</f>
        <v/>
      </c>
      <c r="C1165" s="270">
        <f>IF('Оперативный ввод'!C1165="","",'Оперативный ввод'!C1165)</f>
        <v/>
      </c>
      <c r="D1165" s="270">
        <f>IF('Оперативный ввод'!D1165="","",'Оперативный ввод'!D1165)</f>
        <v/>
      </c>
      <c r="E1165" s="271">
        <f>IF(OR(C1165="",D1165=""),"",D1165-C1165)</f>
        <v/>
      </c>
      <c r="F1165" s="172">
        <f>IF('Оперативный ввод'!F1165="","",'Оперативный ввод'!F1165)</f>
        <v/>
      </c>
      <c r="G1165" s="172">
        <f>IF('Оперативный ввод'!G1165="","",'Оперативный ввод'!G1165)</f>
        <v/>
      </c>
      <c r="H1165" s="172">
        <f>IF('Оперативный ввод'!H1165="","",'Оперативный ввод'!H1165)</f>
        <v/>
      </c>
      <c r="I1165" s="172">
        <f>IF('Оперативный ввод'!I1165="","",'Оперативный ввод'!I1165)</f>
        <v/>
      </c>
      <c r="J1165" s="172">
        <f>IF('Оперативный ввод'!J1165="","",'Оперативный ввод'!J1165)</f>
        <v/>
      </c>
      <c r="K1165" s="172">
        <f>IF('Оперативный ввод'!K1165="","",'Оперативный ввод'!K1165)</f>
        <v/>
      </c>
      <c r="L1165" s="172">
        <f>IF('Оперативный ввод'!L1165="","",'Оперативный ввод'!L1165)</f>
        <v/>
      </c>
      <c r="M1165" s="172">
        <f>IF('Оперативный ввод'!M1165="","",'Оперативный ввод'!M1165)</f>
        <v/>
      </c>
      <c r="N1165" s="172">
        <f>IF('Оперативный ввод'!N1165="","",'Оперативный ввод'!N1165)</f>
        <v/>
      </c>
      <c r="O1165" s="172">
        <f>IF('Оперативный ввод'!O1165="","",'Оперативный ввод'!O1165)</f>
        <v/>
      </c>
      <c r="P1165" s="205">
        <f>IF(AND(A1165="",B1165=""),"",IF(AND(A1165&lt;&gt;"",B1165&lt;&gt;"",C1165&lt;&gt;"",D1165&lt;&gt;"",F1165&lt;&gt;"",G1165&lt;&gt;"",H1165&lt;&gt;"",ISERROR(SEARCH("по паспорту",G1165)),ISERROR(SEARCH("по паспорту",H1165)),I1165&lt;&gt;"",J1165&lt;&gt;"",K1165&lt;&gt;"",L1165&lt;&gt;"",M1165&lt;&gt;""),"ГОТОВО","НЕ ГОТОВО"))</f>
        <v/>
      </c>
      <c r="Q1165" s="205">
        <f>IF(P1165&lt;&gt;"ГОТОВО","", "Предварительное заключение: "&amp;A1165&amp;", скв. "&amp;B1165&amp;". МРП: "&amp;E1165&amp;" сут. ГНО: "&amp;F1165&amp;", типоразмер "&amp;G1165&amp;", марка "&amp;H1165&amp;". Событие: "&amp;I1165&amp;". Признак: "&amp;J1165&amp;". Узел: "&amp;K1165&amp;". Предварительная причина: "&amp;L1165&amp;". Основное осложнение: "&amp;M1165&amp;IF(N1165&lt;&gt;"","; сопутствующее: "&amp;N1165,"")&amp;IF(O1165&lt;&gt;"","; дополнительно: "&amp;O1165,"")&amp;".")</f>
        <v/>
      </c>
      <c r="R1165" s="172">
        <f>IF('Оперативный ввод'!P1165="","",'Оперативный ввод'!P1165)</f>
        <v/>
      </c>
      <c r="S1165" s="172">
        <f>IF('Оперативный ввод'!Q1165="","",'Оперативный ввод'!Q1165)</f>
        <v/>
      </c>
      <c r="T1165" s="172">
        <f>IF('Оперативный ввод'!R1165="","",'Оперативный ввод'!R1165)</f>
        <v/>
      </c>
      <c r="U1165" s="172">
        <f>IF('Оперативный ввод'!S1165="","",'Оперативный ввод'!S1165)</f>
        <v/>
      </c>
      <c r="V1165" s="172">
        <f>IF('Оперативный ввод'!T1165="","",'Оперативный ввод'!T1165)</f>
        <v/>
      </c>
      <c r="W1165" s="172" t="n"/>
      <c r="X1165" s="172" t="n"/>
      <c r="Y1165" s="172" t="n"/>
      <c r="Z1165" s="172" t="n"/>
      <c r="AA1165" s="172">
        <f>IF('Оперативный ввод'!U1165="","",'Оперативный ввод'!U1165)</f>
        <v/>
      </c>
      <c r="AB1165" s="172">
        <f>IF('Оперативный ввод'!V1165="","",'Оперативный ввод'!V1165)</f>
        <v/>
      </c>
      <c r="AC1165" s="172">
        <f>IF('Оперативный ввод'!W1165="","",'Оперативный ввод'!W1165)</f>
        <v/>
      </c>
      <c r="BB1165" s="172" t="n"/>
      <c r="BC1165" s="172" t="n"/>
      <c r="BD1165" s="205">
        <f>IF(AND(A1165="",B1165=""),"",IF(AND(P1165="ГОТОВО",R1165&lt;&gt;"",T1165&lt;&gt;"",U1165&lt;&gt;"",AA1165&lt;&gt;"",AB1165&lt;&gt;"",AC1165&lt;&gt;"",BB1165&lt;&gt;"",BC1165&lt;&gt;""),"ГОТОВО","НЕ ГОТОВО"))</f>
        <v/>
      </c>
      <c r="BE1165" s="205">
        <f>IF(BD1165&lt;&gt;"ГОТОВО","","Полное заключение: "&amp;A1165&amp;", скв. "&amp;B1165&amp;". МРП: "&amp;E1165&amp;" сут. ГНО: "&amp;F1165&amp;"; причина: "&amp;U1165&amp;"; категория: "&amp;V1165&amp;"; решение комиссии: "&amp;BB1165&amp;".")</f>
        <v/>
      </c>
      <c r="BF1165" s="173">
        <f>IF('Оперативный ввод'!X1165="","",'Оперативный ввод'!X1165)</f>
        <v/>
      </c>
    </row>
    <row r="1166">
      <c r="A1166" s="171">
        <f>IF('Оперативный ввод'!A1166="","",'Оперативный ввод'!A1166)</f>
        <v/>
      </c>
      <c r="B1166" s="172">
        <f>IF('Оперативный ввод'!B1166="","",'Оперативный ввод'!B1166)</f>
        <v/>
      </c>
      <c r="C1166" s="270">
        <f>IF('Оперативный ввод'!C1166="","",'Оперативный ввод'!C1166)</f>
        <v/>
      </c>
      <c r="D1166" s="270">
        <f>IF('Оперативный ввод'!D1166="","",'Оперативный ввод'!D1166)</f>
        <v/>
      </c>
      <c r="E1166" s="271">
        <f>IF(OR(C1166="",D1166=""),"",D1166-C1166)</f>
        <v/>
      </c>
      <c r="F1166" s="172">
        <f>IF('Оперативный ввод'!F1166="","",'Оперативный ввод'!F1166)</f>
        <v/>
      </c>
      <c r="G1166" s="172">
        <f>IF('Оперативный ввод'!G1166="","",'Оперативный ввод'!G1166)</f>
        <v/>
      </c>
      <c r="H1166" s="172">
        <f>IF('Оперативный ввод'!H1166="","",'Оперативный ввод'!H1166)</f>
        <v/>
      </c>
      <c r="I1166" s="172">
        <f>IF('Оперативный ввод'!I1166="","",'Оперативный ввод'!I1166)</f>
        <v/>
      </c>
      <c r="J1166" s="172">
        <f>IF('Оперативный ввод'!J1166="","",'Оперативный ввод'!J1166)</f>
        <v/>
      </c>
      <c r="K1166" s="172">
        <f>IF('Оперативный ввод'!K1166="","",'Оперативный ввод'!K1166)</f>
        <v/>
      </c>
      <c r="L1166" s="172">
        <f>IF('Оперативный ввод'!L1166="","",'Оперативный ввод'!L1166)</f>
        <v/>
      </c>
      <c r="M1166" s="172">
        <f>IF('Оперативный ввод'!M1166="","",'Оперативный ввод'!M1166)</f>
        <v/>
      </c>
      <c r="N1166" s="172">
        <f>IF('Оперативный ввод'!N1166="","",'Оперативный ввод'!N1166)</f>
        <v/>
      </c>
      <c r="O1166" s="172">
        <f>IF('Оперативный ввод'!O1166="","",'Оперативный ввод'!O1166)</f>
        <v/>
      </c>
      <c r="P1166" s="205">
        <f>IF(AND(A1166="",B1166=""),"",IF(AND(A1166&lt;&gt;"",B1166&lt;&gt;"",C1166&lt;&gt;"",D1166&lt;&gt;"",F1166&lt;&gt;"",G1166&lt;&gt;"",H1166&lt;&gt;"",ISERROR(SEARCH("по паспорту",G1166)),ISERROR(SEARCH("по паспорту",H1166)),I1166&lt;&gt;"",J1166&lt;&gt;"",K1166&lt;&gt;"",L1166&lt;&gt;"",M1166&lt;&gt;""),"ГОТОВО","НЕ ГОТОВО"))</f>
        <v/>
      </c>
      <c r="Q1166" s="205">
        <f>IF(P1166&lt;&gt;"ГОТОВО","", "Предварительное заключение: "&amp;A1166&amp;", скв. "&amp;B1166&amp;". МРП: "&amp;E1166&amp;" сут. ГНО: "&amp;F1166&amp;", типоразмер "&amp;G1166&amp;", марка "&amp;H1166&amp;". Событие: "&amp;I1166&amp;". Признак: "&amp;J1166&amp;". Узел: "&amp;K1166&amp;". Предварительная причина: "&amp;L1166&amp;". Основное осложнение: "&amp;M1166&amp;IF(N1166&lt;&gt;"","; сопутствующее: "&amp;N1166,"")&amp;IF(O1166&lt;&gt;"","; дополнительно: "&amp;O1166,"")&amp;".")</f>
        <v/>
      </c>
      <c r="R1166" s="172">
        <f>IF('Оперативный ввод'!P1166="","",'Оперативный ввод'!P1166)</f>
        <v/>
      </c>
      <c r="S1166" s="172">
        <f>IF('Оперативный ввод'!Q1166="","",'Оперативный ввод'!Q1166)</f>
        <v/>
      </c>
      <c r="T1166" s="172">
        <f>IF('Оперативный ввод'!R1166="","",'Оперативный ввод'!R1166)</f>
        <v/>
      </c>
      <c r="U1166" s="172">
        <f>IF('Оперативный ввод'!S1166="","",'Оперативный ввод'!S1166)</f>
        <v/>
      </c>
      <c r="V1166" s="172">
        <f>IF('Оперативный ввод'!T1166="","",'Оперативный ввод'!T1166)</f>
        <v/>
      </c>
      <c r="W1166" s="172" t="n"/>
      <c r="X1166" s="172" t="n"/>
      <c r="Y1166" s="172" t="n"/>
      <c r="Z1166" s="172" t="n"/>
      <c r="AA1166" s="172">
        <f>IF('Оперативный ввод'!U1166="","",'Оперативный ввод'!U1166)</f>
        <v/>
      </c>
      <c r="AB1166" s="172">
        <f>IF('Оперативный ввод'!V1166="","",'Оперативный ввод'!V1166)</f>
        <v/>
      </c>
      <c r="AC1166" s="172">
        <f>IF('Оперативный ввод'!W1166="","",'Оперативный ввод'!W1166)</f>
        <v/>
      </c>
      <c r="BB1166" s="172" t="n"/>
      <c r="BC1166" s="172" t="n"/>
      <c r="BD1166" s="205">
        <f>IF(AND(A1166="",B1166=""),"",IF(AND(P1166="ГОТОВО",R1166&lt;&gt;"",T1166&lt;&gt;"",U1166&lt;&gt;"",AA1166&lt;&gt;"",AB1166&lt;&gt;"",AC1166&lt;&gt;"",BB1166&lt;&gt;"",BC1166&lt;&gt;""),"ГОТОВО","НЕ ГОТОВО"))</f>
        <v/>
      </c>
      <c r="BE1166" s="205">
        <f>IF(BD1166&lt;&gt;"ГОТОВО","","Полное заключение: "&amp;A1166&amp;", скв. "&amp;B1166&amp;". МРП: "&amp;E1166&amp;" сут. ГНО: "&amp;F1166&amp;"; причина: "&amp;U1166&amp;"; категория: "&amp;V1166&amp;"; решение комиссии: "&amp;BB1166&amp;".")</f>
        <v/>
      </c>
      <c r="BF1166" s="173">
        <f>IF('Оперативный ввод'!X1166="","",'Оперативный ввод'!X1166)</f>
        <v/>
      </c>
    </row>
    <row r="1167">
      <c r="A1167" s="171">
        <f>IF('Оперативный ввод'!A1167="","",'Оперативный ввод'!A1167)</f>
        <v/>
      </c>
      <c r="B1167" s="172">
        <f>IF('Оперативный ввод'!B1167="","",'Оперативный ввод'!B1167)</f>
        <v/>
      </c>
      <c r="C1167" s="270">
        <f>IF('Оперативный ввод'!C1167="","",'Оперативный ввод'!C1167)</f>
        <v/>
      </c>
      <c r="D1167" s="270">
        <f>IF('Оперативный ввод'!D1167="","",'Оперативный ввод'!D1167)</f>
        <v/>
      </c>
      <c r="E1167" s="271">
        <f>IF(OR(C1167="",D1167=""),"",D1167-C1167)</f>
        <v/>
      </c>
      <c r="F1167" s="172">
        <f>IF('Оперативный ввод'!F1167="","",'Оперативный ввод'!F1167)</f>
        <v/>
      </c>
      <c r="G1167" s="172">
        <f>IF('Оперативный ввод'!G1167="","",'Оперативный ввод'!G1167)</f>
        <v/>
      </c>
      <c r="H1167" s="172">
        <f>IF('Оперативный ввод'!H1167="","",'Оперативный ввод'!H1167)</f>
        <v/>
      </c>
      <c r="I1167" s="172">
        <f>IF('Оперативный ввод'!I1167="","",'Оперативный ввод'!I1167)</f>
        <v/>
      </c>
      <c r="J1167" s="172">
        <f>IF('Оперативный ввод'!J1167="","",'Оперативный ввод'!J1167)</f>
        <v/>
      </c>
      <c r="K1167" s="172">
        <f>IF('Оперативный ввод'!K1167="","",'Оперативный ввод'!K1167)</f>
        <v/>
      </c>
      <c r="L1167" s="172">
        <f>IF('Оперативный ввод'!L1167="","",'Оперативный ввод'!L1167)</f>
        <v/>
      </c>
      <c r="M1167" s="172">
        <f>IF('Оперативный ввод'!M1167="","",'Оперативный ввод'!M1167)</f>
        <v/>
      </c>
      <c r="N1167" s="172">
        <f>IF('Оперативный ввод'!N1167="","",'Оперативный ввод'!N1167)</f>
        <v/>
      </c>
      <c r="O1167" s="172">
        <f>IF('Оперативный ввод'!O1167="","",'Оперативный ввод'!O1167)</f>
        <v/>
      </c>
      <c r="P1167" s="205">
        <f>IF(AND(A1167="",B1167=""),"",IF(AND(A1167&lt;&gt;"",B1167&lt;&gt;"",C1167&lt;&gt;"",D1167&lt;&gt;"",F1167&lt;&gt;"",G1167&lt;&gt;"",H1167&lt;&gt;"",ISERROR(SEARCH("по паспорту",G1167)),ISERROR(SEARCH("по паспорту",H1167)),I1167&lt;&gt;"",J1167&lt;&gt;"",K1167&lt;&gt;"",L1167&lt;&gt;"",M1167&lt;&gt;""),"ГОТОВО","НЕ ГОТОВО"))</f>
        <v/>
      </c>
      <c r="Q1167" s="205">
        <f>IF(P1167&lt;&gt;"ГОТОВО","", "Предварительное заключение: "&amp;A1167&amp;", скв. "&amp;B1167&amp;". МРП: "&amp;E1167&amp;" сут. ГНО: "&amp;F1167&amp;", типоразмер "&amp;G1167&amp;", марка "&amp;H1167&amp;". Событие: "&amp;I1167&amp;". Признак: "&amp;J1167&amp;". Узел: "&amp;K1167&amp;". Предварительная причина: "&amp;L1167&amp;". Основное осложнение: "&amp;M1167&amp;IF(N1167&lt;&gt;"","; сопутствующее: "&amp;N1167,"")&amp;IF(O1167&lt;&gt;"","; дополнительно: "&amp;O1167,"")&amp;".")</f>
        <v/>
      </c>
      <c r="R1167" s="172">
        <f>IF('Оперативный ввод'!P1167="","",'Оперативный ввод'!P1167)</f>
        <v/>
      </c>
      <c r="S1167" s="172">
        <f>IF('Оперативный ввод'!Q1167="","",'Оперативный ввод'!Q1167)</f>
        <v/>
      </c>
      <c r="T1167" s="172">
        <f>IF('Оперативный ввод'!R1167="","",'Оперативный ввод'!R1167)</f>
        <v/>
      </c>
      <c r="U1167" s="172">
        <f>IF('Оперативный ввод'!S1167="","",'Оперативный ввод'!S1167)</f>
        <v/>
      </c>
      <c r="V1167" s="172">
        <f>IF('Оперативный ввод'!T1167="","",'Оперативный ввод'!T1167)</f>
        <v/>
      </c>
      <c r="W1167" s="172" t="n"/>
      <c r="X1167" s="172" t="n"/>
      <c r="Y1167" s="172" t="n"/>
      <c r="Z1167" s="172" t="n"/>
      <c r="AA1167" s="172">
        <f>IF('Оперативный ввод'!U1167="","",'Оперативный ввод'!U1167)</f>
        <v/>
      </c>
      <c r="AB1167" s="172">
        <f>IF('Оперативный ввод'!V1167="","",'Оперативный ввод'!V1167)</f>
        <v/>
      </c>
      <c r="AC1167" s="172">
        <f>IF('Оперативный ввод'!W1167="","",'Оперативный ввод'!W1167)</f>
        <v/>
      </c>
      <c r="BB1167" s="172" t="n"/>
      <c r="BC1167" s="172" t="n"/>
      <c r="BD1167" s="205">
        <f>IF(AND(A1167="",B1167=""),"",IF(AND(P1167="ГОТОВО",R1167&lt;&gt;"",T1167&lt;&gt;"",U1167&lt;&gt;"",AA1167&lt;&gt;"",AB1167&lt;&gt;"",AC1167&lt;&gt;"",BB1167&lt;&gt;"",BC1167&lt;&gt;""),"ГОТОВО","НЕ ГОТОВО"))</f>
        <v/>
      </c>
      <c r="BE1167" s="205">
        <f>IF(BD1167&lt;&gt;"ГОТОВО","","Полное заключение: "&amp;A1167&amp;", скв. "&amp;B1167&amp;". МРП: "&amp;E1167&amp;" сут. ГНО: "&amp;F1167&amp;"; причина: "&amp;U1167&amp;"; категория: "&amp;V1167&amp;"; решение комиссии: "&amp;BB1167&amp;".")</f>
        <v/>
      </c>
      <c r="BF1167" s="173">
        <f>IF('Оперативный ввод'!X1167="","",'Оперативный ввод'!X1167)</f>
        <v/>
      </c>
    </row>
    <row r="1168">
      <c r="A1168" s="171">
        <f>IF('Оперативный ввод'!A1168="","",'Оперативный ввод'!A1168)</f>
        <v/>
      </c>
      <c r="B1168" s="172">
        <f>IF('Оперативный ввод'!B1168="","",'Оперативный ввод'!B1168)</f>
        <v/>
      </c>
      <c r="C1168" s="270">
        <f>IF('Оперативный ввод'!C1168="","",'Оперативный ввод'!C1168)</f>
        <v/>
      </c>
      <c r="D1168" s="270">
        <f>IF('Оперативный ввод'!D1168="","",'Оперативный ввод'!D1168)</f>
        <v/>
      </c>
      <c r="E1168" s="271">
        <f>IF(OR(C1168="",D1168=""),"",D1168-C1168)</f>
        <v/>
      </c>
      <c r="F1168" s="172">
        <f>IF('Оперативный ввод'!F1168="","",'Оперативный ввод'!F1168)</f>
        <v/>
      </c>
      <c r="G1168" s="172">
        <f>IF('Оперативный ввод'!G1168="","",'Оперативный ввод'!G1168)</f>
        <v/>
      </c>
      <c r="H1168" s="172">
        <f>IF('Оперативный ввод'!H1168="","",'Оперативный ввод'!H1168)</f>
        <v/>
      </c>
      <c r="I1168" s="172">
        <f>IF('Оперативный ввод'!I1168="","",'Оперативный ввод'!I1168)</f>
        <v/>
      </c>
      <c r="J1168" s="172">
        <f>IF('Оперативный ввод'!J1168="","",'Оперативный ввод'!J1168)</f>
        <v/>
      </c>
      <c r="K1168" s="172">
        <f>IF('Оперативный ввод'!K1168="","",'Оперативный ввод'!K1168)</f>
        <v/>
      </c>
      <c r="L1168" s="172">
        <f>IF('Оперативный ввод'!L1168="","",'Оперативный ввод'!L1168)</f>
        <v/>
      </c>
      <c r="M1168" s="172">
        <f>IF('Оперативный ввод'!M1168="","",'Оперативный ввод'!M1168)</f>
        <v/>
      </c>
      <c r="N1168" s="172">
        <f>IF('Оперативный ввод'!N1168="","",'Оперативный ввод'!N1168)</f>
        <v/>
      </c>
      <c r="O1168" s="172">
        <f>IF('Оперативный ввод'!O1168="","",'Оперативный ввод'!O1168)</f>
        <v/>
      </c>
      <c r="P1168" s="205">
        <f>IF(AND(A1168="",B1168=""),"",IF(AND(A1168&lt;&gt;"",B1168&lt;&gt;"",C1168&lt;&gt;"",D1168&lt;&gt;"",F1168&lt;&gt;"",G1168&lt;&gt;"",H1168&lt;&gt;"",ISERROR(SEARCH("по паспорту",G1168)),ISERROR(SEARCH("по паспорту",H1168)),I1168&lt;&gt;"",J1168&lt;&gt;"",K1168&lt;&gt;"",L1168&lt;&gt;"",M1168&lt;&gt;""),"ГОТОВО","НЕ ГОТОВО"))</f>
        <v/>
      </c>
      <c r="Q1168" s="205">
        <f>IF(P1168&lt;&gt;"ГОТОВО","", "Предварительное заключение: "&amp;A1168&amp;", скв. "&amp;B1168&amp;". МРП: "&amp;E1168&amp;" сут. ГНО: "&amp;F1168&amp;", типоразмер "&amp;G1168&amp;", марка "&amp;H1168&amp;". Событие: "&amp;I1168&amp;". Признак: "&amp;J1168&amp;". Узел: "&amp;K1168&amp;". Предварительная причина: "&amp;L1168&amp;". Основное осложнение: "&amp;M1168&amp;IF(N1168&lt;&gt;"","; сопутствующее: "&amp;N1168,"")&amp;IF(O1168&lt;&gt;"","; дополнительно: "&amp;O1168,"")&amp;".")</f>
        <v/>
      </c>
      <c r="R1168" s="172">
        <f>IF('Оперативный ввод'!P1168="","",'Оперативный ввод'!P1168)</f>
        <v/>
      </c>
      <c r="S1168" s="172">
        <f>IF('Оперативный ввод'!Q1168="","",'Оперативный ввод'!Q1168)</f>
        <v/>
      </c>
      <c r="T1168" s="172">
        <f>IF('Оперативный ввод'!R1168="","",'Оперативный ввод'!R1168)</f>
        <v/>
      </c>
      <c r="U1168" s="172">
        <f>IF('Оперативный ввод'!S1168="","",'Оперативный ввод'!S1168)</f>
        <v/>
      </c>
      <c r="V1168" s="172">
        <f>IF('Оперативный ввод'!T1168="","",'Оперативный ввод'!T1168)</f>
        <v/>
      </c>
      <c r="W1168" s="172" t="n"/>
      <c r="X1168" s="172" t="n"/>
      <c r="Y1168" s="172" t="n"/>
      <c r="Z1168" s="172" t="n"/>
      <c r="AA1168" s="172">
        <f>IF('Оперативный ввод'!U1168="","",'Оперативный ввод'!U1168)</f>
        <v/>
      </c>
      <c r="AB1168" s="172">
        <f>IF('Оперативный ввод'!V1168="","",'Оперативный ввод'!V1168)</f>
        <v/>
      </c>
      <c r="AC1168" s="172">
        <f>IF('Оперативный ввод'!W1168="","",'Оперативный ввод'!W1168)</f>
        <v/>
      </c>
      <c r="BB1168" s="172" t="n"/>
      <c r="BC1168" s="172" t="n"/>
      <c r="BD1168" s="205">
        <f>IF(AND(A1168="",B1168=""),"",IF(AND(P1168="ГОТОВО",R1168&lt;&gt;"",T1168&lt;&gt;"",U1168&lt;&gt;"",AA1168&lt;&gt;"",AB1168&lt;&gt;"",AC1168&lt;&gt;"",BB1168&lt;&gt;"",BC1168&lt;&gt;""),"ГОТОВО","НЕ ГОТОВО"))</f>
        <v/>
      </c>
      <c r="BE1168" s="205">
        <f>IF(BD1168&lt;&gt;"ГОТОВО","","Полное заключение: "&amp;A1168&amp;", скв. "&amp;B1168&amp;". МРП: "&amp;E1168&amp;" сут. ГНО: "&amp;F1168&amp;"; причина: "&amp;U1168&amp;"; категория: "&amp;V1168&amp;"; решение комиссии: "&amp;BB1168&amp;".")</f>
        <v/>
      </c>
      <c r="BF1168" s="173">
        <f>IF('Оперативный ввод'!X1168="","",'Оперативный ввод'!X1168)</f>
        <v/>
      </c>
    </row>
    <row r="1169">
      <c r="A1169" s="171">
        <f>IF('Оперативный ввод'!A1169="","",'Оперативный ввод'!A1169)</f>
        <v/>
      </c>
      <c r="B1169" s="172">
        <f>IF('Оперативный ввод'!B1169="","",'Оперативный ввод'!B1169)</f>
        <v/>
      </c>
      <c r="C1169" s="270">
        <f>IF('Оперативный ввод'!C1169="","",'Оперативный ввод'!C1169)</f>
        <v/>
      </c>
      <c r="D1169" s="270">
        <f>IF('Оперативный ввод'!D1169="","",'Оперативный ввод'!D1169)</f>
        <v/>
      </c>
      <c r="E1169" s="271">
        <f>IF(OR(C1169="",D1169=""),"",D1169-C1169)</f>
        <v/>
      </c>
      <c r="F1169" s="172">
        <f>IF('Оперативный ввод'!F1169="","",'Оперативный ввод'!F1169)</f>
        <v/>
      </c>
      <c r="G1169" s="172">
        <f>IF('Оперативный ввод'!G1169="","",'Оперативный ввод'!G1169)</f>
        <v/>
      </c>
      <c r="H1169" s="172">
        <f>IF('Оперативный ввод'!H1169="","",'Оперативный ввод'!H1169)</f>
        <v/>
      </c>
      <c r="I1169" s="172">
        <f>IF('Оперативный ввод'!I1169="","",'Оперативный ввод'!I1169)</f>
        <v/>
      </c>
      <c r="J1169" s="172">
        <f>IF('Оперативный ввод'!J1169="","",'Оперативный ввод'!J1169)</f>
        <v/>
      </c>
      <c r="K1169" s="172">
        <f>IF('Оперативный ввод'!K1169="","",'Оперативный ввод'!K1169)</f>
        <v/>
      </c>
      <c r="L1169" s="172">
        <f>IF('Оперативный ввод'!L1169="","",'Оперативный ввод'!L1169)</f>
        <v/>
      </c>
      <c r="M1169" s="172">
        <f>IF('Оперативный ввод'!M1169="","",'Оперативный ввод'!M1169)</f>
        <v/>
      </c>
      <c r="N1169" s="172">
        <f>IF('Оперативный ввод'!N1169="","",'Оперативный ввод'!N1169)</f>
        <v/>
      </c>
      <c r="O1169" s="172">
        <f>IF('Оперативный ввод'!O1169="","",'Оперативный ввод'!O1169)</f>
        <v/>
      </c>
      <c r="P1169" s="205">
        <f>IF(AND(A1169="",B1169=""),"",IF(AND(A1169&lt;&gt;"",B1169&lt;&gt;"",C1169&lt;&gt;"",D1169&lt;&gt;"",F1169&lt;&gt;"",G1169&lt;&gt;"",H1169&lt;&gt;"",ISERROR(SEARCH("по паспорту",G1169)),ISERROR(SEARCH("по паспорту",H1169)),I1169&lt;&gt;"",J1169&lt;&gt;"",K1169&lt;&gt;"",L1169&lt;&gt;"",M1169&lt;&gt;""),"ГОТОВО","НЕ ГОТОВО"))</f>
        <v/>
      </c>
      <c r="Q1169" s="205">
        <f>IF(P1169&lt;&gt;"ГОТОВО","", "Предварительное заключение: "&amp;A1169&amp;", скв. "&amp;B1169&amp;". МРП: "&amp;E1169&amp;" сут. ГНО: "&amp;F1169&amp;", типоразмер "&amp;G1169&amp;", марка "&amp;H1169&amp;". Событие: "&amp;I1169&amp;". Признак: "&amp;J1169&amp;". Узел: "&amp;K1169&amp;". Предварительная причина: "&amp;L1169&amp;". Основное осложнение: "&amp;M1169&amp;IF(N1169&lt;&gt;"","; сопутствующее: "&amp;N1169,"")&amp;IF(O1169&lt;&gt;"","; дополнительно: "&amp;O1169,"")&amp;".")</f>
        <v/>
      </c>
      <c r="R1169" s="172">
        <f>IF('Оперативный ввод'!P1169="","",'Оперативный ввод'!P1169)</f>
        <v/>
      </c>
      <c r="S1169" s="172">
        <f>IF('Оперативный ввод'!Q1169="","",'Оперативный ввод'!Q1169)</f>
        <v/>
      </c>
      <c r="T1169" s="172">
        <f>IF('Оперативный ввод'!R1169="","",'Оперативный ввод'!R1169)</f>
        <v/>
      </c>
      <c r="U1169" s="172">
        <f>IF('Оперативный ввод'!S1169="","",'Оперативный ввод'!S1169)</f>
        <v/>
      </c>
      <c r="V1169" s="172">
        <f>IF('Оперативный ввод'!T1169="","",'Оперативный ввод'!T1169)</f>
        <v/>
      </c>
      <c r="W1169" s="172" t="n"/>
      <c r="X1169" s="172" t="n"/>
      <c r="Y1169" s="172" t="n"/>
      <c r="Z1169" s="172" t="n"/>
      <c r="AA1169" s="172">
        <f>IF('Оперативный ввод'!U1169="","",'Оперативный ввод'!U1169)</f>
        <v/>
      </c>
      <c r="AB1169" s="172">
        <f>IF('Оперативный ввод'!V1169="","",'Оперативный ввод'!V1169)</f>
        <v/>
      </c>
      <c r="AC1169" s="172">
        <f>IF('Оперативный ввод'!W1169="","",'Оперативный ввод'!W1169)</f>
        <v/>
      </c>
      <c r="BB1169" s="172" t="n"/>
      <c r="BC1169" s="172" t="n"/>
      <c r="BD1169" s="205">
        <f>IF(AND(A1169="",B1169=""),"",IF(AND(P1169="ГОТОВО",R1169&lt;&gt;"",T1169&lt;&gt;"",U1169&lt;&gt;"",AA1169&lt;&gt;"",AB1169&lt;&gt;"",AC1169&lt;&gt;"",BB1169&lt;&gt;"",BC1169&lt;&gt;""),"ГОТОВО","НЕ ГОТОВО"))</f>
        <v/>
      </c>
      <c r="BE1169" s="205">
        <f>IF(BD1169&lt;&gt;"ГОТОВО","","Полное заключение: "&amp;A1169&amp;", скв. "&amp;B1169&amp;". МРП: "&amp;E1169&amp;" сут. ГНО: "&amp;F1169&amp;"; причина: "&amp;U1169&amp;"; категория: "&amp;V1169&amp;"; решение комиссии: "&amp;BB1169&amp;".")</f>
        <v/>
      </c>
      <c r="BF1169" s="173">
        <f>IF('Оперативный ввод'!X1169="","",'Оперативный ввод'!X1169)</f>
        <v/>
      </c>
    </row>
    <row r="1170">
      <c r="A1170" s="171">
        <f>IF('Оперативный ввод'!A1170="","",'Оперативный ввод'!A1170)</f>
        <v/>
      </c>
      <c r="B1170" s="172">
        <f>IF('Оперативный ввод'!B1170="","",'Оперативный ввод'!B1170)</f>
        <v/>
      </c>
      <c r="C1170" s="270">
        <f>IF('Оперативный ввод'!C1170="","",'Оперативный ввод'!C1170)</f>
        <v/>
      </c>
      <c r="D1170" s="270">
        <f>IF('Оперативный ввод'!D1170="","",'Оперативный ввод'!D1170)</f>
        <v/>
      </c>
      <c r="E1170" s="271">
        <f>IF(OR(C1170="",D1170=""),"",D1170-C1170)</f>
        <v/>
      </c>
      <c r="F1170" s="172">
        <f>IF('Оперативный ввод'!F1170="","",'Оперативный ввод'!F1170)</f>
        <v/>
      </c>
      <c r="G1170" s="172">
        <f>IF('Оперативный ввод'!G1170="","",'Оперативный ввод'!G1170)</f>
        <v/>
      </c>
      <c r="H1170" s="172">
        <f>IF('Оперативный ввод'!H1170="","",'Оперативный ввод'!H1170)</f>
        <v/>
      </c>
      <c r="I1170" s="172">
        <f>IF('Оперативный ввод'!I1170="","",'Оперативный ввод'!I1170)</f>
        <v/>
      </c>
      <c r="J1170" s="172">
        <f>IF('Оперативный ввод'!J1170="","",'Оперативный ввод'!J1170)</f>
        <v/>
      </c>
      <c r="K1170" s="172">
        <f>IF('Оперативный ввод'!K1170="","",'Оперативный ввод'!K1170)</f>
        <v/>
      </c>
      <c r="L1170" s="172">
        <f>IF('Оперативный ввод'!L1170="","",'Оперативный ввод'!L1170)</f>
        <v/>
      </c>
      <c r="M1170" s="172">
        <f>IF('Оперативный ввод'!M1170="","",'Оперативный ввод'!M1170)</f>
        <v/>
      </c>
      <c r="N1170" s="172">
        <f>IF('Оперативный ввод'!N1170="","",'Оперативный ввод'!N1170)</f>
        <v/>
      </c>
      <c r="O1170" s="172">
        <f>IF('Оперативный ввод'!O1170="","",'Оперативный ввод'!O1170)</f>
        <v/>
      </c>
      <c r="P1170" s="205">
        <f>IF(AND(A1170="",B1170=""),"",IF(AND(A1170&lt;&gt;"",B1170&lt;&gt;"",C1170&lt;&gt;"",D1170&lt;&gt;"",F1170&lt;&gt;"",G1170&lt;&gt;"",H1170&lt;&gt;"",ISERROR(SEARCH("по паспорту",G1170)),ISERROR(SEARCH("по паспорту",H1170)),I1170&lt;&gt;"",J1170&lt;&gt;"",K1170&lt;&gt;"",L1170&lt;&gt;"",M1170&lt;&gt;""),"ГОТОВО","НЕ ГОТОВО"))</f>
        <v/>
      </c>
      <c r="Q1170" s="205">
        <f>IF(P1170&lt;&gt;"ГОТОВО","", "Предварительное заключение: "&amp;A1170&amp;", скв. "&amp;B1170&amp;". МРП: "&amp;E1170&amp;" сут. ГНО: "&amp;F1170&amp;", типоразмер "&amp;G1170&amp;", марка "&amp;H1170&amp;". Событие: "&amp;I1170&amp;". Признак: "&amp;J1170&amp;". Узел: "&amp;K1170&amp;". Предварительная причина: "&amp;L1170&amp;". Основное осложнение: "&amp;M1170&amp;IF(N1170&lt;&gt;"","; сопутствующее: "&amp;N1170,"")&amp;IF(O1170&lt;&gt;"","; дополнительно: "&amp;O1170,"")&amp;".")</f>
        <v/>
      </c>
      <c r="R1170" s="172">
        <f>IF('Оперативный ввод'!P1170="","",'Оперативный ввод'!P1170)</f>
        <v/>
      </c>
      <c r="S1170" s="172">
        <f>IF('Оперативный ввод'!Q1170="","",'Оперативный ввод'!Q1170)</f>
        <v/>
      </c>
      <c r="T1170" s="172">
        <f>IF('Оперативный ввод'!R1170="","",'Оперативный ввод'!R1170)</f>
        <v/>
      </c>
      <c r="U1170" s="172">
        <f>IF('Оперативный ввод'!S1170="","",'Оперативный ввод'!S1170)</f>
        <v/>
      </c>
      <c r="V1170" s="172">
        <f>IF('Оперативный ввод'!T1170="","",'Оперативный ввод'!T1170)</f>
        <v/>
      </c>
      <c r="W1170" s="172" t="n"/>
      <c r="X1170" s="172" t="n"/>
      <c r="Y1170" s="172" t="n"/>
      <c r="Z1170" s="172" t="n"/>
      <c r="AA1170" s="172">
        <f>IF('Оперативный ввод'!U1170="","",'Оперативный ввод'!U1170)</f>
        <v/>
      </c>
      <c r="AB1170" s="172">
        <f>IF('Оперативный ввод'!V1170="","",'Оперативный ввод'!V1170)</f>
        <v/>
      </c>
      <c r="AC1170" s="172">
        <f>IF('Оперативный ввод'!W1170="","",'Оперативный ввод'!W1170)</f>
        <v/>
      </c>
      <c r="BB1170" s="172" t="n"/>
      <c r="BC1170" s="172" t="n"/>
      <c r="BD1170" s="205">
        <f>IF(AND(A1170="",B1170=""),"",IF(AND(P1170="ГОТОВО",R1170&lt;&gt;"",T1170&lt;&gt;"",U1170&lt;&gt;"",AA1170&lt;&gt;"",AB1170&lt;&gt;"",AC1170&lt;&gt;"",BB1170&lt;&gt;"",BC1170&lt;&gt;""),"ГОТОВО","НЕ ГОТОВО"))</f>
        <v/>
      </c>
      <c r="BE1170" s="205">
        <f>IF(BD1170&lt;&gt;"ГОТОВО","","Полное заключение: "&amp;A1170&amp;", скв. "&amp;B1170&amp;". МРП: "&amp;E1170&amp;" сут. ГНО: "&amp;F1170&amp;"; причина: "&amp;U1170&amp;"; категория: "&amp;V1170&amp;"; решение комиссии: "&amp;BB1170&amp;".")</f>
        <v/>
      </c>
      <c r="BF1170" s="173">
        <f>IF('Оперативный ввод'!X1170="","",'Оперативный ввод'!X1170)</f>
        <v/>
      </c>
    </row>
    <row r="1171">
      <c r="A1171" s="171">
        <f>IF('Оперативный ввод'!A1171="","",'Оперативный ввод'!A1171)</f>
        <v/>
      </c>
      <c r="B1171" s="172">
        <f>IF('Оперативный ввод'!B1171="","",'Оперативный ввод'!B1171)</f>
        <v/>
      </c>
      <c r="C1171" s="270">
        <f>IF('Оперативный ввод'!C1171="","",'Оперативный ввод'!C1171)</f>
        <v/>
      </c>
      <c r="D1171" s="270">
        <f>IF('Оперативный ввод'!D1171="","",'Оперативный ввод'!D1171)</f>
        <v/>
      </c>
      <c r="E1171" s="271">
        <f>IF(OR(C1171="",D1171=""),"",D1171-C1171)</f>
        <v/>
      </c>
      <c r="F1171" s="172">
        <f>IF('Оперативный ввод'!F1171="","",'Оперативный ввод'!F1171)</f>
        <v/>
      </c>
      <c r="G1171" s="172">
        <f>IF('Оперативный ввод'!G1171="","",'Оперативный ввод'!G1171)</f>
        <v/>
      </c>
      <c r="H1171" s="172">
        <f>IF('Оперативный ввод'!H1171="","",'Оперативный ввод'!H1171)</f>
        <v/>
      </c>
      <c r="I1171" s="172">
        <f>IF('Оперативный ввод'!I1171="","",'Оперативный ввод'!I1171)</f>
        <v/>
      </c>
      <c r="J1171" s="172">
        <f>IF('Оперативный ввод'!J1171="","",'Оперативный ввод'!J1171)</f>
        <v/>
      </c>
      <c r="K1171" s="172">
        <f>IF('Оперативный ввод'!K1171="","",'Оперативный ввод'!K1171)</f>
        <v/>
      </c>
      <c r="L1171" s="172">
        <f>IF('Оперативный ввод'!L1171="","",'Оперативный ввод'!L1171)</f>
        <v/>
      </c>
      <c r="M1171" s="172">
        <f>IF('Оперативный ввод'!M1171="","",'Оперативный ввод'!M1171)</f>
        <v/>
      </c>
      <c r="N1171" s="172">
        <f>IF('Оперативный ввод'!N1171="","",'Оперативный ввод'!N1171)</f>
        <v/>
      </c>
      <c r="O1171" s="172">
        <f>IF('Оперативный ввод'!O1171="","",'Оперативный ввод'!O1171)</f>
        <v/>
      </c>
      <c r="P1171" s="205">
        <f>IF(AND(A1171="",B1171=""),"",IF(AND(A1171&lt;&gt;"",B1171&lt;&gt;"",C1171&lt;&gt;"",D1171&lt;&gt;"",F1171&lt;&gt;"",G1171&lt;&gt;"",H1171&lt;&gt;"",ISERROR(SEARCH("по паспорту",G1171)),ISERROR(SEARCH("по паспорту",H1171)),I1171&lt;&gt;"",J1171&lt;&gt;"",K1171&lt;&gt;"",L1171&lt;&gt;"",M1171&lt;&gt;""),"ГОТОВО","НЕ ГОТОВО"))</f>
        <v/>
      </c>
      <c r="Q1171" s="205">
        <f>IF(P1171&lt;&gt;"ГОТОВО","", "Предварительное заключение: "&amp;A1171&amp;", скв. "&amp;B1171&amp;". МРП: "&amp;E1171&amp;" сут. ГНО: "&amp;F1171&amp;", типоразмер "&amp;G1171&amp;", марка "&amp;H1171&amp;". Событие: "&amp;I1171&amp;". Признак: "&amp;J1171&amp;". Узел: "&amp;K1171&amp;". Предварительная причина: "&amp;L1171&amp;". Основное осложнение: "&amp;M1171&amp;IF(N1171&lt;&gt;"","; сопутствующее: "&amp;N1171,"")&amp;IF(O1171&lt;&gt;"","; дополнительно: "&amp;O1171,"")&amp;".")</f>
        <v/>
      </c>
      <c r="R1171" s="172">
        <f>IF('Оперативный ввод'!P1171="","",'Оперативный ввод'!P1171)</f>
        <v/>
      </c>
      <c r="S1171" s="172">
        <f>IF('Оперативный ввод'!Q1171="","",'Оперативный ввод'!Q1171)</f>
        <v/>
      </c>
      <c r="T1171" s="172">
        <f>IF('Оперативный ввод'!R1171="","",'Оперативный ввод'!R1171)</f>
        <v/>
      </c>
      <c r="U1171" s="172">
        <f>IF('Оперативный ввод'!S1171="","",'Оперативный ввод'!S1171)</f>
        <v/>
      </c>
      <c r="V1171" s="172">
        <f>IF('Оперативный ввод'!T1171="","",'Оперативный ввод'!T1171)</f>
        <v/>
      </c>
      <c r="W1171" s="172" t="n"/>
      <c r="X1171" s="172" t="n"/>
      <c r="Y1171" s="172" t="n"/>
      <c r="Z1171" s="172" t="n"/>
      <c r="AA1171" s="172">
        <f>IF('Оперативный ввод'!U1171="","",'Оперативный ввод'!U1171)</f>
        <v/>
      </c>
      <c r="AB1171" s="172">
        <f>IF('Оперативный ввод'!V1171="","",'Оперативный ввод'!V1171)</f>
        <v/>
      </c>
      <c r="AC1171" s="172">
        <f>IF('Оперативный ввод'!W1171="","",'Оперативный ввод'!W1171)</f>
        <v/>
      </c>
      <c r="BB1171" s="172" t="n"/>
      <c r="BC1171" s="172" t="n"/>
      <c r="BD1171" s="205">
        <f>IF(AND(A1171="",B1171=""),"",IF(AND(P1171="ГОТОВО",R1171&lt;&gt;"",T1171&lt;&gt;"",U1171&lt;&gt;"",AA1171&lt;&gt;"",AB1171&lt;&gt;"",AC1171&lt;&gt;"",BB1171&lt;&gt;"",BC1171&lt;&gt;""),"ГОТОВО","НЕ ГОТОВО"))</f>
        <v/>
      </c>
      <c r="BE1171" s="205">
        <f>IF(BD1171&lt;&gt;"ГОТОВО","","Полное заключение: "&amp;A1171&amp;", скв. "&amp;B1171&amp;". МРП: "&amp;E1171&amp;" сут. ГНО: "&amp;F1171&amp;"; причина: "&amp;U1171&amp;"; категория: "&amp;V1171&amp;"; решение комиссии: "&amp;BB1171&amp;".")</f>
        <v/>
      </c>
      <c r="BF1171" s="173">
        <f>IF('Оперативный ввод'!X1171="","",'Оперативный ввод'!X1171)</f>
        <v/>
      </c>
    </row>
    <row r="1172">
      <c r="A1172" s="171">
        <f>IF('Оперативный ввод'!A1172="","",'Оперативный ввод'!A1172)</f>
        <v/>
      </c>
      <c r="B1172" s="172">
        <f>IF('Оперативный ввод'!B1172="","",'Оперативный ввод'!B1172)</f>
        <v/>
      </c>
      <c r="C1172" s="270">
        <f>IF('Оперативный ввод'!C1172="","",'Оперативный ввод'!C1172)</f>
        <v/>
      </c>
      <c r="D1172" s="270">
        <f>IF('Оперативный ввод'!D1172="","",'Оперативный ввод'!D1172)</f>
        <v/>
      </c>
      <c r="E1172" s="271">
        <f>IF(OR(C1172="",D1172=""),"",D1172-C1172)</f>
        <v/>
      </c>
      <c r="F1172" s="172">
        <f>IF('Оперативный ввод'!F1172="","",'Оперативный ввод'!F1172)</f>
        <v/>
      </c>
      <c r="G1172" s="172">
        <f>IF('Оперативный ввод'!G1172="","",'Оперативный ввод'!G1172)</f>
        <v/>
      </c>
      <c r="H1172" s="172">
        <f>IF('Оперативный ввод'!H1172="","",'Оперативный ввод'!H1172)</f>
        <v/>
      </c>
      <c r="I1172" s="172">
        <f>IF('Оперативный ввод'!I1172="","",'Оперативный ввод'!I1172)</f>
        <v/>
      </c>
      <c r="J1172" s="172">
        <f>IF('Оперативный ввод'!J1172="","",'Оперативный ввод'!J1172)</f>
        <v/>
      </c>
      <c r="K1172" s="172">
        <f>IF('Оперативный ввод'!K1172="","",'Оперативный ввод'!K1172)</f>
        <v/>
      </c>
      <c r="L1172" s="172">
        <f>IF('Оперативный ввод'!L1172="","",'Оперативный ввод'!L1172)</f>
        <v/>
      </c>
      <c r="M1172" s="172">
        <f>IF('Оперативный ввод'!M1172="","",'Оперативный ввод'!M1172)</f>
        <v/>
      </c>
      <c r="N1172" s="172">
        <f>IF('Оперативный ввод'!N1172="","",'Оперативный ввод'!N1172)</f>
        <v/>
      </c>
      <c r="O1172" s="172">
        <f>IF('Оперативный ввод'!O1172="","",'Оперативный ввод'!O1172)</f>
        <v/>
      </c>
      <c r="P1172" s="205">
        <f>IF(AND(A1172="",B1172=""),"",IF(AND(A1172&lt;&gt;"",B1172&lt;&gt;"",C1172&lt;&gt;"",D1172&lt;&gt;"",F1172&lt;&gt;"",G1172&lt;&gt;"",H1172&lt;&gt;"",ISERROR(SEARCH("по паспорту",G1172)),ISERROR(SEARCH("по паспорту",H1172)),I1172&lt;&gt;"",J1172&lt;&gt;"",K1172&lt;&gt;"",L1172&lt;&gt;"",M1172&lt;&gt;""),"ГОТОВО","НЕ ГОТОВО"))</f>
        <v/>
      </c>
      <c r="Q1172" s="205">
        <f>IF(P1172&lt;&gt;"ГОТОВО","", "Предварительное заключение: "&amp;A1172&amp;", скв. "&amp;B1172&amp;". МРП: "&amp;E1172&amp;" сут. ГНО: "&amp;F1172&amp;", типоразмер "&amp;G1172&amp;", марка "&amp;H1172&amp;". Событие: "&amp;I1172&amp;". Признак: "&amp;J1172&amp;". Узел: "&amp;K1172&amp;". Предварительная причина: "&amp;L1172&amp;". Основное осложнение: "&amp;M1172&amp;IF(N1172&lt;&gt;"","; сопутствующее: "&amp;N1172,"")&amp;IF(O1172&lt;&gt;"","; дополнительно: "&amp;O1172,"")&amp;".")</f>
        <v/>
      </c>
      <c r="R1172" s="172">
        <f>IF('Оперативный ввод'!P1172="","",'Оперативный ввод'!P1172)</f>
        <v/>
      </c>
      <c r="S1172" s="172">
        <f>IF('Оперативный ввод'!Q1172="","",'Оперативный ввод'!Q1172)</f>
        <v/>
      </c>
      <c r="T1172" s="172">
        <f>IF('Оперативный ввод'!R1172="","",'Оперативный ввод'!R1172)</f>
        <v/>
      </c>
      <c r="U1172" s="172">
        <f>IF('Оперативный ввод'!S1172="","",'Оперативный ввод'!S1172)</f>
        <v/>
      </c>
      <c r="V1172" s="172">
        <f>IF('Оперативный ввод'!T1172="","",'Оперативный ввод'!T1172)</f>
        <v/>
      </c>
      <c r="W1172" s="172" t="n"/>
      <c r="X1172" s="172" t="n"/>
      <c r="Y1172" s="172" t="n"/>
      <c r="Z1172" s="172" t="n"/>
      <c r="AA1172" s="172">
        <f>IF('Оперативный ввод'!U1172="","",'Оперативный ввод'!U1172)</f>
        <v/>
      </c>
      <c r="AB1172" s="172">
        <f>IF('Оперативный ввод'!V1172="","",'Оперативный ввод'!V1172)</f>
        <v/>
      </c>
      <c r="AC1172" s="172">
        <f>IF('Оперативный ввод'!W1172="","",'Оперативный ввод'!W1172)</f>
        <v/>
      </c>
      <c r="BB1172" s="172" t="n"/>
      <c r="BC1172" s="172" t="n"/>
      <c r="BD1172" s="205">
        <f>IF(AND(A1172="",B1172=""),"",IF(AND(P1172="ГОТОВО",R1172&lt;&gt;"",T1172&lt;&gt;"",U1172&lt;&gt;"",AA1172&lt;&gt;"",AB1172&lt;&gt;"",AC1172&lt;&gt;"",BB1172&lt;&gt;"",BC1172&lt;&gt;""),"ГОТОВО","НЕ ГОТОВО"))</f>
        <v/>
      </c>
      <c r="BE1172" s="205">
        <f>IF(BD1172&lt;&gt;"ГОТОВО","","Полное заключение: "&amp;A1172&amp;", скв. "&amp;B1172&amp;". МРП: "&amp;E1172&amp;" сут. ГНО: "&amp;F1172&amp;"; причина: "&amp;U1172&amp;"; категория: "&amp;V1172&amp;"; решение комиссии: "&amp;BB1172&amp;".")</f>
        <v/>
      </c>
      <c r="BF1172" s="173">
        <f>IF('Оперативный ввод'!X1172="","",'Оперативный ввод'!X1172)</f>
        <v/>
      </c>
    </row>
    <row r="1173">
      <c r="A1173" s="171">
        <f>IF('Оперативный ввод'!A1173="","",'Оперативный ввод'!A1173)</f>
        <v/>
      </c>
      <c r="B1173" s="172">
        <f>IF('Оперативный ввод'!B1173="","",'Оперативный ввод'!B1173)</f>
        <v/>
      </c>
      <c r="C1173" s="270">
        <f>IF('Оперативный ввод'!C1173="","",'Оперативный ввод'!C1173)</f>
        <v/>
      </c>
      <c r="D1173" s="270">
        <f>IF('Оперативный ввод'!D1173="","",'Оперативный ввод'!D1173)</f>
        <v/>
      </c>
      <c r="E1173" s="271">
        <f>IF(OR(C1173="",D1173=""),"",D1173-C1173)</f>
        <v/>
      </c>
      <c r="F1173" s="172">
        <f>IF('Оперативный ввод'!F1173="","",'Оперативный ввод'!F1173)</f>
        <v/>
      </c>
      <c r="G1173" s="172">
        <f>IF('Оперативный ввод'!G1173="","",'Оперативный ввод'!G1173)</f>
        <v/>
      </c>
      <c r="H1173" s="172">
        <f>IF('Оперативный ввод'!H1173="","",'Оперативный ввод'!H1173)</f>
        <v/>
      </c>
      <c r="I1173" s="172">
        <f>IF('Оперативный ввод'!I1173="","",'Оперативный ввод'!I1173)</f>
        <v/>
      </c>
      <c r="J1173" s="172">
        <f>IF('Оперативный ввод'!J1173="","",'Оперативный ввод'!J1173)</f>
        <v/>
      </c>
      <c r="K1173" s="172">
        <f>IF('Оперативный ввод'!K1173="","",'Оперативный ввод'!K1173)</f>
        <v/>
      </c>
      <c r="L1173" s="172">
        <f>IF('Оперативный ввод'!L1173="","",'Оперативный ввод'!L1173)</f>
        <v/>
      </c>
      <c r="M1173" s="172">
        <f>IF('Оперативный ввод'!M1173="","",'Оперативный ввод'!M1173)</f>
        <v/>
      </c>
      <c r="N1173" s="172">
        <f>IF('Оперативный ввод'!N1173="","",'Оперативный ввод'!N1173)</f>
        <v/>
      </c>
      <c r="O1173" s="172">
        <f>IF('Оперативный ввод'!O1173="","",'Оперативный ввод'!O1173)</f>
        <v/>
      </c>
      <c r="P1173" s="205">
        <f>IF(AND(A1173="",B1173=""),"",IF(AND(A1173&lt;&gt;"",B1173&lt;&gt;"",C1173&lt;&gt;"",D1173&lt;&gt;"",F1173&lt;&gt;"",G1173&lt;&gt;"",H1173&lt;&gt;"",ISERROR(SEARCH("по паспорту",G1173)),ISERROR(SEARCH("по паспорту",H1173)),I1173&lt;&gt;"",J1173&lt;&gt;"",K1173&lt;&gt;"",L1173&lt;&gt;"",M1173&lt;&gt;""),"ГОТОВО","НЕ ГОТОВО"))</f>
        <v/>
      </c>
      <c r="Q1173" s="205">
        <f>IF(P1173&lt;&gt;"ГОТОВО","", "Предварительное заключение: "&amp;A1173&amp;", скв. "&amp;B1173&amp;". МРП: "&amp;E1173&amp;" сут. ГНО: "&amp;F1173&amp;", типоразмер "&amp;G1173&amp;", марка "&amp;H1173&amp;". Событие: "&amp;I1173&amp;". Признак: "&amp;J1173&amp;". Узел: "&amp;K1173&amp;". Предварительная причина: "&amp;L1173&amp;". Основное осложнение: "&amp;M1173&amp;IF(N1173&lt;&gt;"","; сопутствующее: "&amp;N1173,"")&amp;IF(O1173&lt;&gt;"","; дополнительно: "&amp;O1173,"")&amp;".")</f>
        <v/>
      </c>
      <c r="R1173" s="172">
        <f>IF('Оперативный ввод'!P1173="","",'Оперативный ввод'!P1173)</f>
        <v/>
      </c>
      <c r="S1173" s="172">
        <f>IF('Оперативный ввод'!Q1173="","",'Оперативный ввод'!Q1173)</f>
        <v/>
      </c>
      <c r="T1173" s="172">
        <f>IF('Оперативный ввод'!R1173="","",'Оперативный ввод'!R1173)</f>
        <v/>
      </c>
      <c r="U1173" s="172">
        <f>IF('Оперативный ввод'!S1173="","",'Оперативный ввод'!S1173)</f>
        <v/>
      </c>
      <c r="V1173" s="172">
        <f>IF('Оперативный ввод'!T1173="","",'Оперативный ввод'!T1173)</f>
        <v/>
      </c>
      <c r="W1173" s="172" t="n"/>
      <c r="X1173" s="172" t="n"/>
      <c r="Y1173" s="172" t="n"/>
      <c r="Z1173" s="172" t="n"/>
      <c r="AA1173" s="172">
        <f>IF('Оперативный ввод'!U1173="","",'Оперативный ввод'!U1173)</f>
        <v/>
      </c>
      <c r="AB1173" s="172">
        <f>IF('Оперативный ввод'!V1173="","",'Оперативный ввод'!V1173)</f>
        <v/>
      </c>
      <c r="AC1173" s="172">
        <f>IF('Оперативный ввод'!W1173="","",'Оперативный ввод'!W1173)</f>
        <v/>
      </c>
      <c r="BB1173" s="172" t="n"/>
      <c r="BC1173" s="172" t="n"/>
      <c r="BD1173" s="205">
        <f>IF(AND(A1173="",B1173=""),"",IF(AND(P1173="ГОТОВО",R1173&lt;&gt;"",T1173&lt;&gt;"",U1173&lt;&gt;"",AA1173&lt;&gt;"",AB1173&lt;&gt;"",AC1173&lt;&gt;"",BB1173&lt;&gt;"",BC1173&lt;&gt;""),"ГОТОВО","НЕ ГОТОВО"))</f>
        <v/>
      </c>
      <c r="BE1173" s="205">
        <f>IF(BD1173&lt;&gt;"ГОТОВО","","Полное заключение: "&amp;A1173&amp;", скв. "&amp;B1173&amp;". МРП: "&amp;E1173&amp;" сут. ГНО: "&amp;F1173&amp;"; причина: "&amp;U1173&amp;"; категория: "&amp;V1173&amp;"; решение комиссии: "&amp;BB1173&amp;".")</f>
        <v/>
      </c>
      <c r="BF1173" s="173">
        <f>IF('Оперативный ввод'!X1173="","",'Оперативный ввод'!X1173)</f>
        <v/>
      </c>
    </row>
    <row r="1174">
      <c r="A1174" s="171">
        <f>IF('Оперативный ввод'!A1174="","",'Оперативный ввод'!A1174)</f>
        <v/>
      </c>
      <c r="B1174" s="172">
        <f>IF('Оперативный ввод'!B1174="","",'Оперативный ввод'!B1174)</f>
        <v/>
      </c>
      <c r="C1174" s="270">
        <f>IF('Оперативный ввод'!C1174="","",'Оперативный ввод'!C1174)</f>
        <v/>
      </c>
      <c r="D1174" s="270">
        <f>IF('Оперативный ввод'!D1174="","",'Оперативный ввод'!D1174)</f>
        <v/>
      </c>
      <c r="E1174" s="271">
        <f>IF(OR(C1174="",D1174=""),"",D1174-C1174)</f>
        <v/>
      </c>
      <c r="F1174" s="172">
        <f>IF('Оперативный ввод'!F1174="","",'Оперативный ввод'!F1174)</f>
        <v/>
      </c>
      <c r="G1174" s="172">
        <f>IF('Оперативный ввод'!G1174="","",'Оперативный ввод'!G1174)</f>
        <v/>
      </c>
      <c r="H1174" s="172">
        <f>IF('Оперативный ввод'!H1174="","",'Оперативный ввод'!H1174)</f>
        <v/>
      </c>
      <c r="I1174" s="172">
        <f>IF('Оперативный ввод'!I1174="","",'Оперативный ввод'!I1174)</f>
        <v/>
      </c>
      <c r="J1174" s="172">
        <f>IF('Оперативный ввод'!J1174="","",'Оперативный ввод'!J1174)</f>
        <v/>
      </c>
      <c r="K1174" s="172">
        <f>IF('Оперативный ввод'!K1174="","",'Оперативный ввод'!K1174)</f>
        <v/>
      </c>
      <c r="L1174" s="172">
        <f>IF('Оперативный ввод'!L1174="","",'Оперативный ввод'!L1174)</f>
        <v/>
      </c>
      <c r="M1174" s="172">
        <f>IF('Оперативный ввод'!M1174="","",'Оперативный ввод'!M1174)</f>
        <v/>
      </c>
      <c r="N1174" s="172">
        <f>IF('Оперативный ввод'!N1174="","",'Оперативный ввод'!N1174)</f>
        <v/>
      </c>
      <c r="O1174" s="172">
        <f>IF('Оперативный ввод'!O1174="","",'Оперативный ввод'!O1174)</f>
        <v/>
      </c>
      <c r="P1174" s="205">
        <f>IF(AND(A1174="",B1174=""),"",IF(AND(A1174&lt;&gt;"",B1174&lt;&gt;"",C1174&lt;&gt;"",D1174&lt;&gt;"",F1174&lt;&gt;"",G1174&lt;&gt;"",H1174&lt;&gt;"",ISERROR(SEARCH("по паспорту",G1174)),ISERROR(SEARCH("по паспорту",H1174)),I1174&lt;&gt;"",J1174&lt;&gt;"",K1174&lt;&gt;"",L1174&lt;&gt;"",M1174&lt;&gt;""),"ГОТОВО","НЕ ГОТОВО"))</f>
        <v/>
      </c>
      <c r="Q1174" s="205">
        <f>IF(P1174&lt;&gt;"ГОТОВО","", "Предварительное заключение: "&amp;A1174&amp;", скв. "&amp;B1174&amp;". МРП: "&amp;E1174&amp;" сут. ГНО: "&amp;F1174&amp;", типоразмер "&amp;G1174&amp;", марка "&amp;H1174&amp;". Событие: "&amp;I1174&amp;". Признак: "&amp;J1174&amp;". Узел: "&amp;K1174&amp;". Предварительная причина: "&amp;L1174&amp;". Основное осложнение: "&amp;M1174&amp;IF(N1174&lt;&gt;"","; сопутствующее: "&amp;N1174,"")&amp;IF(O1174&lt;&gt;"","; дополнительно: "&amp;O1174,"")&amp;".")</f>
        <v/>
      </c>
      <c r="R1174" s="172">
        <f>IF('Оперативный ввод'!P1174="","",'Оперативный ввод'!P1174)</f>
        <v/>
      </c>
      <c r="S1174" s="172">
        <f>IF('Оперативный ввод'!Q1174="","",'Оперативный ввод'!Q1174)</f>
        <v/>
      </c>
      <c r="T1174" s="172">
        <f>IF('Оперативный ввод'!R1174="","",'Оперативный ввод'!R1174)</f>
        <v/>
      </c>
      <c r="U1174" s="172">
        <f>IF('Оперативный ввод'!S1174="","",'Оперативный ввод'!S1174)</f>
        <v/>
      </c>
      <c r="V1174" s="172">
        <f>IF('Оперативный ввод'!T1174="","",'Оперативный ввод'!T1174)</f>
        <v/>
      </c>
      <c r="W1174" s="172" t="n"/>
      <c r="X1174" s="172" t="n"/>
      <c r="Y1174" s="172" t="n"/>
      <c r="Z1174" s="172" t="n"/>
      <c r="AA1174" s="172">
        <f>IF('Оперативный ввод'!U1174="","",'Оперативный ввод'!U1174)</f>
        <v/>
      </c>
      <c r="AB1174" s="172">
        <f>IF('Оперативный ввод'!V1174="","",'Оперативный ввод'!V1174)</f>
        <v/>
      </c>
      <c r="AC1174" s="172">
        <f>IF('Оперативный ввод'!W1174="","",'Оперативный ввод'!W1174)</f>
        <v/>
      </c>
      <c r="BB1174" s="172" t="n"/>
      <c r="BC1174" s="172" t="n"/>
      <c r="BD1174" s="205">
        <f>IF(AND(A1174="",B1174=""),"",IF(AND(P1174="ГОТОВО",R1174&lt;&gt;"",T1174&lt;&gt;"",U1174&lt;&gt;"",AA1174&lt;&gt;"",AB1174&lt;&gt;"",AC1174&lt;&gt;"",BB1174&lt;&gt;"",BC1174&lt;&gt;""),"ГОТОВО","НЕ ГОТОВО"))</f>
        <v/>
      </c>
      <c r="BE1174" s="205">
        <f>IF(BD1174&lt;&gt;"ГОТОВО","","Полное заключение: "&amp;A1174&amp;", скв. "&amp;B1174&amp;". МРП: "&amp;E1174&amp;" сут. ГНО: "&amp;F1174&amp;"; причина: "&amp;U1174&amp;"; категория: "&amp;V1174&amp;"; решение комиссии: "&amp;BB1174&amp;".")</f>
        <v/>
      </c>
      <c r="BF1174" s="173">
        <f>IF('Оперативный ввод'!X1174="","",'Оперативный ввод'!X1174)</f>
        <v/>
      </c>
    </row>
    <row r="1175">
      <c r="A1175" s="171">
        <f>IF('Оперативный ввод'!A1175="","",'Оперативный ввод'!A1175)</f>
        <v/>
      </c>
      <c r="B1175" s="172">
        <f>IF('Оперативный ввод'!B1175="","",'Оперативный ввод'!B1175)</f>
        <v/>
      </c>
      <c r="C1175" s="270">
        <f>IF('Оперативный ввод'!C1175="","",'Оперативный ввод'!C1175)</f>
        <v/>
      </c>
      <c r="D1175" s="270">
        <f>IF('Оперативный ввод'!D1175="","",'Оперативный ввод'!D1175)</f>
        <v/>
      </c>
      <c r="E1175" s="271">
        <f>IF(OR(C1175="",D1175=""),"",D1175-C1175)</f>
        <v/>
      </c>
      <c r="F1175" s="172">
        <f>IF('Оперативный ввод'!F1175="","",'Оперативный ввод'!F1175)</f>
        <v/>
      </c>
      <c r="G1175" s="172">
        <f>IF('Оперативный ввод'!G1175="","",'Оперативный ввод'!G1175)</f>
        <v/>
      </c>
      <c r="H1175" s="172">
        <f>IF('Оперативный ввод'!H1175="","",'Оперативный ввод'!H1175)</f>
        <v/>
      </c>
      <c r="I1175" s="172">
        <f>IF('Оперативный ввод'!I1175="","",'Оперативный ввод'!I1175)</f>
        <v/>
      </c>
      <c r="J1175" s="172">
        <f>IF('Оперативный ввод'!J1175="","",'Оперативный ввод'!J1175)</f>
        <v/>
      </c>
      <c r="K1175" s="172">
        <f>IF('Оперативный ввод'!K1175="","",'Оперативный ввод'!K1175)</f>
        <v/>
      </c>
      <c r="L1175" s="172">
        <f>IF('Оперативный ввод'!L1175="","",'Оперативный ввод'!L1175)</f>
        <v/>
      </c>
      <c r="M1175" s="172">
        <f>IF('Оперативный ввод'!M1175="","",'Оперативный ввод'!M1175)</f>
        <v/>
      </c>
      <c r="N1175" s="172">
        <f>IF('Оперативный ввод'!N1175="","",'Оперативный ввод'!N1175)</f>
        <v/>
      </c>
      <c r="O1175" s="172">
        <f>IF('Оперативный ввод'!O1175="","",'Оперативный ввод'!O1175)</f>
        <v/>
      </c>
      <c r="P1175" s="205">
        <f>IF(AND(A1175="",B1175=""),"",IF(AND(A1175&lt;&gt;"",B1175&lt;&gt;"",C1175&lt;&gt;"",D1175&lt;&gt;"",F1175&lt;&gt;"",G1175&lt;&gt;"",H1175&lt;&gt;"",ISERROR(SEARCH("по паспорту",G1175)),ISERROR(SEARCH("по паспорту",H1175)),I1175&lt;&gt;"",J1175&lt;&gt;"",K1175&lt;&gt;"",L1175&lt;&gt;"",M1175&lt;&gt;""),"ГОТОВО","НЕ ГОТОВО"))</f>
        <v/>
      </c>
      <c r="Q1175" s="205">
        <f>IF(P1175&lt;&gt;"ГОТОВО","", "Предварительное заключение: "&amp;A1175&amp;", скв. "&amp;B1175&amp;". МРП: "&amp;E1175&amp;" сут. ГНО: "&amp;F1175&amp;", типоразмер "&amp;G1175&amp;", марка "&amp;H1175&amp;". Событие: "&amp;I1175&amp;". Признак: "&amp;J1175&amp;". Узел: "&amp;K1175&amp;". Предварительная причина: "&amp;L1175&amp;". Основное осложнение: "&amp;M1175&amp;IF(N1175&lt;&gt;"","; сопутствующее: "&amp;N1175,"")&amp;IF(O1175&lt;&gt;"","; дополнительно: "&amp;O1175,"")&amp;".")</f>
        <v/>
      </c>
      <c r="R1175" s="172">
        <f>IF('Оперативный ввод'!P1175="","",'Оперативный ввод'!P1175)</f>
        <v/>
      </c>
      <c r="S1175" s="172">
        <f>IF('Оперативный ввод'!Q1175="","",'Оперативный ввод'!Q1175)</f>
        <v/>
      </c>
      <c r="T1175" s="172">
        <f>IF('Оперативный ввод'!R1175="","",'Оперативный ввод'!R1175)</f>
        <v/>
      </c>
      <c r="U1175" s="172">
        <f>IF('Оперативный ввод'!S1175="","",'Оперативный ввод'!S1175)</f>
        <v/>
      </c>
      <c r="V1175" s="172">
        <f>IF('Оперативный ввод'!T1175="","",'Оперативный ввод'!T1175)</f>
        <v/>
      </c>
      <c r="W1175" s="172" t="n"/>
      <c r="X1175" s="172" t="n"/>
      <c r="Y1175" s="172" t="n"/>
      <c r="Z1175" s="172" t="n"/>
      <c r="AA1175" s="172">
        <f>IF('Оперативный ввод'!U1175="","",'Оперативный ввод'!U1175)</f>
        <v/>
      </c>
      <c r="AB1175" s="172">
        <f>IF('Оперативный ввод'!V1175="","",'Оперативный ввод'!V1175)</f>
        <v/>
      </c>
      <c r="AC1175" s="172">
        <f>IF('Оперативный ввод'!W1175="","",'Оперативный ввод'!W1175)</f>
        <v/>
      </c>
      <c r="BB1175" s="172" t="n"/>
      <c r="BC1175" s="172" t="n"/>
      <c r="BD1175" s="205">
        <f>IF(AND(A1175="",B1175=""),"",IF(AND(P1175="ГОТОВО",R1175&lt;&gt;"",T1175&lt;&gt;"",U1175&lt;&gt;"",AA1175&lt;&gt;"",AB1175&lt;&gt;"",AC1175&lt;&gt;"",BB1175&lt;&gt;"",BC1175&lt;&gt;""),"ГОТОВО","НЕ ГОТОВО"))</f>
        <v/>
      </c>
      <c r="BE1175" s="205">
        <f>IF(BD1175&lt;&gt;"ГОТОВО","","Полное заключение: "&amp;A1175&amp;", скв. "&amp;B1175&amp;". МРП: "&amp;E1175&amp;" сут. ГНО: "&amp;F1175&amp;"; причина: "&amp;U1175&amp;"; категория: "&amp;V1175&amp;"; решение комиссии: "&amp;BB1175&amp;".")</f>
        <v/>
      </c>
      <c r="BF1175" s="173">
        <f>IF('Оперативный ввод'!X1175="","",'Оперативный ввод'!X1175)</f>
        <v/>
      </c>
    </row>
    <row r="1176">
      <c r="A1176" s="171">
        <f>IF('Оперативный ввод'!A1176="","",'Оперативный ввод'!A1176)</f>
        <v/>
      </c>
      <c r="B1176" s="172">
        <f>IF('Оперативный ввод'!B1176="","",'Оперативный ввод'!B1176)</f>
        <v/>
      </c>
      <c r="C1176" s="270">
        <f>IF('Оперативный ввод'!C1176="","",'Оперативный ввод'!C1176)</f>
        <v/>
      </c>
      <c r="D1176" s="270">
        <f>IF('Оперативный ввод'!D1176="","",'Оперативный ввод'!D1176)</f>
        <v/>
      </c>
      <c r="E1176" s="271">
        <f>IF(OR(C1176="",D1176=""),"",D1176-C1176)</f>
        <v/>
      </c>
      <c r="F1176" s="172">
        <f>IF('Оперативный ввод'!F1176="","",'Оперативный ввод'!F1176)</f>
        <v/>
      </c>
      <c r="G1176" s="172">
        <f>IF('Оперативный ввод'!G1176="","",'Оперативный ввод'!G1176)</f>
        <v/>
      </c>
      <c r="H1176" s="172">
        <f>IF('Оперативный ввод'!H1176="","",'Оперативный ввод'!H1176)</f>
        <v/>
      </c>
      <c r="I1176" s="172">
        <f>IF('Оперативный ввод'!I1176="","",'Оперативный ввод'!I1176)</f>
        <v/>
      </c>
      <c r="J1176" s="172">
        <f>IF('Оперативный ввод'!J1176="","",'Оперативный ввод'!J1176)</f>
        <v/>
      </c>
      <c r="K1176" s="172">
        <f>IF('Оперативный ввод'!K1176="","",'Оперативный ввод'!K1176)</f>
        <v/>
      </c>
      <c r="L1176" s="172">
        <f>IF('Оперативный ввод'!L1176="","",'Оперативный ввод'!L1176)</f>
        <v/>
      </c>
      <c r="M1176" s="172">
        <f>IF('Оперативный ввод'!M1176="","",'Оперативный ввод'!M1176)</f>
        <v/>
      </c>
      <c r="N1176" s="172">
        <f>IF('Оперативный ввод'!N1176="","",'Оперативный ввод'!N1176)</f>
        <v/>
      </c>
      <c r="O1176" s="172">
        <f>IF('Оперативный ввод'!O1176="","",'Оперативный ввод'!O1176)</f>
        <v/>
      </c>
      <c r="P1176" s="205">
        <f>IF(AND(A1176="",B1176=""),"",IF(AND(A1176&lt;&gt;"",B1176&lt;&gt;"",C1176&lt;&gt;"",D1176&lt;&gt;"",F1176&lt;&gt;"",G1176&lt;&gt;"",H1176&lt;&gt;"",ISERROR(SEARCH("по паспорту",G1176)),ISERROR(SEARCH("по паспорту",H1176)),I1176&lt;&gt;"",J1176&lt;&gt;"",K1176&lt;&gt;"",L1176&lt;&gt;"",M1176&lt;&gt;""),"ГОТОВО","НЕ ГОТОВО"))</f>
        <v/>
      </c>
      <c r="Q1176" s="205">
        <f>IF(P1176&lt;&gt;"ГОТОВО","", "Предварительное заключение: "&amp;A1176&amp;", скв. "&amp;B1176&amp;". МРП: "&amp;E1176&amp;" сут. ГНО: "&amp;F1176&amp;", типоразмер "&amp;G1176&amp;", марка "&amp;H1176&amp;". Событие: "&amp;I1176&amp;". Признак: "&amp;J1176&amp;". Узел: "&amp;K1176&amp;". Предварительная причина: "&amp;L1176&amp;". Основное осложнение: "&amp;M1176&amp;IF(N1176&lt;&gt;"","; сопутствующее: "&amp;N1176,"")&amp;IF(O1176&lt;&gt;"","; дополнительно: "&amp;O1176,"")&amp;".")</f>
        <v/>
      </c>
      <c r="R1176" s="172">
        <f>IF('Оперативный ввод'!P1176="","",'Оперативный ввод'!P1176)</f>
        <v/>
      </c>
      <c r="S1176" s="172">
        <f>IF('Оперативный ввод'!Q1176="","",'Оперативный ввод'!Q1176)</f>
        <v/>
      </c>
      <c r="T1176" s="172">
        <f>IF('Оперативный ввод'!R1176="","",'Оперативный ввод'!R1176)</f>
        <v/>
      </c>
      <c r="U1176" s="172">
        <f>IF('Оперативный ввод'!S1176="","",'Оперативный ввод'!S1176)</f>
        <v/>
      </c>
      <c r="V1176" s="172">
        <f>IF('Оперативный ввод'!T1176="","",'Оперативный ввод'!T1176)</f>
        <v/>
      </c>
      <c r="W1176" s="172" t="n"/>
      <c r="X1176" s="172" t="n"/>
      <c r="Y1176" s="172" t="n"/>
      <c r="Z1176" s="172" t="n"/>
      <c r="AA1176" s="172">
        <f>IF('Оперативный ввод'!U1176="","",'Оперативный ввод'!U1176)</f>
        <v/>
      </c>
      <c r="AB1176" s="172">
        <f>IF('Оперативный ввод'!V1176="","",'Оперативный ввод'!V1176)</f>
        <v/>
      </c>
      <c r="AC1176" s="172">
        <f>IF('Оперативный ввод'!W1176="","",'Оперативный ввод'!W1176)</f>
        <v/>
      </c>
      <c r="BB1176" s="172" t="n"/>
      <c r="BC1176" s="172" t="n"/>
      <c r="BD1176" s="205">
        <f>IF(AND(A1176="",B1176=""),"",IF(AND(P1176="ГОТОВО",R1176&lt;&gt;"",T1176&lt;&gt;"",U1176&lt;&gt;"",AA1176&lt;&gt;"",AB1176&lt;&gt;"",AC1176&lt;&gt;"",BB1176&lt;&gt;"",BC1176&lt;&gt;""),"ГОТОВО","НЕ ГОТОВО"))</f>
        <v/>
      </c>
      <c r="BE1176" s="205">
        <f>IF(BD1176&lt;&gt;"ГОТОВО","","Полное заключение: "&amp;A1176&amp;", скв. "&amp;B1176&amp;". МРП: "&amp;E1176&amp;" сут. ГНО: "&amp;F1176&amp;"; причина: "&amp;U1176&amp;"; категория: "&amp;V1176&amp;"; решение комиссии: "&amp;BB1176&amp;".")</f>
        <v/>
      </c>
      <c r="BF1176" s="173">
        <f>IF('Оперативный ввод'!X1176="","",'Оперативный ввод'!X1176)</f>
        <v/>
      </c>
    </row>
    <row r="1177">
      <c r="A1177" s="171">
        <f>IF('Оперативный ввод'!A1177="","",'Оперативный ввод'!A1177)</f>
        <v/>
      </c>
      <c r="B1177" s="172">
        <f>IF('Оперативный ввод'!B1177="","",'Оперативный ввод'!B1177)</f>
        <v/>
      </c>
      <c r="C1177" s="270">
        <f>IF('Оперативный ввод'!C1177="","",'Оперативный ввод'!C1177)</f>
        <v/>
      </c>
      <c r="D1177" s="270">
        <f>IF('Оперативный ввод'!D1177="","",'Оперативный ввод'!D1177)</f>
        <v/>
      </c>
      <c r="E1177" s="271">
        <f>IF(OR(C1177="",D1177=""),"",D1177-C1177)</f>
        <v/>
      </c>
      <c r="F1177" s="172">
        <f>IF('Оперативный ввод'!F1177="","",'Оперативный ввод'!F1177)</f>
        <v/>
      </c>
      <c r="G1177" s="172">
        <f>IF('Оперативный ввод'!G1177="","",'Оперативный ввод'!G1177)</f>
        <v/>
      </c>
      <c r="H1177" s="172">
        <f>IF('Оперативный ввод'!H1177="","",'Оперативный ввод'!H1177)</f>
        <v/>
      </c>
      <c r="I1177" s="172">
        <f>IF('Оперативный ввод'!I1177="","",'Оперативный ввод'!I1177)</f>
        <v/>
      </c>
      <c r="J1177" s="172">
        <f>IF('Оперативный ввод'!J1177="","",'Оперативный ввод'!J1177)</f>
        <v/>
      </c>
      <c r="K1177" s="172">
        <f>IF('Оперативный ввод'!K1177="","",'Оперативный ввод'!K1177)</f>
        <v/>
      </c>
      <c r="L1177" s="172">
        <f>IF('Оперативный ввод'!L1177="","",'Оперативный ввод'!L1177)</f>
        <v/>
      </c>
      <c r="M1177" s="172">
        <f>IF('Оперативный ввод'!M1177="","",'Оперативный ввод'!M1177)</f>
        <v/>
      </c>
      <c r="N1177" s="172">
        <f>IF('Оперативный ввод'!N1177="","",'Оперативный ввод'!N1177)</f>
        <v/>
      </c>
      <c r="O1177" s="172">
        <f>IF('Оперативный ввод'!O1177="","",'Оперативный ввод'!O1177)</f>
        <v/>
      </c>
      <c r="P1177" s="205">
        <f>IF(AND(A1177="",B1177=""),"",IF(AND(A1177&lt;&gt;"",B1177&lt;&gt;"",C1177&lt;&gt;"",D1177&lt;&gt;"",F1177&lt;&gt;"",G1177&lt;&gt;"",H1177&lt;&gt;"",ISERROR(SEARCH("по паспорту",G1177)),ISERROR(SEARCH("по паспорту",H1177)),I1177&lt;&gt;"",J1177&lt;&gt;"",K1177&lt;&gt;"",L1177&lt;&gt;"",M1177&lt;&gt;""),"ГОТОВО","НЕ ГОТОВО"))</f>
        <v/>
      </c>
      <c r="Q1177" s="205">
        <f>IF(P1177&lt;&gt;"ГОТОВО","", "Предварительное заключение: "&amp;A1177&amp;", скв. "&amp;B1177&amp;". МРП: "&amp;E1177&amp;" сут. ГНО: "&amp;F1177&amp;", типоразмер "&amp;G1177&amp;", марка "&amp;H1177&amp;". Событие: "&amp;I1177&amp;". Признак: "&amp;J1177&amp;". Узел: "&amp;K1177&amp;". Предварительная причина: "&amp;L1177&amp;". Основное осложнение: "&amp;M1177&amp;IF(N1177&lt;&gt;"","; сопутствующее: "&amp;N1177,"")&amp;IF(O1177&lt;&gt;"","; дополнительно: "&amp;O1177,"")&amp;".")</f>
        <v/>
      </c>
      <c r="R1177" s="172">
        <f>IF('Оперативный ввод'!P1177="","",'Оперативный ввод'!P1177)</f>
        <v/>
      </c>
      <c r="S1177" s="172">
        <f>IF('Оперативный ввод'!Q1177="","",'Оперативный ввод'!Q1177)</f>
        <v/>
      </c>
      <c r="T1177" s="172">
        <f>IF('Оперативный ввод'!R1177="","",'Оперативный ввод'!R1177)</f>
        <v/>
      </c>
      <c r="U1177" s="172">
        <f>IF('Оперативный ввод'!S1177="","",'Оперативный ввод'!S1177)</f>
        <v/>
      </c>
      <c r="V1177" s="172">
        <f>IF('Оперативный ввод'!T1177="","",'Оперативный ввод'!T1177)</f>
        <v/>
      </c>
      <c r="W1177" s="172" t="n"/>
      <c r="X1177" s="172" t="n"/>
      <c r="Y1177" s="172" t="n"/>
      <c r="Z1177" s="172" t="n"/>
      <c r="AA1177" s="172">
        <f>IF('Оперативный ввод'!U1177="","",'Оперативный ввод'!U1177)</f>
        <v/>
      </c>
      <c r="AB1177" s="172">
        <f>IF('Оперативный ввод'!V1177="","",'Оперативный ввод'!V1177)</f>
        <v/>
      </c>
      <c r="AC1177" s="172">
        <f>IF('Оперативный ввод'!W1177="","",'Оперативный ввод'!W1177)</f>
        <v/>
      </c>
      <c r="BB1177" s="172" t="n"/>
      <c r="BC1177" s="172" t="n"/>
      <c r="BD1177" s="205">
        <f>IF(AND(A1177="",B1177=""),"",IF(AND(P1177="ГОТОВО",R1177&lt;&gt;"",T1177&lt;&gt;"",U1177&lt;&gt;"",AA1177&lt;&gt;"",AB1177&lt;&gt;"",AC1177&lt;&gt;"",BB1177&lt;&gt;"",BC1177&lt;&gt;""),"ГОТОВО","НЕ ГОТОВО"))</f>
        <v/>
      </c>
      <c r="BE1177" s="205">
        <f>IF(BD1177&lt;&gt;"ГОТОВО","","Полное заключение: "&amp;A1177&amp;", скв. "&amp;B1177&amp;". МРП: "&amp;E1177&amp;" сут. ГНО: "&amp;F1177&amp;"; причина: "&amp;U1177&amp;"; категория: "&amp;V1177&amp;"; решение комиссии: "&amp;BB1177&amp;".")</f>
        <v/>
      </c>
      <c r="BF1177" s="173">
        <f>IF('Оперативный ввод'!X1177="","",'Оперативный ввод'!X1177)</f>
        <v/>
      </c>
    </row>
    <row r="1178">
      <c r="A1178" s="171">
        <f>IF('Оперативный ввод'!A1178="","",'Оперативный ввод'!A1178)</f>
        <v/>
      </c>
      <c r="B1178" s="172">
        <f>IF('Оперативный ввод'!B1178="","",'Оперативный ввод'!B1178)</f>
        <v/>
      </c>
      <c r="C1178" s="270">
        <f>IF('Оперативный ввод'!C1178="","",'Оперативный ввод'!C1178)</f>
        <v/>
      </c>
      <c r="D1178" s="270">
        <f>IF('Оперативный ввод'!D1178="","",'Оперативный ввод'!D1178)</f>
        <v/>
      </c>
      <c r="E1178" s="271">
        <f>IF(OR(C1178="",D1178=""),"",D1178-C1178)</f>
        <v/>
      </c>
      <c r="F1178" s="172">
        <f>IF('Оперативный ввод'!F1178="","",'Оперативный ввод'!F1178)</f>
        <v/>
      </c>
      <c r="G1178" s="172">
        <f>IF('Оперативный ввод'!G1178="","",'Оперативный ввод'!G1178)</f>
        <v/>
      </c>
      <c r="H1178" s="172">
        <f>IF('Оперативный ввод'!H1178="","",'Оперативный ввод'!H1178)</f>
        <v/>
      </c>
      <c r="I1178" s="172">
        <f>IF('Оперативный ввод'!I1178="","",'Оперативный ввод'!I1178)</f>
        <v/>
      </c>
      <c r="J1178" s="172">
        <f>IF('Оперативный ввод'!J1178="","",'Оперативный ввод'!J1178)</f>
        <v/>
      </c>
      <c r="K1178" s="172">
        <f>IF('Оперативный ввод'!K1178="","",'Оперативный ввод'!K1178)</f>
        <v/>
      </c>
      <c r="L1178" s="172">
        <f>IF('Оперативный ввод'!L1178="","",'Оперативный ввод'!L1178)</f>
        <v/>
      </c>
      <c r="M1178" s="172">
        <f>IF('Оперативный ввод'!M1178="","",'Оперативный ввод'!M1178)</f>
        <v/>
      </c>
      <c r="N1178" s="172">
        <f>IF('Оперативный ввод'!N1178="","",'Оперативный ввод'!N1178)</f>
        <v/>
      </c>
      <c r="O1178" s="172">
        <f>IF('Оперативный ввод'!O1178="","",'Оперативный ввод'!O1178)</f>
        <v/>
      </c>
      <c r="P1178" s="205">
        <f>IF(AND(A1178="",B1178=""),"",IF(AND(A1178&lt;&gt;"",B1178&lt;&gt;"",C1178&lt;&gt;"",D1178&lt;&gt;"",F1178&lt;&gt;"",G1178&lt;&gt;"",H1178&lt;&gt;"",ISERROR(SEARCH("по паспорту",G1178)),ISERROR(SEARCH("по паспорту",H1178)),I1178&lt;&gt;"",J1178&lt;&gt;"",K1178&lt;&gt;"",L1178&lt;&gt;"",M1178&lt;&gt;""),"ГОТОВО","НЕ ГОТОВО"))</f>
        <v/>
      </c>
      <c r="Q1178" s="205">
        <f>IF(P1178&lt;&gt;"ГОТОВО","", "Предварительное заключение: "&amp;A1178&amp;", скв. "&amp;B1178&amp;". МРП: "&amp;E1178&amp;" сут. ГНО: "&amp;F1178&amp;", типоразмер "&amp;G1178&amp;", марка "&amp;H1178&amp;". Событие: "&amp;I1178&amp;". Признак: "&amp;J1178&amp;". Узел: "&amp;K1178&amp;". Предварительная причина: "&amp;L1178&amp;". Основное осложнение: "&amp;M1178&amp;IF(N1178&lt;&gt;"","; сопутствующее: "&amp;N1178,"")&amp;IF(O1178&lt;&gt;"","; дополнительно: "&amp;O1178,"")&amp;".")</f>
        <v/>
      </c>
      <c r="R1178" s="172">
        <f>IF('Оперативный ввод'!P1178="","",'Оперативный ввод'!P1178)</f>
        <v/>
      </c>
      <c r="S1178" s="172">
        <f>IF('Оперативный ввод'!Q1178="","",'Оперативный ввод'!Q1178)</f>
        <v/>
      </c>
      <c r="T1178" s="172">
        <f>IF('Оперативный ввод'!R1178="","",'Оперативный ввод'!R1178)</f>
        <v/>
      </c>
      <c r="U1178" s="172">
        <f>IF('Оперативный ввод'!S1178="","",'Оперативный ввод'!S1178)</f>
        <v/>
      </c>
      <c r="V1178" s="172">
        <f>IF('Оперативный ввод'!T1178="","",'Оперативный ввод'!T1178)</f>
        <v/>
      </c>
      <c r="W1178" s="172" t="n"/>
      <c r="X1178" s="172" t="n"/>
      <c r="Y1178" s="172" t="n"/>
      <c r="Z1178" s="172" t="n"/>
      <c r="AA1178" s="172">
        <f>IF('Оперативный ввод'!U1178="","",'Оперативный ввод'!U1178)</f>
        <v/>
      </c>
      <c r="AB1178" s="172">
        <f>IF('Оперативный ввод'!V1178="","",'Оперативный ввод'!V1178)</f>
        <v/>
      </c>
      <c r="AC1178" s="172">
        <f>IF('Оперативный ввод'!W1178="","",'Оперативный ввод'!W1178)</f>
        <v/>
      </c>
      <c r="BB1178" s="172" t="n"/>
      <c r="BC1178" s="172" t="n"/>
      <c r="BD1178" s="205">
        <f>IF(AND(A1178="",B1178=""),"",IF(AND(P1178="ГОТОВО",R1178&lt;&gt;"",T1178&lt;&gt;"",U1178&lt;&gt;"",AA1178&lt;&gt;"",AB1178&lt;&gt;"",AC1178&lt;&gt;"",BB1178&lt;&gt;"",BC1178&lt;&gt;""),"ГОТОВО","НЕ ГОТОВО"))</f>
        <v/>
      </c>
      <c r="BE1178" s="205">
        <f>IF(BD1178&lt;&gt;"ГОТОВО","","Полное заключение: "&amp;A1178&amp;", скв. "&amp;B1178&amp;". МРП: "&amp;E1178&amp;" сут. ГНО: "&amp;F1178&amp;"; причина: "&amp;U1178&amp;"; категория: "&amp;V1178&amp;"; решение комиссии: "&amp;BB1178&amp;".")</f>
        <v/>
      </c>
      <c r="BF1178" s="173">
        <f>IF('Оперативный ввод'!X1178="","",'Оперативный ввод'!X1178)</f>
        <v/>
      </c>
    </row>
    <row r="1179">
      <c r="A1179" s="171">
        <f>IF('Оперативный ввод'!A1179="","",'Оперативный ввод'!A1179)</f>
        <v/>
      </c>
      <c r="B1179" s="172">
        <f>IF('Оперативный ввод'!B1179="","",'Оперативный ввод'!B1179)</f>
        <v/>
      </c>
      <c r="C1179" s="270">
        <f>IF('Оперативный ввод'!C1179="","",'Оперативный ввод'!C1179)</f>
        <v/>
      </c>
      <c r="D1179" s="270">
        <f>IF('Оперативный ввод'!D1179="","",'Оперативный ввод'!D1179)</f>
        <v/>
      </c>
      <c r="E1179" s="271">
        <f>IF(OR(C1179="",D1179=""),"",D1179-C1179)</f>
        <v/>
      </c>
      <c r="F1179" s="172">
        <f>IF('Оперативный ввод'!F1179="","",'Оперативный ввод'!F1179)</f>
        <v/>
      </c>
      <c r="G1179" s="172">
        <f>IF('Оперативный ввод'!G1179="","",'Оперативный ввод'!G1179)</f>
        <v/>
      </c>
      <c r="H1179" s="172">
        <f>IF('Оперативный ввод'!H1179="","",'Оперативный ввод'!H1179)</f>
        <v/>
      </c>
      <c r="I1179" s="172">
        <f>IF('Оперативный ввод'!I1179="","",'Оперативный ввод'!I1179)</f>
        <v/>
      </c>
      <c r="J1179" s="172">
        <f>IF('Оперативный ввод'!J1179="","",'Оперативный ввод'!J1179)</f>
        <v/>
      </c>
      <c r="K1179" s="172">
        <f>IF('Оперативный ввод'!K1179="","",'Оперативный ввод'!K1179)</f>
        <v/>
      </c>
      <c r="L1179" s="172">
        <f>IF('Оперативный ввод'!L1179="","",'Оперативный ввод'!L1179)</f>
        <v/>
      </c>
      <c r="M1179" s="172">
        <f>IF('Оперативный ввод'!M1179="","",'Оперативный ввод'!M1179)</f>
        <v/>
      </c>
      <c r="N1179" s="172">
        <f>IF('Оперативный ввод'!N1179="","",'Оперативный ввод'!N1179)</f>
        <v/>
      </c>
      <c r="O1179" s="172">
        <f>IF('Оперативный ввод'!O1179="","",'Оперативный ввод'!O1179)</f>
        <v/>
      </c>
      <c r="P1179" s="205">
        <f>IF(AND(A1179="",B1179=""),"",IF(AND(A1179&lt;&gt;"",B1179&lt;&gt;"",C1179&lt;&gt;"",D1179&lt;&gt;"",F1179&lt;&gt;"",G1179&lt;&gt;"",H1179&lt;&gt;"",ISERROR(SEARCH("по паспорту",G1179)),ISERROR(SEARCH("по паспорту",H1179)),I1179&lt;&gt;"",J1179&lt;&gt;"",K1179&lt;&gt;"",L1179&lt;&gt;"",M1179&lt;&gt;""),"ГОТОВО","НЕ ГОТОВО"))</f>
        <v/>
      </c>
      <c r="Q1179" s="205">
        <f>IF(P1179&lt;&gt;"ГОТОВО","", "Предварительное заключение: "&amp;A1179&amp;", скв. "&amp;B1179&amp;". МРП: "&amp;E1179&amp;" сут. ГНО: "&amp;F1179&amp;", типоразмер "&amp;G1179&amp;", марка "&amp;H1179&amp;". Событие: "&amp;I1179&amp;". Признак: "&amp;J1179&amp;". Узел: "&amp;K1179&amp;". Предварительная причина: "&amp;L1179&amp;". Основное осложнение: "&amp;M1179&amp;IF(N1179&lt;&gt;"","; сопутствующее: "&amp;N1179,"")&amp;IF(O1179&lt;&gt;"","; дополнительно: "&amp;O1179,"")&amp;".")</f>
        <v/>
      </c>
      <c r="R1179" s="172">
        <f>IF('Оперативный ввод'!P1179="","",'Оперативный ввод'!P1179)</f>
        <v/>
      </c>
      <c r="S1179" s="172">
        <f>IF('Оперативный ввод'!Q1179="","",'Оперативный ввод'!Q1179)</f>
        <v/>
      </c>
      <c r="T1179" s="172">
        <f>IF('Оперативный ввод'!R1179="","",'Оперативный ввод'!R1179)</f>
        <v/>
      </c>
      <c r="U1179" s="172">
        <f>IF('Оперативный ввод'!S1179="","",'Оперативный ввод'!S1179)</f>
        <v/>
      </c>
      <c r="V1179" s="172">
        <f>IF('Оперативный ввод'!T1179="","",'Оперативный ввод'!T1179)</f>
        <v/>
      </c>
      <c r="W1179" s="172" t="n"/>
      <c r="X1179" s="172" t="n"/>
      <c r="Y1179" s="172" t="n"/>
      <c r="Z1179" s="172" t="n"/>
      <c r="AA1179" s="172">
        <f>IF('Оперативный ввод'!U1179="","",'Оперативный ввод'!U1179)</f>
        <v/>
      </c>
      <c r="AB1179" s="172">
        <f>IF('Оперативный ввод'!V1179="","",'Оперативный ввод'!V1179)</f>
        <v/>
      </c>
      <c r="AC1179" s="172">
        <f>IF('Оперативный ввод'!W1179="","",'Оперативный ввод'!W1179)</f>
        <v/>
      </c>
      <c r="BB1179" s="172" t="n"/>
      <c r="BC1179" s="172" t="n"/>
      <c r="BD1179" s="205">
        <f>IF(AND(A1179="",B1179=""),"",IF(AND(P1179="ГОТОВО",R1179&lt;&gt;"",T1179&lt;&gt;"",U1179&lt;&gt;"",AA1179&lt;&gt;"",AB1179&lt;&gt;"",AC1179&lt;&gt;"",BB1179&lt;&gt;"",BC1179&lt;&gt;""),"ГОТОВО","НЕ ГОТОВО"))</f>
        <v/>
      </c>
      <c r="BE1179" s="205">
        <f>IF(BD1179&lt;&gt;"ГОТОВО","","Полное заключение: "&amp;A1179&amp;", скв. "&amp;B1179&amp;". МРП: "&amp;E1179&amp;" сут. ГНО: "&amp;F1179&amp;"; причина: "&amp;U1179&amp;"; категория: "&amp;V1179&amp;"; решение комиссии: "&amp;BB1179&amp;".")</f>
        <v/>
      </c>
      <c r="BF1179" s="173">
        <f>IF('Оперативный ввод'!X1179="","",'Оперативный ввод'!X1179)</f>
        <v/>
      </c>
    </row>
    <row r="1180">
      <c r="A1180" s="171">
        <f>IF('Оперативный ввод'!A1180="","",'Оперативный ввод'!A1180)</f>
        <v/>
      </c>
      <c r="B1180" s="172">
        <f>IF('Оперативный ввод'!B1180="","",'Оперативный ввод'!B1180)</f>
        <v/>
      </c>
      <c r="C1180" s="270">
        <f>IF('Оперативный ввод'!C1180="","",'Оперативный ввод'!C1180)</f>
        <v/>
      </c>
      <c r="D1180" s="270">
        <f>IF('Оперативный ввод'!D1180="","",'Оперативный ввод'!D1180)</f>
        <v/>
      </c>
      <c r="E1180" s="271">
        <f>IF(OR(C1180="",D1180=""),"",D1180-C1180)</f>
        <v/>
      </c>
      <c r="F1180" s="172">
        <f>IF('Оперативный ввод'!F1180="","",'Оперативный ввод'!F1180)</f>
        <v/>
      </c>
      <c r="G1180" s="172">
        <f>IF('Оперативный ввод'!G1180="","",'Оперативный ввод'!G1180)</f>
        <v/>
      </c>
      <c r="H1180" s="172">
        <f>IF('Оперативный ввод'!H1180="","",'Оперативный ввод'!H1180)</f>
        <v/>
      </c>
      <c r="I1180" s="172">
        <f>IF('Оперативный ввод'!I1180="","",'Оперативный ввод'!I1180)</f>
        <v/>
      </c>
      <c r="J1180" s="172">
        <f>IF('Оперативный ввод'!J1180="","",'Оперативный ввод'!J1180)</f>
        <v/>
      </c>
      <c r="K1180" s="172">
        <f>IF('Оперативный ввод'!K1180="","",'Оперативный ввод'!K1180)</f>
        <v/>
      </c>
      <c r="L1180" s="172">
        <f>IF('Оперативный ввод'!L1180="","",'Оперативный ввод'!L1180)</f>
        <v/>
      </c>
      <c r="M1180" s="172">
        <f>IF('Оперативный ввод'!M1180="","",'Оперативный ввод'!M1180)</f>
        <v/>
      </c>
      <c r="N1180" s="172">
        <f>IF('Оперативный ввод'!N1180="","",'Оперативный ввод'!N1180)</f>
        <v/>
      </c>
      <c r="O1180" s="172">
        <f>IF('Оперативный ввод'!O1180="","",'Оперативный ввод'!O1180)</f>
        <v/>
      </c>
      <c r="P1180" s="205">
        <f>IF(AND(A1180="",B1180=""),"",IF(AND(A1180&lt;&gt;"",B1180&lt;&gt;"",C1180&lt;&gt;"",D1180&lt;&gt;"",F1180&lt;&gt;"",G1180&lt;&gt;"",H1180&lt;&gt;"",ISERROR(SEARCH("по паспорту",G1180)),ISERROR(SEARCH("по паспорту",H1180)),I1180&lt;&gt;"",J1180&lt;&gt;"",K1180&lt;&gt;"",L1180&lt;&gt;"",M1180&lt;&gt;""),"ГОТОВО","НЕ ГОТОВО"))</f>
        <v/>
      </c>
      <c r="Q1180" s="205">
        <f>IF(P1180&lt;&gt;"ГОТОВО","", "Предварительное заключение: "&amp;A1180&amp;", скв. "&amp;B1180&amp;". МРП: "&amp;E1180&amp;" сут. ГНО: "&amp;F1180&amp;", типоразмер "&amp;G1180&amp;", марка "&amp;H1180&amp;". Событие: "&amp;I1180&amp;". Признак: "&amp;J1180&amp;". Узел: "&amp;K1180&amp;". Предварительная причина: "&amp;L1180&amp;". Основное осложнение: "&amp;M1180&amp;IF(N1180&lt;&gt;"","; сопутствующее: "&amp;N1180,"")&amp;IF(O1180&lt;&gt;"","; дополнительно: "&amp;O1180,"")&amp;".")</f>
        <v/>
      </c>
      <c r="R1180" s="172">
        <f>IF('Оперативный ввод'!P1180="","",'Оперативный ввод'!P1180)</f>
        <v/>
      </c>
      <c r="S1180" s="172">
        <f>IF('Оперативный ввод'!Q1180="","",'Оперативный ввод'!Q1180)</f>
        <v/>
      </c>
      <c r="T1180" s="172">
        <f>IF('Оперативный ввод'!R1180="","",'Оперативный ввод'!R1180)</f>
        <v/>
      </c>
      <c r="U1180" s="172">
        <f>IF('Оперативный ввод'!S1180="","",'Оперативный ввод'!S1180)</f>
        <v/>
      </c>
      <c r="V1180" s="172">
        <f>IF('Оперативный ввод'!T1180="","",'Оперативный ввод'!T1180)</f>
        <v/>
      </c>
      <c r="W1180" s="172" t="n"/>
      <c r="X1180" s="172" t="n"/>
      <c r="Y1180" s="172" t="n"/>
      <c r="Z1180" s="172" t="n"/>
      <c r="AA1180" s="172">
        <f>IF('Оперативный ввод'!U1180="","",'Оперативный ввод'!U1180)</f>
        <v/>
      </c>
      <c r="AB1180" s="172">
        <f>IF('Оперативный ввод'!V1180="","",'Оперативный ввод'!V1180)</f>
        <v/>
      </c>
      <c r="AC1180" s="172">
        <f>IF('Оперативный ввод'!W1180="","",'Оперативный ввод'!W1180)</f>
        <v/>
      </c>
      <c r="BB1180" s="172" t="n"/>
      <c r="BC1180" s="172" t="n"/>
      <c r="BD1180" s="205">
        <f>IF(AND(A1180="",B1180=""),"",IF(AND(P1180="ГОТОВО",R1180&lt;&gt;"",T1180&lt;&gt;"",U1180&lt;&gt;"",AA1180&lt;&gt;"",AB1180&lt;&gt;"",AC1180&lt;&gt;"",BB1180&lt;&gt;"",BC1180&lt;&gt;""),"ГОТОВО","НЕ ГОТОВО"))</f>
        <v/>
      </c>
      <c r="BE1180" s="205">
        <f>IF(BD1180&lt;&gt;"ГОТОВО","","Полное заключение: "&amp;A1180&amp;", скв. "&amp;B1180&amp;". МРП: "&amp;E1180&amp;" сут. ГНО: "&amp;F1180&amp;"; причина: "&amp;U1180&amp;"; категория: "&amp;V1180&amp;"; решение комиссии: "&amp;BB1180&amp;".")</f>
        <v/>
      </c>
      <c r="BF1180" s="173">
        <f>IF('Оперативный ввод'!X1180="","",'Оперативный ввод'!X1180)</f>
        <v/>
      </c>
    </row>
    <row r="1181">
      <c r="A1181" s="171">
        <f>IF('Оперативный ввод'!A1181="","",'Оперативный ввод'!A1181)</f>
        <v/>
      </c>
      <c r="B1181" s="172">
        <f>IF('Оперативный ввод'!B1181="","",'Оперативный ввод'!B1181)</f>
        <v/>
      </c>
      <c r="C1181" s="270">
        <f>IF('Оперативный ввод'!C1181="","",'Оперативный ввод'!C1181)</f>
        <v/>
      </c>
      <c r="D1181" s="270">
        <f>IF('Оперативный ввод'!D1181="","",'Оперативный ввод'!D1181)</f>
        <v/>
      </c>
      <c r="E1181" s="271">
        <f>IF(OR(C1181="",D1181=""),"",D1181-C1181)</f>
        <v/>
      </c>
      <c r="F1181" s="172">
        <f>IF('Оперативный ввод'!F1181="","",'Оперативный ввод'!F1181)</f>
        <v/>
      </c>
      <c r="G1181" s="172">
        <f>IF('Оперативный ввод'!G1181="","",'Оперативный ввод'!G1181)</f>
        <v/>
      </c>
      <c r="H1181" s="172">
        <f>IF('Оперативный ввод'!H1181="","",'Оперативный ввод'!H1181)</f>
        <v/>
      </c>
      <c r="I1181" s="172">
        <f>IF('Оперативный ввод'!I1181="","",'Оперативный ввод'!I1181)</f>
        <v/>
      </c>
      <c r="J1181" s="172">
        <f>IF('Оперативный ввод'!J1181="","",'Оперативный ввод'!J1181)</f>
        <v/>
      </c>
      <c r="K1181" s="172">
        <f>IF('Оперативный ввод'!K1181="","",'Оперативный ввод'!K1181)</f>
        <v/>
      </c>
      <c r="L1181" s="172">
        <f>IF('Оперативный ввод'!L1181="","",'Оперативный ввод'!L1181)</f>
        <v/>
      </c>
      <c r="M1181" s="172">
        <f>IF('Оперативный ввод'!M1181="","",'Оперативный ввод'!M1181)</f>
        <v/>
      </c>
      <c r="N1181" s="172">
        <f>IF('Оперативный ввод'!N1181="","",'Оперативный ввод'!N1181)</f>
        <v/>
      </c>
      <c r="O1181" s="172">
        <f>IF('Оперативный ввод'!O1181="","",'Оперативный ввод'!O1181)</f>
        <v/>
      </c>
      <c r="P1181" s="205">
        <f>IF(AND(A1181="",B1181=""),"",IF(AND(A1181&lt;&gt;"",B1181&lt;&gt;"",C1181&lt;&gt;"",D1181&lt;&gt;"",F1181&lt;&gt;"",G1181&lt;&gt;"",H1181&lt;&gt;"",ISERROR(SEARCH("по паспорту",G1181)),ISERROR(SEARCH("по паспорту",H1181)),I1181&lt;&gt;"",J1181&lt;&gt;"",K1181&lt;&gt;"",L1181&lt;&gt;"",M1181&lt;&gt;""),"ГОТОВО","НЕ ГОТОВО"))</f>
        <v/>
      </c>
      <c r="Q1181" s="205">
        <f>IF(P1181&lt;&gt;"ГОТОВО","", "Предварительное заключение: "&amp;A1181&amp;", скв. "&amp;B1181&amp;". МРП: "&amp;E1181&amp;" сут. ГНО: "&amp;F1181&amp;", типоразмер "&amp;G1181&amp;", марка "&amp;H1181&amp;". Событие: "&amp;I1181&amp;". Признак: "&amp;J1181&amp;". Узел: "&amp;K1181&amp;". Предварительная причина: "&amp;L1181&amp;". Основное осложнение: "&amp;M1181&amp;IF(N1181&lt;&gt;"","; сопутствующее: "&amp;N1181,"")&amp;IF(O1181&lt;&gt;"","; дополнительно: "&amp;O1181,"")&amp;".")</f>
        <v/>
      </c>
      <c r="R1181" s="172">
        <f>IF('Оперативный ввод'!P1181="","",'Оперативный ввод'!P1181)</f>
        <v/>
      </c>
      <c r="S1181" s="172">
        <f>IF('Оперативный ввод'!Q1181="","",'Оперативный ввод'!Q1181)</f>
        <v/>
      </c>
      <c r="T1181" s="172">
        <f>IF('Оперативный ввод'!R1181="","",'Оперативный ввод'!R1181)</f>
        <v/>
      </c>
      <c r="U1181" s="172">
        <f>IF('Оперативный ввод'!S1181="","",'Оперативный ввод'!S1181)</f>
        <v/>
      </c>
      <c r="V1181" s="172">
        <f>IF('Оперативный ввод'!T1181="","",'Оперативный ввод'!T1181)</f>
        <v/>
      </c>
      <c r="W1181" s="172" t="n"/>
      <c r="X1181" s="172" t="n"/>
      <c r="Y1181" s="172" t="n"/>
      <c r="Z1181" s="172" t="n"/>
      <c r="AA1181" s="172">
        <f>IF('Оперативный ввод'!U1181="","",'Оперативный ввод'!U1181)</f>
        <v/>
      </c>
      <c r="AB1181" s="172">
        <f>IF('Оперативный ввод'!V1181="","",'Оперативный ввод'!V1181)</f>
        <v/>
      </c>
      <c r="AC1181" s="172">
        <f>IF('Оперативный ввод'!W1181="","",'Оперативный ввод'!W1181)</f>
        <v/>
      </c>
      <c r="BB1181" s="172" t="n"/>
      <c r="BC1181" s="172" t="n"/>
      <c r="BD1181" s="205">
        <f>IF(AND(A1181="",B1181=""),"",IF(AND(P1181="ГОТОВО",R1181&lt;&gt;"",T1181&lt;&gt;"",U1181&lt;&gt;"",AA1181&lt;&gt;"",AB1181&lt;&gt;"",AC1181&lt;&gt;"",BB1181&lt;&gt;"",BC1181&lt;&gt;""),"ГОТОВО","НЕ ГОТОВО"))</f>
        <v/>
      </c>
      <c r="BE1181" s="205">
        <f>IF(BD1181&lt;&gt;"ГОТОВО","","Полное заключение: "&amp;A1181&amp;", скв. "&amp;B1181&amp;". МРП: "&amp;E1181&amp;" сут. ГНО: "&amp;F1181&amp;"; причина: "&amp;U1181&amp;"; категория: "&amp;V1181&amp;"; решение комиссии: "&amp;BB1181&amp;".")</f>
        <v/>
      </c>
      <c r="BF1181" s="173">
        <f>IF('Оперативный ввод'!X1181="","",'Оперативный ввод'!X1181)</f>
        <v/>
      </c>
    </row>
    <row r="1182">
      <c r="A1182" s="171">
        <f>IF('Оперативный ввод'!A1182="","",'Оперативный ввод'!A1182)</f>
        <v/>
      </c>
      <c r="B1182" s="172">
        <f>IF('Оперативный ввод'!B1182="","",'Оперативный ввод'!B1182)</f>
        <v/>
      </c>
      <c r="C1182" s="270">
        <f>IF('Оперативный ввод'!C1182="","",'Оперативный ввод'!C1182)</f>
        <v/>
      </c>
      <c r="D1182" s="270">
        <f>IF('Оперативный ввод'!D1182="","",'Оперативный ввод'!D1182)</f>
        <v/>
      </c>
      <c r="E1182" s="271">
        <f>IF(OR(C1182="",D1182=""),"",D1182-C1182)</f>
        <v/>
      </c>
      <c r="F1182" s="172">
        <f>IF('Оперативный ввод'!F1182="","",'Оперативный ввод'!F1182)</f>
        <v/>
      </c>
      <c r="G1182" s="172">
        <f>IF('Оперативный ввод'!G1182="","",'Оперативный ввод'!G1182)</f>
        <v/>
      </c>
      <c r="H1182" s="172">
        <f>IF('Оперативный ввод'!H1182="","",'Оперативный ввод'!H1182)</f>
        <v/>
      </c>
      <c r="I1182" s="172">
        <f>IF('Оперативный ввод'!I1182="","",'Оперативный ввод'!I1182)</f>
        <v/>
      </c>
      <c r="J1182" s="172">
        <f>IF('Оперативный ввод'!J1182="","",'Оперативный ввод'!J1182)</f>
        <v/>
      </c>
      <c r="K1182" s="172">
        <f>IF('Оперативный ввод'!K1182="","",'Оперативный ввод'!K1182)</f>
        <v/>
      </c>
      <c r="L1182" s="172">
        <f>IF('Оперативный ввод'!L1182="","",'Оперативный ввод'!L1182)</f>
        <v/>
      </c>
      <c r="M1182" s="172">
        <f>IF('Оперативный ввод'!M1182="","",'Оперативный ввод'!M1182)</f>
        <v/>
      </c>
      <c r="N1182" s="172">
        <f>IF('Оперативный ввод'!N1182="","",'Оперативный ввод'!N1182)</f>
        <v/>
      </c>
      <c r="O1182" s="172">
        <f>IF('Оперативный ввод'!O1182="","",'Оперативный ввод'!O1182)</f>
        <v/>
      </c>
      <c r="P1182" s="205">
        <f>IF(AND(A1182="",B1182=""),"",IF(AND(A1182&lt;&gt;"",B1182&lt;&gt;"",C1182&lt;&gt;"",D1182&lt;&gt;"",F1182&lt;&gt;"",G1182&lt;&gt;"",H1182&lt;&gt;"",ISERROR(SEARCH("по паспорту",G1182)),ISERROR(SEARCH("по паспорту",H1182)),I1182&lt;&gt;"",J1182&lt;&gt;"",K1182&lt;&gt;"",L1182&lt;&gt;"",M1182&lt;&gt;""),"ГОТОВО","НЕ ГОТОВО"))</f>
        <v/>
      </c>
      <c r="Q1182" s="205">
        <f>IF(P1182&lt;&gt;"ГОТОВО","", "Предварительное заключение: "&amp;A1182&amp;", скв. "&amp;B1182&amp;". МРП: "&amp;E1182&amp;" сут. ГНО: "&amp;F1182&amp;", типоразмер "&amp;G1182&amp;", марка "&amp;H1182&amp;". Событие: "&amp;I1182&amp;". Признак: "&amp;J1182&amp;". Узел: "&amp;K1182&amp;". Предварительная причина: "&amp;L1182&amp;". Основное осложнение: "&amp;M1182&amp;IF(N1182&lt;&gt;"","; сопутствующее: "&amp;N1182,"")&amp;IF(O1182&lt;&gt;"","; дополнительно: "&amp;O1182,"")&amp;".")</f>
        <v/>
      </c>
      <c r="R1182" s="172">
        <f>IF('Оперативный ввод'!P1182="","",'Оперативный ввод'!P1182)</f>
        <v/>
      </c>
      <c r="S1182" s="172">
        <f>IF('Оперативный ввод'!Q1182="","",'Оперативный ввод'!Q1182)</f>
        <v/>
      </c>
      <c r="T1182" s="172">
        <f>IF('Оперативный ввод'!R1182="","",'Оперативный ввод'!R1182)</f>
        <v/>
      </c>
      <c r="U1182" s="172">
        <f>IF('Оперативный ввод'!S1182="","",'Оперативный ввод'!S1182)</f>
        <v/>
      </c>
      <c r="V1182" s="172">
        <f>IF('Оперативный ввод'!T1182="","",'Оперативный ввод'!T1182)</f>
        <v/>
      </c>
      <c r="W1182" s="172" t="n"/>
      <c r="X1182" s="172" t="n"/>
      <c r="Y1182" s="172" t="n"/>
      <c r="Z1182" s="172" t="n"/>
      <c r="AA1182" s="172">
        <f>IF('Оперативный ввод'!U1182="","",'Оперативный ввод'!U1182)</f>
        <v/>
      </c>
      <c r="AB1182" s="172">
        <f>IF('Оперативный ввод'!V1182="","",'Оперативный ввод'!V1182)</f>
        <v/>
      </c>
      <c r="AC1182" s="172">
        <f>IF('Оперативный ввод'!W1182="","",'Оперативный ввод'!W1182)</f>
        <v/>
      </c>
      <c r="BB1182" s="172" t="n"/>
      <c r="BC1182" s="172" t="n"/>
      <c r="BD1182" s="205">
        <f>IF(AND(A1182="",B1182=""),"",IF(AND(P1182="ГОТОВО",R1182&lt;&gt;"",T1182&lt;&gt;"",U1182&lt;&gt;"",AA1182&lt;&gt;"",AB1182&lt;&gt;"",AC1182&lt;&gt;"",BB1182&lt;&gt;"",BC1182&lt;&gt;""),"ГОТОВО","НЕ ГОТОВО"))</f>
        <v/>
      </c>
      <c r="BE1182" s="205">
        <f>IF(BD1182&lt;&gt;"ГОТОВО","","Полное заключение: "&amp;A1182&amp;", скв. "&amp;B1182&amp;". МРП: "&amp;E1182&amp;" сут. ГНО: "&amp;F1182&amp;"; причина: "&amp;U1182&amp;"; категория: "&amp;V1182&amp;"; решение комиссии: "&amp;BB1182&amp;".")</f>
        <v/>
      </c>
      <c r="BF1182" s="173">
        <f>IF('Оперативный ввод'!X1182="","",'Оперативный ввод'!X1182)</f>
        <v/>
      </c>
    </row>
    <row r="1183">
      <c r="A1183" s="171">
        <f>IF('Оперативный ввод'!A1183="","",'Оперативный ввод'!A1183)</f>
        <v/>
      </c>
      <c r="B1183" s="172">
        <f>IF('Оперативный ввод'!B1183="","",'Оперативный ввод'!B1183)</f>
        <v/>
      </c>
      <c r="C1183" s="270">
        <f>IF('Оперативный ввод'!C1183="","",'Оперативный ввод'!C1183)</f>
        <v/>
      </c>
      <c r="D1183" s="270">
        <f>IF('Оперативный ввод'!D1183="","",'Оперативный ввод'!D1183)</f>
        <v/>
      </c>
      <c r="E1183" s="271">
        <f>IF(OR(C1183="",D1183=""),"",D1183-C1183)</f>
        <v/>
      </c>
      <c r="F1183" s="172">
        <f>IF('Оперативный ввод'!F1183="","",'Оперативный ввод'!F1183)</f>
        <v/>
      </c>
      <c r="G1183" s="172">
        <f>IF('Оперативный ввод'!G1183="","",'Оперативный ввод'!G1183)</f>
        <v/>
      </c>
      <c r="H1183" s="172">
        <f>IF('Оперативный ввод'!H1183="","",'Оперативный ввод'!H1183)</f>
        <v/>
      </c>
      <c r="I1183" s="172">
        <f>IF('Оперативный ввод'!I1183="","",'Оперативный ввод'!I1183)</f>
        <v/>
      </c>
      <c r="J1183" s="172">
        <f>IF('Оперативный ввод'!J1183="","",'Оперативный ввод'!J1183)</f>
        <v/>
      </c>
      <c r="K1183" s="172">
        <f>IF('Оперативный ввод'!K1183="","",'Оперативный ввод'!K1183)</f>
        <v/>
      </c>
      <c r="L1183" s="172">
        <f>IF('Оперативный ввод'!L1183="","",'Оперативный ввод'!L1183)</f>
        <v/>
      </c>
      <c r="M1183" s="172">
        <f>IF('Оперативный ввод'!M1183="","",'Оперативный ввод'!M1183)</f>
        <v/>
      </c>
      <c r="N1183" s="172">
        <f>IF('Оперативный ввод'!N1183="","",'Оперативный ввод'!N1183)</f>
        <v/>
      </c>
      <c r="O1183" s="172">
        <f>IF('Оперативный ввод'!O1183="","",'Оперативный ввод'!O1183)</f>
        <v/>
      </c>
      <c r="P1183" s="205">
        <f>IF(AND(A1183="",B1183=""),"",IF(AND(A1183&lt;&gt;"",B1183&lt;&gt;"",C1183&lt;&gt;"",D1183&lt;&gt;"",F1183&lt;&gt;"",G1183&lt;&gt;"",H1183&lt;&gt;"",ISERROR(SEARCH("по паспорту",G1183)),ISERROR(SEARCH("по паспорту",H1183)),I1183&lt;&gt;"",J1183&lt;&gt;"",K1183&lt;&gt;"",L1183&lt;&gt;"",M1183&lt;&gt;""),"ГОТОВО","НЕ ГОТОВО"))</f>
        <v/>
      </c>
      <c r="Q1183" s="205">
        <f>IF(P1183&lt;&gt;"ГОТОВО","", "Предварительное заключение: "&amp;A1183&amp;", скв. "&amp;B1183&amp;". МРП: "&amp;E1183&amp;" сут. ГНО: "&amp;F1183&amp;", типоразмер "&amp;G1183&amp;", марка "&amp;H1183&amp;". Событие: "&amp;I1183&amp;". Признак: "&amp;J1183&amp;". Узел: "&amp;K1183&amp;". Предварительная причина: "&amp;L1183&amp;". Основное осложнение: "&amp;M1183&amp;IF(N1183&lt;&gt;"","; сопутствующее: "&amp;N1183,"")&amp;IF(O1183&lt;&gt;"","; дополнительно: "&amp;O1183,"")&amp;".")</f>
        <v/>
      </c>
      <c r="R1183" s="172">
        <f>IF('Оперативный ввод'!P1183="","",'Оперативный ввод'!P1183)</f>
        <v/>
      </c>
      <c r="S1183" s="172">
        <f>IF('Оперативный ввод'!Q1183="","",'Оперативный ввод'!Q1183)</f>
        <v/>
      </c>
      <c r="T1183" s="172">
        <f>IF('Оперативный ввод'!R1183="","",'Оперативный ввод'!R1183)</f>
        <v/>
      </c>
      <c r="U1183" s="172">
        <f>IF('Оперативный ввод'!S1183="","",'Оперативный ввод'!S1183)</f>
        <v/>
      </c>
      <c r="V1183" s="172">
        <f>IF('Оперативный ввод'!T1183="","",'Оперативный ввод'!T1183)</f>
        <v/>
      </c>
      <c r="W1183" s="172" t="n"/>
      <c r="X1183" s="172" t="n"/>
      <c r="Y1183" s="172" t="n"/>
      <c r="Z1183" s="172" t="n"/>
      <c r="AA1183" s="172">
        <f>IF('Оперативный ввод'!U1183="","",'Оперативный ввод'!U1183)</f>
        <v/>
      </c>
      <c r="AB1183" s="172">
        <f>IF('Оперативный ввод'!V1183="","",'Оперативный ввод'!V1183)</f>
        <v/>
      </c>
      <c r="AC1183" s="172">
        <f>IF('Оперативный ввод'!W1183="","",'Оперативный ввод'!W1183)</f>
        <v/>
      </c>
      <c r="BB1183" s="172" t="n"/>
      <c r="BC1183" s="172" t="n"/>
      <c r="BD1183" s="205">
        <f>IF(AND(A1183="",B1183=""),"",IF(AND(P1183="ГОТОВО",R1183&lt;&gt;"",T1183&lt;&gt;"",U1183&lt;&gt;"",AA1183&lt;&gt;"",AB1183&lt;&gt;"",AC1183&lt;&gt;"",BB1183&lt;&gt;"",BC1183&lt;&gt;""),"ГОТОВО","НЕ ГОТОВО"))</f>
        <v/>
      </c>
      <c r="BE1183" s="205">
        <f>IF(BD1183&lt;&gt;"ГОТОВО","","Полное заключение: "&amp;A1183&amp;", скв. "&amp;B1183&amp;". МРП: "&amp;E1183&amp;" сут. ГНО: "&amp;F1183&amp;"; причина: "&amp;U1183&amp;"; категория: "&amp;V1183&amp;"; решение комиссии: "&amp;BB1183&amp;".")</f>
        <v/>
      </c>
      <c r="BF1183" s="173">
        <f>IF('Оперативный ввод'!X1183="","",'Оперативный ввод'!X1183)</f>
        <v/>
      </c>
    </row>
    <row r="1184">
      <c r="A1184" s="171">
        <f>IF('Оперативный ввод'!A1184="","",'Оперативный ввод'!A1184)</f>
        <v/>
      </c>
      <c r="B1184" s="172">
        <f>IF('Оперативный ввод'!B1184="","",'Оперативный ввод'!B1184)</f>
        <v/>
      </c>
      <c r="C1184" s="270">
        <f>IF('Оперативный ввод'!C1184="","",'Оперативный ввод'!C1184)</f>
        <v/>
      </c>
      <c r="D1184" s="270">
        <f>IF('Оперативный ввод'!D1184="","",'Оперативный ввод'!D1184)</f>
        <v/>
      </c>
      <c r="E1184" s="271">
        <f>IF(OR(C1184="",D1184=""),"",D1184-C1184)</f>
        <v/>
      </c>
      <c r="F1184" s="172">
        <f>IF('Оперативный ввод'!F1184="","",'Оперативный ввод'!F1184)</f>
        <v/>
      </c>
      <c r="G1184" s="172">
        <f>IF('Оперативный ввод'!G1184="","",'Оперативный ввод'!G1184)</f>
        <v/>
      </c>
      <c r="H1184" s="172">
        <f>IF('Оперативный ввод'!H1184="","",'Оперативный ввод'!H1184)</f>
        <v/>
      </c>
      <c r="I1184" s="172">
        <f>IF('Оперативный ввод'!I1184="","",'Оперативный ввод'!I1184)</f>
        <v/>
      </c>
      <c r="J1184" s="172">
        <f>IF('Оперативный ввод'!J1184="","",'Оперативный ввод'!J1184)</f>
        <v/>
      </c>
      <c r="K1184" s="172">
        <f>IF('Оперативный ввод'!K1184="","",'Оперативный ввод'!K1184)</f>
        <v/>
      </c>
      <c r="L1184" s="172">
        <f>IF('Оперативный ввод'!L1184="","",'Оперативный ввод'!L1184)</f>
        <v/>
      </c>
      <c r="M1184" s="172">
        <f>IF('Оперативный ввод'!M1184="","",'Оперативный ввод'!M1184)</f>
        <v/>
      </c>
      <c r="N1184" s="172">
        <f>IF('Оперативный ввод'!N1184="","",'Оперативный ввод'!N1184)</f>
        <v/>
      </c>
      <c r="O1184" s="172">
        <f>IF('Оперативный ввод'!O1184="","",'Оперативный ввод'!O1184)</f>
        <v/>
      </c>
      <c r="P1184" s="205">
        <f>IF(AND(A1184="",B1184=""),"",IF(AND(A1184&lt;&gt;"",B1184&lt;&gt;"",C1184&lt;&gt;"",D1184&lt;&gt;"",F1184&lt;&gt;"",G1184&lt;&gt;"",H1184&lt;&gt;"",ISERROR(SEARCH("по паспорту",G1184)),ISERROR(SEARCH("по паспорту",H1184)),I1184&lt;&gt;"",J1184&lt;&gt;"",K1184&lt;&gt;"",L1184&lt;&gt;"",M1184&lt;&gt;""),"ГОТОВО","НЕ ГОТОВО"))</f>
        <v/>
      </c>
      <c r="Q1184" s="205">
        <f>IF(P1184&lt;&gt;"ГОТОВО","", "Предварительное заключение: "&amp;A1184&amp;", скв. "&amp;B1184&amp;". МРП: "&amp;E1184&amp;" сут. ГНО: "&amp;F1184&amp;", типоразмер "&amp;G1184&amp;", марка "&amp;H1184&amp;". Событие: "&amp;I1184&amp;". Признак: "&amp;J1184&amp;". Узел: "&amp;K1184&amp;". Предварительная причина: "&amp;L1184&amp;". Основное осложнение: "&amp;M1184&amp;IF(N1184&lt;&gt;"","; сопутствующее: "&amp;N1184,"")&amp;IF(O1184&lt;&gt;"","; дополнительно: "&amp;O1184,"")&amp;".")</f>
        <v/>
      </c>
      <c r="R1184" s="172">
        <f>IF('Оперативный ввод'!P1184="","",'Оперативный ввод'!P1184)</f>
        <v/>
      </c>
      <c r="S1184" s="172">
        <f>IF('Оперативный ввод'!Q1184="","",'Оперативный ввод'!Q1184)</f>
        <v/>
      </c>
      <c r="T1184" s="172">
        <f>IF('Оперативный ввод'!R1184="","",'Оперативный ввод'!R1184)</f>
        <v/>
      </c>
      <c r="U1184" s="172">
        <f>IF('Оперативный ввод'!S1184="","",'Оперативный ввод'!S1184)</f>
        <v/>
      </c>
      <c r="V1184" s="172">
        <f>IF('Оперативный ввод'!T1184="","",'Оперативный ввод'!T1184)</f>
        <v/>
      </c>
      <c r="W1184" s="172" t="n"/>
      <c r="X1184" s="172" t="n"/>
      <c r="Y1184" s="172" t="n"/>
      <c r="Z1184" s="172" t="n"/>
      <c r="AA1184" s="172">
        <f>IF('Оперативный ввод'!U1184="","",'Оперативный ввод'!U1184)</f>
        <v/>
      </c>
      <c r="AB1184" s="172">
        <f>IF('Оперативный ввод'!V1184="","",'Оперативный ввод'!V1184)</f>
        <v/>
      </c>
      <c r="AC1184" s="172">
        <f>IF('Оперативный ввод'!W1184="","",'Оперативный ввод'!W1184)</f>
        <v/>
      </c>
      <c r="BB1184" s="172" t="n"/>
      <c r="BC1184" s="172" t="n"/>
      <c r="BD1184" s="205">
        <f>IF(AND(A1184="",B1184=""),"",IF(AND(P1184="ГОТОВО",R1184&lt;&gt;"",T1184&lt;&gt;"",U1184&lt;&gt;"",AA1184&lt;&gt;"",AB1184&lt;&gt;"",AC1184&lt;&gt;"",BB1184&lt;&gt;"",BC1184&lt;&gt;""),"ГОТОВО","НЕ ГОТОВО"))</f>
        <v/>
      </c>
      <c r="BE1184" s="205">
        <f>IF(BD1184&lt;&gt;"ГОТОВО","","Полное заключение: "&amp;A1184&amp;", скв. "&amp;B1184&amp;". МРП: "&amp;E1184&amp;" сут. ГНО: "&amp;F1184&amp;"; причина: "&amp;U1184&amp;"; категория: "&amp;V1184&amp;"; решение комиссии: "&amp;BB1184&amp;".")</f>
        <v/>
      </c>
      <c r="BF1184" s="173">
        <f>IF('Оперативный ввод'!X1184="","",'Оперативный ввод'!X1184)</f>
        <v/>
      </c>
    </row>
    <row r="1185">
      <c r="A1185" s="171">
        <f>IF('Оперативный ввод'!A1185="","",'Оперативный ввод'!A1185)</f>
        <v/>
      </c>
      <c r="B1185" s="172">
        <f>IF('Оперативный ввод'!B1185="","",'Оперативный ввод'!B1185)</f>
        <v/>
      </c>
      <c r="C1185" s="270">
        <f>IF('Оперативный ввод'!C1185="","",'Оперативный ввод'!C1185)</f>
        <v/>
      </c>
      <c r="D1185" s="270">
        <f>IF('Оперативный ввод'!D1185="","",'Оперативный ввод'!D1185)</f>
        <v/>
      </c>
      <c r="E1185" s="271">
        <f>IF(OR(C1185="",D1185=""),"",D1185-C1185)</f>
        <v/>
      </c>
      <c r="F1185" s="172">
        <f>IF('Оперативный ввод'!F1185="","",'Оперативный ввод'!F1185)</f>
        <v/>
      </c>
      <c r="G1185" s="172">
        <f>IF('Оперативный ввод'!G1185="","",'Оперативный ввод'!G1185)</f>
        <v/>
      </c>
      <c r="H1185" s="172">
        <f>IF('Оперативный ввод'!H1185="","",'Оперативный ввод'!H1185)</f>
        <v/>
      </c>
      <c r="I1185" s="172">
        <f>IF('Оперативный ввод'!I1185="","",'Оперативный ввод'!I1185)</f>
        <v/>
      </c>
      <c r="J1185" s="172">
        <f>IF('Оперативный ввод'!J1185="","",'Оперативный ввод'!J1185)</f>
        <v/>
      </c>
      <c r="K1185" s="172">
        <f>IF('Оперативный ввод'!K1185="","",'Оперативный ввод'!K1185)</f>
        <v/>
      </c>
      <c r="L1185" s="172">
        <f>IF('Оперативный ввод'!L1185="","",'Оперативный ввод'!L1185)</f>
        <v/>
      </c>
      <c r="M1185" s="172">
        <f>IF('Оперативный ввод'!M1185="","",'Оперативный ввод'!M1185)</f>
        <v/>
      </c>
      <c r="N1185" s="172">
        <f>IF('Оперативный ввод'!N1185="","",'Оперативный ввод'!N1185)</f>
        <v/>
      </c>
      <c r="O1185" s="172">
        <f>IF('Оперативный ввод'!O1185="","",'Оперативный ввод'!O1185)</f>
        <v/>
      </c>
      <c r="P1185" s="205">
        <f>IF(AND(A1185="",B1185=""),"",IF(AND(A1185&lt;&gt;"",B1185&lt;&gt;"",C1185&lt;&gt;"",D1185&lt;&gt;"",F1185&lt;&gt;"",G1185&lt;&gt;"",H1185&lt;&gt;"",ISERROR(SEARCH("по паспорту",G1185)),ISERROR(SEARCH("по паспорту",H1185)),I1185&lt;&gt;"",J1185&lt;&gt;"",K1185&lt;&gt;"",L1185&lt;&gt;"",M1185&lt;&gt;""),"ГОТОВО","НЕ ГОТОВО"))</f>
        <v/>
      </c>
      <c r="Q1185" s="205">
        <f>IF(P1185&lt;&gt;"ГОТОВО","", "Предварительное заключение: "&amp;A1185&amp;", скв. "&amp;B1185&amp;". МРП: "&amp;E1185&amp;" сут. ГНО: "&amp;F1185&amp;", типоразмер "&amp;G1185&amp;", марка "&amp;H1185&amp;". Событие: "&amp;I1185&amp;". Признак: "&amp;J1185&amp;". Узел: "&amp;K1185&amp;". Предварительная причина: "&amp;L1185&amp;". Основное осложнение: "&amp;M1185&amp;IF(N1185&lt;&gt;"","; сопутствующее: "&amp;N1185,"")&amp;IF(O1185&lt;&gt;"","; дополнительно: "&amp;O1185,"")&amp;".")</f>
        <v/>
      </c>
      <c r="R1185" s="172">
        <f>IF('Оперативный ввод'!P1185="","",'Оперативный ввод'!P1185)</f>
        <v/>
      </c>
      <c r="S1185" s="172">
        <f>IF('Оперативный ввод'!Q1185="","",'Оперативный ввод'!Q1185)</f>
        <v/>
      </c>
      <c r="T1185" s="172">
        <f>IF('Оперативный ввод'!R1185="","",'Оперативный ввод'!R1185)</f>
        <v/>
      </c>
      <c r="U1185" s="172">
        <f>IF('Оперативный ввод'!S1185="","",'Оперативный ввод'!S1185)</f>
        <v/>
      </c>
      <c r="V1185" s="172">
        <f>IF('Оперативный ввод'!T1185="","",'Оперативный ввод'!T1185)</f>
        <v/>
      </c>
      <c r="W1185" s="172" t="n"/>
      <c r="X1185" s="172" t="n"/>
      <c r="Y1185" s="172" t="n"/>
      <c r="Z1185" s="172" t="n"/>
      <c r="AA1185" s="172">
        <f>IF('Оперативный ввод'!U1185="","",'Оперативный ввод'!U1185)</f>
        <v/>
      </c>
      <c r="AB1185" s="172">
        <f>IF('Оперативный ввод'!V1185="","",'Оперативный ввод'!V1185)</f>
        <v/>
      </c>
      <c r="AC1185" s="172">
        <f>IF('Оперативный ввод'!W1185="","",'Оперативный ввод'!W1185)</f>
        <v/>
      </c>
      <c r="BB1185" s="172" t="n"/>
      <c r="BC1185" s="172" t="n"/>
      <c r="BD1185" s="205">
        <f>IF(AND(A1185="",B1185=""),"",IF(AND(P1185="ГОТОВО",R1185&lt;&gt;"",T1185&lt;&gt;"",U1185&lt;&gt;"",AA1185&lt;&gt;"",AB1185&lt;&gt;"",AC1185&lt;&gt;"",BB1185&lt;&gt;"",BC1185&lt;&gt;""),"ГОТОВО","НЕ ГОТОВО"))</f>
        <v/>
      </c>
      <c r="BE1185" s="205">
        <f>IF(BD1185&lt;&gt;"ГОТОВО","","Полное заключение: "&amp;A1185&amp;", скв. "&amp;B1185&amp;". МРП: "&amp;E1185&amp;" сут. ГНО: "&amp;F1185&amp;"; причина: "&amp;U1185&amp;"; категория: "&amp;V1185&amp;"; решение комиссии: "&amp;BB1185&amp;".")</f>
        <v/>
      </c>
      <c r="BF1185" s="173">
        <f>IF('Оперативный ввод'!X1185="","",'Оперативный ввод'!X1185)</f>
        <v/>
      </c>
    </row>
    <row r="1186">
      <c r="A1186" s="171">
        <f>IF('Оперативный ввод'!A1186="","",'Оперативный ввод'!A1186)</f>
        <v/>
      </c>
      <c r="B1186" s="172">
        <f>IF('Оперативный ввод'!B1186="","",'Оперативный ввод'!B1186)</f>
        <v/>
      </c>
      <c r="C1186" s="270">
        <f>IF('Оперативный ввод'!C1186="","",'Оперативный ввод'!C1186)</f>
        <v/>
      </c>
      <c r="D1186" s="270">
        <f>IF('Оперативный ввод'!D1186="","",'Оперативный ввод'!D1186)</f>
        <v/>
      </c>
      <c r="E1186" s="271">
        <f>IF(OR(C1186="",D1186=""),"",D1186-C1186)</f>
        <v/>
      </c>
      <c r="F1186" s="172">
        <f>IF('Оперативный ввод'!F1186="","",'Оперативный ввод'!F1186)</f>
        <v/>
      </c>
      <c r="G1186" s="172">
        <f>IF('Оперативный ввод'!G1186="","",'Оперативный ввод'!G1186)</f>
        <v/>
      </c>
      <c r="H1186" s="172">
        <f>IF('Оперативный ввод'!H1186="","",'Оперативный ввод'!H1186)</f>
        <v/>
      </c>
      <c r="I1186" s="172">
        <f>IF('Оперативный ввод'!I1186="","",'Оперативный ввод'!I1186)</f>
        <v/>
      </c>
      <c r="J1186" s="172">
        <f>IF('Оперативный ввод'!J1186="","",'Оперативный ввод'!J1186)</f>
        <v/>
      </c>
      <c r="K1186" s="172">
        <f>IF('Оперативный ввод'!K1186="","",'Оперативный ввод'!K1186)</f>
        <v/>
      </c>
      <c r="L1186" s="172">
        <f>IF('Оперативный ввод'!L1186="","",'Оперативный ввод'!L1186)</f>
        <v/>
      </c>
      <c r="M1186" s="172">
        <f>IF('Оперативный ввод'!M1186="","",'Оперативный ввод'!M1186)</f>
        <v/>
      </c>
      <c r="N1186" s="172">
        <f>IF('Оперативный ввод'!N1186="","",'Оперативный ввод'!N1186)</f>
        <v/>
      </c>
      <c r="O1186" s="172">
        <f>IF('Оперативный ввод'!O1186="","",'Оперативный ввод'!O1186)</f>
        <v/>
      </c>
      <c r="P1186" s="205">
        <f>IF(AND(A1186="",B1186=""),"",IF(AND(A1186&lt;&gt;"",B1186&lt;&gt;"",C1186&lt;&gt;"",D1186&lt;&gt;"",F1186&lt;&gt;"",G1186&lt;&gt;"",H1186&lt;&gt;"",ISERROR(SEARCH("по паспорту",G1186)),ISERROR(SEARCH("по паспорту",H1186)),I1186&lt;&gt;"",J1186&lt;&gt;"",K1186&lt;&gt;"",L1186&lt;&gt;"",M1186&lt;&gt;""),"ГОТОВО","НЕ ГОТОВО"))</f>
        <v/>
      </c>
      <c r="Q1186" s="205">
        <f>IF(P1186&lt;&gt;"ГОТОВО","", "Предварительное заключение: "&amp;A1186&amp;", скв. "&amp;B1186&amp;". МРП: "&amp;E1186&amp;" сут. ГНО: "&amp;F1186&amp;", типоразмер "&amp;G1186&amp;", марка "&amp;H1186&amp;". Событие: "&amp;I1186&amp;". Признак: "&amp;J1186&amp;". Узел: "&amp;K1186&amp;". Предварительная причина: "&amp;L1186&amp;". Основное осложнение: "&amp;M1186&amp;IF(N1186&lt;&gt;"","; сопутствующее: "&amp;N1186,"")&amp;IF(O1186&lt;&gt;"","; дополнительно: "&amp;O1186,"")&amp;".")</f>
        <v/>
      </c>
      <c r="R1186" s="172">
        <f>IF('Оперативный ввод'!P1186="","",'Оперативный ввод'!P1186)</f>
        <v/>
      </c>
      <c r="S1186" s="172">
        <f>IF('Оперативный ввод'!Q1186="","",'Оперативный ввод'!Q1186)</f>
        <v/>
      </c>
      <c r="T1186" s="172">
        <f>IF('Оперативный ввод'!R1186="","",'Оперативный ввод'!R1186)</f>
        <v/>
      </c>
      <c r="U1186" s="172">
        <f>IF('Оперативный ввод'!S1186="","",'Оперативный ввод'!S1186)</f>
        <v/>
      </c>
      <c r="V1186" s="172">
        <f>IF('Оперативный ввод'!T1186="","",'Оперативный ввод'!T1186)</f>
        <v/>
      </c>
      <c r="W1186" s="172" t="n"/>
      <c r="X1186" s="172" t="n"/>
      <c r="Y1186" s="172" t="n"/>
      <c r="Z1186" s="172" t="n"/>
      <c r="AA1186" s="172">
        <f>IF('Оперативный ввод'!U1186="","",'Оперативный ввод'!U1186)</f>
        <v/>
      </c>
      <c r="AB1186" s="172">
        <f>IF('Оперативный ввод'!V1186="","",'Оперативный ввод'!V1186)</f>
        <v/>
      </c>
      <c r="AC1186" s="172">
        <f>IF('Оперативный ввод'!W1186="","",'Оперативный ввод'!W1186)</f>
        <v/>
      </c>
      <c r="BB1186" s="172" t="n"/>
      <c r="BC1186" s="172" t="n"/>
      <c r="BD1186" s="205">
        <f>IF(AND(A1186="",B1186=""),"",IF(AND(P1186="ГОТОВО",R1186&lt;&gt;"",T1186&lt;&gt;"",U1186&lt;&gt;"",AA1186&lt;&gt;"",AB1186&lt;&gt;"",AC1186&lt;&gt;"",BB1186&lt;&gt;"",BC1186&lt;&gt;""),"ГОТОВО","НЕ ГОТОВО"))</f>
        <v/>
      </c>
      <c r="BE1186" s="205">
        <f>IF(BD1186&lt;&gt;"ГОТОВО","","Полное заключение: "&amp;A1186&amp;", скв. "&amp;B1186&amp;". МРП: "&amp;E1186&amp;" сут. ГНО: "&amp;F1186&amp;"; причина: "&amp;U1186&amp;"; категория: "&amp;V1186&amp;"; решение комиссии: "&amp;BB1186&amp;".")</f>
        <v/>
      </c>
      <c r="BF1186" s="173">
        <f>IF('Оперативный ввод'!X1186="","",'Оперативный ввод'!X1186)</f>
        <v/>
      </c>
    </row>
    <row r="1187">
      <c r="A1187" s="171">
        <f>IF('Оперативный ввод'!A1187="","",'Оперативный ввод'!A1187)</f>
        <v/>
      </c>
      <c r="B1187" s="172">
        <f>IF('Оперативный ввод'!B1187="","",'Оперативный ввод'!B1187)</f>
        <v/>
      </c>
      <c r="C1187" s="270">
        <f>IF('Оперативный ввод'!C1187="","",'Оперативный ввод'!C1187)</f>
        <v/>
      </c>
      <c r="D1187" s="270">
        <f>IF('Оперативный ввод'!D1187="","",'Оперативный ввод'!D1187)</f>
        <v/>
      </c>
      <c r="E1187" s="271">
        <f>IF(OR(C1187="",D1187=""),"",D1187-C1187)</f>
        <v/>
      </c>
      <c r="F1187" s="172">
        <f>IF('Оперативный ввод'!F1187="","",'Оперативный ввод'!F1187)</f>
        <v/>
      </c>
      <c r="G1187" s="172">
        <f>IF('Оперативный ввод'!G1187="","",'Оперативный ввод'!G1187)</f>
        <v/>
      </c>
      <c r="H1187" s="172">
        <f>IF('Оперативный ввод'!H1187="","",'Оперативный ввод'!H1187)</f>
        <v/>
      </c>
      <c r="I1187" s="172">
        <f>IF('Оперативный ввод'!I1187="","",'Оперативный ввод'!I1187)</f>
        <v/>
      </c>
      <c r="J1187" s="172">
        <f>IF('Оперативный ввод'!J1187="","",'Оперативный ввод'!J1187)</f>
        <v/>
      </c>
      <c r="K1187" s="172">
        <f>IF('Оперативный ввод'!K1187="","",'Оперативный ввод'!K1187)</f>
        <v/>
      </c>
      <c r="L1187" s="172">
        <f>IF('Оперативный ввод'!L1187="","",'Оперативный ввод'!L1187)</f>
        <v/>
      </c>
      <c r="M1187" s="172">
        <f>IF('Оперативный ввод'!M1187="","",'Оперативный ввод'!M1187)</f>
        <v/>
      </c>
      <c r="N1187" s="172">
        <f>IF('Оперативный ввод'!N1187="","",'Оперативный ввод'!N1187)</f>
        <v/>
      </c>
      <c r="O1187" s="172">
        <f>IF('Оперативный ввод'!O1187="","",'Оперативный ввод'!O1187)</f>
        <v/>
      </c>
      <c r="P1187" s="205">
        <f>IF(AND(A1187="",B1187=""),"",IF(AND(A1187&lt;&gt;"",B1187&lt;&gt;"",C1187&lt;&gt;"",D1187&lt;&gt;"",F1187&lt;&gt;"",G1187&lt;&gt;"",H1187&lt;&gt;"",ISERROR(SEARCH("по паспорту",G1187)),ISERROR(SEARCH("по паспорту",H1187)),I1187&lt;&gt;"",J1187&lt;&gt;"",K1187&lt;&gt;"",L1187&lt;&gt;"",M1187&lt;&gt;""),"ГОТОВО","НЕ ГОТОВО"))</f>
        <v/>
      </c>
      <c r="Q1187" s="205">
        <f>IF(P1187&lt;&gt;"ГОТОВО","", "Предварительное заключение: "&amp;A1187&amp;", скв. "&amp;B1187&amp;". МРП: "&amp;E1187&amp;" сут. ГНО: "&amp;F1187&amp;", типоразмер "&amp;G1187&amp;", марка "&amp;H1187&amp;". Событие: "&amp;I1187&amp;". Признак: "&amp;J1187&amp;". Узел: "&amp;K1187&amp;". Предварительная причина: "&amp;L1187&amp;". Основное осложнение: "&amp;M1187&amp;IF(N1187&lt;&gt;"","; сопутствующее: "&amp;N1187,"")&amp;IF(O1187&lt;&gt;"","; дополнительно: "&amp;O1187,"")&amp;".")</f>
        <v/>
      </c>
      <c r="R1187" s="172">
        <f>IF('Оперативный ввод'!P1187="","",'Оперативный ввод'!P1187)</f>
        <v/>
      </c>
      <c r="S1187" s="172">
        <f>IF('Оперативный ввод'!Q1187="","",'Оперативный ввод'!Q1187)</f>
        <v/>
      </c>
      <c r="T1187" s="172">
        <f>IF('Оперативный ввод'!R1187="","",'Оперативный ввод'!R1187)</f>
        <v/>
      </c>
      <c r="U1187" s="172">
        <f>IF('Оперативный ввод'!S1187="","",'Оперативный ввод'!S1187)</f>
        <v/>
      </c>
      <c r="V1187" s="172">
        <f>IF('Оперативный ввод'!T1187="","",'Оперативный ввод'!T1187)</f>
        <v/>
      </c>
      <c r="W1187" s="172" t="n"/>
      <c r="X1187" s="172" t="n"/>
      <c r="Y1187" s="172" t="n"/>
      <c r="Z1187" s="172" t="n"/>
      <c r="AA1187" s="172">
        <f>IF('Оперативный ввод'!U1187="","",'Оперативный ввод'!U1187)</f>
        <v/>
      </c>
      <c r="AB1187" s="172">
        <f>IF('Оперативный ввод'!V1187="","",'Оперативный ввод'!V1187)</f>
        <v/>
      </c>
      <c r="AC1187" s="172">
        <f>IF('Оперативный ввод'!W1187="","",'Оперативный ввод'!W1187)</f>
        <v/>
      </c>
      <c r="BB1187" s="172" t="n"/>
      <c r="BC1187" s="172" t="n"/>
      <c r="BD1187" s="205">
        <f>IF(AND(A1187="",B1187=""),"",IF(AND(P1187="ГОТОВО",R1187&lt;&gt;"",T1187&lt;&gt;"",U1187&lt;&gt;"",AA1187&lt;&gt;"",AB1187&lt;&gt;"",AC1187&lt;&gt;"",BB1187&lt;&gt;"",BC1187&lt;&gt;""),"ГОТОВО","НЕ ГОТОВО"))</f>
        <v/>
      </c>
      <c r="BE1187" s="205">
        <f>IF(BD1187&lt;&gt;"ГОТОВО","","Полное заключение: "&amp;A1187&amp;", скв. "&amp;B1187&amp;". МРП: "&amp;E1187&amp;" сут. ГНО: "&amp;F1187&amp;"; причина: "&amp;U1187&amp;"; категория: "&amp;V1187&amp;"; решение комиссии: "&amp;BB1187&amp;".")</f>
        <v/>
      </c>
      <c r="BF1187" s="173">
        <f>IF('Оперативный ввод'!X1187="","",'Оперативный ввод'!X1187)</f>
        <v/>
      </c>
    </row>
    <row r="1188">
      <c r="A1188" s="171">
        <f>IF('Оперативный ввод'!A1188="","",'Оперативный ввод'!A1188)</f>
        <v/>
      </c>
      <c r="B1188" s="172">
        <f>IF('Оперативный ввод'!B1188="","",'Оперативный ввод'!B1188)</f>
        <v/>
      </c>
      <c r="C1188" s="270">
        <f>IF('Оперативный ввод'!C1188="","",'Оперативный ввод'!C1188)</f>
        <v/>
      </c>
      <c r="D1188" s="270">
        <f>IF('Оперативный ввод'!D1188="","",'Оперативный ввод'!D1188)</f>
        <v/>
      </c>
      <c r="E1188" s="271">
        <f>IF(OR(C1188="",D1188=""),"",D1188-C1188)</f>
        <v/>
      </c>
      <c r="F1188" s="172">
        <f>IF('Оперативный ввод'!F1188="","",'Оперативный ввод'!F1188)</f>
        <v/>
      </c>
      <c r="G1188" s="172">
        <f>IF('Оперативный ввод'!G1188="","",'Оперативный ввод'!G1188)</f>
        <v/>
      </c>
      <c r="H1188" s="172">
        <f>IF('Оперативный ввод'!H1188="","",'Оперативный ввод'!H1188)</f>
        <v/>
      </c>
      <c r="I1188" s="172">
        <f>IF('Оперативный ввод'!I1188="","",'Оперативный ввод'!I1188)</f>
        <v/>
      </c>
      <c r="J1188" s="172">
        <f>IF('Оперативный ввод'!J1188="","",'Оперативный ввод'!J1188)</f>
        <v/>
      </c>
      <c r="K1188" s="172">
        <f>IF('Оперативный ввод'!K1188="","",'Оперативный ввод'!K1188)</f>
        <v/>
      </c>
      <c r="L1188" s="172">
        <f>IF('Оперативный ввод'!L1188="","",'Оперативный ввод'!L1188)</f>
        <v/>
      </c>
      <c r="M1188" s="172">
        <f>IF('Оперативный ввод'!M1188="","",'Оперативный ввод'!M1188)</f>
        <v/>
      </c>
      <c r="N1188" s="172">
        <f>IF('Оперативный ввод'!N1188="","",'Оперативный ввод'!N1188)</f>
        <v/>
      </c>
      <c r="O1188" s="172">
        <f>IF('Оперативный ввод'!O1188="","",'Оперативный ввод'!O1188)</f>
        <v/>
      </c>
      <c r="P1188" s="205">
        <f>IF(AND(A1188="",B1188=""),"",IF(AND(A1188&lt;&gt;"",B1188&lt;&gt;"",C1188&lt;&gt;"",D1188&lt;&gt;"",F1188&lt;&gt;"",G1188&lt;&gt;"",H1188&lt;&gt;"",ISERROR(SEARCH("по паспорту",G1188)),ISERROR(SEARCH("по паспорту",H1188)),I1188&lt;&gt;"",J1188&lt;&gt;"",K1188&lt;&gt;"",L1188&lt;&gt;"",M1188&lt;&gt;""),"ГОТОВО","НЕ ГОТОВО"))</f>
        <v/>
      </c>
      <c r="Q1188" s="205">
        <f>IF(P1188&lt;&gt;"ГОТОВО","", "Предварительное заключение: "&amp;A1188&amp;", скв. "&amp;B1188&amp;". МРП: "&amp;E1188&amp;" сут. ГНО: "&amp;F1188&amp;", типоразмер "&amp;G1188&amp;", марка "&amp;H1188&amp;". Событие: "&amp;I1188&amp;". Признак: "&amp;J1188&amp;". Узел: "&amp;K1188&amp;". Предварительная причина: "&amp;L1188&amp;". Основное осложнение: "&amp;M1188&amp;IF(N1188&lt;&gt;"","; сопутствующее: "&amp;N1188,"")&amp;IF(O1188&lt;&gt;"","; дополнительно: "&amp;O1188,"")&amp;".")</f>
        <v/>
      </c>
      <c r="R1188" s="172">
        <f>IF('Оперативный ввод'!P1188="","",'Оперативный ввод'!P1188)</f>
        <v/>
      </c>
      <c r="S1188" s="172">
        <f>IF('Оперативный ввод'!Q1188="","",'Оперативный ввод'!Q1188)</f>
        <v/>
      </c>
      <c r="T1188" s="172">
        <f>IF('Оперативный ввод'!R1188="","",'Оперативный ввод'!R1188)</f>
        <v/>
      </c>
      <c r="U1188" s="172">
        <f>IF('Оперативный ввод'!S1188="","",'Оперативный ввод'!S1188)</f>
        <v/>
      </c>
      <c r="V1188" s="172">
        <f>IF('Оперативный ввод'!T1188="","",'Оперативный ввод'!T1188)</f>
        <v/>
      </c>
      <c r="W1188" s="172" t="n"/>
      <c r="X1188" s="172" t="n"/>
      <c r="Y1188" s="172" t="n"/>
      <c r="Z1188" s="172" t="n"/>
      <c r="AA1188" s="172">
        <f>IF('Оперативный ввод'!U1188="","",'Оперативный ввод'!U1188)</f>
        <v/>
      </c>
      <c r="AB1188" s="172">
        <f>IF('Оперативный ввод'!V1188="","",'Оперативный ввод'!V1188)</f>
        <v/>
      </c>
      <c r="AC1188" s="172">
        <f>IF('Оперативный ввод'!W1188="","",'Оперативный ввод'!W1188)</f>
        <v/>
      </c>
      <c r="BB1188" s="172" t="n"/>
      <c r="BC1188" s="172" t="n"/>
      <c r="BD1188" s="205">
        <f>IF(AND(A1188="",B1188=""),"",IF(AND(P1188="ГОТОВО",R1188&lt;&gt;"",T1188&lt;&gt;"",U1188&lt;&gt;"",AA1188&lt;&gt;"",AB1188&lt;&gt;"",AC1188&lt;&gt;"",BB1188&lt;&gt;"",BC1188&lt;&gt;""),"ГОТОВО","НЕ ГОТОВО"))</f>
        <v/>
      </c>
      <c r="BE1188" s="205">
        <f>IF(BD1188&lt;&gt;"ГОТОВО","","Полное заключение: "&amp;A1188&amp;", скв. "&amp;B1188&amp;". МРП: "&amp;E1188&amp;" сут. ГНО: "&amp;F1188&amp;"; причина: "&amp;U1188&amp;"; категория: "&amp;V1188&amp;"; решение комиссии: "&amp;BB1188&amp;".")</f>
        <v/>
      </c>
      <c r="BF1188" s="173">
        <f>IF('Оперативный ввод'!X1188="","",'Оперативный ввод'!X1188)</f>
        <v/>
      </c>
    </row>
    <row r="1189">
      <c r="A1189" s="171">
        <f>IF('Оперативный ввод'!A1189="","",'Оперативный ввод'!A1189)</f>
        <v/>
      </c>
      <c r="B1189" s="172">
        <f>IF('Оперативный ввод'!B1189="","",'Оперативный ввод'!B1189)</f>
        <v/>
      </c>
      <c r="C1189" s="270">
        <f>IF('Оперативный ввод'!C1189="","",'Оперативный ввод'!C1189)</f>
        <v/>
      </c>
      <c r="D1189" s="270">
        <f>IF('Оперативный ввод'!D1189="","",'Оперативный ввод'!D1189)</f>
        <v/>
      </c>
      <c r="E1189" s="271">
        <f>IF(OR(C1189="",D1189=""),"",D1189-C1189)</f>
        <v/>
      </c>
      <c r="F1189" s="172">
        <f>IF('Оперативный ввод'!F1189="","",'Оперативный ввод'!F1189)</f>
        <v/>
      </c>
      <c r="G1189" s="172">
        <f>IF('Оперативный ввод'!G1189="","",'Оперативный ввод'!G1189)</f>
        <v/>
      </c>
      <c r="H1189" s="172">
        <f>IF('Оперативный ввод'!H1189="","",'Оперативный ввод'!H1189)</f>
        <v/>
      </c>
      <c r="I1189" s="172">
        <f>IF('Оперативный ввод'!I1189="","",'Оперативный ввод'!I1189)</f>
        <v/>
      </c>
      <c r="J1189" s="172">
        <f>IF('Оперативный ввод'!J1189="","",'Оперативный ввод'!J1189)</f>
        <v/>
      </c>
      <c r="K1189" s="172">
        <f>IF('Оперативный ввод'!K1189="","",'Оперативный ввод'!K1189)</f>
        <v/>
      </c>
      <c r="L1189" s="172">
        <f>IF('Оперативный ввод'!L1189="","",'Оперативный ввод'!L1189)</f>
        <v/>
      </c>
      <c r="M1189" s="172">
        <f>IF('Оперативный ввод'!M1189="","",'Оперативный ввод'!M1189)</f>
        <v/>
      </c>
      <c r="N1189" s="172">
        <f>IF('Оперативный ввод'!N1189="","",'Оперативный ввод'!N1189)</f>
        <v/>
      </c>
      <c r="O1189" s="172">
        <f>IF('Оперативный ввод'!O1189="","",'Оперативный ввод'!O1189)</f>
        <v/>
      </c>
      <c r="P1189" s="205">
        <f>IF(AND(A1189="",B1189=""),"",IF(AND(A1189&lt;&gt;"",B1189&lt;&gt;"",C1189&lt;&gt;"",D1189&lt;&gt;"",F1189&lt;&gt;"",G1189&lt;&gt;"",H1189&lt;&gt;"",ISERROR(SEARCH("по паспорту",G1189)),ISERROR(SEARCH("по паспорту",H1189)),I1189&lt;&gt;"",J1189&lt;&gt;"",K1189&lt;&gt;"",L1189&lt;&gt;"",M1189&lt;&gt;""),"ГОТОВО","НЕ ГОТОВО"))</f>
        <v/>
      </c>
      <c r="Q1189" s="205">
        <f>IF(P1189&lt;&gt;"ГОТОВО","", "Предварительное заключение: "&amp;A1189&amp;", скв. "&amp;B1189&amp;". МРП: "&amp;E1189&amp;" сут. ГНО: "&amp;F1189&amp;", типоразмер "&amp;G1189&amp;", марка "&amp;H1189&amp;". Событие: "&amp;I1189&amp;". Признак: "&amp;J1189&amp;". Узел: "&amp;K1189&amp;". Предварительная причина: "&amp;L1189&amp;". Основное осложнение: "&amp;M1189&amp;IF(N1189&lt;&gt;"","; сопутствующее: "&amp;N1189,"")&amp;IF(O1189&lt;&gt;"","; дополнительно: "&amp;O1189,"")&amp;".")</f>
        <v/>
      </c>
      <c r="R1189" s="172">
        <f>IF('Оперативный ввод'!P1189="","",'Оперативный ввод'!P1189)</f>
        <v/>
      </c>
      <c r="S1189" s="172">
        <f>IF('Оперативный ввод'!Q1189="","",'Оперативный ввод'!Q1189)</f>
        <v/>
      </c>
      <c r="T1189" s="172">
        <f>IF('Оперативный ввод'!R1189="","",'Оперативный ввод'!R1189)</f>
        <v/>
      </c>
      <c r="U1189" s="172">
        <f>IF('Оперативный ввод'!S1189="","",'Оперативный ввод'!S1189)</f>
        <v/>
      </c>
      <c r="V1189" s="172">
        <f>IF('Оперативный ввод'!T1189="","",'Оперативный ввод'!T1189)</f>
        <v/>
      </c>
      <c r="W1189" s="172" t="n"/>
      <c r="X1189" s="172" t="n"/>
      <c r="Y1189" s="172" t="n"/>
      <c r="Z1189" s="172" t="n"/>
      <c r="AA1189" s="172">
        <f>IF('Оперативный ввод'!U1189="","",'Оперативный ввод'!U1189)</f>
        <v/>
      </c>
      <c r="AB1189" s="172">
        <f>IF('Оперативный ввод'!V1189="","",'Оперативный ввод'!V1189)</f>
        <v/>
      </c>
      <c r="AC1189" s="172">
        <f>IF('Оперативный ввод'!W1189="","",'Оперативный ввод'!W1189)</f>
        <v/>
      </c>
      <c r="BB1189" s="172" t="n"/>
      <c r="BC1189" s="172" t="n"/>
      <c r="BD1189" s="205">
        <f>IF(AND(A1189="",B1189=""),"",IF(AND(P1189="ГОТОВО",R1189&lt;&gt;"",T1189&lt;&gt;"",U1189&lt;&gt;"",AA1189&lt;&gt;"",AB1189&lt;&gt;"",AC1189&lt;&gt;"",BB1189&lt;&gt;"",BC1189&lt;&gt;""),"ГОТОВО","НЕ ГОТОВО"))</f>
        <v/>
      </c>
      <c r="BE1189" s="205">
        <f>IF(BD1189&lt;&gt;"ГОТОВО","","Полное заключение: "&amp;A1189&amp;", скв. "&amp;B1189&amp;". МРП: "&amp;E1189&amp;" сут. ГНО: "&amp;F1189&amp;"; причина: "&amp;U1189&amp;"; категория: "&amp;V1189&amp;"; решение комиссии: "&amp;BB1189&amp;".")</f>
        <v/>
      </c>
      <c r="BF1189" s="173">
        <f>IF('Оперативный ввод'!X1189="","",'Оперативный ввод'!X1189)</f>
        <v/>
      </c>
    </row>
    <row r="1190">
      <c r="A1190" s="171">
        <f>IF('Оперативный ввод'!A1190="","",'Оперативный ввод'!A1190)</f>
        <v/>
      </c>
      <c r="B1190" s="172">
        <f>IF('Оперативный ввод'!B1190="","",'Оперативный ввод'!B1190)</f>
        <v/>
      </c>
      <c r="C1190" s="270">
        <f>IF('Оперативный ввод'!C1190="","",'Оперативный ввод'!C1190)</f>
        <v/>
      </c>
      <c r="D1190" s="270">
        <f>IF('Оперативный ввод'!D1190="","",'Оперативный ввод'!D1190)</f>
        <v/>
      </c>
      <c r="E1190" s="271">
        <f>IF(OR(C1190="",D1190=""),"",D1190-C1190)</f>
        <v/>
      </c>
      <c r="F1190" s="172">
        <f>IF('Оперативный ввод'!F1190="","",'Оперативный ввод'!F1190)</f>
        <v/>
      </c>
      <c r="G1190" s="172">
        <f>IF('Оперативный ввод'!G1190="","",'Оперативный ввод'!G1190)</f>
        <v/>
      </c>
      <c r="H1190" s="172">
        <f>IF('Оперативный ввод'!H1190="","",'Оперативный ввод'!H1190)</f>
        <v/>
      </c>
      <c r="I1190" s="172">
        <f>IF('Оперативный ввод'!I1190="","",'Оперативный ввод'!I1190)</f>
        <v/>
      </c>
      <c r="J1190" s="172">
        <f>IF('Оперативный ввод'!J1190="","",'Оперативный ввод'!J1190)</f>
        <v/>
      </c>
      <c r="K1190" s="172">
        <f>IF('Оперативный ввод'!K1190="","",'Оперативный ввод'!K1190)</f>
        <v/>
      </c>
      <c r="L1190" s="172">
        <f>IF('Оперативный ввод'!L1190="","",'Оперативный ввод'!L1190)</f>
        <v/>
      </c>
      <c r="M1190" s="172">
        <f>IF('Оперативный ввод'!M1190="","",'Оперативный ввод'!M1190)</f>
        <v/>
      </c>
      <c r="N1190" s="172">
        <f>IF('Оперативный ввод'!N1190="","",'Оперативный ввод'!N1190)</f>
        <v/>
      </c>
      <c r="O1190" s="172">
        <f>IF('Оперативный ввод'!O1190="","",'Оперативный ввод'!O1190)</f>
        <v/>
      </c>
      <c r="P1190" s="205">
        <f>IF(AND(A1190="",B1190=""),"",IF(AND(A1190&lt;&gt;"",B1190&lt;&gt;"",C1190&lt;&gt;"",D1190&lt;&gt;"",F1190&lt;&gt;"",G1190&lt;&gt;"",H1190&lt;&gt;"",ISERROR(SEARCH("по паспорту",G1190)),ISERROR(SEARCH("по паспорту",H1190)),I1190&lt;&gt;"",J1190&lt;&gt;"",K1190&lt;&gt;"",L1190&lt;&gt;"",M1190&lt;&gt;""),"ГОТОВО","НЕ ГОТОВО"))</f>
        <v/>
      </c>
      <c r="Q1190" s="205">
        <f>IF(P1190&lt;&gt;"ГОТОВО","", "Предварительное заключение: "&amp;A1190&amp;", скв. "&amp;B1190&amp;". МРП: "&amp;E1190&amp;" сут. ГНО: "&amp;F1190&amp;", типоразмер "&amp;G1190&amp;", марка "&amp;H1190&amp;". Событие: "&amp;I1190&amp;". Признак: "&amp;J1190&amp;". Узел: "&amp;K1190&amp;". Предварительная причина: "&amp;L1190&amp;". Основное осложнение: "&amp;M1190&amp;IF(N1190&lt;&gt;"","; сопутствующее: "&amp;N1190,"")&amp;IF(O1190&lt;&gt;"","; дополнительно: "&amp;O1190,"")&amp;".")</f>
        <v/>
      </c>
      <c r="R1190" s="172">
        <f>IF('Оперативный ввод'!P1190="","",'Оперативный ввод'!P1190)</f>
        <v/>
      </c>
      <c r="S1190" s="172">
        <f>IF('Оперативный ввод'!Q1190="","",'Оперативный ввод'!Q1190)</f>
        <v/>
      </c>
      <c r="T1190" s="172">
        <f>IF('Оперативный ввод'!R1190="","",'Оперативный ввод'!R1190)</f>
        <v/>
      </c>
      <c r="U1190" s="172">
        <f>IF('Оперативный ввод'!S1190="","",'Оперативный ввод'!S1190)</f>
        <v/>
      </c>
      <c r="V1190" s="172">
        <f>IF('Оперативный ввод'!T1190="","",'Оперативный ввод'!T1190)</f>
        <v/>
      </c>
      <c r="W1190" s="172" t="n"/>
      <c r="X1190" s="172" t="n"/>
      <c r="Y1190" s="172" t="n"/>
      <c r="Z1190" s="172" t="n"/>
      <c r="AA1190" s="172">
        <f>IF('Оперативный ввод'!U1190="","",'Оперативный ввод'!U1190)</f>
        <v/>
      </c>
      <c r="AB1190" s="172">
        <f>IF('Оперативный ввод'!V1190="","",'Оперативный ввод'!V1190)</f>
        <v/>
      </c>
      <c r="AC1190" s="172">
        <f>IF('Оперативный ввод'!W1190="","",'Оперативный ввод'!W1190)</f>
        <v/>
      </c>
      <c r="BB1190" s="172" t="n"/>
      <c r="BC1190" s="172" t="n"/>
      <c r="BD1190" s="205">
        <f>IF(AND(A1190="",B1190=""),"",IF(AND(P1190="ГОТОВО",R1190&lt;&gt;"",T1190&lt;&gt;"",U1190&lt;&gt;"",AA1190&lt;&gt;"",AB1190&lt;&gt;"",AC1190&lt;&gt;"",BB1190&lt;&gt;"",BC1190&lt;&gt;""),"ГОТОВО","НЕ ГОТОВО"))</f>
        <v/>
      </c>
      <c r="BE1190" s="205">
        <f>IF(BD1190&lt;&gt;"ГОТОВО","","Полное заключение: "&amp;A1190&amp;", скв. "&amp;B1190&amp;". МРП: "&amp;E1190&amp;" сут. ГНО: "&amp;F1190&amp;"; причина: "&amp;U1190&amp;"; категория: "&amp;V1190&amp;"; решение комиссии: "&amp;BB1190&amp;".")</f>
        <v/>
      </c>
      <c r="BF1190" s="173">
        <f>IF('Оперативный ввод'!X1190="","",'Оперативный ввод'!X1190)</f>
        <v/>
      </c>
    </row>
    <row r="1191">
      <c r="A1191" s="171">
        <f>IF('Оперативный ввод'!A1191="","",'Оперативный ввод'!A1191)</f>
        <v/>
      </c>
      <c r="B1191" s="172">
        <f>IF('Оперативный ввод'!B1191="","",'Оперативный ввод'!B1191)</f>
        <v/>
      </c>
      <c r="C1191" s="270">
        <f>IF('Оперативный ввод'!C1191="","",'Оперативный ввод'!C1191)</f>
        <v/>
      </c>
      <c r="D1191" s="270">
        <f>IF('Оперативный ввод'!D1191="","",'Оперативный ввод'!D1191)</f>
        <v/>
      </c>
      <c r="E1191" s="271">
        <f>IF(OR(C1191="",D1191=""),"",D1191-C1191)</f>
        <v/>
      </c>
      <c r="F1191" s="172">
        <f>IF('Оперативный ввод'!F1191="","",'Оперативный ввод'!F1191)</f>
        <v/>
      </c>
      <c r="G1191" s="172">
        <f>IF('Оперативный ввод'!G1191="","",'Оперативный ввод'!G1191)</f>
        <v/>
      </c>
      <c r="H1191" s="172">
        <f>IF('Оперативный ввод'!H1191="","",'Оперативный ввод'!H1191)</f>
        <v/>
      </c>
      <c r="I1191" s="172">
        <f>IF('Оперативный ввод'!I1191="","",'Оперативный ввод'!I1191)</f>
        <v/>
      </c>
      <c r="J1191" s="172">
        <f>IF('Оперативный ввод'!J1191="","",'Оперативный ввод'!J1191)</f>
        <v/>
      </c>
      <c r="K1191" s="172">
        <f>IF('Оперативный ввод'!K1191="","",'Оперативный ввод'!K1191)</f>
        <v/>
      </c>
      <c r="L1191" s="172">
        <f>IF('Оперативный ввод'!L1191="","",'Оперативный ввод'!L1191)</f>
        <v/>
      </c>
      <c r="M1191" s="172">
        <f>IF('Оперативный ввод'!M1191="","",'Оперативный ввод'!M1191)</f>
        <v/>
      </c>
      <c r="N1191" s="172">
        <f>IF('Оперативный ввод'!N1191="","",'Оперативный ввод'!N1191)</f>
        <v/>
      </c>
      <c r="O1191" s="172">
        <f>IF('Оперативный ввод'!O1191="","",'Оперативный ввод'!O1191)</f>
        <v/>
      </c>
      <c r="P1191" s="205">
        <f>IF(AND(A1191="",B1191=""),"",IF(AND(A1191&lt;&gt;"",B1191&lt;&gt;"",C1191&lt;&gt;"",D1191&lt;&gt;"",F1191&lt;&gt;"",G1191&lt;&gt;"",H1191&lt;&gt;"",ISERROR(SEARCH("по паспорту",G1191)),ISERROR(SEARCH("по паспорту",H1191)),I1191&lt;&gt;"",J1191&lt;&gt;"",K1191&lt;&gt;"",L1191&lt;&gt;"",M1191&lt;&gt;""),"ГОТОВО","НЕ ГОТОВО"))</f>
        <v/>
      </c>
      <c r="Q1191" s="205">
        <f>IF(P1191&lt;&gt;"ГОТОВО","", "Предварительное заключение: "&amp;A1191&amp;", скв. "&amp;B1191&amp;". МРП: "&amp;E1191&amp;" сут. ГНО: "&amp;F1191&amp;", типоразмер "&amp;G1191&amp;", марка "&amp;H1191&amp;". Событие: "&amp;I1191&amp;". Признак: "&amp;J1191&amp;". Узел: "&amp;K1191&amp;". Предварительная причина: "&amp;L1191&amp;". Основное осложнение: "&amp;M1191&amp;IF(N1191&lt;&gt;"","; сопутствующее: "&amp;N1191,"")&amp;IF(O1191&lt;&gt;"","; дополнительно: "&amp;O1191,"")&amp;".")</f>
        <v/>
      </c>
      <c r="R1191" s="172">
        <f>IF('Оперативный ввод'!P1191="","",'Оперативный ввод'!P1191)</f>
        <v/>
      </c>
      <c r="S1191" s="172">
        <f>IF('Оперативный ввод'!Q1191="","",'Оперативный ввод'!Q1191)</f>
        <v/>
      </c>
      <c r="T1191" s="172">
        <f>IF('Оперативный ввод'!R1191="","",'Оперативный ввод'!R1191)</f>
        <v/>
      </c>
      <c r="U1191" s="172">
        <f>IF('Оперативный ввод'!S1191="","",'Оперативный ввод'!S1191)</f>
        <v/>
      </c>
      <c r="V1191" s="172">
        <f>IF('Оперативный ввод'!T1191="","",'Оперативный ввод'!T1191)</f>
        <v/>
      </c>
      <c r="W1191" s="172" t="n"/>
      <c r="X1191" s="172" t="n"/>
      <c r="Y1191" s="172" t="n"/>
      <c r="Z1191" s="172" t="n"/>
      <c r="AA1191" s="172">
        <f>IF('Оперативный ввод'!U1191="","",'Оперативный ввод'!U1191)</f>
        <v/>
      </c>
      <c r="AB1191" s="172">
        <f>IF('Оперативный ввод'!V1191="","",'Оперативный ввод'!V1191)</f>
        <v/>
      </c>
      <c r="AC1191" s="172">
        <f>IF('Оперативный ввод'!W1191="","",'Оперативный ввод'!W1191)</f>
        <v/>
      </c>
      <c r="BB1191" s="172" t="n"/>
      <c r="BC1191" s="172" t="n"/>
      <c r="BD1191" s="205">
        <f>IF(AND(A1191="",B1191=""),"",IF(AND(P1191="ГОТОВО",R1191&lt;&gt;"",T1191&lt;&gt;"",U1191&lt;&gt;"",AA1191&lt;&gt;"",AB1191&lt;&gt;"",AC1191&lt;&gt;"",BB1191&lt;&gt;"",BC1191&lt;&gt;""),"ГОТОВО","НЕ ГОТОВО"))</f>
        <v/>
      </c>
      <c r="BE1191" s="205">
        <f>IF(BD1191&lt;&gt;"ГОТОВО","","Полное заключение: "&amp;A1191&amp;", скв. "&amp;B1191&amp;". МРП: "&amp;E1191&amp;" сут. ГНО: "&amp;F1191&amp;"; причина: "&amp;U1191&amp;"; категория: "&amp;V1191&amp;"; решение комиссии: "&amp;BB1191&amp;".")</f>
        <v/>
      </c>
      <c r="BF1191" s="173">
        <f>IF('Оперативный ввод'!X1191="","",'Оперативный ввод'!X1191)</f>
        <v/>
      </c>
    </row>
    <row r="1192">
      <c r="A1192" s="171">
        <f>IF('Оперативный ввод'!A1192="","",'Оперативный ввод'!A1192)</f>
        <v/>
      </c>
      <c r="B1192" s="172">
        <f>IF('Оперативный ввод'!B1192="","",'Оперативный ввод'!B1192)</f>
        <v/>
      </c>
      <c r="C1192" s="270">
        <f>IF('Оперативный ввод'!C1192="","",'Оперативный ввод'!C1192)</f>
        <v/>
      </c>
      <c r="D1192" s="270">
        <f>IF('Оперативный ввод'!D1192="","",'Оперативный ввод'!D1192)</f>
        <v/>
      </c>
      <c r="E1192" s="271">
        <f>IF(OR(C1192="",D1192=""),"",D1192-C1192)</f>
        <v/>
      </c>
      <c r="F1192" s="172">
        <f>IF('Оперативный ввод'!F1192="","",'Оперативный ввод'!F1192)</f>
        <v/>
      </c>
      <c r="G1192" s="172">
        <f>IF('Оперативный ввод'!G1192="","",'Оперативный ввод'!G1192)</f>
        <v/>
      </c>
      <c r="H1192" s="172">
        <f>IF('Оперативный ввод'!H1192="","",'Оперативный ввод'!H1192)</f>
        <v/>
      </c>
      <c r="I1192" s="172">
        <f>IF('Оперативный ввод'!I1192="","",'Оперативный ввод'!I1192)</f>
        <v/>
      </c>
      <c r="J1192" s="172">
        <f>IF('Оперативный ввод'!J1192="","",'Оперативный ввод'!J1192)</f>
        <v/>
      </c>
      <c r="K1192" s="172">
        <f>IF('Оперативный ввод'!K1192="","",'Оперативный ввод'!K1192)</f>
        <v/>
      </c>
      <c r="L1192" s="172">
        <f>IF('Оперативный ввод'!L1192="","",'Оперативный ввод'!L1192)</f>
        <v/>
      </c>
      <c r="M1192" s="172">
        <f>IF('Оперативный ввод'!M1192="","",'Оперативный ввод'!M1192)</f>
        <v/>
      </c>
      <c r="N1192" s="172">
        <f>IF('Оперативный ввод'!N1192="","",'Оперативный ввод'!N1192)</f>
        <v/>
      </c>
      <c r="O1192" s="172">
        <f>IF('Оперативный ввод'!O1192="","",'Оперативный ввод'!O1192)</f>
        <v/>
      </c>
      <c r="P1192" s="205">
        <f>IF(AND(A1192="",B1192=""),"",IF(AND(A1192&lt;&gt;"",B1192&lt;&gt;"",C1192&lt;&gt;"",D1192&lt;&gt;"",F1192&lt;&gt;"",G1192&lt;&gt;"",H1192&lt;&gt;"",ISERROR(SEARCH("по паспорту",G1192)),ISERROR(SEARCH("по паспорту",H1192)),I1192&lt;&gt;"",J1192&lt;&gt;"",K1192&lt;&gt;"",L1192&lt;&gt;"",M1192&lt;&gt;""),"ГОТОВО","НЕ ГОТОВО"))</f>
        <v/>
      </c>
      <c r="Q1192" s="205">
        <f>IF(P1192&lt;&gt;"ГОТОВО","", "Предварительное заключение: "&amp;A1192&amp;", скв. "&amp;B1192&amp;". МРП: "&amp;E1192&amp;" сут. ГНО: "&amp;F1192&amp;", типоразмер "&amp;G1192&amp;", марка "&amp;H1192&amp;". Событие: "&amp;I1192&amp;". Признак: "&amp;J1192&amp;". Узел: "&amp;K1192&amp;". Предварительная причина: "&amp;L1192&amp;". Основное осложнение: "&amp;M1192&amp;IF(N1192&lt;&gt;"","; сопутствующее: "&amp;N1192,"")&amp;IF(O1192&lt;&gt;"","; дополнительно: "&amp;O1192,"")&amp;".")</f>
        <v/>
      </c>
      <c r="R1192" s="172">
        <f>IF('Оперативный ввод'!P1192="","",'Оперативный ввод'!P1192)</f>
        <v/>
      </c>
      <c r="S1192" s="172">
        <f>IF('Оперативный ввод'!Q1192="","",'Оперативный ввод'!Q1192)</f>
        <v/>
      </c>
      <c r="T1192" s="172">
        <f>IF('Оперативный ввод'!R1192="","",'Оперативный ввод'!R1192)</f>
        <v/>
      </c>
      <c r="U1192" s="172">
        <f>IF('Оперативный ввод'!S1192="","",'Оперативный ввод'!S1192)</f>
        <v/>
      </c>
      <c r="V1192" s="172">
        <f>IF('Оперативный ввод'!T1192="","",'Оперативный ввод'!T1192)</f>
        <v/>
      </c>
      <c r="W1192" s="172" t="n"/>
      <c r="X1192" s="172" t="n"/>
      <c r="Y1192" s="172" t="n"/>
      <c r="Z1192" s="172" t="n"/>
      <c r="AA1192" s="172">
        <f>IF('Оперативный ввод'!U1192="","",'Оперативный ввод'!U1192)</f>
        <v/>
      </c>
      <c r="AB1192" s="172">
        <f>IF('Оперативный ввод'!V1192="","",'Оперативный ввод'!V1192)</f>
        <v/>
      </c>
      <c r="AC1192" s="172">
        <f>IF('Оперативный ввод'!W1192="","",'Оперативный ввод'!W1192)</f>
        <v/>
      </c>
      <c r="BB1192" s="172" t="n"/>
      <c r="BC1192" s="172" t="n"/>
      <c r="BD1192" s="205">
        <f>IF(AND(A1192="",B1192=""),"",IF(AND(P1192="ГОТОВО",R1192&lt;&gt;"",T1192&lt;&gt;"",U1192&lt;&gt;"",AA1192&lt;&gt;"",AB1192&lt;&gt;"",AC1192&lt;&gt;"",BB1192&lt;&gt;"",BC1192&lt;&gt;""),"ГОТОВО","НЕ ГОТОВО"))</f>
        <v/>
      </c>
      <c r="BE1192" s="205">
        <f>IF(BD1192&lt;&gt;"ГОТОВО","","Полное заключение: "&amp;A1192&amp;", скв. "&amp;B1192&amp;". МРП: "&amp;E1192&amp;" сут. ГНО: "&amp;F1192&amp;"; причина: "&amp;U1192&amp;"; категория: "&amp;V1192&amp;"; решение комиссии: "&amp;BB1192&amp;".")</f>
        <v/>
      </c>
      <c r="BF1192" s="173">
        <f>IF('Оперативный ввод'!X1192="","",'Оперативный ввод'!X1192)</f>
        <v/>
      </c>
    </row>
    <row r="1193">
      <c r="A1193" s="171">
        <f>IF('Оперативный ввод'!A1193="","",'Оперативный ввод'!A1193)</f>
        <v/>
      </c>
      <c r="B1193" s="172">
        <f>IF('Оперативный ввод'!B1193="","",'Оперативный ввод'!B1193)</f>
        <v/>
      </c>
      <c r="C1193" s="270">
        <f>IF('Оперативный ввод'!C1193="","",'Оперативный ввод'!C1193)</f>
        <v/>
      </c>
      <c r="D1193" s="270">
        <f>IF('Оперативный ввод'!D1193="","",'Оперативный ввод'!D1193)</f>
        <v/>
      </c>
      <c r="E1193" s="271">
        <f>IF(OR(C1193="",D1193=""),"",D1193-C1193)</f>
        <v/>
      </c>
      <c r="F1193" s="172">
        <f>IF('Оперативный ввод'!F1193="","",'Оперативный ввод'!F1193)</f>
        <v/>
      </c>
      <c r="G1193" s="172">
        <f>IF('Оперативный ввод'!G1193="","",'Оперативный ввод'!G1193)</f>
        <v/>
      </c>
      <c r="H1193" s="172">
        <f>IF('Оперативный ввод'!H1193="","",'Оперативный ввод'!H1193)</f>
        <v/>
      </c>
      <c r="I1193" s="172">
        <f>IF('Оперативный ввод'!I1193="","",'Оперативный ввод'!I1193)</f>
        <v/>
      </c>
      <c r="J1193" s="172">
        <f>IF('Оперативный ввод'!J1193="","",'Оперативный ввод'!J1193)</f>
        <v/>
      </c>
      <c r="K1193" s="172">
        <f>IF('Оперативный ввод'!K1193="","",'Оперативный ввод'!K1193)</f>
        <v/>
      </c>
      <c r="L1193" s="172">
        <f>IF('Оперативный ввод'!L1193="","",'Оперативный ввод'!L1193)</f>
        <v/>
      </c>
      <c r="M1193" s="172">
        <f>IF('Оперативный ввод'!M1193="","",'Оперативный ввод'!M1193)</f>
        <v/>
      </c>
      <c r="N1193" s="172">
        <f>IF('Оперативный ввод'!N1193="","",'Оперативный ввод'!N1193)</f>
        <v/>
      </c>
      <c r="O1193" s="172">
        <f>IF('Оперативный ввод'!O1193="","",'Оперативный ввод'!O1193)</f>
        <v/>
      </c>
      <c r="P1193" s="205">
        <f>IF(AND(A1193="",B1193=""),"",IF(AND(A1193&lt;&gt;"",B1193&lt;&gt;"",C1193&lt;&gt;"",D1193&lt;&gt;"",F1193&lt;&gt;"",G1193&lt;&gt;"",H1193&lt;&gt;"",ISERROR(SEARCH("по паспорту",G1193)),ISERROR(SEARCH("по паспорту",H1193)),I1193&lt;&gt;"",J1193&lt;&gt;"",K1193&lt;&gt;"",L1193&lt;&gt;"",M1193&lt;&gt;""),"ГОТОВО","НЕ ГОТОВО"))</f>
        <v/>
      </c>
      <c r="Q1193" s="205">
        <f>IF(P1193&lt;&gt;"ГОТОВО","", "Предварительное заключение: "&amp;A1193&amp;", скв. "&amp;B1193&amp;". МРП: "&amp;E1193&amp;" сут. ГНО: "&amp;F1193&amp;", типоразмер "&amp;G1193&amp;", марка "&amp;H1193&amp;". Событие: "&amp;I1193&amp;". Признак: "&amp;J1193&amp;". Узел: "&amp;K1193&amp;". Предварительная причина: "&amp;L1193&amp;". Основное осложнение: "&amp;M1193&amp;IF(N1193&lt;&gt;"","; сопутствующее: "&amp;N1193,"")&amp;IF(O1193&lt;&gt;"","; дополнительно: "&amp;O1193,"")&amp;".")</f>
        <v/>
      </c>
      <c r="R1193" s="172">
        <f>IF('Оперативный ввод'!P1193="","",'Оперативный ввод'!P1193)</f>
        <v/>
      </c>
      <c r="S1193" s="172">
        <f>IF('Оперативный ввод'!Q1193="","",'Оперативный ввод'!Q1193)</f>
        <v/>
      </c>
      <c r="T1193" s="172">
        <f>IF('Оперативный ввод'!R1193="","",'Оперативный ввод'!R1193)</f>
        <v/>
      </c>
      <c r="U1193" s="172">
        <f>IF('Оперативный ввод'!S1193="","",'Оперативный ввод'!S1193)</f>
        <v/>
      </c>
      <c r="V1193" s="172">
        <f>IF('Оперативный ввод'!T1193="","",'Оперативный ввод'!T1193)</f>
        <v/>
      </c>
      <c r="W1193" s="172" t="n"/>
      <c r="X1193" s="172" t="n"/>
      <c r="Y1193" s="172" t="n"/>
      <c r="Z1193" s="172" t="n"/>
      <c r="AA1193" s="172">
        <f>IF('Оперативный ввод'!U1193="","",'Оперативный ввод'!U1193)</f>
        <v/>
      </c>
      <c r="AB1193" s="172">
        <f>IF('Оперативный ввод'!V1193="","",'Оперативный ввод'!V1193)</f>
        <v/>
      </c>
      <c r="AC1193" s="172">
        <f>IF('Оперативный ввод'!W1193="","",'Оперативный ввод'!W1193)</f>
        <v/>
      </c>
      <c r="BB1193" s="172" t="n"/>
      <c r="BC1193" s="172" t="n"/>
      <c r="BD1193" s="205">
        <f>IF(AND(A1193="",B1193=""),"",IF(AND(P1193="ГОТОВО",R1193&lt;&gt;"",T1193&lt;&gt;"",U1193&lt;&gt;"",AA1193&lt;&gt;"",AB1193&lt;&gt;"",AC1193&lt;&gt;"",BB1193&lt;&gt;"",BC1193&lt;&gt;""),"ГОТОВО","НЕ ГОТОВО"))</f>
        <v/>
      </c>
      <c r="BE1193" s="205">
        <f>IF(BD1193&lt;&gt;"ГОТОВО","","Полное заключение: "&amp;A1193&amp;", скв. "&amp;B1193&amp;". МРП: "&amp;E1193&amp;" сут. ГНО: "&amp;F1193&amp;"; причина: "&amp;U1193&amp;"; категория: "&amp;V1193&amp;"; решение комиссии: "&amp;BB1193&amp;".")</f>
        <v/>
      </c>
      <c r="BF1193" s="173">
        <f>IF('Оперативный ввод'!X1193="","",'Оперативный ввод'!X1193)</f>
        <v/>
      </c>
    </row>
    <row r="1194">
      <c r="A1194" s="171">
        <f>IF('Оперативный ввод'!A1194="","",'Оперативный ввод'!A1194)</f>
        <v/>
      </c>
      <c r="B1194" s="172">
        <f>IF('Оперативный ввод'!B1194="","",'Оперативный ввод'!B1194)</f>
        <v/>
      </c>
      <c r="C1194" s="270">
        <f>IF('Оперативный ввод'!C1194="","",'Оперативный ввод'!C1194)</f>
        <v/>
      </c>
      <c r="D1194" s="270">
        <f>IF('Оперативный ввод'!D1194="","",'Оперативный ввод'!D1194)</f>
        <v/>
      </c>
      <c r="E1194" s="271">
        <f>IF(OR(C1194="",D1194=""),"",D1194-C1194)</f>
        <v/>
      </c>
      <c r="F1194" s="172">
        <f>IF('Оперативный ввод'!F1194="","",'Оперативный ввод'!F1194)</f>
        <v/>
      </c>
      <c r="G1194" s="172">
        <f>IF('Оперативный ввод'!G1194="","",'Оперативный ввод'!G1194)</f>
        <v/>
      </c>
      <c r="H1194" s="172">
        <f>IF('Оперативный ввод'!H1194="","",'Оперативный ввод'!H1194)</f>
        <v/>
      </c>
      <c r="I1194" s="172">
        <f>IF('Оперативный ввод'!I1194="","",'Оперативный ввод'!I1194)</f>
        <v/>
      </c>
      <c r="J1194" s="172">
        <f>IF('Оперативный ввод'!J1194="","",'Оперативный ввод'!J1194)</f>
        <v/>
      </c>
      <c r="K1194" s="172">
        <f>IF('Оперативный ввод'!K1194="","",'Оперативный ввод'!K1194)</f>
        <v/>
      </c>
      <c r="L1194" s="172">
        <f>IF('Оперативный ввод'!L1194="","",'Оперативный ввод'!L1194)</f>
        <v/>
      </c>
      <c r="M1194" s="172">
        <f>IF('Оперативный ввод'!M1194="","",'Оперативный ввод'!M1194)</f>
        <v/>
      </c>
      <c r="N1194" s="172">
        <f>IF('Оперативный ввод'!N1194="","",'Оперативный ввод'!N1194)</f>
        <v/>
      </c>
      <c r="O1194" s="172">
        <f>IF('Оперативный ввод'!O1194="","",'Оперативный ввод'!O1194)</f>
        <v/>
      </c>
      <c r="P1194" s="205">
        <f>IF(AND(A1194="",B1194=""),"",IF(AND(A1194&lt;&gt;"",B1194&lt;&gt;"",C1194&lt;&gt;"",D1194&lt;&gt;"",F1194&lt;&gt;"",G1194&lt;&gt;"",H1194&lt;&gt;"",ISERROR(SEARCH("по паспорту",G1194)),ISERROR(SEARCH("по паспорту",H1194)),I1194&lt;&gt;"",J1194&lt;&gt;"",K1194&lt;&gt;"",L1194&lt;&gt;"",M1194&lt;&gt;""),"ГОТОВО","НЕ ГОТОВО"))</f>
        <v/>
      </c>
      <c r="Q1194" s="205">
        <f>IF(P1194&lt;&gt;"ГОТОВО","", "Предварительное заключение: "&amp;A1194&amp;", скв. "&amp;B1194&amp;". МРП: "&amp;E1194&amp;" сут. ГНО: "&amp;F1194&amp;", типоразмер "&amp;G1194&amp;", марка "&amp;H1194&amp;". Событие: "&amp;I1194&amp;". Признак: "&amp;J1194&amp;". Узел: "&amp;K1194&amp;". Предварительная причина: "&amp;L1194&amp;". Основное осложнение: "&amp;M1194&amp;IF(N1194&lt;&gt;"","; сопутствующее: "&amp;N1194,"")&amp;IF(O1194&lt;&gt;"","; дополнительно: "&amp;O1194,"")&amp;".")</f>
        <v/>
      </c>
      <c r="R1194" s="172">
        <f>IF('Оперативный ввод'!P1194="","",'Оперативный ввод'!P1194)</f>
        <v/>
      </c>
      <c r="S1194" s="172">
        <f>IF('Оперативный ввод'!Q1194="","",'Оперативный ввод'!Q1194)</f>
        <v/>
      </c>
      <c r="T1194" s="172">
        <f>IF('Оперативный ввод'!R1194="","",'Оперативный ввод'!R1194)</f>
        <v/>
      </c>
      <c r="U1194" s="172">
        <f>IF('Оперативный ввод'!S1194="","",'Оперативный ввод'!S1194)</f>
        <v/>
      </c>
      <c r="V1194" s="172">
        <f>IF('Оперативный ввод'!T1194="","",'Оперативный ввод'!T1194)</f>
        <v/>
      </c>
      <c r="W1194" s="172" t="n"/>
      <c r="X1194" s="172" t="n"/>
      <c r="Y1194" s="172" t="n"/>
      <c r="Z1194" s="172" t="n"/>
      <c r="AA1194" s="172">
        <f>IF('Оперативный ввод'!U1194="","",'Оперативный ввод'!U1194)</f>
        <v/>
      </c>
      <c r="AB1194" s="172">
        <f>IF('Оперативный ввод'!V1194="","",'Оперативный ввод'!V1194)</f>
        <v/>
      </c>
      <c r="AC1194" s="172">
        <f>IF('Оперативный ввод'!W1194="","",'Оперативный ввод'!W1194)</f>
        <v/>
      </c>
      <c r="BB1194" s="172" t="n"/>
      <c r="BC1194" s="172" t="n"/>
      <c r="BD1194" s="205">
        <f>IF(AND(A1194="",B1194=""),"",IF(AND(P1194="ГОТОВО",R1194&lt;&gt;"",T1194&lt;&gt;"",U1194&lt;&gt;"",AA1194&lt;&gt;"",AB1194&lt;&gt;"",AC1194&lt;&gt;"",BB1194&lt;&gt;"",BC1194&lt;&gt;""),"ГОТОВО","НЕ ГОТОВО"))</f>
        <v/>
      </c>
      <c r="BE1194" s="205">
        <f>IF(BD1194&lt;&gt;"ГОТОВО","","Полное заключение: "&amp;A1194&amp;", скв. "&amp;B1194&amp;". МРП: "&amp;E1194&amp;" сут. ГНО: "&amp;F1194&amp;"; причина: "&amp;U1194&amp;"; категория: "&amp;V1194&amp;"; решение комиссии: "&amp;BB1194&amp;".")</f>
        <v/>
      </c>
      <c r="BF1194" s="173">
        <f>IF('Оперативный ввод'!X1194="","",'Оперативный ввод'!X1194)</f>
        <v/>
      </c>
    </row>
    <row r="1195">
      <c r="A1195" s="171">
        <f>IF('Оперативный ввод'!A1195="","",'Оперативный ввод'!A1195)</f>
        <v/>
      </c>
      <c r="B1195" s="172">
        <f>IF('Оперативный ввод'!B1195="","",'Оперативный ввод'!B1195)</f>
        <v/>
      </c>
      <c r="C1195" s="270">
        <f>IF('Оперативный ввод'!C1195="","",'Оперативный ввод'!C1195)</f>
        <v/>
      </c>
      <c r="D1195" s="270">
        <f>IF('Оперативный ввод'!D1195="","",'Оперативный ввод'!D1195)</f>
        <v/>
      </c>
      <c r="E1195" s="271">
        <f>IF(OR(C1195="",D1195=""),"",D1195-C1195)</f>
        <v/>
      </c>
      <c r="F1195" s="172">
        <f>IF('Оперативный ввод'!F1195="","",'Оперативный ввод'!F1195)</f>
        <v/>
      </c>
      <c r="G1195" s="172">
        <f>IF('Оперативный ввод'!G1195="","",'Оперативный ввод'!G1195)</f>
        <v/>
      </c>
      <c r="H1195" s="172">
        <f>IF('Оперативный ввод'!H1195="","",'Оперативный ввод'!H1195)</f>
        <v/>
      </c>
      <c r="I1195" s="172">
        <f>IF('Оперативный ввод'!I1195="","",'Оперативный ввод'!I1195)</f>
        <v/>
      </c>
      <c r="J1195" s="172">
        <f>IF('Оперативный ввод'!J1195="","",'Оперативный ввод'!J1195)</f>
        <v/>
      </c>
      <c r="K1195" s="172">
        <f>IF('Оперативный ввод'!K1195="","",'Оперативный ввод'!K1195)</f>
        <v/>
      </c>
      <c r="L1195" s="172">
        <f>IF('Оперативный ввод'!L1195="","",'Оперативный ввод'!L1195)</f>
        <v/>
      </c>
      <c r="M1195" s="172">
        <f>IF('Оперативный ввод'!M1195="","",'Оперативный ввод'!M1195)</f>
        <v/>
      </c>
      <c r="N1195" s="172">
        <f>IF('Оперативный ввод'!N1195="","",'Оперативный ввод'!N1195)</f>
        <v/>
      </c>
      <c r="O1195" s="172">
        <f>IF('Оперативный ввод'!O1195="","",'Оперативный ввод'!O1195)</f>
        <v/>
      </c>
      <c r="P1195" s="205">
        <f>IF(AND(A1195="",B1195=""),"",IF(AND(A1195&lt;&gt;"",B1195&lt;&gt;"",C1195&lt;&gt;"",D1195&lt;&gt;"",F1195&lt;&gt;"",G1195&lt;&gt;"",H1195&lt;&gt;"",ISERROR(SEARCH("по паспорту",G1195)),ISERROR(SEARCH("по паспорту",H1195)),I1195&lt;&gt;"",J1195&lt;&gt;"",K1195&lt;&gt;"",L1195&lt;&gt;"",M1195&lt;&gt;""),"ГОТОВО","НЕ ГОТОВО"))</f>
        <v/>
      </c>
      <c r="Q1195" s="205">
        <f>IF(P1195&lt;&gt;"ГОТОВО","", "Предварительное заключение: "&amp;A1195&amp;", скв. "&amp;B1195&amp;". МРП: "&amp;E1195&amp;" сут. ГНО: "&amp;F1195&amp;", типоразмер "&amp;G1195&amp;", марка "&amp;H1195&amp;". Событие: "&amp;I1195&amp;". Признак: "&amp;J1195&amp;". Узел: "&amp;K1195&amp;". Предварительная причина: "&amp;L1195&amp;". Основное осложнение: "&amp;M1195&amp;IF(N1195&lt;&gt;"","; сопутствующее: "&amp;N1195,"")&amp;IF(O1195&lt;&gt;"","; дополнительно: "&amp;O1195,"")&amp;".")</f>
        <v/>
      </c>
      <c r="R1195" s="172">
        <f>IF('Оперативный ввод'!P1195="","",'Оперативный ввод'!P1195)</f>
        <v/>
      </c>
      <c r="S1195" s="172">
        <f>IF('Оперативный ввод'!Q1195="","",'Оперативный ввод'!Q1195)</f>
        <v/>
      </c>
      <c r="T1195" s="172">
        <f>IF('Оперативный ввод'!R1195="","",'Оперативный ввод'!R1195)</f>
        <v/>
      </c>
      <c r="U1195" s="172">
        <f>IF('Оперативный ввод'!S1195="","",'Оперативный ввод'!S1195)</f>
        <v/>
      </c>
      <c r="V1195" s="172">
        <f>IF('Оперативный ввод'!T1195="","",'Оперативный ввод'!T1195)</f>
        <v/>
      </c>
      <c r="W1195" s="172" t="n"/>
      <c r="X1195" s="172" t="n"/>
      <c r="Y1195" s="172" t="n"/>
      <c r="Z1195" s="172" t="n"/>
      <c r="AA1195" s="172">
        <f>IF('Оперативный ввод'!U1195="","",'Оперативный ввод'!U1195)</f>
        <v/>
      </c>
      <c r="AB1195" s="172">
        <f>IF('Оперативный ввод'!V1195="","",'Оперативный ввод'!V1195)</f>
        <v/>
      </c>
      <c r="AC1195" s="172">
        <f>IF('Оперативный ввод'!W1195="","",'Оперативный ввод'!W1195)</f>
        <v/>
      </c>
      <c r="BB1195" s="172" t="n"/>
      <c r="BC1195" s="172" t="n"/>
      <c r="BD1195" s="205">
        <f>IF(AND(A1195="",B1195=""),"",IF(AND(P1195="ГОТОВО",R1195&lt;&gt;"",T1195&lt;&gt;"",U1195&lt;&gt;"",AA1195&lt;&gt;"",AB1195&lt;&gt;"",AC1195&lt;&gt;"",BB1195&lt;&gt;"",BC1195&lt;&gt;""),"ГОТОВО","НЕ ГОТОВО"))</f>
        <v/>
      </c>
      <c r="BE1195" s="205">
        <f>IF(BD1195&lt;&gt;"ГОТОВО","","Полное заключение: "&amp;A1195&amp;", скв. "&amp;B1195&amp;". МРП: "&amp;E1195&amp;" сут. ГНО: "&amp;F1195&amp;"; причина: "&amp;U1195&amp;"; категория: "&amp;V1195&amp;"; решение комиссии: "&amp;BB1195&amp;".")</f>
        <v/>
      </c>
      <c r="BF1195" s="173">
        <f>IF('Оперативный ввод'!X1195="","",'Оперативный ввод'!X1195)</f>
        <v/>
      </c>
    </row>
    <row r="1196">
      <c r="A1196" s="171">
        <f>IF('Оперативный ввод'!A1196="","",'Оперативный ввод'!A1196)</f>
        <v/>
      </c>
      <c r="B1196" s="172">
        <f>IF('Оперативный ввод'!B1196="","",'Оперативный ввод'!B1196)</f>
        <v/>
      </c>
      <c r="C1196" s="270">
        <f>IF('Оперативный ввод'!C1196="","",'Оперативный ввод'!C1196)</f>
        <v/>
      </c>
      <c r="D1196" s="270">
        <f>IF('Оперативный ввод'!D1196="","",'Оперативный ввод'!D1196)</f>
        <v/>
      </c>
      <c r="E1196" s="271">
        <f>IF(OR(C1196="",D1196=""),"",D1196-C1196)</f>
        <v/>
      </c>
      <c r="F1196" s="172">
        <f>IF('Оперативный ввод'!F1196="","",'Оперативный ввод'!F1196)</f>
        <v/>
      </c>
      <c r="G1196" s="172">
        <f>IF('Оперативный ввод'!G1196="","",'Оперативный ввод'!G1196)</f>
        <v/>
      </c>
      <c r="H1196" s="172">
        <f>IF('Оперативный ввод'!H1196="","",'Оперативный ввод'!H1196)</f>
        <v/>
      </c>
      <c r="I1196" s="172">
        <f>IF('Оперативный ввод'!I1196="","",'Оперативный ввод'!I1196)</f>
        <v/>
      </c>
      <c r="J1196" s="172">
        <f>IF('Оперативный ввод'!J1196="","",'Оперативный ввод'!J1196)</f>
        <v/>
      </c>
      <c r="K1196" s="172">
        <f>IF('Оперативный ввод'!K1196="","",'Оперативный ввод'!K1196)</f>
        <v/>
      </c>
      <c r="L1196" s="172">
        <f>IF('Оперативный ввод'!L1196="","",'Оперативный ввод'!L1196)</f>
        <v/>
      </c>
      <c r="M1196" s="172">
        <f>IF('Оперативный ввод'!M1196="","",'Оперативный ввод'!M1196)</f>
        <v/>
      </c>
      <c r="N1196" s="172">
        <f>IF('Оперативный ввод'!N1196="","",'Оперативный ввод'!N1196)</f>
        <v/>
      </c>
      <c r="O1196" s="172">
        <f>IF('Оперативный ввод'!O1196="","",'Оперативный ввод'!O1196)</f>
        <v/>
      </c>
      <c r="P1196" s="205">
        <f>IF(AND(A1196="",B1196=""),"",IF(AND(A1196&lt;&gt;"",B1196&lt;&gt;"",C1196&lt;&gt;"",D1196&lt;&gt;"",F1196&lt;&gt;"",G1196&lt;&gt;"",H1196&lt;&gt;"",ISERROR(SEARCH("по паспорту",G1196)),ISERROR(SEARCH("по паспорту",H1196)),I1196&lt;&gt;"",J1196&lt;&gt;"",K1196&lt;&gt;"",L1196&lt;&gt;"",M1196&lt;&gt;""),"ГОТОВО","НЕ ГОТОВО"))</f>
        <v/>
      </c>
      <c r="Q1196" s="205">
        <f>IF(P1196&lt;&gt;"ГОТОВО","", "Предварительное заключение: "&amp;A1196&amp;", скв. "&amp;B1196&amp;". МРП: "&amp;E1196&amp;" сут. ГНО: "&amp;F1196&amp;", типоразмер "&amp;G1196&amp;", марка "&amp;H1196&amp;". Событие: "&amp;I1196&amp;". Признак: "&amp;J1196&amp;". Узел: "&amp;K1196&amp;". Предварительная причина: "&amp;L1196&amp;". Основное осложнение: "&amp;M1196&amp;IF(N1196&lt;&gt;"","; сопутствующее: "&amp;N1196,"")&amp;IF(O1196&lt;&gt;"","; дополнительно: "&amp;O1196,"")&amp;".")</f>
        <v/>
      </c>
      <c r="R1196" s="172">
        <f>IF('Оперативный ввод'!P1196="","",'Оперативный ввод'!P1196)</f>
        <v/>
      </c>
      <c r="S1196" s="172">
        <f>IF('Оперативный ввод'!Q1196="","",'Оперативный ввод'!Q1196)</f>
        <v/>
      </c>
      <c r="T1196" s="172">
        <f>IF('Оперативный ввод'!R1196="","",'Оперативный ввод'!R1196)</f>
        <v/>
      </c>
      <c r="U1196" s="172">
        <f>IF('Оперативный ввод'!S1196="","",'Оперативный ввод'!S1196)</f>
        <v/>
      </c>
      <c r="V1196" s="172">
        <f>IF('Оперативный ввод'!T1196="","",'Оперативный ввод'!T1196)</f>
        <v/>
      </c>
      <c r="W1196" s="172" t="n"/>
      <c r="X1196" s="172" t="n"/>
      <c r="Y1196" s="172" t="n"/>
      <c r="Z1196" s="172" t="n"/>
      <c r="AA1196" s="172">
        <f>IF('Оперативный ввод'!U1196="","",'Оперативный ввод'!U1196)</f>
        <v/>
      </c>
      <c r="AB1196" s="172">
        <f>IF('Оперативный ввод'!V1196="","",'Оперативный ввод'!V1196)</f>
        <v/>
      </c>
      <c r="AC1196" s="172">
        <f>IF('Оперативный ввод'!W1196="","",'Оперативный ввод'!W1196)</f>
        <v/>
      </c>
      <c r="BB1196" s="172" t="n"/>
      <c r="BC1196" s="172" t="n"/>
      <c r="BD1196" s="205">
        <f>IF(AND(A1196="",B1196=""),"",IF(AND(P1196="ГОТОВО",R1196&lt;&gt;"",T1196&lt;&gt;"",U1196&lt;&gt;"",AA1196&lt;&gt;"",AB1196&lt;&gt;"",AC1196&lt;&gt;"",BB1196&lt;&gt;"",BC1196&lt;&gt;""),"ГОТОВО","НЕ ГОТОВО"))</f>
        <v/>
      </c>
      <c r="BE1196" s="205">
        <f>IF(BD1196&lt;&gt;"ГОТОВО","","Полное заключение: "&amp;A1196&amp;", скв. "&amp;B1196&amp;". МРП: "&amp;E1196&amp;" сут. ГНО: "&amp;F1196&amp;"; причина: "&amp;U1196&amp;"; категория: "&amp;V1196&amp;"; решение комиссии: "&amp;BB1196&amp;".")</f>
        <v/>
      </c>
      <c r="BF1196" s="173">
        <f>IF('Оперативный ввод'!X1196="","",'Оперативный ввод'!X1196)</f>
        <v/>
      </c>
    </row>
    <row r="1197">
      <c r="A1197" s="171">
        <f>IF('Оперативный ввод'!A1197="","",'Оперативный ввод'!A1197)</f>
        <v/>
      </c>
      <c r="B1197" s="172">
        <f>IF('Оперативный ввод'!B1197="","",'Оперативный ввод'!B1197)</f>
        <v/>
      </c>
      <c r="C1197" s="270">
        <f>IF('Оперативный ввод'!C1197="","",'Оперативный ввод'!C1197)</f>
        <v/>
      </c>
      <c r="D1197" s="270">
        <f>IF('Оперативный ввод'!D1197="","",'Оперативный ввод'!D1197)</f>
        <v/>
      </c>
      <c r="E1197" s="271">
        <f>IF(OR(C1197="",D1197=""),"",D1197-C1197)</f>
        <v/>
      </c>
      <c r="F1197" s="172">
        <f>IF('Оперативный ввод'!F1197="","",'Оперативный ввод'!F1197)</f>
        <v/>
      </c>
      <c r="G1197" s="172">
        <f>IF('Оперативный ввод'!G1197="","",'Оперативный ввод'!G1197)</f>
        <v/>
      </c>
      <c r="H1197" s="172">
        <f>IF('Оперативный ввод'!H1197="","",'Оперативный ввод'!H1197)</f>
        <v/>
      </c>
      <c r="I1197" s="172">
        <f>IF('Оперативный ввод'!I1197="","",'Оперативный ввод'!I1197)</f>
        <v/>
      </c>
      <c r="J1197" s="172">
        <f>IF('Оперативный ввод'!J1197="","",'Оперативный ввод'!J1197)</f>
        <v/>
      </c>
      <c r="K1197" s="172">
        <f>IF('Оперативный ввод'!K1197="","",'Оперативный ввод'!K1197)</f>
        <v/>
      </c>
      <c r="L1197" s="172">
        <f>IF('Оперативный ввод'!L1197="","",'Оперативный ввод'!L1197)</f>
        <v/>
      </c>
      <c r="M1197" s="172">
        <f>IF('Оперативный ввод'!M1197="","",'Оперативный ввод'!M1197)</f>
        <v/>
      </c>
      <c r="N1197" s="172">
        <f>IF('Оперативный ввод'!N1197="","",'Оперативный ввод'!N1197)</f>
        <v/>
      </c>
      <c r="O1197" s="172">
        <f>IF('Оперативный ввод'!O1197="","",'Оперативный ввод'!O1197)</f>
        <v/>
      </c>
      <c r="P1197" s="205">
        <f>IF(AND(A1197="",B1197=""),"",IF(AND(A1197&lt;&gt;"",B1197&lt;&gt;"",C1197&lt;&gt;"",D1197&lt;&gt;"",F1197&lt;&gt;"",G1197&lt;&gt;"",H1197&lt;&gt;"",ISERROR(SEARCH("по паспорту",G1197)),ISERROR(SEARCH("по паспорту",H1197)),I1197&lt;&gt;"",J1197&lt;&gt;"",K1197&lt;&gt;"",L1197&lt;&gt;"",M1197&lt;&gt;""),"ГОТОВО","НЕ ГОТОВО"))</f>
        <v/>
      </c>
      <c r="Q1197" s="205">
        <f>IF(P1197&lt;&gt;"ГОТОВО","", "Предварительное заключение: "&amp;A1197&amp;", скв. "&amp;B1197&amp;". МРП: "&amp;E1197&amp;" сут. ГНО: "&amp;F1197&amp;", типоразмер "&amp;G1197&amp;", марка "&amp;H1197&amp;". Событие: "&amp;I1197&amp;". Признак: "&amp;J1197&amp;". Узел: "&amp;K1197&amp;". Предварительная причина: "&amp;L1197&amp;". Основное осложнение: "&amp;M1197&amp;IF(N1197&lt;&gt;"","; сопутствующее: "&amp;N1197,"")&amp;IF(O1197&lt;&gt;"","; дополнительно: "&amp;O1197,"")&amp;".")</f>
        <v/>
      </c>
      <c r="R1197" s="172">
        <f>IF('Оперативный ввод'!P1197="","",'Оперативный ввод'!P1197)</f>
        <v/>
      </c>
      <c r="S1197" s="172">
        <f>IF('Оперативный ввод'!Q1197="","",'Оперативный ввод'!Q1197)</f>
        <v/>
      </c>
      <c r="T1197" s="172">
        <f>IF('Оперативный ввод'!R1197="","",'Оперативный ввод'!R1197)</f>
        <v/>
      </c>
      <c r="U1197" s="172">
        <f>IF('Оперативный ввод'!S1197="","",'Оперативный ввод'!S1197)</f>
        <v/>
      </c>
      <c r="V1197" s="172">
        <f>IF('Оперативный ввод'!T1197="","",'Оперативный ввод'!T1197)</f>
        <v/>
      </c>
      <c r="W1197" s="172" t="n"/>
      <c r="X1197" s="172" t="n"/>
      <c r="Y1197" s="172" t="n"/>
      <c r="Z1197" s="172" t="n"/>
      <c r="AA1197" s="172">
        <f>IF('Оперативный ввод'!U1197="","",'Оперативный ввод'!U1197)</f>
        <v/>
      </c>
      <c r="AB1197" s="172">
        <f>IF('Оперативный ввод'!V1197="","",'Оперативный ввод'!V1197)</f>
        <v/>
      </c>
      <c r="AC1197" s="172">
        <f>IF('Оперативный ввод'!W1197="","",'Оперативный ввод'!W1197)</f>
        <v/>
      </c>
      <c r="BB1197" s="172" t="n"/>
      <c r="BC1197" s="172" t="n"/>
      <c r="BD1197" s="205">
        <f>IF(AND(A1197="",B1197=""),"",IF(AND(P1197="ГОТОВО",R1197&lt;&gt;"",T1197&lt;&gt;"",U1197&lt;&gt;"",AA1197&lt;&gt;"",AB1197&lt;&gt;"",AC1197&lt;&gt;"",BB1197&lt;&gt;"",BC1197&lt;&gt;""),"ГОТОВО","НЕ ГОТОВО"))</f>
        <v/>
      </c>
      <c r="BE1197" s="205">
        <f>IF(BD1197&lt;&gt;"ГОТОВО","","Полное заключение: "&amp;A1197&amp;", скв. "&amp;B1197&amp;". МРП: "&amp;E1197&amp;" сут. ГНО: "&amp;F1197&amp;"; причина: "&amp;U1197&amp;"; категория: "&amp;V1197&amp;"; решение комиссии: "&amp;BB1197&amp;".")</f>
        <v/>
      </c>
      <c r="BF1197" s="173">
        <f>IF('Оперативный ввод'!X1197="","",'Оперативный ввод'!X1197)</f>
        <v/>
      </c>
    </row>
    <row r="1198">
      <c r="A1198" s="171">
        <f>IF('Оперативный ввод'!A1198="","",'Оперативный ввод'!A1198)</f>
        <v/>
      </c>
      <c r="B1198" s="172">
        <f>IF('Оперативный ввод'!B1198="","",'Оперативный ввод'!B1198)</f>
        <v/>
      </c>
      <c r="C1198" s="270">
        <f>IF('Оперативный ввод'!C1198="","",'Оперативный ввод'!C1198)</f>
        <v/>
      </c>
      <c r="D1198" s="270">
        <f>IF('Оперативный ввод'!D1198="","",'Оперативный ввод'!D1198)</f>
        <v/>
      </c>
      <c r="E1198" s="271">
        <f>IF(OR(C1198="",D1198=""),"",D1198-C1198)</f>
        <v/>
      </c>
      <c r="F1198" s="172">
        <f>IF('Оперативный ввод'!F1198="","",'Оперативный ввод'!F1198)</f>
        <v/>
      </c>
      <c r="G1198" s="172">
        <f>IF('Оперативный ввод'!G1198="","",'Оперативный ввод'!G1198)</f>
        <v/>
      </c>
      <c r="H1198" s="172">
        <f>IF('Оперативный ввод'!H1198="","",'Оперативный ввод'!H1198)</f>
        <v/>
      </c>
      <c r="I1198" s="172">
        <f>IF('Оперативный ввод'!I1198="","",'Оперативный ввод'!I1198)</f>
        <v/>
      </c>
      <c r="J1198" s="172">
        <f>IF('Оперативный ввод'!J1198="","",'Оперативный ввод'!J1198)</f>
        <v/>
      </c>
      <c r="K1198" s="172">
        <f>IF('Оперативный ввод'!K1198="","",'Оперативный ввод'!K1198)</f>
        <v/>
      </c>
      <c r="L1198" s="172">
        <f>IF('Оперативный ввод'!L1198="","",'Оперативный ввод'!L1198)</f>
        <v/>
      </c>
      <c r="M1198" s="172">
        <f>IF('Оперативный ввод'!M1198="","",'Оперативный ввод'!M1198)</f>
        <v/>
      </c>
      <c r="N1198" s="172">
        <f>IF('Оперативный ввод'!N1198="","",'Оперативный ввод'!N1198)</f>
        <v/>
      </c>
      <c r="O1198" s="172">
        <f>IF('Оперативный ввод'!O1198="","",'Оперативный ввод'!O1198)</f>
        <v/>
      </c>
      <c r="P1198" s="205">
        <f>IF(AND(A1198="",B1198=""),"",IF(AND(A1198&lt;&gt;"",B1198&lt;&gt;"",C1198&lt;&gt;"",D1198&lt;&gt;"",F1198&lt;&gt;"",G1198&lt;&gt;"",H1198&lt;&gt;"",ISERROR(SEARCH("по паспорту",G1198)),ISERROR(SEARCH("по паспорту",H1198)),I1198&lt;&gt;"",J1198&lt;&gt;"",K1198&lt;&gt;"",L1198&lt;&gt;"",M1198&lt;&gt;""),"ГОТОВО","НЕ ГОТОВО"))</f>
        <v/>
      </c>
      <c r="Q1198" s="205">
        <f>IF(P1198&lt;&gt;"ГОТОВО","", "Предварительное заключение: "&amp;A1198&amp;", скв. "&amp;B1198&amp;". МРП: "&amp;E1198&amp;" сут. ГНО: "&amp;F1198&amp;", типоразмер "&amp;G1198&amp;", марка "&amp;H1198&amp;". Событие: "&amp;I1198&amp;". Признак: "&amp;J1198&amp;". Узел: "&amp;K1198&amp;". Предварительная причина: "&amp;L1198&amp;". Основное осложнение: "&amp;M1198&amp;IF(N1198&lt;&gt;"","; сопутствующее: "&amp;N1198,"")&amp;IF(O1198&lt;&gt;"","; дополнительно: "&amp;O1198,"")&amp;".")</f>
        <v/>
      </c>
      <c r="R1198" s="172">
        <f>IF('Оперативный ввод'!P1198="","",'Оперативный ввод'!P1198)</f>
        <v/>
      </c>
      <c r="S1198" s="172">
        <f>IF('Оперативный ввод'!Q1198="","",'Оперативный ввод'!Q1198)</f>
        <v/>
      </c>
      <c r="T1198" s="172">
        <f>IF('Оперативный ввод'!R1198="","",'Оперативный ввод'!R1198)</f>
        <v/>
      </c>
      <c r="U1198" s="172">
        <f>IF('Оперативный ввод'!S1198="","",'Оперативный ввод'!S1198)</f>
        <v/>
      </c>
      <c r="V1198" s="172">
        <f>IF('Оперативный ввод'!T1198="","",'Оперативный ввод'!T1198)</f>
        <v/>
      </c>
      <c r="W1198" s="172" t="n"/>
      <c r="X1198" s="172" t="n"/>
      <c r="Y1198" s="172" t="n"/>
      <c r="Z1198" s="172" t="n"/>
      <c r="AA1198" s="172">
        <f>IF('Оперативный ввод'!U1198="","",'Оперативный ввод'!U1198)</f>
        <v/>
      </c>
      <c r="AB1198" s="172">
        <f>IF('Оперативный ввод'!V1198="","",'Оперативный ввод'!V1198)</f>
        <v/>
      </c>
      <c r="AC1198" s="172">
        <f>IF('Оперативный ввод'!W1198="","",'Оперативный ввод'!W1198)</f>
        <v/>
      </c>
      <c r="BB1198" s="172" t="n"/>
      <c r="BC1198" s="172" t="n"/>
      <c r="BD1198" s="205">
        <f>IF(AND(A1198="",B1198=""),"",IF(AND(P1198="ГОТОВО",R1198&lt;&gt;"",T1198&lt;&gt;"",U1198&lt;&gt;"",AA1198&lt;&gt;"",AB1198&lt;&gt;"",AC1198&lt;&gt;"",BB1198&lt;&gt;"",BC1198&lt;&gt;""),"ГОТОВО","НЕ ГОТОВО"))</f>
        <v/>
      </c>
      <c r="BE1198" s="205">
        <f>IF(BD1198&lt;&gt;"ГОТОВО","","Полное заключение: "&amp;A1198&amp;", скв. "&amp;B1198&amp;". МРП: "&amp;E1198&amp;" сут. ГНО: "&amp;F1198&amp;"; причина: "&amp;U1198&amp;"; категория: "&amp;V1198&amp;"; решение комиссии: "&amp;BB1198&amp;".")</f>
        <v/>
      </c>
      <c r="BF1198" s="173">
        <f>IF('Оперативный ввод'!X1198="","",'Оперативный ввод'!X1198)</f>
        <v/>
      </c>
    </row>
    <row r="1199">
      <c r="A1199" s="171">
        <f>IF('Оперативный ввод'!A1199="","",'Оперативный ввод'!A1199)</f>
        <v/>
      </c>
      <c r="B1199" s="172">
        <f>IF('Оперативный ввод'!B1199="","",'Оперативный ввод'!B1199)</f>
        <v/>
      </c>
      <c r="C1199" s="270">
        <f>IF('Оперативный ввод'!C1199="","",'Оперативный ввод'!C1199)</f>
        <v/>
      </c>
      <c r="D1199" s="270">
        <f>IF('Оперативный ввод'!D1199="","",'Оперативный ввод'!D1199)</f>
        <v/>
      </c>
      <c r="E1199" s="271">
        <f>IF(OR(C1199="",D1199=""),"",D1199-C1199)</f>
        <v/>
      </c>
      <c r="F1199" s="172">
        <f>IF('Оперативный ввод'!F1199="","",'Оперативный ввод'!F1199)</f>
        <v/>
      </c>
      <c r="G1199" s="172">
        <f>IF('Оперативный ввод'!G1199="","",'Оперативный ввод'!G1199)</f>
        <v/>
      </c>
      <c r="H1199" s="172">
        <f>IF('Оперативный ввод'!H1199="","",'Оперативный ввод'!H1199)</f>
        <v/>
      </c>
      <c r="I1199" s="172">
        <f>IF('Оперативный ввод'!I1199="","",'Оперативный ввод'!I1199)</f>
        <v/>
      </c>
      <c r="J1199" s="172">
        <f>IF('Оперативный ввод'!J1199="","",'Оперативный ввод'!J1199)</f>
        <v/>
      </c>
      <c r="K1199" s="172">
        <f>IF('Оперативный ввод'!K1199="","",'Оперативный ввод'!K1199)</f>
        <v/>
      </c>
      <c r="L1199" s="172">
        <f>IF('Оперативный ввод'!L1199="","",'Оперативный ввод'!L1199)</f>
        <v/>
      </c>
      <c r="M1199" s="172">
        <f>IF('Оперативный ввод'!M1199="","",'Оперативный ввод'!M1199)</f>
        <v/>
      </c>
      <c r="N1199" s="172">
        <f>IF('Оперативный ввод'!N1199="","",'Оперативный ввод'!N1199)</f>
        <v/>
      </c>
      <c r="O1199" s="172">
        <f>IF('Оперативный ввод'!O1199="","",'Оперативный ввод'!O1199)</f>
        <v/>
      </c>
      <c r="P1199" s="205">
        <f>IF(AND(A1199="",B1199=""),"",IF(AND(A1199&lt;&gt;"",B1199&lt;&gt;"",C1199&lt;&gt;"",D1199&lt;&gt;"",F1199&lt;&gt;"",G1199&lt;&gt;"",H1199&lt;&gt;"",ISERROR(SEARCH("по паспорту",G1199)),ISERROR(SEARCH("по паспорту",H1199)),I1199&lt;&gt;"",J1199&lt;&gt;"",K1199&lt;&gt;"",L1199&lt;&gt;"",M1199&lt;&gt;""),"ГОТОВО","НЕ ГОТОВО"))</f>
        <v/>
      </c>
      <c r="Q1199" s="205">
        <f>IF(P1199&lt;&gt;"ГОТОВО","", "Предварительное заключение: "&amp;A1199&amp;", скв. "&amp;B1199&amp;". МРП: "&amp;E1199&amp;" сут. ГНО: "&amp;F1199&amp;", типоразмер "&amp;G1199&amp;", марка "&amp;H1199&amp;". Событие: "&amp;I1199&amp;". Признак: "&amp;J1199&amp;". Узел: "&amp;K1199&amp;". Предварительная причина: "&amp;L1199&amp;". Основное осложнение: "&amp;M1199&amp;IF(N1199&lt;&gt;"","; сопутствующее: "&amp;N1199,"")&amp;IF(O1199&lt;&gt;"","; дополнительно: "&amp;O1199,"")&amp;".")</f>
        <v/>
      </c>
      <c r="R1199" s="172">
        <f>IF('Оперативный ввод'!P1199="","",'Оперативный ввод'!P1199)</f>
        <v/>
      </c>
      <c r="S1199" s="172">
        <f>IF('Оперативный ввод'!Q1199="","",'Оперативный ввод'!Q1199)</f>
        <v/>
      </c>
      <c r="T1199" s="172">
        <f>IF('Оперативный ввод'!R1199="","",'Оперативный ввод'!R1199)</f>
        <v/>
      </c>
      <c r="U1199" s="172">
        <f>IF('Оперативный ввод'!S1199="","",'Оперативный ввод'!S1199)</f>
        <v/>
      </c>
      <c r="V1199" s="172">
        <f>IF('Оперативный ввод'!T1199="","",'Оперативный ввод'!T1199)</f>
        <v/>
      </c>
      <c r="W1199" s="172" t="n"/>
      <c r="X1199" s="172" t="n"/>
      <c r="Y1199" s="172" t="n"/>
      <c r="Z1199" s="172" t="n"/>
      <c r="AA1199" s="172">
        <f>IF('Оперативный ввод'!U1199="","",'Оперативный ввод'!U1199)</f>
        <v/>
      </c>
      <c r="AB1199" s="172">
        <f>IF('Оперативный ввод'!V1199="","",'Оперативный ввод'!V1199)</f>
        <v/>
      </c>
      <c r="AC1199" s="172">
        <f>IF('Оперативный ввод'!W1199="","",'Оперативный ввод'!W1199)</f>
        <v/>
      </c>
      <c r="BB1199" s="172" t="n"/>
      <c r="BC1199" s="172" t="n"/>
      <c r="BD1199" s="205">
        <f>IF(AND(A1199="",B1199=""),"",IF(AND(P1199="ГОТОВО",R1199&lt;&gt;"",T1199&lt;&gt;"",U1199&lt;&gt;"",AA1199&lt;&gt;"",AB1199&lt;&gt;"",AC1199&lt;&gt;"",BB1199&lt;&gt;"",BC1199&lt;&gt;""),"ГОТОВО","НЕ ГОТОВО"))</f>
        <v/>
      </c>
      <c r="BE1199" s="205">
        <f>IF(BD1199&lt;&gt;"ГОТОВО","","Полное заключение: "&amp;A1199&amp;", скв. "&amp;B1199&amp;". МРП: "&amp;E1199&amp;" сут. ГНО: "&amp;F1199&amp;"; причина: "&amp;U1199&amp;"; категория: "&amp;V1199&amp;"; решение комиссии: "&amp;BB1199&amp;".")</f>
        <v/>
      </c>
      <c r="BF1199" s="173">
        <f>IF('Оперативный ввод'!X1199="","",'Оперативный ввод'!X1199)</f>
        <v/>
      </c>
    </row>
    <row r="1200">
      <c r="A1200" s="171">
        <f>IF('Оперативный ввод'!A1200="","",'Оперативный ввод'!A1200)</f>
        <v/>
      </c>
      <c r="B1200" s="172">
        <f>IF('Оперативный ввод'!B1200="","",'Оперативный ввод'!B1200)</f>
        <v/>
      </c>
      <c r="C1200" s="270">
        <f>IF('Оперативный ввод'!C1200="","",'Оперативный ввод'!C1200)</f>
        <v/>
      </c>
      <c r="D1200" s="270">
        <f>IF('Оперативный ввод'!D1200="","",'Оперативный ввод'!D1200)</f>
        <v/>
      </c>
      <c r="E1200" s="271">
        <f>IF(OR(C1200="",D1200=""),"",D1200-C1200)</f>
        <v/>
      </c>
      <c r="F1200" s="172">
        <f>IF('Оперативный ввод'!F1200="","",'Оперативный ввод'!F1200)</f>
        <v/>
      </c>
      <c r="G1200" s="172">
        <f>IF('Оперативный ввод'!G1200="","",'Оперативный ввод'!G1200)</f>
        <v/>
      </c>
      <c r="H1200" s="172">
        <f>IF('Оперативный ввод'!H1200="","",'Оперативный ввод'!H1200)</f>
        <v/>
      </c>
      <c r="I1200" s="172">
        <f>IF('Оперативный ввод'!I1200="","",'Оперативный ввод'!I1200)</f>
        <v/>
      </c>
      <c r="J1200" s="172">
        <f>IF('Оперативный ввод'!J1200="","",'Оперативный ввод'!J1200)</f>
        <v/>
      </c>
      <c r="K1200" s="172">
        <f>IF('Оперативный ввод'!K1200="","",'Оперативный ввод'!K1200)</f>
        <v/>
      </c>
      <c r="L1200" s="172">
        <f>IF('Оперативный ввод'!L1200="","",'Оперативный ввод'!L1200)</f>
        <v/>
      </c>
      <c r="M1200" s="172">
        <f>IF('Оперативный ввод'!M1200="","",'Оперативный ввод'!M1200)</f>
        <v/>
      </c>
      <c r="N1200" s="172">
        <f>IF('Оперативный ввод'!N1200="","",'Оперативный ввод'!N1200)</f>
        <v/>
      </c>
      <c r="O1200" s="172">
        <f>IF('Оперативный ввод'!O1200="","",'Оперативный ввод'!O1200)</f>
        <v/>
      </c>
      <c r="P1200" s="205">
        <f>IF(AND(A1200="",B1200=""),"",IF(AND(A1200&lt;&gt;"",B1200&lt;&gt;"",C1200&lt;&gt;"",D1200&lt;&gt;"",F1200&lt;&gt;"",G1200&lt;&gt;"",H1200&lt;&gt;"",ISERROR(SEARCH("по паспорту",G1200)),ISERROR(SEARCH("по паспорту",H1200)),I1200&lt;&gt;"",J1200&lt;&gt;"",K1200&lt;&gt;"",L1200&lt;&gt;"",M1200&lt;&gt;""),"ГОТОВО","НЕ ГОТОВО"))</f>
        <v/>
      </c>
      <c r="Q1200" s="205">
        <f>IF(P1200&lt;&gt;"ГОТОВО","", "Предварительное заключение: "&amp;A1200&amp;", скв. "&amp;B1200&amp;". МРП: "&amp;E1200&amp;" сут. ГНО: "&amp;F1200&amp;", типоразмер "&amp;G1200&amp;", марка "&amp;H1200&amp;". Событие: "&amp;I1200&amp;". Признак: "&amp;J1200&amp;". Узел: "&amp;K1200&amp;". Предварительная причина: "&amp;L1200&amp;". Основное осложнение: "&amp;M1200&amp;IF(N1200&lt;&gt;"","; сопутствующее: "&amp;N1200,"")&amp;IF(O1200&lt;&gt;"","; дополнительно: "&amp;O1200,"")&amp;".")</f>
        <v/>
      </c>
      <c r="R1200" s="172">
        <f>IF('Оперативный ввод'!P1200="","",'Оперативный ввод'!P1200)</f>
        <v/>
      </c>
      <c r="S1200" s="172">
        <f>IF('Оперативный ввод'!Q1200="","",'Оперативный ввод'!Q1200)</f>
        <v/>
      </c>
      <c r="T1200" s="172">
        <f>IF('Оперативный ввод'!R1200="","",'Оперативный ввод'!R1200)</f>
        <v/>
      </c>
      <c r="U1200" s="172">
        <f>IF('Оперативный ввод'!S1200="","",'Оперативный ввод'!S1200)</f>
        <v/>
      </c>
      <c r="V1200" s="172">
        <f>IF('Оперативный ввод'!T1200="","",'Оперативный ввод'!T1200)</f>
        <v/>
      </c>
      <c r="W1200" s="172" t="n"/>
      <c r="X1200" s="172" t="n"/>
      <c r="Y1200" s="172" t="n"/>
      <c r="Z1200" s="172" t="n"/>
      <c r="AA1200" s="172">
        <f>IF('Оперативный ввод'!U1200="","",'Оперативный ввод'!U1200)</f>
        <v/>
      </c>
      <c r="AB1200" s="172">
        <f>IF('Оперативный ввод'!V1200="","",'Оперативный ввод'!V1200)</f>
        <v/>
      </c>
      <c r="AC1200" s="172">
        <f>IF('Оперативный ввод'!W1200="","",'Оперативный ввод'!W1200)</f>
        <v/>
      </c>
      <c r="BB1200" s="172" t="n"/>
      <c r="BC1200" s="172" t="n"/>
      <c r="BD1200" s="205">
        <f>IF(AND(A1200="",B1200=""),"",IF(AND(P1200="ГОТОВО",R1200&lt;&gt;"",T1200&lt;&gt;"",U1200&lt;&gt;"",AA1200&lt;&gt;"",AB1200&lt;&gt;"",AC1200&lt;&gt;"",BB1200&lt;&gt;"",BC1200&lt;&gt;""),"ГОТОВО","НЕ ГОТОВО"))</f>
        <v/>
      </c>
      <c r="BE1200" s="205">
        <f>IF(BD1200&lt;&gt;"ГОТОВО","","Полное заключение: "&amp;A1200&amp;", скв. "&amp;B1200&amp;". МРП: "&amp;E1200&amp;" сут. ГНО: "&amp;F1200&amp;"; причина: "&amp;U1200&amp;"; категория: "&amp;V1200&amp;"; решение комиссии: "&amp;BB1200&amp;".")</f>
        <v/>
      </c>
      <c r="BF1200" s="173">
        <f>IF('Оперативный ввод'!X1200="","",'Оперативный ввод'!X1200)</f>
        <v/>
      </c>
    </row>
    <row r="1201">
      <c r="A1201" s="171">
        <f>IF('Оперативный ввод'!A1201="","",'Оперативный ввод'!A1201)</f>
        <v/>
      </c>
      <c r="B1201" s="172">
        <f>IF('Оперативный ввод'!B1201="","",'Оперативный ввод'!B1201)</f>
        <v/>
      </c>
      <c r="C1201" s="270">
        <f>IF('Оперативный ввод'!C1201="","",'Оперативный ввод'!C1201)</f>
        <v/>
      </c>
      <c r="D1201" s="270">
        <f>IF('Оперативный ввод'!D1201="","",'Оперативный ввод'!D1201)</f>
        <v/>
      </c>
      <c r="E1201" s="271">
        <f>IF(OR(C1201="",D1201=""),"",D1201-C1201)</f>
        <v/>
      </c>
      <c r="F1201" s="172">
        <f>IF('Оперативный ввод'!F1201="","",'Оперативный ввод'!F1201)</f>
        <v/>
      </c>
      <c r="G1201" s="172">
        <f>IF('Оперативный ввод'!G1201="","",'Оперативный ввод'!G1201)</f>
        <v/>
      </c>
      <c r="H1201" s="172">
        <f>IF('Оперативный ввод'!H1201="","",'Оперативный ввод'!H1201)</f>
        <v/>
      </c>
      <c r="I1201" s="172">
        <f>IF('Оперативный ввод'!I1201="","",'Оперативный ввод'!I1201)</f>
        <v/>
      </c>
      <c r="J1201" s="172">
        <f>IF('Оперативный ввод'!J1201="","",'Оперативный ввод'!J1201)</f>
        <v/>
      </c>
      <c r="K1201" s="172">
        <f>IF('Оперативный ввод'!K1201="","",'Оперативный ввод'!K1201)</f>
        <v/>
      </c>
      <c r="L1201" s="172">
        <f>IF('Оперативный ввод'!L1201="","",'Оперативный ввод'!L1201)</f>
        <v/>
      </c>
      <c r="M1201" s="172">
        <f>IF('Оперативный ввод'!M1201="","",'Оперативный ввод'!M1201)</f>
        <v/>
      </c>
      <c r="N1201" s="172">
        <f>IF('Оперативный ввод'!N1201="","",'Оперативный ввод'!N1201)</f>
        <v/>
      </c>
      <c r="O1201" s="172">
        <f>IF('Оперативный ввод'!O1201="","",'Оперативный ввод'!O1201)</f>
        <v/>
      </c>
      <c r="P1201" s="205">
        <f>IF(AND(A1201="",B1201=""),"",IF(AND(A1201&lt;&gt;"",B1201&lt;&gt;"",C1201&lt;&gt;"",D1201&lt;&gt;"",F1201&lt;&gt;"",G1201&lt;&gt;"",H1201&lt;&gt;"",ISERROR(SEARCH("по паспорту",G1201)),ISERROR(SEARCH("по паспорту",H1201)),I1201&lt;&gt;"",J1201&lt;&gt;"",K1201&lt;&gt;"",L1201&lt;&gt;"",M1201&lt;&gt;""),"ГОТОВО","НЕ ГОТОВО"))</f>
        <v/>
      </c>
      <c r="Q1201" s="205">
        <f>IF(P1201&lt;&gt;"ГОТОВО","", "Предварительное заключение: "&amp;A1201&amp;", скв. "&amp;B1201&amp;". МРП: "&amp;E1201&amp;" сут. ГНО: "&amp;F1201&amp;", типоразмер "&amp;G1201&amp;", марка "&amp;H1201&amp;". Событие: "&amp;I1201&amp;". Признак: "&amp;J1201&amp;". Узел: "&amp;K1201&amp;". Предварительная причина: "&amp;L1201&amp;". Основное осложнение: "&amp;M1201&amp;IF(N1201&lt;&gt;"","; сопутствующее: "&amp;N1201,"")&amp;IF(O1201&lt;&gt;"","; дополнительно: "&amp;O1201,"")&amp;".")</f>
        <v/>
      </c>
      <c r="R1201" s="172">
        <f>IF('Оперативный ввод'!P1201="","",'Оперативный ввод'!P1201)</f>
        <v/>
      </c>
      <c r="S1201" s="172">
        <f>IF('Оперативный ввод'!Q1201="","",'Оперативный ввод'!Q1201)</f>
        <v/>
      </c>
      <c r="T1201" s="172">
        <f>IF('Оперативный ввод'!R1201="","",'Оперативный ввод'!R1201)</f>
        <v/>
      </c>
      <c r="U1201" s="172">
        <f>IF('Оперативный ввод'!S1201="","",'Оперативный ввод'!S1201)</f>
        <v/>
      </c>
      <c r="V1201" s="172">
        <f>IF('Оперативный ввод'!T1201="","",'Оперативный ввод'!T1201)</f>
        <v/>
      </c>
      <c r="W1201" s="172" t="n"/>
      <c r="X1201" s="172" t="n"/>
      <c r="Y1201" s="172" t="n"/>
      <c r="Z1201" s="172" t="n"/>
      <c r="AA1201" s="172">
        <f>IF('Оперативный ввод'!U1201="","",'Оперативный ввод'!U1201)</f>
        <v/>
      </c>
      <c r="AB1201" s="172">
        <f>IF('Оперативный ввод'!V1201="","",'Оперативный ввод'!V1201)</f>
        <v/>
      </c>
      <c r="AC1201" s="172">
        <f>IF('Оперативный ввод'!W1201="","",'Оперативный ввод'!W1201)</f>
        <v/>
      </c>
      <c r="BB1201" s="172" t="n"/>
      <c r="BC1201" s="172" t="n"/>
      <c r="BD1201" s="205">
        <f>IF(AND(A1201="",B1201=""),"",IF(AND(P1201="ГОТОВО",R1201&lt;&gt;"",T1201&lt;&gt;"",U1201&lt;&gt;"",AA1201&lt;&gt;"",AB1201&lt;&gt;"",AC1201&lt;&gt;"",BB1201&lt;&gt;"",BC1201&lt;&gt;""),"ГОТОВО","НЕ ГОТОВО"))</f>
        <v/>
      </c>
      <c r="BE1201" s="205">
        <f>IF(BD1201&lt;&gt;"ГОТОВО","","Полное заключение: "&amp;A1201&amp;", скв. "&amp;B1201&amp;". МРП: "&amp;E1201&amp;" сут. ГНО: "&amp;F1201&amp;"; причина: "&amp;U1201&amp;"; категория: "&amp;V1201&amp;"; решение комиссии: "&amp;BB1201&amp;".")</f>
        <v/>
      </c>
      <c r="BF1201" s="173">
        <f>IF('Оперативный ввод'!X1201="","",'Оперативный ввод'!X1201)</f>
        <v/>
      </c>
    </row>
    <row r="1202">
      <c r="A1202" s="171">
        <f>IF('Оперативный ввод'!A1202="","",'Оперативный ввод'!A1202)</f>
        <v/>
      </c>
      <c r="B1202" s="172">
        <f>IF('Оперативный ввод'!B1202="","",'Оперативный ввод'!B1202)</f>
        <v/>
      </c>
      <c r="C1202" s="270">
        <f>IF('Оперативный ввод'!C1202="","",'Оперативный ввод'!C1202)</f>
        <v/>
      </c>
      <c r="D1202" s="270">
        <f>IF('Оперативный ввод'!D1202="","",'Оперативный ввод'!D1202)</f>
        <v/>
      </c>
      <c r="E1202" s="271">
        <f>IF(OR(C1202="",D1202=""),"",D1202-C1202)</f>
        <v/>
      </c>
      <c r="F1202" s="172">
        <f>IF('Оперативный ввод'!F1202="","",'Оперативный ввод'!F1202)</f>
        <v/>
      </c>
      <c r="G1202" s="172">
        <f>IF('Оперативный ввод'!G1202="","",'Оперативный ввод'!G1202)</f>
        <v/>
      </c>
      <c r="H1202" s="172">
        <f>IF('Оперативный ввод'!H1202="","",'Оперативный ввод'!H1202)</f>
        <v/>
      </c>
      <c r="I1202" s="172">
        <f>IF('Оперативный ввод'!I1202="","",'Оперативный ввод'!I1202)</f>
        <v/>
      </c>
      <c r="J1202" s="172">
        <f>IF('Оперативный ввод'!J1202="","",'Оперативный ввод'!J1202)</f>
        <v/>
      </c>
      <c r="K1202" s="172">
        <f>IF('Оперативный ввод'!K1202="","",'Оперативный ввод'!K1202)</f>
        <v/>
      </c>
      <c r="L1202" s="172">
        <f>IF('Оперативный ввод'!L1202="","",'Оперативный ввод'!L1202)</f>
        <v/>
      </c>
      <c r="M1202" s="172">
        <f>IF('Оперативный ввод'!M1202="","",'Оперативный ввод'!M1202)</f>
        <v/>
      </c>
      <c r="N1202" s="172">
        <f>IF('Оперативный ввод'!N1202="","",'Оперативный ввод'!N1202)</f>
        <v/>
      </c>
      <c r="O1202" s="172">
        <f>IF('Оперативный ввод'!O1202="","",'Оперативный ввод'!O1202)</f>
        <v/>
      </c>
      <c r="P1202" s="205">
        <f>IF(AND(A1202="",B1202=""),"",IF(AND(A1202&lt;&gt;"",B1202&lt;&gt;"",C1202&lt;&gt;"",D1202&lt;&gt;"",F1202&lt;&gt;"",G1202&lt;&gt;"",H1202&lt;&gt;"",ISERROR(SEARCH("по паспорту",G1202)),ISERROR(SEARCH("по паспорту",H1202)),I1202&lt;&gt;"",J1202&lt;&gt;"",K1202&lt;&gt;"",L1202&lt;&gt;"",M1202&lt;&gt;""),"ГОТОВО","НЕ ГОТОВО"))</f>
        <v/>
      </c>
      <c r="Q1202" s="205">
        <f>IF(P1202&lt;&gt;"ГОТОВО","", "Предварительное заключение: "&amp;A1202&amp;", скв. "&amp;B1202&amp;". МРП: "&amp;E1202&amp;" сут. ГНО: "&amp;F1202&amp;", типоразмер "&amp;G1202&amp;", марка "&amp;H1202&amp;". Событие: "&amp;I1202&amp;". Признак: "&amp;J1202&amp;". Узел: "&amp;K1202&amp;". Предварительная причина: "&amp;L1202&amp;". Основное осложнение: "&amp;M1202&amp;IF(N1202&lt;&gt;"","; сопутствующее: "&amp;N1202,"")&amp;IF(O1202&lt;&gt;"","; дополнительно: "&amp;O1202,"")&amp;".")</f>
        <v/>
      </c>
      <c r="R1202" s="172">
        <f>IF('Оперативный ввод'!P1202="","",'Оперативный ввод'!P1202)</f>
        <v/>
      </c>
      <c r="S1202" s="172">
        <f>IF('Оперативный ввод'!Q1202="","",'Оперативный ввод'!Q1202)</f>
        <v/>
      </c>
      <c r="T1202" s="172">
        <f>IF('Оперативный ввод'!R1202="","",'Оперативный ввод'!R1202)</f>
        <v/>
      </c>
      <c r="U1202" s="172">
        <f>IF('Оперативный ввод'!S1202="","",'Оперативный ввод'!S1202)</f>
        <v/>
      </c>
      <c r="V1202" s="172">
        <f>IF('Оперативный ввод'!T1202="","",'Оперативный ввод'!T1202)</f>
        <v/>
      </c>
      <c r="W1202" s="172" t="n"/>
      <c r="X1202" s="172" t="n"/>
      <c r="Y1202" s="172" t="n"/>
      <c r="Z1202" s="172" t="n"/>
      <c r="AA1202" s="172">
        <f>IF('Оперативный ввод'!U1202="","",'Оперативный ввод'!U1202)</f>
        <v/>
      </c>
      <c r="AB1202" s="172">
        <f>IF('Оперативный ввод'!V1202="","",'Оперативный ввод'!V1202)</f>
        <v/>
      </c>
      <c r="AC1202" s="172">
        <f>IF('Оперативный ввод'!W1202="","",'Оперативный ввод'!W1202)</f>
        <v/>
      </c>
      <c r="BB1202" s="172" t="n"/>
      <c r="BC1202" s="172" t="n"/>
      <c r="BD1202" s="205">
        <f>IF(AND(A1202="",B1202=""),"",IF(AND(P1202="ГОТОВО",R1202&lt;&gt;"",T1202&lt;&gt;"",U1202&lt;&gt;"",AA1202&lt;&gt;"",AB1202&lt;&gt;"",AC1202&lt;&gt;"",BB1202&lt;&gt;"",BC1202&lt;&gt;""),"ГОТОВО","НЕ ГОТОВО"))</f>
        <v/>
      </c>
      <c r="BE1202" s="205">
        <f>IF(BD1202&lt;&gt;"ГОТОВО","","Полное заключение: "&amp;A1202&amp;", скв. "&amp;B1202&amp;". МРП: "&amp;E1202&amp;" сут. ГНО: "&amp;F1202&amp;"; причина: "&amp;U1202&amp;"; категория: "&amp;V1202&amp;"; решение комиссии: "&amp;BB1202&amp;".")</f>
        <v/>
      </c>
      <c r="BF1202" s="173">
        <f>IF('Оперативный ввод'!X1202="","",'Оперативный ввод'!X1202)</f>
        <v/>
      </c>
    </row>
    <row r="1203">
      <c r="A1203" s="171">
        <f>IF('Оперативный ввод'!A1203="","",'Оперативный ввод'!A1203)</f>
        <v/>
      </c>
      <c r="B1203" s="172">
        <f>IF('Оперативный ввод'!B1203="","",'Оперативный ввод'!B1203)</f>
        <v/>
      </c>
      <c r="C1203" s="270">
        <f>IF('Оперативный ввод'!C1203="","",'Оперативный ввод'!C1203)</f>
        <v/>
      </c>
      <c r="D1203" s="270">
        <f>IF('Оперативный ввод'!D1203="","",'Оперативный ввод'!D1203)</f>
        <v/>
      </c>
      <c r="E1203" s="271">
        <f>IF(OR(C1203="",D1203=""),"",D1203-C1203)</f>
        <v/>
      </c>
      <c r="F1203" s="172">
        <f>IF('Оперативный ввод'!F1203="","",'Оперативный ввод'!F1203)</f>
        <v/>
      </c>
      <c r="G1203" s="172">
        <f>IF('Оперативный ввод'!G1203="","",'Оперативный ввод'!G1203)</f>
        <v/>
      </c>
      <c r="H1203" s="172">
        <f>IF('Оперативный ввод'!H1203="","",'Оперативный ввод'!H1203)</f>
        <v/>
      </c>
      <c r="I1203" s="172">
        <f>IF('Оперативный ввод'!I1203="","",'Оперативный ввод'!I1203)</f>
        <v/>
      </c>
      <c r="J1203" s="172">
        <f>IF('Оперативный ввод'!J1203="","",'Оперативный ввод'!J1203)</f>
        <v/>
      </c>
      <c r="K1203" s="172">
        <f>IF('Оперативный ввод'!K1203="","",'Оперативный ввод'!K1203)</f>
        <v/>
      </c>
      <c r="L1203" s="172">
        <f>IF('Оперативный ввод'!L1203="","",'Оперативный ввод'!L1203)</f>
        <v/>
      </c>
      <c r="M1203" s="172">
        <f>IF('Оперативный ввод'!M1203="","",'Оперативный ввод'!M1203)</f>
        <v/>
      </c>
      <c r="N1203" s="172">
        <f>IF('Оперативный ввод'!N1203="","",'Оперативный ввод'!N1203)</f>
        <v/>
      </c>
      <c r="O1203" s="172">
        <f>IF('Оперативный ввод'!O1203="","",'Оперативный ввод'!O1203)</f>
        <v/>
      </c>
      <c r="P1203" s="205">
        <f>IF(AND(A1203="",B1203=""),"",IF(AND(A1203&lt;&gt;"",B1203&lt;&gt;"",C1203&lt;&gt;"",D1203&lt;&gt;"",F1203&lt;&gt;"",G1203&lt;&gt;"",H1203&lt;&gt;"",ISERROR(SEARCH("по паспорту",G1203)),ISERROR(SEARCH("по паспорту",H1203)),I1203&lt;&gt;"",J1203&lt;&gt;"",K1203&lt;&gt;"",L1203&lt;&gt;"",M1203&lt;&gt;""),"ГОТОВО","НЕ ГОТОВО"))</f>
        <v/>
      </c>
      <c r="Q1203" s="205">
        <f>IF(P1203&lt;&gt;"ГОТОВО","", "Предварительное заключение: "&amp;A1203&amp;", скв. "&amp;B1203&amp;". МРП: "&amp;E1203&amp;" сут. ГНО: "&amp;F1203&amp;", типоразмер "&amp;G1203&amp;", марка "&amp;H1203&amp;". Событие: "&amp;I1203&amp;". Признак: "&amp;J1203&amp;". Узел: "&amp;K1203&amp;". Предварительная причина: "&amp;L1203&amp;". Основное осложнение: "&amp;M1203&amp;IF(N1203&lt;&gt;"","; сопутствующее: "&amp;N1203,"")&amp;IF(O1203&lt;&gt;"","; дополнительно: "&amp;O1203,"")&amp;".")</f>
        <v/>
      </c>
      <c r="R1203" s="172">
        <f>IF('Оперативный ввод'!P1203="","",'Оперативный ввод'!P1203)</f>
        <v/>
      </c>
      <c r="S1203" s="172">
        <f>IF('Оперативный ввод'!Q1203="","",'Оперативный ввод'!Q1203)</f>
        <v/>
      </c>
      <c r="T1203" s="172">
        <f>IF('Оперативный ввод'!R1203="","",'Оперативный ввод'!R1203)</f>
        <v/>
      </c>
      <c r="U1203" s="172">
        <f>IF('Оперативный ввод'!S1203="","",'Оперативный ввод'!S1203)</f>
        <v/>
      </c>
      <c r="V1203" s="172">
        <f>IF('Оперативный ввод'!T1203="","",'Оперативный ввод'!T1203)</f>
        <v/>
      </c>
      <c r="W1203" s="172" t="n"/>
      <c r="X1203" s="172" t="n"/>
      <c r="Y1203" s="172" t="n"/>
      <c r="Z1203" s="172" t="n"/>
      <c r="AA1203" s="172">
        <f>IF('Оперативный ввод'!U1203="","",'Оперативный ввод'!U1203)</f>
        <v/>
      </c>
      <c r="AB1203" s="172">
        <f>IF('Оперативный ввод'!V1203="","",'Оперативный ввод'!V1203)</f>
        <v/>
      </c>
      <c r="AC1203" s="172">
        <f>IF('Оперативный ввод'!W1203="","",'Оперативный ввод'!W1203)</f>
        <v/>
      </c>
      <c r="BB1203" s="172" t="n"/>
      <c r="BC1203" s="172" t="n"/>
      <c r="BD1203" s="205">
        <f>IF(AND(A1203="",B1203=""),"",IF(AND(P1203="ГОТОВО",R1203&lt;&gt;"",T1203&lt;&gt;"",U1203&lt;&gt;"",AA1203&lt;&gt;"",AB1203&lt;&gt;"",AC1203&lt;&gt;"",BB1203&lt;&gt;"",BC1203&lt;&gt;""),"ГОТОВО","НЕ ГОТОВО"))</f>
        <v/>
      </c>
      <c r="BE1203" s="205">
        <f>IF(BD1203&lt;&gt;"ГОТОВО","","Полное заключение: "&amp;A1203&amp;", скв. "&amp;B1203&amp;". МРП: "&amp;E1203&amp;" сут. ГНО: "&amp;F1203&amp;"; причина: "&amp;U1203&amp;"; категория: "&amp;V1203&amp;"; решение комиссии: "&amp;BB1203&amp;".")</f>
        <v/>
      </c>
      <c r="BF1203" s="173">
        <f>IF('Оперативный ввод'!X1203="","",'Оперативный ввод'!X1203)</f>
        <v/>
      </c>
    </row>
    <row r="1204">
      <c r="A1204" s="171">
        <f>IF('Оперативный ввод'!A1204="","",'Оперативный ввод'!A1204)</f>
        <v/>
      </c>
      <c r="B1204" s="172">
        <f>IF('Оперативный ввод'!B1204="","",'Оперативный ввод'!B1204)</f>
        <v/>
      </c>
      <c r="C1204" s="270">
        <f>IF('Оперативный ввод'!C1204="","",'Оперативный ввод'!C1204)</f>
        <v/>
      </c>
      <c r="D1204" s="270">
        <f>IF('Оперативный ввод'!D1204="","",'Оперативный ввод'!D1204)</f>
        <v/>
      </c>
      <c r="E1204" s="271">
        <f>IF(OR(C1204="",D1204=""),"",D1204-C1204)</f>
        <v/>
      </c>
      <c r="F1204" s="172">
        <f>IF('Оперативный ввод'!F1204="","",'Оперативный ввод'!F1204)</f>
        <v/>
      </c>
      <c r="G1204" s="172">
        <f>IF('Оперативный ввод'!G1204="","",'Оперативный ввод'!G1204)</f>
        <v/>
      </c>
      <c r="H1204" s="172">
        <f>IF('Оперативный ввод'!H1204="","",'Оперативный ввод'!H1204)</f>
        <v/>
      </c>
      <c r="I1204" s="172">
        <f>IF('Оперативный ввод'!I1204="","",'Оперативный ввод'!I1204)</f>
        <v/>
      </c>
      <c r="J1204" s="172">
        <f>IF('Оперативный ввод'!J1204="","",'Оперативный ввод'!J1204)</f>
        <v/>
      </c>
      <c r="K1204" s="172">
        <f>IF('Оперативный ввод'!K1204="","",'Оперативный ввод'!K1204)</f>
        <v/>
      </c>
      <c r="L1204" s="172">
        <f>IF('Оперативный ввод'!L1204="","",'Оперативный ввод'!L1204)</f>
        <v/>
      </c>
      <c r="M1204" s="172">
        <f>IF('Оперативный ввод'!M1204="","",'Оперативный ввод'!M1204)</f>
        <v/>
      </c>
      <c r="N1204" s="172">
        <f>IF('Оперативный ввод'!N1204="","",'Оперативный ввод'!N1204)</f>
        <v/>
      </c>
      <c r="O1204" s="172">
        <f>IF('Оперативный ввод'!O1204="","",'Оперативный ввод'!O1204)</f>
        <v/>
      </c>
      <c r="P1204" s="205">
        <f>IF(AND(A1204="",B1204=""),"",IF(AND(A1204&lt;&gt;"",B1204&lt;&gt;"",C1204&lt;&gt;"",D1204&lt;&gt;"",F1204&lt;&gt;"",G1204&lt;&gt;"",H1204&lt;&gt;"",ISERROR(SEARCH("по паспорту",G1204)),ISERROR(SEARCH("по паспорту",H1204)),I1204&lt;&gt;"",J1204&lt;&gt;"",K1204&lt;&gt;"",L1204&lt;&gt;"",M1204&lt;&gt;""),"ГОТОВО","НЕ ГОТОВО"))</f>
        <v/>
      </c>
      <c r="Q1204" s="205">
        <f>IF(P1204&lt;&gt;"ГОТОВО","", "Предварительное заключение: "&amp;A1204&amp;", скв. "&amp;B1204&amp;". МРП: "&amp;E1204&amp;" сут. ГНО: "&amp;F1204&amp;", типоразмер "&amp;G1204&amp;", марка "&amp;H1204&amp;". Событие: "&amp;I1204&amp;". Признак: "&amp;J1204&amp;". Узел: "&amp;K1204&amp;". Предварительная причина: "&amp;L1204&amp;". Основное осложнение: "&amp;M1204&amp;IF(N1204&lt;&gt;"","; сопутствующее: "&amp;N1204,"")&amp;IF(O1204&lt;&gt;"","; дополнительно: "&amp;O1204,"")&amp;".")</f>
        <v/>
      </c>
      <c r="R1204" s="172">
        <f>IF('Оперативный ввод'!P1204="","",'Оперативный ввод'!P1204)</f>
        <v/>
      </c>
      <c r="S1204" s="172">
        <f>IF('Оперативный ввод'!Q1204="","",'Оперативный ввод'!Q1204)</f>
        <v/>
      </c>
      <c r="T1204" s="172">
        <f>IF('Оперативный ввод'!R1204="","",'Оперативный ввод'!R1204)</f>
        <v/>
      </c>
      <c r="U1204" s="172">
        <f>IF('Оперативный ввод'!S1204="","",'Оперативный ввод'!S1204)</f>
        <v/>
      </c>
      <c r="V1204" s="172">
        <f>IF('Оперативный ввод'!T1204="","",'Оперативный ввод'!T1204)</f>
        <v/>
      </c>
      <c r="W1204" s="172" t="n"/>
      <c r="X1204" s="172" t="n"/>
      <c r="Y1204" s="172" t="n"/>
      <c r="Z1204" s="172" t="n"/>
      <c r="AA1204" s="172">
        <f>IF('Оперативный ввод'!U1204="","",'Оперативный ввод'!U1204)</f>
        <v/>
      </c>
      <c r="AB1204" s="172">
        <f>IF('Оперативный ввод'!V1204="","",'Оперативный ввод'!V1204)</f>
        <v/>
      </c>
      <c r="AC1204" s="172">
        <f>IF('Оперативный ввод'!W1204="","",'Оперативный ввод'!W1204)</f>
        <v/>
      </c>
      <c r="BB1204" s="172" t="n"/>
      <c r="BC1204" s="172" t="n"/>
      <c r="BD1204" s="205">
        <f>IF(AND(A1204="",B1204=""),"",IF(AND(P1204="ГОТОВО",R1204&lt;&gt;"",T1204&lt;&gt;"",U1204&lt;&gt;"",AA1204&lt;&gt;"",AB1204&lt;&gt;"",AC1204&lt;&gt;"",BB1204&lt;&gt;"",BC1204&lt;&gt;""),"ГОТОВО","НЕ ГОТОВО"))</f>
        <v/>
      </c>
      <c r="BE1204" s="205">
        <f>IF(BD1204&lt;&gt;"ГОТОВО","","Полное заключение: "&amp;A1204&amp;", скв. "&amp;B1204&amp;". МРП: "&amp;E1204&amp;" сут. ГНО: "&amp;F1204&amp;"; причина: "&amp;U1204&amp;"; категория: "&amp;V1204&amp;"; решение комиссии: "&amp;BB1204&amp;".")</f>
        <v/>
      </c>
      <c r="BF1204" s="173">
        <f>IF('Оперативный ввод'!X1204="","",'Оперативный ввод'!X1204)</f>
        <v/>
      </c>
    </row>
  </sheetData>
  <mergeCells count="14">
    <mergeCell ref="AD3:AE3"/>
    <mergeCell ref="BD3:BE3"/>
    <mergeCell ref="A1:BF1"/>
    <mergeCell ref="C3:I3"/>
    <mergeCell ref="J3:Q3"/>
    <mergeCell ref="BB3:BC3"/>
    <mergeCell ref="AQ3:AR3"/>
    <mergeCell ref="AF3:AI3"/>
    <mergeCell ref="AJ3:AM3"/>
    <mergeCell ref="A2:BF2"/>
    <mergeCell ref="AW3:AZ3"/>
    <mergeCell ref="AS3:AV3"/>
    <mergeCell ref="AN3:AP3"/>
    <mergeCell ref="A3:B3"/>
  </mergeCells>
  <conditionalFormatting sqref="P5:P1204">
    <cfRule type="expression" priority="1" dxfId="2">
      <formula>P5="ГОТОВО"</formula>
    </cfRule>
    <cfRule type="expression" priority="2" dxfId="3">
      <formula>P5="НЕ ГОТОВО"</formula>
    </cfRule>
  </conditionalFormatting>
  <conditionalFormatting sqref="AF5:AF1204">
    <cfRule type="expression" priority="3" dxfId="2">
      <formula>AF5="ГОТОВО"</formula>
    </cfRule>
    <cfRule type="expression" priority="4" dxfId="3">
      <formula>AF5="НЕ ГОТОВО"</formula>
    </cfRule>
  </conditionalFormatting>
  <dataValidations count="43">
    <dataValidation sqref="F5:F1204" showDropDown="0" showInputMessage="0" showErrorMessage="0" allowBlank="1" type="list">
      <formula1>pump</formula1>
    </dataValidation>
    <dataValidation sqref="I5:I1204" showDropDown="0" showInputMessage="0" showErrorMessage="0" allowBlank="1" type="list">
      <formula1>event</formula1>
    </dataValidation>
    <dataValidation sqref="M5:M1204" showDropDown="0" showInputMessage="0" showErrorMessage="0" allowBlank="1" type="list">
      <formula1>comp</formula1>
    </dataValidation>
    <dataValidation sqref="N5:N1204" showDropDown="0" showInputMessage="0" showErrorMessage="0" allowBlank="1" type="list">
      <formula1>comp</formula1>
    </dataValidation>
    <dataValidation sqref="O5:O1204" showDropDown="0" showInputMessage="0" showErrorMessage="0" allowBlank="1" type="list">
      <formula1>comp</formula1>
    </dataValidation>
    <dataValidation sqref="G5:G1204" showDropDown="0" showInputMessage="0" showErrorMessage="0" allowBlank="1" type="list">
      <formula1>INDIRECT(IF($F5="ШГН","size_shgn",IF($F5="ЭЦН","size_esp",IF($F5="ЭВН","size_evn",IF($F5="ШВН","size_shvn",IF($F5="НПУ-ВД","size_npu","size_all"))))))</formula1>
    </dataValidation>
    <dataValidation sqref="H5:H1204" showDropDown="0" showInputMessage="0" showErrorMessage="0" allowBlank="1" type="list">
      <formula1>INDIRECT(IF($F5="ШГН","brand_shgn",IF($F5="ЭЦН","brand_esp",IF($F5="ЭВН","brand_evn",IF($F5="ШВН","brand_shvn",IF($F5="НПУ-ВД","brand_npu","brand_all"))))))</formula1>
    </dataValidation>
    <dataValidation sqref="J5:J1204" showDropDown="0" showInputMessage="0" showErrorMessage="0" allowBlank="1" type="list">
      <formula1>INDIRECT(IF($F5="ШГН","sign_shgn",IF($F5="ЭЦН","sign_esp",IF($F5="ЭВН","sign_evn",IF($F5="ШВН","sign_shvn",IF($F5="НПУ-ВД","sign_npu","sign_all"))))))</formula1>
    </dataValidation>
    <dataValidation sqref="K5:K1204" showDropDown="0" showInputMessage="0" showErrorMessage="0" allowBlank="1" type="list">
      <formula1>INDIRECT(IF($F5="ШГН","node_shgn",IF($F5="ЭЦН","node_esp",IF($F5="ЭВН","node_evn",IF($F5="ШВН","node_shvn",IF($F5="НПУ-ВД","node_npu","node_all"))))))</formula1>
    </dataValidation>
    <dataValidation sqref="L5:L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R5:R1204" showDropDown="0" showInputMessage="0" showErrorMessage="0" allowBlank="1" type="list">
      <formula1>repair</formula1>
    </dataValidation>
    <dataValidation sqref="S5:S1204" showDropDown="0" showInputMessage="0" showErrorMessage="0" allowBlank="1" type="list">
      <formula1>repair</formula1>
    </dataValidation>
    <dataValidation sqref="T5:T1204" showDropDown="0" showInputMessage="0" showErrorMessage="0" allowBlank="1" type="list">
      <formula1>INDIRECT(IF($F5="ШГН","damage_shgn",IF($F5="ЭЦН","damage_esp",IF($F5="ЭВН","damage_evn",IF($F5="ШВН","damage_shvn",IF($F5="НПУ-ВД","damage_npu","damage_all"))))))</formula1>
    </dataValidation>
    <dataValidation sqref="U5:U1204" showDropDown="0" showInputMessage="0" showErrorMessage="0" allowBlank="1" type="list">
      <formula1>INDIRECT(IF(OR($F5="ЭЦН",$F5="ЭВН"),"cause_esp",IF(OR($F5="ШГН",$F5="ШВН"),"cause_shgn",IF($F5="НПУ-ВД","cause_npu","cause_all"))))</formula1>
    </dataValidation>
    <dataValidation sqref="V5:V1204" showDropDown="0" showInputMessage="0" showErrorMessage="0" allowBlank="1" type="list">
      <formula1>comp</formula1>
    </dataValidation>
    <dataValidation sqref="W5:W1204" showDropDown="0" showInputMessage="0" showErrorMessage="0" allowBlank="1" type="list">
      <formula1>method</formula1>
    </dataValidation>
    <dataValidation sqref="X5:X1204" showDropDown="0" showInputMessage="0" showErrorMessage="0" allowBlank="1" type="list">
      <formula1>method</formula1>
    </dataValidation>
    <dataValidation sqref="Y5:Y1204" showDropDown="0" showInputMessage="0" showErrorMessage="0" allowBlank="1" type="list">
      <formula1>method</formula1>
    </dataValidation>
    <dataValidation sqref="Z5:Z1204" showDropDown="0" showInputMessage="0" showErrorMessage="0" allowBlank="1" type="list">
      <formula1>method</formula1>
    </dataValidation>
    <dataValidation sqref="AA5:AA1204" showDropDown="0" showInputMessage="0" showErrorMessage="0" allowBlank="1" type="list">
      <formula1>proof</formula1>
    </dataValidation>
    <dataValidation sqref="AB5:AB1204" showDropDown="0" showInputMessage="0" showErrorMessage="0" allowBlank="1" type="list">
      <formula1>status</formula1>
    </dataValidation>
    <dataValidation sqref="AC5:AC1204" showDropDown="0" showInputMessage="0" showErrorMessage="0" allowBlank="1" type="list">
      <formula1>confidence</formula1>
    </dataValidation>
    <dataValidation sqref="AD5:AD1204" showDropDown="0" showInputMessage="0" showErrorMessage="0" allowBlank="1" type="list">
      <formula1>nominal</formula1>
    </dataValidation>
    <dataValidation sqref="AI5:AI1204" showDropDown="0" showInputMessage="0" showErrorMessage="0" allowBlank="1" type="list">
      <formula1>workover</formula1>
    </dataValidation>
    <dataValidation sqref="AJ5:AJ1204" showDropDown="0" showInputMessage="0" showErrorMessage="0" allowBlank="1" type="list">
      <formula1>condition</formula1>
    </dataValidation>
    <dataValidation sqref="AN5:AN1204" showDropDown="0" showInputMessage="0" showErrorMessage="0" allowBlank="1" type="list">
      <formula1>condition</formula1>
    </dataValidation>
    <dataValidation sqref="AQ5:AQ1204" showDropDown="0" showInputMessage="0" showErrorMessage="0" allowBlank="1" type="list">
      <formula1>condition</formula1>
    </dataValidation>
    <dataValidation sqref="AT5:AT1204" showDropDown="0" showInputMessage="0" showErrorMessage="0" allowBlank="1" type="list">
      <formula1>condition</formula1>
    </dataValidation>
    <dataValidation sqref="AX5:AX1204" showDropDown="0" showInputMessage="0" showErrorMessage="0" allowBlank="1" type="list">
      <formula1>condition</formula1>
    </dataValidation>
    <dataValidation sqref="AF5:AF1204" showDropDown="0" showInputMessage="0" showErrorMessage="0" allowBlank="1" type="list">
      <formula1>equip_nkt</formula1>
    </dataValidation>
    <dataValidation sqref="AK5:AK1204" showDropDown="0" showInputMessage="0" showErrorMessage="0" allowBlank="1" type="list">
      <formula1>equip_motor_maker</formula1>
    </dataValidation>
    <dataValidation sqref="AL5:AL1204" showDropDown="0" showInputMessage="0" showErrorMessage="0" allowBlank="1" type="list">
      <formula1>equip_motor_size</formula1>
    </dataValidation>
    <dataValidation sqref="AM5:AM1204" showDropDown="0" showInputMessage="0" showErrorMessage="0" allowBlank="1" type="list">
      <formula1>equip_years</formula1>
    </dataValidation>
    <dataValidation sqref="AO5:AO1204" showDropDown="0" showInputMessage="0" showErrorMessage="0" allowBlank="1" type="list">
      <formula1>equip_cable</formula1>
    </dataValidation>
    <dataValidation sqref="AR5:AR1204" showDropDown="0" showInputMessage="0" showErrorMessage="0" allowBlank="1" type="list">
      <formula1>equip_extension</formula1>
    </dataValidation>
    <dataValidation sqref="AU5:AU1204" showDropDown="0" showInputMessage="0" showErrorMessage="0" allowBlank="1" type="list">
      <formula1>equip_hydro_maker</formula1>
    </dataValidation>
    <dataValidation sqref="AV5:AV1204" showDropDown="0" showInputMessage="0" showErrorMessage="0" allowBlank="1" type="list">
      <formula1>equip_hydro_size</formula1>
    </dataValidation>
    <dataValidation sqref="AW5:AW1204" showDropDown="0" showInputMessage="0" showErrorMessage="0" allowBlank="1" type="list">
      <formula1>equip_years</formula1>
    </dataValidation>
    <dataValidation sqref="AY5:AY1204" showDropDown="0" showInputMessage="0" showErrorMessage="0" allowBlank="1" type="list">
      <formula1>equip_tms_maker</formula1>
    </dataValidation>
    <dataValidation sqref="AZ5:AZ1204" showDropDown="0" showInputMessage="0" showErrorMessage="0" allowBlank="1" type="list">
      <formula1>equip_tms_size</formula1>
    </dataValidation>
    <dataValidation sqref="BA5:BA1204" showDropDown="0" showInputMessage="0" showErrorMessage="0" allowBlank="1" type="list">
      <formula1>equip_years</formula1>
    </dataValidation>
    <dataValidation sqref="AH5:AH1204" showDropDown="0" showInputMessage="0" showErrorMessage="0" allowBlank="1" type="list">
      <formula1>equip_years</formula1>
    </dataValidation>
    <dataValidation sqref="AE5:AE1204" showDropDown="0" showInputMessage="0" showErrorMessage="0" allowBlank="1" type="list">
      <formula1>INDIRECT(IF($F5="ШГН","equip_pump_shgn",IF($F5="ЭЦН","equip_pump_esp",IF($F5="ЭВН","equip_pump_evn",IF($F5="ШВН","equip_pump_shvn",IF($F5="НПУ-ВД","equip_pump_npu","equip_pump_all"))))))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4801"/>
  <sheetViews>
    <sheetView workbookViewId="0">
      <selection activeCell="A1" sqref="A1"/>
    </sheetView>
  </sheetViews>
  <sheetFormatPr baseColWidth="8" defaultRowHeight="15"/>
  <cols>
    <col width="80" customWidth="1" style="210" min="1" max="1"/>
    <col width="58" customWidth="1" style="210" min="2" max="2"/>
    <col width="98" customWidth="1" style="210" min="3" max="3"/>
    <col width="68" customWidth="1" style="210" min="4" max="4"/>
    <col width="95" customWidth="1" style="210" min="5" max="5"/>
    <col width="90" customWidth="1" style="210" min="6" max="6"/>
    <col width="75" customWidth="1" style="210" min="7" max="7"/>
    <col width="90" customWidth="1" style="210" min="8" max="8"/>
    <col width="64" customWidth="1" style="210" min="9" max="9"/>
    <col width="95" customWidth="1" style="210" min="10" max="10"/>
    <col width="76" customWidth="1" style="210" min="11" max="11"/>
    <col width="54" customWidth="1" style="210" min="12" max="12"/>
    <col width="43" customWidth="1" style="210" min="13" max="13"/>
    <col width="24" customWidth="1" style="210" min="14" max="14"/>
    <col width="68" customWidth="1" style="210" min="15" max="15"/>
    <col width="37" customWidth="1" style="210" min="17" max="17"/>
    <col width="95" customWidth="1" style="210" min="18" max="18"/>
    <col width="44" customWidth="1" style="210" min="19" max="19"/>
    <col width="66" customWidth="1" style="210" min="20" max="20"/>
    <col width="82" customWidth="1" style="210" min="21" max="21"/>
    <col width="55" customWidth="1" style="210" min="22" max="22"/>
    <col width="35" customWidth="1" style="210" min="24" max="24"/>
    <col width="100" customWidth="1" style="210" min="25" max="25"/>
    <col width="110" customWidth="1" style="210" min="26" max="26"/>
    <col width="48" customWidth="1" style="210" min="27" max="27"/>
    <col width="58" customWidth="1" style="210" min="28" max="28"/>
    <col hidden="1" width="13" customWidth="1" style="210" min="40" max="40"/>
    <col hidden="1" width="13" customWidth="1" style="210" min="41" max="41"/>
    <col hidden="1" width="13" customWidth="1" style="210" min="42" max="42"/>
    <col hidden="1" width="13" customWidth="1" style="210" min="43" max="43"/>
    <col hidden="1" width="13" customWidth="1" style="210" min="44" max="44"/>
    <col hidden="1" width="13" customWidth="1" style="210" min="45" max="45"/>
    <col hidden="1" width="13" customWidth="1" style="210" min="46" max="46"/>
    <col hidden="1" width="13" customWidth="1" style="210" min="47" max="47"/>
    <col hidden="1" width="13" customWidth="1" style="210" min="48" max="48"/>
    <col hidden="1" width="13" customWidth="1" style="210" min="49" max="49"/>
    <col hidden="1" width="13" customWidth="1" style="210" min="50" max="50"/>
    <col hidden="1" width="13" customWidth="1" style="210" min="51" max="51"/>
    <col hidden="1" width="13" customWidth="1" style="210" min="52" max="52"/>
    <col hidden="1" width="13" customWidth="1" style="210" min="53" max="53"/>
    <col hidden="1" width="13" customWidth="1" style="210" min="54" max="54"/>
    <col hidden="1" width="13" customWidth="1" style="210" min="55" max="55"/>
    <col hidden="1" width="13" customWidth="1" style="210" min="56" max="56"/>
    <col hidden="1" width="13" customWidth="1" style="210" min="57" max="57"/>
    <col hidden="1" width="13" customWidth="1" style="210" min="58" max="58"/>
    <col hidden="1" width="13" customWidth="1" style="210" min="59" max="59"/>
    <col hidden="1" width="13" customWidth="1" style="210" min="60" max="60"/>
    <col hidden="1" width="13" customWidth="1" style="210" min="61" max="61"/>
    <col hidden="1" width="13" customWidth="1" style="210" min="62" max="62"/>
    <col hidden="1" width="13" customWidth="1" style="210" min="63" max="63"/>
    <col hidden="1" width="13" customWidth="1" style="210" min="64" max="64"/>
    <col hidden="1" width="13" customWidth="1" style="210" min="65" max="65"/>
    <col hidden="1" width="13" customWidth="1" style="210" min="66" max="66"/>
    <col hidden="1" width="13" customWidth="1" style="210" min="67" max="67"/>
    <col hidden="1" width="13" customWidth="1" style="210" min="68" max="68"/>
    <col hidden="1" width="13" customWidth="1" style="210" min="69" max="69"/>
    <col hidden="1" width="13" customWidth="1" style="210" min="70" max="70"/>
    <col hidden="1" width="13" customWidth="1" style="210" min="71" max="71"/>
    <col hidden="1" width="13" customWidth="1" style="210" min="72" max="72"/>
    <col hidden="1" width="13" customWidth="1" style="210" min="73" max="73"/>
    <col hidden="1" width="13" customWidth="1" style="210" min="74" max="74"/>
    <col hidden="1" width="13" customWidth="1" style="210" min="75" max="75"/>
    <col hidden="1" width="13" customWidth="1" style="210" min="76" max="76"/>
    <col hidden="1" width="13" customWidth="1" style="210" min="77" max="77"/>
    <col hidden="1" width="13" customWidth="1" style="210" min="78" max="78"/>
    <col hidden="1" width="13" customWidth="1" style="210" min="79" max="79"/>
    <col hidden="1" width="13" customWidth="1" style="210" min="80" max="80"/>
    <col hidden="1" width="13" customWidth="1" style="210" min="81" max="81"/>
    <col hidden="1" width="13" customWidth="1" style="210" min="82" max="82"/>
    <col hidden="1" width="13" customWidth="1" style="210" min="83" max="83"/>
    <col hidden="1" width="13" customWidth="1" style="210" min="84" max="84"/>
    <col hidden="1" width="13" customWidth="1" style="210" min="85" max="85"/>
    <col hidden="1" width="13" customWidth="1" style="210" min="86" max="86"/>
    <col hidden="1" width="13" customWidth="1" style="210" min="87" max="87"/>
    <col hidden="1" width="13" customWidth="1" style="210" min="88" max="88"/>
    <col hidden="1" width="13" customWidth="1" style="210" min="89" max="89"/>
    <col hidden="1" width="13" customWidth="1" style="210" min="90" max="90"/>
    <col hidden="1" width="13" customWidth="1" style="210" min="91" max="91"/>
    <col hidden="1" width="13" customWidth="1" style="210" min="92" max="92"/>
    <col hidden="1" width="13" customWidth="1" style="210" min="93" max="93"/>
    <col hidden="1" width="13" customWidth="1" style="210" min="94" max="94"/>
    <col hidden="1" width="13" customWidth="1" style="210" min="95" max="95"/>
    <col hidden="1" width="13" customWidth="1" style="210" min="96" max="96"/>
    <col hidden="1" width="13" customWidth="1" style="210" min="97" max="97"/>
    <col hidden="1" width="13" customWidth="1" style="210" min="98" max="98"/>
    <col hidden="1" width="13" customWidth="1" style="210" min="99" max="99"/>
    <col hidden="1" width="13" customWidth="1" style="210" min="100" max="100"/>
    <col hidden="1" width="13" customWidth="1" style="210" min="101" max="101"/>
    <col hidden="1" width="13" customWidth="1" style="210" min="102" max="102"/>
    <col hidden="1" width="13" customWidth="1" style="210" min="103" max="103"/>
    <col hidden="1" width="13" customWidth="1" style="210" min="104" max="104"/>
    <col hidden="1" width="13" customWidth="1" style="210" min="105" max="105"/>
    <col hidden="1" width="13" customWidth="1" style="210" min="106" max="106"/>
    <col hidden="1" width="13" customWidth="1" style="210" min="107" max="107"/>
    <col hidden="1" width="13" customWidth="1" style="210" min="108" max="108"/>
    <col hidden="1" width="13" customWidth="1" style="210" min="109" max="109"/>
    <col hidden="1" width="13" customWidth="1" style="210" min="110" max="110"/>
    <col hidden="1" width="13" customWidth="1" style="210" min="111" max="111"/>
    <col hidden="1" width="13" customWidth="1" style="210" min="112" max="112"/>
    <col hidden="1" width="13" customWidth="1" style="210" min="113" max="113"/>
    <col hidden="1" width="13" customWidth="1" style="210" min="114" max="114"/>
    <col hidden="1" width="13" customWidth="1" style="210" min="115" max="115"/>
    <col hidden="1" width="13" customWidth="1" style="210" min="116" max="116"/>
  </cols>
  <sheetData>
    <row r="1">
      <c r="A1" s="7" t="inlineStr">
        <is>
          <t>Тип насоса</t>
        </is>
      </c>
      <c r="B1" s="8" t="inlineStr">
        <is>
          <t>Тип события</t>
        </is>
      </c>
      <c r="C1" s="8" t="inlineStr">
        <is>
          <t>Признак / предпосылка</t>
        </is>
      </c>
      <c r="D1" s="8" t="inlineStr">
        <is>
          <t>Отказавший узел</t>
        </is>
      </c>
      <c r="E1" s="8" t="inlineStr">
        <is>
          <t>Предварительная причина</t>
        </is>
      </c>
      <c r="F1" s="8" t="inlineStr">
        <is>
          <t>Основная категория</t>
        </is>
      </c>
      <c r="G1" s="8" t="inlineStr">
        <is>
          <t>Сопутствующая категория</t>
        </is>
      </c>
      <c r="H1" s="9" t="inlineStr">
        <is>
          <t>ТКРС</t>
        </is>
      </c>
      <c r="I1" t="inlineStr">
        <is>
          <t>Вид повреждения</t>
        </is>
      </c>
      <c r="J1" s="42" t="inlineStr">
        <is>
          <t>Итоговая причина</t>
        </is>
      </c>
      <c r="K1" s="43" t="inlineStr">
        <is>
          <t>Уточнённая категория</t>
        </is>
      </c>
      <c r="L1" s="43" t="inlineStr">
        <is>
          <t>Подтверждение</t>
        </is>
      </c>
      <c r="M1" s="43" t="inlineStr">
        <is>
          <t>Статус расследования</t>
        </is>
      </c>
      <c r="N1" s="44" t="inlineStr">
        <is>
          <t>Достоверность</t>
        </is>
      </c>
      <c r="O1" t="inlineStr">
        <is>
          <t>Метод борьбы</t>
        </is>
      </c>
      <c r="Q1" t="inlineStr">
        <is>
          <t>Поле</t>
        </is>
      </c>
      <c r="R1" t="inlineStr">
        <is>
          <t>Источник</t>
        </is>
      </c>
      <c r="S1" t="inlineStr">
        <is>
          <t>Правило</t>
        </is>
      </c>
      <c r="V1" s="234" t="n"/>
      <c r="W1" s="234" t="n"/>
      <c r="X1" s="234" t="inlineStr">
        <is>
          <t>Техническая проверка перечней</t>
        </is>
      </c>
      <c r="Y1" s="234" t="inlineStr">
        <is>
          <t>Вывод</t>
        </is>
      </c>
      <c r="Z1" s="234" t="inlineStr">
        <is>
          <t>Первичный источник</t>
        </is>
      </c>
      <c r="AA1" s="234" t="inlineStr">
        <is>
          <t>Типоразмер ГНО</t>
        </is>
      </c>
      <c r="AB1" s="234" t="inlineStr">
        <is>
          <t>Марка ГНО</t>
        </is>
      </c>
      <c r="AC1" s="234" t="n"/>
      <c r="AD1" s="234" t="n"/>
      <c r="AE1" s="234" t="n"/>
      <c r="AF1" s="234" t="n"/>
      <c r="AG1" s="234" t="n"/>
      <c r="AH1" s="234" t="n"/>
      <c r="AI1" s="234" t="n"/>
      <c r="AJ1" s="234" t="n"/>
      <c r="AK1" s="234" t="n"/>
      <c r="AL1" s="234" t="n"/>
      <c r="AM1" s="234" t="n"/>
      <c r="AN1" t="inlineStr">
        <is>
          <t>pump</t>
        </is>
      </c>
      <c r="AO1" t="inlineStr">
        <is>
          <t>event</t>
        </is>
      </c>
      <c r="AP1" t="inlineStr">
        <is>
          <t>sign_esp</t>
        </is>
      </c>
      <c r="AQ1" t="inlineStr">
        <is>
          <t>sign_shgn</t>
        </is>
      </c>
      <c r="AR1" t="inlineStr">
        <is>
          <t>sign_vin</t>
        </is>
      </c>
      <c r="AS1" t="inlineStr">
        <is>
          <t>sign_npu</t>
        </is>
      </c>
      <c r="AT1" t="inlineStr">
        <is>
          <t>node_esp</t>
        </is>
      </c>
      <c r="AU1" t="inlineStr">
        <is>
          <t>node_shgn</t>
        </is>
      </c>
      <c r="AV1" t="inlineStr">
        <is>
          <t>node_vin</t>
        </is>
      </c>
      <c r="AW1" t="inlineStr">
        <is>
          <t>node_npu</t>
        </is>
      </c>
      <c r="AX1" t="inlineStr">
        <is>
          <t>cause_esp</t>
        </is>
      </c>
      <c r="AY1" t="inlineStr">
        <is>
          <t>cause_shgn</t>
        </is>
      </c>
      <c r="AZ1" t="inlineStr">
        <is>
          <t>comp</t>
        </is>
      </c>
      <c r="BA1" t="inlineStr">
        <is>
          <t>repair</t>
        </is>
      </c>
      <c r="BB1" t="inlineStr">
        <is>
          <t>damage_esp</t>
        </is>
      </c>
      <c r="BC1" t="inlineStr">
        <is>
          <t>damage_shgn</t>
        </is>
      </c>
      <c r="BD1" t="inlineStr">
        <is>
          <t>damage_vin</t>
        </is>
      </c>
      <c r="BE1" t="inlineStr">
        <is>
          <t>damage_npu</t>
        </is>
      </c>
      <c r="BF1" t="inlineStr">
        <is>
          <t>proof</t>
        </is>
      </c>
      <c r="BG1" t="inlineStr">
        <is>
          <t>status</t>
        </is>
      </c>
      <c r="BH1" t="inlineStr">
        <is>
          <t>confidence</t>
        </is>
      </c>
      <c r="BI1" t="inlineStr">
        <is>
          <t>method</t>
        </is>
      </c>
      <c r="BJ1" t="inlineStr">
        <is>
          <t>size_shgn</t>
        </is>
      </c>
      <c r="BK1" t="inlineStr">
        <is>
          <t>size_esp</t>
        </is>
      </c>
      <c r="BL1" t="inlineStr">
        <is>
          <t>size_evn</t>
        </is>
      </c>
      <c r="BM1" t="inlineStr">
        <is>
          <t>brand_shgn</t>
        </is>
      </c>
      <c r="BN1" t="inlineStr">
        <is>
          <t>brand_esp</t>
        </is>
      </c>
      <c r="BO1" t="inlineStr">
        <is>
          <t>brand_evn</t>
        </is>
      </c>
      <c r="BP1" t="inlineStr">
        <is>
          <t>brand_npu</t>
        </is>
      </c>
      <c r="BQ1" t="inlineStr">
        <is>
          <t>condition</t>
        </is>
      </c>
      <c r="BR1" t="inlineStr">
        <is>
          <t>tubing</t>
        </is>
      </c>
      <c r="BS1" t="inlineStr">
        <is>
          <t>workover</t>
        </is>
      </c>
      <c r="BT1" t="inlineStr">
        <is>
          <t>nominal</t>
        </is>
      </c>
      <c r="BU1" t="inlineStr">
        <is>
          <t>empty</t>
        </is>
      </c>
      <c r="BV1" t="inlineStr">
        <is>
          <t>size_shvn</t>
        </is>
      </c>
      <c r="BW1" t="inlineStr">
        <is>
          <t>size_npu</t>
        </is>
      </c>
      <c r="BX1" t="inlineStr">
        <is>
          <t>brand_shvn</t>
        </is>
      </c>
      <c r="BY1" t="inlineStr">
        <is>
          <t>cause_npu</t>
        </is>
      </c>
      <c r="BZ1" t="inlineStr">
        <is>
          <t>sign_shvn</t>
        </is>
      </c>
      <c r="CA1" t="inlineStr">
        <is>
          <t>sign_evn</t>
        </is>
      </c>
      <c r="CB1" t="inlineStr">
        <is>
          <t>node_shvn</t>
        </is>
      </c>
      <c r="CC1" t="inlineStr">
        <is>
          <t>node_evn</t>
        </is>
      </c>
      <c r="CD1" t="inlineStr">
        <is>
          <t>damage_shvn</t>
        </is>
      </c>
      <c r="CE1" t="inlineStr">
        <is>
          <t>damage_evn</t>
        </is>
      </c>
      <c r="CF1" t="inlineStr">
        <is>
          <t>size_all</t>
        </is>
      </c>
      <c r="CG1" t="inlineStr">
        <is>
          <t>brand_all</t>
        </is>
      </c>
      <c r="CH1" t="inlineStr">
        <is>
          <t>sign_all</t>
        </is>
      </c>
      <c r="CI1" t="inlineStr">
        <is>
          <t>node_all</t>
        </is>
      </c>
      <c r="CJ1" t="inlineStr">
        <is>
          <t>cause_all</t>
        </is>
      </c>
      <c r="CK1" t="inlineStr">
        <is>
          <t>damage_all</t>
        </is>
      </c>
      <c r="CL1" t="inlineStr">
        <is>
          <t>equip_motor_maker</t>
        </is>
      </c>
      <c r="CM1" t="inlineStr">
        <is>
          <t>equip_motor_size</t>
        </is>
      </c>
      <c r="CN1" t="inlineStr">
        <is>
          <t>equip_cable</t>
        </is>
      </c>
      <c r="CO1" t="inlineStr">
        <is>
          <t>equip_extension</t>
        </is>
      </c>
      <c r="CP1" t="inlineStr">
        <is>
          <t>equip_hydro_maker</t>
        </is>
      </c>
      <c r="CQ1" t="inlineStr">
        <is>
          <t>equip_hydro_size</t>
        </is>
      </c>
      <c r="CR1" t="inlineStr">
        <is>
          <t>equip_tms_maker</t>
        </is>
      </c>
      <c r="CS1" t="inlineStr">
        <is>
          <t>equip_tms_size</t>
        </is>
      </c>
      <c r="CT1" t="inlineStr">
        <is>
          <t>equip_pump_shgn</t>
        </is>
      </c>
      <c r="CU1" t="inlineStr">
        <is>
          <t>equip_pump_esp</t>
        </is>
      </c>
      <c r="CV1" t="inlineStr">
        <is>
          <t>equip_pump_evn</t>
        </is>
      </c>
      <c r="CW1" t="inlineStr">
        <is>
          <t>equip_pump_npu</t>
        </is>
      </c>
      <c r="CX1" t="inlineStr">
        <is>
          <t>equip_pump_shvn</t>
        </is>
      </c>
      <c r="CY1" t="inlineStr">
        <is>
          <t>equip_pump_all</t>
        </is>
      </c>
      <c r="CZ1" t="inlineStr">
        <is>
          <t>equip_nkt</t>
        </is>
      </c>
      <c r="DA1" t="inlineStr">
        <is>
          <t>equip_years</t>
        </is>
      </c>
      <c r="DB1" t="inlineStr">
        <is>
          <t>Новые годы: исходные вводы</t>
        </is>
      </c>
      <c r="DC1" t="inlineStr">
        <is>
          <t>Первое новое значение: equip_pump_shgn</t>
        </is>
      </c>
      <c r="DD1" t="inlineStr">
        <is>
          <t>Первое новое значение: equip_pump_esp</t>
        </is>
      </c>
      <c r="DE1" t="inlineStr">
        <is>
          <t>Первое новое значение: equip_pump_evn</t>
        </is>
      </c>
      <c r="DF1" t="inlineStr">
        <is>
          <t>Первое новое значение: equip_pump_shvn</t>
        </is>
      </c>
      <c r="DG1" t="inlineStr">
        <is>
          <t>Первое новое значение: equip_pump_npu</t>
        </is>
      </c>
      <c r="DH1" t="inlineStr">
        <is>
          <t>Первое новое значение: equip_pump_all</t>
        </is>
      </c>
      <c r="DI1" t="inlineStr">
        <is>
          <t>Первое новое значение: equip_motor_maker</t>
        </is>
      </c>
      <c r="DJ1" t="inlineStr">
        <is>
          <t>Первое новое значение: equip_hydro_maker</t>
        </is>
      </c>
      <c r="DK1" t="inlineStr">
        <is>
          <t>Первое новое значение: equip_tms_maker</t>
        </is>
      </c>
      <c r="DL1" t="inlineStr">
        <is>
          <t>Первое новое значение: equip_years</t>
        </is>
      </c>
    </row>
    <row r="2">
      <c r="A2" s="22" t="inlineStr">
        <is>
          <t>ШГН</t>
        </is>
      </c>
      <c r="B2" s="23" t="inlineStr">
        <is>
          <t>Подтверждённый отказ</t>
        </is>
      </c>
      <c r="C2" s="23" t="inlineStr">
        <is>
          <t>Снижение подачи</t>
        </is>
      </c>
      <c r="D2" s="23" t="inlineStr">
        <is>
          <t>Насос</t>
        </is>
      </c>
      <c r="E2" s="23" t="inlineStr">
        <is>
          <t>1.1 — Механическое повреждение кабеля [УЭЦН]</t>
        </is>
      </c>
      <c r="F2" s="23" t="inlineStr">
        <is>
          <t>А1 — АСПО</t>
        </is>
      </c>
      <c r="G2" s="23" t="inlineStr">
        <is>
          <t>А1 — АСПО</t>
        </is>
      </c>
      <c r="H2" s="24" t="inlineStr">
        <is>
          <t>КР1-1 — Отключение отдельных интервалов и пропластков объекта эксплуатации.</t>
        </is>
      </c>
      <c r="I2" t="inlineStr">
        <is>
          <t>Механическое повреждение</t>
        </is>
      </c>
      <c r="J2" s="62" t="inlineStr">
        <is>
          <t>1.1 — Механическое повреждение кабеля [УЭЦН]</t>
        </is>
      </c>
      <c r="K2" s="62" t="inlineStr">
        <is>
          <t>А1 — АСПО</t>
        </is>
      </c>
      <c r="L2" s="62" t="inlineStr">
        <is>
          <t>Акт комиссии</t>
        </is>
      </c>
      <c r="M2" s="62" t="inlineStr">
        <is>
          <t>Расследование продолжается</t>
        </is>
      </c>
      <c r="N2" s="62" t="inlineStr">
        <is>
          <t>Не оценена</t>
        </is>
      </c>
      <c r="O2" t="inlineStr">
        <is>
          <t>Удаление АСПО горячей нефтью</t>
        </is>
      </c>
      <c r="Q2" t="inlineStr">
        <is>
          <t>Типоразмер ГНО</t>
        </is>
      </c>
      <c r="R2" t="inlineStr">
        <is>
          <t>ГОСТ 31835-2012; Новомет; ГМС Ливгидромаш — примеры, фактический паспорт имеет приоритет</t>
        </is>
      </c>
      <c r="S2" t="inlineStr">
        <is>
          <t>Выбор из списка; отсутствующий паспортный типоразмер/марку вписать вручную</t>
        </is>
      </c>
      <c r="X2" t="inlineStr">
        <is>
          <t>Разделение данных</t>
        </is>
      </c>
      <c r="Y2" t="inlineStr">
        <is>
          <t>Признак, отказавший узел, повреждение, причина и ремонт ведутся отдельно</t>
        </is>
      </c>
      <c r="Z2" t="inlineStr">
        <is>
          <t>https://www.iso.org/standard/64076.html</t>
        </is>
      </c>
      <c r="AA2" t="inlineStr">
        <is>
          <t>ШГН — 27 мм</t>
        </is>
      </c>
      <c r="AB2" t="inlineStr">
        <is>
          <t>ШГН — серия НВ1С-27</t>
        </is>
      </c>
      <c r="AN2" t="inlineStr">
        <is>
          <t>ШГН</t>
        </is>
      </c>
      <c r="AO2" t="inlineStr">
        <is>
          <t>Подтверждённый отказ</t>
        </is>
      </c>
      <c r="AP2" t="inlineStr">
        <is>
          <t>Снижение подачи</t>
        </is>
      </c>
      <c r="AQ2" t="inlineStr">
        <is>
          <t>Снижение подачи</t>
        </is>
      </c>
      <c r="AR2" t="inlineStr">
        <is>
          <t>Снижение подачи</t>
        </is>
      </c>
      <c r="AS2" t="inlineStr">
        <is>
          <t>Снижение подачи</t>
        </is>
      </c>
      <c r="AT2" t="inlineStr">
        <is>
          <t>Насос</t>
        </is>
      </c>
      <c r="AU2" t="inlineStr">
        <is>
          <t>Насос</t>
        </is>
      </c>
      <c r="AV2" t="inlineStr">
        <is>
          <t>Насос</t>
        </is>
      </c>
      <c r="AW2" t="inlineStr">
        <is>
          <t>Насос</t>
        </is>
      </c>
      <c r="AX2" t="inlineStr">
        <is>
          <t>1.1 — Механическое повреждение кабеля [УЭЦН]</t>
        </is>
      </c>
      <c r="AY2" t="inlineStr">
        <is>
          <t>1.1 — Нарушение глубины спуска [УШГН]</t>
        </is>
      </c>
      <c r="AZ2" t="inlineStr">
        <is>
          <t>А1 — АСПО</t>
        </is>
      </c>
      <c r="BA2" t="inlineStr">
        <is>
          <t>КР1-1 — Отключение отдельных интервалов и пропластков объекта эксплуатации.</t>
        </is>
      </c>
      <c r="BB2" t="inlineStr">
        <is>
          <t>Механическое повреждение</t>
        </is>
      </c>
      <c r="BC2" t="inlineStr">
        <is>
          <t>Механическое повреждение</t>
        </is>
      </c>
      <c r="BD2" t="inlineStr">
        <is>
          <t>Механическое повреждение</t>
        </is>
      </c>
      <c r="BE2" t="inlineStr">
        <is>
          <t>Механическое повреждение</t>
        </is>
      </c>
      <c r="BF2" t="inlineStr">
        <is>
          <t>Акт комиссии</t>
        </is>
      </c>
      <c r="BG2" t="inlineStr">
        <is>
          <t>Расследование продолжается</t>
        </is>
      </c>
      <c r="BH2" t="inlineStr">
        <is>
          <t>Не оценена</t>
        </is>
      </c>
      <c r="BI2" t="inlineStr">
        <is>
          <t>Удаление АСПО горячей нефтью</t>
        </is>
      </c>
      <c r="BJ2" t="inlineStr">
        <is>
          <t>ШГН — 27 мм</t>
        </is>
      </c>
      <c r="BK2" t="inlineStr">
        <is>
          <t>ЭЦН — габарит 5</t>
        </is>
      </c>
      <c r="BL2" t="inlineStr">
        <is>
          <t>ЭВН — габарит 5</t>
        </is>
      </c>
      <c r="BM2" t="inlineStr">
        <is>
          <t>ШГН — серия НВ1С-27</t>
        </is>
      </c>
      <c r="BN2" t="inlineStr">
        <is>
          <t>ЭЦН — серия УЭЦН-5</t>
        </is>
      </c>
      <c r="BO2" t="inlineStr">
        <is>
          <t>ЭВН 5-16-1200</t>
        </is>
      </c>
      <c r="BP2" t="inlineStr">
        <is>
          <t>НПУ-ВД-М</t>
        </is>
      </c>
      <c r="BQ2" t="inlineStr">
        <is>
          <t>Новое</t>
        </is>
      </c>
      <c r="BR2" t="inlineStr">
        <is>
          <t>НКТ гладкая</t>
        </is>
      </c>
      <c r="BS2" t="inlineStr">
        <is>
          <t>Спуск</t>
        </is>
      </c>
      <c r="BT2" t="inlineStr">
        <is>
          <t>27 мм</t>
        </is>
      </c>
      <c r="BV2" t="inlineStr">
        <is>
          <t>ШВН — типоразмер уточнить по паспорту</t>
        </is>
      </c>
      <c r="BW2" t="inlineStr">
        <is>
          <t>НПУ-ВД — типоразмер уточнить по паспорту</t>
        </is>
      </c>
      <c r="BX2" t="inlineStr">
        <is>
          <t>ШВН — марку уточнить по паспорту</t>
        </is>
      </c>
      <c r="BY2" t="inlineStr">
        <is>
          <t>Причина НПУ-ВД — уточнить по результатам расследования</t>
        </is>
      </c>
      <c r="BZ2" t="inlineStr">
        <is>
          <t>Снижение подачи</t>
        </is>
      </c>
      <c r="CA2" t="inlineStr">
        <is>
          <t>Снижение подачи</t>
        </is>
      </c>
      <c r="CB2" t="inlineStr">
        <is>
          <t>Насос</t>
        </is>
      </c>
      <c r="CC2" t="inlineStr">
        <is>
          <t>Насос</t>
        </is>
      </c>
      <c r="CD2" t="inlineStr">
        <is>
          <t>Механическое повреждение</t>
        </is>
      </c>
      <c r="CE2" t="inlineStr">
        <is>
          <t>Механическое повреждение</t>
        </is>
      </c>
      <c r="CF2" t="inlineStr">
        <is>
          <t>ШГН — 27 мм</t>
        </is>
      </c>
      <c r="CG2" t="inlineStr">
        <is>
          <t>ШГН — серия НВ1С-27</t>
        </is>
      </c>
      <c r="CH2" t="inlineStr">
        <is>
          <t>Снижение подачи</t>
        </is>
      </c>
      <c r="CI2" t="inlineStr">
        <is>
          <t>Насос</t>
        </is>
      </c>
      <c r="CJ2" t="inlineStr">
        <is>
          <t>1.1 — Механическое повреждение кабеля [УЭЦН]</t>
        </is>
      </c>
      <c r="CK2" t="inlineStr">
        <is>
          <t>Механическое повреждение</t>
        </is>
      </c>
      <c r="CL2" t="inlineStr">
        <is>
          <t>Новомет</t>
        </is>
      </c>
      <c r="CM2" t="inlineStr">
        <is>
          <t>ПЭД — габарит 96 мм</t>
        </is>
      </c>
      <c r="CN2" t="inlineStr">
        <is>
          <t>КПпБП-120 3×10</t>
        </is>
      </c>
      <c r="CO2" t="inlineStr">
        <is>
          <t>КПпБП-120 3×10 (удлинитель)</t>
        </is>
      </c>
      <c r="CP2" t="inlineStr">
        <is>
          <t>Новомет</t>
        </is>
      </c>
      <c r="CQ2" t="inlineStr">
        <is>
          <t>Модульная гидрозащита — 69 мм</t>
        </is>
      </c>
      <c r="CR2" t="inlineStr">
        <is>
          <t>Новомет</t>
        </is>
      </c>
      <c r="CS2" t="inlineStr">
        <is>
          <t>ТМС-Новомет</t>
        </is>
      </c>
      <c r="CT2" t="inlineStr">
        <is>
          <t>AmasEnergy</t>
        </is>
      </c>
      <c r="CU2" t="inlineStr">
        <is>
          <t>Новомет</t>
        </is>
      </c>
      <c r="CV2" t="inlineStr">
        <is>
          <t>ГМС Ливгидромаш</t>
        </is>
      </c>
      <c r="CW2" t="inlineStr">
        <is>
          <t>РИТЭК</t>
        </is>
      </c>
      <c r="CX2" t="inlineStr">
        <is>
          <t>Производитель ШВН — уточнить по паспорту</t>
        </is>
      </c>
      <c r="CY2" t="inlineStr">
        <is>
          <t>AmasEnergy</t>
        </is>
      </c>
      <c r="CZ2" t="inlineStr">
        <is>
          <t>НКТ гладкая 60×5 мм</t>
        </is>
      </c>
      <c r="DA2" t="n">
        <v>2035</v>
      </c>
      <c r="DB2">
        <f>IF('История отказов'!AH5="","",'История отказов'!AH5)</f>
        <v/>
      </c>
      <c r="DC2">
        <f>IF('История отказов'!AE5="","",IF(AND(COUNTIF($CT$2:$CT$2,'История отказов'!AE5)=0,COUNTIFS('История отказов'!$F$5:F5,"ШГН",'История отказов'!$AE$5:AE5,'История отказов'!AE5)=1,'История отказов'!F5="ШГН"),1,""))</f>
        <v/>
      </c>
      <c r="DD2">
        <f>IF('История отказов'!AE5="","",IF(AND(COUNTIF($CU$2:$CU$3,'История отказов'!AE5)=0,COUNTIFS('История отказов'!$F$5:F5,"ЭЦН",'История отказов'!$AE$5:AE5,'История отказов'!AE5)=1,'История отказов'!F5="ЭЦН"),1,""))</f>
        <v/>
      </c>
      <c r="DE2">
        <f>IF('История отказов'!AE5="","",IF(AND(COUNTIF($CV$2:$CV$3,'История отказов'!AE5)=0,COUNTIFS('История отказов'!$F$5:F5,"ЭВН",'История отказов'!$AE$5:AE5,'История отказов'!AE5)=1,'История отказов'!F5="ЭВН"),1,""))</f>
        <v/>
      </c>
      <c r="DF2">
        <f>IF('История отказов'!AE5="","",IF(AND(COUNTIF($CX$2:$CX$2,'История отказов'!AE5)=0,COUNTIFS('История отказов'!$F$5:F5,"ШВН",'История отказов'!$AE$5:AE5,'История отказов'!AE5)=1,'История отказов'!F5="ШВН"),1,""))</f>
        <v/>
      </c>
      <c r="DG2">
        <f>IF('История отказов'!AE5="","",IF(AND(COUNTIF($CW$2:$CW$2,'История отказов'!AE5)=0,COUNTIFS('История отказов'!$F$5:F5,"НПУ-ВД",'История отказов'!$AE$5:AE5,'История отказов'!AE5)=1,'История отказов'!F5="НПУ-ВД"),1,""))</f>
        <v/>
      </c>
      <c r="DH2">
        <f>IF('История отказов'!AE5="","",IF(AND(COUNTIF($CY$2:$CY$6,'История отказов'!AE5)=0,COUNTIF('История отказов'!$AE$5:AE5,'История отказов'!AE5)=1),1,""))</f>
        <v/>
      </c>
      <c r="DI2">
        <f>IF('История отказов'!AK5="","",IF(AND(COUNTIF($CL$2:$CL$3,'История отказов'!AK5)=0,COUNTIF('История отказов'!$AK$5:AK5,'История отказов'!AK5)=1),1,""))</f>
        <v/>
      </c>
      <c r="DJ2">
        <f>IF('История отказов'!AU5="","",IF(AND(COUNTIF($CP$2:$CP$3,'История отказов'!AU5)=0,COUNTIF('История отказов'!$AU$5:AU5,'История отказов'!AU5)=1),1,""))</f>
        <v/>
      </c>
      <c r="DK2">
        <f>IF('История отказов'!AY5="","",IF(AND(COUNTIF($CR$2:$CR$2,'История отказов'!AY5)=0,COUNTIF('История отказов'!$AY$5:AY5,'История отказов'!AY5)=1),1,""))</f>
        <v/>
      </c>
      <c r="DL2">
        <f>IF(DB2="","",IF(AND(COUNTIF($DA$2:$DA$47,DB2)=0,COUNTIF($DB$2:DB2,DB2)=1),1,""))</f>
        <v/>
      </c>
    </row>
    <row r="3">
      <c r="A3" t="inlineStr">
        <is>
          <t>ЭЦН</t>
        </is>
      </c>
      <c r="B3" t="inlineStr">
        <is>
          <t>Предварительный отказ</t>
        </is>
      </c>
      <c r="C3" t="inlineStr">
        <is>
          <t>Отсутствие подачи</t>
        </is>
      </c>
      <c r="D3" t="inlineStr">
        <is>
          <t>Рабочие органы насоса</t>
        </is>
      </c>
      <c r="E3" t="inlineStr">
        <is>
          <t>1.2 — Нарушение глубины спуска [УЭЦН]</t>
        </is>
      </c>
      <c r="F3" t="inlineStr">
        <is>
          <t>А2 — АСПО</t>
        </is>
      </c>
      <c r="G3" t="inlineStr">
        <is>
          <t>А2 — АСПО</t>
        </is>
      </c>
      <c r="H3" t="inlineStr">
        <is>
          <t>КР1-2 — Отключение отдельных пластов.</t>
        </is>
      </c>
      <c r="I3" t="inlineStr">
        <is>
          <t>Абразивный износ</t>
        </is>
      </c>
      <c r="J3" s="62" t="inlineStr">
        <is>
          <t>1.2 — Нарушение глубины спуска [УЭЦН]</t>
        </is>
      </c>
      <c r="K3" s="62" t="inlineStr">
        <is>
          <t>А2 — АСПО</t>
        </is>
      </c>
      <c r="L3" s="62" t="inlineStr">
        <is>
          <t>Дефектовочная ведомость</t>
        </is>
      </c>
      <c r="M3" s="62" t="inlineStr">
        <is>
          <t>Вероятная причина</t>
        </is>
      </c>
      <c r="N3" s="62" t="inlineStr">
        <is>
          <t>Низкая</t>
        </is>
      </c>
      <c r="O3" t="inlineStr">
        <is>
          <t>Удаление АСПО углеводородным растворителем</t>
        </is>
      </c>
      <c r="Q3" t="inlineStr">
        <is>
          <t>Марка ГНО</t>
        </is>
      </c>
      <c r="R3" t="inlineStr">
        <is>
          <t>ГОСТ 31835-2012; Новомет; ГМС Ливгидромаш; РИТЭК — неполный перечень</t>
        </is>
      </c>
      <c r="S3" t="inlineStr">
        <is>
          <t>Выбор из списка; отсутствующий паспортный типоразмер/марку вписать вручную</t>
        </is>
      </c>
      <c r="X3" t="inlineStr">
        <is>
          <t>ЭЦН — наблюдения</t>
        </is>
      </c>
      <c r="Y3" t="inlineStr">
        <is>
          <t>Ток, температура, вибрация и ток утечки являются измерениями; диагноз требует анализа</t>
        </is>
      </c>
      <c r="Z3" t="inlineStr">
        <is>
          <t>https://www.slb.com/products-and-services/innovating-in-oil-and-gas/completions/artificial-lift/intelligent-lift/gauges/phoenix-xt150-downhole-monitoring-system</t>
        </is>
      </c>
      <c r="AA3" t="inlineStr">
        <is>
          <t>ШГН — 32 мм</t>
        </is>
      </c>
      <c r="AB3" t="inlineStr">
        <is>
          <t>ШГН — серия НВ1С-32</t>
        </is>
      </c>
      <c r="AN3" t="inlineStr">
        <is>
          <t>ЭЦН</t>
        </is>
      </c>
      <c r="AO3" t="inlineStr">
        <is>
          <t>Предварительный отказ</t>
        </is>
      </c>
      <c r="AP3" t="inlineStr">
        <is>
          <t>Отсутствие подачи</t>
        </is>
      </c>
      <c r="AQ3" t="inlineStr">
        <is>
          <t>Отсутствие подачи</t>
        </is>
      </c>
      <c r="AR3" t="inlineStr">
        <is>
          <t>Отсутствие подачи</t>
        </is>
      </c>
      <c r="AS3" t="inlineStr">
        <is>
          <t>Отсутствие подачи</t>
        </is>
      </c>
      <c r="AT3" t="inlineStr">
        <is>
          <t>Рабочие органы насоса</t>
        </is>
      </c>
      <c r="AU3" t="inlineStr">
        <is>
          <t>Рабочие органы насоса</t>
        </is>
      </c>
      <c r="AV3" t="inlineStr">
        <is>
          <t>Рабочие органы насоса</t>
        </is>
      </c>
      <c r="AW3" t="inlineStr">
        <is>
          <t>Рабочие органы насоса</t>
        </is>
      </c>
      <c r="AX3" t="inlineStr">
        <is>
          <t>1.2 — Нарушение глубины спуска [УЭЦН]</t>
        </is>
      </c>
      <c r="AY3" t="inlineStr">
        <is>
          <t>1.2 — Некачественная подготовка скважины [УШГН]</t>
        </is>
      </c>
      <c r="AZ3" t="inlineStr">
        <is>
          <t>А2 — АСПО</t>
        </is>
      </c>
      <c r="BA3" t="inlineStr">
        <is>
          <t>КР1-2 — Отключение отдельных пластов.</t>
        </is>
      </c>
      <c r="BB3" t="inlineStr">
        <is>
          <t>Абразивный износ</t>
        </is>
      </c>
      <c r="BC3" t="inlineStr">
        <is>
          <t>Абразивный износ</t>
        </is>
      </c>
      <c r="BD3" t="inlineStr">
        <is>
          <t>Абразивный износ</t>
        </is>
      </c>
      <c r="BE3" t="inlineStr">
        <is>
          <t>Абразивный износ</t>
        </is>
      </c>
      <c r="BF3" t="inlineStr">
        <is>
          <t>Дефектовочная ведомость</t>
        </is>
      </c>
      <c r="BG3" t="inlineStr">
        <is>
          <t>Вероятная причина</t>
        </is>
      </c>
      <c r="BH3" t="inlineStr">
        <is>
          <t>Низкая</t>
        </is>
      </c>
      <c r="BI3" t="inlineStr">
        <is>
          <t>Удаление АСПО углеводородным растворителем</t>
        </is>
      </c>
      <c r="BJ3" t="inlineStr">
        <is>
          <t>ШГН — 32 мм</t>
        </is>
      </c>
      <c r="BK3" t="inlineStr">
        <is>
          <t>ЭЦН — габарит 5У</t>
        </is>
      </c>
      <c r="BM3" t="inlineStr">
        <is>
          <t>ШГН — серия НВ1С-32</t>
        </is>
      </c>
      <c r="BN3" t="inlineStr">
        <is>
          <t>ЭЦН — серия УЭЦН-5У</t>
        </is>
      </c>
      <c r="BO3" t="inlineStr">
        <is>
          <t>ЭВН 5-16-1500</t>
        </is>
      </c>
      <c r="BQ3" t="inlineStr">
        <is>
          <t>После ремонта</t>
        </is>
      </c>
      <c r="BR3" t="inlineStr">
        <is>
          <t>НКТ с высаженными концами</t>
        </is>
      </c>
      <c r="BS3" t="inlineStr">
        <is>
          <t>Подъём</t>
        </is>
      </c>
      <c r="BT3" t="inlineStr">
        <is>
          <t>32 мм</t>
        </is>
      </c>
      <c r="BZ3" t="inlineStr">
        <is>
          <t>Отсутствие подачи</t>
        </is>
      </c>
      <c r="CA3" t="inlineStr">
        <is>
          <t>Отсутствие подачи</t>
        </is>
      </c>
      <c r="CB3" t="inlineStr">
        <is>
          <t>Рабочие органы насоса</t>
        </is>
      </c>
      <c r="CC3" t="inlineStr">
        <is>
          <t>Рабочие органы насоса</t>
        </is>
      </c>
      <c r="CD3" t="inlineStr">
        <is>
          <t>Абразивный износ</t>
        </is>
      </c>
      <c r="CE3" t="inlineStr">
        <is>
          <t>Абразивный износ</t>
        </is>
      </c>
      <c r="CF3" t="inlineStr">
        <is>
          <t>ШГН — 32 мм</t>
        </is>
      </c>
      <c r="CG3" t="inlineStr">
        <is>
          <t>ШГН — серия НВ1С-32</t>
        </is>
      </c>
      <c r="CH3" t="inlineStr">
        <is>
          <t>Отсутствие подачи</t>
        </is>
      </c>
      <c r="CI3" t="inlineStr">
        <is>
          <t>Рабочие органы насоса</t>
        </is>
      </c>
      <c r="CJ3" t="inlineStr">
        <is>
          <t>1.2 — Нарушение глубины спуска [УЭЦН]</t>
        </is>
      </c>
      <c r="CK3" t="inlineStr">
        <is>
          <t>Абразивный износ</t>
        </is>
      </c>
      <c r="CL3" t="inlineStr">
        <is>
          <t>Борец</t>
        </is>
      </c>
      <c r="CM3" t="inlineStr">
        <is>
          <t>ПЭД — габарит 103 мм</t>
        </is>
      </c>
      <c r="CN3" t="inlineStr">
        <is>
          <t>КПпБП-120 3×13,3</t>
        </is>
      </c>
      <c r="CO3" t="inlineStr">
        <is>
          <t>КПпБП-120 3×16 (удлинитель)</t>
        </is>
      </c>
      <c r="CP3" t="inlineStr">
        <is>
          <t>Борец</t>
        </is>
      </c>
      <c r="CQ3" t="inlineStr">
        <is>
          <t>Модульная гидрозащита — 81 мм</t>
        </is>
      </c>
      <c r="CR3">
        <f>IFERROR(INDEX('История отказов'!$AY$5:$AY$1204,SMALL($DK$2:$DK$1201,ROWS($CR$3:CR3))),"")</f>
        <v/>
      </c>
      <c r="CS3" t="inlineStr">
        <is>
          <t>ТМСВ-Новомет</t>
        </is>
      </c>
      <c r="CT3">
        <f>IFERROR(INDEX('История отказов'!$AE$5:$AE$1204,SMALL($DC$2:$DC$1201,ROWS($CT$3:CT3))),"")</f>
        <v/>
      </c>
      <c r="CU3" t="inlineStr">
        <is>
          <t>Борец</t>
        </is>
      </c>
      <c r="CV3" t="inlineStr">
        <is>
          <t>Борец</t>
        </is>
      </c>
      <c r="CW3">
        <f>IFERROR(INDEX('История отказов'!$AE$5:$AE$1204,SMALL($DG$2:$DG$1201,ROWS($CW$3:CW3))),"")</f>
        <v/>
      </c>
      <c r="CX3">
        <f>IFERROR(INDEX('История отказов'!$AE$5:$AE$1204,SMALL($DF$2:$DF$1201,ROWS($CX$3:CX3))),"")</f>
        <v/>
      </c>
      <c r="CY3" t="inlineStr">
        <is>
          <t>Новомет</t>
        </is>
      </c>
      <c r="CZ3" t="inlineStr">
        <is>
          <t>НКТ гладкая 73×5,5 мм</t>
        </is>
      </c>
      <c r="DA3" t="n">
        <v>2034</v>
      </c>
      <c r="DB3">
        <f>IF('История отказов'!AH6="","",'История отказов'!AH6)</f>
        <v/>
      </c>
      <c r="DC3">
        <f>IF('История отказов'!AE6="","",IF(AND(COUNTIF($CT$2:$CT$2,'История отказов'!AE6)=0,COUNTIFS('История отказов'!$F$5:F6,"ШГН",'История отказов'!$AE$5:AE6,'История отказов'!AE6)=1,'История отказов'!F6="ШГН"),2,""))</f>
        <v/>
      </c>
      <c r="DD3">
        <f>IF('История отказов'!AE6="","",IF(AND(COUNTIF($CU$2:$CU$3,'История отказов'!AE6)=0,COUNTIFS('История отказов'!$F$5:F6,"ЭЦН",'История отказов'!$AE$5:AE6,'История отказов'!AE6)=1,'История отказов'!F6="ЭЦН"),2,""))</f>
        <v/>
      </c>
      <c r="DE3">
        <f>IF('История отказов'!AE6="","",IF(AND(COUNTIF($CV$2:$CV$3,'История отказов'!AE6)=0,COUNTIFS('История отказов'!$F$5:F6,"ЭВН",'История отказов'!$AE$5:AE6,'История отказов'!AE6)=1,'История отказов'!F6="ЭВН"),2,""))</f>
        <v/>
      </c>
      <c r="DF3">
        <f>IF('История отказов'!AE6="","",IF(AND(COUNTIF($CX$2:$CX$2,'История отказов'!AE6)=0,COUNTIFS('История отказов'!$F$5:F6,"ШВН",'История отказов'!$AE$5:AE6,'История отказов'!AE6)=1,'История отказов'!F6="ШВН"),2,""))</f>
        <v/>
      </c>
      <c r="DG3">
        <f>IF('История отказов'!AE6="","",IF(AND(COUNTIF($CW$2:$CW$2,'История отказов'!AE6)=0,COUNTIFS('История отказов'!$F$5:F6,"НПУ-ВД",'История отказов'!$AE$5:AE6,'История отказов'!AE6)=1,'История отказов'!F6="НПУ-ВД"),2,""))</f>
        <v/>
      </c>
      <c r="DH3">
        <f>IF('История отказов'!AE6="","",IF(AND(COUNTIF($CY$2:$CY$6,'История отказов'!AE6)=0,COUNTIF('История отказов'!$AE$5:AE6,'История отказов'!AE6)=1),2,""))</f>
        <v/>
      </c>
      <c r="DI3">
        <f>IF('История отказов'!AK6="","",IF(AND(COUNTIF($CL$2:$CL$3,'История отказов'!AK6)=0,COUNTIF('История отказов'!$AK$5:AK6,'История отказов'!AK6)=1),2,""))</f>
        <v/>
      </c>
      <c r="DJ3">
        <f>IF('История отказов'!AU6="","",IF(AND(COUNTIF($CP$2:$CP$3,'История отказов'!AU6)=0,COUNTIF('История отказов'!$AU$5:AU6,'История отказов'!AU6)=1),2,""))</f>
        <v/>
      </c>
      <c r="DK3">
        <f>IF('История отказов'!AY6="","",IF(AND(COUNTIF($CR$2:$CR$2,'История отказов'!AY6)=0,COUNTIF('История отказов'!$AY$5:AY6,'История отказов'!AY6)=1),2,""))</f>
        <v/>
      </c>
      <c r="DL3">
        <f>IF(DB3="","",IF(AND(COUNTIF($DA$2:$DA$47,DB3)=0,COUNTIF($DB$2:DB3,DB3)=1),2,""))</f>
        <v/>
      </c>
    </row>
    <row r="4">
      <c r="A4" s="33" t="inlineStr">
        <is>
          <t>ШВН</t>
        </is>
      </c>
      <c r="B4" s="34" t="inlineStr">
        <is>
          <t>Преждевременный подъём</t>
        </is>
      </c>
      <c r="C4" s="34" t="inlineStr">
        <is>
          <t>Нестабильная подача</t>
        </is>
      </c>
      <c r="D4" s="34" t="inlineStr">
        <is>
          <t>Вал насоса</t>
        </is>
      </c>
      <c r="E4" s="34" t="inlineStr">
        <is>
          <t>1.3 — Некачественная подготовка скважины [УЭЦН]</t>
        </is>
      </c>
      <c r="F4" s="35" t="inlineStr">
        <is>
          <t>А3 — АСПО</t>
        </is>
      </c>
      <c r="G4" t="inlineStr">
        <is>
          <t>А3 — АСПО</t>
        </is>
      </c>
      <c r="H4" t="inlineStr">
        <is>
          <t>КР1-3 — Восстановление герметичности цементного кольца.</t>
        </is>
      </c>
      <c r="I4" t="inlineStr">
        <is>
          <t>Гидроабразивный износ</t>
        </is>
      </c>
      <c r="J4" s="62" t="inlineStr">
        <is>
          <t>1.3 — Некачественная подготовка скважины [УЭЦН]</t>
        </is>
      </c>
      <c r="K4" s="62" t="inlineStr">
        <is>
          <t>А3 — АСПО</t>
        </is>
      </c>
      <c r="L4" s="62" t="inlineStr">
        <is>
          <t>Фото повреждения</t>
        </is>
      </c>
      <c r="M4" s="62" t="inlineStr">
        <is>
          <t>Предварительно подтверждено</t>
        </is>
      </c>
      <c r="N4" s="62" t="inlineStr">
        <is>
          <t>Средняя</t>
        </is>
      </c>
      <c r="O4" t="inlineStr">
        <is>
          <t>Дозирование ингибитора АСПО</t>
        </is>
      </c>
      <c r="Q4" t="inlineStr">
        <is>
          <t>Тип насоса</t>
        </is>
      </c>
      <c r="R4" t="inlineStr">
        <is>
          <t>Классификатор по способам, листы УЭЦН/УШГН; ЛУКОЙЛ РИТЭК для НПУ-ВД</t>
        </is>
      </c>
      <c r="S4" t="inlineStr">
        <is>
          <t>Выбор из списка; отсутствующий паспортный типоразмер/марку вписать вручную</t>
        </is>
      </c>
      <c r="X4" t="inlineStr">
        <is>
          <t>ЭЦН — механизм</t>
        </is>
      </c>
      <c r="Y4" t="inlineStr">
        <is>
          <t>Газовая блокировка, солеотложения и абразивный износ имеют разные проявления</t>
        </is>
      </c>
      <c r="Z4" t="inlineStr">
        <is>
          <t>https://www.slb.com/resource-library/case-study-with-navigation/al/lift-iq-colombia-alianza-casabe-esp-gas-locking-cs; https://www.slb.com/resource-library/case-study-with-navigation/al/esp-scale-cs; https://www.slb.com/resource-library/case-study-with-navigation/al/reda-maximus-colombia-cs</t>
        </is>
      </c>
      <c r="AA4" t="inlineStr">
        <is>
          <t>ШГН — 38 мм</t>
        </is>
      </c>
      <c r="AB4" t="inlineStr">
        <is>
          <t>ШГН — серия НВ1С-38</t>
        </is>
      </c>
      <c r="AN4" t="inlineStr">
        <is>
          <t>ШВН</t>
        </is>
      </c>
      <c r="AO4" t="inlineStr">
        <is>
          <t>Преждевременный подъём</t>
        </is>
      </c>
      <c r="AP4" t="inlineStr">
        <is>
          <t>Нестабильная подача</t>
        </is>
      </c>
      <c r="AQ4" t="inlineStr">
        <is>
          <t>Нестабильная подача</t>
        </is>
      </c>
      <c r="AR4" t="inlineStr">
        <is>
          <t>Нестабильная подача</t>
        </is>
      </c>
      <c r="AS4" t="inlineStr">
        <is>
          <t>Нестабильная подача</t>
        </is>
      </c>
      <c r="AT4" t="inlineStr">
        <is>
          <t>Вал насоса</t>
        </is>
      </c>
      <c r="AU4" t="inlineStr">
        <is>
          <t>НКТ</t>
        </is>
      </c>
      <c r="AV4" t="inlineStr">
        <is>
          <t>Вал насоса</t>
        </is>
      </c>
      <c r="AW4" t="inlineStr">
        <is>
          <t>Приёмный модуль</t>
        </is>
      </c>
      <c r="AX4" t="inlineStr">
        <is>
          <t>1.3 — Некачественная подготовка скважины [УЭЦН]</t>
        </is>
      </c>
      <c r="AY4" t="inlineStr">
        <is>
          <t>1.3 — Не герметичность НКТ [УШГН]</t>
        </is>
      </c>
      <c r="AZ4" t="inlineStr">
        <is>
          <t>А3 — АСПО</t>
        </is>
      </c>
      <c r="BA4" t="inlineStr">
        <is>
          <t>КР1-3 — Восстановление герметичности цементного кольца.</t>
        </is>
      </c>
      <c r="BB4" t="inlineStr">
        <is>
          <t>Гидроабразивный износ</t>
        </is>
      </c>
      <c r="BC4" t="inlineStr">
        <is>
          <t>Коррозионное повреждение</t>
        </is>
      </c>
      <c r="BD4" t="inlineStr">
        <is>
          <t>Коррозионное повреждение</t>
        </is>
      </c>
      <c r="BE4" t="inlineStr">
        <is>
          <t>Коррозионное повреждение</t>
        </is>
      </c>
      <c r="BF4" t="inlineStr">
        <is>
          <t>Фото повреждения</t>
        </is>
      </c>
      <c r="BG4" t="inlineStr">
        <is>
          <t>Предварительно подтверждено</t>
        </is>
      </c>
      <c r="BH4" t="inlineStr">
        <is>
          <t>Средняя</t>
        </is>
      </c>
      <c r="BI4" t="inlineStr">
        <is>
          <t>Дозирование ингибитора АСПО</t>
        </is>
      </c>
      <c r="BJ4" t="inlineStr">
        <is>
          <t>ШГН — 38 мм</t>
        </is>
      </c>
      <c r="BK4" t="inlineStr">
        <is>
          <t>ЭЦН — габарит 6</t>
        </is>
      </c>
      <c r="BM4" t="inlineStr">
        <is>
          <t>ШГН — серия НВ1С-38</t>
        </is>
      </c>
      <c r="BO4" t="inlineStr">
        <is>
          <t>ЭВН 5-25-1000</t>
        </is>
      </c>
      <c r="BQ4" t="inlineStr">
        <is>
          <t>Бывшее в эксплуатации</t>
        </is>
      </c>
      <c r="BR4" t="inlineStr">
        <is>
          <t>НКТ высокогерметичная</t>
        </is>
      </c>
      <c r="BS4" t="inlineStr">
        <is>
          <t>Спуск и подъём</t>
        </is>
      </c>
      <c r="BT4" t="inlineStr">
        <is>
          <t>38 мм</t>
        </is>
      </c>
      <c r="BZ4" t="inlineStr">
        <is>
          <t>Нестабильная подача</t>
        </is>
      </c>
      <c r="CA4" t="inlineStr">
        <is>
          <t>Нестабильная подача</t>
        </is>
      </c>
      <c r="CB4" t="inlineStr">
        <is>
          <t>Вал насоса</t>
        </is>
      </c>
      <c r="CC4" t="inlineStr">
        <is>
          <t>Вал насоса</t>
        </is>
      </c>
      <c r="CD4" t="inlineStr">
        <is>
          <t>Коррозионное повреждение</t>
        </is>
      </c>
      <c r="CE4" t="inlineStr">
        <is>
          <t>Коррозионное повреждение</t>
        </is>
      </c>
      <c r="CF4" t="inlineStr">
        <is>
          <t>ШГН — 38 мм</t>
        </is>
      </c>
      <c r="CG4" t="inlineStr">
        <is>
          <t>ШГН — серия НВ1С-38</t>
        </is>
      </c>
      <c r="CH4" t="inlineStr">
        <is>
          <t>Нестабильная подача</t>
        </is>
      </c>
      <c r="CI4" t="inlineStr">
        <is>
          <t>Вал насоса</t>
        </is>
      </c>
      <c r="CJ4" t="inlineStr">
        <is>
          <t>1.3 — Некачественная подготовка скважины [УЭЦН]</t>
        </is>
      </c>
      <c r="CK4" t="inlineStr">
        <is>
          <t>Гидроабразивный износ</t>
        </is>
      </c>
      <c r="CL4">
        <f>IFERROR(INDEX('История отказов'!$AK$5:$AK$1204,SMALL($DI$2:$DI$1201,ROWS($CL$4:CL4))),"")</f>
        <v/>
      </c>
      <c r="CM4" t="inlineStr">
        <is>
          <t>ПЭД — габарит 117 мм</t>
        </is>
      </c>
      <c r="CN4" t="inlineStr">
        <is>
          <t>КПпБП-120 3×16</t>
        </is>
      </c>
      <c r="CO4" t="inlineStr">
        <is>
          <t>КПпБП-120 3×25 (удлинитель)</t>
        </is>
      </c>
      <c r="CP4">
        <f>IFERROR(INDEX('История отказов'!$AU$5:$AU$1204,SMALL($DJ$2:$DJ$1201,ROWS($CP$4:CP4))),"")</f>
        <v/>
      </c>
      <c r="CQ4" t="inlineStr">
        <is>
          <t>Модульная гидрозащита — 86 мм</t>
        </is>
      </c>
      <c r="CR4">
        <f>IFERROR(INDEX('История отказов'!$AY$5:$AY$1204,SMALL($DK$2:$DK$1201,ROWS($CR$3:CR4))),"")</f>
        <v/>
      </c>
      <c r="CS4" t="inlineStr">
        <is>
          <t>ТМСР-Новомет</t>
        </is>
      </c>
      <c r="CT4">
        <f>IFERROR(INDEX('История отказов'!$AE$5:$AE$1204,SMALL($DC$2:$DC$1201,ROWS($CT$3:CT4))),"")</f>
        <v/>
      </c>
      <c r="CU4">
        <f>IFERROR(INDEX('История отказов'!$AE$5:$AE$1204,SMALL($DD$2:$DD$1201,ROWS($CU$4:CU4))),"")</f>
        <v/>
      </c>
      <c r="CV4">
        <f>IFERROR(INDEX('История отказов'!$AE$5:$AE$1204,SMALL($DE$2:$DE$1201,ROWS($CV$4:CV4))),"")</f>
        <v/>
      </c>
      <c r="CW4">
        <f>IFERROR(INDEX('История отказов'!$AE$5:$AE$1204,SMALL($DG$2:$DG$1201,ROWS($CW$3:CW4))),"")</f>
        <v/>
      </c>
      <c r="CX4">
        <f>IFERROR(INDEX('История отказов'!$AE$5:$AE$1204,SMALL($DF$2:$DF$1201,ROWS($CX$3:CX4))),"")</f>
        <v/>
      </c>
      <c r="CY4" t="inlineStr">
        <is>
          <t>Борец</t>
        </is>
      </c>
      <c r="CZ4" t="inlineStr">
        <is>
          <t>НКТ гладкая 73×7 мм</t>
        </is>
      </c>
      <c r="DA4" t="n">
        <v>2033</v>
      </c>
      <c r="DB4">
        <f>IF('История отказов'!AH7="","",'История отказов'!AH7)</f>
        <v/>
      </c>
      <c r="DC4">
        <f>IF('История отказов'!AE7="","",IF(AND(COUNTIF($CT$2:$CT$2,'История отказов'!AE7)=0,COUNTIFS('История отказов'!$F$5:F7,"ШГН",'История отказов'!$AE$5:AE7,'История отказов'!AE7)=1,'История отказов'!F7="ШГН"),3,""))</f>
        <v/>
      </c>
      <c r="DD4">
        <f>IF('История отказов'!AE7="","",IF(AND(COUNTIF($CU$2:$CU$3,'История отказов'!AE7)=0,COUNTIFS('История отказов'!$F$5:F7,"ЭЦН",'История отказов'!$AE$5:AE7,'История отказов'!AE7)=1,'История отказов'!F7="ЭЦН"),3,""))</f>
        <v/>
      </c>
      <c r="DE4">
        <f>IF('История отказов'!AE7="","",IF(AND(COUNTIF($CV$2:$CV$3,'История отказов'!AE7)=0,COUNTIFS('История отказов'!$F$5:F7,"ЭВН",'История отказов'!$AE$5:AE7,'История отказов'!AE7)=1,'История отказов'!F7="ЭВН"),3,""))</f>
        <v/>
      </c>
      <c r="DF4">
        <f>IF('История отказов'!AE7="","",IF(AND(COUNTIF($CX$2:$CX$2,'История отказов'!AE7)=0,COUNTIFS('История отказов'!$F$5:F7,"ШВН",'История отказов'!$AE$5:AE7,'История отказов'!AE7)=1,'История отказов'!F7="ШВН"),3,""))</f>
        <v/>
      </c>
      <c r="DG4">
        <f>IF('История отказов'!AE7="","",IF(AND(COUNTIF($CW$2:$CW$2,'История отказов'!AE7)=0,COUNTIFS('История отказов'!$F$5:F7,"НПУ-ВД",'История отказов'!$AE$5:AE7,'История отказов'!AE7)=1,'История отказов'!F7="НПУ-ВД"),3,""))</f>
        <v/>
      </c>
      <c r="DH4">
        <f>IF('История отказов'!AE7="","",IF(AND(COUNTIF($CY$2:$CY$6,'История отказов'!AE7)=0,COUNTIF('История отказов'!$AE$5:AE7,'История отказов'!AE7)=1),3,""))</f>
        <v/>
      </c>
      <c r="DI4">
        <f>IF('История отказов'!AK7="","",IF(AND(COUNTIF($CL$2:$CL$3,'История отказов'!AK7)=0,COUNTIF('История отказов'!$AK$5:AK7,'История отказов'!AK7)=1),3,""))</f>
        <v/>
      </c>
      <c r="DJ4">
        <f>IF('История отказов'!AU7="","",IF(AND(COUNTIF($CP$2:$CP$3,'История отказов'!AU7)=0,COUNTIF('История отказов'!$AU$5:AU7,'История отказов'!AU7)=1),3,""))</f>
        <v/>
      </c>
      <c r="DK4">
        <f>IF('История отказов'!AY7="","",IF(AND(COUNTIF($CR$2:$CR$2,'История отказов'!AY7)=0,COUNTIF('История отказов'!$AY$5:AY7,'История отказов'!AY7)=1),3,""))</f>
        <v/>
      </c>
      <c r="DL4">
        <f>IF(DB4="","",IF(AND(COUNTIF($DA$2:$DA$47,DB4)=0,COUNTIF($DB$2:DB4,DB4)=1),3,""))</f>
        <v/>
      </c>
    </row>
    <row r="5">
      <c r="A5" s="48" t="inlineStr">
        <is>
          <t>ЭВН</t>
        </is>
      </c>
      <c r="B5" s="49" t="inlineStr">
        <is>
          <t>Плановый подъём</t>
        </is>
      </c>
      <c r="C5" s="49" t="inlineStr">
        <is>
          <t>Рост потребляемого тока</t>
        </is>
      </c>
      <c r="D5" s="49" t="inlineStr">
        <is>
          <t>Приёмный модуль</t>
        </is>
      </c>
      <c r="E5" s="49" t="inlineStr">
        <is>
          <t>1.4 — Не герметичность НКТ [УЭЦН]</t>
        </is>
      </c>
      <c r="F5" s="50" t="inlineStr">
        <is>
          <t>К1 — Коррозия</t>
        </is>
      </c>
      <c r="G5" t="inlineStr">
        <is>
          <t>К1 — Коррозия</t>
        </is>
      </c>
      <c r="H5" t="inlineStr">
        <is>
          <t>КР1-4 — Наращивание цементного кольца за эксплуатационной, промежуточной колонной, кондуктором.</t>
        </is>
      </c>
      <c r="I5" t="inlineStr">
        <is>
          <t>Коррозионное повреждение</t>
        </is>
      </c>
      <c r="J5" s="62" t="inlineStr">
        <is>
          <t>1.4 — Не герметичность НКТ [УЭЦН]</t>
        </is>
      </c>
      <c r="K5" s="62" t="inlineStr">
        <is>
          <t>К1 — Коррозия</t>
        </is>
      </c>
      <c r="L5" s="62" t="inlineStr">
        <is>
          <t>Лабораторный анализ</t>
        </is>
      </c>
      <c r="M5" s="62" t="inlineStr">
        <is>
          <t>Подтверждено комиссией</t>
        </is>
      </c>
      <c r="N5" s="62" t="inlineStr">
        <is>
          <t>Высокая</t>
        </is>
      </c>
      <c r="O5" t="inlineStr">
        <is>
          <t>Греющий кабель для предупреждения АСПО</t>
        </is>
      </c>
      <c r="Q5" t="inlineStr">
        <is>
          <t>Тип события</t>
        </is>
      </c>
      <c r="R5" t="inlineStr">
        <is>
          <t>Рабочие статусы реестра; ГОСТ Р 70841-2023</t>
        </is>
      </c>
      <c r="S5" t="inlineStr">
        <is>
          <t>Выбор из списка; отсутствующий паспортный типоразмер/марку вписать вручную</t>
        </is>
      </c>
      <c r="X5" t="inlineStr">
        <is>
          <t>ШГН — динамограмма</t>
        </is>
      </c>
      <c r="Y5" t="inlineStr">
        <is>
          <t>Обрыв штанг и утечки клапанов определяются по картам как вероятный диагноз</t>
        </is>
      </c>
      <c r="Z5" t="inlineStr">
        <is>
          <t>https://hs.weatherford.com/knowledge/srp-solution-logic</t>
        </is>
      </c>
      <c r="AA5" t="inlineStr">
        <is>
          <t>ШГН — 44 мм</t>
        </is>
      </c>
      <c r="AB5" t="inlineStr">
        <is>
          <t>ШГН — серия НВ1С-44</t>
        </is>
      </c>
      <c r="AN5" t="inlineStr">
        <is>
          <t>ЭВН</t>
        </is>
      </c>
      <c r="AO5" t="inlineStr">
        <is>
          <t>Плановый подъём</t>
        </is>
      </c>
      <c r="AP5" t="inlineStr">
        <is>
          <t>Рост потребляемого тока</t>
        </is>
      </c>
      <c r="AQ5" t="inlineStr">
        <is>
          <t>Повышенный вынос механических примесей</t>
        </is>
      </c>
      <c r="AR5" t="inlineStr">
        <is>
          <t>Повышенный вынос механических примесей</t>
        </is>
      </c>
      <c r="AS5" t="inlineStr">
        <is>
          <t>Повышенный вынос механических примесей</t>
        </is>
      </c>
      <c r="AT5" t="inlineStr">
        <is>
          <t>Приёмный модуль</t>
        </is>
      </c>
      <c r="AU5" t="inlineStr">
        <is>
          <t>Штанговая колонна</t>
        </is>
      </c>
      <c r="AV5" t="inlineStr">
        <is>
          <t>НКТ</t>
        </is>
      </c>
      <c r="AW5" t="inlineStr">
        <is>
          <t>НКТ</t>
        </is>
      </c>
      <c r="AX5" t="inlineStr">
        <is>
          <t>1.4 — Не герметичность НКТ [УЭЦН]</t>
        </is>
      </c>
      <c r="AY5" t="inlineStr">
        <is>
          <t>1.4 — Отворот штанг [УШГН]</t>
        </is>
      </c>
      <c r="AZ5" t="inlineStr">
        <is>
          <t>К1 — Коррозия</t>
        </is>
      </c>
      <c r="BA5" t="inlineStr">
        <is>
          <t>КР1-4 — Наращивание цементного кольца за эксплуатационной, промежуточной колонной, кондуктором.</t>
        </is>
      </c>
      <c r="BB5" t="inlineStr">
        <is>
          <t>Коррозионное повреждение</t>
        </is>
      </c>
      <c r="BC5" t="inlineStr">
        <is>
          <t>Коррозионно-усталостное разрушение</t>
        </is>
      </c>
      <c r="BD5" t="inlineStr">
        <is>
          <t>Коррозионно-усталостное разрушение</t>
        </is>
      </c>
      <c r="BE5" t="inlineStr">
        <is>
          <t>Усталостное разрушение</t>
        </is>
      </c>
      <c r="BF5" t="inlineStr">
        <is>
          <t>Лабораторный анализ</t>
        </is>
      </c>
      <c r="BG5" t="inlineStr">
        <is>
          <t>Подтверждено комиссией</t>
        </is>
      </c>
      <c r="BH5" t="inlineStr">
        <is>
          <t>Высокая</t>
        </is>
      </c>
      <c r="BI5" t="inlineStr">
        <is>
          <t>Греющий кабель для предупреждения АСПО</t>
        </is>
      </c>
      <c r="BJ5" t="inlineStr">
        <is>
          <t>ШГН — 44 мм</t>
        </is>
      </c>
      <c r="BM5" t="inlineStr">
        <is>
          <t>ШГН — серия НВ1С-44</t>
        </is>
      </c>
      <c r="BO5" t="inlineStr">
        <is>
          <t>ЭВН 5-25-1500</t>
        </is>
      </c>
      <c r="BQ5" t="inlineStr">
        <is>
          <t>Не установлено</t>
        </is>
      </c>
      <c r="BR5" t="inlineStr">
        <is>
          <t>Безмуфтовая НКТ</t>
        </is>
      </c>
      <c r="BS5" t="inlineStr">
        <is>
          <t>Не проводилось</t>
        </is>
      </c>
      <c r="BT5" t="inlineStr">
        <is>
          <t>44 мм</t>
        </is>
      </c>
      <c r="BZ5" t="inlineStr">
        <is>
          <t>Повышенный вынос механических примесей</t>
        </is>
      </c>
      <c r="CA5" t="inlineStr">
        <is>
          <t>Рост потребляемого тока</t>
        </is>
      </c>
      <c r="CB5" t="inlineStr">
        <is>
          <t>НКТ</t>
        </is>
      </c>
      <c r="CC5" t="inlineStr">
        <is>
          <t>Приёмный модуль</t>
        </is>
      </c>
      <c r="CD5" t="inlineStr">
        <is>
          <t>Коррозионно-усталостное разрушение</t>
        </is>
      </c>
      <c r="CE5" t="inlineStr">
        <is>
          <t>Усталостное разрушение</t>
        </is>
      </c>
      <c r="CF5" t="inlineStr">
        <is>
          <t>ШГН — 44 мм</t>
        </is>
      </c>
      <c r="CG5" t="inlineStr">
        <is>
          <t>ШГН — серия НВ1С-44</t>
        </is>
      </c>
      <c r="CH5" t="inlineStr">
        <is>
          <t>Рост потребляемого тока</t>
        </is>
      </c>
      <c r="CI5" t="inlineStr">
        <is>
          <t>Приёмный модуль</t>
        </is>
      </c>
      <c r="CJ5" t="inlineStr">
        <is>
          <t>1.4 — Не герметичность НКТ [УЭЦН]</t>
        </is>
      </c>
      <c r="CK5" t="inlineStr">
        <is>
          <t>Коррозионное повреждение</t>
        </is>
      </c>
      <c r="CL5">
        <f>IFERROR(INDEX('История отказов'!$AK$5:$AK$1204,SMALL($DI$2:$DI$1201,ROWS($CL$4:CL5))),"")</f>
        <v/>
      </c>
      <c r="CM5" t="inlineStr">
        <is>
          <t>ПЭД — габарит 130 мм</t>
        </is>
      </c>
      <c r="CN5" t="inlineStr">
        <is>
          <t>КПпБП-120 3×25</t>
        </is>
      </c>
      <c r="CP5">
        <f>IFERROR(INDEX('История отказов'!$AU$5:$AU$1204,SMALL($DJ$2:$DJ$1201,ROWS($CP$4:CP5))),"")</f>
        <v/>
      </c>
      <c r="CQ5" t="inlineStr">
        <is>
          <t>Модульная гидрозащита — 92 мм</t>
        </is>
      </c>
      <c r="CR5">
        <f>IFERROR(INDEX('История отказов'!$AY$5:$AY$1204,SMALL($DK$2:$DK$1201,ROWS($CR$3:CR5))),"")</f>
        <v/>
      </c>
      <c r="CS5" t="inlineStr">
        <is>
          <t>ТМСПВ-Новомет</t>
        </is>
      </c>
      <c r="CT5">
        <f>IFERROR(INDEX('История отказов'!$AE$5:$AE$1204,SMALL($DC$2:$DC$1201,ROWS($CT$3:CT5))),"")</f>
        <v/>
      </c>
      <c r="CU5">
        <f>IFERROR(INDEX('История отказов'!$AE$5:$AE$1204,SMALL($DD$2:$DD$1201,ROWS($CU$4:CU5))),"")</f>
        <v/>
      </c>
      <c r="CV5">
        <f>IFERROR(INDEX('История отказов'!$AE$5:$AE$1204,SMALL($DE$2:$DE$1201,ROWS($CV$4:CV5))),"")</f>
        <v/>
      </c>
      <c r="CW5">
        <f>IFERROR(INDEX('История отказов'!$AE$5:$AE$1204,SMALL($DG$2:$DG$1201,ROWS($CW$3:CW5))),"")</f>
        <v/>
      </c>
      <c r="CX5">
        <f>IFERROR(INDEX('История отказов'!$AE$5:$AE$1204,SMALL($DF$2:$DF$1201,ROWS($CX$3:CX5))),"")</f>
        <v/>
      </c>
      <c r="CY5" t="inlineStr">
        <is>
          <t>ГМС Ливгидромаш</t>
        </is>
      </c>
      <c r="CZ5" t="inlineStr">
        <is>
          <t>НКТ с высаженными концами 73×5,5 мм</t>
        </is>
      </c>
      <c r="DA5" t="n">
        <v>2032</v>
      </c>
      <c r="DB5">
        <f>IF('История отказов'!AH8="","",'История отказов'!AH8)</f>
        <v/>
      </c>
      <c r="DC5">
        <f>IF('История отказов'!AE8="","",IF(AND(COUNTIF($CT$2:$CT$2,'История отказов'!AE8)=0,COUNTIFS('История отказов'!$F$5:F8,"ШГН",'История отказов'!$AE$5:AE8,'История отказов'!AE8)=1,'История отказов'!F8="ШГН"),4,""))</f>
        <v/>
      </c>
      <c r="DD5">
        <f>IF('История отказов'!AE8="","",IF(AND(COUNTIF($CU$2:$CU$3,'История отказов'!AE8)=0,COUNTIFS('История отказов'!$F$5:F8,"ЭЦН",'История отказов'!$AE$5:AE8,'История отказов'!AE8)=1,'История отказов'!F8="ЭЦН"),4,""))</f>
        <v/>
      </c>
      <c r="DE5">
        <f>IF('История отказов'!AE8="","",IF(AND(COUNTIF($CV$2:$CV$3,'История отказов'!AE8)=0,COUNTIFS('История отказов'!$F$5:F8,"ЭВН",'История отказов'!$AE$5:AE8,'История отказов'!AE8)=1,'История отказов'!F8="ЭВН"),4,""))</f>
        <v/>
      </c>
      <c r="DF5">
        <f>IF('История отказов'!AE8="","",IF(AND(COUNTIF($CX$2:$CX$2,'История отказов'!AE8)=0,COUNTIFS('История отказов'!$F$5:F8,"ШВН",'История отказов'!$AE$5:AE8,'История отказов'!AE8)=1,'История отказов'!F8="ШВН"),4,""))</f>
        <v/>
      </c>
      <c r="DG5">
        <f>IF('История отказов'!AE8="","",IF(AND(COUNTIF($CW$2:$CW$2,'История отказов'!AE8)=0,COUNTIFS('История отказов'!$F$5:F8,"НПУ-ВД",'История отказов'!$AE$5:AE8,'История отказов'!AE8)=1,'История отказов'!F8="НПУ-ВД"),4,""))</f>
        <v/>
      </c>
      <c r="DH5">
        <f>IF('История отказов'!AE8="","",IF(AND(COUNTIF($CY$2:$CY$6,'История отказов'!AE8)=0,COUNTIF('История отказов'!$AE$5:AE8,'История отказов'!AE8)=1),4,""))</f>
        <v/>
      </c>
      <c r="DI5">
        <f>IF('История отказов'!AK8="","",IF(AND(COUNTIF($CL$2:$CL$3,'История отказов'!AK8)=0,COUNTIF('История отказов'!$AK$5:AK8,'История отказов'!AK8)=1),4,""))</f>
        <v/>
      </c>
      <c r="DJ5">
        <f>IF('История отказов'!AU8="","",IF(AND(COUNTIF($CP$2:$CP$3,'История отказов'!AU8)=0,COUNTIF('История отказов'!$AU$5:AU8,'История отказов'!AU8)=1),4,""))</f>
        <v/>
      </c>
      <c r="DK5">
        <f>IF('История отказов'!AY8="","",IF(AND(COUNTIF($CR$2:$CR$2,'История отказов'!AY8)=0,COUNTIF('История отказов'!$AY$5:AY8,'История отказов'!AY8)=1),4,""))</f>
        <v/>
      </c>
      <c r="DL5">
        <f>IF(DB5="","",IF(AND(COUNTIF($DA$2:$DA$47,DB5)=0,COUNTIF($DB$2:DB5,DB5)=1),4,""))</f>
        <v/>
      </c>
    </row>
    <row r="6">
      <c r="A6" s="71" t="inlineStr">
        <is>
          <t>НПУ-ВД</t>
        </is>
      </c>
      <c r="B6" s="72" t="inlineStr">
        <is>
          <t>Подъём исправного оборудования</t>
        </is>
      </c>
      <c r="C6" s="72" t="inlineStr">
        <is>
          <t>Перегрузка электродвигателя</t>
        </is>
      </c>
      <c r="D6" s="72" t="inlineStr">
        <is>
          <t>Газосепаратор</t>
        </is>
      </c>
      <c r="E6" s="72" t="inlineStr">
        <is>
          <t>1.5 — Нарушение СПО [УЭЦН]</t>
        </is>
      </c>
      <c r="F6" s="73" t="inlineStr">
        <is>
          <t>К2 — Коррозия</t>
        </is>
      </c>
      <c r="G6" t="inlineStr">
        <is>
          <t>К2 — Коррозия</t>
        </is>
      </c>
      <c r="H6" t="inlineStr">
        <is>
          <t>КР2-1 — Устранение не герметичности тампонированием.</t>
        </is>
      </c>
      <c r="I6" t="inlineStr">
        <is>
          <t>Коррозионно-усталостное разрушение</t>
        </is>
      </c>
      <c r="J6" s="62" t="inlineStr">
        <is>
          <t>1.5 — Нарушение СПО [УЭЦН]</t>
        </is>
      </c>
      <c r="K6" s="62" t="inlineStr">
        <is>
          <t>К2 — Коррозия</t>
        </is>
      </c>
      <c r="L6" s="62" t="inlineStr">
        <is>
          <t>Анализ отложений</t>
        </is>
      </c>
      <c r="M6" s="62" t="inlineStr">
        <is>
          <t>Подтверждено разбором оборудования</t>
        </is>
      </c>
      <c r="N6" s="62" t="n"/>
      <c r="O6" t="inlineStr">
        <is>
          <t>Дозирование ингибитора коррозии</t>
        </is>
      </c>
      <c r="Q6" t="inlineStr">
        <is>
          <t>Признак / предпосылка</t>
        </is>
      </c>
      <c r="R6" t="inlineStr">
        <is>
          <t>Рабочие формулировки признаков; МУ и материалы изготовителей</t>
        </is>
      </c>
      <c r="S6" t="inlineStr">
        <is>
          <t>Выбор из списка; отсутствующий паспортный типоразмер/марку вписать вручную</t>
        </is>
      </c>
      <c r="X6" t="inlineStr">
        <is>
          <t>ШВН/ЭВН — элементы</t>
        </is>
      </c>
      <c r="Y6" t="inlineStr">
        <is>
          <t>Ротор и эластомерный статор относятся к PCP по комплектации</t>
        </is>
      </c>
      <c r="Z6" t="inlineStr">
        <is>
          <t>https://www.weatherford.com/documents/papers/2025/applying-o-g-als-technology-to-enable-worldwide-food-security-and-a-greener-future-by-improving-boro/</t>
        </is>
      </c>
      <c r="AA6" t="inlineStr">
        <is>
          <t>ШГН — 50 мм</t>
        </is>
      </c>
      <c r="AB6" t="inlineStr">
        <is>
          <t>ШГН — серия НВ1С-50</t>
        </is>
      </c>
      <c r="AN6" t="inlineStr">
        <is>
          <t>НПУ-ВД</t>
        </is>
      </c>
      <c r="AO6" t="inlineStr">
        <is>
          <t>Подъём исправного оборудования</t>
        </is>
      </c>
      <c r="AP6" t="inlineStr">
        <is>
          <t>Перегрузка электродвигателя</t>
        </is>
      </c>
      <c r="AQ6" t="inlineStr">
        <is>
          <t>Рост нагрузок штанговой колонны</t>
        </is>
      </c>
      <c r="AR6" t="inlineStr">
        <is>
          <t>Подозрение на засорение приёма по снижению подачи</t>
        </is>
      </c>
      <c r="AS6" t="inlineStr">
        <is>
          <t>Подозрение на засорение приёма по снижению подачи</t>
        </is>
      </c>
      <c r="AT6" t="inlineStr">
        <is>
          <t>Газосепаратор</t>
        </is>
      </c>
      <c r="AU6" t="inlineStr">
        <is>
          <t>Муфта штанг</t>
        </is>
      </c>
      <c r="AV6" t="inlineStr">
        <is>
          <t>Штанговая колонна</t>
        </is>
      </c>
      <c r="AW6" t="inlineStr">
        <is>
          <t>Наземный привод</t>
        </is>
      </c>
      <c r="AX6" t="inlineStr">
        <is>
          <t>1.5 — Нарушение СПО [УЭЦН]</t>
        </is>
      </c>
      <c r="AY6" t="inlineStr">
        <is>
          <t>1.5 — Нарушение СПО [УШГН]</t>
        </is>
      </c>
      <c r="AZ6" t="inlineStr">
        <is>
          <t>К2 — Коррозия</t>
        </is>
      </c>
      <c r="BA6" t="inlineStr">
        <is>
          <t>КР2-1 — Устранение не герметичности тампонированием.</t>
        </is>
      </c>
      <c r="BB6" t="inlineStr">
        <is>
          <t>Усталостное разрушение</t>
        </is>
      </c>
      <c r="BC6" t="inlineStr">
        <is>
          <t>Усталостное разрушение</t>
        </is>
      </c>
      <c r="BD6" t="inlineStr">
        <is>
          <t>Усталостное разрушение</t>
        </is>
      </c>
      <c r="BE6" t="inlineStr">
        <is>
          <t>Обрыв</t>
        </is>
      </c>
      <c r="BF6" t="inlineStr">
        <is>
          <t>Анализ отложений</t>
        </is>
      </c>
      <c r="BG6" t="inlineStr">
        <is>
          <t>Подтверждено разбором оборудования</t>
        </is>
      </c>
      <c r="BI6" t="inlineStr">
        <is>
          <t>Дозирование ингибитора коррозии</t>
        </is>
      </c>
      <c r="BJ6" t="inlineStr">
        <is>
          <t>ШГН — 50 мм</t>
        </is>
      </c>
      <c r="BM6" t="inlineStr">
        <is>
          <t>ШГН — серия НВ1С-50</t>
        </is>
      </c>
      <c r="BO6" t="inlineStr">
        <is>
          <t>ЭВН 5-25-1700</t>
        </is>
      </c>
      <c r="BT6" t="inlineStr">
        <is>
          <t>50 мм</t>
        </is>
      </c>
      <c r="BZ6" t="inlineStr">
        <is>
          <t>Подозрение на засорение приёма по снижению подачи</t>
        </is>
      </c>
      <c r="CA6" t="inlineStr">
        <is>
          <t>Перегрузка электродвигателя</t>
        </is>
      </c>
      <c r="CB6" t="inlineStr">
        <is>
          <t>Штанговая колонна</t>
        </is>
      </c>
      <c r="CC6" t="inlineStr">
        <is>
          <t>Гидрозащита</t>
        </is>
      </c>
      <c r="CD6" t="inlineStr">
        <is>
          <t>Усталостное разрушение</t>
        </is>
      </c>
      <c r="CE6" t="inlineStr">
        <is>
          <t>Обрыв</t>
        </is>
      </c>
      <c r="CF6" t="inlineStr">
        <is>
          <t>ШГН — 50 мм</t>
        </is>
      </c>
      <c r="CG6" t="inlineStr">
        <is>
          <t>ШГН — серия НВ1С-50</t>
        </is>
      </c>
      <c r="CH6" t="inlineStr">
        <is>
          <t>Перегрузка электродвигателя</t>
        </is>
      </c>
      <c r="CI6" t="inlineStr">
        <is>
          <t>Газосепаратор</t>
        </is>
      </c>
      <c r="CJ6" t="inlineStr">
        <is>
          <t>1.5 — Нарушение СПО [УЭЦН]</t>
        </is>
      </c>
      <c r="CK6" t="inlineStr">
        <is>
          <t>Коррозионно-усталостное разрушение</t>
        </is>
      </c>
      <c r="CL6">
        <f>IFERROR(INDEX('История отказов'!$AK$5:$AK$1204,SMALL($DI$2:$DI$1201,ROWS($CL$4:CL6))),"")</f>
        <v/>
      </c>
      <c r="CM6" t="inlineStr">
        <is>
          <t>ПЭД — габарит 143 мм</t>
        </is>
      </c>
      <c r="CN6" t="inlineStr">
        <is>
          <t>КПпБП-120 3×35</t>
        </is>
      </c>
      <c r="CP6">
        <f>IFERROR(INDEX('История отказов'!$AU$5:$AU$1204,SMALL($DJ$2:$DJ$1201,ROWS($CP$4:CP6))),"")</f>
        <v/>
      </c>
      <c r="CQ6" t="inlineStr">
        <is>
          <t>Модульная гидрозащита — 103 мм</t>
        </is>
      </c>
      <c r="CR6">
        <f>IFERROR(INDEX('История отказов'!$AY$5:$AY$1204,SMALL($DK$2:$DK$1201,ROWS($CR$3:CR6))),"")</f>
        <v/>
      </c>
      <c r="CS6" t="inlineStr">
        <is>
          <t>ТМСРПВ-Новомет</t>
        </is>
      </c>
      <c r="CT6">
        <f>IFERROR(INDEX('История отказов'!$AE$5:$AE$1204,SMALL($DC$2:$DC$1201,ROWS($CT$3:CT6))),"")</f>
        <v/>
      </c>
      <c r="CU6">
        <f>IFERROR(INDEX('История отказов'!$AE$5:$AE$1204,SMALL($DD$2:$DD$1201,ROWS($CU$4:CU6))),"")</f>
        <v/>
      </c>
      <c r="CV6">
        <f>IFERROR(INDEX('История отказов'!$AE$5:$AE$1204,SMALL($DE$2:$DE$1201,ROWS($CV$4:CV6))),"")</f>
        <v/>
      </c>
      <c r="CW6">
        <f>IFERROR(INDEX('История отказов'!$AE$5:$AE$1204,SMALL($DG$2:$DG$1201,ROWS($CW$3:CW6))),"")</f>
        <v/>
      </c>
      <c r="CX6">
        <f>IFERROR(INDEX('История отказов'!$AE$5:$AE$1204,SMALL($DF$2:$DF$1201,ROWS($CX$3:CX6))),"")</f>
        <v/>
      </c>
      <c r="CY6" t="inlineStr">
        <is>
          <t>РИТЭК</t>
        </is>
      </c>
      <c r="CZ6" t="inlineStr">
        <is>
          <t>НКТ высокогерметичная 73×5,5 мм</t>
        </is>
      </c>
      <c r="DA6" t="n">
        <v>2031</v>
      </c>
      <c r="DB6">
        <f>IF('История отказов'!AH9="","",'История отказов'!AH9)</f>
        <v/>
      </c>
      <c r="DC6">
        <f>IF('История отказов'!AE9="","",IF(AND(COUNTIF($CT$2:$CT$2,'История отказов'!AE9)=0,COUNTIFS('История отказов'!$F$5:F9,"ШГН",'История отказов'!$AE$5:AE9,'История отказов'!AE9)=1,'История отказов'!F9="ШГН"),5,""))</f>
        <v/>
      </c>
      <c r="DD6">
        <f>IF('История отказов'!AE9="","",IF(AND(COUNTIF($CU$2:$CU$3,'История отказов'!AE9)=0,COUNTIFS('История отказов'!$F$5:F9,"ЭЦН",'История отказов'!$AE$5:AE9,'История отказов'!AE9)=1,'История отказов'!F9="ЭЦН"),5,""))</f>
        <v/>
      </c>
      <c r="DE6">
        <f>IF('История отказов'!AE9="","",IF(AND(COUNTIF($CV$2:$CV$3,'История отказов'!AE9)=0,COUNTIFS('История отказов'!$F$5:F9,"ЭВН",'История отказов'!$AE$5:AE9,'История отказов'!AE9)=1,'История отказов'!F9="ЭВН"),5,""))</f>
        <v/>
      </c>
      <c r="DF6">
        <f>IF('История отказов'!AE9="","",IF(AND(COUNTIF($CX$2:$CX$2,'История отказов'!AE9)=0,COUNTIFS('История отказов'!$F$5:F9,"ШВН",'История отказов'!$AE$5:AE9,'История отказов'!AE9)=1,'История отказов'!F9="ШВН"),5,""))</f>
        <v/>
      </c>
      <c r="DG6">
        <f>IF('История отказов'!AE9="","",IF(AND(COUNTIF($CW$2:$CW$2,'История отказов'!AE9)=0,COUNTIFS('История отказов'!$F$5:F9,"НПУ-ВД",'История отказов'!$AE$5:AE9,'История отказов'!AE9)=1,'История отказов'!F9="НПУ-ВД"),5,""))</f>
        <v/>
      </c>
      <c r="DH6">
        <f>IF('История отказов'!AE9="","",IF(AND(COUNTIF($CY$2:$CY$6,'История отказов'!AE9)=0,COUNTIF('История отказов'!$AE$5:AE9,'История отказов'!AE9)=1),5,""))</f>
        <v/>
      </c>
      <c r="DI6">
        <f>IF('История отказов'!AK9="","",IF(AND(COUNTIF($CL$2:$CL$3,'История отказов'!AK9)=0,COUNTIF('История отказов'!$AK$5:AK9,'История отказов'!AK9)=1),5,""))</f>
        <v/>
      </c>
      <c r="DJ6">
        <f>IF('История отказов'!AU9="","",IF(AND(COUNTIF($CP$2:$CP$3,'История отказов'!AU9)=0,COUNTIF('История отказов'!$AU$5:AU9,'История отказов'!AU9)=1),5,""))</f>
        <v/>
      </c>
      <c r="DK6">
        <f>IF('История отказов'!AY9="","",IF(AND(COUNTIF($CR$2:$CR$2,'История отказов'!AY9)=0,COUNTIF('История отказов'!$AY$5:AY9,'История отказов'!AY9)=1),5,""))</f>
        <v/>
      </c>
      <c r="DL6">
        <f>IF(DB6="","",IF(AND(COUNTIF($DA$2:$DA$47,DB6)=0,COUNTIF($DB$2:DB6,DB6)=1),5,""))</f>
        <v/>
      </c>
    </row>
    <row r="7">
      <c r="A7" s="74" t="n"/>
      <c r="B7" s="75" t="inlineStr">
        <is>
          <t>Оборудование продолжает работать</t>
        </is>
      </c>
      <c r="C7" s="75" t="inlineStr">
        <is>
          <t>Снижение сопротивления изоляции</t>
        </is>
      </c>
      <c r="D7" s="75" t="inlineStr">
        <is>
          <t>Гидрозащита</t>
        </is>
      </c>
      <c r="E7" s="75" t="inlineStr">
        <is>
          <t>1.6 — Авария [УЭЦН]</t>
        </is>
      </c>
      <c r="F7" s="76" t="inlineStr">
        <is>
          <t>К3 — Коррозия</t>
        </is>
      </c>
      <c r="G7" t="inlineStr">
        <is>
          <t>К3 — Коррозия</t>
        </is>
      </c>
      <c r="H7" t="inlineStr">
        <is>
          <t>КР2-2 — Устранение установкой пластыря.</t>
        </is>
      </c>
      <c r="I7" t="inlineStr">
        <is>
          <t>Усталостное разрушение</t>
        </is>
      </c>
      <c r="J7" s="62" t="inlineStr">
        <is>
          <t>1.6 — Авария [УЭЦН]</t>
        </is>
      </c>
      <c r="K7" s="62" t="inlineStr">
        <is>
          <t>К3 — Коррозия</t>
        </is>
      </c>
      <c r="L7" s="62" t="inlineStr">
        <is>
          <t>Металлография</t>
        </is>
      </c>
      <c r="M7" s="62" t="inlineStr">
        <is>
          <t>Причина не установлена</t>
        </is>
      </c>
      <c r="N7" s="62" t="n"/>
      <c r="O7" t="inlineStr">
        <is>
          <t>Коррозионностойкий материал / покрытие</t>
        </is>
      </c>
      <c r="Q7" t="inlineStr">
        <is>
          <t>Отказавший узел</t>
        </is>
      </c>
      <c r="R7" t="inlineStr">
        <is>
          <t>Рабочая номенклатура узлов; стандарты на насосы и материалы изготовителей</t>
        </is>
      </c>
      <c r="S7" t="inlineStr">
        <is>
          <t>Выбор из списка; отсутствующий паспортный типоразмер/марку вписать вручную</t>
        </is>
      </c>
      <c r="X7" t="inlineStr">
        <is>
          <t>Электрические повреждения</t>
        </is>
      </c>
      <c r="Y7" t="inlineStr">
        <is>
          <t>Физический дефект изоляции не равен измеренному снижению сопротивления</t>
        </is>
      </c>
      <c r="Z7" t="inlineStr">
        <is>
          <t>https://www.slb.com/-/media/files/oilfield-review/p30-43-2</t>
        </is>
      </c>
      <c r="AA7" t="inlineStr">
        <is>
          <t>ШГН — 57 мм</t>
        </is>
      </c>
      <c r="AB7" t="inlineStr">
        <is>
          <t>ШГН — серия НВ1С-57</t>
        </is>
      </c>
      <c r="AO7" t="inlineStr">
        <is>
          <t>Оборудование продолжает работать</t>
        </is>
      </c>
      <c r="AP7" t="inlineStr">
        <is>
          <t>Снижение сопротивления изоляции</t>
        </is>
      </c>
      <c r="AQ7" t="inlineStr">
        <is>
          <t>Изменение динамограммы</t>
        </is>
      </c>
      <c r="AR7" t="inlineStr">
        <is>
          <t>Подозрение на отложения по снижению подачи и росту температуры</t>
        </is>
      </c>
      <c r="AS7" t="inlineStr">
        <is>
          <t>Подозрение на отложения по снижению подачи и росту температуры</t>
        </is>
      </c>
      <c r="AT7" t="inlineStr">
        <is>
          <t>Гидрозащита</t>
        </is>
      </c>
      <c r="AU7" t="inlineStr">
        <is>
          <t>Плунжер</t>
        </is>
      </c>
      <c r="AV7" t="inlineStr">
        <is>
          <t>Ротор винтового насоса</t>
        </is>
      </c>
      <c r="AW7" t="inlineStr">
        <is>
          <t>Устьевое оборудование</t>
        </is>
      </c>
      <c r="AX7" t="inlineStr">
        <is>
          <t>1.6 — Авария [УЭЦН]</t>
        </is>
      </c>
      <c r="AY7" t="inlineStr">
        <is>
          <t>1.6 — Авария [УШГН]</t>
        </is>
      </c>
      <c r="AZ7" t="inlineStr">
        <is>
          <t>К3 — Коррозия</t>
        </is>
      </c>
      <c r="BA7" t="inlineStr">
        <is>
          <t>КР2-2 — Устранение установкой пластыря.</t>
        </is>
      </c>
      <c r="BB7" t="inlineStr">
        <is>
          <t>Обрыв</t>
        </is>
      </c>
      <c r="BC7" t="inlineStr">
        <is>
          <t>Обрыв</t>
        </is>
      </c>
      <c r="BD7" t="inlineStr">
        <is>
          <t>Обрыв</t>
        </is>
      </c>
      <c r="BE7" t="inlineStr">
        <is>
          <t>Отворот</t>
        </is>
      </c>
      <c r="BF7" t="inlineStr">
        <is>
          <t>Металлография</t>
        </is>
      </c>
      <c r="BG7" t="inlineStr">
        <is>
          <t>Причина не установлена</t>
        </is>
      </c>
      <c r="BI7" t="inlineStr">
        <is>
          <t>Коррозионностойкий материал / покрытие</t>
        </is>
      </c>
      <c r="BJ7" t="inlineStr">
        <is>
          <t>ШГН — 57 мм</t>
        </is>
      </c>
      <c r="BM7" t="inlineStr">
        <is>
          <t>ШГН — серия НВ1С-57</t>
        </is>
      </c>
      <c r="BO7" t="inlineStr">
        <is>
          <t>ЭВН 5-63-1500</t>
        </is>
      </c>
      <c r="BT7" t="inlineStr">
        <is>
          <t>57 мм</t>
        </is>
      </c>
      <c r="BZ7" t="inlineStr">
        <is>
          <t>Подозрение на отложения по снижению подачи и росту температуры</t>
        </is>
      </c>
      <c r="CA7" t="inlineStr">
        <is>
          <t>Снижение сопротивления изоляции</t>
        </is>
      </c>
      <c r="CB7" t="inlineStr">
        <is>
          <t>Муфта штанг</t>
        </is>
      </c>
      <c r="CC7" t="inlineStr">
        <is>
          <t>Погружной электродвигатель</t>
        </is>
      </c>
      <c r="CD7" t="inlineStr">
        <is>
          <t>Обрыв</t>
        </is>
      </c>
      <c r="CE7" t="inlineStr">
        <is>
          <t>Отворот</t>
        </is>
      </c>
      <c r="CF7" t="inlineStr">
        <is>
          <t>ШГН — 57 мм</t>
        </is>
      </c>
      <c r="CG7" t="inlineStr">
        <is>
          <t>ШГН — серия НВ1С-57</t>
        </is>
      </c>
      <c r="CH7" t="inlineStr">
        <is>
          <t>Снижение сопротивления изоляции</t>
        </is>
      </c>
      <c r="CI7" t="inlineStr">
        <is>
          <t>Гидрозащита</t>
        </is>
      </c>
      <c r="CJ7" t="inlineStr">
        <is>
          <t>1.6 — Авария [УЭЦН]</t>
        </is>
      </c>
      <c r="CK7" t="inlineStr">
        <is>
          <t>Усталостное разрушение</t>
        </is>
      </c>
      <c r="CL7">
        <f>IFERROR(INDEX('История отказов'!$AK$5:$AK$1204,SMALL($DI$2:$DI$1201,ROWS($CL$4:CL7))),"")</f>
        <v/>
      </c>
      <c r="CM7" t="inlineStr">
        <is>
          <t>ПЭД — габарит 185 мм</t>
        </is>
      </c>
      <c r="CP7">
        <f>IFERROR(INDEX('История отказов'!$AU$5:$AU$1204,SMALL($DJ$2:$DJ$1201,ROWS($CP$4:CP7))),"")</f>
        <v/>
      </c>
      <c r="CQ7" t="inlineStr">
        <is>
          <t>Модульная гидрозащита — 114 мм</t>
        </is>
      </c>
      <c r="CR7">
        <f>IFERROR(INDEX('История отказов'!$AY$5:$AY$1204,SMALL($DK$2:$DK$1201,ROWS($CR$3:CR7))),"")</f>
        <v/>
      </c>
      <c r="CT7">
        <f>IFERROR(INDEX('История отказов'!$AE$5:$AE$1204,SMALL($DC$2:$DC$1201,ROWS($CT$3:CT7))),"")</f>
        <v/>
      </c>
      <c r="CU7">
        <f>IFERROR(INDEX('История отказов'!$AE$5:$AE$1204,SMALL($DD$2:$DD$1201,ROWS($CU$4:CU7))),"")</f>
        <v/>
      </c>
      <c r="CV7">
        <f>IFERROR(INDEX('История отказов'!$AE$5:$AE$1204,SMALL($DE$2:$DE$1201,ROWS($CV$4:CV7))),"")</f>
        <v/>
      </c>
      <c r="CW7">
        <f>IFERROR(INDEX('История отказов'!$AE$5:$AE$1204,SMALL($DG$2:$DG$1201,ROWS($CW$3:CW7))),"")</f>
        <v/>
      </c>
      <c r="CX7">
        <f>IFERROR(INDEX('История отказов'!$AE$5:$AE$1204,SMALL($DF$2:$DF$1201,ROWS($CX$3:CX7))),"")</f>
        <v/>
      </c>
      <c r="CY7">
        <f>IFERROR(INDEX('История отказов'!$AE$5:$AE$1204,SMALL($DH$2:$DH$1201,ROWS($CY$7:CY7))),"")</f>
        <v/>
      </c>
      <c r="CZ7" t="inlineStr">
        <is>
          <t>НКТ гладкая 89×6,5 мм</t>
        </is>
      </c>
      <c r="DA7" t="n">
        <v>2030</v>
      </c>
      <c r="DB7">
        <f>IF('История отказов'!AH10="","",'История отказов'!AH10)</f>
        <v/>
      </c>
      <c r="DC7">
        <f>IF('История отказов'!AE10="","",IF(AND(COUNTIF($CT$2:$CT$2,'История отказов'!AE10)=0,COUNTIFS('История отказов'!$F$5:F10,"ШГН",'История отказов'!$AE$5:AE10,'История отказов'!AE10)=1,'История отказов'!F10="ШГН"),6,""))</f>
        <v/>
      </c>
      <c r="DD7">
        <f>IF('История отказов'!AE10="","",IF(AND(COUNTIF($CU$2:$CU$3,'История отказов'!AE10)=0,COUNTIFS('История отказов'!$F$5:F10,"ЭЦН",'История отказов'!$AE$5:AE10,'История отказов'!AE10)=1,'История отказов'!F10="ЭЦН"),6,""))</f>
        <v/>
      </c>
      <c r="DE7">
        <f>IF('История отказов'!AE10="","",IF(AND(COUNTIF($CV$2:$CV$3,'История отказов'!AE10)=0,COUNTIFS('История отказов'!$F$5:F10,"ЭВН",'История отказов'!$AE$5:AE10,'История отказов'!AE10)=1,'История отказов'!F10="ЭВН"),6,""))</f>
        <v/>
      </c>
      <c r="DF7">
        <f>IF('История отказов'!AE10="","",IF(AND(COUNTIF($CX$2:$CX$2,'История отказов'!AE10)=0,COUNTIFS('История отказов'!$F$5:F10,"ШВН",'История отказов'!$AE$5:AE10,'История отказов'!AE10)=1,'История отказов'!F10="ШВН"),6,""))</f>
        <v/>
      </c>
      <c r="DG7">
        <f>IF('История отказов'!AE10="","",IF(AND(COUNTIF($CW$2:$CW$2,'История отказов'!AE10)=0,COUNTIFS('История отказов'!$F$5:F10,"НПУ-ВД",'История отказов'!$AE$5:AE10,'История отказов'!AE10)=1,'История отказов'!F10="НПУ-ВД"),6,""))</f>
        <v/>
      </c>
      <c r="DH7">
        <f>IF('История отказов'!AE10="","",IF(AND(COUNTIF($CY$2:$CY$6,'История отказов'!AE10)=0,COUNTIF('История отказов'!$AE$5:AE10,'История отказов'!AE10)=1),6,""))</f>
        <v/>
      </c>
      <c r="DI7">
        <f>IF('История отказов'!AK10="","",IF(AND(COUNTIF($CL$2:$CL$3,'История отказов'!AK10)=0,COUNTIF('История отказов'!$AK$5:AK10,'История отказов'!AK10)=1),6,""))</f>
        <v/>
      </c>
      <c r="DJ7">
        <f>IF('История отказов'!AU10="","",IF(AND(COUNTIF($CP$2:$CP$3,'История отказов'!AU10)=0,COUNTIF('История отказов'!$AU$5:AU10,'История отказов'!AU10)=1),6,""))</f>
        <v/>
      </c>
      <c r="DK7">
        <f>IF('История отказов'!AY10="","",IF(AND(COUNTIF($CR$2:$CR$2,'История отказов'!AY10)=0,COUNTIF('История отказов'!$AY$5:AY10,'История отказов'!AY10)=1),6,""))</f>
        <v/>
      </c>
      <c r="DL7">
        <f>IF(DB7="","",IF(AND(COUNTIF($DA$2:$DA$47,DB7)=0,COUNTIF($DB$2:DB7,DB7)=1),6,""))</f>
        <v/>
      </c>
    </row>
    <row r="8">
      <c r="A8" s="74" t="n"/>
      <c r="B8" s="75" t="inlineStr">
        <is>
          <t>Иное событие</t>
        </is>
      </c>
      <c r="C8" s="75" t="inlineStr">
        <is>
          <t>Остановка по защите</t>
        </is>
      </c>
      <c r="D8" s="75" t="inlineStr">
        <is>
          <t>Погружной электродвигатель</t>
        </is>
      </c>
      <c r="E8" s="75" t="inlineStr">
        <is>
          <t>1.7 — Организационные причины ТРС [УЭЦН]</t>
        </is>
      </c>
      <c r="F8" s="76" t="inlineStr">
        <is>
          <t>В1 — Высокая вязкость</t>
        </is>
      </c>
      <c r="G8" t="inlineStr">
        <is>
          <t>В1 — Высокая вязкость</t>
        </is>
      </c>
      <c r="H8" t="inlineStr">
        <is>
          <t>КР2-3 — Устранение не герметичности спуском дополнительной обсадной колонны меньшего диаметра.</t>
        </is>
      </c>
      <c r="I8" t="inlineStr">
        <is>
          <t>Обрыв</t>
        </is>
      </c>
      <c r="J8" s="62" t="inlineStr">
        <is>
          <t>1.7 — Организационные причины ТРС [УЭЦН]</t>
        </is>
      </c>
      <c r="K8" s="62" t="inlineStr">
        <is>
          <t>В1 — Высокая вязкость</t>
        </is>
      </c>
      <c r="L8" s="62" t="inlineStr">
        <is>
          <t>Телеметрия</t>
        </is>
      </c>
      <c r="M8" s="62" t="n"/>
      <c r="N8" s="62" t="n"/>
      <c r="O8" t="inlineStr">
        <is>
          <t>Погружной протектор</t>
        </is>
      </c>
      <c r="Q8" t="inlineStr">
        <is>
          <t>Предварительная причина</t>
        </is>
      </c>
      <c r="R8" t="inlineStr">
        <is>
          <t>Классификатор по способам 2024 V10</t>
        </is>
      </c>
      <c r="S8" t="inlineStr">
        <is>
          <t>Выбор из списка; отсутствующий паспортный типоразмер/марку вписать вручную</t>
        </is>
      </c>
      <c r="X8" t="inlineStr">
        <is>
          <t>Предел источников</t>
        </is>
      </c>
      <c r="Y8" t="inlineStr">
        <is>
          <t>Каталоги марок неполные; конкретные G/H сверять с паспортом установки</t>
        </is>
      </c>
      <c r="Z8" t="inlineStr">
        <is>
          <t>Паспорт / акт спуска конкретной скважины</t>
        </is>
      </c>
      <c r="AA8" t="inlineStr">
        <is>
          <t>ЭЦН — габарит 5</t>
        </is>
      </c>
      <c r="AB8" t="inlineStr">
        <is>
          <t>ЭЦН — серия УЭЦН-5</t>
        </is>
      </c>
      <c r="AO8" t="inlineStr">
        <is>
          <t>Иное событие</t>
        </is>
      </c>
      <c r="AP8" t="inlineStr">
        <is>
          <t>Остановка по защите</t>
        </is>
      </c>
      <c r="AQ8" t="inlineStr">
        <is>
          <t>Подозрение на обрыв штанг по динамограмме</t>
        </is>
      </c>
      <c r="AR8" t="inlineStr">
        <is>
          <t>Рост нагрузок штанговой колонны</t>
        </is>
      </c>
      <c r="AS8" t="inlineStr">
        <is>
          <t>Подозрение на негерметичность НКТ</t>
        </is>
      </c>
      <c r="AT8" t="inlineStr">
        <is>
          <t>Погружной электродвигатель</t>
        </is>
      </c>
      <c r="AU8" t="inlineStr">
        <is>
          <t>Цилиндр</t>
        </is>
      </c>
      <c r="AV8" t="inlineStr">
        <is>
          <t>Статор винтового насоса</t>
        </is>
      </c>
      <c r="AW8" t="inlineStr">
        <is>
          <t>Дополнительное оборудование</t>
        </is>
      </c>
      <c r="AX8" t="inlineStr">
        <is>
          <t>1.7 — Организационные причины ТРС [УЭЦН]</t>
        </is>
      </c>
      <c r="AY8" t="inlineStr">
        <is>
          <t>1.7 — Организационные причины ТРС [УШГН]</t>
        </is>
      </c>
      <c r="AZ8" t="inlineStr">
        <is>
          <t>В1 — Высокая вязкость</t>
        </is>
      </c>
      <c r="BA8" t="inlineStr">
        <is>
          <t>КР2-3 — Устранение не герметичности спуском дополнительной обсадной колонны меньшего диаметра.</t>
        </is>
      </c>
      <c r="BB8" t="inlineStr">
        <is>
          <t>Отворот</t>
        </is>
      </c>
      <c r="BC8" t="inlineStr">
        <is>
          <t>Отворот</t>
        </is>
      </c>
      <c r="BD8" t="inlineStr">
        <is>
          <t>Отворот</t>
        </is>
      </c>
      <c r="BE8" t="inlineStr">
        <is>
          <t>Заклинивание</t>
        </is>
      </c>
      <c r="BF8" t="inlineStr">
        <is>
          <t>Телеметрия</t>
        </is>
      </c>
      <c r="BI8" t="inlineStr">
        <is>
          <t>Погружной протектор</t>
        </is>
      </c>
      <c r="BO8" t="inlineStr">
        <is>
          <t>ЭВН 5-100-1000</t>
        </is>
      </c>
      <c r="BZ8" t="inlineStr">
        <is>
          <t>Рост нагрузок штанговой колонны</t>
        </is>
      </c>
      <c r="CA8" t="inlineStr">
        <is>
          <t>Остановка по защите</t>
        </is>
      </c>
      <c r="CB8" t="inlineStr">
        <is>
          <t>Ротор винтового насоса</t>
        </is>
      </c>
      <c r="CC8" t="inlineStr">
        <is>
          <t>Кабельная линия</t>
        </is>
      </c>
      <c r="CD8" t="inlineStr">
        <is>
          <t>Отворот</t>
        </is>
      </c>
      <c r="CE8" t="inlineStr">
        <is>
          <t>Заклинивание</t>
        </is>
      </c>
      <c r="CF8" t="inlineStr">
        <is>
          <t>ЭЦН — габарит 5</t>
        </is>
      </c>
      <c r="CG8" t="inlineStr">
        <is>
          <t>ЭЦН — серия УЭЦН-5</t>
        </is>
      </c>
      <c r="CH8" t="inlineStr">
        <is>
          <t>Остановка по защите</t>
        </is>
      </c>
      <c r="CI8" t="inlineStr">
        <is>
          <t>Погружной электродвигатель</t>
        </is>
      </c>
      <c r="CJ8" t="inlineStr">
        <is>
          <t>1.7 — Организационные причины ТРС [УЭЦН]</t>
        </is>
      </c>
      <c r="CK8" t="inlineStr">
        <is>
          <t>Обрыв</t>
        </is>
      </c>
      <c r="CL8">
        <f>IFERROR(INDEX('История отказов'!$AK$5:$AK$1204,SMALL($DI$2:$DI$1201,ROWS($CL$4:CL8))),"")</f>
        <v/>
      </c>
      <c r="CP8">
        <f>IFERROR(INDEX('История отказов'!$AU$5:$AU$1204,SMALL($DJ$2:$DJ$1201,ROWS($CP$4:CP8))),"")</f>
        <v/>
      </c>
      <c r="CQ8" t="inlineStr">
        <is>
          <t>Модульная гидрозащита — 136 мм</t>
        </is>
      </c>
      <c r="CR8">
        <f>IFERROR(INDEX('История отказов'!$AY$5:$AY$1204,SMALL($DK$2:$DK$1201,ROWS($CR$3:CR8))),"")</f>
        <v/>
      </c>
      <c r="CT8">
        <f>IFERROR(INDEX('История отказов'!$AE$5:$AE$1204,SMALL($DC$2:$DC$1201,ROWS($CT$3:CT8))),"")</f>
        <v/>
      </c>
      <c r="CU8">
        <f>IFERROR(INDEX('История отказов'!$AE$5:$AE$1204,SMALL($DD$2:$DD$1201,ROWS($CU$4:CU8))),"")</f>
        <v/>
      </c>
      <c r="CV8">
        <f>IFERROR(INDEX('История отказов'!$AE$5:$AE$1204,SMALL($DE$2:$DE$1201,ROWS($CV$4:CV8))),"")</f>
        <v/>
      </c>
      <c r="CW8">
        <f>IFERROR(INDEX('История отказов'!$AE$5:$AE$1204,SMALL($DG$2:$DG$1201,ROWS($CW$3:CW8))),"")</f>
        <v/>
      </c>
      <c r="CX8">
        <f>IFERROR(INDEX('История отказов'!$AE$5:$AE$1204,SMALL($DF$2:$DF$1201,ROWS($CX$3:CX8))),"")</f>
        <v/>
      </c>
      <c r="CY8">
        <f>IFERROR(INDEX('История отказов'!$AE$5:$AE$1204,SMALL($DH$2:$DH$1201,ROWS($CY$7:CY8))),"")</f>
        <v/>
      </c>
      <c r="DA8" t="n">
        <v>2029</v>
      </c>
      <c r="DB8">
        <f>IF('История отказов'!AH11="","",'История отказов'!AH11)</f>
        <v/>
      </c>
      <c r="DC8">
        <f>IF('История отказов'!AE11="","",IF(AND(COUNTIF($CT$2:$CT$2,'История отказов'!AE11)=0,COUNTIFS('История отказов'!$F$5:F11,"ШГН",'История отказов'!$AE$5:AE11,'История отказов'!AE11)=1,'История отказов'!F11="ШГН"),7,""))</f>
        <v/>
      </c>
      <c r="DD8">
        <f>IF('История отказов'!AE11="","",IF(AND(COUNTIF($CU$2:$CU$3,'История отказов'!AE11)=0,COUNTIFS('История отказов'!$F$5:F11,"ЭЦН",'История отказов'!$AE$5:AE11,'История отказов'!AE11)=1,'История отказов'!F11="ЭЦН"),7,""))</f>
        <v/>
      </c>
      <c r="DE8">
        <f>IF('История отказов'!AE11="","",IF(AND(COUNTIF($CV$2:$CV$3,'История отказов'!AE11)=0,COUNTIFS('История отказов'!$F$5:F11,"ЭВН",'История отказов'!$AE$5:AE11,'История отказов'!AE11)=1,'История отказов'!F11="ЭВН"),7,""))</f>
        <v/>
      </c>
      <c r="DF8">
        <f>IF('История отказов'!AE11="","",IF(AND(COUNTIF($CX$2:$CX$2,'История отказов'!AE11)=0,COUNTIFS('История отказов'!$F$5:F11,"ШВН",'История отказов'!$AE$5:AE11,'История отказов'!AE11)=1,'История отказов'!F11="ШВН"),7,""))</f>
        <v/>
      </c>
      <c r="DG8">
        <f>IF('История отказов'!AE11="","",IF(AND(COUNTIF($CW$2:$CW$2,'История отказов'!AE11)=0,COUNTIFS('История отказов'!$F$5:F11,"НПУ-ВД",'История отказов'!$AE$5:AE11,'История отказов'!AE11)=1,'История отказов'!F11="НПУ-ВД"),7,""))</f>
        <v/>
      </c>
      <c r="DH8">
        <f>IF('История отказов'!AE11="","",IF(AND(COUNTIF($CY$2:$CY$6,'История отказов'!AE11)=0,COUNTIF('История отказов'!$AE$5:AE11,'История отказов'!AE11)=1),7,""))</f>
        <v/>
      </c>
      <c r="DI8">
        <f>IF('История отказов'!AK11="","",IF(AND(COUNTIF($CL$2:$CL$3,'История отказов'!AK11)=0,COUNTIF('История отказов'!$AK$5:AK11,'История отказов'!AK11)=1),7,""))</f>
        <v/>
      </c>
      <c r="DJ8">
        <f>IF('История отказов'!AU11="","",IF(AND(COUNTIF($CP$2:$CP$3,'История отказов'!AU11)=0,COUNTIF('История отказов'!$AU$5:AU11,'История отказов'!AU11)=1),7,""))</f>
        <v/>
      </c>
      <c r="DK8">
        <f>IF('История отказов'!AY11="","",IF(AND(COUNTIF($CR$2:$CR$2,'История отказов'!AY11)=0,COUNTIF('История отказов'!$AY$5:AY11,'История отказов'!AY11)=1),7,""))</f>
        <v/>
      </c>
      <c r="DL8">
        <f>IF(DB8="","",IF(AND(COUNTIF($DA$2:$DA$47,DB8)=0,COUNTIF($DB$2:DB8,DB8)=1),7,""))</f>
        <v/>
      </c>
    </row>
    <row r="9">
      <c r="A9" s="74" t="n"/>
      <c r="B9" s="75" t="n"/>
      <c r="C9" s="75" t="inlineStr">
        <is>
          <t>Рост вибрации</t>
        </is>
      </c>
      <c r="D9" s="75" t="inlineStr">
        <is>
          <t>Кабельная линия</t>
        </is>
      </c>
      <c r="E9" s="75" t="inlineStr">
        <is>
          <t>2.1 — Механическое повреждение кабеля [УЭЦН]</t>
        </is>
      </c>
      <c r="F9" s="76" t="inlineStr">
        <is>
          <t>В2 — Высокая вязкость</t>
        </is>
      </c>
      <c r="G9" t="inlineStr">
        <is>
          <t>В2 — Высокая вязкость</t>
        </is>
      </c>
      <c r="H9" t="inlineStr">
        <is>
          <t>КР2-4 — Устранение не герметичности частичной сменой эксплуатационной колонны.</t>
        </is>
      </c>
      <c r="I9" t="inlineStr">
        <is>
          <t>Отворот</t>
        </is>
      </c>
      <c r="J9" s="62" t="inlineStr">
        <is>
          <t>2.1 — Механическое повреждение кабеля [УЭЦН]</t>
        </is>
      </c>
      <c r="K9" s="62" t="inlineStr">
        <is>
          <t>В2 — Высокая вязкость</t>
        </is>
      </c>
      <c r="L9" s="62" t="inlineStr">
        <is>
          <t>Динамограмма</t>
        </is>
      </c>
      <c r="M9" s="62" t="n"/>
      <c r="N9" s="62" t="n"/>
      <c r="O9" t="inlineStr">
        <is>
          <t>Деэмульгатор при высоковязкой эмульсии</t>
        </is>
      </c>
      <c r="Q9" t="inlineStr">
        <is>
          <t>Основная категория</t>
        </is>
      </c>
      <c r="R9" t="inlineStr">
        <is>
          <t>МУ по отнесению скважин к ОФ</t>
        </is>
      </c>
      <c r="S9" t="inlineStr">
        <is>
          <t>Выбор из списка; отсутствующий паспортный типоразмер/марку вписать вручную</t>
        </is>
      </c>
      <c r="AA9" t="inlineStr">
        <is>
          <t>ЭЦН — габарит 5У</t>
        </is>
      </c>
      <c r="AB9" t="inlineStr">
        <is>
          <t>ЭЦН — серия УЭЦН-5У</t>
        </is>
      </c>
      <c r="AP9" t="inlineStr">
        <is>
          <t>Рост вибрации</t>
        </is>
      </c>
      <c r="AQ9" t="inlineStr">
        <is>
          <t>Подозрение на негерметичность НКТ</t>
        </is>
      </c>
      <c r="AR9" t="inlineStr">
        <is>
          <t>Подозрение на негерметичность НКТ</t>
        </is>
      </c>
      <c r="AS9" t="inlineStr">
        <is>
          <t>Другое — описать в комментарии</t>
        </is>
      </c>
      <c r="AT9" t="inlineStr">
        <is>
          <t>Кабельная линия</t>
        </is>
      </c>
      <c r="AU9" t="inlineStr">
        <is>
          <t>Клапанный узел</t>
        </is>
      </c>
      <c r="AV9" t="inlineStr">
        <is>
          <t>Наземный привод</t>
        </is>
      </c>
      <c r="AW9" t="inlineStr">
        <is>
          <t>Узел не установлен</t>
        </is>
      </c>
      <c r="AX9" t="inlineStr">
        <is>
          <t>2.1 — Механическое повреждение кабеля [УЭЦН]</t>
        </is>
      </c>
      <c r="AY9" t="inlineStr">
        <is>
          <t>2.1 — Нарушение глубины спуска [УШГН]</t>
        </is>
      </c>
      <c r="AZ9" t="inlineStr">
        <is>
          <t>В2 — Высокая вязкость</t>
        </is>
      </c>
      <c r="BA9" t="inlineStr">
        <is>
          <t>КР2-4 — Устранение не герметичности частичной сменой эксплуатационной колонны.</t>
        </is>
      </c>
      <c r="BB9" t="inlineStr">
        <is>
          <t>Заклинивание</t>
        </is>
      </c>
      <c r="BC9" t="inlineStr">
        <is>
          <t>Заклинивание</t>
        </is>
      </c>
      <c r="BD9" t="inlineStr">
        <is>
          <t>Заклинивание</t>
        </is>
      </c>
      <c r="BE9" t="inlineStr">
        <is>
          <t>Засорение</t>
        </is>
      </c>
      <c r="BF9" t="inlineStr">
        <is>
          <t>Динамограмма</t>
        </is>
      </c>
      <c r="BI9" t="inlineStr">
        <is>
          <t>Деэмульгатор при высоковязкой эмульсии</t>
        </is>
      </c>
      <c r="BO9" t="inlineStr">
        <is>
          <t>ЭВН 5-100-1200</t>
        </is>
      </c>
      <c r="BZ9" t="inlineStr">
        <is>
          <t>Подозрение на негерметичность НКТ</t>
        </is>
      </c>
      <c r="CA9" t="inlineStr">
        <is>
          <t>Рост вибрации</t>
        </is>
      </c>
      <c r="CB9" t="inlineStr">
        <is>
          <t>Статор винтового насоса</t>
        </is>
      </c>
      <c r="CC9" t="inlineStr">
        <is>
          <t>Кабельный удлинитель</t>
        </is>
      </c>
      <c r="CD9" t="inlineStr">
        <is>
          <t>Заклинивание</t>
        </is>
      </c>
      <c r="CE9" t="inlineStr">
        <is>
          <t>Засорение</t>
        </is>
      </c>
      <c r="CF9" t="inlineStr">
        <is>
          <t>ЭЦН — габарит 5У</t>
        </is>
      </c>
      <c r="CG9" t="inlineStr">
        <is>
          <t>ЭЦН — серия УЭЦН-5У</t>
        </is>
      </c>
      <c r="CH9" t="inlineStr">
        <is>
          <t>Рост вибрации</t>
        </is>
      </c>
      <c r="CI9" t="inlineStr">
        <is>
          <t>Кабельная линия</t>
        </is>
      </c>
      <c r="CJ9" t="inlineStr">
        <is>
          <t>2.1 — Механическое повреждение кабеля [УЭЦН]</t>
        </is>
      </c>
      <c r="CK9" t="inlineStr">
        <is>
          <t>Отворот</t>
        </is>
      </c>
      <c r="CL9">
        <f>IFERROR(INDEX('История отказов'!$AK$5:$AK$1204,SMALL($DI$2:$DI$1201,ROWS($CL$4:CL9))),"")</f>
        <v/>
      </c>
      <c r="CP9">
        <f>IFERROR(INDEX('История отказов'!$AU$5:$AU$1204,SMALL($DJ$2:$DJ$1201,ROWS($CP$4:CP9))),"")</f>
        <v/>
      </c>
      <c r="CQ9" t="inlineStr">
        <is>
          <t>Модульная гидрозащита — 172 мм</t>
        </is>
      </c>
      <c r="CR9">
        <f>IFERROR(INDEX('История отказов'!$AY$5:$AY$1204,SMALL($DK$2:$DK$1201,ROWS($CR$3:CR9))),"")</f>
        <v/>
      </c>
      <c r="CT9">
        <f>IFERROR(INDEX('История отказов'!$AE$5:$AE$1204,SMALL($DC$2:$DC$1201,ROWS($CT$3:CT9))),"")</f>
        <v/>
      </c>
      <c r="CU9">
        <f>IFERROR(INDEX('История отказов'!$AE$5:$AE$1204,SMALL($DD$2:$DD$1201,ROWS($CU$4:CU9))),"")</f>
        <v/>
      </c>
      <c r="CV9">
        <f>IFERROR(INDEX('История отказов'!$AE$5:$AE$1204,SMALL($DE$2:$DE$1201,ROWS($CV$4:CV9))),"")</f>
        <v/>
      </c>
      <c r="CW9">
        <f>IFERROR(INDEX('История отказов'!$AE$5:$AE$1204,SMALL($DG$2:$DG$1201,ROWS($CW$3:CW9))),"")</f>
        <v/>
      </c>
      <c r="CX9">
        <f>IFERROR(INDEX('История отказов'!$AE$5:$AE$1204,SMALL($DF$2:$DF$1201,ROWS($CX$3:CX9))),"")</f>
        <v/>
      </c>
      <c r="CY9">
        <f>IFERROR(INDEX('История отказов'!$AE$5:$AE$1204,SMALL($DH$2:$DH$1201,ROWS($CY$7:CY9))),"")</f>
        <v/>
      </c>
      <c r="DA9" t="n">
        <v>2028</v>
      </c>
      <c r="DB9">
        <f>IF('История отказов'!AH12="","",'История отказов'!AH12)</f>
        <v/>
      </c>
      <c r="DC9">
        <f>IF('История отказов'!AE12="","",IF(AND(COUNTIF($CT$2:$CT$2,'История отказов'!AE12)=0,COUNTIFS('История отказов'!$F$5:F12,"ШГН",'История отказов'!$AE$5:AE12,'История отказов'!AE12)=1,'История отказов'!F12="ШГН"),8,""))</f>
        <v/>
      </c>
      <c r="DD9">
        <f>IF('История отказов'!AE12="","",IF(AND(COUNTIF($CU$2:$CU$3,'История отказов'!AE12)=0,COUNTIFS('История отказов'!$F$5:F12,"ЭЦН",'История отказов'!$AE$5:AE12,'История отказов'!AE12)=1,'История отказов'!F12="ЭЦН"),8,""))</f>
        <v/>
      </c>
      <c r="DE9">
        <f>IF('История отказов'!AE12="","",IF(AND(COUNTIF($CV$2:$CV$3,'История отказов'!AE12)=0,COUNTIFS('История отказов'!$F$5:F12,"ЭВН",'История отказов'!$AE$5:AE12,'История отказов'!AE12)=1,'История отказов'!F12="ЭВН"),8,""))</f>
        <v/>
      </c>
      <c r="DF9">
        <f>IF('История отказов'!AE12="","",IF(AND(COUNTIF($CX$2:$CX$2,'История отказов'!AE12)=0,COUNTIFS('История отказов'!$F$5:F12,"ШВН",'История отказов'!$AE$5:AE12,'История отказов'!AE12)=1,'История отказов'!F12="ШВН"),8,""))</f>
        <v/>
      </c>
      <c r="DG9">
        <f>IF('История отказов'!AE12="","",IF(AND(COUNTIF($CW$2:$CW$2,'История отказов'!AE12)=0,COUNTIFS('История отказов'!$F$5:F12,"НПУ-ВД",'История отказов'!$AE$5:AE12,'История отказов'!AE12)=1,'История отказов'!F12="НПУ-ВД"),8,""))</f>
        <v/>
      </c>
      <c r="DH9">
        <f>IF('История отказов'!AE12="","",IF(AND(COUNTIF($CY$2:$CY$6,'История отказов'!AE12)=0,COUNTIF('История отказов'!$AE$5:AE12,'История отказов'!AE12)=1),8,""))</f>
        <v/>
      </c>
      <c r="DI9">
        <f>IF('История отказов'!AK12="","",IF(AND(COUNTIF($CL$2:$CL$3,'История отказов'!AK12)=0,COUNTIF('История отказов'!$AK$5:AK12,'История отказов'!AK12)=1),8,""))</f>
        <v/>
      </c>
      <c r="DJ9">
        <f>IF('История отказов'!AU12="","",IF(AND(COUNTIF($CP$2:$CP$3,'История отказов'!AU12)=0,COUNTIF('История отказов'!$AU$5:AU12,'История отказов'!AU12)=1),8,""))</f>
        <v/>
      </c>
      <c r="DK9">
        <f>IF('История отказов'!AY12="","",IF(AND(COUNTIF($CR$2:$CR$2,'История отказов'!AY12)=0,COUNTIF('История отказов'!$AY$5:AY12,'История отказов'!AY12)=1),8,""))</f>
        <v/>
      </c>
      <c r="DL9">
        <f>IF(DB9="","",IF(AND(COUNTIF($DA$2:$DA$47,DB9)=0,COUNTIF($DB$2:DB9,DB9)=1),8,""))</f>
        <v/>
      </c>
    </row>
    <row r="10">
      <c r="A10" s="74" t="n"/>
      <c r="B10" s="75" t="n"/>
      <c r="C10" s="75" t="inlineStr">
        <is>
          <t>Рост температуры двигателя</t>
        </is>
      </c>
      <c r="D10" s="75" t="inlineStr">
        <is>
          <t>Кабельный удлинитель</t>
        </is>
      </c>
      <c r="E10" s="75" t="inlineStr">
        <is>
          <t>2.2 — Нарушение глубины спуска [УЭЦН]</t>
        </is>
      </c>
      <c r="F10" s="76" t="inlineStr">
        <is>
          <t>В3 — Высокая вязкость</t>
        </is>
      </c>
      <c r="G10" t="inlineStr">
        <is>
          <t>В3 — Высокая вязкость</t>
        </is>
      </c>
      <c r="H10" t="inlineStr">
        <is>
          <t>КР2-5 — Устранение не герметичности эксплуатационной колонны доворотом.</t>
        </is>
      </c>
      <c r="I10" t="inlineStr">
        <is>
          <t>Заклинивание</t>
        </is>
      </c>
      <c r="J10" s="62" t="inlineStr">
        <is>
          <t>2.2 — Нарушение глубины спуска [УЭЦН]</t>
        </is>
      </c>
      <c r="K10" s="62" t="inlineStr">
        <is>
          <t>В3 — Высокая вязкость</t>
        </is>
      </c>
      <c r="L10" s="62" t="inlineStr">
        <is>
          <t>Ремонтный отчёт</t>
        </is>
      </c>
      <c r="M10" s="62" t="n"/>
      <c r="N10" s="62" t="n"/>
      <c r="O10" t="inlineStr">
        <is>
          <t>Насос для высоковязкой продукции</t>
        </is>
      </c>
      <c r="Q10" t="inlineStr">
        <is>
          <t>Сопутствующая категория</t>
        </is>
      </c>
      <c r="R10" t="inlineStr">
        <is>
          <t>МУ по отнесению скважин к ОФ</t>
        </is>
      </c>
      <c r="S10" t="inlineStr">
        <is>
          <t>Выбор из списка; отсутствующий паспортный типоразмер/марку вписать вручную</t>
        </is>
      </c>
      <c r="X10" t="inlineStr">
        <is>
          <t>Независимая проверка</t>
        </is>
      </c>
      <c r="Y10" t="inlineStr">
        <is>
          <t>Результат</t>
        </is>
      </c>
      <c r="Z10" t="inlineStr">
        <is>
          <t>Сверка</t>
        </is>
      </c>
      <c r="AA10" t="inlineStr">
        <is>
          <t>ЭЦН — габарит 6</t>
        </is>
      </c>
      <c r="AB10" t="inlineStr">
        <is>
          <t>ЭВН 5-16-1200</t>
        </is>
      </c>
      <c r="AP10" t="inlineStr">
        <is>
          <t>Рост температуры двигателя</t>
        </is>
      </c>
      <c r="AQ10" t="inlineStr">
        <is>
          <t>Другое — описать в комментарии</t>
        </is>
      </c>
      <c r="AR10" t="inlineStr">
        <is>
          <t>Другое — описать в комментарии</t>
        </is>
      </c>
      <c r="AS10" t="inlineStr">
        <is>
          <t>Изменение давления на приёме насоса</t>
        </is>
      </c>
      <c r="AT10" t="inlineStr">
        <is>
          <t>Кабельный удлинитель</t>
        </is>
      </c>
      <c r="AU10" t="inlineStr">
        <is>
          <t>Наземный привод</t>
        </is>
      </c>
      <c r="AV10" t="inlineStr">
        <is>
          <t>Устьевое оборудование</t>
        </is>
      </c>
      <c r="AW10" t="inlineStr">
        <is>
          <t>Приёмная сетка насоса</t>
        </is>
      </c>
      <c r="AX10" t="inlineStr">
        <is>
          <t>2.2 — Нарушение глубины спуска [УЭЦН]</t>
        </is>
      </c>
      <c r="AY10" t="inlineStr">
        <is>
          <t>2.2 — Некачественная подготовка скважины [УШГН]</t>
        </is>
      </c>
      <c r="AZ10" t="inlineStr">
        <is>
          <t>В3 — Высокая вязкость</t>
        </is>
      </c>
      <c r="BA10" t="inlineStr">
        <is>
          <t>КР2-5 — Устранение не герметичности эксплуатационной колонны доворотом.</t>
        </is>
      </c>
      <c r="BB10" t="inlineStr">
        <is>
          <t>Засорение</t>
        </is>
      </c>
      <c r="BC10" t="inlineStr">
        <is>
          <t>Засорение</t>
        </is>
      </c>
      <c r="BD10" t="inlineStr">
        <is>
          <t>Засорение</t>
        </is>
      </c>
      <c r="BE10" t="inlineStr">
        <is>
          <t>Отложения</t>
        </is>
      </c>
      <c r="BF10" t="inlineStr">
        <is>
          <t>Ремонтный отчёт</t>
        </is>
      </c>
      <c r="BI10" t="inlineStr">
        <is>
          <t>Насос для высоковязкой продукции</t>
        </is>
      </c>
      <c r="BO10" t="inlineStr">
        <is>
          <t>ЭВН 5-12-1500</t>
        </is>
      </c>
      <c r="BZ10" t="inlineStr">
        <is>
          <t>Другое — описать в комментарии</t>
        </is>
      </c>
      <c r="CA10" t="inlineStr">
        <is>
          <t>Рост температуры двигателя</t>
        </is>
      </c>
      <c r="CB10" t="inlineStr">
        <is>
          <t>Наземный привод</t>
        </is>
      </c>
      <c r="CC10" t="inlineStr">
        <is>
          <t>Система ТМС</t>
        </is>
      </c>
      <c r="CD10" t="inlineStr">
        <is>
          <t>Засорение</t>
        </is>
      </c>
      <c r="CE10" t="inlineStr">
        <is>
          <t>Отложения</t>
        </is>
      </c>
      <c r="CF10" t="inlineStr">
        <is>
          <t>ЭЦН — габарит 6</t>
        </is>
      </c>
      <c r="CG10" t="inlineStr">
        <is>
          <t>ЭВН 5-16-1200</t>
        </is>
      </c>
      <c r="CH10" t="inlineStr">
        <is>
          <t>Рост температуры двигателя</t>
        </is>
      </c>
      <c r="CI10" t="inlineStr">
        <is>
          <t>Кабельный удлинитель</t>
        </is>
      </c>
      <c r="CJ10" t="inlineStr">
        <is>
          <t>2.2 — Нарушение глубины спуска [УЭЦН]</t>
        </is>
      </c>
      <c r="CK10" t="inlineStr">
        <is>
          <t>Заклинивание</t>
        </is>
      </c>
      <c r="CL10">
        <f>IFERROR(INDEX('История отказов'!$AK$5:$AK$1204,SMALL($DI$2:$DI$1201,ROWS($CL$4:CL10))),"")</f>
        <v/>
      </c>
      <c r="CP10">
        <f>IFERROR(INDEX('История отказов'!$AU$5:$AU$1204,SMALL($DJ$2:$DJ$1201,ROWS($CP$4:CP10))),"")</f>
        <v/>
      </c>
      <c r="CR10">
        <f>IFERROR(INDEX('История отказов'!$AY$5:$AY$1204,SMALL($DK$2:$DK$1201,ROWS($CR$3:CR10))),"")</f>
        <v/>
      </c>
      <c r="CT10">
        <f>IFERROR(INDEX('История отказов'!$AE$5:$AE$1204,SMALL($DC$2:$DC$1201,ROWS($CT$3:CT10))),"")</f>
        <v/>
      </c>
      <c r="CU10">
        <f>IFERROR(INDEX('История отказов'!$AE$5:$AE$1204,SMALL($DD$2:$DD$1201,ROWS($CU$4:CU10))),"")</f>
        <v/>
      </c>
      <c r="CV10">
        <f>IFERROR(INDEX('История отказов'!$AE$5:$AE$1204,SMALL($DE$2:$DE$1201,ROWS($CV$4:CV10))),"")</f>
        <v/>
      </c>
      <c r="CW10">
        <f>IFERROR(INDEX('История отказов'!$AE$5:$AE$1204,SMALL($DG$2:$DG$1201,ROWS($CW$3:CW10))),"")</f>
        <v/>
      </c>
      <c r="CX10">
        <f>IFERROR(INDEX('История отказов'!$AE$5:$AE$1204,SMALL($DF$2:$DF$1201,ROWS($CX$3:CX10))),"")</f>
        <v/>
      </c>
      <c r="CY10">
        <f>IFERROR(INDEX('История отказов'!$AE$5:$AE$1204,SMALL($DH$2:$DH$1201,ROWS($CY$7:CY10))),"")</f>
        <v/>
      </c>
      <c r="DA10" t="n">
        <v>2027</v>
      </c>
      <c r="DB10">
        <f>IF('История отказов'!AH13="","",'История отказов'!AH13)</f>
        <v/>
      </c>
      <c r="DC10">
        <f>IF('История отказов'!AE13="","",IF(AND(COUNTIF($CT$2:$CT$2,'История отказов'!AE13)=0,COUNTIFS('История отказов'!$F$5:F13,"ШГН",'История отказов'!$AE$5:AE13,'История отказов'!AE13)=1,'История отказов'!F13="ШГН"),9,""))</f>
        <v/>
      </c>
      <c r="DD10">
        <f>IF('История отказов'!AE13="","",IF(AND(COUNTIF($CU$2:$CU$3,'История отказов'!AE13)=0,COUNTIFS('История отказов'!$F$5:F13,"ЭЦН",'История отказов'!$AE$5:AE13,'История отказов'!AE13)=1,'История отказов'!F13="ЭЦН"),9,""))</f>
        <v/>
      </c>
      <c r="DE10">
        <f>IF('История отказов'!AE13="","",IF(AND(COUNTIF($CV$2:$CV$3,'История отказов'!AE13)=0,COUNTIFS('История отказов'!$F$5:F13,"ЭВН",'История отказов'!$AE$5:AE13,'История отказов'!AE13)=1,'История отказов'!F13="ЭВН"),9,""))</f>
        <v/>
      </c>
      <c r="DF10">
        <f>IF('История отказов'!AE13="","",IF(AND(COUNTIF($CX$2:$CX$2,'История отказов'!AE13)=0,COUNTIFS('История отказов'!$F$5:F13,"ШВН",'История отказов'!$AE$5:AE13,'История отказов'!AE13)=1,'История отказов'!F13="ШВН"),9,""))</f>
        <v/>
      </c>
      <c r="DG10">
        <f>IF('История отказов'!AE13="","",IF(AND(COUNTIF($CW$2:$CW$2,'История отказов'!AE13)=0,COUNTIFS('История отказов'!$F$5:F13,"НПУ-ВД",'История отказов'!$AE$5:AE13,'История отказов'!AE13)=1,'История отказов'!F13="НПУ-ВД"),9,""))</f>
        <v/>
      </c>
      <c r="DH10">
        <f>IF('История отказов'!AE13="","",IF(AND(COUNTIF($CY$2:$CY$6,'История отказов'!AE13)=0,COUNTIF('История отказов'!$AE$5:AE13,'История отказов'!AE13)=1),9,""))</f>
        <v/>
      </c>
      <c r="DI10">
        <f>IF('История отказов'!AK13="","",IF(AND(COUNTIF($CL$2:$CL$3,'История отказов'!AK13)=0,COUNTIF('История отказов'!$AK$5:AK13,'История отказов'!AK13)=1),9,""))</f>
        <v/>
      </c>
      <c r="DJ10">
        <f>IF('История отказов'!AU13="","",IF(AND(COUNTIF($CP$2:$CP$3,'История отказов'!AU13)=0,COUNTIF('История отказов'!$AU$5:AU13,'История отказов'!AU13)=1),9,""))</f>
        <v/>
      </c>
      <c r="DK10">
        <f>IF('История отказов'!AY13="","",IF(AND(COUNTIF($CR$2:$CR$2,'История отказов'!AY13)=0,COUNTIF('История отказов'!$AY$5:AY13,'История отказов'!AY13)=1),9,""))</f>
        <v/>
      </c>
      <c r="DL10">
        <f>IF(DB10="","",IF(AND(COUNTIF($DA$2:$DA$47,DB10)=0,COUNTIF($DB$2:DB10,DB10)=1),9,""))</f>
        <v/>
      </c>
    </row>
    <row r="11">
      <c r="A11" s="74" t="n"/>
      <c r="B11" s="75" t="n"/>
      <c r="C11" s="75" t="inlineStr">
        <is>
          <t>Повышенное содержание свободного газа на приёме</t>
        </is>
      </c>
      <c r="D11" s="75" t="inlineStr">
        <is>
          <t>Система ТМС</t>
        </is>
      </c>
      <c r="E11" s="75" t="inlineStr">
        <is>
          <t>2.3 — Некачественная подготовка скважины [УЭЦН]</t>
        </is>
      </c>
      <c r="F11" s="76" t="inlineStr">
        <is>
          <t>С1 — Солеотложения</t>
        </is>
      </c>
      <c r="G11" t="inlineStr">
        <is>
          <t>С1 — Солеотложения</t>
        </is>
      </c>
      <c r="H11" t="inlineStr">
        <is>
          <t>КР3-1 — Извлечение оборудования из скважины после аварии, допущенной в процессе эксплуатации.</t>
        </is>
      </c>
      <c r="I11" t="inlineStr">
        <is>
          <t>Засорение</t>
        </is>
      </c>
      <c r="J11" s="62" t="inlineStr">
        <is>
          <t>2.3 — Некачественная подготовка скважины [УЭЦН]</t>
        </is>
      </c>
      <c r="K11" s="62" t="inlineStr">
        <is>
          <t>С1 — Солеотложения</t>
        </is>
      </c>
      <c r="L11" s="62" t="inlineStr">
        <is>
          <t>Иное документальное подтверждение</t>
        </is>
      </c>
      <c r="M11" s="62" t="n"/>
      <c r="N11" s="62" t="n"/>
      <c r="O11" t="inlineStr">
        <is>
          <t>НКТ большего диаметра</t>
        </is>
      </c>
      <c r="Q11" t="inlineStr">
        <is>
          <t>ТКРС</t>
        </is>
      </c>
      <c r="R11" t="inlineStr">
        <is>
          <t>Классификатор ремонтных работ в скважинах</t>
        </is>
      </c>
      <c r="S11" t="inlineStr">
        <is>
          <t>Выбор из списка; отсутствующий паспортный типоразмер/марку вписать вручную</t>
        </is>
      </c>
      <c r="X11" t="inlineStr">
        <is>
          <t>Классификатор причин</t>
        </is>
      </c>
      <c r="Y11" t="inlineStr">
        <is>
          <t>144 из 144, без пропусков</t>
        </is>
      </c>
      <c r="Z11" t="inlineStr">
        <is>
          <t>Листы УЭЦН и УШГН приложенного классификатора</t>
        </is>
      </c>
      <c r="AA11" t="inlineStr">
        <is>
          <t>ЭВН — габарит 5</t>
        </is>
      </c>
      <c r="AB11" t="inlineStr">
        <is>
          <t>ЭВН 5-16-1500</t>
        </is>
      </c>
      <c r="AP11" t="inlineStr">
        <is>
          <t>Повышенное содержание свободного газа на приёме</t>
        </is>
      </c>
      <c r="AQ11" t="inlineStr">
        <is>
          <t>Недозаполнение насоса по динамограмме</t>
        </is>
      </c>
      <c r="AR11" t="inlineStr">
        <is>
          <t>Снижение потребляемого тока</t>
        </is>
      </c>
      <c r="AT11" t="inlineStr">
        <is>
          <t>Система ТМС</t>
        </is>
      </c>
      <c r="AU11" t="inlineStr">
        <is>
          <t>Устьевое оборудование</t>
        </is>
      </c>
      <c r="AV11" t="inlineStr">
        <is>
          <t>Дополнительное оборудование</t>
        </is>
      </c>
      <c r="AX11" t="inlineStr">
        <is>
          <t>2.3 — Некачественная подготовка скважины [УЭЦН]</t>
        </is>
      </c>
      <c r="AY11" t="inlineStr">
        <is>
          <t>2.3 — Не герметичность НКТ [УШГН]</t>
        </is>
      </c>
      <c r="AZ11" t="inlineStr">
        <is>
          <t>С1 — Солеотложения</t>
        </is>
      </c>
      <c r="BA11" t="inlineStr">
        <is>
          <t>КР3-1 — Извлечение оборудования из скважины после аварии, допущенной в процессе эксплуатации.</t>
        </is>
      </c>
      <c r="BB11" t="inlineStr">
        <is>
          <t>Отложения</t>
        </is>
      </c>
      <c r="BC11" t="inlineStr">
        <is>
          <t>Отложения</t>
        </is>
      </c>
      <c r="BD11" t="inlineStr">
        <is>
          <t>Отложения</t>
        </is>
      </c>
      <c r="BE11" t="inlineStr">
        <is>
          <t>Утечка / потеря герметичности</t>
        </is>
      </c>
      <c r="BF11" t="inlineStr">
        <is>
          <t>Иное документальное подтверждение</t>
        </is>
      </c>
      <c r="BI11" t="inlineStr">
        <is>
          <t>НКТ большего диаметра</t>
        </is>
      </c>
      <c r="BO11" t="inlineStr">
        <is>
          <t>2 ЭВН 5-12-1000</t>
        </is>
      </c>
      <c r="CA11" t="inlineStr">
        <is>
          <t>Повышенное содержание свободного газа на приёме</t>
        </is>
      </c>
      <c r="CB11" t="inlineStr">
        <is>
          <t>Устьевое оборудование</t>
        </is>
      </c>
      <c r="CC11" t="inlineStr">
        <is>
          <t>НКТ</t>
        </is>
      </c>
      <c r="CD11" t="inlineStr">
        <is>
          <t>Отложения</t>
        </is>
      </c>
      <c r="CE11" t="inlineStr">
        <is>
          <t>Утечка / потеря герметичности</t>
        </is>
      </c>
      <c r="CF11" t="inlineStr">
        <is>
          <t>ЭВН — габарит 5</t>
        </is>
      </c>
      <c r="CG11" t="inlineStr">
        <is>
          <t>ЭВН 5-16-1500</t>
        </is>
      </c>
      <c r="CH11" t="inlineStr">
        <is>
          <t>Повышенное содержание свободного газа на приёме</t>
        </is>
      </c>
      <c r="CI11" t="inlineStr">
        <is>
          <t>Система ТМС</t>
        </is>
      </c>
      <c r="CJ11" t="inlineStr">
        <is>
          <t>2.3 — Некачественная подготовка скважины [УЭЦН]</t>
        </is>
      </c>
      <c r="CK11" t="inlineStr">
        <is>
          <t>Засорение</t>
        </is>
      </c>
      <c r="CL11">
        <f>IFERROR(INDEX('История отказов'!$AK$5:$AK$1204,SMALL($DI$2:$DI$1201,ROWS($CL$4:CL11))),"")</f>
        <v/>
      </c>
      <c r="CP11">
        <f>IFERROR(INDEX('История отказов'!$AU$5:$AU$1204,SMALL($DJ$2:$DJ$1201,ROWS($CP$4:CP11))),"")</f>
        <v/>
      </c>
      <c r="CR11">
        <f>IFERROR(INDEX('История отказов'!$AY$5:$AY$1204,SMALL($DK$2:$DK$1201,ROWS($CR$3:CR11))),"")</f>
        <v/>
      </c>
      <c r="CT11">
        <f>IFERROR(INDEX('История отказов'!$AE$5:$AE$1204,SMALL($DC$2:$DC$1201,ROWS($CT$3:CT11))),"")</f>
        <v/>
      </c>
      <c r="CU11">
        <f>IFERROR(INDEX('История отказов'!$AE$5:$AE$1204,SMALL($DD$2:$DD$1201,ROWS($CU$4:CU11))),"")</f>
        <v/>
      </c>
      <c r="CV11">
        <f>IFERROR(INDEX('История отказов'!$AE$5:$AE$1204,SMALL($DE$2:$DE$1201,ROWS($CV$4:CV11))),"")</f>
        <v/>
      </c>
      <c r="CW11">
        <f>IFERROR(INDEX('История отказов'!$AE$5:$AE$1204,SMALL($DG$2:$DG$1201,ROWS($CW$3:CW11))),"")</f>
        <v/>
      </c>
      <c r="CX11">
        <f>IFERROR(INDEX('История отказов'!$AE$5:$AE$1204,SMALL($DF$2:$DF$1201,ROWS($CX$3:CX11))),"")</f>
        <v/>
      </c>
      <c r="CY11">
        <f>IFERROR(INDEX('История отказов'!$AE$5:$AE$1204,SMALL($DH$2:$DH$1201,ROWS($CY$7:CY11))),"")</f>
        <v/>
      </c>
      <c r="DA11" t="n">
        <v>2026</v>
      </c>
      <c r="DB11">
        <f>IF('История отказов'!AH14="","",'История отказов'!AH14)</f>
        <v/>
      </c>
      <c r="DC11">
        <f>IF('История отказов'!AE14="","",IF(AND(COUNTIF($CT$2:$CT$2,'История отказов'!AE14)=0,COUNTIFS('История отказов'!$F$5:F14,"ШГН",'История отказов'!$AE$5:AE14,'История отказов'!AE14)=1,'История отказов'!F14="ШГН"),10,""))</f>
        <v/>
      </c>
      <c r="DD11">
        <f>IF('История отказов'!AE14="","",IF(AND(COUNTIF($CU$2:$CU$3,'История отказов'!AE14)=0,COUNTIFS('История отказов'!$F$5:F14,"ЭЦН",'История отказов'!$AE$5:AE14,'История отказов'!AE14)=1,'История отказов'!F14="ЭЦН"),10,""))</f>
        <v/>
      </c>
      <c r="DE11">
        <f>IF('История отказов'!AE14="","",IF(AND(COUNTIF($CV$2:$CV$3,'История отказов'!AE14)=0,COUNTIFS('История отказов'!$F$5:F14,"ЭВН",'История отказов'!$AE$5:AE14,'История отказов'!AE14)=1,'История отказов'!F14="ЭВН"),10,""))</f>
        <v/>
      </c>
      <c r="DF11">
        <f>IF('История отказов'!AE14="","",IF(AND(COUNTIF($CX$2:$CX$2,'История отказов'!AE14)=0,COUNTIFS('История отказов'!$F$5:F14,"ШВН",'История отказов'!$AE$5:AE14,'История отказов'!AE14)=1,'История отказов'!F14="ШВН"),10,""))</f>
        <v/>
      </c>
      <c r="DG11">
        <f>IF('История отказов'!AE14="","",IF(AND(COUNTIF($CW$2:$CW$2,'История отказов'!AE14)=0,COUNTIFS('История отказов'!$F$5:F14,"НПУ-ВД",'История отказов'!$AE$5:AE14,'История отказов'!AE14)=1,'История отказов'!F14="НПУ-ВД"),10,""))</f>
        <v/>
      </c>
      <c r="DH11">
        <f>IF('История отказов'!AE14="","",IF(AND(COUNTIF($CY$2:$CY$6,'История отказов'!AE14)=0,COUNTIF('История отказов'!$AE$5:AE14,'История отказов'!AE14)=1),10,""))</f>
        <v/>
      </c>
      <c r="DI11">
        <f>IF('История отказов'!AK14="","",IF(AND(COUNTIF($CL$2:$CL$3,'История отказов'!AK14)=0,COUNTIF('История отказов'!$AK$5:AK14,'История отказов'!AK14)=1),10,""))</f>
        <v/>
      </c>
      <c r="DJ11">
        <f>IF('История отказов'!AU14="","",IF(AND(COUNTIF($CP$2:$CP$3,'История отказов'!AU14)=0,COUNTIF('История отказов'!$AU$5:AU14,'История отказов'!AU14)=1),10,""))</f>
        <v/>
      </c>
      <c r="DK11">
        <f>IF('История отказов'!AY14="","",IF(AND(COUNTIF($CR$2:$CR$2,'История отказов'!AY14)=0,COUNTIF('История отказов'!$AY$5:AY14,'История отказов'!AY14)=1),10,""))</f>
        <v/>
      </c>
      <c r="DL11">
        <f>IF(DB11="","",IF(AND(COUNTIF($DA$2:$DA$47,DB11)=0,COUNTIF($DB$2:DB11,DB11)=1),10,""))</f>
        <v/>
      </c>
    </row>
    <row r="12">
      <c r="A12" s="74" t="n"/>
      <c r="B12" s="75" t="n"/>
      <c r="C12" s="75" t="inlineStr">
        <is>
          <t>Повышенный вынос механических примесей</t>
        </is>
      </c>
      <c r="D12" s="75" t="inlineStr">
        <is>
          <t>НКТ</t>
        </is>
      </c>
      <c r="E12" s="75" t="inlineStr">
        <is>
          <t>2.4 — Не герметичность НКТ [УЭЦН]</t>
        </is>
      </c>
      <c r="F12" s="76" t="inlineStr">
        <is>
          <t>С2 — Солеотложения</t>
        </is>
      </c>
      <c r="G12" t="inlineStr">
        <is>
          <t>С2 — Солеотложения</t>
        </is>
      </c>
      <c r="H12" t="inlineStr">
        <is>
          <t>КР3-1.1 — Извлечение оборудования УЭЦН из скважины после аварии, допущенной в процессе эксплуатации.</t>
        </is>
      </c>
      <c r="I12" t="inlineStr">
        <is>
          <t>Отложения</t>
        </is>
      </c>
      <c r="J12" s="62" t="inlineStr">
        <is>
          <t>2.4 — Не герметичность НКТ [УЭЦН]</t>
        </is>
      </c>
      <c r="K12" s="62" t="inlineStr">
        <is>
          <t>С2 — Солеотложения</t>
        </is>
      </c>
      <c r="L12" s="62" t="inlineStr">
        <is>
          <t>Акт спуска и подъёма</t>
        </is>
      </c>
      <c r="M12" s="62" t="n"/>
      <c r="N12" s="62" t="n"/>
      <c r="O12" t="inlineStr">
        <is>
          <t>Удаление солеотложений</t>
        </is>
      </c>
      <c r="Q12" t="inlineStr">
        <is>
          <t>Вид повреждения</t>
        </is>
      </c>
      <c r="R12" t="inlineStr">
        <is>
          <t>Рабочие формулировки; документы и материалы изготовителей</t>
        </is>
      </c>
      <c r="S12" t="inlineStr">
        <is>
          <t>Выбор из списка; отсутствующий паспортный типоразмер/марку вписать вручную</t>
        </is>
      </c>
      <c r="X12" t="inlineStr">
        <is>
          <t>Классификатор ТКРС</t>
        </is>
      </c>
      <c r="Y12" t="inlineStr">
        <is>
          <t>145 детальных кодов из 145, названия совпадают</t>
        </is>
      </c>
      <c r="Z12" t="inlineStr">
        <is>
          <t>Таблицы 4.1 и 4.2 приложенного РД</t>
        </is>
      </c>
      <c r="AB12" t="inlineStr">
        <is>
          <t>ЭВН 5-25-1000</t>
        </is>
      </c>
      <c r="AP12" t="inlineStr">
        <is>
          <t>Повышенный вынос механических примесей</t>
        </is>
      </c>
      <c r="AQ12" t="inlineStr">
        <is>
          <t>Признаки утечки клапана по динамограмме</t>
        </is>
      </c>
      <c r="AR12" t="inlineStr">
        <is>
          <t>Изменение давления на приёме насоса</t>
        </is>
      </c>
      <c r="AT12" t="inlineStr">
        <is>
          <t>НКТ</t>
        </is>
      </c>
      <c r="AU12" t="inlineStr">
        <is>
          <t>Дополнительное оборудование</t>
        </is>
      </c>
      <c r="AV12" t="inlineStr">
        <is>
          <t>Узел не установлен</t>
        </is>
      </c>
      <c r="AX12" t="inlineStr">
        <is>
          <t>2.4 — Не герметичность НКТ [УЭЦН]</t>
        </is>
      </c>
      <c r="AY12" t="inlineStr">
        <is>
          <t>2.4 — Отворот штанг [УШГН]</t>
        </is>
      </c>
      <c r="AZ12" t="inlineStr">
        <is>
          <t>С2 — Солеотложения</t>
        </is>
      </c>
      <c r="BA12" t="inlineStr">
        <is>
          <t>КР3-1.1 — Извлечение оборудования УЭЦН из скважины после аварии, допущенной в процессе эксплуатации.</t>
        </is>
      </c>
      <c r="BB12" t="inlineStr">
        <is>
          <t>Утечка / потеря герметичности</t>
        </is>
      </c>
      <c r="BC12" t="inlineStr">
        <is>
          <t>Утечка / потеря герметичности</t>
        </is>
      </c>
      <c r="BD12" t="inlineStr">
        <is>
          <t>Утечка / потеря герметичности</t>
        </is>
      </c>
      <c r="BE12" t="inlineStr">
        <is>
          <t>Деформация</t>
        </is>
      </c>
      <c r="BF12" t="inlineStr">
        <is>
          <t>Акт спуска и подъёма</t>
        </is>
      </c>
      <c r="BI12" t="inlineStr">
        <is>
          <t>Удаление солеотложений</t>
        </is>
      </c>
      <c r="CA12" t="inlineStr">
        <is>
          <t>Повышенный вынос механических примесей</t>
        </is>
      </c>
      <c r="CB12" t="inlineStr">
        <is>
          <t>Дополнительное оборудование</t>
        </is>
      </c>
      <c r="CC12" t="inlineStr">
        <is>
          <t>Ротор винтового насоса</t>
        </is>
      </c>
      <c r="CD12" t="inlineStr">
        <is>
          <t>Утечка / потеря герметичности</t>
        </is>
      </c>
      <c r="CE12" t="inlineStr">
        <is>
          <t>Повреждение изоляции</t>
        </is>
      </c>
      <c r="CF12" t="inlineStr">
        <is>
          <t>ШВН — типоразмер уточнить по паспорту</t>
        </is>
      </c>
      <c r="CG12" t="inlineStr">
        <is>
          <t>ЭВН 5-25-1000</t>
        </is>
      </c>
      <c r="CH12" t="inlineStr">
        <is>
          <t>Повышенный вынос механических примесей</t>
        </is>
      </c>
      <c r="CI12" t="inlineStr">
        <is>
          <t>НКТ</t>
        </is>
      </c>
      <c r="CJ12" t="inlineStr">
        <is>
          <t>2.4 — Не герметичность НКТ [УЭЦН]</t>
        </is>
      </c>
      <c r="CK12" t="inlineStr">
        <is>
          <t>Отложения</t>
        </is>
      </c>
      <c r="CL12">
        <f>IFERROR(INDEX('История отказов'!$AK$5:$AK$1204,SMALL($DI$2:$DI$1201,ROWS($CL$4:CL12))),"")</f>
        <v/>
      </c>
      <c r="CP12">
        <f>IFERROR(INDEX('История отказов'!$AU$5:$AU$1204,SMALL($DJ$2:$DJ$1201,ROWS($CP$4:CP12))),"")</f>
        <v/>
      </c>
      <c r="CR12">
        <f>IFERROR(INDEX('История отказов'!$AY$5:$AY$1204,SMALL($DK$2:$DK$1201,ROWS($CR$3:CR12))),"")</f>
        <v/>
      </c>
      <c r="CT12">
        <f>IFERROR(INDEX('История отказов'!$AE$5:$AE$1204,SMALL($DC$2:$DC$1201,ROWS($CT$3:CT12))),"")</f>
        <v/>
      </c>
      <c r="CU12">
        <f>IFERROR(INDEX('История отказов'!$AE$5:$AE$1204,SMALL($DD$2:$DD$1201,ROWS($CU$4:CU12))),"")</f>
        <v/>
      </c>
      <c r="CV12">
        <f>IFERROR(INDEX('История отказов'!$AE$5:$AE$1204,SMALL($DE$2:$DE$1201,ROWS($CV$4:CV12))),"")</f>
        <v/>
      </c>
      <c r="CW12">
        <f>IFERROR(INDEX('История отказов'!$AE$5:$AE$1204,SMALL($DG$2:$DG$1201,ROWS($CW$3:CW12))),"")</f>
        <v/>
      </c>
      <c r="CX12">
        <f>IFERROR(INDEX('История отказов'!$AE$5:$AE$1204,SMALL($DF$2:$DF$1201,ROWS($CX$3:CX12))),"")</f>
        <v/>
      </c>
      <c r="CY12">
        <f>IFERROR(INDEX('История отказов'!$AE$5:$AE$1204,SMALL($DH$2:$DH$1201,ROWS($CY$7:CY12))),"")</f>
        <v/>
      </c>
      <c r="DA12" t="n">
        <v>2025</v>
      </c>
      <c r="DB12">
        <f>IF('История отказов'!AH15="","",'История отказов'!AH15)</f>
        <v/>
      </c>
      <c r="DC12">
        <f>IF('История отказов'!AE15="","",IF(AND(COUNTIF($CT$2:$CT$2,'История отказов'!AE15)=0,COUNTIFS('История отказов'!$F$5:F15,"ШГН",'История отказов'!$AE$5:AE15,'История отказов'!AE15)=1,'История отказов'!F15="ШГН"),11,""))</f>
        <v/>
      </c>
      <c r="DD12">
        <f>IF('История отказов'!AE15="","",IF(AND(COUNTIF($CU$2:$CU$3,'История отказов'!AE15)=0,COUNTIFS('История отказов'!$F$5:F15,"ЭЦН",'История отказов'!$AE$5:AE15,'История отказов'!AE15)=1,'История отказов'!F15="ЭЦН"),11,""))</f>
        <v/>
      </c>
      <c r="DE12">
        <f>IF('История отказов'!AE15="","",IF(AND(COUNTIF($CV$2:$CV$3,'История отказов'!AE15)=0,COUNTIFS('История отказов'!$F$5:F15,"ЭВН",'История отказов'!$AE$5:AE15,'История отказов'!AE15)=1,'История отказов'!F15="ЭВН"),11,""))</f>
        <v/>
      </c>
      <c r="DF12">
        <f>IF('История отказов'!AE15="","",IF(AND(COUNTIF($CX$2:$CX$2,'История отказов'!AE15)=0,COUNTIFS('История отказов'!$F$5:F15,"ШВН",'История отказов'!$AE$5:AE15,'История отказов'!AE15)=1,'История отказов'!F15="ШВН"),11,""))</f>
        <v/>
      </c>
      <c r="DG12">
        <f>IF('История отказов'!AE15="","",IF(AND(COUNTIF($CW$2:$CW$2,'История отказов'!AE15)=0,COUNTIFS('История отказов'!$F$5:F15,"НПУ-ВД",'История отказов'!$AE$5:AE15,'История отказов'!AE15)=1,'История отказов'!F15="НПУ-ВД"),11,""))</f>
        <v/>
      </c>
      <c r="DH12">
        <f>IF('История отказов'!AE15="","",IF(AND(COUNTIF($CY$2:$CY$6,'История отказов'!AE15)=0,COUNTIF('История отказов'!$AE$5:AE15,'История отказов'!AE15)=1),11,""))</f>
        <v/>
      </c>
      <c r="DI12">
        <f>IF('История отказов'!AK15="","",IF(AND(COUNTIF($CL$2:$CL$3,'История отказов'!AK15)=0,COUNTIF('История отказов'!$AK$5:AK15,'История отказов'!AK15)=1),11,""))</f>
        <v/>
      </c>
      <c r="DJ12">
        <f>IF('История отказов'!AU15="","",IF(AND(COUNTIF($CP$2:$CP$3,'История отказов'!AU15)=0,COUNTIF('История отказов'!$AU$5:AU15,'История отказов'!AU15)=1),11,""))</f>
        <v/>
      </c>
      <c r="DK12">
        <f>IF('История отказов'!AY15="","",IF(AND(COUNTIF($CR$2:$CR$2,'История отказов'!AY15)=0,COUNTIF('История отказов'!$AY$5:AY15,'История отказов'!AY15)=1),11,""))</f>
        <v/>
      </c>
      <c r="DL12">
        <f>IF(DB12="","",IF(AND(COUNTIF($DA$2:$DA$47,DB12)=0,COUNTIF($DB$2:DB12,DB12)=1),11,""))</f>
        <v/>
      </c>
    </row>
    <row r="13">
      <c r="A13" s="74" t="n"/>
      <c r="B13" s="75" t="n"/>
      <c r="C13" s="75" t="inlineStr">
        <is>
          <t>Подозрение на засорение приёма по снижению подачи</t>
        </is>
      </c>
      <c r="D13" s="75" t="inlineStr">
        <is>
          <t>Штанговая колонна</t>
        </is>
      </c>
      <c r="E13" s="75" t="inlineStr">
        <is>
          <t>2.5 — Нарушение СПО [УЭЦН]</t>
        </is>
      </c>
      <c r="F13" s="76" t="inlineStr">
        <is>
          <t>С3 — Солеотложения</t>
        </is>
      </c>
      <c r="G13" t="inlineStr">
        <is>
          <t>С3 — Солеотложения</t>
        </is>
      </c>
      <c r="H13" t="inlineStr">
        <is>
          <t>КР3-1.2 — То же УЭДН</t>
        </is>
      </c>
      <c r="I13" t="inlineStr">
        <is>
          <t>Утечка / потеря герметичности</t>
        </is>
      </c>
      <c r="J13" s="62" t="inlineStr">
        <is>
          <t>2.5 — Нарушение СПО [УЭЦН]</t>
        </is>
      </c>
      <c r="K13" s="62" t="inlineStr">
        <is>
          <t>С3 — Солеотложения</t>
        </is>
      </c>
      <c r="L13" s="62" t="inlineStr">
        <is>
          <t>Протокол измерения сопротивления изоляции</t>
        </is>
      </c>
      <c r="M13" s="62" t="n"/>
      <c r="N13" s="62" t="n"/>
      <c r="O13" t="inlineStr">
        <is>
          <t>Дозирование ингибитора солеотложений</t>
        </is>
      </c>
      <c r="Q13" t="inlineStr">
        <is>
          <t>Итоговая причина</t>
        </is>
      </c>
      <c r="R13" t="inlineStr">
        <is>
          <t>Классификатор по способам 2024 V10</t>
        </is>
      </c>
      <c r="S13" t="inlineStr">
        <is>
          <t>Выбор из списка; отсутствующий паспортный типоразмер/марку вписать вручную</t>
        </is>
      </c>
      <c r="X13" t="inlineStr">
        <is>
          <t>Классы осложнений</t>
        </is>
      </c>
      <c r="Y13" t="inlineStr">
        <is>
          <t>22 из 22, без пропусков</t>
        </is>
      </c>
      <c r="Z13" t="inlineStr">
        <is>
          <t>Таблицы классов приложенных МУ</t>
        </is>
      </c>
      <c r="AB13" t="inlineStr">
        <is>
          <t>ЭВН 5-25-1500</t>
        </is>
      </c>
      <c r="AP13" t="inlineStr">
        <is>
          <t>Подозрение на засорение приёма по снижению подачи</t>
        </is>
      </c>
      <c r="AQ13" t="inlineStr">
        <is>
          <t>Признаки газового влияния по динамограмме</t>
        </is>
      </c>
      <c r="AT13" t="inlineStr">
        <is>
          <t>Наземный привод</t>
        </is>
      </c>
      <c r="AU13" t="inlineStr">
        <is>
          <t>Узел не установлен</t>
        </is>
      </c>
      <c r="AX13" t="inlineStr">
        <is>
          <t>2.5 — Нарушение СПО [УЭЦН]</t>
        </is>
      </c>
      <c r="AY13" t="inlineStr">
        <is>
          <t>2.5 — Нарушение СПО [УШГН]</t>
        </is>
      </c>
      <c r="AZ13" t="inlineStr">
        <is>
          <t>С3 — Солеотложения</t>
        </is>
      </c>
      <c r="BA13" t="inlineStr">
        <is>
          <t>КР3-1.2 — То же УЭДН</t>
        </is>
      </c>
      <c r="BB13" t="inlineStr">
        <is>
          <t>Повреждение изоляции</t>
        </is>
      </c>
      <c r="BC13" t="inlineStr">
        <is>
          <t>Деформация</t>
        </is>
      </c>
      <c r="BD13" t="inlineStr">
        <is>
          <t>Деформация</t>
        </is>
      </c>
      <c r="BE13" t="inlineStr">
        <is>
          <t>Повреждение не установлено</t>
        </is>
      </c>
      <c r="BF13" t="inlineStr">
        <is>
          <t>Протокол измерения сопротивления изоляции</t>
        </is>
      </c>
      <c r="BI13" t="inlineStr">
        <is>
          <t>Дозирование ингибитора солеотложений</t>
        </is>
      </c>
      <c r="CA13" t="inlineStr">
        <is>
          <t>Подозрение на засорение приёма по снижению подачи</t>
        </is>
      </c>
      <c r="CB13" t="inlineStr">
        <is>
          <t>Узел не установлен</t>
        </is>
      </c>
      <c r="CC13" t="inlineStr">
        <is>
          <t>Статор винтового насоса</t>
        </is>
      </c>
      <c r="CD13" t="inlineStr">
        <is>
          <t>Деформация</t>
        </is>
      </c>
      <c r="CE13" t="inlineStr">
        <is>
          <t>Прогар</t>
        </is>
      </c>
      <c r="CF13" t="inlineStr">
        <is>
          <t>НПУ-ВД — типоразмер уточнить по паспорту</t>
        </is>
      </c>
      <c r="CG13" t="inlineStr">
        <is>
          <t>ЭВН 5-25-1500</t>
        </is>
      </c>
      <c r="CH13" t="inlineStr">
        <is>
          <t>Подозрение на засорение приёма по снижению подачи</t>
        </is>
      </c>
      <c r="CI13" t="inlineStr">
        <is>
          <t>Штанговая колонна</t>
        </is>
      </c>
      <c r="CJ13" t="inlineStr">
        <is>
          <t>2.5 — Нарушение СПО [УЭЦН]</t>
        </is>
      </c>
      <c r="CK13" t="inlineStr">
        <is>
          <t>Утечка / потеря герметичности</t>
        </is>
      </c>
      <c r="CL13">
        <f>IFERROR(INDEX('История отказов'!$AK$5:$AK$1204,SMALL($DI$2:$DI$1201,ROWS($CL$4:CL13))),"")</f>
        <v/>
      </c>
      <c r="CP13">
        <f>IFERROR(INDEX('История отказов'!$AU$5:$AU$1204,SMALL($DJ$2:$DJ$1201,ROWS($CP$4:CP13))),"")</f>
        <v/>
      </c>
      <c r="CR13">
        <f>IFERROR(INDEX('История отказов'!$AY$5:$AY$1204,SMALL($DK$2:$DK$1201,ROWS($CR$3:CR13))),"")</f>
        <v/>
      </c>
      <c r="CT13">
        <f>IFERROR(INDEX('История отказов'!$AE$5:$AE$1204,SMALL($DC$2:$DC$1201,ROWS($CT$3:CT13))),"")</f>
        <v/>
      </c>
      <c r="CU13">
        <f>IFERROR(INDEX('История отказов'!$AE$5:$AE$1204,SMALL($DD$2:$DD$1201,ROWS($CU$4:CU13))),"")</f>
        <v/>
      </c>
      <c r="CV13">
        <f>IFERROR(INDEX('История отказов'!$AE$5:$AE$1204,SMALL($DE$2:$DE$1201,ROWS($CV$4:CV13))),"")</f>
        <v/>
      </c>
      <c r="CW13">
        <f>IFERROR(INDEX('История отказов'!$AE$5:$AE$1204,SMALL($DG$2:$DG$1201,ROWS($CW$3:CW13))),"")</f>
        <v/>
      </c>
      <c r="CX13">
        <f>IFERROR(INDEX('История отказов'!$AE$5:$AE$1204,SMALL($DF$2:$DF$1201,ROWS($CX$3:CX13))),"")</f>
        <v/>
      </c>
      <c r="CY13">
        <f>IFERROR(INDEX('История отказов'!$AE$5:$AE$1204,SMALL($DH$2:$DH$1201,ROWS($CY$7:CY13))),"")</f>
        <v/>
      </c>
      <c r="DA13" t="n">
        <v>2024</v>
      </c>
      <c r="DB13">
        <f>IF('История отказов'!AH16="","",'История отказов'!AH16)</f>
        <v/>
      </c>
      <c r="DC13">
        <f>IF('История отказов'!AE16="","",IF(AND(COUNTIF($CT$2:$CT$2,'История отказов'!AE16)=0,COUNTIFS('История отказов'!$F$5:F16,"ШГН",'История отказов'!$AE$5:AE16,'История отказов'!AE16)=1,'История отказов'!F16="ШГН"),12,""))</f>
        <v/>
      </c>
      <c r="DD13">
        <f>IF('История отказов'!AE16="","",IF(AND(COUNTIF($CU$2:$CU$3,'История отказов'!AE16)=0,COUNTIFS('История отказов'!$F$5:F16,"ЭЦН",'История отказов'!$AE$5:AE16,'История отказов'!AE16)=1,'История отказов'!F16="ЭЦН"),12,""))</f>
        <v/>
      </c>
      <c r="DE13">
        <f>IF('История отказов'!AE16="","",IF(AND(COUNTIF($CV$2:$CV$3,'История отказов'!AE16)=0,COUNTIFS('История отказов'!$F$5:F16,"ЭВН",'История отказов'!$AE$5:AE16,'История отказов'!AE16)=1,'История отказов'!F16="ЭВН"),12,""))</f>
        <v/>
      </c>
      <c r="DF13">
        <f>IF('История отказов'!AE16="","",IF(AND(COUNTIF($CX$2:$CX$2,'История отказов'!AE16)=0,COUNTIFS('История отказов'!$F$5:F16,"ШВН",'История отказов'!$AE$5:AE16,'История отказов'!AE16)=1,'История отказов'!F16="ШВН"),12,""))</f>
        <v/>
      </c>
      <c r="DG13">
        <f>IF('История отказов'!AE16="","",IF(AND(COUNTIF($CW$2:$CW$2,'История отказов'!AE16)=0,COUNTIFS('История отказов'!$F$5:F16,"НПУ-ВД",'История отказов'!$AE$5:AE16,'История отказов'!AE16)=1,'История отказов'!F16="НПУ-ВД"),12,""))</f>
        <v/>
      </c>
      <c r="DH13">
        <f>IF('История отказов'!AE16="","",IF(AND(COUNTIF($CY$2:$CY$6,'История отказов'!AE16)=0,COUNTIF('История отказов'!$AE$5:AE16,'История отказов'!AE16)=1),12,""))</f>
        <v/>
      </c>
      <c r="DI13">
        <f>IF('История отказов'!AK16="","",IF(AND(COUNTIF($CL$2:$CL$3,'История отказов'!AK16)=0,COUNTIF('История отказов'!$AK$5:AK16,'История отказов'!AK16)=1),12,""))</f>
        <v/>
      </c>
      <c r="DJ13">
        <f>IF('История отказов'!AU16="","",IF(AND(COUNTIF($CP$2:$CP$3,'История отказов'!AU16)=0,COUNTIF('История отказов'!$AU$5:AU16,'История отказов'!AU16)=1),12,""))</f>
        <v/>
      </c>
      <c r="DK13">
        <f>IF('История отказов'!AY16="","",IF(AND(COUNTIF($CR$2:$CR$2,'История отказов'!AY16)=0,COUNTIF('История отказов'!$AY$5:AY16,'История отказов'!AY16)=1),12,""))</f>
        <v/>
      </c>
      <c r="DL13">
        <f>IF(DB13="","",IF(AND(COUNTIF($DA$2:$DA$47,DB13)=0,COUNTIF($DB$2:DB13,DB13)=1),12,""))</f>
        <v/>
      </c>
    </row>
    <row r="14">
      <c r="A14" s="74" t="n"/>
      <c r="B14" s="75" t="n"/>
      <c r="C14" s="75" t="inlineStr">
        <is>
          <t>Подозрение на отложения по снижению подачи и росту температуры</t>
        </is>
      </c>
      <c r="D14" s="75" t="inlineStr">
        <is>
          <t>Муфта штанг</t>
        </is>
      </c>
      <c r="E14" s="75" t="inlineStr">
        <is>
          <t>2.6 — Авария [УЭЦН]</t>
        </is>
      </c>
      <c r="F14" s="76" t="inlineStr">
        <is>
          <t>Г1 — Свободный газ на приёме НУ</t>
        </is>
      </c>
      <c r="G14" t="inlineStr">
        <is>
          <t>Г1 — Свободный газ на приёме НУ</t>
        </is>
      </c>
      <c r="H14" t="inlineStr">
        <is>
          <t>КР3-1.3 — То же УЭВН.</t>
        </is>
      </c>
      <c r="I14" t="inlineStr">
        <is>
          <t>Повреждение изоляции</t>
        </is>
      </c>
      <c r="J14" s="62" t="inlineStr">
        <is>
          <t>2.6 — Авария [УЭЦН]</t>
        </is>
      </c>
      <c r="K14" s="62" t="inlineStr">
        <is>
          <t>Г1 — Свободный газ на приёме НУ</t>
        </is>
      </c>
      <c r="L14" s="62" t="inlineStr">
        <is>
          <t>Протокол опрессовки НКТ</t>
        </is>
      </c>
      <c r="M14" s="62" t="n"/>
      <c r="N14" s="62" t="n"/>
      <c r="O14" t="inlineStr">
        <is>
          <t>Газосепаратор на приёме</t>
        </is>
      </c>
      <c r="Q14" t="inlineStr">
        <is>
          <t>Уточнённая категория</t>
        </is>
      </c>
      <c r="R14" t="inlineStr">
        <is>
          <t>МУ по отнесению скважин к ОФ</t>
        </is>
      </c>
      <c r="S14" t="inlineStr">
        <is>
          <t>Выбор из списка; отсутствующий паспортный типоразмер/марку вписать вручную</t>
        </is>
      </c>
      <c r="X14" t="inlineStr">
        <is>
          <t>Признаки</t>
        </is>
      </c>
      <c r="Y14" t="inlineStr">
        <is>
          <t>9 новых наблюдений и предварительных диагнозов</t>
        </is>
      </c>
      <c r="Z14" t="inlineStr">
        <is>
          <t>Weatherford / SLB, ссылки в аудите</t>
        </is>
      </c>
      <c r="AB14" t="inlineStr">
        <is>
          <t>ЭВН 5-25-1700</t>
        </is>
      </c>
      <c r="AP14" t="inlineStr">
        <is>
          <t>Подозрение на отложения по снижению подачи и росту температуры</t>
        </is>
      </c>
      <c r="AQ14" t="inlineStr">
        <is>
          <t>Удар плунжера по динамограмме</t>
        </is>
      </c>
      <c r="AT14" t="inlineStr">
        <is>
          <t>Устьевое оборудование</t>
        </is>
      </c>
      <c r="AU14" t="inlineStr">
        <is>
          <t>Всасывающий клапан ШГН</t>
        </is>
      </c>
      <c r="AX14" t="inlineStr">
        <is>
          <t>2.6 — Авария [УЭЦН]</t>
        </is>
      </c>
      <c r="AY14" t="inlineStr">
        <is>
          <t>2.6 — Авария [УШГН]</t>
        </is>
      </c>
      <c r="AZ14" t="inlineStr">
        <is>
          <t>Г1 — Свободный газ на приёме НУ</t>
        </is>
      </c>
      <c r="BA14" t="inlineStr">
        <is>
          <t>КР3-1.3 — То же УЭВН.</t>
        </is>
      </c>
      <c r="BB14" t="inlineStr">
        <is>
          <t>Прогар</t>
        </is>
      </c>
      <c r="BC14" t="inlineStr">
        <is>
          <t>Износ эластомера</t>
        </is>
      </c>
      <c r="BD14" t="inlineStr">
        <is>
          <t>Износ эластомера</t>
        </is>
      </c>
      <c r="BF14" t="inlineStr">
        <is>
          <t>Протокол опрессовки НКТ</t>
        </is>
      </c>
      <c r="BI14" t="inlineStr">
        <is>
          <t>Газосепаратор на приёме</t>
        </is>
      </c>
      <c r="CA14" t="inlineStr">
        <is>
          <t>Подозрение на отложения по снижению подачи и росту температуры</t>
        </is>
      </c>
      <c r="CC14" t="inlineStr">
        <is>
          <t>Наземный привод</t>
        </is>
      </c>
      <c r="CD14" t="inlineStr">
        <is>
          <t>Износ эластомера</t>
        </is>
      </c>
      <c r="CE14" t="inlineStr">
        <is>
          <t>Деформация</t>
        </is>
      </c>
      <c r="CG14" t="inlineStr">
        <is>
          <t>ЭВН 5-25-1700</t>
        </is>
      </c>
      <c r="CH14" t="inlineStr">
        <is>
          <t>Подозрение на отложения по снижению подачи и росту температуры</t>
        </is>
      </c>
      <c r="CI14" t="inlineStr">
        <is>
          <t>Муфта штанг</t>
        </is>
      </c>
      <c r="CJ14" t="inlineStr">
        <is>
          <t>2.6 — Авария [УЭЦН]</t>
        </is>
      </c>
      <c r="CK14" t="inlineStr">
        <is>
          <t>Повреждение изоляции</t>
        </is>
      </c>
      <c r="CL14">
        <f>IFERROR(INDEX('История отказов'!$AK$5:$AK$1204,SMALL($DI$2:$DI$1201,ROWS($CL$4:CL14))),"")</f>
        <v/>
      </c>
      <c r="CP14">
        <f>IFERROR(INDEX('История отказов'!$AU$5:$AU$1204,SMALL($DJ$2:$DJ$1201,ROWS($CP$4:CP14))),"")</f>
        <v/>
      </c>
      <c r="CR14">
        <f>IFERROR(INDEX('История отказов'!$AY$5:$AY$1204,SMALL($DK$2:$DK$1201,ROWS($CR$3:CR14))),"")</f>
        <v/>
      </c>
      <c r="CT14">
        <f>IFERROR(INDEX('История отказов'!$AE$5:$AE$1204,SMALL($DC$2:$DC$1201,ROWS($CT$3:CT14))),"")</f>
        <v/>
      </c>
      <c r="CU14">
        <f>IFERROR(INDEX('История отказов'!$AE$5:$AE$1204,SMALL($DD$2:$DD$1201,ROWS($CU$4:CU14))),"")</f>
        <v/>
      </c>
      <c r="CV14">
        <f>IFERROR(INDEX('История отказов'!$AE$5:$AE$1204,SMALL($DE$2:$DE$1201,ROWS($CV$4:CV14))),"")</f>
        <v/>
      </c>
      <c r="CW14">
        <f>IFERROR(INDEX('История отказов'!$AE$5:$AE$1204,SMALL($DG$2:$DG$1201,ROWS($CW$3:CW14))),"")</f>
        <v/>
      </c>
      <c r="CX14">
        <f>IFERROR(INDEX('История отказов'!$AE$5:$AE$1204,SMALL($DF$2:$DF$1201,ROWS($CX$3:CX14))),"")</f>
        <v/>
      </c>
      <c r="CY14">
        <f>IFERROR(INDEX('История отказов'!$AE$5:$AE$1204,SMALL($DH$2:$DH$1201,ROWS($CY$7:CY14))),"")</f>
        <v/>
      </c>
      <c r="DA14" t="n">
        <v>2023</v>
      </c>
      <c r="DB14">
        <f>IF('История отказов'!AH17="","",'История отказов'!AH17)</f>
        <v/>
      </c>
      <c r="DC14">
        <f>IF('История отказов'!AE17="","",IF(AND(COUNTIF($CT$2:$CT$2,'История отказов'!AE17)=0,COUNTIFS('История отказов'!$F$5:F17,"ШГН",'История отказов'!$AE$5:AE17,'История отказов'!AE17)=1,'История отказов'!F17="ШГН"),13,""))</f>
        <v/>
      </c>
      <c r="DD14">
        <f>IF('История отказов'!AE17="","",IF(AND(COUNTIF($CU$2:$CU$3,'История отказов'!AE17)=0,COUNTIFS('История отказов'!$F$5:F17,"ЭЦН",'История отказов'!$AE$5:AE17,'История отказов'!AE17)=1,'История отказов'!F17="ЭЦН"),13,""))</f>
        <v/>
      </c>
      <c r="DE14">
        <f>IF('История отказов'!AE17="","",IF(AND(COUNTIF($CV$2:$CV$3,'История отказов'!AE17)=0,COUNTIFS('История отказов'!$F$5:F17,"ЭВН",'История отказов'!$AE$5:AE17,'История отказов'!AE17)=1,'История отказов'!F17="ЭВН"),13,""))</f>
        <v/>
      </c>
      <c r="DF14">
        <f>IF('История отказов'!AE17="","",IF(AND(COUNTIF($CX$2:$CX$2,'История отказов'!AE17)=0,COUNTIFS('История отказов'!$F$5:F17,"ШВН",'История отказов'!$AE$5:AE17,'История отказов'!AE17)=1,'История отказов'!F17="ШВН"),13,""))</f>
        <v/>
      </c>
      <c r="DG14">
        <f>IF('История отказов'!AE17="","",IF(AND(COUNTIF($CW$2:$CW$2,'История отказов'!AE17)=0,COUNTIFS('История отказов'!$F$5:F17,"НПУ-ВД",'История отказов'!$AE$5:AE17,'История отказов'!AE17)=1,'История отказов'!F17="НПУ-ВД"),13,""))</f>
        <v/>
      </c>
      <c r="DH14">
        <f>IF('История отказов'!AE17="","",IF(AND(COUNTIF($CY$2:$CY$6,'История отказов'!AE17)=0,COUNTIF('История отказов'!$AE$5:AE17,'История отказов'!AE17)=1),13,""))</f>
        <v/>
      </c>
      <c r="DI14">
        <f>IF('История отказов'!AK17="","",IF(AND(COUNTIF($CL$2:$CL$3,'История отказов'!AK17)=0,COUNTIF('История отказов'!$AK$5:AK17,'История отказов'!AK17)=1),13,""))</f>
        <v/>
      </c>
      <c r="DJ14">
        <f>IF('История отказов'!AU17="","",IF(AND(COUNTIF($CP$2:$CP$3,'История отказов'!AU17)=0,COUNTIF('История отказов'!$AU$5:AU17,'История отказов'!AU17)=1),13,""))</f>
        <v/>
      </c>
      <c r="DK14">
        <f>IF('История отказов'!AY17="","",IF(AND(COUNTIF($CR$2:$CR$2,'История отказов'!AY17)=0,COUNTIF('История отказов'!$AY$5:AY17,'История отказов'!AY17)=1),13,""))</f>
        <v/>
      </c>
      <c r="DL14">
        <f>IF(DB14="","",IF(AND(COUNTIF($DA$2:$DA$47,DB14)=0,COUNTIF($DB$2:DB14,DB14)=1),13,""))</f>
        <v/>
      </c>
    </row>
    <row r="15">
      <c r="A15" s="74" t="n"/>
      <c r="B15" s="75" t="n"/>
      <c r="C15" s="75" t="inlineStr">
        <is>
          <t>Рост нагрузок штанговой колонны</t>
        </is>
      </c>
      <c r="D15" s="75" t="inlineStr">
        <is>
          <t>Плунжер</t>
        </is>
      </c>
      <c r="E15" s="75" t="inlineStr">
        <is>
          <t>2.7 — Организационные причины КРС [УЭЦН]</t>
        </is>
      </c>
      <c r="F15" s="76" t="inlineStr">
        <is>
          <t>Г2 — Свободный газ на приёме НУ</t>
        </is>
      </c>
      <c r="G15" t="inlineStr">
        <is>
          <t>Г2 — Свободный газ на приёме НУ</t>
        </is>
      </c>
      <c r="H15" t="inlineStr">
        <is>
          <t>КР3-1.4 — То же ШГН.</t>
        </is>
      </c>
      <c r="I15" t="inlineStr">
        <is>
          <t>Прогар</t>
        </is>
      </c>
      <c r="J15" s="62" t="inlineStr">
        <is>
          <t>2.7 — Организационные причины КРС [УЭЦН]</t>
        </is>
      </c>
      <c r="K15" s="62" t="inlineStr">
        <is>
          <t>Г2 — Свободный газ на приёме НУ</t>
        </is>
      </c>
      <c r="L15" s="62" t="inlineStr">
        <is>
          <t>Распечатка тревог и отключений</t>
        </is>
      </c>
      <c r="M15" s="62" t="n"/>
      <c r="N15" s="62" t="n"/>
      <c r="O15" t="inlineStr">
        <is>
          <t>Газообрабатывающее устройство</t>
        </is>
      </c>
      <c r="Q15" t="inlineStr">
        <is>
          <t>Подтверждение</t>
        </is>
      </c>
      <c r="R15" t="inlineStr">
        <is>
          <t>Рабочий список подтверждающих документов; ГОСТ Р 70841-2023</t>
        </is>
      </c>
      <c r="S15" t="inlineStr">
        <is>
          <t>Выбор из списка; отсутствующий паспортный типоразмер/марку вписать вручную</t>
        </is>
      </c>
      <c r="X15" t="inlineStr">
        <is>
          <t>Узлы и повреждения</t>
        </is>
      </c>
      <c r="Y15" t="inlineStr">
        <is>
          <t>9 узлов и 6 видов повреждений добавлено</t>
        </is>
      </c>
      <c r="Z15" t="inlineStr">
        <is>
          <t>Первичные технические источники, ссылки в аудите</t>
        </is>
      </c>
      <c r="AB15" t="inlineStr">
        <is>
          <t>ЭВН 5-63-1500</t>
        </is>
      </c>
      <c r="AP15" t="inlineStr">
        <is>
          <t>Подозрение на негерметичность НКТ</t>
        </is>
      </c>
      <c r="AT15" t="inlineStr">
        <is>
          <t>Дополнительное оборудование</t>
        </is>
      </c>
      <c r="AU15" t="inlineStr">
        <is>
          <t>Нагнетательный клапан ШГН</t>
        </is>
      </c>
      <c r="AX15" t="inlineStr">
        <is>
          <t>2.7 — Организационные причины КРС [УЭЦН]</t>
        </is>
      </c>
      <c r="AY15" t="inlineStr">
        <is>
          <t>2.7 — Организационные причины КРС [УШГН]</t>
        </is>
      </c>
      <c r="AZ15" t="inlineStr">
        <is>
          <t>Г2 — Свободный газ на приёме НУ</t>
        </is>
      </c>
      <c r="BA15" t="inlineStr">
        <is>
          <t>КР3-1.4 — То же ШГН.</t>
        </is>
      </c>
      <c r="BB15" t="inlineStr">
        <is>
          <t>Деформация</t>
        </is>
      </c>
      <c r="BC15" t="inlineStr">
        <is>
          <t>Повреждение не установлено</t>
        </is>
      </c>
      <c r="BD15" t="inlineStr">
        <is>
          <t>Повреждение не установлено</t>
        </is>
      </c>
      <c r="BF15" t="inlineStr">
        <is>
          <t>Распечатка тревог и отключений</t>
        </is>
      </c>
      <c r="BI15" t="inlineStr">
        <is>
          <t>Газообрабатывающее устройство</t>
        </is>
      </c>
      <c r="CA15" t="inlineStr">
        <is>
          <t>Подозрение на негерметичность НКТ</t>
        </is>
      </c>
      <c r="CC15" t="inlineStr">
        <is>
          <t>Устьевое оборудование</t>
        </is>
      </c>
      <c r="CD15" t="inlineStr">
        <is>
          <t>Повреждение не установлено</t>
        </is>
      </c>
      <c r="CE15" t="inlineStr">
        <is>
          <t>Износ эластомера</t>
        </is>
      </c>
      <c r="CG15" t="inlineStr">
        <is>
          <t>ЭВН 5-63-1500</t>
        </is>
      </c>
      <c r="CH15" t="inlineStr">
        <is>
          <t>Рост нагрузок штанговой колонны</t>
        </is>
      </c>
      <c r="CI15" t="inlineStr">
        <is>
          <t>Плунжер</t>
        </is>
      </c>
      <c r="CJ15" t="inlineStr">
        <is>
          <t>2.7 — Организационные причины КРС [УЭЦН]</t>
        </is>
      </c>
      <c r="CK15" t="inlineStr">
        <is>
          <t>Прогар</t>
        </is>
      </c>
      <c r="CL15">
        <f>IFERROR(INDEX('История отказов'!$AK$5:$AK$1204,SMALL($DI$2:$DI$1201,ROWS($CL$4:CL15))),"")</f>
        <v/>
      </c>
      <c r="CP15">
        <f>IFERROR(INDEX('История отказов'!$AU$5:$AU$1204,SMALL($DJ$2:$DJ$1201,ROWS($CP$4:CP15))),"")</f>
        <v/>
      </c>
      <c r="CR15">
        <f>IFERROR(INDEX('История отказов'!$AY$5:$AY$1204,SMALL($DK$2:$DK$1201,ROWS($CR$3:CR15))),"")</f>
        <v/>
      </c>
      <c r="CT15">
        <f>IFERROR(INDEX('История отказов'!$AE$5:$AE$1204,SMALL($DC$2:$DC$1201,ROWS($CT$3:CT15))),"")</f>
        <v/>
      </c>
      <c r="CU15">
        <f>IFERROR(INDEX('История отказов'!$AE$5:$AE$1204,SMALL($DD$2:$DD$1201,ROWS($CU$4:CU15))),"")</f>
        <v/>
      </c>
      <c r="CV15">
        <f>IFERROR(INDEX('История отказов'!$AE$5:$AE$1204,SMALL($DE$2:$DE$1201,ROWS($CV$4:CV15))),"")</f>
        <v/>
      </c>
      <c r="CW15">
        <f>IFERROR(INDEX('История отказов'!$AE$5:$AE$1204,SMALL($DG$2:$DG$1201,ROWS($CW$3:CW15))),"")</f>
        <v/>
      </c>
      <c r="CX15">
        <f>IFERROR(INDEX('История отказов'!$AE$5:$AE$1204,SMALL($DF$2:$DF$1201,ROWS($CX$3:CX15))),"")</f>
        <v/>
      </c>
      <c r="CY15">
        <f>IFERROR(INDEX('История отказов'!$AE$5:$AE$1204,SMALL($DH$2:$DH$1201,ROWS($CY$7:CY15))),"")</f>
        <v/>
      </c>
      <c r="DA15" t="n">
        <v>2022</v>
      </c>
      <c r="DB15">
        <f>IF('История отказов'!AH18="","",'История отказов'!AH18)</f>
        <v/>
      </c>
      <c r="DC15">
        <f>IF('История отказов'!AE18="","",IF(AND(COUNTIF($CT$2:$CT$2,'История отказов'!AE18)=0,COUNTIFS('История отказов'!$F$5:F18,"ШГН",'История отказов'!$AE$5:AE18,'История отказов'!AE18)=1,'История отказов'!F18="ШГН"),14,""))</f>
        <v/>
      </c>
      <c r="DD15">
        <f>IF('История отказов'!AE18="","",IF(AND(COUNTIF($CU$2:$CU$3,'История отказов'!AE18)=0,COUNTIFS('История отказов'!$F$5:F18,"ЭЦН",'История отказов'!$AE$5:AE18,'История отказов'!AE18)=1,'История отказов'!F18="ЭЦН"),14,""))</f>
        <v/>
      </c>
      <c r="DE15">
        <f>IF('История отказов'!AE18="","",IF(AND(COUNTIF($CV$2:$CV$3,'История отказов'!AE18)=0,COUNTIFS('История отказов'!$F$5:F18,"ЭВН",'История отказов'!$AE$5:AE18,'История отказов'!AE18)=1,'История отказов'!F18="ЭВН"),14,""))</f>
        <v/>
      </c>
      <c r="DF15">
        <f>IF('История отказов'!AE18="","",IF(AND(COUNTIF($CX$2:$CX$2,'История отказов'!AE18)=0,COUNTIFS('История отказов'!$F$5:F18,"ШВН",'История отказов'!$AE$5:AE18,'История отказов'!AE18)=1,'История отказов'!F18="ШВН"),14,""))</f>
        <v/>
      </c>
      <c r="DG15">
        <f>IF('История отказов'!AE18="","",IF(AND(COUNTIF($CW$2:$CW$2,'История отказов'!AE18)=0,COUNTIFS('История отказов'!$F$5:F18,"НПУ-ВД",'История отказов'!$AE$5:AE18,'История отказов'!AE18)=1,'История отказов'!F18="НПУ-ВД"),14,""))</f>
        <v/>
      </c>
      <c r="DH15">
        <f>IF('История отказов'!AE18="","",IF(AND(COUNTIF($CY$2:$CY$6,'История отказов'!AE18)=0,COUNTIF('История отказов'!$AE$5:AE18,'История отказов'!AE18)=1),14,""))</f>
        <v/>
      </c>
      <c r="DI15">
        <f>IF('История отказов'!AK18="","",IF(AND(COUNTIF($CL$2:$CL$3,'История отказов'!AK18)=0,COUNTIF('История отказов'!$AK$5:AK18,'История отказов'!AK18)=1),14,""))</f>
        <v/>
      </c>
      <c r="DJ15">
        <f>IF('История отказов'!AU18="","",IF(AND(COUNTIF($CP$2:$CP$3,'История отказов'!AU18)=0,COUNTIF('История отказов'!$AU$5:AU18,'История отказов'!AU18)=1),14,""))</f>
        <v/>
      </c>
      <c r="DK15">
        <f>IF('История отказов'!AY18="","",IF(AND(COUNTIF($CR$2:$CR$2,'История отказов'!AY18)=0,COUNTIF('История отказов'!$AY$5:AY18,'История отказов'!AY18)=1),14,""))</f>
        <v/>
      </c>
      <c r="DL15">
        <f>IF(DB15="","",IF(AND(COUNTIF($DA$2:$DA$47,DB15)=0,COUNTIF($DB$2:DB15,DB15)=1),14,""))</f>
        <v/>
      </c>
    </row>
    <row r="16">
      <c r="A16" s="74" t="n"/>
      <c r="B16" s="75" t="n"/>
      <c r="C16" s="75" t="inlineStr">
        <is>
          <t>Изменение динамограммы</t>
        </is>
      </c>
      <c r="D16" s="75" t="inlineStr">
        <is>
          <t>Цилиндр</t>
        </is>
      </c>
      <c r="E16" s="75" t="inlineStr">
        <is>
          <t>3.1 — Неправильный подбор ГНО [УЭЦН]</t>
        </is>
      </c>
      <c r="F16" s="76" t="inlineStr">
        <is>
          <t>Г3 — Свободный газ на приёме НУ</t>
        </is>
      </c>
      <c r="G16" t="inlineStr">
        <is>
          <t>Г3 — Свободный газ на приёме НУ</t>
        </is>
      </c>
      <c r="H16" t="inlineStr">
        <is>
          <t>КР3-1.5 — То же УШВН</t>
        </is>
      </c>
      <c r="I16" t="inlineStr">
        <is>
          <t>Деформация</t>
        </is>
      </c>
      <c r="J16" s="62" t="inlineStr">
        <is>
          <t>3.1 — Неправильный подбор ГНО [УЭЦН]</t>
        </is>
      </c>
      <c r="K16" s="62" t="inlineStr">
        <is>
          <t>Г3 — Свободный газ на приёме НУ</t>
        </is>
      </c>
      <c r="L16" s="62" t="n"/>
      <c r="M16" s="62" t="n"/>
      <c r="N16" s="62" t="n"/>
      <c r="O16" t="inlineStr">
        <is>
          <t>Фильтр механических примесей</t>
        </is>
      </c>
      <c r="Q16" t="inlineStr">
        <is>
          <t>Статус расследования</t>
        </is>
      </c>
      <c r="R16" t="inlineStr">
        <is>
          <t>Рабочие статусы реестра</t>
        </is>
      </c>
      <c r="S16" t="inlineStr">
        <is>
          <t>Выбор из списка; отсутствующий паспортный типоразмер/марку вписать вручную</t>
        </is>
      </c>
      <c r="X16" t="inlineStr">
        <is>
          <t>Методы</t>
        </is>
      </c>
      <c r="Y16" t="inlineStr">
        <is>
          <t>11 методов и уточнений условий из МУ</t>
        </is>
      </c>
      <c r="Z16" t="inlineStr">
        <is>
          <t>Разделы 5, 8–11 приложенных МУ</t>
        </is>
      </c>
      <c r="AB16" t="inlineStr">
        <is>
          <t>ЭВН 5-100-1000</t>
        </is>
      </c>
      <c r="AP16" t="inlineStr">
        <is>
          <t>Другое — описать в комментарии</t>
        </is>
      </c>
      <c r="AT16" t="inlineStr">
        <is>
          <t>Узел не установлен</t>
        </is>
      </c>
      <c r="AX16" t="inlineStr">
        <is>
          <t>3.1 — Неправильный подбор ГНО [УЭЦН]</t>
        </is>
      </c>
      <c r="AY16" t="inlineStr">
        <is>
          <t>3.1 — Неправильный подбор ГНО [УШГН]</t>
        </is>
      </c>
      <c r="AZ16" t="inlineStr">
        <is>
          <t>Г3 — Свободный газ на приёме НУ</t>
        </is>
      </c>
      <c r="BA16" t="inlineStr">
        <is>
          <t>КР3-1.5 — То же УШВН</t>
        </is>
      </c>
      <c r="BB16" t="inlineStr">
        <is>
          <t>Повреждение не установлено</t>
        </is>
      </c>
      <c r="BC16" t="inlineStr">
        <is>
          <t>Повреждение клапана насоса</t>
        </is>
      </c>
      <c r="BI16" t="inlineStr">
        <is>
          <t>Фильтр механических примесей</t>
        </is>
      </c>
      <c r="CA16" t="inlineStr">
        <is>
          <t>Другое — описать в комментарии</t>
        </is>
      </c>
      <c r="CC16" t="inlineStr">
        <is>
          <t>Дополнительное оборудование</t>
        </is>
      </c>
      <c r="CE16" t="inlineStr">
        <is>
          <t>Повреждение не установлено</t>
        </is>
      </c>
      <c r="CG16" t="inlineStr">
        <is>
          <t>ЭВН 5-100-1000</t>
        </is>
      </c>
      <c r="CH16" t="inlineStr">
        <is>
          <t>Изменение динамограммы</t>
        </is>
      </c>
      <c r="CI16" t="inlineStr">
        <is>
          <t>Цилиндр</t>
        </is>
      </c>
      <c r="CJ16" t="inlineStr">
        <is>
          <t>3.1 — Неправильный подбор ГНО [УЭЦН]</t>
        </is>
      </c>
      <c r="CK16" t="inlineStr">
        <is>
          <t>Деформация</t>
        </is>
      </c>
      <c r="CL16">
        <f>IFERROR(INDEX('История отказов'!$AK$5:$AK$1204,SMALL($DI$2:$DI$1201,ROWS($CL$4:CL16))),"")</f>
        <v/>
      </c>
      <c r="CP16">
        <f>IFERROR(INDEX('История отказов'!$AU$5:$AU$1204,SMALL($DJ$2:$DJ$1201,ROWS($CP$4:CP16))),"")</f>
        <v/>
      </c>
      <c r="CR16">
        <f>IFERROR(INDEX('История отказов'!$AY$5:$AY$1204,SMALL($DK$2:$DK$1201,ROWS($CR$3:CR16))),"")</f>
        <v/>
      </c>
      <c r="CT16">
        <f>IFERROR(INDEX('История отказов'!$AE$5:$AE$1204,SMALL($DC$2:$DC$1201,ROWS($CT$3:CT16))),"")</f>
        <v/>
      </c>
      <c r="CU16">
        <f>IFERROR(INDEX('История отказов'!$AE$5:$AE$1204,SMALL($DD$2:$DD$1201,ROWS($CU$4:CU16))),"")</f>
        <v/>
      </c>
      <c r="CV16">
        <f>IFERROR(INDEX('История отказов'!$AE$5:$AE$1204,SMALL($DE$2:$DE$1201,ROWS($CV$4:CV16))),"")</f>
        <v/>
      </c>
      <c r="CW16">
        <f>IFERROR(INDEX('История отказов'!$AE$5:$AE$1204,SMALL($DG$2:$DG$1201,ROWS($CW$3:CW16))),"")</f>
        <v/>
      </c>
      <c r="CX16">
        <f>IFERROR(INDEX('История отказов'!$AE$5:$AE$1204,SMALL($DF$2:$DF$1201,ROWS($CX$3:CX16))),"")</f>
        <v/>
      </c>
      <c r="CY16">
        <f>IFERROR(INDEX('История отказов'!$AE$5:$AE$1204,SMALL($DH$2:$DH$1201,ROWS($CY$7:CY16))),"")</f>
        <v/>
      </c>
      <c r="DA16" t="n">
        <v>2021</v>
      </c>
      <c r="DB16">
        <f>IF('История отказов'!AH19="","",'История отказов'!AH19)</f>
        <v/>
      </c>
      <c r="DC16">
        <f>IF('История отказов'!AE19="","",IF(AND(COUNTIF($CT$2:$CT$2,'История отказов'!AE19)=0,COUNTIFS('История отказов'!$F$5:F19,"ШГН",'История отказов'!$AE$5:AE19,'История отказов'!AE19)=1,'История отказов'!F19="ШГН"),15,""))</f>
        <v/>
      </c>
      <c r="DD16">
        <f>IF('История отказов'!AE19="","",IF(AND(COUNTIF($CU$2:$CU$3,'История отказов'!AE19)=0,COUNTIFS('История отказов'!$F$5:F19,"ЭЦН",'История отказов'!$AE$5:AE19,'История отказов'!AE19)=1,'История отказов'!F19="ЭЦН"),15,""))</f>
        <v/>
      </c>
      <c r="DE16">
        <f>IF('История отказов'!AE19="","",IF(AND(COUNTIF($CV$2:$CV$3,'История отказов'!AE19)=0,COUNTIFS('История отказов'!$F$5:F19,"ЭВН",'История отказов'!$AE$5:AE19,'История отказов'!AE19)=1,'История отказов'!F19="ЭВН"),15,""))</f>
        <v/>
      </c>
      <c r="DF16">
        <f>IF('История отказов'!AE19="","",IF(AND(COUNTIF($CX$2:$CX$2,'История отказов'!AE19)=0,COUNTIFS('История отказов'!$F$5:F19,"ШВН",'История отказов'!$AE$5:AE19,'История отказов'!AE19)=1,'История отказов'!F19="ШВН"),15,""))</f>
        <v/>
      </c>
      <c r="DG16">
        <f>IF('История отказов'!AE19="","",IF(AND(COUNTIF($CW$2:$CW$2,'История отказов'!AE19)=0,COUNTIFS('История отказов'!$F$5:F19,"НПУ-ВД",'История отказов'!$AE$5:AE19,'История отказов'!AE19)=1,'История отказов'!F19="НПУ-ВД"),15,""))</f>
        <v/>
      </c>
      <c r="DH16">
        <f>IF('История отказов'!AE19="","",IF(AND(COUNTIF($CY$2:$CY$6,'История отказов'!AE19)=0,COUNTIF('История отказов'!$AE$5:AE19,'История отказов'!AE19)=1),15,""))</f>
        <v/>
      </c>
      <c r="DI16">
        <f>IF('История отказов'!AK19="","",IF(AND(COUNTIF($CL$2:$CL$3,'История отказов'!AK19)=0,COUNTIF('История отказов'!$AK$5:AK19,'История отказов'!AK19)=1),15,""))</f>
        <v/>
      </c>
      <c r="DJ16">
        <f>IF('История отказов'!AU19="","",IF(AND(COUNTIF($CP$2:$CP$3,'История отказов'!AU19)=0,COUNTIF('История отказов'!$AU$5:AU19,'История отказов'!AU19)=1),15,""))</f>
        <v/>
      </c>
      <c r="DK16">
        <f>IF('История отказов'!AY19="","",IF(AND(COUNTIF($CR$2:$CR$2,'История отказов'!AY19)=0,COUNTIF('История отказов'!$AY$5:AY19,'История отказов'!AY19)=1),15,""))</f>
        <v/>
      </c>
      <c r="DL16">
        <f>IF(DB16="","",IF(AND(COUNTIF($DA$2:$DA$47,DB16)=0,COUNTIF($DB$2:DB16,DB16)=1),15,""))</f>
        <v/>
      </c>
    </row>
    <row r="17">
      <c r="A17" s="74" t="n"/>
      <c r="B17" s="75" t="n"/>
      <c r="C17" s="75" t="inlineStr">
        <is>
          <t>Подозрение на обрыв штанг по динамограмме</t>
        </is>
      </c>
      <c r="D17" s="75" t="inlineStr">
        <is>
          <t>Клапанный узел</t>
        </is>
      </c>
      <c r="E17" s="75" t="inlineStr">
        <is>
          <t>3.2 — Некачественный вывод на режим [УЭЦН]</t>
        </is>
      </c>
      <c r="F17" s="76" t="inlineStr">
        <is>
          <t>М1 — Механические примеси</t>
        </is>
      </c>
      <c r="G17" t="inlineStr">
        <is>
          <t>М1 — Механические примеси</t>
        </is>
      </c>
      <c r="H17" t="inlineStr">
        <is>
          <t>КР3-1.6 — То же НКТ</t>
        </is>
      </c>
      <c r="I17" t="inlineStr">
        <is>
          <t>Износ эластомера</t>
        </is>
      </c>
      <c r="J17" s="62" t="inlineStr">
        <is>
          <t>3.2 — Некачественный вывод на режим [УЭЦН]</t>
        </is>
      </c>
      <c r="K17" s="62" t="inlineStr">
        <is>
          <t>М1 — Механические примеси</t>
        </is>
      </c>
      <c r="L17" s="62" t="n"/>
      <c r="M17" s="62" t="n"/>
      <c r="N17" s="62" t="n"/>
      <c r="O17" t="inlineStr">
        <is>
          <t>Погружной сепаратор механических примесей</t>
        </is>
      </c>
      <c r="Q17" t="inlineStr">
        <is>
          <t>Достоверность</t>
        </is>
      </c>
      <c r="R17" t="inlineStr">
        <is>
          <t>Рабочая оценка реестра</t>
        </is>
      </c>
      <c r="S17" t="inlineStr">
        <is>
          <t>Выбор из списка; отсутствующий паспортный типоразмер/марку вписать вручную</t>
        </is>
      </c>
      <c r="X17" t="inlineStr">
        <is>
          <t>Марки ГНО</t>
        </is>
      </c>
      <c r="Y17" t="inlineStr">
        <is>
          <t>2 дополнительные каталожные ЭВН; ШВН без подтверждённой марки</t>
        </is>
      </c>
      <c r="Z17" t="inlineStr">
        <is>
          <t>Паспорт установки имеет приоритет</t>
        </is>
      </c>
      <c r="AB17" t="inlineStr">
        <is>
          <t>ЭВН 5-100-1200</t>
        </is>
      </c>
      <c r="AP17" t="inlineStr">
        <is>
          <t>Снижение потребляемого тока</t>
        </is>
      </c>
      <c r="AT17" t="inlineStr">
        <is>
          <t>Рабочее колесо ЭЦН</t>
        </is>
      </c>
      <c r="AX17" t="inlineStr">
        <is>
          <t>3.2 — Некачественный вывод на режим [УЭЦН]</t>
        </is>
      </c>
      <c r="AY17" t="inlineStr">
        <is>
          <t>3.2 — Некачественный вывод на режим [УШГН]</t>
        </is>
      </c>
      <c r="AZ17" t="inlineStr">
        <is>
          <t>М1 — Механические примеси</t>
        </is>
      </c>
      <c r="BA17" t="inlineStr">
        <is>
          <t>КР3-1.6 — То же НКТ</t>
        </is>
      </c>
      <c r="BB17" t="inlineStr">
        <is>
          <t>Износ радиального подшипника</t>
        </is>
      </c>
      <c r="BI17" t="inlineStr">
        <is>
          <t>Погружной сепаратор механических примесей</t>
        </is>
      </c>
      <c r="CA17" t="inlineStr">
        <is>
          <t>Снижение потребляемого тока</t>
        </is>
      </c>
      <c r="CC17" t="inlineStr">
        <is>
          <t>Узел не установлен</t>
        </is>
      </c>
      <c r="CE17" t="inlineStr">
        <is>
          <t>Повреждение уплотнения гидрозащиты</t>
        </is>
      </c>
      <c r="CG17" t="inlineStr">
        <is>
          <t>ЭВН 5-100-1200</t>
        </is>
      </c>
      <c r="CH17" t="inlineStr">
        <is>
          <t>Подозрение на обрыв штанг по динамограмме</t>
        </is>
      </c>
      <c r="CI17" t="inlineStr">
        <is>
          <t>Клапанный узел</t>
        </is>
      </c>
      <c r="CJ17" t="inlineStr">
        <is>
          <t>3.2 — Некачественный вывод на режим [УЭЦН]</t>
        </is>
      </c>
      <c r="CK17" t="inlineStr">
        <is>
          <t>Износ эластомера</t>
        </is>
      </c>
      <c r="CL17">
        <f>IFERROR(INDEX('История отказов'!$AK$5:$AK$1204,SMALL($DI$2:$DI$1201,ROWS($CL$4:CL17))),"")</f>
        <v/>
      </c>
      <c r="CP17">
        <f>IFERROR(INDEX('История отказов'!$AU$5:$AU$1204,SMALL($DJ$2:$DJ$1201,ROWS($CP$4:CP17))),"")</f>
        <v/>
      </c>
      <c r="CR17">
        <f>IFERROR(INDEX('История отказов'!$AY$5:$AY$1204,SMALL($DK$2:$DK$1201,ROWS($CR$3:CR17))),"")</f>
        <v/>
      </c>
      <c r="CT17">
        <f>IFERROR(INDEX('История отказов'!$AE$5:$AE$1204,SMALL($DC$2:$DC$1201,ROWS($CT$3:CT17))),"")</f>
        <v/>
      </c>
      <c r="CU17">
        <f>IFERROR(INDEX('История отказов'!$AE$5:$AE$1204,SMALL($DD$2:$DD$1201,ROWS($CU$4:CU17))),"")</f>
        <v/>
      </c>
      <c r="CV17">
        <f>IFERROR(INDEX('История отказов'!$AE$5:$AE$1204,SMALL($DE$2:$DE$1201,ROWS($CV$4:CV17))),"")</f>
        <v/>
      </c>
      <c r="CW17">
        <f>IFERROR(INDEX('История отказов'!$AE$5:$AE$1204,SMALL($DG$2:$DG$1201,ROWS($CW$3:CW17))),"")</f>
        <v/>
      </c>
      <c r="CX17">
        <f>IFERROR(INDEX('История отказов'!$AE$5:$AE$1204,SMALL($DF$2:$DF$1201,ROWS($CX$3:CX17))),"")</f>
        <v/>
      </c>
      <c r="CY17">
        <f>IFERROR(INDEX('История отказов'!$AE$5:$AE$1204,SMALL($DH$2:$DH$1201,ROWS($CY$7:CY17))),"")</f>
        <v/>
      </c>
      <c r="DA17" t="n">
        <v>2020</v>
      </c>
      <c r="DB17">
        <f>IF('История отказов'!AH20="","",'История отказов'!AH20)</f>
        <v/>
      </c>
      <c r="DC17">
        <f>IF('История отказов'!AE20="","",IF(AND(COUNTIF($CT$2:$CT$2,'История отказов'!AE20)=0,COUNTIFS('История отказов'!$F$5:F20,"ШГН",'История отказов'!$AE$5:AE20,'История отказов'!AE20)=1,'История отказов'!F20="ШГН"),16,""))</f>
        <v/>
      </c>
      <c r="DD17">
        <f>IF('История отказов'!AE20="","",IF(AND(COUNTIF($CU$2:$CU$3,'История отказов'!AE20)=0,COUNTIFS('История отказов'!$F$5:F20,"ЭЦН",'История отказов'!$AE$5:AE20,'История отказов'!AE20)=1,'История отказов'!F20="ЭЦН"),16,""))</f>
        <v/>
      </c>
      <c r="DE17">
        <f>IF('История отказов'!AE20="","",IF(AND(COUNTIF($CV$2:$CV$3,'История отказов'!AE20)=0,COUNTIFS('История отказов'!$F$5:F20,"ЭВН",'История отказов'!$AE$5:AE20,'История отказов'!AE20)=1,'История отказов'!F20="ЭВН"),16,""))</f>
        <v/>
      </c>
      <c r="DF17">
        <f>IF('История отказов'!AE20="","",IF(AND(COUNTIF($CX$2:$CX$2,'История отказов'!AE20)=0,COUNTIFS('История отказов'!$F$5:F20,"ШВН",'История отказов'!$AE$5:AE20,'История отказов'!AE20)=1,'История отказов'!F20="ШВН"),16,""))</f>
        <v/>
      </c>
      <c r="DG17">
        <f>IF('История отказов'!AE20="","",IF(AND(COUNTIF($CW$2:$CW$2,'История отказов'!AE20)=0,COUNTIFS('История отказов'!$F$5:F20,"НПУ-ВД",'История отказов'!$AE$5:AE20,'История отказов'!AE20)=1,'История отказов'!F20="НПУ-ВД"),16,""))</f>
        <v/>
      </c>
      <c r="DH17">
        <f>IF('История отказов'!AE20="","",IF(AND(COUNTIF($CY$2:$CY$6,'История отказов'!AE20)=0,COUNTIF('История отказов'!$AE$5:AE20,'История отказов'!AE20)=1),16,""))</f>
        <v/>
      </c>
      <c r="DI17">
        <f>IF('История отказов'!AK20="","",IF(AND(COUNTIF($CL$2:$CL$3,'История отказов'!AK20)=0,COUNTIF('История отказов'!$AK$5:AK20,'История отказов'!AK20)=1),16,""))</f>
        <v/>
      </c>
      <c r="DJ17">
        <f>IF('История отказов'!AU20="","",IF(AND(COUNTIF($CP$2:$CP$3,'История отказов'!AU20)=0,COUNTIF('История отказов'!$AU$5:AU20,'История отказов'!AU20)=1),16,""))</f>
        <v/>
      </c>
      <c r="DK17">
        <f>IF('История отказов'!AY20="","",IF(AND(COUNTIF($CR$2:$CR$2,'История отказов'!AY20)=0,COUNTIF('История отказов'!$AY$5:AY20,'История отказов'!AY20)=1),16,""))</f>
        <v/>
      </c>
      <c r="DL17">
        <f>IF(DB17="","",IF(AND(COUNTIF($DA$2:$DA$47,DB17)=0,COUNTIF($DB$2:DB17,DB17)=1),16,""))</f>
        <v/>
      </c>
    </row>
    <row r="18">
      <c r="A18" s="74" t="n"/>
      <c r="B18" s="75" t="n"/>
      <c r="C18" s="75" t="inlineStr">
        <is>
          <t>Подозрение на негерметичность НКТ</t>
        </is>
      </c>
      <c r="D18" s="75" t="inlineStr">
        <is>
          <t>Ротор винтового насоса</t>
        </is>
      </c>
      <c r="E18" s="75" t="inlineStr">
        <is>
          <t>3.3 — Бесконтрольная эксплуатация ГНО [УЭЦН]</t>
        </is>
      </c>
      <c r="F18" s="76" t="inlineStr">
        <is>
          <t>М2 — Механические примеси</t>
        </is>
      </c>
      <c r="G18" t="inlineStr">
        <is>
          <t>М2 — Механические примеси</t>
        </is>
      </c>
      <c r="H18" t="inlineStr">
        <is>
          <t>КР3-1.7 — То же пакера.</t>
        </is>
      </c>
      <c r="I18" t="inlineStr">
        <is>
          <t>Повреждение не установлено</t>
        </is>
      </c>
      <c r="J18" s="62" t="inlineStr">
        <is>
          <t>3.3 — Бесконтрольная эксплуатация ГНО [УЭЦН]</t>
        </is>
      </c>
      <c r="K18" s="62" t="inlineStr">
        <is>
          <t>М2 — Механические примеси</t>
        </is>
      </c>
      <c r="L18" s="62" t="n"/>
      <c r="M18" s="62" t="n"/>
      <c r="N18" s="62" t="n"/>
      <c r="O18" t="inlineStr">
        <is>
          <t>Износостойкое исполнение насоса</t>
        </is>
      </c>
      <c r="Q18" t="inlineStr">
        <is>
          <t>Метод борьбы</t>
        </is>
      </c>
      <c r="R18" t="inlineStr">
        <is>
          <t>МУ по отнесению скважин к ОФ, разделы 5–12</t>
        </is>
      </c>
      <c r="S18" t="inlineStr">
        <is>
          <t>Выбор из списка; отсутствующий паспортный типоразмер/марку вписать вручную</t>
        </is>
      </c>
      <c r="AB18" t="inlineStr">
        <is>
          <t>НПУ-ВД-М</t>
        </is>
      </c>
      <c r="AP18" t="inlineStr">
        <is>
          <t>Срабатывание защиты по недогрузке</t>
        </is>
      </c>
      <c r="AT18" t="inlineStr">
        <is>
          <t>Направляющий аппарат ЭЦН</t>
        </is>
      </c>
      <c r="AX18" t="inlineStr">
        <is>
          <t>3.3 — Бесконтрольная эксплуатация ГНО [УЭЦН]</t>
        </is>
      </c>
      <c r="AY18" t="inlineStr">
        <is>
          <t>3.3 — Бесконтрольная эксплуатация [УШГН]</t>
        </is>
      </c>
      <c r="AZ18" t="inlineStr">
        <is>
          <t>М2 — Механические примеси</t>
        </is>
      </c>
      <c r="BA18" t="inlineStr">
        <is>
          <t>КР3-1.7 — То же пакера.</t>
        </is>
      </c>
      <c r="BB18" t="inlineStr">
        <is>
          <t>Эрозия рабочих колёс и направляющих аппаратов</t>
        </is>
      </c>
      <c r="BI18" t="inlineStr">
        <is>
          <t>Износостойкое исполнение насоса</t>
        </is>
      </c>
      <c r="CA18" t="inlineStr">
        <is>
          <t>Срабатывание защиты по недогрузке</t>
        </is>
      </c>
      <c r="CC18" t="inlineStr">
        <is>
          <t>Приёмная сетка насоса</t>
        </is>
      </c>
      <c r="CE18" t="inlineStr">
        <is>
          <t>Короткое замыкание обмотки двигателя</t>
        </is>
      </c>
      <c r="CG18" t="inlineStr">
        <is>
          <t>НПУ-ВД-М</t>
        </is>
      </c>
      <c r="CH18" t="inlineStr">
        <is>
          <t>Подозрение на негерметичность НКТ</t>
        </is>
      </c>
      <c r="CI18" t="inlineStr">
        <is>
          <t>Ротор винтового насоса</t>
        </is>
      </c>
      <c r="CJ18" t="inlineStr">
        <is>
          <t>3.3 — Бесконтрольная эксплуатация ГНО [УЭЦН]</t>
        </is>
      </c>
      <c r="CK18" t="inlineStr">
        <is>
          <t>Повреждение не установлено</t>
        </is>
      </c>
      <c r="CL18">
        <f>IFERROR(INDEX('История отказов'!$AK$5:$AK$1204,SMALL($DI$2:$DI$1201,ROWS($CL$4:CL18))),"")</f>
        <v/>
      </c>
      <c r="CP18">
        <f>IFERROR(INDEX('История отказов'!$AU$5:$AU$1204,SMALL($DJ$2:$DJ$1201,ROWS($CP$4:CP18))),"")</f>
        <v/>
      </c>
      <c r="CR18">
        <f>IFERROR(INDEX('История отказов'!$AY$5:$AY$1204,SMALL($DK$2:$DK$1201,ROWS($CR$3:CR18))),"")</f>
        <v/>
      </c>
      <c r="CT18">
        <f>IFERROR(INDEX('История отказов'!$AE$5:$AE$1204,SMALL($DC$2:$DC$1201,ROWS($CT$3:CT18))),"")</f>
        <v/>
      </c>
      <c r="CU18">
        <f>IFERROR(INDEX('История отказов'!$AE$5:$AE$1204,SMALL($DD$2:$DD$1201,ROWS($CU$4:CU18))),"")</f>
        <v/>
      </c>
      <c r="CV18">
        <f>IFERROR(INDEX('История отказов'!$AE$5:$AE$1204,SMALL($DE$2:$DE$1201,ROWS($CV$4:CV18))),"")</f>
        <v/>
      </c>
      <c r="CW18">
        <f>IFERROR(INDEX('История отказов'!$AE$5:$AE$1204,SMALL($DG$2:$DG$1201,ROWS($CW$3:CW18))),"")</f>
        <v/>
      </c>
      <c r="CX18">
        <f>IFERROR(INDEX('История отказов'!$AE$5:$AE$1204,SMALL($DF$2:$DF$1201,ROWS($CX$3:CX18))),"")</f>
        <v/>
      </c>
      <c r="CY18">
        <f>IFERROR(INDEX('История отказов'!$AE$5:$AE$1204,SMALL($DH$2:$DH$1201,ROWS($CY$7:CY18))),"")</f>
        <v/>
      </c>
      <c r="DA18" t="n">
        <v>2019</v>
      </c>
      <c r="DB18">
        <f>IF('История отказов'!AH21="","",'История отказов'!AH21)</f>
        <v/>
      </c>
      <c r="DC18">
        <f>IF('История отказов'!AE21="","",IF(AND(COUNTIF($CT$2:$CT$2,'История отказов'!AE21)=0,COUNTIFS('История отказов'!$F$5:F21,"ШГН",'История отказов'!$AE$5:AE21,'История отказов'!AE21)=1,'История отказов'!F21="ШГН"),17,""))</f>
        <v/>
      </c>
      <c r="DD18">
        <f>IF('История отказов'!AE21="","",IF(AND(COUNTIF($CU$2:$CU$3,'История отказов'!AE21)=0,COUNTIFS('История отказов'!$F$5:F21,"ЭЦН",'История отказов'!$AE$5:AE21,'История отказов'!AE21)=1,'История отказов'!F21="ЭЦН"),17,""))</f>
        <v/>
      </c>
      <c r="DE18">
        <f>IF('История отказов'!AE21="","",IF(AND(COUNTIF($CV$2:$CV$3,'История отказов'!AE21)=0,COUNTIFS('История отказов'!$F$5:F21,"ЭВН",'История отказов'!$AE$5:AE21,'История отказов'!AE21)=1,'История отказов'!F21="ЭВН"),17,""))</f>
        <v/>
      </c>
      <c r="DF18">
        <f>IF('История отказов'!AE21="","",IF(AND(COUNTIF($CX$2:$CX$2,'История отказов'!AE21)=0,COUNTIFS('История отказов'!$F$5:F21,"ШВН",'История отказов'!$AE$5:AE21,'История отказов'!AE21)=1,'История отказов'!F21="ШВН"),17,""))</f>
        <v/>
      </c>
      <c r="DG18">
        <f>IF('История отказов'!AE21="","",IF(AND(COUNTIF($CW$2:$CW$2,'История отказов'!AE21)=0,COUNTIFS('История отказов'!$F$5:F21,"НПУ-ВД",'История отказов'!$AE$5:AE21,'История отказов'!AE21)=1,'История отказов'!F21="НПУ-ВД"),17,""))</f>
        <v/>
      </c>
      <c r="DH18">
        <f>IF('История отказов'!AE21="","",IF(AND(COUNTIF($CY$2:$CY$6,'История отказов'!AE21)=0,COUNTIF('История отказов'!$AE$5:AE21,'История отказов'!AE21)=1),17,""))</f>
        <v/>
      </c>
      <c r="DI18">
        <f>IF('История отказов'!AK21="","",IF(AND(COUNTIF($CL$2:$CL$3,'История отказов'!AK21)=0,COUNTIF('История отказов'!$AK$5:AK21,'История отказов'!AK21)=1),17,""))</f>
        <v/>
      </c>
      <c r="DJ18">
        <f>IF('История отказов'!AU21="","",IF(AND(COUNTIF($CP$2:$CP$3,'История отказов'!AU21)=0,COUNTIF('История отказов'!$AU$5:AU21,'История отказов'!AU21)=1),17,""))</f>
        <v/>
      </c>
      <c r="DK18">
        <f>IF('История отказов'!AY21="","",IF(AND(COUNTIF($CR$2:$CR$2,'История отказов'!AY21)=0,COUNTIF('История отказов'!$AY$5:AY21,'История отказов'!AY21)=1),17,""))</f>
        <v/>
      </c>
      <c r="DL18">
        <f>IF(DB18="","",IF(AND(COUNTIF($DA$2:$DA$47,DB18)=0,COUNTIF($DB$2:DB18,DB18)=1),17,""))</f>
        <v/>
      </c>
    </row>
    <row r="19">
      <c r="A19" s="74" t="n"/>
      <c r="B19" s="75" t="n"/>
      <c r="C19" s="75" t="inlineStr">
        <is>
          <t>Другое — описать в комментарии</t>
        </is>
      </c>
      <c r="D19" s="75" t="inlineStr">
        <is>
          <t>Статор винтового насоса</t>
        </is>
      </c>
      <c r="E19" s="75" t="inlineStr">
        <is>
          <t>3.4 — Необоснованный подъем ГНО [УЭЦН]</t>
        </is>
      </c>
      <c r="F19" s="76" t="inlineStr">
        <is>
          <t>М3 — Механические примеси</t>
        </is>
      </c>
      <c r="G19" t="inlineStr">
        <is>
          <t>М3 — Механические примеси</t>
        </is>
      </c>
      <c r="H19" t="inlineStr">
        <is>
          <t>КР3-1.8 — Ликвидация аварии из-за коррозионного износа НКТ.</t>
        </is>
      </c>
      <c r="I19" t="inlineStr">
        <is>
          <t>Износ радиального подшипника</t>
        </is>
      </c>
      <c r="J19" s="62" t="inlineStr">
        <is>
          <t>3.4 — Необоснованный подъем ГНО [УЭЦН]</t>
        </is>
      </c>
      <c r="K19" s="62" t="inlineStr">
        <is>
          <t>М3 — Механические примеси</t>
        </is>
      </c>
      <c r="L19" s="62" t="n"/>
      <c r="M19" s="62" t="n"/>
      <c r="N19" s="62" t="n"/>
      <c r="O19" t="inlineStr">
        <is>
          <t>Фильтр / песочный якорь УШГН</t>
        </is>
      </c>
      <c r="AB19" t="inlineStr">
        <is>
          <t>ЭВН 5-12-1500</t>
        </is>
      </c>
      <c r="AP19" t="inlineStr">
        <is>
          <t>Рост тока утечки на землю</t>
        </is>
      </c>
      <c r="AT19" t="inlineStr">
        <is>
          <t>Радиальный подшипник насоса</t>
        </is>
      </c>
      <c r="AX19" t="inlineStr">
        <is>
          <t>3.4 — Необоснованный подъем ГНО [УЭЦН]</t>
        </is>
      </c>
      <c r="AY19" t="inlineStr">
        <is>
          <t>3.4 — Необоснованный подъем ГНО [УШГН]</t>
        </is>
      </c>
      <c r="AZ19" t="inlineStr">
        <is>
          <t>М3 — Механические примеси</t>
        </is>
      </c>
      <c r="BA19" t="inlineStr">
        <is>
          <t>КР3-1.8 — Ликвидация аварии из-за коррозионного износа НКТ.</t>
        </is>
      </c>
      <c r="BB19" t="inlineStr">
        <is>
          <t>Повреждение уплотнения гидрозащиты</t>
        </is>
      </c>
      <c r="BI19" t="inlineStr">
        <is>
          <t>Фильтр / песочный якорь УШГН</t>
        </is>
      </c>
      <c r="CA19" t="inlineStr">
        <is>
          <t>Рост тока утечки на землю</t>
        </is>
      </c>
      <c r="CC19" t="inlineStr">
        <is>
          <t>Уплотнение гидрозащиты</t>
        </is>
      </c>
      <c r="CE19" t="inlineStr">
        <is>
          <t>Разгерметизация гидрозащиты</t>
        </is>
      </c>
      <c r="CG19" t="inlineStr">
        <is>
          <t>ЭВН 5-12-1500</t>
        </is>
      </c>
      <c r="CH19" t="inlineStr">
        <is>
          <t>Другое — описать в комментарии</t>
        </is>
      </c>
      <c r="CI19" t="inlineStr">
        <is>
          <t>Статор винтового насоса</t>
        </is>
      </c>
      <c r="CJ19" t="inlineStr">
        <is>
          <t>3.4 — Необоснованный подъем ГНО [УЭЦН]</t>
        </is>
      </c>
      <c r="CK19" t="inlineStr">
        <is>
          <t>Износ радиального подшипника</t>
        </is>
      </c>
      <c r="CL19">
        <f>IFERROR(INDEX('История отказов'!$AK$5:$AK$1204,SMALL($DI$2:$DI$1201,ROWS($CL$4:CL19))),"")</f>
        <v/>
      </c>
      <c r="CP19">
        <f>IFERROR(INDEX('История отказов'!$AU$5:$AU$1204,SMALL($DJ$2:$DJ$1201,ROWS($CP$4:CP19))),"")</f>
        <v/>
      </c>
      <c r="CR19">
        <f>IFERROR(INDEX('История отказов'!$AY$5:$AY$1204,SMALL($DK$2:$DK$1201,ROWS($CR$3:CR19))),"")</f>
        <v/>
      </c>
      <c r="CT19">
        <f>IFERROR(INDEX('История отказов'!$AE$5:$AE$1204,SMALL($DC$2:$DC$1201,ROWS($CT$3:CT19))),"")</f>
        <v/>
      </c>
      <c r="CU19">
        <f>IFERROR(INDEX('История отказов'!$AE$5:$AE$1204,SMALL($DD$2:$DD$1201,ROWS($CU$4:CU19))),"")</f>
        <v/>
      </c>
      <c r="CV19">
        <f>IFERROR(INDEX('История отказов'!$AE$5:$AE$1204,SMALL($DE$2:$DE$1201,ROWS($CV$4:CV19))),"")</f>
        <v/>
      </c>
      <c r="CW19">
        <f>IFERROR(INDEX('История отказов'!$AE$5:$AE$1204,SMALL($DG$2:$DG$1201,ROWS($CW$3:CW19))),"")</f>
        <v/>
      </c>
      <c r="CX19">
        <f>IFERROR(INDEX('История отказов'!$AE$5:$AE$1204,SMALL($DF$2:$DF$1201,ROWS($CX$3:CX19))),"")</f>
        <v/>
      </c>
      <c r="CY19">
        <f>IFERROR(INDEX('История отказов'!$AE$5:$AE$1204,SMALL($DH$2:$DH$1201,ROWS($CY$7:CY19))),"")</f>
        <v/>
      </c>
      <c r="DA19" t="n">
        <v>2018</v>
      </c>
      <c r="DB19">
        <f>IF('История отказов'!AH22="","",'История отказов'!AH22)</f>
        <v/>
      </c>
      <c r="DC19">
        <f>IF('История отказов'!AE22="","",IF(AND(COUNTIF($CT$2:$CT$2,'История отказов'!AE22)=0,COUNTIFS('История отказов'!$F$5:F22,"ШГН",'История отказов'!$AE$5:AE22,'История отказов'!AE22)=1,'История отказов'!F22="ШГН"),18,""))</f>
        <v/>
      </c>
      <c r="DD19">
        <f>IF('История отказов'!AE22="","",IF(AND(COUNTIF($CU$2:$CU$3,'История отказов'!AE22)=0,COUNTIFS('История отказов'!$F$5:F22,"ЭЦН",'История отказов'!$AE$5:AE22,'История отказов'!AE22)=1,'История отказов'!F22="ЭЦН"),18,""))</f>
        <v/>
      </c>
      <c r="DE19">
        <f>IF('История отказов'!AE22="","",IF(AND(COUNTIF($CV$2:$CV$3,'История отказов'!AE22)=0,COUNTIFS('История отказов'!$F$5:F22,"ЭВН",'История отказов'!$AE$5:AE22,'История отказов'!AE22)=1,'История отказов'!F22="ЭВН"),18,""))</f>
        <v/>
      </c>
      <c r="DF19">
        <f>IF('История отказов'!AE22="","",IF(AND(COUNTIF($CX$2:$CX$2,'История отказов'!AE22)=0,COUNTIFS('История отказов'!$F$5:F22,"ШВН",'История отказов'!$AE$5:AE22,'История отказов'!AE22)=1,'История отказов'!F22="ШВН"),18,""))</f>
        <v/>
      </c>
      <c r="DG19">
        <f>IF('История отказов'!AE22="","",IF(AND(COUNTIF($CW$2:$CW$2,'История отказов'!AE22)=0,COUNTIFS('История отказов'!$F$5:F22,"НПУ-ВД",'История отказов'!$AE$5:AE22,'История отказов'!AE22)=1,'История отказов'!F22="НПУ-ВД"),18,""))</f>
        <v/>
      </c>
      <c r="DH19">
        <f>IF('История отказов'!AE22="","",IF(AND(COUNTIF($CY$2:$CY$6,'История отказов'!AE22)=0,COUNTIF('История отказов'!$AE$5:AE22,'История отказов'!AE22)=1),18,""))</f>
        <v/>
      </c>
      <c r="DI19">
        <f>IF('История отказов'!AK22="","",IF(AND(COUNTIF($CL$2:$CL$3,'История отказов'!AK22)=0,COUNTIF('История отказов'!$AK$5:AK22,'История отказов'!AK22)=1),18,""))</f>
        <v/>
      </c>
      <c r="DJ19">
        <f>IF('История отказов'!AU22="","",IF(AND(COUNTIF($CP$2:$CP$3,'История отказов'!AU22)=0,COUNTIF('История отказов'!$AU$5:AU22,'История отказов'!AU22)=1),18,""))</f>
        <v/>
      </c>
      <c r="DK19">
        <f>IF('История отказов'!AY22="","",IF(AND(COUNTIF($CR$2:$CR$2,'История отказов'!AY22)=0,COUNTIF('История отказов'!$AY$5:AY22,'История отказов'!AY22)=1),18,""))</f>
        <v/>
      </c>
      <c r="DL19">
        <f>IF(DB19="","",IF(AND(COUNTIF($DA$2:$DA$47,DB19)=0,COUNTIF($DB$2:DB19,DB19)=1),18,""))</f>
        <v/>
      </c>
    </row>
    <row r="20">
      <c r="A20" s="74" t="n"/>
      <c r="B20" s="75" t="n"/>
      <c r="C20" s="75" t="inlineStr">
        <is>
          <t>Снижение потребляемого тока</t>
        </is>
      </c>
      <c r="D20" s="75" t="inlineStr">
        <is>
          <t>Наземный привод</t>
        </is>
      </c>
      <c r="E20" s="75" t="inlineStr">
        <is>
          <t>3.5 — Гидратопарафиноотложение [УЭЦН]</t>
        </is>
      </c>
      <c r="F20" s="76" t="inlineStr">
        <is>
          <t>Гд1 — Гидраты</t>
        </is>
      </c>
      <c r="G20" t="inlineStr">
        <is>
          <t>Гд1 — Гидраты</t>
        </is>
      </c>
      <c r="H20" t="inlineStr">
        <is>
          <t>КР3-1.9 — Очистка забоя и ствола скважины от посторонних предметов.</t>
        </is>
      </c>
      <c r="I20" t="inlineStr">
        <is>
          <t>Эрозия рабочих колёс и направляющих аппаратов</t>
        </is>
      </c>
      <c r="J20" s="62" t="inlineStr">
        <is>
          <t>3.5 — Гидратопарафиноотложение [УЭЦН]</t>
        </is>
      </c>
      <c r="K20" s="62" t="inlineStr">
        <is>
          <t>Гд1 — Гидраты</t>
        </is>
      </c>
      <c r="L20" s="62" t="n"/>
      <c r="M20" s="62" t="n"/>
      <c r="N20" s="62" t="n"/>
      <c r="O20" t="inlineStr">
        <is>
          <t>Греющий кабель против гидратов</t>
        </is>
      </c>
      <c r="Q20" t="inlineStr">
        <is>
          <t>Типоразмер и марка ГНО</t>
        </is>
      </c>
      <c r="R20" t="inlineStr">
        <is>
          <t>Паспорт/акт спуска конкретной установки</t>
        </is>
      </c>
      <c r="S20" t="inlineStr">
        <is>
          <t>Свободный ввод; общий классификатор не определяет фактическую комплектацию</t>
        </is>
      </c>
      <c r="AB20" t="inlineStr">
        <is>
          <t>2 ЭВН 5-12-1000</t>
        </is>
      </c>
      <c r="AP20" t="inlineStr">
        <is>
          <t>Изменение давления на приёме насоса</t>
        </is>
      </c>
      <c r="AT20" t="inlineStr">
        <is>
          <t>Приёмная сетка насоса</t>
        </is>
      </c>
      <c r="AX20" t="inlineStr">
        <is>
          <t>3.5 — Гидратопарафиноотложение [УЭЦН]</t>
        </is>
      </c>
      <c r="AY20" t="inlineStr">
        <is>
          <t>3.5 — Гидратопарафиноотложения [УШГН]</t>
        </is>
      </c>
      <c r="AZ20" t="inlineStr">
        <is>
          <t>Гд1 — Гидраты</t>
        </is>
      </c>
      <c r="BA20" t="inlineStr">
        <is>
          <t>КР3-1.9 — Очистка забоя и ствола скважины от посторонних предметов.</t>
        </is>
      </c>
      <c r="BB20" t="inlineStr">
        <is>
          <t>Короткое замыкание обмотки двигателя</t>
        </is>
      </c>
      <c r="BI20" t="inlineStr">
        <is>
          <t>Греющий кабель против гидратов</t>
        </is>
      </c>
      <c r="CA20" t="inlineStr">
        <is>
          <t>Изменение давления на приёме насоса</t>
        </is>
      </c>
      <c r="CG20" t="inlineStr">
        <is>
          <t>2 ЭВН 5-12-1000</t>
        </is>
      </c>
      <c r="CH20" t="inlineStr">
        <is>
          <t>Снижение потребляемого тока</t>
        </is>
      </c>
      <c r="CI20" t="inlineStr">
        <is>
          <t>Наземный привод</t>
        </is>
      </c>
      <c r="CJ20" t="inlineStr">
        <is>
          <t>3.5 — Гидратопарафиноотложение [УЭЦН]</t>
        </is>
      </c>
      <c r="CK20" t="inlineStr">
        <is>
          <t>Эрозия рабочих колёс и направляющих аппаратов</t>
        </is>
      </c>
      <c r="CL20">
        <f>IFERROR(INDEX('История отказов'!$AK$5:$AK$1204,SMALL($DI$2:$DI$1201,ROWS($CL$4:CL20))),"")</f>
        <v/>
      </c>
      <c r="CP20">
        <f>IFERROR(INDEX('История отказов'!$AU$5:$AU$1204,SMALL($DJ$2:$DJ$1201,ROWS($CP$4:CP20))),"")</f>
        <v/>
      </c>
      <c r="CR20">
        <f>IFERROR(INDEX('История отказов'!$AY$5:$AY$1204,SMALL($DK$2:$DK$1201,ROWS($CR$3:CR20))),"")</f>
        <v/>
      </c>
      <c r="CT20">
        <f>IFERROR(INDEX('История отказов'!$AE$5:$AE$1204,SMALL($DC$2:$DC$1201,ROWS($CT$3:CT20))),"")</f>
        <v/>
      </c>
      <c r="CU20">
        <f>IFERROR(INDEX('История отказов'!$AE$5:$AE$1204,SMALL($DD$2:$DD$1201,ROWS($CU$4:CU20))),"")</f>
        <v/>
      </c>
      <c r="CV20">
        <f>IFERROR(INDEX('История отказов'!$AE$5:$AE$1204,SMALL($DE$2:$DE$1201,ROWS($CV$4:CV20))),"")</f>
        <v/>
      </c>
      <c r="CW20">
        <f>IFERROR(INDEX('История отказов'!$AE$5:$AE$1204,SMALL($DG$2:$DG$1201,ROWS($CW$3:CW20))),"")</f>
        <v/>
      </c>
      <c r="CX20">
        <f>IFERROR(INDEX('История отказов'!$AE$5:$AE$1204,SMALL($DF$2:$DF$1201,ROWS($CX$3:CX20))),"")</f>
        <v/>
      </c>
      <c r="CY20">
        <f>IFERROR(INDEX('История отказов'!$AE$5:$AE$1204,SMALL($DH$2:$DH$1201,ROWS($CY$7:CY20))),"")</f>
        <v/>
      </c>
      <c r="DA20" t="n">
        <v>2017</v>
      </c>
      <c r="DB20">
        <f>IF('История отказов'!AH23="","",'История отказов'!AH23)</f>
        <v/>
      </c>
      <c r="DC20">
        <f>IF('История отказов'!AE23="","",IF(AND(COUNTIF($CT$2:$CT$2,'История отказов'!AE23)=0,COUNTIFS('История отказов'!$F$5:F23,"ШГН",'История отказов'!$AE$5:AE23,'История отказов'!AE23)=1,'История отказов'!F23="ШГН"),19,""))</f>
        <v/>
      </c>
      <c r="DD20">
        <f>IF('История отказов'!AE23="","",IF(AND(COUNTIF($CU$2:$CU$3,'История отказов'!AE23)=0,COUNTIFS('История отказов'!$F$5:F23,"ЭЦН",'История отказов'!$AE$5:AE23,'История отказов'!AE23)=1,'История отказов'!F23="ЭЦН"),19,""))</f>
        <v/>
      </c>
      <c r="DE20">
        <f>IF('История отказов'!AE23="","",IF(AND(COUNTIF($CV$2:$CV$3,'История отказов'!AE23)=0,COUNTIFS('История отказов'!$F$5:F23,"ЭВН",'История отказов'!$AE$5:AE23,'История отказов'!AE23)=1,'История отказов'!F23="ЭВН"),19,""))</f>
        <v/>
      </c>
      <c r="DF20">
        <f>IF('История отказов'!AE23="","",IF(AND(COUNTIF($CX$2:$CX$2,'История отказов'!AE23)=0,COUNTIFS('История отказов'!$F$5:F23,"ШВН",'История отказов'!$AE$5:AE23,'История отказов'!AE23)=1,'История отказов'!F23="ШВН"),19,""))</f>
        <v/>
      </c>
      <c r="DG20">
        <f>IF('История отказов'!AE23="","",IF(AND(COUNTIF($CW$2:$CW$2,'История отказов'!AE23)=0,COUNTIFS('История отказов'!$F$5:F23,"НПУ-ВД",'История отказов'!$AE$5:AE23,'История отказов'!AE23)=1,'История отказов'!F23="НПУ-ВД"),19,""))</f>
        <v/>
      </c>
      <c r="DH20">
        <f>IF('История отказов'!AE23="","",IF(AND(COUNTIF($CY$2:$CY$6,'История отказов'!AE23)=0,COUNTIF('История отказов'!$AE$5:AE23,'История отказов'!AE23)=1),19,""))</f>
        <v/>
      </c>
      <c r="DI20">
        <f>IF('История отказов'!AK23="","",IF(AND(COUNTIF($CL$2:$CL$3,'История отказов'!AK23)=0,COUNTIF('История отказов'!$AK$5:AK23,'История отказов'!AK23)=1),19,""))</f>
        <v/>
      </c>
      <c r="DJ20">
        <f>IF('История отказов'!AU23="","",IF(AND(COUNTIF($CP$2:$CP$3,'История отказов'!AU23)=0,COUNTIF('История отказов'!$AU$5:AU23,'История отказов'!AU23)=1),19,""))</f>
        <v/>
      </c>
      <c r="DK20">
        <f>IF('История отказов'!AY23="","",IF(AND(COUNTIF($CR$2:$CR$2,'История отказов'!AY23)=0,COUNTIF('История отказов'!$AY$5:AY23,'История отказов'!AY23)=1),19,""))</f>
        <v/>
      </c>
      <c r="DL20">
        <f>IF(DB20="","",IF(AND(COUNTIF($DA$2:$DA$47,DB20)=0,COUNTIF($DB$2:DB20,DB20)=1),19,""))</f>
        <v/>
      </c>
    </row>
    <row r="21">
      <c r="A21" s="74" t="n"/>
      <c r="B21" s="75" t="n"/>
      <c r="C21" s="75" t="inlineStr">
        <is>
          <t>Срабатывание защиты по недогрузке</t>
        </is>
      </c>
      <c r="D21" s="75" t="inlineStr">
        <is>
          <t>Устьевое оборудование</t>
        </is>
      </c>
      <c r="E21" s="75" t="inlineStr">
        <is>
          <t>3.6 — Солеотложение [УЭЦН]</t>
        </is>
      </c>
      <c r="F21" s="76" t="inlineStr">
        <is>
          <t>Т1 — Высокая температура</t>
        </is>
      </c>
      <c r="G21" t="inlineStr">
        <is>
          <t>Т1 — Высокая температура</t>
        </is>
      </c>
      <c r="H21" t="inlineStr">
        <is>
          <t>КР3-1.10 — Ревизия и замена глубинного оборудования.</t>
        </is>
      </c>
      <c r="I21" t="inlineStr">
        <is>
          <t>Повреждение клапана насоса</t>
        </is>
      </c>
      <c r="J21" s="62" t="inlineStr">
        <is>
          <t>3.6 — Солеотложение [УЭЦН]</t>
        </is>
      </c>
      <c r="K21" s="62" t="inlineStr">
        <is>
          <t>Т1 — Высокая температура</t>
        </is>
      </c>
      <c r="L21" s="62" t="n"/>
      <c r="M21" s="62" t="n"/>
      <c r="N21" s="62" t="n"/>
      <c r="O21" t="inlineStr">
        <is>
          <t>Ингибитор гидратообразования</t>
        </is>
      </c>
      <c r="Q21" t="inlineStr">
        <is>
          <t>Уровень осложнения 1–3</t>
        </is>
      </c>
      <c r="R21" t="inlineStr">
        <is>
          <t>МУ по отнесению скважин к ОФ</t>
        </is>
      </c>
      <c r="S21" t="inlineStr">
        <is>
          <t>Выбирается после проверки критериев, не по одному признаку</t>
        </is>
      </c>
      <c r="AP21" t="inlineStr">
        <is>
          <t>Подозрение на износ насоса по трендам тока и давления</t>
        </is>
      </c>
      <c r="AT21" t="inlineStr">
        <is>
          <t>Газодиспергатор</t>
        </is>
      </c>
      <c r="AX21" t="inlineStr">
        <is>
          <t>3.6 — Солеотложение [УЭЦН]</t>
        </is>
      </c>
      <c r="AY21" t="inlineStr">
        <is>
          <t>3.6 — Солеотложения [УШГН]</t>
        </is>
      </c>
      <c r="AZ21" t="inlineStr">
        <is>
          <t>Т1 — Высокая температура</t>
        </is>
      </c>
      <c r="BA21" t="inlineStr">
        <is>
          <t>КР3-1.10 — Ревизия и замена глубинного оборудования.</t>
        </is>
      </c>
      <c r="BB21" t="inlineStr">
        <is>
          <t>Разгерметизация гидрозащиты</t>
        </is>
      </c>
      <c r="BI21" t="inlineStr">
        <is>
          <t>Ингибитор гидратообразования</t>
        </is>
      </c>
      <c r="CG21" t="inlineStr">
        <is>
          <t>ШВН — марку уточнить по паспорту</t>
        </is>
      </c>
      <c r="CH21" t="inlineStr">
        <is>
          <t>Срабатывание защиты по недогрузке</t>
        </is>
      </c>
      <c r="CI21" t="inlineStr">
        <is>
          <t>Устьевое оборудование</t>
        </is>
      </c>
      <c r="CJ21" t="inlineStr">
        <is>
          <t>3.6 — Солеотложение [УЭЦН]</t>
        </is>
      </c>
      <c r="CK21" t="inlineStr">
        <is>
          <t>Повреждение клапана насоса</t>
        </is>
      </c>
      <c r="CL21">
        <f>IFERROR(INDEX('История отказов'!$AK$5:$AK$1204,SMALL($DI$2:$DI$1201,ROWS($CL$4:CL21))),"")</f>
        <v/>
      </c>
      <c r="CP21">
        <f>IFERROR(INDEX('История отказов'!$AU$5:$AU$1204,SMALL($DJ$2:$DJ$1201,ROWS($CP$4:CP21))),"")</f>
        <v/>
      </c>
      <c r="CR21">
        <f>IFERROR(INDEX('История отказов'!$AY$5:$AY$1204,SMALL($DK$2:$DK$1201,ROWS($CR$3:CR21))),"")</f>
        <v/>
      </c>
      <c r="CT21">
        <f>IFERROR(INDEX('История отказов'!$AE$5:$AE$1204,SMALL($DC$2:$DC$1201,ROWS($CT$3:CT21))),"")</f>
        <v/>
      </c>
      <c r="CU21">
        <f>IFERROR(INDEX('История отказов'!$AE$5:$AE$1204,SMALL($DD$2:$DD$1201,ROWS($CU$4:CU21))),"")</f>
        <v/>
      </c>
      <c r="CV21">
        <f>IFERROR(INDEX('История отказов'!$AE$5:$AE$1204,SMALL($DE$2:$DE$1201,ROWS($CV$4:CV21))),"")</f>
        <v/>
      </c>
      <c r="CW21">
        <f>IFERROR(INDEX('История отказов'!$AE$5:$AE$1204,SMALL($DG$2:$DG$1201,ROWS($CW$3:CW21))),"")</f>
        <v/>
      </c>
      <c r="CX21">
        <f>IFERROR(INDEX('История отказов'!$AE$5:$AE$1204,SMALL($DF$2:$DF$1201,ROWS($CX$3:CX21))),"")</f>
        <v/>
      </c>
      <c r="CY21">
        <f>IFERROR(INDEX('История отказов'!$AE$5:$AE$1204,SMALL($DH$2:$DH$1201,ROWS($CY$7:CY21))),"")</f>
        <v/>
      </c>
      <c r="DA21" t="n">
        <v>2016</v>
      </c>
      <c r="DB21">
        <f>IF('История отказов'!AH24="","",'История отказов'!AH24)</f>
        <v/>
      </c>
      <c r="DC21">
        <f>IF('История отказов'!AE24="","",IF(AND(COUNTIF($CT$2:$CT$2,'История отказов'!AE24)=0,COUNTIFS('История отказов'!$F$5:F24,"ШГН",'История отказов'!$AE$5:AE24,'История отказов'!AE24)=1,'История отказов'!F24="ШГН"),20,""))</f>
        <v/>
      </c>
      <c r="DD21">
        <f>IF('История отказов'!AE24="","",IF(AND(COUNTIF($CU$2:$CU$3,'История отказов'!AE24)=0,COUNTIFS('История отказов'!$F$5:F24,"ЭЦН",'История отказов'!$AE$5:AE24,'История отказов'!AE24)=1,'История отказов'!F24="ЭЦН"),20,""))</f>
        <v/>
      </c>
      <c r="DE21">
        <f>IF('История отказов'!AE24="","",IF(AND(COUNTIF($CV$2:$CV$3,'История отказов'!AE24)=0,COUNTIFS('История отказов'!$F$5:F24,"ЭВН",'История отказов'!$AE$5:AE24,'История отказов'!AE24)=1,'История отказов'!F24="ЭВН"),20,""))</f>
        <v/>
      </c>
      <c r="DF21">
        <f>IF('История отказов'!AE24="","",IF(AND(COUNTIF($CX$2:$CX$2,'История отказов'!AE24)=0,COUNTIFS('История отказов'!$F$5:F24,"ШВН",'История отказов'!$AE$5:AE24,'История отказов'!AE24)=1,'История отказов'!F24="ШВН"),20,""))</f>
        <v/>
      </c>
      <c r="DG21">
        <f>IF('История отказов'!AE24="","",IF(AND(COUNTIF($CW$2:$CW$2,'История отказов'!AE24)=0,COUNTIFS('История отказов'!$F$5:F24,"НПУ-ВД",'История отказов'!$AE$5:AE24,'История отказов'!AE24)=1,'История отказов'!F24="НПУ-ВД"),20,""))</f>
        <v/>
      </c>
      <c r="DH21">
        <f>IF('История отказов'!AE24="","",IF(AND(COUNTIF($CY$2:$CY$6,'История отказов'!AE24)=0,COUNTIF('История отказов'!$AE$5:AE24,'История отказов'!AE24)=1),20,""))</f>
        <v/>
      </c>
      <c r="DI21">
        <f>IF('История отказов'!AK24="","",IF(AND(COUNTIF($CL$2:$CL$3,'История отказов'!AK24)=0,COUNTIF('История отказов'!$AK$5:AK24,'История отказов'!AK24)=1),20,""))</f>
        <v/>
      </c>
      <c r="DJ21">
        <f>IF('История отказов'!AU24="","",IF(AND(COUNTIF($CP$2:$CP$3,'История отказов'!AU24)=0,COUNTIF('История отказов'!$AU$5:AU24,'История отказов'!AU24)=1),20,""))</f>
        <v/>
      </c>
      <c r="DK21">
        <f>IF('История отказов'!AY24="","",IF(AND(COUNTIF($CR$2:$CR$2,'История отказов'!AY24)=0,COUNTIF('История отказов'!$AY$5:AY24,'История отказов'!AY24)=1),20,""))</f>
        <v/>
      </c>
      <c r="DL21">
        <f>IF(DB21="","",IF(AND(COUNTIF($DA$2:$DA$47,DB21)=0,COUNTIF($DB$2:DB21,DB21)=1),20,""))</f>
        <v/>
      </c>
    </row>
    <row r="22">
      <c r="A22" s="74" t="n"/>
      <c r="B22" s="75" t="n"/>
      <c r="C22" s="75" t="inlineStr">
        <is>
          <t>Рост тока утечки на землю</t>
        </is>
      </c>
      <c r="D22" s="75" t="inlineStr">
        <is>
          <t>Дополнительное оборудование</t>
        </is>
      </c>
      <c r="E22" s="75" t="inlineStr">
        <is>
          <t>3.6.1 — в т.ч. отложение солей сульфата бария [УЭЦН]</t>
        </is>
      </c>
      <c r="F22" s="76" t="inlineStr">
        <is>
          <t>Т2 — Высокая температура</t>
        </is>
      </c>
      <c r="G22" t="inlineStr">
        <is>
          <t>Т2 — Высокая температура</t>
        </is>
      </c>
      <c r="H22" t="inlineStr">
        <is>
          <t>КР3-1.11 — Замена устьевого оборудования.</t>
        </is>
      </c>
      <c r="I22" t="inlineStr">
        <is>
          <t>Повреждение уплотнения гидрозащиты</t>
        </is>
      </c>
      <c r="J22" s="62" t="inlineStr">
        <is>
          <t>3.6.1 — в т.ч. отложение солей сульфата бария [УЭЦН]</t>
        </is>
      </c>
      <c r="K22" s="62" t="inlineStr">
        <is>
          <t>Т2 — Высокая температура</t>
        </is>
      </c>
      <c r="L22" s="62" t="n"/>
      <c r="M22" s="62" t="n"/>
      <c r="N22" s="62" t="n"/>
      <c r="O22" t="inlineStr">
        <is>
          <t>Термостойкое исполнение оборудования</t>
        </is>
      </c>
      <c r="Q22" t="inlineStr">
        <is>
          <t>Комментарий</t>
        </is>
      </c>
      <c r="R22" t="inlineStr">
        <is>
          <t>Материалы расследования</t>
        </is>
      </c>
      <c r="S22" t="inlineStr">
        <is>
          <t>Свободный ввод</t>
        </is>
      </c>
      <c r="AT22" t="inlineStr">
        <is>
          <t>Уплотнение гидрозащиты</t>
        </is>
      </c>
      <c r="AX22" t="inlineStr">
        <is>
          <t>3.6.1 — в т.ч. отложение солей сульфата бария [УЭЦН]</t>
        </is>
      </c>
      <c r="AY22" t="inlineStr">
        <is>
          <t>3.7 — Коррозия насоса и его элементов [УШГН]</t>
        </is>
      </c>
      <c r="AZ22" t="inlineStr">
        <is>
          <t>Т2 — Высокая температура</t>
        </is>
      </c>
      <c r="BA22" t="inlineStr">
        <is>
          <t>КР3-1.11 — Замена устьевого оборудования.</t>
        </is>
      </c>
      <c r="BI22" t="inlineStr">
        <is>
          <t>Термостойкое исполнение оборудования</t>
        </is>
      </c>
      <c r="CH22" t="inlineStr">
        <is>
          <t>Рост тока утечки на землю</t>
        </is>
      </c>
      <c r="CI22" t="inlineStr">
        <is>
          <t>Дополнительное оборудование</t>
        </is>
      </c>
      <c r="CJ22" t="inlineStr">
        <is>
          <t>3.6.1 — в т.ч. отложение солей сульфата бария [УЭЦН]</t>
        </is>
      </c>
      <c r="CK22" t="inlineStr">
        <is>
          <t>Повреждение уплотнения гидрозащиты</t>
        </is>
      </c>
      <c r="CL22">
        <f>IFERROR(INDEX('История отказов'!$AK$5:$AK$1204,SMALL($DI$2:$DI$1201,ROWS($CL$4:CL22))),"")</f>
        <v/>
      </c>
      <c r="CP22">
        <f>IFERROR(INDEX('История отказов'!$AU$5:$AU$1204,SMALL($DJ$2:$DJ$1201,ROWS($CP$4:CP22))),"")</f>
        <v/>
      </c>
      <c r="CR22">
        <f>IFERROR(INDEX('История отказов'!$AY$5:$AY$1204,SMALL($DK$2:$DK$1201,ROWS($CR$3:CR22))),"")</f>
        <v/>
      </c>
      <c r="CT22">
        <f>IFERROR(INDEX('История отказов'!$AE$5:$AE$1204,SMALL($DC$2:$DC$1201,ROWS($CT$3:CT22))),"")</f>
        <v/>
      </c>
      <c r="CU22">
        <f>IFERROR(INDEX('История отказов'!$AE$5:$AE$1204,SMALL($DD$2:$DD$1201,ROWS($CU$4:CU22))),"")</f>
        <v/>
      </c>
      <c r="CV22">
        <f>IFERROR(INDEX('История отказов'!$AE$5:$AE$1204,SMALL($DE$2:$DE$1201,ROWS($CV$4:CV22))),"")</f>
        <v/>
      </c>
      <c r="CW22">
        <f>IFERROR(INDEX('История отказов'!$AE$5:$AE$1204,SMALL($DG$2:$DG$1201,ROWS($CW$3:CW22))),"")</f>
        <v/>
      </c>
      <c r="CX22">
        <f>IFERROR(INDEX('История отказов'!$AE$5:$AE$1204,SMALL($DF$2:$DF$1201,ROWS($CX$3:CX22))),"")</f>
        <v/>
      </c>
      <c r="CY22">
        <f>IFERROR(INDEX('История отказов'!$AE$5:$AE$1204,SMALL($DH$2:$DH$1201,ROWS($CY$7:CY22))),"")</f>
        <v/>
      </c>
      <c r="DA22" t="n">
        <v>2015</v>
      </c>
      <c r="DB22">
        <f>IF('История отказов'!AH25="","",'История отказов'!AH25)</f>
        <v/>
      </c>
      <c r="DC22">
        <f>IF('История отказов'!AE25="","",IF(AND(COUNTIF($CT$2:$CT$2,'История отказов'!AE25)=0,COUNTIFS('История отказов'!$F$5:F25,"ШГН",'История отказов'!$AE$5:AE25,'История отказов'!AE25)=1,'История отказов'!F25="ШГН"),21,""))</f>
        <v/>
      </c>
      <c r="DD22">
        <f>IF('История отказов'!AE25="","",IF(AND(COUNTIF($CU$2:$CU$3,'История отказов'!AE25)=0,COUNTIFS('История отказов'!$F$5:F25,"ЭЦН",'История отказов'!$AE$5:AE25,'История отказов'!AE25)=1,'История отказов'!F25="ЭЦН"),21,""))</f>
        <v/>
      </c>
      <c r="DE22">
        <f>IF('История отказов'!AE25="","",IF(AND(COUNTIF($CV$2:$CV$3,'История отказов'!AE25)=0,COUNTIFS('История отказов'!$F$5:F25,"ЭВН",'История отказов'!$AE$5:AE25,'История отказов'!AE25)=1,'История отказов'!F25="ЭВН"),21,""))</f>
        <v/>
      </c>
      <c r="DF22">
        <f>IF('История отказов'!AE25="","",IF(AND(COUNTIF($CX$2:$CX$2,'История отказов'!AE25)=0,COUNTIFS('История отказов'!$F$5:F25,"ШВН",'История отказов'!$AE$5:AE25,'История отказов'!AE25)=1,'История отказов'!F25="ШВН"),21,""))</f>
        <v/>
      </c>
      <c r="DG22">
        <f>IF('История отказов'!AE25="","",IF(AND(COUNTIF($CW$2:$CW$2,'История отказов'!AE25)=0,COUNTIFS('История отказов'!$F$5:F25,"НПУ-ВД",'История отказов'!$AE$5:AE25,'История отказов'!AE25)=1,'История отказов'!F25="НПУ-ВД"),21,""))</f>
        <v/>
      </c>
      <c r="DH22">
        <f>IF('История отказов'!AE25="","",IF(AND(COUNTIF($CY$2:$CY$6,'История отказов'!AE25)=0,COUNTIF('История отказов'!$AE$5:AE25,'История отказов'!AE25)=1),21,""))</f>
        <v/>
      </c>
      <c r="DI22">
        <f>IF('История отказов'!AK25="","",IF(AND(COUNTIF($CL$2:$CL$3,'История отказов'!AK25)=0,COUNTIF('История отказов'!$AK$5:AK25,'История отказов'!AK25)=1),21,""))</f>
        <v/>
      </c>
      <c r="DJ22">
        <f>IF('История отказов'!AU25="","",IF(AND(COUNTIF($CP$2:$CP$3,'История отказов'!AU25)=0,COUNTIF('История отказов'!$AU$5:AU25,'История отказов'!AU25)=1),21,""))</f>
        <v/>
      </c>
      <c r="DK22">
        <f>IF('История отказов'!AY25="","",IF(AND(COUNTIF($CR$2:$CR$2,'История отказов'!AY25)=0,COUNTIF('История отказов'!$AY$5:AY25,'История отказов'!AY25)=1),21,""))</f>
        <v/>
      </c>
      <c r="DL22">
        <f>IF(DB22="","",IF(AND(COUNTIF($DA$2:$DA$47,DB22)=0,COUNTIF($DB$2:DB22,DB22)=1),21,""))</f>
        <v/>
      </c>
    </row>
    <row r="23">
      <c r="A23" s="74" t="n"/>
      <c r="B23" s="75" t="n"/>
      <c r="C23" s="75" t="inlineStr">
        <is>
          <t>Изменение давления на приёме насоса</t>
        </is>
      </c>
      <c r="D23" s="75" t="inlineStr">
        <is>
          <t>Узел не установлен</t>
        </is>
      </c>
      <c r="E23" s="75" t="inlineStr">
        <is>
          <t>3.6.2 — в т.ч. отложение солей карбоната кальция [УЭЦН]</t>
        </is>
      </c>
      <c r="F23" s="76" t="inlineStr">
        <is>
          <t>Т3 — Высокая температура</t>
        </is>
      </c>
      <c r="G23" t="inlineStr">
        <is>
          <t>Т3 — Высокая температура</t>
        </is>
      </c>
      <c r="H23" t="inlineStr">
        <is>
          <t>КР3-1.13 — То же ШГН (УШВН).</t>
        </is>
      </c>
      <c r="I23" t="inlineStr">
        <is>
          <t>Короткое замыкание обмотки двигателя</t>
        </is>
      </c>
      <c r="J23" s="62" t="inlineStr">
        <is>
          <t>3.6.2 — в т.ч. отложение солей карбоната кальция [УЭЦН]</t>
        </is>
      </c>
      <c r="K23" s="62" t="inlineStr">
        <is>
          <t>Т3 — Высокая температура</t>
        </is>
      </c>
      <c r="L23" s="62" t="n"/>
      <c r="M23" s="62" t="n"/>
      <c r="N23" s="62" t="n"/>
      <c r="O23" t="inlineStr">
        <is>
          <t>Механическое удаление АСПО скребком</t>
        </is>
      </c>
      <c r="Q23" t="inlineStr">
        <is>
          <t>Ранее загруженные журналы</t>
        </is>
      </c>
      <c r="R23" t="inlineStr">
        <is>
          <t>Использована только структура заголовков</t>
        </is>
      </c>
      <c r="S23" t="inlineStr">
        <is>
          <t>Сырые записи не входят в списки выбора</t>
        </is>
      </c>
      <c r="AX23" t="inlineStr">
        <is>
          <t>3.6.2 — в т.ч. отложение солей карбоната кальция [УЭЦН]</t>
        </is>
      </c>
      <c r="AY23" t="inlineStr">
        <is>
          <t>3.8 — Коррозия НКТ и элементов подвески [УШГН]</t>
        </is>
      </c>
      <c r="AZ23" t="inlineStr">
        <is>
          <t>Т3 — Высокая температура</t>
        </is>
      </c>
      <c r="BA23" t="inlineStr">
        <is>
          <t>КР3-1.13 — То же ШГН (УШВН).</t>
        </is>
      </c>
      <c r="BI23" t="inlineStr">
        <is>
          <t>Механическое удаление АСПО скребком</t>
        </is>
      </c>
      <c r="CH23" t="inlineStr">
        <is>
          <t>Изменение давления на приёме насоса</t>
        </is>
      </c>
      <c r="CI23" t="inlineStr">
        <is>
          <t>Узел не установлен</t>
        </is>
      </c>
      <c r="CJ23" t="inlineStr">
        <is>
          <t>3.6.2 — в т.ч. отложение солей карбоната кальция [УЭЦН]</t>
        </is>
      </c>
      <c r="CK23" t="inlineStr">
        <is>
          <t>Короткое замыкание обмотки двигателя</t>
        </is>
      </c>
      <c r="CL23">
        <f>IFERROR(INDEX('История отказов'!$AK$5:$AK$1204,SMALL($DI$2:$DI$1201,ROWS($CL$4:CL23))),"")</f>
        <v/>
      </c>
      <c r="CP23">
        <f>IFERROR(INDEX('История отказов'!$AU$5:$AU$1204,SMALL($DJ$2:$DJ$1201,ROWS($CP$4:CP23))),"")</f>
        <v/>
      </c>
      <c r="CR23">
        <f>IFERROR(INDEX('История отказов'!$AY$5:$AY$1204,SMALL($DK$2:$DK$1201,ROWS($CR$3:CR23))),"")</f>
        <v/>
      </c>
      <c r="CT23">
        <f>IFERROR(INDEX('История отказов'!$AE$5:$AE$1204,SMALL($DC$2:$DC$1201,ROWS($CT$3:CT23))),"")</f>
        <v/>
      </c>
      <c r="CU23">
        <f>IFERROR(INDEX('История отказов'!$AE$5:$AE$1204,SMALL($DD$2:$DD$1201,ROWS($CU$4:CU23))),"")</f>
        <v/>
      </c>
      <c r="CV23">
        <f>IFERROR(INDEX('История отказов'!$AE$5:$AE$1204,SMALL($DE$2:$DE$1201,ROWS($CV$4:CV23))),"")</f>
        <v/>
      </c>
      <c r="CW23">
        <f>IFERROR(INDEX('История отказов'!$AE$5:$AE$1204,SMALL($DG$2:$DG$1201,ROWS($CW$3:CW23))),"")</f>
        <v/>
      </c>
      <c r="CX23">
        <f>IFERROR(INDEX('История отказов'!$AE$5:$AE$1204,SMALL($DF$2:$DF$1201,ROWS($CX$3:CX23))),"")</f>
        <v/>
      </c>
      <c r="CY23">
        <f>IFERROR(INDEX('История отказов'!$AE$5:$AE$1204,SMALL($DH$2:$DH$1201,ROWS($CY$7:CY23))),"")</f>
        <v/>
      </c>
      <c r="DA23" t="n">
        <v>2014</v>
      </c>
      <c r="DB23">
        <f>IF('История отказов'!AH26="","",'История отказов'!AH26)</f>
        <v/>
      </c>
      <c r="DC23">
        <f>IF('История отказов'!AE26="","",IF(AND(COUNTIF($CT$2:$CT$2,'История отказов'!AE26)=0,COUNTIFS('История отказов'!$F$5:F26,"ШГН",'История отказов'!$AE$5:AE26,'История отказов'!AE26)=1,'История отказов'!F26="ШГН"),22,""))</f>
        <v/>
      </c>
      <c r="DD23">
        <f>IF('История отказов'!AE26="","",IF(AND(COUNTIF($CU$2:$CU$3,'История отказов'!AE26)=0,COUNTIFS('История отказов'!$F$5:F26,"ЭЦН",'История отказов'!$AE$5:AE26,'История отказов'!AE26)=1,'История отказов'!F26="ЭЦН"),22,""))</f>
        <v/>
      </c>
      <c r="DE23">
        <f>IF('История отказов'!AE26="","",IF(AND(COUNTIF($CV$2:$CV$3,'История отказов'!AE26)=0,COUNTIFS('История отказов'!$F$5:F26,"ЭВН",'История отказов'!$AE$5:AE26,'История отказов'!AE26)=1,'История отказов'!F26="ЭВН"),22,""))</f>
        <v/>
      </c>
      <c r="DF23">
        <f>IF('История отказов'!AE26="","",IF(AND(COUNTIF($CX$2:$CX$2,'История отказов'!AE26)=0,COUNTIFS('История отказов'!$F$5:F26,"ШВН",'История отказов'!$AE$5:AE26,'История отказов'!AE26)=1,'История отказов'!F26="ШВН"),22,""))</f>
        <v/>
      </c>
      <c r="DG23">
        <f>IF('История отказов'!AE26="","",IF(AND(COUNTIF($CW$2:$CW$2,'История отказов'!AE26)=0,COUNTIFS('История отказов'!$F$5:F26,"НПУ-ВД",'История отказов'!$AE$5:AE26,'История отказов'!AE26)=1,'История отказов'!F26="НПУ-ВД"),22,""))</f>
        <v/>
      </c>
      <c r="DH23">
        <f>IF('История отказов'!AE26="","",IF(AND(COUNTIF($CY$2:$CY$6,'История отказов'!AE26)=0,COUNTIF('История отказов'!$AE$5:AE26,'История отказов'!AE26)=1),22,""))</f>
        <v/>
      </c>
      <c r="DI23">
        <f>IF('История отказов'!AK26="","",IF(AND(COUNTIF($CL$2:$CL$3,'История отказов'!AK26)=0,COUNTIF('История отказов'!$AK$5:AK26,'История отказов'!AK26)=1),22,""))</f>
        <v/>
      </c>
      <c r="DJ23">
        <f>IF('История отказов'!AU26="","",IF(AND(COUNTIF($CP$2:$CP$3,'История отказов'!AU26)=0,COUNTIF('История отказов'!$AU$5:AU26,'История отказов'!AU26)=1),22,""))</f>
        <v/>
      </c>
      <c r="DK23">
        <f>IF('История отказов'!AY26="","",IF(AND(COUNTIF($CR$2:$CR$2,'История отказов'!AY26)=0,COUNTIF('История отказов'!$AY$5:AY26,'История отказов'!AY26)=1),22,""))</f>
        <v/>
      </c>
      <c r="DL23">
        <f>IF(DB23="","",IF(AND(COUNTIF($DA$2:$DA$47,DB23)=0,COUNTIF($DB$2:DB23,DB23)=1),22,""))</f>
        <v/>
      </c>
    </row>
    <row r="24">
      <c r="A24" s="74" t="n"/>
      <c r="B24" s="75" t="n"/>
      <c r="C24" s="75" t="inlineStr">
        <is>
          <t>Подозрение на износ насоса по трендам тока и давления</t>
        </is>
      </c>
      <c r="D24" s="75" t="inlineStr">
        <is>
          <t>Рабочее колесо ЭЦН</t>
        </is>
      </c>
      <c r="E24" s="75" t="inlineStr">
        <is>
          <t>3.6.3 — в т.ч. прочие солеотложение, в т.ч. фосфорсодержащие соединения [УЭЦН]</t>
        </is>
      </c>
      <c r="F24" s="76" t="n"/>
      <c r="H24" t="inlineStr">
        <is>
          <t>КР3-1.14 — То же НКТ</t>
        </is>
      </c>
      <c r="I24" t="inlineStr">
        <is>
          <t>Разгерметизация гидрозащиты</t>
        </is>
      </c>
      <c r="J24" s="62" t="inlineStr">
        <is>
          <t>3.6.3 — в т.ч. прочие солеотложение, в т.ч. фосфорсодержащие соединения [УЭЦН]</t>
        </is>
      </c>
      <c r="K24" s="62" t="n"/>
      <c r="L24" s="62" t="n"/>
      <c r="M24" s="62" t="n"/>
      <c r="N24" s="62" t="n"/>
      <c r="O24" t="inlineStr">
        <is>
          <t>Промывка АСПО горячей водой с ПАВ</t>
        </is>
      </c>
      <c r="Q24" t="inlineStr">
        <is>
          <t>Открытые источники</t>
        </is>
      </c>
      <c r="R24" t="inlineStr">
        <is>
          <t>ГОСТ Р 56830-2015, 55849-2013, 70841-2023</t>
        </is>
      </c>
      <c r="S24" t="inlineStr">
        <is>
          <t>Названия узлов и механизмов; списки признаков адаптированы для реестра</t>
        </is>
      </c>
      <c r="AX24" t="inlineStr">
        <is>
          <t>3.6.3 — в т.ч. прочие солеотложение, в т.ч. фосфорсодержащие соединения [УЭЦН]</t>
        </is>
      </c>
      <c r="AY24" t="inlineStr">
        <is>
          <t>3.9 — Отворот штанг [УШГН]</t>
        </is>
      </c>
      <c r="BA24" t="inlineStr">
        <is>
          <t>КР3-1.14 — То же НКТ</t>
        </is>
      </c>
      <c r="BI24" t="inlineStr">
        <is>
          <t>Промывка АСПО горячей водой с ПАВ</t>
        </is>
      </c>
      <c r="CH24" t="inlineStr">
        <is>
          <t>Подозрение на износ насоса по трендам тока и давления</t>
        </is>
      </c>
      <c r="CI24" t="inlineStr">
        <is>
          <t>Рабочее колесо ЭЦН</t>
        </is>
      </c>
      <c r="CJ24" t="inlineStr">
        <is>
          <t>3.6.3 — в т.ч. прочие солеотложение, в т.ч. фосфорсодержащие соединения [УЭЦН]</t>
        </is>
      </c>
      <c r="CK24" t="inlineStr">
        <is>
          <t>Разгерметизация гидрозащиты</t>
        </is>
      </c>
      <c r="CL24">
        <f>IFERROR(INDEX('История отказов'!$AK$5:$AK$1204,SMALL($DI$2:$DI$1201,ROWS($CL$4:CL24))),"")</f>
        <v/>
      </c>
      <c r="CP24">
        <f>IFERROR(INDEX('История отказов'!$AU$5:$AU$1204,SMALL($DJ$2:$DJ$1201,ROWS($CP$4:CP24))),"")</f>
        <v/>
      </c>
      <c r="CR24">
        <f>IFERROR(INDEX('История отказов'!$AY$5:$AY$1204,SMALL($DK$2:$DK$1201,ROWS($CR$3:CR24))),"")</f>
        <v/>
      </c>
      <c r="CT24">
        <f>IFERROR(INDEX('История отказов'!$AE$5:$AE$1204,SMALL($DC$2:$DC$1201,ROWS($CT$3:CT24))),"")</f>
        <v/>
      </c>
      <c r="CU24">
        <f>IFERROR(INDEX('История отказов'!$AE$5:$AE$1204,SMALL($DD$2:$DD$1201,ROWS($CU$4:CU24))),"")</f>
        <v/>
      </c>
      <c r="CV24">
        <f>IFERROR(INDEX('История отказов'!$AE$5:$AE$1204,SMALL($DE$2:$DE$1201,ROWS($CV$4:CV24))),"")</f>
        <v/>
      </c>
      <c r="CW24">
        <f>IFERROR(INDEX('История отказов'!$AE$5:$AE$1204,SMALL($DG$2:$DG$1201,ROWS($CW$3:CW24))),"")</f>
        <v/>
      </c>
      <c r="CX24">
        <f>IFERROR(INDEX('История отказов'!$AE$5:$AE$1204,SMALL($DF$2:$DF$1201,ROWS($CX$3:CX24))),"")</f>
        <v/>
      </c>
      <c r="CY24">
        <f>IFERROR(INDEX('История отказов'!$AE$5:$AE$1204,SMALL($DH$2:$DH$1201,ROWS($CY$7:CY24))),"")</f>
        <v/>
      </c>
      <c r="DA24" t="n">
        <v>2013</v>
      </c>
      <c r="DB24">
        <f>IF('История отказов'!AH27="","",'История отказов'!AH27)</f>
        <v/>
      </c>
      <c r="DC24">
        <f>IF('История отказов'!AE27="","",IF(AND(COUNTIF($CT$2:$CT$2,'История отказов'!AE27)=0,COUNTIFS('История отказов'!$F$5:F27,"ШГН",'История отказов'!$AE$5:AE27,'История отказов'!AE27)=1,'История отказов'!F27="ШГН"),23,""))</f>
        <v/>
      </c>
      <c r="DD24">
        <f>IF('История отказов'!AE27="","",IF(AND(COUNTIF($CU$2:$CU$3,'История отказов'!AE27)=0,COUNTIFS('История отказов'!$F$5:F27,"ЭЦН",'История отказов'!$AE$5:AE27,'История отказов'!AE27)=1,'История отказов'!F27="ЭЦН"),23,""))</f>
        <v/>
      </c>
      <c r="DE24">
        <f>IF('История отказов'!AE27="","",IF(AND(COUNTIF($CV$2:$CV$3,'История отказов'!AE27)=0,COUNTIFS('История отказов'!$F$5:F27,"ЭВН",'История отказов'!$AE$5:AE27,'История отказов'!AE27)=1,'История отказов'!F27="ЭВН"),23,""))</f>
        <v/>
      </c>
      <c r="DF24">
        <f>IF('История отказов'!AE27="","",IF(AND(COUNTIF($CX$2:$CX$2,'История отказов'!AE27)=0,COUNTIFS('История отказов'!$F$5:F27,"ШВН",'История отказов'!$AE$5:AE27,'История отказов'!AE27)=1,'История отказов'!F27="ШВН"),23,""))</f>
        <v/>
      </c>
      <c r="DG24">
        <f>IF('История отказов'!AE27="","",IF(AND(COUNTIF($CW$2:$CW$2,'История отказов'!AE27)=0,COUNTIFS('История отказов'!$F$5:F27,"НПУ-ВД",'История отказов'!$AE$5:AE27,'История отказов'!AE27)=1,'История отказов'!F27="НПУ-ВД"),23,""))</f>
        <v/>
      </c>
      <c r="DH24">
        <f>IF('История отказов'!AE27="","",IF(AND(COUNTIF($CY$2:$CY$6,'История отказов'!AE27)=0,COUNTIF('История отказов'!$AE$5:AE27,'История отказов'!AE27)=1),23,""))</f>
        <v/>
      </c>
      <c r="DI24">
        <f>IF('История отказов'!AK27="","",IF(AND(COUNTIF($CL$2:$CL$3,'История отказов'!AK27)=0,COUNTIF('История отказов'!$AK$5:AK27,'История отказов'!AK27)=1),23,""))</f>
        <v/>
      </c>
      <c r="DJ24">
        <f>IF('История отказов'!AU27="","",IF(AND(COUNTIF($CP$2:$CP$3,'История отказов'!AU27)=0,COUNTIF('История отказов'!$AU$5:AU27,'История отказов'!AU27)=1),23,""))</f>
        <v/>
      </c>
      <c r="DK24">
        <f>IF('История отказов'!AY27="","",IF(AND(COUNTIF($CR$2:$CR$2,'История отказов'!AY27)=0,COUNTIF('История отказов'!$AY$5:AY27,'История отказов'!AY27)=1),23,""))</f>
        <v/>
      </c>
      <c r="DL24">
        <f>IF(DB24="","",IF(AND(COUNTIF($DA$2:$DA$47,DB24)=0,COUNTIF($DB$2:DB24,DB24)=1),23,""))</f>
        <v/>
      </c>
    </row>
    <row r="25">
      <c r="A25" s="74" t="n"/>
      <c r="B25" s="75" t="n"/>
      <c r="C25" s="75" t="inlineStr">
        <is>
          <t>Недозаполнение насоса по динамограмме</t>
        </is>
      </c>
      <c r="D25" s="75" t="inlineStr">
        <is>
          <t>Направляющий аппарат ЭЦН</t>
        </is>
      </c>
      <c r="E25" s="75" t="inlineStr">
        <is>
          <t>3.7 — Коррозия насоса [УЭЦН]</t>
        </is>
      </c>
      <c r="F25" s="76" t="n"/>
      <c r="H25" t="inlineStr">
        <is>
          <t>КР3-1.15 — Промывка забоя скважины.</t>
        </is>
      </c>
      <c r="J25" s="62" t="inlineStr">
        <is>
          <t>3.7 — Коррозия насоса [УЭЦН]</t>
        </is>
      </c>
      <c r="K25" s="62" t="n"/>
      <c r="L25" s="62" t="n"/>
      <c r="M25" s="62" t="n"/>
      <c r="N25" s="62" t="n"/>
      <c r="O25" t="inlineStr">
        <is>
          <t>Гладкое покрытие НКТ против АСПО</t>
        </is>
      </c>
      <c r="Q25" t="inlineStr">
        <is>
          <t>ГОСТ Р 56830-2015</t>
        </is>
      </c>
      <c r="R25" t="inlineStr">
        <is>
          <t>Росстандарт</t>
        </is>
      </c>
      <c r="S25" t="inlineStr">
        <is>
          <t>https://protect.gost.ru/gost/details/c1ef4018-a9af-45e7-9b2e-49fa151b55b4</t>
        </is>
      </c>
      <c r="AX25" t="inlineStr">
        <is>
          <t>3.7 — Коррозия насоса [УЭЦН]</t>
        </is>
      </c>
      <c r="AY25" t="inlineStr">
        <is>
          <t>3.10 — Обрыв штанг [УШГН]</t>
        </is>
      </c>
      <c r="BA25" t="inlineStr">
        <is>
          <t>КР3-1.15 — Промывка забоя скважины.</t>
        </is>
      </c>
      <c r="BI25" t="inlineStr">
        <is>
          <t>Гладкое покрытие НКТ против АСПО</t>
        </is>
      </c>
      <c r="CH25" t="inlineStr">
        <is>
          <t>Недозаполнение насоса по динамограмме</t>
        </is>
      </c>
      <c r="CI25" t="inlineStr">
        <is>
          <t>Направляющий аппарат ЭЦН</t>
        </is>
      </c>
      <c r="CJ25" t="inlineStr">
        <is>
          <t>3.7 — Коррозия насоса [УЭЦН]</t>
        </is>
      </c>
      <c r="CL25">
        <f>IFERROR(INDEX('История отказов'!$AK$5:$AK$1204,SMALL($DI$2:$DI$1201,ROWS($CL$4:CL25))),"")</f>
        <v/>
      </c>
      <c r="CP25">
        <f>IFERROR(INDEX('История отказов'!$AU$5:$AU$1204,SMALL($DJ$2:$DJ$1201,ROWS($CP$4:CP25))),"")</f>
        <v/>
      </c>
      <c r="CR25">
        <f>IFERROR(INDEX('История отказов'!$AY$5:$AY$1204,SMALL($DK$2:$DK$1201,ROWS($CR$3:CR25))),"")</f>
        <v/>
      </c>
      <c r="CT25">
        <f>IFERROR(INDEX('История отказов'!$AE$5:$AE$1204,SMALL($DC$2:$DC$1201,ROWS($CT$3:CT25))),"")</f>
        <v/>
      </c>
      <c r="CU25">
        <f>IFERROR(INDEX('История отказов'!$AE$5:$AE$1204,SMALL($DD$2:$DD$1201,ROWS($CU$4:CU25))),"")</f>
        <v/>
      </c>
      <c r="CV25">
        <f>IFERROR(INDEX('История отказов'!$AE$5:$AE$1204,SMALL($DE$2:$DE$1201,ROWS($CV$4:CV25))),"")</f>
        <v/>
      </c>
      <c r="CW25">
        <f>IFERROR(INDEX('История отказов'!$AE$5:$AE$1204,SMALL($DG$2:$DG$1201,ROWS($CW$3:CW25))),"")</f>
        <v/>
      </c>
      <c r="CX25">
        <f>IFERROR(INDEX('История отказов'!$AE$5:$AE$1204,SMALL($DF$2:$DF$1201,ROWS($CX$3:CX25))),"")</f>
        <v/>
      </c>
      <c r="CY25">
        <f>IFERROR(INDEX('История отказов'!$AE$5:$AE$1204,SMALL($DH$2:$DH$1201,ROWS($CY$7:CY25))),"")</f>
        <v/>
      </c>
      <c r="DA25" t="n">
        <v>2012</v>
      </c>
      <c r="DB25">
        <f>IF('История отказов'!AH28="","",'История отказов'!AH28)</f>
        <v/>
      </c>
      <c r="DC25">
        <f>IF('История отказов'!AE28="","",IF(AND(COUNTIF($CT$2:$CT$2,'История отказов'!AE28)=0,COUNTIFS('История отказов'!$F$5:F28,"ШГН",'История отказов'!$AE$5:AE28,'История отказов'!AE28)=1,'История отказов'!F28="ШГН"),24,""))</f>
        <v/>
      </c>
      <c r="DD25">
        <f>IF('История отказов'!AE28="","",IF(AND(COUNTIF($CU$2:$CU$3,'История отказов'!AE28)=0,COUNTIFS('История отказов'!$F$5:F28,"ЭЦН",'История отказов'!$AE$5:AE28,'История отказов'!AE28)=1,'История отказов'!F28="ЭЦН"),24,""))</f>
        <v/>
      </c>
      <c r="DE25">
        <f>IF('История отказов'!AE28="","",IF(AND(COUNTIF($CV$2:$CV$3,'История отказов'!AE28)=0,COUNTIFS('История отказов'!$F$5:F28,"ЭВН",'История отказов'!$AE$5:AE28,'История отказов'!AE28)=1,'История отказов'!F28="ЭВН"),24,""))</f>
        <v/>
      </c>
      <c r="DF25">
        <f>IF('История отказов'!AE28="","",IF(AND(COUNTIF($CX$2:$CX$2,'История отказов'!AE28)=0,COUNTIFS('История отказов'!$F$5:F28,"ШВН",'История отказов'!$AE$5:AE28,'История отказов'!AE28)=1,'История отказов'!F28="ШВН"),24,""))</f>
        <v/>
      </c>
      <c r="DG25">
        <f>IF('История отказов'!AE28="","",IF(AND(COUNTIF($CW$2:$CW$2,'История отказов'!AE28)=0,COUNTIFS('История отказов'!$F$5:F28,"НПУ-ВД",'История отказов'!$AE$5:AE28,'История отказов'!AE28)=1,'История отказов'!F28="НПУ-ВД"),24,""))</f>
        <v/>
      </c>
      <c r="DH25">
        <f>IF('История отказов'!AE28="","",IF(AND(COUNTIF($CY$2:$CY$6,'История отказов'!AE28)=0,COUNTIF('История отказов'!$AE$5:AE28,'История отказов'!AE28)=1),24,""))</f>
        <v/>
      </c>
      <c r="DI25">
        <f>IF('История отказов'!AK28="","",IF(AND(COUNTIF($CL$2:$CL$3,'История отказов'!AK28)=0,COUNTIF('История отказов'!$AK$5:AK28,'История отказов'!AK28)=1),24,""))</f>
        <v/>
      </c>
      <c r="DJ25">
        <f>IF('История отказов'!AU28="","",IF(AND(COUNTIF($CP$2:$CP$3,'История отказов'!AU28)=0,COUNTIF('История отказов'!$AU$5:AU28,'История отказов'!AU28)=1),24,""))</f>
        <v/>
      </c>
      <c r="DK25">
        <f>IF('История отказов'!AY28="","",IF(AND(COUNTIF($CR$2:$CR$2,'История отказов'!AY28)=0,COUNTIF('История отказов'!$AY$5:AY28,'История отказов'!AY28)=1),24,""))</f>
        <v/>
      </c>
      <c r="DL25">
        <f>IF(DB25="","",IF(AND(COUNTIF($DA$2:$DA$47,DB25)=0,COUNTIF($DB$2:DB25,DB25)=1),24,""))</f>
        <v/>
      </c>
    </row>
    <row r="26">
      <c r="A26" s="74" t="n"/>
      <c r="B26" s="75" t="n"/>
      <c r="C26" s="75" t="inlineStr">
        <is>
          <t>Признаки утечки клапана по динамограмме</t>
        </is>
      </c>
      <c r="D26" s="75" t="inlineStr">
        <is>
          <t>Радиальный подшипник насоса</t>
        </is>
      </c>
      <c r="E26" s="75" t="inlineStr">
        <is>
          <t>3.7.1 — в т.ч. коррозионный износ насоса [УЭЦН]</t>
        </is>
      </c>
      <c r="F26" s="76" t="n"/>
      <c r="H26" t="inlineStr">
        <is>
          <t>КР3-2 — Ликвидация аварий с эксплуатационной колонной.</t>
        </is>
      </c>
      <c r="J26" s="62" t="inlineStr">
        <is>
          <t>3.7.1 — в т.ч. коррозионный износ насоса [УЭЦН]</t>
        </is>
      </c>
      <c r="K26" s="62" t="n"/>
      <c r="L26" s="62" t="n"/>
      <c r="M26" s="62" t="n"/>
      <c r="N26" s="62" t="n"/>
      <c r="O26" t="inlineStr">
        <is>
          <t>Электропрогрев парафиновой пробки</t>
        </is>
      </c>
      <c r="Q26" t="inlineStr">
        <is>
          <t>ГОСТ Р 55849-2013</t>
        </is>
      </c>
      <c r="R26" t="inlineStr">
        <is>
          <t>Росстандарт</t>
        </is>
      </c>
      <c r="S26" t="inlineStr">
        <is>
          <t>https://protect.gost.ru/gost/details/c02694cc-1f3f-4008-b871-28fea37cfa62</t>
        </is>
      </c>
      <c r="AX26" t="inlineStr">
        <is>
          <t>3.7.1 — в т.ч. коррозионный износ насоса [УЭЦН]</t>
        </is>
      </c>
      <c r="AY26" t="inlineStr">
        <is>
          <t>3.10.1 — - усталостный (нагрузка, наработка) [УШГН]</t>
        </is>
      </c>
      <c r="BA26" t="inlineStr">
        <is>
          <t>КР3-2 — Ликвидация аварий с эксплуатационной колонной.</t>
        </is>
      </c>
      <c r="BI26" t="inlineStr">
        <is>
          <t>Электропрогрев парафиновой пробки</t>
        </is>
      </c>
      <c r="CH26" t="inlineStr">
        <is>
          <t>Признаки утечки клапана по динамограмме</t>
        </is>
      </c>
      <c r="CI26" t="inlineStr">
        <is>
          <t>Радиальный подшипник насоса</t>
        </is>
      </c>
      <c r="CJ26" t="inlineStr">
        <is>
          <t>3.7.1 — в т.ч. коррозионный износ насоса [УЭЦН]</t>
        </is>
      </c>
      <c r="CL26">
        <f>IFERROR(INDEX('История отказов'!$AK$5:$AK$1204,SMALL($DI$2:$DI$1201,ROWS($CL$4:CL26))),"")</f>
        <v/>
      </c>
      <c r="CP26">
        <f>IFERROR(INDEX('История отказов'!$AU$5:$AU$1204,SMALL($DJ$2:$DJ$1201,ROWS($CP$4:CP26))),"")</f>
        <v/>
      </c>
      <c r="CR26">
        <f>IFERROR(INDEX('История отказов'!$AY$5:$AY$1204,SMALL($DK$2:$DK$1201,ROWS($CR$3:CR26))),"")</f>
        <v/>
      </c>
      <c r="CT26">
        <f>IFERROR(INDEX('История отказов'!$AE$5:$AE$1204,SMALL($DC$2:$DC$1201,ROWS($CT$3:CT26))),"")</f>
        <v/>
      </c>
      <c r="CU26">
        <f>IFERROR(INDEX('История отказов'!$AE$5:$AE$1204,SMALL($DD$2:$DD$1201,ROWS($CU$4:CU26))),"")</f>
        <v/>
      </c>
      <c r="CV26">
        <f>IFERROR(INDEX('История отказов'!$AE$5:$AE$1204,SMALL($DE$2:$DE$1201,ROWS($CV$4:CV26))),"")</f>
        <v/>
      </c>
      <c r="CW26">
        <f>IFERROR(INDEX('История отказов'!$AE$5:$AE$1204,SMALL($DG$2:$DG$1201,ROWS($CW$3:CW26))),"")</f>
        <v/>
      </c>
      <c r="CX26">
        <f>IFERROR(INDEX('История отказов'!$AE$5:$AE$1204,SMALL($DF$2:$DF$1201,ROWS($CX$3:CX26))),"")</f>
        <v/>
      </c>
      <c r="CY26">
        <f>IFERROR(INDEX('История отказов'!$AE$5:$AE$1204,SMALL($DH$2:$DH$1201,ROWS($CY$7:CY26))),"")</f>
        <v/>
      </c>
      <c r="DA26" t="n">
        <v>2011</v>
      </c>
      <c r="DB26">
        <f>IF('История отказов'!AH29="","",'История отказов'!AH29)</f>
        <v/>
      </c>
      <c r="DC26">
        <f>IF('История отказов'!AE29="","",IF(AND(COUNTIF($CT$2:$CT$2,'История отказов'!AE29)=0,COUNTIFS('История отказов'!$F$5:F29,"ШГН",'История отказов'!$AE$5:AE29,'История отказов'!AE29)=1,'История отказов'!F29="ШГН"),25,""))</f>
        <v/>
      </c>
      <c r="DD26">
        <f>IF('История отказов'!AE29="","",IF(AND(COUNTIF($CU$2:$CU$3,'История отказов'!AE29)=0,COUNTIFS('История отказов'!$F$5:F29,"ЭЦН",'История отказов'!$AE$5:AE29,'История отказов'!AE29)=1,'История отказов'!F29="ЭЦН"),25,""))</f>
        <v/>
      </c>
      <c r="DE26">
        <f>IF('История отказов'!AE29="","",IF(AND(COUNTIF($CV$2:$CV$3,'История отказов'!AE29)=0,COUNTIFS('История отказов'!$F$5:F29,"ЭВН",'История отказов'!$AE$5:AE29,'История отказов'!AE29)=1,'История отказов'!F29="ЭВН"),25,""))</f>
        <v/>
      </c>
      <c r="DF26">
        <f>IF('История отказов'!AE29="","",IF(AND(COUNTIF($CX$2:$CX$2,'История отказов'!AE29)=0,COUNTIFS('История отказов'!$F$5:F29,"ШВН",'История отказов'!$AE$5:AE29,'История отказов'!AE29)=1,'История отказов'!F29="ШВН"),25,""))</f>
        <v/>
      </c>
      <c r="DG26">
        <f>IF('История отказов'!AE29="","",IF(AND(COUNTIF($CW$2:$CW$2,'История отказов'!AE29)=0,COUNTIFS('История отказов'!$F$5:F29,"НПУ-ВД",'История отказов'!$AE$5:AE29,'История отказов'!AE29)=1,'История отказов'!F29="НПУ-ВД"),25,""))</f>
        <v/>
      </c>
      <c r="DH26">
        <f>IF('История отказов'!AE29="","",IF(AND(COUNTIF($CY$2:$CY$6,'История отказов'!AE29)=0,COUNTIF('История отказов'!$AE$5:AE29,'История отказов'!AE29)=1),25,""))</f>
        <v/>
      </c>
      <c r="DI26">
        <f>IF('История отказов'!AK29="","",IF(AND(COUNTIF($CL$2:$CL$3,'История отказов'!AK29)=0,COUNTIF('История отказов'!$AK$5:AK29,'История отказов'!AK29)=1),25,""))</f>
        <v/>
      </c>
      <c r="DJ26">
        <f>IF('История отказов'!AU29="","",IF(AND(COUNTIF($CP$2:$CP$3,'История отказов'!AU29)=0,COUNTIF('История отказов'!$AU$5:AU29,'История отказов'!AU29)=1),25,""))</f>
        <v/>
      </c>
      <c r="DK26">
        <f>IF('История отказов'!AY29="","",IF(AND(COUNTIF($CR$2:$CR$2,'История отказов'!AY29)=0,COUNTIF('История отказов'!$AY$5:AY29,'История отказов'!AY29)=1),25,""))</f>
        <v/>
      </c>
      <c r="DL26">
        <f>IF(DB26="","",IF(AND(COUNTIF($DA$2:$DA$47,DB26)=0,COUNTIF($DB$2:DB26,DB26)=1),25,""))</f>
        <v/>
      </c>
    </row>
    <row r="27">
      <c r="A27" s="74" t="n"/>
      <c r="B27" s="75" t="n"/>
      <c r="C27" s="75" t="inlineStr">
        <is>
          <t>Признаки газового влияния по динамограмме</t>
        </is>
      </c>
      <c r="D27" s="75" t="inlineStr">
        <is>
          <t>Приёмная сетка насоса</t>
        </is>
      </c>
      <c r="E27" s="75" t="inlineStr">
        <is>
          <t>3.7.2 — в т.ч. гидроабразивный износ рабочих органов насоса [УЭЦН]</t>
        </is>
      </c>
      <c r="F27" s="76" t="n"/>
      <c r="H27" t="inlineStr">
        <is>
          <t>КР3-3 — Очистка забоя и ствола скважи-ны от посторонних предметов.</t>
        </is>
      </c>
      <c r="J27" s="62" t="inlineStr">
        <is>
          <t>3.7.2 — в т.ч. гидроабразивный износ рабочих органов насоса [УЭЦН]</t>
        </is>
      </c>
      <c r="K27" s="62" t="n"/>
      <c r="L27" s="62" t="n"/>
      <c r="M27" s="62" t="n"/>
      <c r="N27" s="62" t="n"/>
      <c r="O27" t="inlineStr">
        <is>
          <t>Увеличение погружения насоса при газовом влиянии</t>
        </is>
      </c>
      <c r="Q27" t="inlineStr">
        <is>
          <t>ГОСТ Р 70841-2023</t>
        </is>
      </c>
      <c r="R27" t="inlineStr">
        <is>
          <t>Росстандарт</t>
        </is>
      </c>
      <c r="S27" t="inlineStr">
        <is>
          <t>https://protect.gost.ru/gost/details/68ebe14a-b9b3-44f7-a24c-89453bd302de</t>
        </is>
      </c>
      <c r="AX27" t="inlineStr">
        <is>
          <t>3.7.2 — в т.ч. гидроабразивный износ рабочих органов насоса [УЭЦН]</t>
        </is>
      </c>
      <c r="AY27" t="inlineStr">
        <is>
          <t>3.10.2 — - истирание муфт [УШГН]</t>
        </is>
      </c>
      <c r="BA27" t="inlineStr">
        <is>
          <t>КР3-3 — Очистка забоя и ствола скважи-ны от посторонних предметов.</t>
        </is>
      </c>
      <c r="BI27" t="inlineStr">
        <is>
          <t>Увеличение погружения насоса при газовом влиянии</t>
        </is>
      </c>
      <c r="CH27" t="inlineStr">
        <is>
          <t>Признаки газового влияния по динамограмме</t>
        </is>
      </c>
      <c r="CI27" t="inlineStr">
        <is>
          <t>Приёмная сетка насоса</t>
        </is>
      </c>
      <c r="CJ27" t="inlineStr">
        <is>
          <t>3.7.2 — в т.ч. гидроабразивный износ рабочих органов насоса [УЭЦН]</t>
        </is>
      </c>
      <c r="CL27">
        <f>IFERROR(INDEX('История отказов'!$AK$5:$AK$1204,SMALL($DI$2:$DI$1201,ROWS($CL$4:CL27))),"")</f>
        <v/>
      </c>
      <c r="CP27">
        <f>IFERROR(INDEX('История отказов'!$AU$5:$AU$1204,SMALL($DJ$2:$DJ$1201,ROWS($CP$4:CP27))),"")</f>
        <v/>
      </c>
      <c r="CR27">
        <f>IFERROR(INDEX('История отказов'!$AY$5:$AY$1204,SMALL($DK$2:$DK$1201,ROWS($CR$3:CR27))),"")</f>
        <v/>
      </c>
      <c r="CT27">
        <f>IFERROR(INDEX('История отказов'!$AE$5:$AE$1204,SMALL($DC$2:$DC$1201,ROWS($CT$3:CT27))),"")</f>
        <v/>
      </c>
      <c r="CU27">
        <f>IFERROR(INDEX('История отказов'!$AE$5:$AE$1204,SMALL($DD$2:$DD$1201,ROWS($CU$4:CU27))),"")</f>
        <v/>
      </c>
      <c r="CV27">
        <f>IFERROR(INDEX('История отказов'!$AE$5:$AE$1204,SMALL($DE$2:$DE$1201,ROWS($CV$4:CV27))),"")</f>
        <v/>
      </c>
      <c r="CW27">
        <f>IFERROR(INDEX('История отказов'!$AE$5:$AE$1204,SMALL($DG$2:$DG$1201,ROWS($CW$3:CW27))),"")</f>
        <v/>
      </c>
      <c r="CX27">
        <f>IFERROR(INDEX('История отказов'!$AE$5:$AE$1204,SMALL($DF$2:$DF$1201,ROWS($CX$3:CX27))),"")</f>
        <v/>
      </c>
      <c r="CY27">
        <f>IFERROR(INDEX('История отказов'!$AE$5:$AE$1204,SMALL($DH$2:$DH$1201,ROWS($CY$7:CY27))),"")</f>
        <v/>
      </c>
      <c r="DA27" t="n">
        <v>2010</v>
      </c>
      <c r="DB27">
        <f>IF('История отказов'!AH30="","",'История отказов'!AH30)</f>
        <v/>
      </c>
      <c r="DC27">
        <f>IF('История отказов'!AE30="","",IF(AND(COUNTIF($CT$2:$CT$2,'История отказов'!AE30)=0,COUNTIFS('История отказов'!$F$5:F30,"ШГН",'История отказов'!$AE$5:AE30,'История отказов'!AE30)=1,'История отказов'!F30="ШГН"),26,""))</f>
        <v/>
      </c>
      <c r="DD27">
        <f>IF('История отказов'!AE30="","",IF(AND(COUNTIF($CU$2:$CU$3,'История отказов'!AE30)=0,COUNTIFS('История отказов'!$F$5:F30,"ЭЦН",'История отказов'!$AE$5:AE30,'История отказов'!AE30)=1,'История отказов'!F30="ЭЦН"),26,""))</f>
        <v/>
      </c>
      <c r="DE27">
        <f>IF('История отказов'!AE30="","",IF(AND(COUNTIF($CV$2:$CV$3,'История отказов'!AE30)=0,COUNTIFS('История отказов'!$F$5:F30,"ЭВН",'История отказов'!$AE$5:AE30,'История отказов'!AE30)=1,'История отказов'!F30="ЭВН"),26,""))</f>
        <v/>
      </c>
      <c r="DF27">
        <f>IF('История отказов'!AE30="","",IF(AND(COUNTIF($CX$2:$CX$2,'История отказов'!AE30)=0,COUNTIFS('История отказов'!$F$5:F30,"ШВН",'История отказов'!$AE$5:AE30,'История отказов'!AE30)=1,'История отказов'!F30="ШВН"),26,""))</f>
        <v/>
      </c>
      <c r="DG27">
        <f>IF('История отказов'!AE30="","",IF(AND(COUNTIF($CW$2:$CW$2,'История отказов'!AE30)=0,COUNTIFS('История отказов'!$F$5:F30,"НПУ-ВД",'История отказов'!$AE$5:AE30,'История отказов'!AE30)=1,'История отказов'!F30="НПУ-ВД"),26,""))</f>
        <v/>
      </c>
      <c r="DH27">
        <f>IF('История отказов'!AE30="","",IF(AND(COUNTIF($CY$2:$CY$6,'История отказов'!AE30)=0,COUNTIF('История отказов'!$AE$5:AE30,'История отказов'!AE30)=1),26,""))</f>
        <v/>
      </c>
      <c r="DI27">
        <f>IF('История отказов'!AK30="","",IF(AND(COUNTIF($CL$2:$CL$3,'История отказов'!AK30)=0,COUNTIF('История отказов'!$AK$5:AK30,'История отказов'!AK30)=1),26,""))</f>
        <v/>
      </c>
      <c r="DJ27">
        <f>IF('История отказов'!AU30="","",IF(AND(COUNTIF($CP$2:$CP$3,'История отказов'!AU30)=0,COUNTIF('История отказов'!$AU$5:AU30,'История отказов'!AU30)=1),26,""))</f>
        <v/>
      </c>
      <c r="DK27">
        <f>IF('История отказов'!AY30="","",IF(AND(COUNTIF($CR$2:$CR$2,'История отказов'!AY30)=0,COUNTIF('История отказов'!$AY$5:AY30,'История отказов'!AY30)=1),26,""))</f>
        <v/>
      </c>
      <c r="DL27">
        <f>IF(DB27="","",IF(AND(COUNTIF($DA$2:$DA$47,DB27)=0,COUNTIF($DB$2:DB27,DB27)=1),26,""))</f>
        <v/>
      </c>
    </row>
    <row r="28">
      <c r="A28" s="74" t="n"/>
      <c r="B28" s="75" t="n"/>
      <c r="C28" s="75" t="inlineStr">
        <is>
          <t>Удар плунжера по динамограмме</t>
        </is>
      </c>
      <c r="D28" s="75" t="inlineStr">
        <is>
          <t>Газодиспергатор</t>
        </is>
      </c>
      <c r="E28" s="75" t="inlineStr">
        <is>
          <t>3.8 — Коррозия ЭД [УЭЦН]</t>
        </is>
      </c>
      <c r="F28" s="76" t="n"/>
      <c r="H28" t="inlineStr">
        <is>
          <t>КР3-4 — Очистка ствола и забоя скважины от парафиногидратных отложений, солей, песчаных и гидратных пробок.</t>
        </is>
      </c>
      <c r="J28" s="62" t="inlineStr">
        <is>
          <t>3.8 — Коррозия ЭД [УЭЦН]</t>
        </is>
      </c>
      <c r="K28" s="62" t="n"/>
      <c r="L28" s="62" t="n"/>
      <c r="M28" s="62" t="n"/>
      <c r="N28" s="62" t="n"/>
      <c r="O28" t="inlineStr">
        <is>
          <t>Хвостовик / газовый якорь для ШГН</t>
        </is>
      </c>
      <c r="Q28" t="inlineStr">
        <is>
          <t>Каталог УЭЦН</t>
        </is>
      </c>
      <c r="R28" t="inlineStr">
        <is>
          <t>Новомет</t>
        </is>
      </c>
      <c r="S28" t="inlineStr">
        <is>
          <t>https://www.novomet.ru/rus/products-and-services/artificial-lift/electrical-submersible-pumping-systems/standard-esp/</t>
        </is>
      </c>
      <c r="AX28" t="inlineStr">
        <is>
          <t>3.8 — Коррозия ЭД [УЭЦН]</t>
        </is>
      </c>
      <c r="AY28" t="inlineStr">
        <is>
          <t>3.10.3 — - коррозионный [УШГН]</t>
        </is>
      </c>
      <c r="BA28" t="inlineStr">
        <is>
          <t>КР3-4 — Очистка ствола и забоя скважины от парафиногидратных отложений, солей, песчаных и гидратных пробок.</t>
        </is>
      </c>
      <c r="BI28" t="inlineStr">
        <is>
          <t>Хвостовик / газовый якорь для ШГН</t>
        </is>
      </c>
      <c r="CH28" t="inlineStr">
        <is>
          <t>Удар плунжера по динамограмме</t>
        </is>
      </c>
      <c r="CI28" t="inlineStr">
        <is>
          <t>Газодиспергатор</t>
        </is>
      </c>
      <c r="CJ28" t="inlineStr">
        <is>
          <t>3.8 — Коррозия ЭД [УЭЦН]</t>
        </is>
      </c>
      <c r="CL28">
        <f>IFERROR(INDEX('История отказов'!$AK$5:$AK$1204,SMALL($DI$2:$DI$1201,ROWS($CL$4:CL28))),"")</f>
        <v/>
      </c>
      <c r="CP28">
        <f>IFERROR(INDEX('История отказов'!$AU$5:$AU$1204,SMALL($DJ$2:$DJ$1201,ROWS($CP$4:CP28))),"")</f>
        <v/>
      </c>
      <c r="CR28">
        <f>IFERROR(INDEX('История отказов'!$AY$5:$AY$1204,SMALL($DK$2:$DK$1201,ROWS($CR$3:CR28))),"")</f>
        <v/>
      </c>
      <c r="CT28">
        <f>IFERROR(INDEX('История отказов'!$AE$5:$AE$1204,SMALL($DC$2:$DC$1201,ROWS($CT$3:CT28))),"")</f>
        <v/>
      </c>
      <c r="CU28">
        <f>IFERROR(INDEX('История отказов'!$AE$5:$AE$1204,SMALL($DD$2:$DD$1201,ROWS($CU$4:CU28))),"")</f>
        <v/>
      </c>
      <c r="CV28">
        <f>IFERROR(INDEX('История отказов'!$AE$5:$AE$1204,SMALL($DE$2:$DE$1201,ROWS($CV$4:CV28))),"")</f>
        <v/>
      </c>
      <c r="CW28">
        <f>IFERROR(INDEX('История отказов'!$AE$5:$AE$1204,SMALL($DG$2:$DG$1201,ROWS($CW$3:CW28))),"")</f>
        <v/>
      </c>
      <c r="CX28">
        <f>IFERROR(INDEX('История отказов'!$AE$5:$AE$1204,SMALL($DF$2:$DF$1201,ROWS($CX$3:CX28))),"")</f>
        <v/>
      </c>
      <c r="CY28">
        <f>IFERROR(INDEX('История отказов'!$AE$5:$AE$1204,SMALL($DH$2:$DH$1201,ROWS($CY$7:CY28))),"")</f>
        <v/>
      </c>
      <c r="DA28" t="n">
        <v>2009</v>
      </c>
      <c r="DB28">
        <f>IF('История отказов'!AH31="","",'История отказов'!AH31)</f>
        <v/>
      </c>
      <c r="DC28">
        <f>IF('История отказов'!AE31="","",IF(AND(COUNTIF($CT$2:$CT$2,'История отказов'!AE31)=0,COUNTIFS('История отказов'!$F$5:F31,"ШГН",'История отказов'!$AE$5:AE31,'История отказов'!AE31)=1,'История отказов'!F31="ШГН"),27,""))</f>
        <v/>
      </c>
      <c r="DD28">
        <f>IF('История отказов'!AE31="","",IF(AND(COUNTIF($CU$2:$CU$3,'История отказов'!AE31)=0,COUNTIFS('История отказов'!$F$5:F31,"ЭЦН",'История отказов'!$AE$5:AE31,'История отказов'!AE31)=1,'История отказов'!F31="ЭЦН"),27,""))</f>
        <v/>
      </c>
      <c r="DE28">
        <f>IF('История отказов'!AE31="","",IF(AND(COUNTIF($CV$2:$CV$3,'История отказов'!AE31)=0,COUNTIFS('История отказов'!$F$5:F31,"ЭВН",'История отказов'!$AE$5:AE31,'История отказов'!AE31)=1,'История отказов'!F31="ЭВН"),27,""))</f>
        <v/>
      </c>
      <c r="DF28">
        <f>IF('История отказов'!AE31="","",IF(AND(COUNTIF($CX$2:$CX$2,'История отказов'!AE31)=0,COUNTIFS('История отказов'!$F$5:F31,"ШВН",'История отказов'!$AE$5:AE31,'История отказов'!AE31)=1,'История отказов'!F31="ШВН"),27,""))</f>
        <v/>
      </c>
      <c r="DG28">
        <f>IF('История отказов'!AE31="","",IF(AND(COUNTIF($CW$2:$CW$2,'История отказов'!AE31)=0,COUNTIFS('История отказов'!$F$5:F31,"НПУ-ВД",'История отказов'!$AE$5:AE31,'История отказов'!AE31)=1,'История отказов'!F31="НПУ-ВД"),27,""))</f>
        <v/>
      </c>
      <c r="DH28">
        <f>IF('История отказов'!AE31="","",IF(AND(COUNTIF($CY$2:$CY$6,'История отказов'!AE31)=0,COUNTIF('История отказов'!$AE$5:AE31,'История отказов'!AE31)=1),27,""))</f>
        <v/>
      </c>
      <c r="DI28">
        <f>IF('История отказов'!AK31="","",IF(AND(COUNTIF($CL$2:$CL$3,'История отказов'!AK31)=0,COUNTIF('История отказов'!$AK$5:AK31,'История отказов'!AK31)=1),27,""))</f>
        <v/>
      </c>
      <c r="DJ28">
        <f>IF('История отказов'!AU31="","",IF(AND(COUNTIF($CP$2:$CP$3,'История отказов'!AU31)=0,COUNTIF('История отказов'!$AU$5:AU31,'История отказов'!AU31)=1),27,""))</f>
        <v/>
      </c>
      <c r="DK28">
        <f>IF('История отказов'!AY31="","",IF(AND(COUNTIF($CR$2:$CR$2,'История отказов'!AY31)=0,COUNTIF('История отказов'!$AY$5:AY31,'История отказов'!AY31)=1),27,""))</f>
        <v/>
      </c>
      <c r="DL28">
        <f>IF(DB28="","",IF(AND(COUNTIF($DA$2:$DA$47,DB28)=0,COUNTIF($DB$2:DB28,DB28)=1),27,""))</f>
        <v/>
      </c>
    </row>
    <row r="29">
      <c r="A29" s="74" t="n"/>
      <c r="B29" s="75" t="n"/>
      <c r="C29" s="75" t="n"/>
      <c r="D29" s="75" t="inlineStr">
        <is>
          <t>Всасывающий клапан ШГН</t>
        </is>
      </c>
      <c r="E29" s="75" t="inlineStr">
        <is>
          <t>3.9 — Коррозия НКТ и элементов подвески [УЭЦН]</t>
        </is>
      </c>
      <c r="F29" s="76" t="n"/>
      <c r="H29" t="inlineStr">
        <is>
          <t>КР3-5 — Ликвидация аварий, допущенных в процессе ремонта скважин.</t>
        </is>
      </c>
      <c r="J29" s="62" t="inlineStr">
        <is>
          <t>3.9 — Коррозия НКТ и элементов подвески [УЭЦН]</t>
        </is>
      </c>
      <c r="K29" s="62" t="n"/>
      <c r="L29" s="62" t="n"/>
      <c r="M29" s="62" t="n"/>
      <c r="N29" s="62" t="n"/>
      <c r="O29" t="inlineStr">
        <is>
          <t>Кислотное удаление карбонатных солей</t>
        </is>
      </c>
      <c r="Q29" t="inlineStr">
        <is>
          <t>Проверка применимости</t>
        </is>
      </c>
      <c r="R29" t="inlineStr">
        <is>
          <t>Причины классификатора: УЭЦН/УЭВН и УШГН/УШВН</t>
        </is>
      </c>
      <c r="S29" t="inlineStr">
        <is>
          <t>НПУ-ВД требует отдельной технической оценки; категории МУ выбирают по критериям</t>
        </is>
      </c>
      <c r="AX29" t="inlineStr">
        <is>
          <t>3.9 — Коррозия НКТ и элементов подвески [УЭЦН]</t>
        </is>
      </c>
      <c r="AY29" t="inlineStr">
        <is>
          <t>3.11 — Засорение ГНО механическими примесями [УШГН]</t>
        </is>
      </c>
      <c r="BA29" t="inlineStr">
        <is>
          <t>КР3-5 — Ликвидация аварий, допущенных в процессе ремонта скважин.</t>
        </is>
      </c>
      <c r="BI29" t="inlineStr">
        <is>
          <t>Кислотное удаление карбонатных солей</t>
        </is>
      </c>
      <c r="CI29" t="inlineStr">
        <is>
          <t>Всасывающий клапан ШГН</t>
        </is>
      </c>
      <c r="CJ29" t="inlineStr">
        <is>
          <t>3.9 — Коррозия НКТ и элементов подвески [УЭЦН]</t>
        </is>
      </c>
      <c r="CL29">
        <f>IFERROR(INDEX('История отказов'!$AK$5:$AK$1204,SMALL($DI$2:$DI$1201,ROWS($CL$4:CL29))),"")</f>
        <v/>
      </c>
      <c r="CP29">
        <f>IFERROR(INDEX('История отказов'!$AU$5:$AU$1204,SMALL($DJ$2:$DJ$1201,ROWS($CP$4:CP29))),"")</f>
        <v/>
      </c>
      <c r="CR29">
        <f>IFERROR(INDEX('История отказов'!$AY$5:$AY$1204,SMALL($DK$2:$DK$1201,ROWS($CR$3:CR29))),"")</f>
        <v/>
      </c>
      <c r="CT29">
        <f>IFERROR(INDEX('История отказов'!$AE$5:$AE$1204,SMALL($DC$2:$DC$1201,ROWS($CT$3:CT29))),"")</f>
        <v/>
      </c>
      <c r="CU29">
        <f>IFERROR(INDEX('История отказов'!$AE$5:$AE$1204,SMALL($DD$2:$DD$1201,ROWS($CU$4:CU29))),"")</f>
        <v/>
      </c>
      <c r="CV29">
        <f>IFERROR(INDEX('История отказов'!$AE$5:$AE$1204,SMALL($DE$2:$DE$1201,ROWS($CV$4:CV29))),"")</f>
        <v/>
      </c>
      <c r="CW29">
        <f>IFERROR(INDEX('История отказов'!$AE$5:$AE$1204,SMALL($DG$2:$DG$1201,ROWS($CW$3:CW29))),"")</f>
        <v/>
      </c>
      <c r="CX29">
        <f>IFERROR(INDEX('История отказов'!$AE$5:$AE$1204,SMALL($DF$2:$DF$1201,ROWS($CX$3:CX29))),"")</f>
        <v/>
      </c>
      <c r="CY29">
        <f>IFERROR(INDEX('История отказов'!$AE$5:$AE$1204,SMALL($DH$2:$DH$1201,ROWS($CY$7:CY29))),"")</f>
        <v/>
      </c>
      <c r="DA29" t="n">
        <v>2008</v>
      </c>
      <c r="DB29">
        <f>IF('История отказов'!AH32="","",'История отказов'!AH32)</f>
        <v/>
      </c>
      <c r="DC29">
        <f>IF('История отказов'!AE32="","",IF(AND(COUNTIF($CT$2:$CT$2,'История отказов'!AE32)=0,COUNTIFS('История отказов'!$F$5:F32,"ШГН",'История отказов'!$AE$5:AE32,'История отказов'!AE32)=1,'История отказов'!F32="ШГН"),28,""))</f>
        <v/>
      </c>
      <c r="DD29">
        <f>IF('История отказов'!AE32="","",IF(AND(COUNTIF($CU$2:$CU$3,'История отказов'!AE32)=0,COUNTIFS('История отказов'!$F$5:F32,"ЭЦН",'История отказов'!$AE$5:AE32,'История отказов'!AE32)=1,'История отказов'!F32="ЭЦН"),28,""))</f>
        <v/>
      </c>
      <c r="DE29">
        <f>IF('История отказов'!AE32="","",IF(AND(COUNTIF($CV$2:$CV$3,'История отказов'!AE32)=0,COUNTIFS('История отказов'!$F$5:F32,"ЭВН",'История отказов'!$AE$5:AE32,'История отказов'!AE32)=1,'История отказов'!F32="ЭВН"),28,""))</f>
        <v/>
      </c>
      <c r="DF29">
        <f>IF('История отказов'!AE32="","",IF(AND(COUNTIF($CX$2:$CX$2,'История отказов'!AE32)=0,COUNTIFS('История отказов'!$F$5:F32,"ШВН",'История отказов'!$AE$5:AE32,'История отказов'!AE32)=1,'История отказов'!F32="ШВН"),28,""))</f>
        <v/>
      </c>
      <c r="DG29">
        <f>IF('История отказов'!AE32="","",IF(AND(COUNTIF($CW$2:$CW$2,'История отказов'!AE32)=0,COUNTIFS('История отказов'!$F$5:F32,"НПУ-ВД",'История отказов'!$AE$5:AE32,'История отказов'!AE32)=1,'История отказов'!F32="НПУ-ВД"),28,""))</f>
        <v/>
      </c>
      <c r="DH29">
        <f>IF('История отказов'!AE32="","",IF(AND(COUNTIF($CY$2:$CY$6,'История отказов'!AE32)=0,COUNTIF('История отказов'!$AE$5:AE32,'История отказов'!AE32)=1),28,""))</f>
        <v/>
      </c>
      <c r="DI29">
        <f>IF('История отказов'!AK32="","",IF(AND(COUNTIF($CL$2:$CL$3,'История отказов'!AK32)=0,COUNTIF('История отказов'!$AK$5:AK32,'История отказов'!AK32)=1),28,""))</f>
        <v/>
      </c>
      <c r="DJ29">
        <f>IF('История отказов'!AU32="","",IF(AND(COUNTIF($CP$2:$CP$3,'История отказов'!AU32)=0,COUNTIF('История отказов'!$AU$5:AU32,'История отказов'!AU32)=1),28,""))</f>
        <v/>
      </c>
      <c r="DK29">
        <f>IF('История отказов'!AY32="","",IF(AND(COUNTIF($CR$2:$CR$2,'История отказов'!AY32)=0,COUNTIF('История отказов'!$AY$5:AY32,'История отказов'!AY32)=1),28,""))</f>
        <v/>
      </c>
      <c r="DL29">
        <f>IF(DB29="","",IF(AND(COUNTIF($DA$2:$DA$47,DB29)=0,COUNTIF($DB$2:DB29,DB29)=1),28,""))</f>
        <v/>
      </c>
    </row>
    <row r="30">
      <c r="A30" s="74" t="n"/>
      <c r="B30" s="75" t="n"/>
      <c r="C30" s="75" t="n"/>
      <c r="D30" s="75" t="inlineStr">
        <is>
          <t>Нагнетательный клапан ШГН</t>
        </is>
      </c>
      <c r="E30" s="75" t="inlineStr">
        <is>
          <t>3.9.1 — в т.ч. потеря герметичности лифта по телу [УЭЦН]</t>
        </is>
      </c>
      <c r="F30" s="76" t="n"/>
      <c r="H30" t="inlineStr">
        <is>
          <t>КР3-6 — Восстановление циркуляции (размыв парафиногидратных пробок) в эксплуатационной колонне и НКТ.</t>
        </is>
      </c>
      <c r="J30" s="62" t="inlineStr">
        <is>
          <t>3.9.1 — в т.ч. потеря герметичности лифта по телу [УЭЦН]</t>
        </is>
      </c>
      <c r="K30" s="62" t="n"/>
      <c r="L30" s="62" t="n"/>
      <c r="M30" s="62" t="n"/>
      <c r="N30" s="62" t="n"/>
      <c r="O30" t="inlineStr">
        <is>
          <t>Комплексообразователь для некарбонатных солей</t>
        </is>
      </c>
      <c r="AX30" t="inlineStr">
        <is>
          <t>3.9.1 — в т.ч. потеря герметичности лифта по телу [УЭЦН]</t>
        </is>
      </c>
      <c r="AY30" t="inlineStr">
        <is>
          <t>3.12 — Некачественная подготовка скважины [УШГН]</t>
        </is>
      </c>
      <c r="BA30" t="inlineStr">
        <is>
          <t>КР3-6 — Восстановление циркуляции (размыв парафиногидратных пробок) в эксплуатационной колонне и НКТ.</t>
        </is>
      </c>
      <c r="BI30" t="inlineStr">
        <is>
          <t>Комплексообразователь для некарбонатных солей</t>
        </is>
      </c>
      <c r="CI30" t="inlineStr">
        <is>
          <t>Нагнетательный клапан ШГН</t>
        </is>
      </c>
      <c r="CJ30" t="inlineStr">
        <is>
          <t>3.9.1 — в т.ч. потеря герметичности лифта по телу [УЭЦН]</t>
        </is>
      </c>
      <c r="CL30">
        <f>IFERROR(INDEX('История отказов'!$AK$5:$AK$1204,SMALL($DI$2:$DI$1201,ROWS($CL$4:CL30))),"")</f>
        <v/>
      </c>
      <c r="CP30">
        <f>IFERROR(INDEX('История отказов'!$AU$5:$AU$1204,SMALL($DJ$2:$DJ$1201,ROWS($CP$4:CP30))),"")</f>
        <v/>
      </c>
      <c r="CR30">
        <f>IFERROR(INDEX('История отказов'!$AY$5:$AY$1204,SMALL($DK$2:$DK$1201,ROWS($CR$3:CR30))),"")</f>
        <v/>
      </c>
      <c r="CT30">
        <f>IFERROR(INDEX('История отказов'!$AE$5:$AE$1204,SMALL($DC$2:$DC$1201,ROWS($CT$3:CT30))),"")</f>
        <v/>
      </c>
      <c r="CU30">
        <f>IFERROR(INDEX('История отказов'!$AE$5:$AE$1204,SMALL($DD$2:$DD$1201,ROWS($CU$4:CU30))),"")</f>
        <v/>
      </c>
      <c r="CV30">
        <f>IFERROR(INDEX('История отказов'!$AE$5:$AE$1204,SMALL($DE$2:$DE$1201,ROWS($CV$4:CV30))),"")</f>
        <v/>
      </c>
      <c r="CW30">
        <f>IFERROR(INDEX('История отказов'!$AE$5:$AE$1204,SMALL($DG$2:$DG$1201,ROWS($CW$3:CW30))),"")</f>
        <v/>
      </c>
      <c r="CX30">
        <f>IFERROR(INDEX('История отказов'!$AE$5:$AE$1204,SMALL($DF$2:$DF$1201,ROWS($CX$3:CX30))),"")</f>
        <v/>
      </c>
      <c r="CY30">
        <f>IFERROR(INDEX('История отказов'!$AE$5:$AE$1204,SMALL($DH$2:$DH$1201,ROWS($CY$7:CY30))),"")</f>
        <v/>
      </c>
      <c r="DA30" t="n">
        <v>2007</v>
      </c>
      <c r="DB30">
        <f>IF('История отказов'!AH33="","",'История отказов'!AH33)</f>
        <v/>
      </c>
      <c r="DC30">
        <f>IF('История отказов'!AE33="","",IF(AND(COUNTIF($CT$2:$CT$2,'История отказов'!AE33)=0,COUNTIFS('История отказов'!$F$5:F33,"ШГН",'История отказов'!$AE$5:AE33,'История отказов'!AE33)=1,'История отказов'!F33="ШГН"),29,""))</f>
        <v/>
      </c>
      <c r="DD30">
        <f>IF('История отказов'!AE33="","",IF(AND(COUNTIF($CU$2:$CU$3,'История отказов'!AE33)=0,COUNTIFS('История отказов'!$F$5:F33,"ЭЦН",'История отказов'!$AE$5:AE33,'История отказов'!AE33)=1,'История отказов'!F33="ЭЦН"),29,""))</f>
        <v/>
      </c>
      <c r="DE30">
        <f>IF('История отказов'!AE33="","",IF(AND(COUNTIF($CV$2:$CV$3,'История отказов'!AE33)=0,COUNTIFS('История отказов'!$F$5:F33,"ЭВН",'История отказов'!$AE$5:AE33,'История отказов'!AE33)=1,'История отказов'!F33="ЭВН"),29,""))</f>
        <v/>
      </c>
      <c r="DF30">
        <f>IF('История отказов'!AE33="","",IF(AND(COUNTIF($CX$2:$CX$2,'История отказов'!AE33)=0,COUNTIFS('История отказов'!$F$5:F33,"ШВН",'История отказов'!$AE$5:AE33,'История отказов'!AE33)=1,'История отказов'!F33="ШВН"),29,""))</f>
        <v/>
      </c>
      <c r="DG30">
        <f>IF('История отказов'!AE33="","",IF(AND(COUNTIF($CW$2:$CW$2,'История отказов'!AE33)=0,COUNTIFS('История отказов'!$F$5:F33,"НПУ-ВД",'История отказов'!$AE$5:AE33,'История отказов'!AE33)=1,'История отказов'!F33="НПУ-ВД"),29,""))</f>
        <v/>
      </c>
      <c r="DH30">
        <f>IF('История отказов'!AE33="","",IF(AND(COUNTIF($CY$2:$CY$6,'История отказов'!AE33)=0,COUNTIF('История отказов'!$AE$5:AE33,'История отказов'!AE33)=1),29,""))</f>
        <v/>
      </c>
      <c r="DI30">
        <f>IF('История отказов'!AK33="","",IF(AND(COUNTIF($CL$2:$CL$3,'История отказов'!AK33)=0,COUNTIF('История отказов'!$AK$5:AK33,'История отказов'!AK33)=1),29,""))</f>
        <v/>
      </c>
      <c r="DJ30">
        <f>IF('История отказов'!AU33="","",IF(AND(COUNTIF($CP$2:$CP$3,'История отказов'!AU33)=0,COUNTIF('История отказов'!$AU$5:AU33,'История отказов'!AU33)=1),29,""))</f>
        <v/>
      </c>
      <c r="DK30">
        <f>IF('История отказов'!AY33="","",IF(AND(COUNTIF($CR$2:$CR$2,'История отказов'!AY33)=0,COUNTIF('История отказов'!$AY$5:AY33,'История отказов'!AY33)=1),29,""))</f>
        <v/>
      </c>
      <c r="DL30">
        <f>IF(DB30="","",IF(AND(COUNTIF($DA$2:$DA$47,DB30)=0,COUNTIF($DB$2:DB30,DB30)=1),29,""))</f>
        <v/>
      </c>
    </row>
    <row r="31">
      <c r="A31" s="74" t="n"/>
      <c r="B31" s="75" t="n"/>
      <c r="C31" s="75" t="n"/>
      <c r="D31" s="75" t="inlineStr">
        <is>
          <t>Уплотнение гидрозащиты</t>
        </is>
      </c>
      <c r="E31" s="75" t="inlineStr">
        <is>
          <t>3.9.2 — в т.ч. потеря герметичности резьбовых соединений [УЭЦН]</t>
        </is>
      </c>
      <c r="F31" s="76" t="n"/>
      <c r="H31" t="inlineStr">
        <is>
          <t>КР3-7 — Прочие работы по ликвидации аварий, допущенных в процессе ремонта скважины.</t>
        </is>
      </c>
      <c r="J31" s="62" t="inlineStr">
        <is>
          <t>3.9.2 — в т.ч. потеря герметичности резьбовых соединений [УЭЦН]</t>
        </is>
      </c>
      <c r="K31" s="62" t="n"/>
      <c r="L31" s="62" t="n"/>
      <c r="M31" s="62" t="n"/>
      <c r="N31" s="62" t="n"/>
      <c r="O31" t="inlineStr">
        <is>
          <t>Промывка скважины от механических примесей</t>
        </is>
      </c>
      <c r="Q31" t="inlineStr">
        <is>
          <t>Поле</t>
        </is>
      </c>
      <c r="R31" t="inlineStr">
        <is>
          <t>Значение</t>
        </is>
      </c>
      <c r="S31" t="inlineStr">
        <is>
          <t>Статус значения</t>
        </is>
      </c>
      <c r="T31" t="inlineStr">
        <is>
          <t>Источник</t>
        </is>
      </c>
      <c r="U31" t="inlineStr">
        <is>
          <t>Раздел / ссылка</t>
        </is>
      </c>
      <c r="V31" t="inlineStr">
        <is>
          <t>Применимость</t>
        </is>
      </c>
      <c r="AX31" t="inlineStr">
        <is>
          <t>3.9.2 — в т.ч. потеря герметичности резьбовых соединений [УЭЦН]</t>
        </is>
      </c>
      <c r="AY31" t="inlineStr">
        <is>
          <t>3.13 — Отсутствие допустимых интервалов размещения ГНО [УШГН]</t>
        </is>
      </c>
      <c r="BA31" t="inlineStr">
        <is>
          <t>КР3-7 — Прочие работы по ликвидации аварий, допущенных в процессе ремонта скважины.</t>
        </is>
      </c>
      <c r="BI31" t="inlineStr">
        <is>
          <t>Промывка скважины от механических примесей</t>
        </is>
      </c>
      <c r="CI31" t="inlineStr">
        <is>
          <t>Уплотнение гидрозащиты</t>
        </is>
      </c>
      <c r="CJ31" t="inlineStr">
        <is>
          <t>3.9.2 — в т.ч. потеря герметичности резьбовых соединений [УЭЦН]</t>
        </is>
      </c>
      <c r="CL31">
        <f>IFERROR(INDEX('История отказов'!$AK$5:$AK$1204,SMALL($DI$2:$DI$1201,ROWS($CL$4:CL31))),"")</f>
        <v/>
      </c>
      <c r="CP31">
        <f>IFERROR(INDEX('История отказов'!$AU$5:$AU$1204,SMALL($DJ$2:$DJ$1201,ROWS($CP$4:CP31))),"")</f>
        <v/>
      </c>
      <c r="CR31">
        <f>IFERROR(INDEX('История отказов'!$AY$5:$AY$1204,SMALL($DK$2:$DK$1201,ROWS($CR$3:CR31))),"")</f>
        <v/>
      </c>
      <c r="CT31">
        <f>IFERROR(INDEX('История отказов'!$AE$5:$AE$1204,SMALL($DC$2:$DC$1201,ROWS($CT$3:CT31))),"")</f>
        <v/>
      </c>
      <c r="CU31">
        <f>IFERROR(INDEX('История отказов'!$AE$5:$AE$1204,SMALL($DD$2:$DD$1201,ROWS($CU$4:CU31))),"")</f>
        <v/>
      </c>
      <c r="CV31">
        <f>IFERROR(INDEX('История отказов'!$AE$5:$AE$1204,SMALL($DE$2:$DE$1201,ROWS($CV$4:CV31))),"")</f>
        <v/>
      </c>
      <c r="CW31">
        <f>IFERROR(INDEX('История отказов'!$AE$5:$AE$1204,SMALL($DG$2:$DG$1201,ROWS($CW$3:CW31))),"")</f>
        <v/>
      </c>
      <c r="CX31">
        <f>IFERROR(INDEX('История отказов'!$AE$5:$AE$1204,SMALL($DF$2:$DF$1201,ROWS($CX$3:CX31))),"")</f>
        <v/>
      </c>
      <c r="CY31">
        <f>IFERROR(INDEX('История отказов'!$AE$5:$AE$1204,SMALL($DH$2:$DH$1201,ROWS($CY$7:CY31))),"")</f>
        <v/>
      </c>
      <c r="DA31" t="n">
        <v>2006</v>
      </c>
      <c r="DB31">
        <f>IF('История отказов'!AH34="","",'История отказов'!AH34)</f>
        <v/>
      </c>
      <c r="DC31">
        <f>IF('История отказов'!AE34="","",IF(AND(COUNTIF($CT$2:$CT$2,'История отказов'!AE34)=0,COUNTIFS('История отказов'!$F$5:F34,"ШГН",'История отказов'!$AE$5:AE34,'История отказов'!AE34)=1,'История отказов'!F34="ШГН"),30,""))</f>
        <v/>
      </c>
      <c r="DD31">
        <f>IF('История отказов'!AE34="","",IF(AND(COUNTIF($CU$2:$CU$3,'История отказов'!AE34)=0,COUNTIFS('История отказов'!$F$5:F34,"ЭЦН",'История отказов'!$AE$5:AE34,'История отказов'!AE34)=1,'История отказов'!F34="ЭЦН"),30,""))</f>
        <v/>
      </c>
      <c r="DE31">
        <f>IF('История отказов'!AE34="","",IF(AND(COUNTIF($CV$2:$CV$3,'История отказов'!AE34)=0,COUNTIFS('История отказов'!$F$5:F34,"ЭВН",'История отказов'!$AE$5:AE34,'История отказов'!AE34)=1,'История отказов'!F34="ЭВН"),30,""))</f>
        <v/>
      </c>
      <c r="DF31">
        <f>IF('История отказов'!AE34="","",IF(AND(COUNTIF($CX$2:$CX$2,'История отказов'!AE34)=0,COUNTIFS('История отказов'!$F$5:F34,"ШВН",'История отказов'!$AE$5:AE34,'История отказов'!AE34)=1,'История отказов'!F34="ШВН"),30,""))</f>
        <v/>
      </c>
      <c r="DG31">
        <f>IF('История отказов'!AE34="","",IF(AND(COUNTIF($CW$2:$CW$2,'История отказов'!AE34)=0,COUNTIFS('История отказов'!$F$5:F34,"НПУ-ВД",'История отказов'!$AE$5:AE34,'История отказов'!AE34)=1,'История отказов'!F34="НПУ-ВД"),30,""))</f>
        <v/>
      </c>
      <c r="DH31">
        <f>IF('История отказов'!AE34="","",IF(AND(COUNTIF($CY$2:$CY$6,'История отказов'!AE34)=0,COUNTIF('История отказов'!$AE$5:AE34,'История отказов'!AE34)=1),30,""))</f>
        <v/>
      </c>
      <c r="DI31">
        <f>IF('История отказов'!AK34="","",IF(AND(COUNTIF($CL$2:$CL$3,'История отказов'!AK34)=0,COUNTIF('История отказов'!$AK$5:AK34,'История отказов'!AK34)=1),30,""))</f>
        <v/>
      </c>
      <c r="DJ31">
        <f>IF('История отказов'!AU34="","",IF(AND(COUNTIF($CP$2:$CP$3,'История отказов'!AU34)=0,COUNTIF('История отказов'!$AU$5:AU34,'История отказов'!AU34)=1),30,""))</f>
        <v/>
      </c>
      <c r="DK31">
        <f>IF('История отказов'!AY34="","",IF(AND(COUNTIF($CR$2:$CR$2,'История отказов'!AY34)=0,COUNTIF('История отказов'!$AY$5:AY34,'История отказов'!AY34)=1),30,""))</f>
        <v/>
      </c>
      <c r="DL31">
        <f>IF(DB31="","",IF(AND(COUNTIF($DA$2:$DA$47,DB31)=0,COUNTIF($DB$2:DB31,DB31)=1),30,""))</f>
        <v/>
      </c>
    </row>
    <row r="32">
      <c r="A32" s="74" t="n"/>
      <c r="B32" s="75" t="n"/>
      <c r="C32" s="75" t="n"/>
      <c r="D32" s="75" t="inlineStr">
        <is>
          <t>Обратный клапан НКТ</t>
        </is>
      </c>
      <c r="E32" s="75" t="inlineStr">
        <is>
          <t>3.9.3 — в т.ч. потеря герметичности переводников/патрубков [УЭЦН]</t>
        </is>
      </c>
      <c r="F32" s="76" t="n"/>
      <c r="H32" t="inlineStr">
        <is>
          <t>КР3-7.1 — Извлечение оборудования УЭЦН из скважины после аварии, допущенной в процессе ремонта скважины.</t>
        </is>
      </c>
      <c r="J32" s="62" t="inlineStr">
        <is>
          <t>3.9.3 — в т.ч. потеря герметичности переводников/патрубков [УЭЦН]</t>
        </is>
      </c>
      <c r="K32" s="62" t="n"/>
      <c r="L32" s="62" t="n"/>
      <c r="M32" s="62" t="n"/>
      <c r="N32" s="62" t="n"/>
      <c r="O32" t="inlineStr">
        <is>
          <t>Горячая обработка при гидратной пробке</t>
        </is>
      </c>
      <c r="Q32" t="inlineStr">
        <is>
          <t>Типоразмер ГНО</t>
        </is>
      </c>
      <c r="R32" t="inlineStr">
        <is>
          <t>ШГН — 27 мм</t>
        </is>
      </c>
      <c r="S32" t="inlineStr">
        <is>
          <t>Каталожный пример</t>
        </is>
      </c>
      <c r="T32" t="inlineStr">
        <is>
          <t>ГОСТ 31835-2012; AmasEnergy</t>
        </is>
      </c>
      <c r="U32" t="inlineStr">
        <is>
          <t>https://protect.gost.ru/gost/details/6eaf2ca0-f8db-4194-850b-f62eef64553d</t>
        </is>
      </c>
      <c r="V32" t="inlineStr">
        <is>
          <t>ШГН</t>
        </is>
      </c>
      <c r="AX32" t="inlineStr">
        <is>
          <t>3.9.3 — в т.ч. потеря герметичности переводников/патрубков [УЭЦН]</t>
        </is>
      </c>
      <c r="AY32" t="inlineStr">
        <is>
          <t>3.14 — Работа ГНО в сложных условиях [УШГН]</t>
        </is>
      </c>
      <c r="BA32" t="inlineStr">
        <is>
          <t>КР3-7.1 — Извлечение оборудования УЭЦН из скважины после аварии, допущенной в процессе ремонта скважины.</t>
        </is>
      </c>
      <c r="BI32" t="inlineStr">
        <is>
          <t>Горячая обработка при гидратной пробке</t>
        </is>
      </c>
      <c r="CI32" t="inlineStr">
        <is>
          <t>Обратный клапан НКТ</t>
        </is>
      </c>
      <c r="CJ32" t="inlineStr">
        <is>
          <t>3.9.3 — в т.ч. потеря герметичности переводников/патрубков [УЭЦН]</t>
        </is>
      </c>
      <c r="CL32">
        <f>IFERROR(INDEX('История отказов'!$AK$5:$AK$1204,SMALL($DI$2:$DI$1201,ROWS($CL$4:CL32))),"")</f>
        <v/>
      </c>
      <c r="CP32">
        <f>IFERROR(INDEX('История отказов'!$AU$5:$AU$1204,SMALL($DJ$2:$DJ$1201,ROWS($CP$4:CP32))),"")</f>
        <v/>
      </c>
      <c r="CR32">
        <f>IFERROR(INDEX('История отказов'!$AY$5:$AY$1204,SMALL($DK$2:$DK$1201,ROWS($CR$3:CR32))),"")</f>
        <v/>
      </c>
      <c r="CT32">
        <f>IFERROR(INDEX('История отказов'!$AE$5:$AE$1204,SMALL($DC$2:$DC$1201,ROWS($CT$3:CT32))),"")</f>
        <v/>
      </c>
      <c r="CU32">
        <f>IFERROR(INDEX('История отказов'!$AE$5:$AE$1204,SMALL($DD$2:$DD$1201,ROWS($CU$4:CU32))),"")</f>
        <v/>
      </c>
      <c r="CV32">
        <f>IFERROR(INDEX('История отказов'!$AE$5:$AE$1204,SMALL($DE$2:$DE$1201,ROWS($CV$4:CV32))),"")</f>
        <v/>
      </c>
      <c r="CW32">
        <f>IFERROR(INDEX('История отказов'!$AE$5:$AE$1204,SMALL($DG$2:$DG$1201,ROWS($CW$3:CW32))),"")</f>
        <v/>
      </c>
      <c r="CX32">
        <f>IFERROR(INDEX('История отказов'!$AE$5:$AE$1204,SMALL($DF$2:$DF$1201,ROWS($CX$3:CX32))),"")</f>
        <v/>
      </c>
      <c r="CY32">
        <f>IFERROR(INDEX('История отказов'!$AE$5:$AE$1204,SMALL($DH$2:$DH$1201,ROWS($CY$7:CY32))),"")</f>
        <v/>
      </c>
      <c r="DA32" t="n">
        <v>2005</v>
      </c>
      <c r="DB32">
        <f>IF('История отказов'!AH35="","",'История отказов'!AH35)</f>
        <v/>
      </c>
      <c r="DC32">
        <f>IF('История отказов'!AE35="","",IF(AND(COUNTIF($CT$2:$CT$2,'История отказов'!AE35)=0,COUNTIFS('История отказов'!$F$5:F35,"ШГН",'История отказов'!$AE$5:AE35,'История отказов'!AE35)=1,'История отказов'!F35="ШГН"),31,""))</f>
        <v/>
      </c>
      <c r="DD32">
        <f>IF('История отказов'!AE35="","",IF(AND(COUNTIF($CU$2:$CU$3,'История отказов'!AE35)=0,COUNTIFS('История отказов'!$F$5:F35,"ЭЦН",'История отказов'!$AE$5:AE35,'История отказов'!AE35)=1,'История отказов'!F35="ЭЦН"),31,""))</f>
        <v/>
      </c>
      <c r="DE32">
        <f>IF('История отказов'!AE35="","",IF(AND(COUNTIF($CV$2:$CV$3,'История отказов'!AE35)=0,COUNTIFS('История отказов'!$F$5:F35,"ЭВН",'История отказов'!$AE$5:AE35,'История отказов'!AE35)=1,'История отказов'!F35="ЭВН"),31,""))</f>
        <v/>
      </c>
      <c r="DF32">
        <f>IF('История отказов'!AE35="","",IF(AND(COUNTIF($CX$2:$CX$2,'История отказов'!AE35)=0,COUNTIFS('История отказов'!$F$5:F35,"ШВН",'История отказов'!$AE$5:AE35,'История отказов'!AE35)=1,'История отказов'!F35="ШВН"),31,""))</f>
        <v/>
      </c>
      <c r="DG32">
        <f>IF('История отказов'!AE35="","",IF(AND(COUNTIF($CW$2:$CW$2,'История отказов'!AE35)=0,COUNTIFS('История отказов'!$F$5:F35,"НПУ-ВД",'История отказов'!$AE$5:AE35,'История отказов'!AE35)=1,'История отказов'!F35="НПУ-ВД"),31,""))</f>
        <v/>
      </c>
      <c r="DH32">
        <f>IF('История отказов'!AE35="","",IF(AND(COUNTIF($CY$2:$CY$6,'История отказов'!AE35)=0,COUNTIF('История отказов'!$AE$5:AE35,'История отказов'!AE35)=1),31,""))</f>
        <v/>
      </c>
      <c r="DI32">
        <f>IF('История отказов'!AK35="","",IF(AND(COUNTIF($CL$2:$CL$3,'История отказов'!AK35)=0,COUNTIF('История отказов'!$AK$5:AK35,'История отказов'!AK35)=1),31,""))</f>
        <v/>
      </c>
      <c r="DJ32">
        <f>IF('История отказов'!AU35="","",IF(AND(COUNTIF($CP$2:$CP$3,'История отказов'!AU35)=0,COUNTIF('История отказов'!$AU$5:AU35,'История отказов'!AU35)=1),31,""))</f>
        <v/>
      </c>
      <c r="DK32">
        <f>IF('История отказов'!AY35="","",IF(AND(COUNTIF($CR$2:$CR$2,'История отказов'!AY35)=0,COUNTIF('История отказов'!$AY$5:AY35,'История отказов'!AY35)=1),31,""))</f>
        <v/>
      </c>
      <c r="DL32">
        <f>IF(DB32="","",IF(AND(COUNTIF($DA$2:$DA$47,DB32)=0,COUNTIF($DB$2:DB32,DB32)=1),31,""))</f>
        <v/>
      </c>
    </row>
    <row r="33">
      <c r="A33" s="74" t="n"/>
      <c r="B33" s="75" t="n"/>
      <c r="C33" s="75" t="n"/>
      <c r="D33" s="75" t="n"/>
      <c r="E33" s="75" t="inlineStr">
        <is>
          <t>3.10 — Коррозия кабеля (кабеля-удлинителя) [УЭЦН]</t>
        </is>
      </c>
      <c r="F33" s="76" t="n"/>
      <c r="H33" t="inlineStr">
        <is>
          <t>КР3-7.2 — То же УЭДН.</t>
        </is>
      </c>
      <c r="J33" s="62" t="inlineStr">
        <is>
          <t>3.10 — Коррозия кабеля (кабеля-удлинителя) [УЭЦН]</t>
        </is>
      </c>
      <c r="K33" s="62" t="n"/>
      <c r="L33" s="62" t="n"/>
      <c r="M33" s="62" t="n"/>
      <c r="N33" s="62" t="n"/>
      <c r="O33" t="inlineStr">
        <is>
          <t>Снижение депрессии для ограничения выноса песка</t>
        </is>
      </c>
      <c r="Q33" t="inlineStr">
        <is>
          <t>Типоразмер ГНО</t>
        </is>
      </c>
      <c r="R33" t="inlineStr">
        <is>
          <t>ШГН — 32 мм</t>
        </is>
      </c>
      <c r="S33" t="inlineStr">
        <is>
          <t>Каталожный пример</t>
        </is>
      </c>
      <c r="T33" t="inlineStr">
        <is>
          <t>ГОСТ 31835-2012; AmasEnergy</t>
        </is>
      </c>
      <c r="U33" t="inlineStr">
        <is>
          <t>https://protect.gost.ru/gost/details/6eaf2ca0-f8db-4194-850b-f62eef64553d</t>
        </is>
      </c>
      <c r="V33" t="inlineStr">
        <is>
          <t>ШГН</t>
        </is>
      </c>
      <c r="AX33" t="inlineStr">
        <is>
          <t>3.10 — Коррозия кабеля (кабеля-удлинителя) [УЭЦН]</t>
        </is>
      </c>
      <c r="AY33" t="inlineStr">
        <is>
          <t>3.15 — Не герметичность НКТ в результате истирания [УШГН]</t>
        </is>
      </c>
      <c r="BA33" t="inlineStr">
        <is>
          <t>КР3-7.2 — То же УЭДН.</t>
        </is>
      </c>
      <c r="BI33" t="inlineStr">
        <is>
          <t>Снижение депрессии для ограничения выноса песка</t>
        </is>
      </c>
      <c r="CJ33" t="inlineStr">
        <is>
          <t>3.10 — Коррозия кабеля (кабеля-удлинителя) [УЭЦН]</t>
        </is>
      </c>
      <c r="CL33">
        <f>IFERROR(INDEX('История отказов'!$AK$5:$AK$1204,SMALL($DI$2:$DI$1201,ROWS($CL$4:CL33))),"")</f>
        <v/>
      </c>
      <c r="CP33">
        <f>IFERROR(INDEX('История отказов'!$AU$5:$AU$1204,SMALL($DJ$2:$DJ$1201,ROWS($CP$4:CP33))),"")</f>
        <v/>
      </c>
      <c r="CR33">
        <f>IFERROR(INDEX('История отказов'!$AY$5:$AY$1204,SMALL($DK$2:$DK$1201,ROWS($CR$3:CR33))),"")</f>
        <v/>
      </c>
      <c r="CT33">
        <f>IFERROR(INDEX('История отказов'!$AE$5:$AE$1204,SMALL($DC$2:$DC$1201,ROWS($CT$3:CT33))),"")</f>
        <v/>
      </c>
      <c r="CU33">
        <f>IFERROR(INDEX('История отказов'!$AE$5:$AE$1204,SMALL($DD$2:$DD$1201,ROWS($CU$4:CU33))),"")</f>
        <v/>
      </c>
      <c r="CV33">
        <f>IFERROR(INDEX('История отказов'!$AE$5:$AE$1204,SMALL($DE$2:$DE$1201,ROWS($CV$4:CV33))),"")</f>
        <v/>
      </c>
      <c r="CW33">
        <f>IFERROR(INDEX('История отказов'!$AE$5:$AE$1204,SMALL($DG$2:$DG$1201,ROWS($CW$3:CW33))),"")</f>
        <v/>
      </c>
      <c r="CX33">
        <f>IFERROR(INDEX('История отказов'!$AE$5:$AE$1204,SMALL($DF$2:$DF$1201,ROWS($CX$3:CX33))),"")</f>
        <v/>
      </c>
      <c r="CY33">
        <f>IFERROR(INDEX('История отказов'!$AE$5:$AE$1204,SMALL($DH$2:$DH$1201,ROWS($CY$7:CY33))),"")</f>
        <v/>
      </c>
      <c r="DA33" t="n">
        <v>2004</v>
      </c>
      <c r="DB33">
        <f>IF('История отказов'!AH36="","",'История отказов'!AH36)</f>
        <v/>
      </c>
      <c r="DC33">
        <f>IF('История отказов'!AE36="","",IF(AND(COUNTIF($CT$2:$CT$2,'История отказов'!AE36)=0,COUNTIFS('История отказов'!$F$5:F36,"ШГН",'История отказов'!$AE$5:AE36,'История отказов'!AE36)=1,'История отказов'!F36="ШГН"),32,""))</f>
        <v/>
      </c>
      <c r="DD33">
        <f>IF('История отказов'!AE36="","",IF(AND(COUNTIF($CU$2:$CU$3,'История отказов'!AE36)=0,COUNTIFS('История отказов'!$F$5:F36,"ЭЦН",'История отказов'!$AE$5:AE36,'История отказов'!AE36)=1,'История отказов'!F36="ЭЦН"),32,""))</f>
        <v/>
      </c>
      <c r="DE33">
        <f>IF('История отказов'!AE36="","",IF(AND(COUNTIF($CV$2:$CV$3,'История отказов'!AE36)=0,COUNTIFS('История отказов'!$F$5:F36,"ЭВН",'История отказов'!$AE$5:AE36,'История отказов'!AE36)=1,'История отказов'!F36="ЭВН"),32,""))</f>
        <v/>
      </c>
      <c r="DF33">
        <f>IF('История отказов'!AE36="","",IF(AND(COUNTIF($CX$2:$CX$2,'История отказов'!AE36)=0,COUNTIFS('История отказов'!$F$5:F36,"ШВН",'История отказов'!$AE$5:AE36,'История отказов'!AE36)=1,'История отказов'!F36="ШВН"),32,""))</f>
        <v/>
      </c>
      <c r="DG33">
        <f>IF('История отказов'!AE36="","",IF(AND(COUNTIF($CW$2:$CW$2,'История отказов'!AE36)=0,COUNTIFS('История отказов'!$F$5:F36,"НПУ-ВД",'История отказов'!$AE$5:AE36,'История отказов'!AE36)=1,'История отказов'!F36="НПУ-ВД"),32,""))</f>
        <v/>
      </c>
      <c r="DH33">
        <f>IF('История отказов'!AE36="","",IF(AND(COUNTIF($CY$2:$CY$6,'История отказов'!AE36)=0,COUNTIF('История отказов'!$AE$5:AE36,'История отказов'!AE36)=1),32,""))</f>
        <v/>
      </c>
      <c r="DI33">
        <f>IF('История отказов'!AK36="","",IF(AND(COUNTIF($CL$2:$CL$3,'История отказов'!AK36)=0,COUNTIF('История отказов'!$AK$5:AK36,'История отказов'!AK36)=1),32,""))</f>
        <v/>
      </c>
      <c r="DJ33">
        <f>IF('История отказов'!AU36="","",IF(AND(COUNTIF($CP$2:$CP$3,'История отказов'!AU36)=0,COUNTIF('История отказов'!$AU$5:AU36,'История отказов'!AU36)=1),32,""))</f>
        <v/>
      </c>
      <c r="DK33">
        <f>IF('История отказов'!AY36="","",IF(AND(COUNTIF($CR$2:$CR$2,'История отказов'!AY36)=0,COUNTIF('История отказов'!$AY$5:AY36,'История отказов'!AY36)=1),32,""))</f>
        <v/>
      </c>
      <c r="DL33">
        <f>IF(DB33="","",IF(AND(COUNTIF($DA$2:$DA$47,DB33)=0,COUNTIF($DB$2:DB33,DB33)=1),32,""))</f>
        <v/>
      </c>
    </row>
    <row r="34">
      <c r="A34" s="74" t="n"/>
      <c r="B34" s="75" t="n"/>
      <c r="C34" s="75" t="n"/>
      <c r="D34" s="75" t="n"/>
      <c r="E34" s="75" t="inlineStr">
        <is>
          <t>3.11 — Засорение ГНО механическими примесями [УЭЦН]</t>
        </is>
      </c>
      <c r="F34" s="76" t="n"/>
      <c r="H34" t="inlineStr">
        <is>
          <t>КР3-7.3 — То же УЭВН.</t>
        </is>
      </c>
      <c r="J34" s="62" t="inlineStr">
        <is>
          <t>3.11 — Засорение ГНО механическими примесями [УЭЦН]</t>
        </is>
      </c>
      <c r="K34" s="62" t="n"/>
      <c r="L34" s="62" t="n"/>
      <c r="M34" s="62" t="n"/>
      <c r="N34" s="62" t="n"/>
      <c r="Q34" t="inlineStr">
        <is>
          <t>Типоразмер ГНО</t>
        </is>
      </c>
      <c r="R34" t="inlineStr">
        <is>
          <t>ШГН — 38 мм</t>
        </is>
      </c>
      <c r="S34" t="inlineStr">
        <is>
          <t>Каталожный пример</t>
        </is>
      </c>
      <c r="T34" t="inlineStr">
        <is>
          <t>ГОСТ 31835-2012; AmasEnergy</t>
        </is>
      </c>
      <c r="U34" t="inlineStr">
        <is>
          <t>https://protect.gost.ru/gost/details/6eaf2ca0-f8db-4194-850b-f62eef64553d</t>
        </is>
      </c>
      <c r="V34" t="inlineStr">
        <is>
          <t>ШГН</t>
        </is>
      </c>
      <c r="AX34" t="inlineStr">
        <is>
          <t>3.11 — Засорение ГНО механическими примесями [УЭЦН]</t>
        </is>
      </c>
      <c r="AY34" t="inlineStr">
        <is>
          <t>3.16 — Не герметичность НКТ с большой наработкой [УШГН]</t>
        </is>
      </c>
      <c r="BA34" t="inlineStr">
        <is>
          <t>КР3-7.3 — То же УЭВН.</t>
        </is>
      </c>
      <c r="CJ34" t="inlineStr">
        <is>
          <t>3.11 — Засорение ГНО механическими примесями [УЭЦН]</t>
        </is>
      </c>
      <c r="CL34">
        <f>IFERROR(INDEX('История отказов'!$AK$5:$AK$1204,SMALL($DI$2:$DI$1201,ROWS($CL$4:CL34))),"")</f>
        <v/>
      </c>
      <c r="CP34">
        <f>IFERROR(INDEX('История отказов'!$AU$5:$AU$1204,SMALL($DJ$2:$DJ$1201,ROWS($CP$4:CP34))),"")</f>
        <v/>
      </c>
      <c r="CR34">
        <f>IFERROR(INDEX('История отказов'!$AY$5:$AY$1204,SMALL($DK$2:$DK$1201,ROWS($CR$3:CR34))),"")</f>
        <v/>
      </c>
      <c r="CT34">
        <f>IFERROR(INDEX('История отказов'!$AE$5:$AE$1204,SMALL($DC$2:$DC$1201,ROWS($CT$3:CT34))),"")</f>
        <v/>
      </c>
      <c r="CU34">
        <f>IFERROR(INDEX('История отказов'!$AE$5:$AE$1204,SMALL($DD$2:$DD$1201,ROWS($CU$4:CU34))),"")</f>
        <v/>
      </c>
      <c r="CV34">
        <f>IFERROR(INDEX('История отказов'!$AE$5:$AE$1204,SMALL($DE$2:$DE$1201,ROWS($CV$4:CV34))),"")</f>
        <v/>
      </c>
      <c r="CW34">
        <f>IFERROR(INDEX('История отказов'!$AE$5:$AE$1204,SMALL($DG$2:$DG$1201,ROWS($CW$3:CW34))),"")</f>
        <v/>
      </c>
      <c r="CX34">
        <f>IFERROR(INDEX('История отказов'!$AE$5:$AE$1204,SMALL($DF$2:$DF$1201,ROWS($CX$3:CX34))),"")</f>
        <v/>
      </c>
      <c r="CY34">
        <f>IFERROR(INDEX('История отказов'!$AE$5:$AE$1204,SMALL($DH$2:$DH$1201,ROWS($CY$7:CY34))),"")</f>
        <v/>
      </c>
      <c r="DA34" t="n">
        <v>2003</v>
      </c>
      <c r="DB34">
        <f>IF('История отказов'!AH37="","",'История отказов'!AH37)</f>
        <v/>
      </c>
      <c r="DC34">
        <f>IF('История отказов'!AE37="","",IF(AND(COUNTIF($CT$2:$CT$2,'История отказов'!AE37)=0,COUNTIFS('История отказов'!$F$5:F37,"ШГН",'История отказов'!$AE$5:AE37,'История отказов'!AE37)=1,'История отказов'!F37="ШГН"),33,""))</f>
        <v/>
      </c>
      <c r="DD34">
        <f>IF('История отказов'!AE37="","",IF(AND(COUNTIF($CU$2:$CU$3,'История отказов'!AE37)=0,COUNTIFS('История отказов'!$F$5:F37,"ЭЦН",'История отказов'!$AE$5:AE37,'История отказов'!AE37)=1,'История отказов'!F37="ЭЦН"),33,""))</f>
        <v/>
      </c>
      <c r="DE34">
        <f>IF('История отказов'!AE37="","",IF(AND(COUNTIF($CV$2:$CV$3,'История отказов'!AE37)=0,COUNTIFS('История отказов'!$F$5:F37,"ЭВН",'История отказов'!$AE$5:AE37,'История отказов'!AE37)=1,'История отказов'!F37="ЭВН"),33,""))</f>
        <v/>
      </c>
      <c r="DF34">
        <f>IF('История отказов'!AE37="","",IF(AND(COUNTIF($CX$2:$CX$2,'История отказов'!AE37)=0,COUNTIFS('История отказов'!$F$5:F37,"ШВН",'История отказов'!$AE$5:AE37,'История отказов'!AE37)=1,'История отказов'!F37="ШВН"),33,""))</f>
        <v/>
      </c>
      <c r="DG34">
        <f>IF('История отказов'!AE37="","",IF(AND(COUNTIF($CW$2:$CW$2,'История отказов'!AE37)=0,COUNTIFS('История отказов'!$F$5:F37,"НПУ-ВД",'История отказов'!$AE$5:AE37,'История отказов'!AE37)=1,'История отказов'!F37="НПУ-ВД"),33,""))</f>
        <v/>
      </c>
      <c r="DH34">
        <f>IF('История отказов'!AE37="","",IF(AND(COUNTIF($CY$2:$CY$6,'История отказов'!AE37)=0,COUNTIF('История отказов'!$AE$5:AE37,'История отказов'!AE37)=1),33,""))</f>
        <v/>
      </c>
      <c r="DI34">
        <f>IF('История отказов'!AK37="","",IF(AND(COUNTIF($CL$2:$CL$3,'История отказов'!AK37)=0,COUNTIF('История отказов'!$AK$5:AK37,'История отказов'!AK37)=1),33,""))</f>
        <v/>
      </c>
      <c r="DJ34">
        <f>IF('История отказов'!AU37="","",IF(AND(COUNTIF($CP$2:$CP$3,'История отказов'!AU37)=0,COUNTIF('История отказов'!$AU$5:AU37,'История отказов'!AU37)=1),33,""))</f>
        <v/>
      </c>
      <c r="DK34">
        <f>IF('История отказов'!AY37="","",IF(AND(COUNTIF($CR$2:$CR$2,'История отказов'!AY37)=0,COUNTIF('История отказов'!$AY$5:AY37,'История отказов'!AY37)=1),33,""))</f>
        <v/>
      </c>
      <c r="DL34">
        <f>IF(DB34="","",IF(AND(COUNTIF($DA$2:$DA$47,DB34)=0,COUNTIF($DB$2:DB34,DB34)=1),33,""))</f>
        <v/>
      </c>
    </row>
    <row r="35">
      <c r="A35" s="74" t="n"/>
      <c r="B35" s="75" t="n"/>
      <c r="C35" s="75" t="n"/>
      <c r="D35" s="75" t="n"/>
      <c r="E35" s="75" t="inlineStr">
        <is>
          <t>3.11.1 — в т.ч. засорение пропантом (содержание &gt;30%) [УЭЦН]</t>
        </is>
      </c>
      <c r="F35" s="76" t="n"/>
      <c r="H35" t="inlineStr">
        <is>
          <t>КР3-7.4 — То же ШГН.</t>
        </is>
      </c>
      <c r="J35" s="62" t="inlineStr">
        <is>
          <t>3.11.1 — в т.ч. засорение пропантом (содержание &gt;30%) [УЭЦН]</t>
        </is>
      </c>
      <c r="K35" s="62" t="n"/>
      <c r="L35" s="62" t="n"/>
      <c r="M35" s="62" t="n"/>
      <c r="N35" s="62" t="n"/>
      <c r="Q35" t="inlineStr">
        <is>
          <t>Типоразмер ГНО</t>
        </is>
      </c>
      <c r="R35" t="inlineStr">
        <is>
          <t>ШГН — 44 мм</t>
        </is>
      </c>
      <c r="S35" t="inlineStr">
        <is>
          <t>Каталожный пример</t>
        </is>
      </c>
      <c r="T35" t="inlineStr">
        <is>
          <t>ГОСТ 31835-2012; AmasEnergy</t>
        </is>
      </c>
      <c r="U35" t="inlineStr">
        <is>
          <t>https://protect.gost.ru/gost/details/6eaf2ca0-f8db-4194-850b-f62eef64553d</t>
        </is>
      </c>
      <c r="V35" t="inlineStr">
        <is>
          <t>ШГН</t>
        </is>
      </c>
      <c r="AX35" t="inlineStr">
        <is>
          <t>3.11.1 — в т.ч. засорение пропантом (содержание &gt;30%) [УЭЦН]</t>
        </is>
      </c>
      <c r="AY35" t="inlineStr">
        <is>
          <t>3.17 — Влияние ПЦО (ПТВ) при эксплуатации [УШГН]</t>
        </is>
      </c>
      <c r="BA35" t="inlineStr">
        <is>
          <t>КР3-7.4 — То же ШГН.</t>
        </is>
      </c>
      <c r="CJ35" t="inlineStr">
        <is>
          <t>3.11.1 — в т.ч. засорение пропантом (содержание &gt;30%) [УЭЦН]</t>
        </is>
      </c>
      <c r="CL35">
        <f>IFERROR(INDEX('История отказов'!$AK$5:$AK$1204,SMALL($DI$2:$DI$1201,ROWS($CL$4:CL35))),"")</f>
        <v/>
      </c>
      <c r="CP35">
        <f>IFERROR(INDEX('История отказов'!$AU$5:$AU$1204,SMALL($DJ$2:$DJ$1201,ROWS($CP$4:CP35))),"")</f>
        <v/>
      </c>
      <c r="CR35">
        <f>IFERROR(INDEX('История отказов'!$AY$5:$AY$1204,SMALL($DK$2:$DK$1201,ROWS($CR$3:CR35))),"")</f>
        <v/>
      </c>
      <c r="CT35">
        <f>IFERROR(INDEX('История отказов'!$AE$5:$AE$1204,SMALL($DC$2:$DC$1201,ROWS($CT$3:CT35))),"")</f>
        <v/>
      </c>
      <c r="CU35">
        <f>IFERROR(INDEX('История отказов'!$AE$5:$AE$1204,SMALL($DD$2:$DD$1201,ROWS($CU$4:CU35))),"")</f>
        <v/>
      </c>
      <c r="CV35">
        <f>IFERROR(INDEX('История отказов'!$AE$5:$AE$1204,SMALL($DE$2:$DE$1201,ROWS($CV$4:CV35))),"")</f>
        <v/>
      </c>
      <c r="CW35">
        <f>IFERROR(INDEX('История отказов'!$AE$5:$AE$1204,SMALL($DG$2:$DG$1201,ROWS($CW$3:CW35))),"")</f>
        <v/>
      </c>
      <c r="CX35">
        <f>IFERROR(INDEX('История отказов'!$AE$5:$AE$1204,SMALL($DF$2:$DF$1201,ROWS($CX$3:CX35))),"")</f>
        <v/>
      </c>
      <c r="CY35">
        <f>IFERROR(INDEX('История отказов'!$AE$5:$AE$1204,SMALL($DH$2:$DH$1201,ROWS($CY$7:CY35))),"")</f>
        <v/>
      </c>
      <c r="DA35" t="n">
        <v>2002</v>
      </c>
      <c r="DB35">
        <f>IF('История отказов'!AH38="","",'История отказов'!AH38)</f>
        <v/>
      </c>
      <c r="DC35">
        <f>IF('История отказов'!AE38="","",IF(AND(COUNTIF($CT$2:$CT$2,'История отказов'!AE38)=0,COUNTIFS('История отказов'!$F$5:F38,"ШГН",'История отказов'!$AE$5:AE38,'История отказов'!AE38)=1,'История отказов'!F38="ШГН"),34,""))</f>
        <v/>
      </c>
      <c r="DD35">
        <f>IF('История отказов'!AE38="","",IF(AND(COUNTIF($CU$2:$CU$3,'История отказов'!AE38)=0,COUNTIFS('История отказов'!$F$5:F38,"ЭЦН",'История отказов'!$AE$5:AE38,'История отказов'!AE38)=1,'История отказов'!F38="ЭЦН"),34,""))</f>
        <v/>
      </c>
      <c r="DE35">
        <f>IF('История отказов'!AE38="","",IF(AND(COUNTIF($CV$2:$CV$3,'История отказов'!AE38)=0,COUNTIFS('История отказов'!$F$5:F38,"ЭВН",'История отказов'!$AE$5:AE38,'История отказов'!AE38)=1,'История отказов'!F38="ЭВН"),34,""))</f>
        <v/>
      </c>
      <c r="DF35">
        <f>IF('История отказов'!AE38="","",IF(AND(COUNTIF($CX$2:$CX$2,'История отказов'!AE38)=0,COUNTIFS('История отказов'!$F$5:F38,"ШВН",'История отказов'!$AE$5:AE38,'История отказов'!AE38)=1,'История отказов'!F38="ШВН"),34,""))</f>
        <v/>
      </c>
      <c r="DG35">
        <f>IF('История отказов'!AE38="","",IF(AND(COUNTIF($CW$2:$CW$2,'История отказов'!AE38)=0,COUNTIFS('История отказов'!$F$5:F38,"НПУ-ВД",'История отказов'!$AE$5:AE38,'История отказов'!AE38)=1,'История отказов'!F38="НПУ-ВД"),34,""))</f>
        <v/>
      </c>
      <c r="DH35">
        <f>IF('История отказов'!AE38="","",IF(AND(COUNTIF($CY$2:$CY$6,'История отказов'!AE38)=0,COUNTIF('История отказов'!$AE$5:AE38,'История отказов'!AE38)=1),34,""))</f>
        <v/>
      </c>
      <c r="DI35">
        <f>IF('История отказов'!AK38="","",IF(AND(COUNTIF($CL$2:$CL$3,'История отказов'!AK38)=0,COUNTIF('История отказов'!$AK$5:AK38,'История отказов'!AK38)=1),34,""))</f>
        <v/>
      </c>
      <c r="DJ35">
        <f>IF('История отказов'!AU38="","",IF(AND(COUNTIF($CP$2:$CP$3,'История отказов'!AU38)=0,COUNTIF('История отказов'!$AU$5:AU38,'История отказов'!AU38)=1),34,""))</f>
        <v/>
      </c>
      <c r="DK35">
        <f>IF('История отказов'!AY38="","",IF(AND(COUNTIF($CR$2:$CR$2,'История отказов'!AY38)=0,COUNTIF('История отказов'!$AY$5:AY38,'История отказов'!AY38)=1),34,""))</f>
        <v/>
      </c>
      <c r="DL35">
        <f>IF(DB35="","",IF(AND(COUNTIF($DA$2:$DA$47,DB35)=0,COUNTIF($DB$2:DB35,DB35)=1),34,""))</f>
        <v/>
      </c>
    </row>
    <row r="36">
      <c r="A36" s="74" t="n"/>
      <c r="B36" s="75" t="n"/>
      <c r="C36" s="75" t="n"/>
      <c r="D36" s="75" t="n"/>
      <c r="E36" s="75" t="inlineStr">
        <is>
          <t>3.11.2 — в т.ч. засорение песком, глиной (содержание &gt;30%) [УЭЦН]</t>
        </is>
      </c>
      <c r="F36" s="76" t="n"/>
      <c r="H36" t="inlineStr">
        <is>
          <t>КР3-7.5 — То же УШВН.</t>
        </is>
      </c>
      <c r="J36" s="62" t="inlineStr">
        <is>
          <t>3.11.2 — в т.ч. засорение песком, глиной (содержание &gt;30%) [УЭЦН]</t>
        </is>
      </c>
      <c r="K36" s="62" t="n"/>
      <c r="L36" s="62" t="n"/>
      <c r="M36" s="62" t="n"/>
      <c r="N36" s="62" t="n"/>
      <c r="Q36" t="inlineStr">
        <is>
          <t>Типоразмер ГНО</t>
        </is>
      </c>
      <c r="R36" t="inlineStr">
        <is>
          <t>ШГН — 50 мм</t>
        </is>
      </c>
      <c r="S36" t="inlineStr">
        <is>
          <t>Каталожный пример</t>
        </is>
      </c>
      <c r="T36" t="inlineStr">
        <is>
          <t>ГОСТ 31835-2012; AmasEnergy</t>
        </is>
      </c>
      <c r="U36" t="inlineStr">
        <is>
          <t>https://protect.gost.ru/gost/details/6eaf2ca0-f8db-4194-850b-f62eef64553d</t>
        </is>
      </c>
      <c r="V36" t="inlineStr">
        <is>
          <t>ШГН</t>
        </is>
      </c>
      <c r="AX36" t="inlineStr">
        <is>
          <t>3.11.2 — в т.ч. засорение песком, глиной (содержание &gt;30%) [УЭЦН]</t>
        </is>
      </c>
      <c r="AY36" t="inlineStr">
        <is>
          <t>3.18 — Влияние ВВЭ (высоковязкая эмульсия) [УШГН]</t>
        </is>
      </c>
      <c r="BA36" t="inlineStr">
        <is>
          <t>КР3-7.5 — То же УШВН.</t>
        </is>
      </c>
      <c r="CJ36" t="inlineStr">
        <is>
          <t>3.11.2 — в т.ч. засорение песком, глиной (содержание &gt;30%) [УЭЦН]</t>
        </is>
      </c>
      <c r="CL36">
        <f>IFERROR(INDEX('История отказов'!$AK$5:$AK$1204,SMALL($DI$2:$DI$1201,ROWS($CL$4:CL36))),"")</f>
        <v/>
      </c>
      <c r="CP36">
        <f>IFERROR(INDEX('История отказов'!$AU$5:$AU$1204,SMALL($DJ$2:$DJ$1201,ROWS($CP$4:CP36))),"")</f>
        <v/>
      </c>
      <c r="CR36">
        <f>IFERROR(INDEX('История отказов'!$AY$5:$AY$1204,SMALL($DK$2:$DK$1201,ROWS($CR$3:CR36))),"")</f>
        <v/>
      </c>
      <c r="CT36">
        <f>IFERROR(INDEX('История отказов'!$AE$5:$AE$1204,SMALL($DC$2:$DC$1201,ROWS($CT$3:CT36))),"")</f>
        <v/>
      </c>
      <c r="CU36">
        <f>IFERROR(INDEX('История отказов'!$AE$5:$AE$1204,SMALL($DD$2:$DD$1201,ROWS($CU$4:CU36))),"")</f>
        <v/>
      </c>
      <c r="CV36">
        <f>IFERROR(INDEX('История отказов'!$AE$5:$AE$1204,SMALL($DE$2:$DE$1201,ROWS($CV$4:CV36))),"")</f>
        <v/>
      </c>
      <c r="CW36">
        <f>IFERROR(INDEX('История отказов'!$AE$5:$AE$1204,SMALL($DG$2:$DG$1201,ROWS($CW$3:CW36))),"")</f>
        <v/>
      </c>
      <c r="CX36">
        <f>IFERROR(INDEX('История отказов'!$AE$5:$AE$1204,SMALL($DF$2:$DF$1201,ROWS($CX$3:CX36))),"")</f>
        <v/>
      </c>
      <c r="CY36">
        <f>IFERROR(INDEX('История отказов'!$AE$5:$AE$1204,SMALL($DH$2:$DH$1201,ROWS($CY$7:CY36))),"")</f>
        <v/>
      </c>
      <c r="DA36" t="n">
        <v>2001</v>
      </c>
      <c r="DB36">
        <f>IF('История отказов'!AH39="","",'История отказов'!AH39)</f>
        <v/>
      </c>
      <c r="DC36">
        <f>IF('История отказов'!AE39="","",IF(AND(COUNTIF($CT$2:$CT$2,'История отказов'!AE39)=0,COUNTIFS('История отказов'!$F$5:F39,"ШГН",'История отказов'!$AE$5:AE39,'История отказов'!AE39)=1,'История отказов'!F39="ШГН"),35,""))</f>
        <v/>
      </c>
      <c r="DD36">
        <f>IF('История отказов'!AE39="","",IF(AND(COUNTIF($CU$2:$CU$3,'История отказов'!AE39)=0,COUNTIFS('История отказов'!$F$5:F39,"ЭЦН",'История отказов'!$AE$5:AE39,'История отказов'!AE39)=1,'История отказов'!F39="ЭЦН"),35,""))</f>
        <v/>
      </c>
      <c r="DE36">
        <f>IF('История отказов'!AE39="","",IF(AND(COUNTIF($CV$2:$CV$3,'История отказов'!AE39)=0,COUNTIFS('История отказов'!$F$5:F39,"ЭВН",'История отказов'!$AE$5:AE39,'История отказов'!AE39)=1,'История отказов'!F39="ЭВН"),35,""))</f>
        <v/>
      </c>
      <c r="DF36">
        <f>IF('История отказов'!AE39="","",IF(AND(COUNTIF($CX$2:$CX$2,'История отказов'!AE39)=0,COUNTIFS('История отказов'!$F$5:F39,"ШВН",'История отказов'!$AE$5:AE39,'История отказов'!AE39)=1,'История отказов'!F39="ШВН"),35,""))</f>
        <v/>
      </c>
      <c r="DG36">
        <f>IF('История отказов'!AE39="","",IF(AND(COUNTIF($CW$2:$CW$2,'История отказов'!AE39)=0,COUNTIFS('История отказов'!$F$5:F39,"НПУ-ВД",'История отказов'!$AE$5:AE39,'История отказов'!AE39)=1,'История отказов'!F39="НПУ-ВД"),35,""))</f>
        <v/>
      </c>
      <c r="DH36">
        <f>IF('История отказов'!AE39="","",IF(AND(COUNTIF($CY$2:$CY$6,'История отказов'!AE39)=0,COUNTIF('История отказов'!$AE$5:AE39,'История отказов'!AE39)=1),35,""))</f>
        <v/>
      </c>
      <c r="DI36">
        <f>IF('История отказов'!AK39="","",IF(AND(COUNTIF($CL$2:$CL$3,'История отказов'!AK39)=0,COUNTIF('История отказов'!$AK$5:AK39,'История отказов'!AK39)=1),35,""))</f>
        <v/>
      </c>
      <c r="DJ36">
        <f>IF('История отказов'!AU39="","",IF(AND(COUNTIF($CP$2:$CP$3,'История отказов'!AU39)=0,COUNTIF('История отказов'!$AU$5:AU39,'История отказов'!AU39)=1),35,""))</f>
        <v/>
      </c>
      <c r="DK36">
        <f>IF('История отказов'!AY39="","",IF(AND(COUNTIF($CR$2:$CR$2,'История отказов'!AY39)=0,COUNTIF('История отказов'!$AY$5:AY39,'История отказов'!AY39)=1),35,""))</f>
        <v/>
      </c>
      <c r="DL36">
        <f>IF(DB36="","",IF(AND(COUNTIF($DA$2:$DA$47,DB36)=0,COUNTIF($DB$2:DB36,DB36)=1),35,""))</f>
        <v/>
      </c>
    </row>
    <row r="37">
      <c r="A37" s="74" t="n"/>
      <c r="B37" s="75" t="n"/>
      <c r="C37" s="75" t="n"/>
      <c r="D37" s="75" t="n"/>
      <c r="E37" s="75" t="inlineStr">
        <is>
          <t>3.11.3 — в т.ч. засорение посторонними предметами (лента, волокнистая масса, чёрный порошок и т.д.) [УЭЦН]</t>
        </is>
      </c>
      <c r="F37" s="76" t="n"/>
      <c r="H37" t="inlineStr">
        <is>
          <t>КР3-7.6 — То же НКТ.</t>
        </is>
      </c>
      <c r="J37" s="62" t="inlineStr">
        <is>
          <t>3.11.3 — в т.ч. засорение посторонними предметами (лента, волокнистая масса, чёрный порошок и т.д.) [УЭЦН]</t>
        </is>
      </c>
      <c r="K37" s="62" t="n"/>
      <c r="L37" s="62" t="n"/>
      <c r="M37" s="62" t="n"/>
      <c r="N37" s="62" t="n"/>
      <c r="Q37" t="inlineStr">
        <is>
          <t>Типоразмер ГНО</t>
        </is>
      </c>
      <c r="R37" t="inlineStr">
        <is>
          <t>ШГН — 57 мм</t>
        </is>
      </c>
      <c r="S37" t="inlineStr">
        <is>
          <t>Каталожный пример</t>
        </is>
      </c>
      <c r="T37" t="inlineStr">
        <is>
          <t>ГОСТ 31835-2012; AmasEnergy</t>
        </is>
      </c>
      <c r="U37" t="inlineStr">
        <is>
          <t>https://protect.gost.ru/gost/details/6eaf2ca0-f8db-4194-850b-f62eef64553d</t>
        </is>
      </c>
      <c r="V37" t="inlineStr">
        <is>
          <t>ШГН</t>
        </is>
      </c>
      <c r="AX37" t="inlineStr">
        <is>
          <t>3.11.3 — в т.ч. засорение посторонними предметами (лента, волокнистая масса, чёрный порошок и т.д.) [УЭЦН]</t>
        </is>
      </c>
      <c r="AY37" t="inlineStr">
        <is>
          <t>3.19 — Мехповреждение насоса [УШГН]</t>
        </is>
      </c>
      <c r="BA37" t="inlineStr">
        <is>
          <t>КР3-7.6 — То же НКТ.</t>
        </is>
      </c>
      <c r="CJ37" t="inlineStr">
        <is>
          <t>3.11.3 — в т.ч. засорение посторонними предметами (лента, волокнистая масса, чёрный порошок и т.д.) [УЭЦН]</t>
        </is>
      </c>
      <c r="CL37">
        <f>IFERROR(INDEX('История отказов'!$AK$5:$AK$1204,SMALL($DI$2:$DI$1201,ROWS($CL$4:CL37))),"")</f>
        <v/>
      </c>
      <c r="CP37">
        <f>IFERROR(INDEX('История отказов'!$AU$5:$AU$1204,SMALL($DJ$2:$DJ$1201,ROWS($CP$4:CP37))),"")</f>
        <v/>
      </c>
      <c r="CR37">
        <f>IFERROR(INDEX('История отказов'!$AY$5:$AY$1204,SMALL($DK$2:$DK$1201,ROWS($CR$3:CR37))),"")</f>
        <v/>
      </c>
      <c r="CT37">
        <f>IFERROR(INDEX('История отказов'!$AE$5:$AE$1204,SMALL($DC$2:$DC$1201,ROWS($CT$3:CT37))),"")</f>
        <v/>
      </c>
      <c r="CU37">
        <f>IFERROR(INDEX('История отказов'!$AE$5:$AE$1204,SMALL($DD$2:$DD$1201,ROWS($CU$4:CU37))),"")</f>
        <v/>
      </c>
      <c r="CV37">
        <f>IFERROR(INDEX('История отказов'!$AE$5:$AE$1204,SMALL($DE$2:$DE$1201,ROWS($CV$4:CV37))),"")</f>
        <v/>
      </c>
      <c r="CW37">
        <f>IFERROR(INDEX('История отказов'!$AE$5:$AE$1204,SMALL($DG$2:$DG$1201,ROWS($CW$3:CW37))),"")</f>
        <v/>
      </c>
      <c r="CX37">
        <f>IFERROR(INDEX('История отказов'!$AE$5:$AE$1204,SMALL($DF$2:$DF$1201,ROWS($CX$3:CX37))),"")</f>
        <v/>
      </c>
      <c r="CY37">
        <f>IFERROR(INDEX('История отказов'!$AE$5:$AE$1204,SMALL($DH$2:$DH$1201,ROWS($CY$7:CY37))),"")</f>
        <v/>
      </c>
      <c r="DA37" t="n">
        <v>2000</v>
      </c>
      <c r="DB37">
        <f>IF('История отказов'!AH40="","",'История отказов'!AH40)</f>
        <v/>
      </c>
      <c r="DC37">
        <f>IF('История отказов'!AE40="","",IF(AND(COUNTIF($CT$2:$CT$2,'История отказов'!AE40)=0,COUNTIFS('История отказов'!$F$5:F40,"ШГН",'История отказов'!$AE$5:AE40,'История отказов'!AE40)=1,'История отказов'!F40="ШГН"),36,""))</f>
        <v/>
      </c>
      <c r="DD37">
        <f>IF('История отказов'!AE40="","",IF(AND(COUNTIF($CU$2:$CU$3,'История отказов'!AE40)=0,COUNTIFS('История отказов'!$F$5:F40,"ЭЦН",'История отказов'!$AE$5:AE40,'История отказов'!AE40)=1,'История отказов'!F40="ЭЦН"),36,""))</f>
        <v/>
      </c>
      <c r="DE37">
        <f>IF('История отказов'!AE40="","",IF(AND(COUNTIF($CV$2:$CV$3,'История отказов'!AE40)=0,COUNTIFS('История отказов'!$F$5:F40,"ЭВН",'История отказов'!$AE$5:AE40,'История отказов'!AE40)=1,'История отказов'!F40="ЭВН"),36,""))</f>
        <v/>
      </c>
      <c r="DF37">
        <f>IF('История отказов'!AE40="","",IF(AND(COUNTIF($CX$2:$CX$2,'История отказов'!AE40)=0,COUNTIFS('История отказов'!$F$5:F40,"ШВН",'История отказов'!$AE$5:AE40,'История отказов'!AE40)=1,'История отказов'!F40="ШВН"),36,""))</f>
        <v/>
      </c>
      <c r="DG37">
        <f>IF('История отказов'!AE40="","",IF(AND(COUNTIF($CW$2:$CW$2,'История отказов'!AE40)=0,COUNTIFS('История отказов'!$F$5:F40,"НПУ-ВД",'История отказов'!$AE$5:AE40,'История отказов'!AE40)=1,'История отказов'!F40="НПУ-ВД"),36,""))</f>
        <v/>
      </c>
      <c r="DH37">
        <f>IF('История отказов'!AE40="","",IF(AND(COUNTIF($CY$2:$CY$6,'История отказов'!AE40)=0,COUNTIF('История отказов'!$AE$5:AE40,'История отказов'!AE40)=1),36,""))</f>
        <v/>
      </c>
      <c r="DI37">
        <f>IF('История отказов'!AK40="","",IF(AND(COUNTIF($CL$2:$CL$3,'История отказов'!AK40)=0,COUNTIF('История отказов'!$AK$5:AK40,'История отказов'!AK40)=1),36,""))</f>
        <v/>
      </c>
      <c r="DJ37">
        <f>IF('История отказов'!AU40="","",IF(AND(COUNTIF($CP$2:$CP$3,'История отказов'!AU40)=0,COUNTIF('История отказов'!$AU$5:AU40,'История отказов'!AU40)=1),36,""))</f>
        <v/>
      </c>
      <c r="DK37">
        <f>IF('История отказов'!AY40="","",IF(AND(COUNTIF($CR$2:$CR$2,'История отказов'!AY40)=0,COUNTIF('История отказов'!$AY$5:AY40,'История отказов'!AY40)=1),36,""))</f>
        <v/>
      </c>
      <c r="DL37">
        <f>IF(DB37="","",IF(AND(COUNTIF($DA$2:$DA$47,DB37)=0,COUNTIF($DB$2:DB37,DB37)=1),36,""))</f>
        <v/>
      </c>
    </row>
    <row r="38">
      <c r="A38" s="74" t="n"/>
      <c r="B38" s="75" t="n"/>
      <c r="C38" s="75" t="n"/>
      <c r="D38" s="75" t="n"/>
      <c r="E38" s="75" t="inlineStr">
        <is>
          <t>3.11.4 — в т.ч. засорение продуктами коррозии (оксиды, сульфиды и т.д.) [УЭЦН]</t>
        </is>
      </c>
      <c r="F38" s="76" t="n"/>
      <c r="H38" t="inlineStr">
        <is>
          <t>КР3-7.7 — То же пакера</t>
        </is>
      </c>
      <c r="J38" s="62" t="inlineStr">
        <is>
          <t>3.11.4 — в т.ч. засорение продуктами коррозии (оксиды, сульфиды и т.д.) [УЭЦН]</t>
        </is>
      </c>
      <c r="K38" s="62" t="n"/>
      <c r="L38" s="62" t="n"/>
      <c r="M38" s="62" t="n"/>
      <c r="N38" s="62" t="n"/>
      <c r="Q38" t="inlineStr">
        <is>
          <t>Типоразмер ГНО</t>
        </is>
      </c>
      <c r="R38" t="inlineStr">
        <is>
          <t>ЭЦН — габарит 5</t>
        </is>
      </c>
      <c r="S38" t="inlineStr">
        <is>
          <t>Каталожный пример</t>
        </is>
      </c>
      <c r="T38" t="inlineStr">
        <is>
          <t>Новомет, серийные УЭЦН</t>
        </is>
      </c>
      <c r="U38" t="inlineStr">
        <is>
          <t>https://www.novomet.ru/rus/products-and-services/artificial-lift/electrical-submersible-pumping-systems/standard-esp/</t>
        </is>
      </c>
      <c r="V38" t="inlineStr">
        <is>
          <t>ЭЦН</t>
        </is>
      </c>
      <c r="AX38" t="inlineStr">
        <is>
          <t>3.11.4 — в т.ч. засорение продуктами коррозии (оксиды, сульфиды и т.д.) [УЭЦН]</t>
        </is>
      </c>
      <c r="AY38" t="inlineStr">
        <is>
          <t>3.19.1 — плунжера/ротора [УШГН]</t>
        </is>
      </c>
      <c r="BA38" t="inlineStr">
        <is>
          <t>КР3-7.7 — То же пакера</t>
        </is>
      </c>
      <c r="CJ38" t="inlineStr">
        <is>
          <t>3.11.4 — в т.ч. засорение продуктами коррозии (оксиды, сульфиды и т.д.) [УЭЦН]</t>
        </is>
      </c>
      <c r="CL38">
        <f>IFERROR(INDEX('История отказов'!$AK$5:$AK$1204,SMALL($DI$2:$DI$1201,ROWS($CL$4:CL38))),"")</f>
        <v/>
      </c>
      <c r="CP38">
        <f>IFERROR(INDEX('История отказов'!$AU$5:$AU$1204,SMALL($DJ$2:$DJ$1201,ROWS($CP$4:CP38))),"")</f>
        <v/>
      </c>
      <c r="CR38">
        <f>IFERROR(INDEX('История отказов'!$AY$5:$AY$1204,SMALL($DK$2:$DK$1201,ROWS($CR$3:CR38))),"")</f>
        <v/>
      </c>
      <c r="CT38">
        <f>IFERROR(INDEX('История отказов'!$AE$5:$AE$1204,SMALL($DC$2:$DC$1201,ROWS($CT$3:CT38))),"")</f>
        <v/>
      </c>
      <c r="CU38">
        <f>IFERROR(INDEX('История отказов'!$AE$5:$AE$1204,SMALL($DD$2:$DD$1201,ROWS($CU$4:CU38))),"")</f>
        <v/>
      </c>
      <c r="CV38">
        <f>IFERROR(INDEX('История отказов'!$AE$5:$AE$1204,SMALL($DE$2:$DE$1201,ROWS($CV$4:CV38))),"")</f>
        <v/>
      </c>
      <c r="CW38">
        <f>IFERROR(INDEX('История отказов'!$AE$5:$AE$1204,SMALL($DG$2:$DG$1201,ROWS($CW$3:CW38))),"")</f>
        <v/>
      </c>
      <c r="CX38">
        <f>IFERROR(INDEX('История отказов'!$AE$5:$AE$1204,SMALL($DF$2:$DF$1201,ROWS($CX$3:CX38))),"")</f>
        <v/>
      </c>
      <c r="CY38">
        <f>IFERROR(INDEX('История отказов'!$AE$5:$AE$1204,SMALL($DH$2:$DH$1201,ROWS($CY$7:CY38))),"")</f>
        <v/>
      </c>
      <c r="DA38" t="n">
        <v>1999</v>
      </c>
      <c r="DB38">
        <f>IF('История отказов'!AH41="","",'История отказов'!AH41)</f>
        <v/>
      </c>
      <c r="DC38">
        <f>IF('История отказов'!AE41="","",IF(AND(COUNTIF($CT$2:$CT$2,'История отказов'!AE41)=0,COUNTIFS('История отказов'!$F$5:F41,"ШГН",'История отказов'!$AE$5:AE41,'История отказов'!AE41)=1,'История отказов'!F41="ШГН"),37,""))</f>
        <v/>
      </c>
      <c r="DD38">
        <f>IF('История отказов'!AE41="","",IF(AND(COUNTIF($CU$2:$CU$3,'История отказов'!AE41)=0,COUNTIFS('История отказов'!$F$5:F41,"ЭЦН",'История отказов'!$AE$5:AE41,'История отказов'!AE41)=1,'История отказов'!F41="ЭЦН"),37,""))</f>
        <v/>
      </c>
      <c r="DE38">
        <f>IF('История отказов'!AE41="","",IF(AND(COUNTIF($CV$2:$CV$3,'История отказов'!AE41)=0,COUNTIFS('История отказов'!$F$5:F41,"ЭВН",'История отказов'!$AE$5:AE41,'История отказов'!AE41)=1,'История отказов'!F41="ЭВН"),37,""))</f>
        <v/>
      </c>
      <c r="DF38">
        <f>IF('История отказов'!AE41="","",IF(AND(COUNTIF($CX$2:$CX$2,'История отказов'!AE41)=0,COUNTIFS('История отказов'!$F$5:F41,"ШВН",'История отказов'!$AE$5:AE41,'История отказов'!AE41)=1,'История отказов'!F41="ШВН"),37,""))</f>
        <v/>
      </c>
      <c r="DG38">
        <f>IF('История отказов'!AE41="","",IF(AND(COUNTIF($CW$2:$CW$2,'История отказов'!AE41)=0,COUNTIFS('История отказов'!$F$5:F41,"НПУ-ВД",'История отказов'!$AE$5:AE41,'История отказов'!AE41)=1,'История отказов'!F41="НПУ-ВД"),37,""))</f>
        <v/>
      </c>
      <c r="DH38">
        <f>IF('История отказов'!AE41="","",IF(AND(COUNTIF($CY$2:$CY$6,'История отказов'!AE41)=0,COUNTIF('История отказов'!$AE$5:AE41,'История отказов'!AE41)=1),37,""))</f>
        <v/>
      </c>
      <c r="DI38">
        <f>IF('История отказов'!AK41="","",IF(AND(COUNTIF($CL$2:$CL$3,'История отказов'!AK41)=0,COUNTIF('История отказов'!$AK$5:AK41,'История отказов'!AK41)=1),37,""))</f>
        <v/>
      </c>
      <c r="DJ38">
        <f>IF('История отказов'!AU41="","",IF(AND(COUNTIF($CP$2:$CP$3,'История отказов'!AU41)=0,COUNTIF('История отказов'!$AU$5:AU41,'История отказов'!AU41)=1),37,""))</f>
        <v/>
      </c>
      <c r="DK38">
        <f>IF('История отказов'!AY41="","",IF(AND(COUNTIF($CR$2:$CR$2,'История отказов'!AY41)=0,COUNTIF('История отказов'!$AY$5:AY41,'История отказов'!AY41)=1),37,""))</f>
        <v/>
      </c>
      <c r="DL38">
        <f>IF(DB38="","",IF(AND(COUNTIF($DA$2:$DA$47,DB38)=0,COUNTIF($DB$2:DB38,DB38)=1),37,""))</f>
        <v/>
      </c>
    </row>
    <row r="39">
      <c r="A39" s="74" t="n"/>
      <c r="B39" s="75" t="n"/>
      <c r="C39" s="75" t="n"/>
      <c r="D39" s="75" t="n"/>
      <c r="E39" s="75" t="inlineStr">
        <is>
          <t>3.12 — ГЕОЛОГО-ТЕХНИЧЕСКИЕ МЕРОПРИЯТИЯ (ГТМ) [УЭЦН]</t>
        </is>
      </c>
      <c r="F39" s="76" t="n"/>
      <c r="H39" t="inlineStr">
        <is>
          <t>КР4-1 — Переход на другие вышележащие и нижележащие горизонты.</t>
        </is>
      </c>
      <c r="J39" s="62" t="inlineStr">
        <is>
          <t>3.12 — ГЕОЛОГО-ТЕХНИЧЕСКИЕ МЕРОПРИЯТИЯ (ГТМ) [УЭЦН]</t>
        </is>
      </c>
      <c r="K39" s="62" t="n"/>
      <c r="L39" s="62" t="n"/>
      <c r="M39" s="62" t="n"/>
      <c r="N39" s="62" t="n"/>
      <c r="Q39" t="inlineStr">
        <is>
          <t>Типоразмер ГНО</t>
        </is>
      </c>
      <c r="R39" t="inlineStr">
        <is>
          <t>ЭЦН — габарит 5У</t>
        </is>
      </c>
      <c r="S39" t="inlineStr">
        <is>
          <t>Каталожный пример</t>
        </is>
      </c>
      <c r="T39" t="inlineStr">
        <is>
          <t>Новомет, серийные УЭЦН</t>
        </is>
      </c>
      <c r="U39" t="inlineStr">
        <is>
          <t>https://www.novomet.ru/rus/products-and-services/artificial-lift/electrical-submersible-pumping-systems/standard-esp/</t>
        </is>
      </c>
      <c r="V39" t="inlineStr">
        <is>
          <t>ЭЦН</t>
        </is>
      </c>
      <c r="AX39" t="inlineStr">
        <is>
          <t>3.12 — ГЕОЛОГО-ТЕХНИЧЕСКИЕ МЕРОПРИЯТИЯ (ГТМ) [УЭЦН]</t>
        </is>
      </c>
      <c r="AY39" t="inlineStr">
        <is>
          <t>3.19.2 — клапанного узла [УШГН]</t>
        </is>
      </c>
      <c r="BA39" t="inlineStr">
        <is>
          <t>КР4-1 — Переход на другие вышележащие и нижележащие горизонты.</t>
        </is>
      </c>
      <c r="CJ39" t="inlineStr">
        <is>
          <t>3.12 — ГЕОЛОГО-ТЕХНИЧЕСКИЕ МЕРОПРИЯТИЯ (ГТМ) [УЭЦН]</t>
        </is>
      </c>
      <c r="CL39">
        <f>IFERROR(INDEX('История отказов'!$AK$5:$AK$1204,SMALL($DI$2:$DI$1201,ROWS($CL$4:CL39))),"")</f>
        <v/>
      </c>
      <c r="CP39">
        <f>IFERROR(INDEX('История отказов'!$AU$5:$AU$1204,SMALL($DJ$2:$DJ$1201,ROWS($CP$4:CP39))),"")</f>
        <v/>
      </c>
      <c r="CR39">
        <f>IFERROR(INDEX('История отказов'!$AY$5:$AY$1204,SMALL($DK$2:$DK$1201,ROWS($CR$3:CR39))),"")</f>
        <v/>
      </c>
      <c r="CT39">
        <f>IFERROR(INDEX('История отказов'!$AE$5:$AE$1204,SMALL($DC$2:$DC$1201,ROWS($CT$3:CT39))),"")</f>
        <v/>
      </c>
      <c r="CU39">
        <f>IFERROR(INDEX('История отказов'!$AE$5:$AE$1204,SMALL($DD$2:$DD$1201,ROWS($CU$4:CU39))),"")</f>
        <v/>
      </c>
      <c r="CV39">
        <f>IFERROR(INDEX('История отказов'!$AE$5:$AE$1204,SMALL($DE$2:$DE$1201,ROWS($CV$4:CV39))),"")</f>
        <v/>
      </c>
      <c r="CW39">
        <f>IFERROR(INDEX('История отказов'!$AE$5:$AE$1204,SMALL($DG$2:$DG$1201,ROWS($CW$3:CW39))),"")</f>
        <v/>
      </c>
      <c r="CX39">
        <f>IFERROR(INDEX('История отказов'!$AE$5:$AE$1204,SMALL($DF$2:$DF$1201,ROWS($CX$3:CX39))),"")</f>
        <v/>
      </c>
      <c r="CY39">
        <f>IFERROR(INDEX('История отказов'!$AE$5:$AE$1204,SMALL($DH$2:$DH$1201,ROWS($CY$7:CY39))),"")</f>
        <v/>
      </c>
      <c r="DA39" t="n">
        <v>1998</v>
      </c>
      <c r="DB39">
        <f>IF('История отказов'!AH42="","",'История отказов'!AH42)</f>
        <v/>
      </c>
      <c r="DC39">
        <f>IF('История отказов'!AE42="","",IF(AND(COUNTIF($CT$2:$CT$2,'История отказов'!AE42)=0,COUNTIFS('История отказов'!$F$5:F42,"ШГН",'История отказов'!$AE$5:AE42,'История отказов'!AE42)=1,'История отказов'!F42="ШГН"),38,""))</f>
        <v/>
      </c>
      <c r="DD39">
        <f>IF('История отказов'!AE42="","",IF(AND(COUNTIF($CU$2:$CU$3,'История отказов'!AE42)=0,COUNTIFS('История отказов'!$F$5:F42,"ЭЦН",'История отказов'!$AE$5:AE42,'История отказов'!AE42)=1,'История отказов'!F42="ЭЦН"),38,""))</f>
        <v/>
      </c>
      <c r="DE39">
        <f>IF('История отказов'!AE42="","",IF(AND(COUNTIF($CV$2:$CV$3,'История отказов'!AE42)=0,COUNTIFS('История отказов'!$F$5:F42,"ЭВН",'История отказов'!$AE$5:AE42,'История отказов'!AE42)=1,'История отказов'!F42="ЭВН"),38,""))</f>
        <v/>
      </c>
      <c r="DF39">
        <f>IF('История отказов'!AE42="","",IF(AND(COUNTIF($CX$2:$CX$2,'История отказов'!AE42)=0,COUNTIFS('История отказов'!$F$5:F42,"ШВН",'История отказов'!$AE$5:AE42,'История отказов'!AE42)=1,'История отказов'!F42="ШВН"),38,""))</f>
        <v/>
      </c>
      <c r="DG39">
        <f>IF('История отказов'!AE42="","",IF(AND(COUNTIF($CW$2:$CW$2,'История отказов'!AE42)=0,COUNTIFS('История отказов'!$F$5:F42,"НПУ-ВД",'История отказов'!$AE$5:AE42,'История отказов'!AE42)=1,'История отказов'!F42="НПУ-ВД"),38,""))</f>
        <v/>
      </c>
      <c r="DH39">
        <f>IF('История отказов'!AE42="","",IF(AND(COUNTIF($CY$2:$CY$6,'История отказов'!AE42)=0,COUNTIF('История отказов'!$AE$5:AE42,'История отказов'!AE42)=1),38,""))</f>
        <v/>
      </c>
      <c r="DI39">
        <f>IF('История отказов'!AK42="","",IF(AND(COUNTIF($CL$2:$CL$3,'История отказов'!AK42)=0,COUNTIF('История отказов'!$AK$5:AK42,'История отказов'!AK42)=1),38,""))</f>
        <v/>
      </c>
      <c r="DJ39">
        <f>IF('История отказов'!AU42="","",IF(AND(COUNTIF($CP$2:$CP$3,'История отказов'!AU42)=0,COUNTIF('История отказов'!$AU$5:AU42,'История отказов'!AU42)=1),38,""))</f>
        <v/>
      </c>
      <c r="DK39">
        <f>IF('История отказов'!AY42="","",IF(AND(COUNTIF($CR$2:$CR$2,'История отказов'!AY42)=0,COUNTIF('История отказов'!$AY$5:AY42,'История отказов'!AY42)=1),38,""))</f>
        <v/>
      </c>
      <c r="DL39">
        <f>IF(DB39="","",IF(AND(COUNTIF($DA$2:$DA$47,DB39)=0,COUNTIF($DB$2:DB39,DB39)=1),38,""))</f>
        <v/>
      </c>
    </row>
    <row r="40">
      <c r="A40" s="74" t="n"/>
      <c r="B40" s="75" t="n"/>
      <c r="C40" s="75" t="n"/>
      <c r="D40" s="75" t="n"/>
      <c r="E40" s="75" t="inlineStr">
        <is>
          <t>3.12.1 — в т.ч. смена способа эксплуатации (без работы с пластом) [УЭЦН]</t>
        </is>
      </c>
      <c r="F40" s="76" t="n"/>
      <c r="H40" t="inlineStr">
        <is>
          <t>КР4-2 — Приобщение пластов для совместной эксплуатации дострелом, с увеличением диаметра или глубины скважины.</t>
        </is>
      </c>
      <c r="J40" s="62" t="inlineStr">
        <is>
          <t>3.12.1 — в т.ч. смена способа эксплуатации (без работы с пластом) [УЭЦН]</t>
        </is>
      </c>
      <c r="K40" s="62" t="n"/>
      <c r="L40" s="62" t="n"/>
      <c r="M40" s="62" t="n"/>
      <c r="N40" s="62" t="n"/>
      <c r="Q40" t="inlineStr">
        <is>
          <t>Типоразмер ГНО</t>
        </is>
      </c>
      <c r="R40" t="inlineStr">
        <is>
          <t>ЭЦН — габарит 6</t>
        </is>
      </c>
      <c r="S40" t="inlineStr">
        <is>
          <t>Каталожный пример</t>
        </is>
      </c>
      <c r="T40" t="inlineStr">
        <is>
          <t>Новомет, серийные УЭЦН</t>
        </is>
      </c>
      <c r="U40" t="inlineStr">
        <is>
          <t>https://www.novomet.ru/rus/products-and-services/artificial-lift/electrical-submersible-pumping-systems/standard-esp/</t>
        </is>
      </c>
      <c r="V40" t="inlineStr">
        <is>
          <t>ЭЦН</t>
        </is>
      </c>
      <c r="AX40" t="inlineStr">
        <is>
          <t>3.12.1 — в т.ч. смена способа эксплуатации (без работы с пластом) [УЭЦН]</t>
        </is>
      </c>
      <c r="AY40" t="inlineStr">
        <is>
          <t>3.19.3 — Нарушение эластомера [УШГН]</t>
        </is>
      </c>
      <c r="BA40" t="inlineStr">
        <is>
          <t>КР4-2 — Приобщение пластов для совместной эксплуатации дострелом, с увеличением диаметра или глубины скважины.</t>
        </is>
      </c>
      <c r="CJ40" t="inlineStr">
        <is>
          <t>3.12.1 — в т.ч. смена способа эксплуатации (без работы с пластом) [УЭЦН]</t>
        </is>
      </c>
      <c r="CL40">
        <f>IFERROR(INDEX('История отказов'!$AK$5:$AK$1204,SMALL($DI$2:$DI$1201,ROWS($CL$4:CL40))),"")</f>
        <v/>
      </c>
      <c r="CP40">
        <f>IFERROR(INDEX('История отказов'!$AU$5:$AU$1204,SMALL($DJ$2:$DJ$1201,ROWS($CP$4:CP40))),"")</f>
        <v/>
      </c>
      <c r="CR40">
        <f>IFERROR(INDEX('История отказов'!$AY$5:$AY$1204,SMALL($DK$2:$DK$1201,ROWS($CR$3:CR40))),"")</f>
        <v/>
      </c>
      <c r="CT40">
        <f>IFERROR(INDEX('История отказов'!$AE$5:$AE$1204,SMALL($DC$2:$DC$1201,ROWS($CT$3:CT40))),"")</f>
        <v/>
      </c>
      <c r="CU40">
        <f>IFERROR(INDEX('История отказов'!$AE$5:$AE$1204,SMALL($DD$2:$DD$1201,ROWS($CU$4:CU40))),"")</f>
        <v/>
      </c>
      <c r="CV40">
        <f>IFERROR(INDEX('История отказов'!$AE$5:$AE$1204,SMALL($DE$2:$DE$1201,ROWS($CV$4:CV40))),"")</f>
        <v/>
      </c>
      <c r="CW40">
        <f>IFERROR(INDEX('История отказов'!$AE$5:$AE$1204,SMALL($DG$2:$DG$1201,ROWS($CW$3:CW40))),"")</f>
        <v/>
      </c>
      <c r="CX40">
        <f>IFERROR(INDEX('История отказов'!$AE$5:$AE$1204,SMALL($DF$2:$DF$1201,ROWS($CX$3:CX40))),"")</f>
        <v/>
      </c>
      <c r="CY40">
        <f>IFERROR(INDEX('История отказов'!$AE$5:$AE$1204,SMALL($DH$2:$DH$1201,ROWS($CY$7:CY40))),"")</f>
        <v/>
      </c>
      <c r="DA40" t="n">
        <v>1997</v>
      </c>
      <c r="DB40">
        <f>IF('История отказов'!AH43="","",'История отказов'!AH43)</f>
        <v/>
      </c>
      <c r="DC40">
        <f>IF('История отказов'!AE43="","",IF(AND(COUNTIF($CT$2:$CT$2,'История отказов'!AE43)=0,COUNTIFS('История отказов'!$F$5:F43,"ШГН",'История отказов'!$AE$5:AE43,'История отказов'!AE43)=1,'История отказов'!F43="ШГН"),39,""))</f>
        <v/>
      </c>
      <c r="DD40">
        <f>IF('История отказов'!AE43="","",IF(AND(COUNTIF($CU$2:$CU$3,'История отказов'!AE43)=0,COUNTIFS('История отказов'!$F$5:F43,"ЭЦН",'История отказов'!$AE$5:AE43,'История отказов'!AE43)=1,'История отказов'!F43="ЭЦН"),39,""))</f>
        <v/>
      </c>
      <c r="DE40">
        <f>IF('История отказов'!AE43="","",IF(AND(COUNTIF($CV$2:$CV$3,'История отказов'!AE43)=0,COUNTIFS('История отказов'!$F$5:F43,"ЭВН",'История отказов'!$AE$5:AE43,'История отказов'!AE43)=1,'История отказов'!F43="ЭВН"),39,""))</f>
        <v/>
      </c>
      <c r="DF40">
        <f>IF('История отказов'!AE43="","",IF(AND(COUNTIF($CX$2:$CX$2,'История отказов'!AE43)=0,COUNTIFS('История отказов'!$F$5:F43,"ШВН",'История отказов'!$AE$5:AE43,'История отказов'!AE43)=1,'История отказов'!F43="ШВН"),39,""))</f>
        <v/>
      </c>
      <c r="DG40">
        <f>IF('История отказов'!AE43="","",IF(AND(COUNTIF($CW$2:$CW$2,'История отказов'!AE43)=0,COUNTIFS('История отказов'!$F$5:F43,"НПУ-ВД",'История отказов'!$AE$5:AE43,'История отказов'!AE43)=1,'История отказов'!F43="НПУ-ВД"),39,""))</f>
        <v/>
      </c>
      <c r="DH40">
        <f>IF('История отказов'!AE43="","",IF(AND(COUNTIF($CY$2:$CY$6,'История отказов'!AE43)=0,COUNTIF('История отказов'!$AE$5:AE43,'История отказов'!AE43)=1),39,""))</f>
        <v/>
      </c>
      <c r="DI40">
        <f>IF('История отказов'!AK43="","",IF(AND(COUNTIF($CL$2:$CL$3,'История отказов'!AK43)=0,COUNTIF('История отказов'!$AK$5:AK43,'История отказов'!AK43)=1),39,""))</f>
        <v/>
      </c>
      <c r="DJ40">
        <f>IF('История отказов'!AU43="","",IF(AND(COUNTIF($CP$2:$CP$3,'История отказов'!AU43)=0,COUNTIF('История отказов'!$AU$5:AU43,'История отказов'!AU43)=1),39,""))</f>
        <v/>
      </c>
      <c r="DK40">
        <f>IF('История отказов'!AY43="","",IF(AND(COUNTIF($CR$2:$CR$2,'История отказов'!AY43)=0,COUNTIF('История отказов'!$AY$5:AY43,'История отказов'!AY43)=1),39,""))</f>
        <v/>
      </c>
      <c r="DL40">
        <f>IF(DB40="","",IF(AND(COUNTIF($DA$2:$DA$47,DB40)=0,COUNTIF($DB$2:DB40,DB40)=1),39,""))</f>
        <v/>
      </c>
    </row>
    <row r="41">
      <c r="A41" s="74" t="n"/>
      <c r="B41" s="75" t="n"/>
      <c r="C41" s="75" t="n"/>
      <c r="D41" s="75" t="n"/>
      <c r="E41" s="75" t="inlineStr">
        <is>
          <t>3.12.2 — в т.ч. оптимизация (без работы с пластом) [УЭЦН]</t>
        </is>
      </c>
      <c r="F41" s="76" t="n"/>
      <c r="H41" t="inlineStr">
        <is>
          <t>КР4-3 — Приобщение дополнительного количества пластов дострелом для совместной эксплуатации.</t>
        </is>
      </c>
      <c r="J41" s="62" t="inlineStr">
        <is>
          <t>3.12.2 — в т.ч. оптимизация (без работы с пластом) [УЭЦН]</t>
        </is>
      </c>
      <c r="K41" s="62" t="n"/>
      <c r="L41" s="62" t="n"/>
      <c r="M41" s="62" t="n"/>
      <c r="N41" s="62" t="n"/>
      <c r="Q41" t="inlineStr">
        <is>
          <t>Типоразмер ГНО</t>
        </is>
      </c>
      <c r="R41" t="inlineStr">
        <is>
          <t>ЭВН — габарит 5</t>
        </is>
      </c>
      <c r="S41" t="inlineStr">
        <is>
          <t>Каталожный пример</t>
        </is>
      </c>
      <c r="T41" t="inlineStr">
        <is>
          <t>ГМС Ливгидромаш, серия ЭВН</t>
        </is>
      </c>
      <c r="U41" t="inlineStr">
        <is>
          <t>https://www.hms-livgidromash.ru/catalog/nasosy/evn/</t>
        </is>
      </c>
      <c r="V41" t="inlineStr">
        <is>
          <t>ЭВН</t>
        </is>
      </c>
      <c r="AX41" t="inlineStr">
        <is>
          <t>3.12.2 — в т.ч. оптимизация (без работы с пластом) [УЭЦН]</t>
        </is>
      </c>
      <c r="AY41" t="inlineStr">
        <is>
          <t>3.20 — Отказ якоря/анкера/пакера [УШГН]</t>
        </is>
      </c>
      <c r="BA41" t="inlineStr">
        <is>
          <t>КР4-3 — Приобщение дополнительного количества пластов дострелом для совместной эксплуатации.</t>
        </is>
      </c>
      <c r="CJ41" t="inlineStr">
        <is>
          <t>3.12.2 — в т.ч. оптимизация (без работы с пластом) [УЭЦН]</t>
        </is>
      </c>
      <c r="CL41">
        <f>IFERROR(INDEX('История отказов'!$AK$5:$AK$1204,SMALL($DI$2:$DI$1201,ROWS($CL$4:CL41))),"")</f>
        <v/>
      </c>
      <c r="CP41">
        <f>IFERROR(INDEX('История отказов'!$AU$5:$AU$1204,SMALL($DJ$2:$DJ$1201,ROWS($CP$4:CP41))),"")</f>
        <v/>
      </c>
      <c r="CR41">
        <f>IFERROR(INDEX('История отказов'!$AY$5:$AY$1204,SMALL($DK$2:$DK$1201,ROWS($CR$3:CR41))),"")</f>
        <v/>
      </c>
      <c r="CT41">
        <f>IFERROR(INDEX('История отказов'!$AE$5:$AE$1204,SMALL($DC$2:$DC$1201,ROWS($CT$3:CT41))),"")</f>
        <v/>
      </c>
      <c r="CU41">
        <f>IFERROR(INDEX('История отказов'!$AE$5:$AE$1204,SMALL($DD$2:$DD$1201,ROWS($CU$4:CU41))),"")</f>
        <v/>
      </c>
      <c r="CV41">
        <f>IFERROR(INDEX('История отказов'!$AE$5:$AE$1204,SMALL($DE$2:$DE$1201,ROWS($CV$4:CV41))),"")</f>
        <v/>
      </c>
      <c r="CW41">
        <f>IFERROR(INDEX('История отказов'!$AE$5:$AE$1204,SMALL($DG$2:$DG$1201,ROWS($CW$3:CW41))),"")</f>
        <v/>
      </c>
      <c r="CX41">
        <f>IFERROR(INDEX('История отказов'!$AE$5:$AE$1204,SMALL($DF$2:$DF$1201,ROWS($CX$3:CX41))),"")</f>
        <v/>
      </c>
      <c r="CY41">
        <f>IFERROR(INDEX('История отказов'!$AE$5:$AE$1204,SMALL($DH$2:$DH$1201,ROWS($CY$7:CY41))),"")</f>
        <v/>
      </c>
      <c r="DA41" t="n">
        <v>1996</v>
      </c>
      <c r="DB41">
        <f>IF('История отказов'!AH44="","",'История отказов'!AH44)</f>
        <v/>
      </c>
      <c r="DC41">
        <f>IF('История отказов'!AE44="","",IF(AND(COUNTIF($CT$2:$CT$2,'История отказов'!AE44)=0,COUNTIFS('История отказов'!$F$5:F44,"ШГН",'История отказов'!$AE$5:AE44,'История отказов'!AE44)=1,'История отказов'!F44="ШГН"),40,""))</f>
        <v/>
      </c>
      <c r="DD41">
        <f>IF('История отказов'!AE44="","",IF(AND(COUNTIF($CU$2:$CU$3,'История отказов'!AE44)=0,COUNTIFS('История отказов'!$F$5:F44,"ЭЦН",'История отказов'!$AE$5:AE44,'История отказов'!AE44)=1,'История отказов'!F44="ЭЦН"),40,""))</f>
        <v/>
      </c>
      <c r="DE41">
        <f>IF('История отказов'!AE44="","",IF(AND(COUNTIF($CV$2:$CV$3,'История отказов'!AE44)=0,COUNTIFS('История отказов'!$F$5:F44,"ЭВН",'История отказов'!$AE$5:AE44,'История отказов'!AE44)=1,'История отказов'!F44="ЭВН"),40,""))</f>
        <v/>
      </c>
      <c r="DF41">
        <f>IF('История отказов'!AE44="","",IF(AND(COUNTIF($CX$2:$CX$2,'История отказов'!AE44)=0,COUNTIFS('История отказов'!$F$5:F44,"ШВН",'История отказов'!$AE$5:AE44,'История отказов'!AE44)=1,'История отказов'!F44="ШВН"),40,""))</f>
        <v/>
      </c>
      <c r="DG41">
        <f>IF('История отказов'!AE44="","",IF(AND(COUNTIF($CW$2:$CW$2,'История отказов'!AE44)=0,COUNTIFS('История отказов'!$F$5:F44,"НПУ-ВД",'История отказов'!$AE$5:AE44,'История отказов'!AE44)=1,'История отказов'!F44="НПУ-ВД"),40,""))</f>
        <v/>
      </c>
      <c r="DH41">
        <f>IF('История отказов'!AE44="","",IF(AND(COUNTIF($CY$2:$CY$6,'История отказов'!AE44)=0,COUNTIF('История отказов'!$AE$5:AE44,'История отказов'!AE44)=1),40,""))</f>
        <v/>
      </c>
      <c r="DI41">
        <f>IF('История отказов'!AK44="","",IF(AND(COUNTIF($CL$2:$CL$3,'История отказов'!AK44)=0,COUNTIF('История отказов'!$AK$5:AK44,'История отказов'!AK44)=1),40,""))</f>
        <v/>
      </c>
      <c r="DJ41">
        <f>IF('История отказов'!AU44="","",IF(AND(COUNTIF($CP$2:$CP$3,'История отказов'!AU44)=0,COUNTIF('История отказов'!$AU$5:AU44,'История отказов'!AU44)=1),40,""))</f>
        <v/>
      </c>
      <c r="DK41">
        <f>IF('История отказов'!AY44="","",IF(AND(COUNTIF($CR$2:$CR$2,'История отказов'!AY44)=0,COUNTIF('История отказов'!$AY$5:AY44,'История отказов'!AY44)=1),40,""))</f>
        <v/>
      </c>
      <c r="DL41">
        <f>IF(DB41="","",IF(AND(COUNTIF($DA$2:$DA$47,DB41)=0,COUNTIF($DB$2:DB41,DB41)=1),40,""))</f>
        <v/>
      </c>
    </row>
    <row r="42">
      <c r="A42" s="74" t="n"/>
      <c r="B42" s="75" t="n"/>
      <c r="C42" s="75" t="n"/>
      <c r="D42" s="75" t="n"/>
      <c r="E42" s="75" t="inlineStr">
        <is>
          <t>3.12.3 — в т.ч работа с пластом (ГРП, ОПЗ, ПВР и т.д.) [УЭЦН]</t>
        </is>
      </c>
      <c r="F42" s="76" t="n"/>
      <c r="H42" t="inlineStr">
        <is>
          <t>КР5-1 — Внедрение и ремонт установок типа ОРЭ, ОРЗ, пакеров-отсекателей.</t>
        </is>
      </c>
      <c r="J42" s="62" t="inlineStr">
        <is>
          <t>3.12.3 — в т.ч работа с пластом (ГРП, ОПЗ, ПВР и т.д.) [УЭЦН]</t>
        </is>
      </c>
      <c r="K42" s="62" t="n"/>
      <c r="L42" s="62" t="n"/>
      <c r="M42" s="62" t="n"/>
      <c r="N42" s="62" t="n"/>
      <c r="Q42" t="inlineStr">
        <is>
          <t>Марка ГНО</t>
        </is>
      </c>
      <c r="R42" t="inlineStr">
        <is>
          <t>ШГН — серия НВ1С-27</t>
        </is>
      </c>
      <c r="S42" t="inlineStr">
        <is>
          <t>Каталожный пример / серия</t>
        </is>
      </c>
      <c r="T42" t="inlineStr">
        <is>
          <t>ГОСТ 31835-2012 / AmasEnergy</t>
        </is>
      </c>
      <c r="U42" t="inlineStr">
        <is>
          <t>https://www.amasenergy.com/ru/product/879</t>
        </is>
      </c>
      <c r="V42" t="inlineStr">
        <is>
          <t>ШГН</t>
        </is>
      </c>
      <c r="AX42" t="inlineStr">
        <is>
          <t>3.12.3 — в т.ч работа с пластом (ГРП, ОПЗ, ПВР и т.д.) [УЭЦН]</t>
        </is>
      </c>
      <c r="AY42" t="inlineStr">
        <is>
          <t>3.21 — ГЕОЛОГО-ТЕХНИЧЕСКИЕ МЕРОПРИЯТИЯ (ГТМ) [УШГН]</t>
        </is>
      </c>
      <c r="BA42" t="inlineStr">
        <is>
          <t>КР5-1 — Внедрение и ремонт установок типа ОРЭ, ОРЗ, пакеров-отсекателей.</t>
        </is>
      </c>
      <c r="CJ42" t="inlineStr">
        <is>
          <t>3.12.3 — в т.ч работа с пластом (ГРП, ОПЗ, ПВР и т.д.) [УЭЦН]</t>
        </is>
      </c>
      <c r="CL42">
        <f>IFERROR(INDEX('История отказов'!$AK$5:$AK$1204,SMALL($DI$2:$DI$1201,ROWS($CL$4:CL42))),"")</f>
        <v/>
      </c>
      <c r="CP42">
        <f>IFERROR(INDEX('История отказов'!$AU$5:$AU$1204,SMALL($DJ$2:$DJ$1201,ROWS($CP$4:CP42))),"")</f>
        <v/>
      </c>
      <c r="CR42">
        <f>IFERROR(INDEX('История отказов'!$AY$5:$AY$1204,SMALL($DK$2:$DK$1201,ROWS($CR$3:CR42))),"")</f>
        <v/>
      </c>
      <c r="CT42">
        <f>IFERROR(INDEX('История отказов'!$AE$5:$AE$1204,SMALL($DC$2:$DC$1201,ROWS($CT$3:CT42))),"")</f>
        <v/>
      </c>
      <c r="CU42">
        <f>IFERROR(INDEX('История отказов'!$AE$5:$AE$1204,SMALL($DD$2:$DD$1201,ROWS($CU$4:CU42))),"")</f>
        <v/>
      </c>
      <c r="CV42">
        <f>IFERROR(INDEX('История отказов'!$AE$5:$AE$1204,SMALL($DE$2:$DE$1201,ROWS($CV$4:CV42))),"")</f>
        <v/>
      </c>
      <c r="CW42">
        <f>IFERROR(INDEX('История отказов'!$AE$5:$AE$1204,SMALL($DG$2:$DG$1201,ROWS($CW$3:CW42))),"")</f>
        <v/>
      </c>
      <c r="CX42">
        <f>IFERROR(INDEX('История отказов'!$AE$5:$AE$1204,SMALL($DF$2:$DF$1201,ROWS($CX$3:CX42))),"")</f>
        <v/>
      </c>
      <c r="CY42">
        <f>IFERROR(INDEX('История отказов'!$AE$5:$AE$1204,SMALL($DH$2:$DH$1201,ROWS($CY$7:CY42))),"")</f>
        <v/>
      </c>
      <c r="DA42" t="n">
        <v>1995</v>
      </c>
      <c r="DB42">
        <f>IF('История отказов'!AH45="","",'История отказов'!AH45)</f>
        <v/>
      </c>
      <c r="DC42">
        <f>IF('История отказов'!AE45="","",IF(AND(COUNTIF($CT$2:$CT$2,'История отказов'!AE45)=0,COUNTIFS('История отказов'!$F$5:F45,"ШГН",'История отказов'!$AE$5:AE45,'История отказов'!AE45)=1,'История отказов'!F45="ШГН"),41,""))</f>
        <v/>
      </c>
      <c r="DD42">
        <f>IF('История отказов'!AE45="","",IF(AND(COUNTIF($CU$2:$CU$3,'История отказов'!AE45)=0,COUNTIFS('История отказов'!$F$5:F45,"ЭЦН",'История отказов'!$AE$5:AE45,'История отказов'!AE45)=1,'История отказов'!F45="ЭЦН"),41,""))</f>
        <v/>
      </c>
      <c r="DE42">
        <f>IF('История отказов'!AE45="","",IF(AND(COUNTIF($CV$2:$CV$3,'История отказов'!AE45)=0,COUNTIFS('История отказов'!$F$5:F45,"ЭВН",'История отказов'!$AE$5:AE45,'История отказов'!AE45)=1,'История отказов'!F45="ЭВН"),41,""))</f>
        <v/>
      </c>
      <c r="DF42">
        <f>IF('История отказов'!AE45="","",IF(AND(COUNTIF($CX$2:$CX$2,'История отказов'!AE45)=0,COUNTIFS('История отказов'!$F$5:F45,"ШВН",'История отказов'!$AE$5:AE45,'История отказов'!AE45)=1,'История отказов'!F45="ШВН"),41,""))</f>
        <v/>
      </c>
      <c r="DG42">
        <f>IF('История отказов'!AE45="","",IF(AND(COUNTIF($CW$2:$CW$2,'История отказов'!AE45)=0,COUNTIFS('История отказов'!$F$5:F45,"НПУ-ВД",'История отказов'!$AE$5:AE45,'История отказов'!AE45)=1,'История отказов'!F45="НПУ-ВД"),41,""))</f>
        <v/>
      </c>
      <c r="DH42">
        <f>IF('История отказов'!AE45="","",IF(AND(COUNTIF($CY$2:$CY$6,'История отказов'!AE45)=0,COUNTIF('История отказов'!$AE$5:AE45,'История отказов'!AE45)=1),41,""))</f>
        <v/>
      </c>
      <c r="DI42">
        <f>IF('История отказов'!AK45="","",IF(AND(COUNTIF($CL$2:$CL$3,'История отказов'!AK45)=0,COUNTIF('История отказов'!$AK$5:AK45,'История отказов'!AK45)=1),41,""))</f>
        <v/>
      </c>
      <c r="DJ42">
        <f>IF('История отказов'!AU45="","",IF(AND(COUNTIF($CP$2:$CP$3,'История отказов'!AU45)=0,COUNTIF('История отказов'!$AU$5:AU45,'История отказов'!AU45)=1),41,""))</f>
        <v/>
      </c>
      <c r="DK42">
        <f>IF('История отказов'!AY45="","",IF(AND(COUNTIF($CR$2:$CR$2,'История отказов'!AY45)=0,COUNTIF('История отказов'!$AY$5:AY45,'История отказов'!AY45)=1),41,""))</f>
        <v/>
      </c>
      <c r="DL42">
        <f>IF(DB42="","",IF(AND(COUNTIF($DA$2:$DA$47,DB42)=0,COUNTIF($DB$2:DB42,DB42)=1),41,""))</f>
        <v/>
      </c>
    </row>
    <row r="43">
      <c r="A43" s="74" t="n"/>
      <c r="B43" s="75" t="n"/>
      <c r="C43" s="75" t="n"/>
      <c r="D43" s="75" t="n"/>
      <c r="E43" s="75" t="inlineStr">
        <is>
          <t>3.12.4 — в т.ч. проведение ГИС (поиск источника обводнения, исследования с Y-Tool) [УЭЦН]</t>
        </is>
      </c>
      <c r="F43" s="76" t="n"/>
      <c r="H43" t="inlineStr">
        <is>
          <t>КР5-2 — Внедрение и ремонт установок систем комплексов защиты пласта типа КЗП-140, КЗП-146, КЗП-168 и др.</t>
        </is>
      </c>
      <c r="J43" s="62" t="inlineStr">
        <is>
          <t>3.12.4 — в т.ч. проведение ГИС (поиск источника обводнения, исследования с Y-Tool) [УЭЦН]</t>
        </is>
      </c>
      <c r="K43" s="62" t="n"/>
      <c r="L43" s="62" t="n"/>
      <c r="M43" s="62" t="n"/>
      <c r="N43" s="62" t="n"/>
      <c r="Q43" t="inlineStr">
        <is>
          <t>Марка ГНО</t>
        </is>
      </c>
      <c r="R43" t="inlineStr">
        <is>
          <t>ШГН — серия НВ1С-32</t>
        </is>
      </c>
      <c r="S43" t="inlineStr">
        <is>
          <t>Каталожный пример / серия</t>
        </is>
      </c>
      <c r="T43" t="inlineStr">
        <is>
          <t>ГОСТ 31835-2012 / AmasEnergy</t>
        </is>
      </c>
      <c r="U43" t="inlineStr">
        <is>
          <t>https://www.amasenergy.com/ru/product/879</t>
        </is>
      </c>
      <c r="V43" t="inlineStr">
        <is>
          <t>ШГН</t>
        </is>
      </c>
      <c r="AX43" t="inlineStr">
        <is>
          <t>3.12.4 — в т.ч. проведение ГИС (поиск источника обводнения, исследования с Y-Tool) [УЭЦН]</t>
        </is>
      </c>
      <c r="AY43" t="inlineStr">
        <is>
          <t>3.22 — Прочие [УШГН]</t>
        </is>
      </c>
      <c r="BA43" t="inlineStr">
        <is>
          <t>КР5-2 — Внедрение и ремонт установок систем комплексов защиты пласта типа КЗП-140, КЗП-146, КЗП-168 и др.</t>
        </is>
      </c>
      <c r="CJ43" t="inlineStr">
        <is>
          <t>3.12.4 — в т.ч. проведение ГИС (поиск источника обводнения, исследования с Y-Tool) [УЭЦН]</t>
        </is>
      </c>
      <c r="CL43">
        <f>IFERROR(INDEX('История отказов'!$AK$5:$AK$1204,SMALL($DI$2:$DI$1201,ROWS($CL$4:CL43))),"")</f>
        <v/>
      </c>
      <c r="CP43">
        <f>IFERROR(INDEX('История отказов'!$AU$5:$AU$1204,SMALL($DJ$2:$DJ$1201,ROWS($CP$4:CP43))),"")</f>
        <v/>
      </c>
      <c r="CR43">
        <f>IFERROR(INDEX('История отказов'!$AY$5:$AY$1204,SMALL($DK$2:$DK$1201,ROWS($CR$3:CR43))),"")</f>
        <v/>
      </c>
      <c r="CT43">
        <f>IFERROR(INDEX('История отказов'!$AE$5:$AE$1204,SMALL($DC$2:$DC$1201,ROWS($CT$3:CT43))),"")</f>
        <v/>
      </c>
      <c r="CU43">
        <f>IFERROR(INDEX('История отказов'!$AE$5:$AE$1204,SMALL($DD$2:$DD$1201,ROWS($CU$4:CU43))),"")</f>
        <v/>
      </c>
      <c r="CV43">
        <f>IFERROR(INDEX('История отказов'!$AE$5:$AE$1204,SMALL($DE$2:$DE$1201,ROWS($CV$4:CV43))),"")</f>
        <v/>
      </c>
      <c r="CW43">
        <f>IFERROR(INDEX('История отказов'!$AE$5:$AE$1204,SMALL($DG$2:$DG$1201,ROWS($CW$3:CW43))),"")</f>
        <v/>
      </c>
      <c r="CX43">
        <f>IFERROR(INDEX('История отказов'!$AE$5:$AE$1204,SMALL($DF$2:$DF$1201,ROWS($CX$3:CX43))),"")</f>
        <v/>
      </c>
      <c r="CY43">
        <f>IFERROR(INDEX('История отказов'!$AE$5:$AE$1204,SMALL($DH$2:$DH$1201,ROWS($CY$7:CY43))),"")</f>
        <v/>
      </c>
      <c r="DA43" t="n">
        <v>1994</v>
      </c>
      <c r="DB43">
        <f>IF('История отказов'!AH46="","",'История отказов'!AH46)</f>
        <v/>
      </c>
      <c r="DC43">
        <f>IF('История отказов'!AE46="","",IF(AND(COUNTIF($CT$2:$CT$2,'История отказов'!AE46)=0,COUNTIFS('История отказов'!$F$5:F46,"ШГН",'История отказов'!$AE$5:AE46,'История отказов'!AE46)=1,'История отказов'!F46="ШГН"),42,""))</f>
        <v/>
      </c>
      <c r="DD43">
        <f>IF('История отказов'!AE46="","",IF(AND(COUNTIF($CU$2:$CU$3,'История отказов'!AE46)=0,COUNTIFS('История отказов'!$F$5:F46,"ЭЦН",'История отказов'!$AE$5:AE46,'История отказов'!AE46)=1,'История отказов'!F46="ЭЦН"),42,""))</f>
        <v/>
      </c>
      <c r="DE43">
        <f>IF('История отказов'!AE46="","",IF(AND(COUNTIF($CV$2:$CV$3,'История отказов'!AE46)=0,COUNTIFS('История отказов'!$F$5:F46,"ЭВН",'История отказов'!$AE$5:AE46,'История отказов'!AE46)=1,'История отказов'!F46="ЭВН"),42,""))</f>
        <v/>
      </c>
      <c r="DF43">
        <f>IF('История отказов'!AE46="","",IF(AND(COUNTIF($CX$2:$CX$2,'История отказов'!AE46)=0,COUNTIFS('История отказов'!$F$5:F46,"ШВН",'История отказов'!$AE$5:AE46,'История отказов'!AE46)=1,'История отказов'!F46="ШВН"),42,""))</f>
        <v/>
      </c>
      <c r="DG43">
        <f>IF('История отказов'!AE46="","",IF(AND(COUNTIF($CW$2:$CW$2,'История отказов'!AE46)=0,COUNTIFS('История отказов'!$F$5:F46,"НПУ-ВД",'История отказов'!$AE$5:AE46,'История отказов'!AE46)=1,'История отказов'!F46="НПУ-ВД"),42,""))</f>
        <v/>
      </c>
      <c r="DH43">
        <f>IF('История отказов'!AE46="","",IF(AND(COUNTIF($CY$2:$CY$6,'История отказов'!AE46)=0,COUNTIF('История отказов'!$AE$5:AE46,'История отказов'!AE46)=1),42,""))</f>
        <v/>
      </c>
      <c r="DI43">
        <f>IF('История отказов'!AK46="","",IF(AND(COUNTIF($CL$2:$CL$3,'История отказов'!AK46)=0,COUNTIF('История отказов'!$AK$5:AK46,'История отказов'!AK46)=1),42,""))</f>
        <v/>
      </c>
      <c r="DJ43">
        <f>IF('История отказов'!AU46="","",IF(AND(COUNTIF($CP$2:$CP$3,'История отказов'!AU46)=0,COUNTIF('История отказов'!$AU$5:AU46,'История отказов'!AU46)=1),42,""))</f>
        <v/>
      </c>
      <c r="DK43">
        <f>IF('История отказов'!AY46="","",IF(AND(COUNTIF($CR$2:$CR$2,'История отказов'!AY46)=0,COUNTIF('История отказов'!$AY$5:AY46,'История отказов'!AY46)=1),42,""))</f>
        <v/>
      </c>
      <c r="DL43">
        <f>IF(DB43="","",IF(AND(COUNTIF($DA$2:$DA$47,DB43)=0,COUNTIF($DB$2:DB43,DB43)=1),42,""))</f>
        <v/>
      </c>
    </row>
    <row r="44">
      <c r="A44" s="74" t="n"/>
      <c r="B44" s="75" t="n"/>
      <c r="C44" s="75" t="n"/>
      <c r="D44" s="75" t="n"/>
      <c r="E44" s="75" t="inlineStr">
        <is>
          <t>3.12.5 — в т.ч. перевод в ППД [УЭЦН]</t>
        </is>
      </c>
      <c r="F44" s="76" t="n"/>
      <c r="H44" t="inlineStr">
        <is>
          <t>КР6-1 — Зарезка и бурение бокового (ых) ствола (ов) в аварийной скважине.</t>
        </is>
      </c>
      <c r="J44" s="62" t="inlineStr">
        <is>
          <t>3.12.5 — в т.ч. перевод в ППД [УЭЦН]</t>
        </is>
      </c>
      <c r="K44" s="62" t="n"/>
      <c r="L44" s="62" t="n"/>
      <c r="M44" s="62" t="n"/>
      <c r="N44" s="62" t="n"/>
      <c r="Q44" t="inlineStr">
        <is>
          <t>Марка ГНО</t>
        </is>
      </c>
      <c r="R44" t="inlineStr">
        <is>
          <t>ШГН — серия НВ1С-38</t>
        </is>
      </c>
      <c r="S44" t="inlineStr">
        <is>
          <t>Каталожный пример / серия</t>
        </is>
      </c>
      <c r="T44" t="inlineStr">
        <is>
          <t>ГОСТ 31835-2012 / AmasEnergy</t>
        </is>
      </c>
      <c r="U44" t="inlineStr">
        <is>
          <t>https://www.amasenergy.com/ru/product/879</t>
        </is>
      </c>
      <c r="V44" t="inlineStr">
        <is>
          <t>ШГН</t>
        </is>
      </c>
      <c r="AX44" t="inlineStr">
        <is>
          <t>3.12.5 — в т.ч. перевод в ППД [УЭЦН]</t>
        </is>
      </c>
      <c r="AY44" t="inlineStr">
        <is>
          <t>4.1 — Некачественный ремонт и подготовки ШГН, ШВН, штанг, НКТ. [УШГН]</t>
        </is>
      </c>
      <c r="BA44" t="inlineStr">
        <is>
          <t>КР6-1 — Зарезка и бурение бокового (ых) ствола (ов) в аварийной скважине.</t>
        </is>
      </c>
      <c r="CJ44" t="inlineStr">
        <is>
          <t>3.12.5 — в т.ч. перевод в ППД [УЭЦН]</t>
        </is>
      </c>
      <c r="CL44">
        <f>IFERROR(INDEX('История отказов'!$AK$5:$AK$1204,SMALL($DI$2:$DI$1201,ROWS($CL$4:CL44))),"")</f>
        <v/>
      </c>
      <c r="CP44">
        <f>IFERROR(INDEX('История отказов'!$AU$5:$AU$1204,SMALL($DJ$2:$DJ$1201,ROWS($CP$4:CP44))),"")</f>
        <v/>
      </c>
      <c r="CR44">
        <f>IFERROR(INDEX('История отказов'!$AY$5:$AY$1204,SMALL($DK$2:$DK$1201,ROWS($CR$3:CR44))),"")</f>
        <v/>
      </c>
      <c r="CT44">
        <f>IFERROR(INDEX('История отказов'!$AE$5:$AE$1204,SMALL($DC$2:$DC$1201,ROWS($CT$3:CT44))),"")</f>
        <v/>
      </c>
      <c r="CU44">
        <f>IFERROR(INDEX('История отказов'!$AE$5:$AE$1204,SMALL($DD$2:$DD$1201,ROWS($CU$4:CU44))),"")</f>
        <v/>
      </c>
      <c r="CV44">
        <f>IFERROR(INDEX('История отказов'!$AE$5:$AE$1204,SMALL($DE$2:$DE$1201,ROWS($CV$4:CV44))),"")</f>
        <v/>
      </c>
      <c r="CW44">
        <f>IFERROR(INDEX('История отказов'!$AE$5:$AE$1204,SMALL($DG$2:$DG$1201,ROWS($CW$3:CW44))),"")</f>
        <v/>
      </c>
      <c r="CX44">
        <f>IFERROR(INDEX('История отказов'!$AE$5:$AE$1204,SMALL($DF$2:$DF$1201,ROWS($CX$3:CX44))),"")</f>
        <v/>
      </c>
      <c r="CY44">
        <f>IFERROR(INDEX('История отказов'!$AE$5:$AE$1204,SMALL($DH$2:$DH$1201,ROWS($CY$7:CY44))),"")</f>
        <v/>
      </c>
      <c r="DA44" t="n">
        <v>1993</v>
      </c>
      <c r="DB44">
        <f>IF('История отказов'!AH47="","",'История отказов'!AH47)</f>
        <v/>
      </c>
      <c r="DC44">
        <f>IF('История отказов'!AE47="","",IF(AND(COUNTIF($CT$2:$CT$2,'История отказов'!AE47)=0,COUNTIFS('История отказов'!$F$5:F47,"ШГН",'История отказов'!$AE$5:AE47,'История отказов'!AE47)=1,'История отказов'!F47="ШГН"),43,""))</f>
        <v/>
      </c>
      <c r="DD44">
        <f>IF('История отказов'!AE47="","",IF(AND(COUNTIF($CU$2:$CU$3,'История отказов'!AE47)=0,COUNTIFS('История отказов'!$F$5:F47,"ЭЦН",'История отказов'!$AE$5:AE47,'История отказов'!AE47)=1,'История отказов'!F47="ЭЦН"),43,""))</f>
        <v/>
      </c>
      <c r="DE44">
        <f>IF('История отказов'!AE47="","",IF(AND(COUNTIF($CV$2:$CV$3,'История отказов'!AE47)=0,COUNTIFS('История отказов'!$F$5:F47,"ЭВН",'История отказов'!$AE$5:AE47,'История отказов'!AE47)=1,'История отказов'!F47="ЭВН"),43,""))</f>
        <v/>
      </c>
      <c r="DF44">
        <f>IF('История отказов'!AE47="","",IF(AND(COUNTIF($CX$2:$CX$2,'История отказов'!AE47)=0,COUNTIFS('История отказов'!$F$5:F47,"ШВН",'История отказов'!$AE$5:AE47,'История отказов'!AE47)=1,'История отказов'!F47="ШВН"),43,""))</f>
        <v/>
      </c>
      <c r="DG44">
        <f>IF('История отказов'!AE47="","",IF(AND(COUNTIF($CW$2:$CW$2,'История отказов'!AE47)=0,COUNTIFS('История отказов'!$F$5:F47,"НПУ-ВД",'История отказов'!$AE$5:AE47,'История отказов'!AE47)=1,'История отказов'!F47="НПУ-ВД"),43,""))</f>
        <v/>
      </c>
      <c r="DH44">
        <f>IF('История отказов'!AE47="","",IF(AND(COUNTIF($CY$2:$CY$6,'История отказов'!AE47)=0,COUNTIF('История отказов'!$AE$5:AE47,'История отказов'!AE47)=1),43,""))</f>
        <v/>
      </c>
      <c r="DI44">
        <f>IF('История отказов'!AK47="","",IF(AND(COUNTIF($CL$2:$CL$3,'История отказов'!AK47)=0,COUNTIF('История отказов'!$AK$5:AK47,'История отказов'!AK47)=1),43,""))</f>
        <v/>
      </c>
      <c r="DJ44">
        <f>IF('История отказов'!AU47="","",IF(AND(COUNTIF($CP$2:$CP$3,'История отказов'!AU47)=0,COUNTIF('История отказов'!$AU$5:AU47,'История отказов'!AU47)=1),43,""))</f>
        <v/>
      </c>
      <c r="DK44">
        <f>IF('История отказов'!AY47="","",IF(AND(COUNTIF($CR$2:$CR$2,'История отказов'!AY47)=0,COUNTIF('История отказов'!$AY$5:AY47,'История отказов'!AY47)=1),43,""))</f>
        <v/>
      </c>
      <c r="DL44">
        <f>IF(DB44="","",IF(AND(COUNTIF($DA$2:$DA$47,DB44)=0,COUNTIF($DB$2:DB44,DB44)=1),43,""))</f>
        <v/>
      </c>
    </row>
    <row r="45">
      <c r="A45" s="74" t="n"/>
      <c r="B45" s="75" t="n"/>
      <c r="C45" s="75" t="n"/>
      <c r="D45" s="75" t="n"/>
      <c r="E45" s="75" t="inlineStr">
        <is>
          <t>3.12.6 — в т.ч. извлечение оборудования из скважин (консервация, пьезометр и т.д.) [УЭЦН]</t>
        </is>
      </c>
      <c r="F45" s="76" t="n"/>
      <c r="H45" t="inlineStr">
        <is>
          <t>КР6-2 — Зарезка и бурение бокового (ых) ствола (ов) в преждевременно обводненной или низкопродуктивной скважинах.</t>
        </is>
      </c>
      <c r="J45" s="62" t="inlineStr">
        <is>
          <t>3.12.6 — в т.ч. извлечение оборудования из скважин (консервация, пьезометр и т.д.) [УЭЦН]</t>
        </is>
      </c>
      <c r="K45" s="62" t="n"/>
      <c r="L45" s="62" t="n"/>
      <c r="M45" s="62" t="n"/>
      <c r="N45" s="62" t="n"/>
      <c r="Q45" t="inlineStr">
        <is>
          <t>Марка ГНО</t>
        </is>
      </c>
      <c r="R45" t="inlineStr">
        <is>
          <t>ШГН — серия НВ1С-44</t>
        </is>
      </c>
      <c r="S45" t="inlineStr">
        <is>
          <t>Каталожный пример / серия</t>
        </is>
      </c>
      <c r="T45" t="inlineStr">
        <is>
          <t>ГОСТ 31835-2012 / AmasEnergy</t>
        </is>
      </c>
      <c r="U45" t="inlineStr">
        <is>
          <t>https://www.amasenergy.com/ru/product/879</t>
        </is>
      </c>
      <c r="V45" t="inlineStr">
        <is>
          <t>ШГН</t>
        </is>
      </c>
      <c r="AX45" t="inlineStr">
        <is>
          <t>3.12.6 — в т.ч. извлечение оборудования из скважин (консервация, пьезометр и т.д.) [УЭЦН]</t>
        </is>
      </c>
      <c r="AY45" t="inlineStr">
        <is>
          <t>4.2 — Некачественный ремонт дополнительного оборудования [УШГН]</t>
        </is>
      </c>
      <c r="BA45" t="inlineStr">
        <is>
          <t>КР6-2 — Зарезка и бурение бокового (ых) ствола (ов) в преждевременно обводненной или низкопродуктивной скважинах.</t>
        </is>
      </c>
      <c r="CJ45" t="inlineStr">
        <is>
          <t>3.12.6 — в т.ч. извлечение оборудования из скважин (консервация, пьезометр и т.д.) [УЭЦН]</t>
        </is>
      </c>
      <c r="CL45">
        <f>IFERROR(INDEX('История отказов'!$AK$5:$AK$1204,SMALL($DI$2:$DI$1201,ROWS($CL$4:CL45))),"")</f>
        <v/>
      </c>
      <c r="CP45">
        <f>IFERROR(INDEX('История отказов'!$AU$5:$AU$1204,SMALL($DJ$2:$DJ$1201,ROWS($CP$4:CP45))),"")</f>
        <v/>
      </c>
      <c r="CR45">
        <f>IFERROR(INDEX('История отказов'!$AY$5:$AY$1204,SMALL($DK$2:$DK$1201,ROWS($CR$3:CR45))),"")</f>
        <v/>
      </c>
      <c r="CT45">
        <f>IFERROR(INDEX('История отказов'!$AE$5:$AE$1204,SMALL($DC$2:$DC$1201,ROWS($CT$3:CT45))),"")</f>
        <v/>
      </c>
      <c r="CU45">
        <f>IFERROR(INDEX('История отказов'!$AE$5:$AE$1204,SMALL($DD$2:$DD$1201,ROWS($CU$4:CU45))),"")</f>
        <v/>
      </c>
      <c r="CV45">
        <f>IFERROR(INDEX('История отказов'!$AE$5:$AE$1204,SMALL($DE$2:$DE$1201,ROWS($CV$4:CV45))),"")</f>
        <v/>
      </c>
      <c r="CW45">
        <f>IFERROR(INDEX('История отказов'!$AE$5:$AE$1204,SMALL($DG$2:$DG$1201,ROWS($CW$3:CW45))),"")</f>
        <v/>
      </c>
      <c r="CX45">
        <f>IFERROR(INDEX('История отказов'!$AE$5:$AE$1204,SMALL($DF$2:$DF$1201,ROWS($CX$3:CX45))),"")</f>
        <v/>
      </c>
      <c r="CY45">
        <f>IFERROR(INDEX('История отказов'!$AE$5:$AE$1204,SMALL($DH$2:$DH$1201,ROWS($CY$7:CY45))),"")</f>
        <v/>
      </c>
      <c r="DA45" t="n">
        <v>1992</v>
      </c>
      <c r="DB45">
        <f>IF('История отказов'!AH48="","",'История отказов'!AH48)</f>
        <v/>
      </c>
      <c r="DC45">
        <f>IF('История отказов'!AE48="","",IF(AND(COUNTIF($CT$2:$CT$2,'История отказов'!AE48)=0,COUNTIFS('История отказов'!$F$5:F48,"ШГН",'История отказов'!$AE$5:AE48,'История отказов'!AE48)=1,'История отказов'!F48="ШГН"),44,""))</f>
        <v/>
      </c>
      <c r="DD45">
        <f>IF('История отказов'!AE48="","",IF(AND(COUNTIF($CU$2:$CU$3,'История отказов'!AE48)=0,COUNTIFS('История отказов'!$F$5:F48,"ЭЦН",'История отказов'!$AE$5:AE48,'История отказов'!AE48)=1,'История отказов'!F48="ЭЦН"),44,""))</f>
        <v/>
      </c>
      <c r="DE45">
        <f>IF('История отказов'!AE48="","",IF(AND(COUNTIF($CV$2:$CV$3,'История отказов'!AE48)=0,COUNTIFS('История отказов'!$F$5:F48,"ЭВН",'История отказов'!$AE$5:AE48,'История отказов'!AE48)=1,'История отказов'!F48="ЭВН"),44,""))</f>
        <v/>
      </c>
      <c r="DF45">
        <f>IF('История отказов'!AE48="","",IF(AND(COUNTIF($CX$2:$CX$2,'История отказов'!AE48)=0,COUNTIFS('История отказов'!$F$5:F48,"ШВН",'История отказов'!$AE$5:AE48,'История отказов'!AE48)=1,'История отказов'!F48="ШВН"),44,""))</f>
        <v/>
      </c>
      <c r="DG45">
        <f>IF('История отказов'!AE48="","",IF(AND(COUNTIF($CW$2:$CW$2,'История отказов'!AE48)=0,COUNTIFS('История отказов'!$F$5:F48,"НПУ-ВД",'История отказов'!$AE$5:AE48,'История отказов'!AE48)=1,'История отказов'!F48="НПУ-ВД"),44,""))</f>
        <v/>
      </c>
      <c r="DH45">
        <f>IF('История отказов'!AE48="","",IF(AND(COUNTIF($CY$2:$CY$6,'История отказов'!AE48)=0,COUNTIF('История отказов'!$AE$5:AE48,'История отказов'!AE48)=1),44,""))</f>
        <v/>
      </c>
      <c r="DI45">
        <f>IF('История отказов'!AK48="","",IF(AND(COUNTIF($CL$2:$CL$3,'История отказов'!AK48)=0,COUNTIF('История отказов'!$AK$5:AK48,'История отказов'!AK48)=1),44,""))</f>
        <v/>
      </c>
      <c r="DJ45">
        <f>IF('История отказов'!AU48="","",IF(AND(COUNTIF($CP$2:$CP$3,'История отказов'!AU48)=0,COUNTIF('История отказов'!$AU$5:AU48,'История отказов'!AU48)=1),44,""))</f>
        <v/>
      </c>
      <c r="DK45">
        <f>IF('История отказов'!AY48="","",IF(AND(COUNTIF($CR$2:$CR$2,'История отказов'!AY48)=0,COUNTIF('История отказов'!$AY$5:AY48,'История отказов'!AY48)=1),44,""))</f>
        <v/>
      </c>
      <c r="DL45">
        <f>IF(DB45="","",IF(AND(COUNTIF($DA$2:$DA$47,DB45)=0,COUNTIF($DB$2:DB45,DB45)=1),44,""))</f>
        <v/>
      </c>
    </row>
    <row r="46">
      <c r="A46" s="74" t="n"/>
      <c r="B46" s="75" t="n"/>
      <c r="C46" s="75" t="n"/>
      <c r="D46" s="75" t="n"/>
      <c r="E46" s="75" t="inlineStr">
        <is>
          <t>3.13 — Некачественная подготовка скважины [УЭЦН]</t>
        </is>
      </c>
      <c r="F46" s="76" t="n"/>
      <c r="H46" t="inlineStr">
        <is>
          <t>КР6-3 — Зарезка бокового или продолжение ствола скважины с переходом на горизонтальный участок в преждевременно обводненной или в низкопродуктивной скважинах.</t>
        </is>
      </c>
      <c r="J46" s="62" t="inlineStr">
        <is>
          <t>3.13 — Некачественная подготовка скважины [УЭЦН]</t>
        </is>
      </c>
      <c r="K46" s="62" t="n"/>
      <c r="L46" s="62" t="n"/>
      <c r="M46" s="62" t="n"/>
      <c r="N46" s="62" t="n"/>
      <c r="Q46" t="inlineStr">
        <is>
          <t>Марка ГНО</t>
        </is>
      </c>
      <c r="R46" t="inlineStr">
        <is>
          <t>ШГН — серия НВ1С-50</t>
        </is>
      </c>
      <c r="S46" t="inlineStr">
        <is>
          <t>Каталожный пример / серия</t>
        </is>
      </c>
      <c r="T46" t="inlineStr">
        <is>
          <t>ГОСТ 31835-2012 / AmasEnergy</t>
        </is>
      </c>
      <c r="U46" t="inlineStr">
        <is>
          <t>https://www.amasenergy.com/ru/product/879</t>
        </is>
      </c>
      <c r="V46" t="inlineStr">
        <is>
          <t>ШГН</t>
        </is>
      </c>
      <c r="AX46" t="inlineStr">
        <is>
          <t>3.13 — Некачественная подготовка скважины [УЭЦН]</t>
        </is>
      </c>
      <c r="AY46" t="inlineStr">
        <is>
          <t>4.3 — Неправильная комплектация ГНО [УШГН]</t>
        </is>
      </c>
      <c r="BA46" t="inlineStr">
        <is>
          <t>КР6-3 — Зарезка бокового или продолжение ствола скважины с переходом на горизонтальный участок в преждевременно обводненной или в низкопродуктивной скважинах.</t>
        </is>
      </c>
      <c r="CJ46" t="inlineStr">
        <is>
          <t>3.13 — Некачественная подготовка скважины [УЭЦН]</t>
        </is>
      </c>
      <c r="CL46">
        <f>IFERROR(INDEX('История отказов'!$AK$5:$AK$1204,SMALL($DI$2:$DI$1201,ROWS($CL$4:CL46))),"")</f>
        <v/>
      </c>
      <c r="CP46">
        <f>IFERROR(INDEX('История отказов'!$AU$5:$AU$1204,SMALL($DJ$2:$DJ$1201,ROWS($CP$4:CP46))),"")</f>
        <v/>
      </c>
      <c r="CR46">
        <f>IFERROR(INDEX('История отказов'!$AY$5:$AY$1204,SMALL($DK$2:$DK$1201,ROWS($CR$3:CR46))),"")</f>
        <v/>
      </c>
      <c r="CT46">
        <f>IFERROR(INDEX('История отказов'!$AE$5:$AE$1204,SMALL($DC$2:$DC$1201,ROWS($CT$3:CT46))),"")</f>
        <v/>
      </c>
      <c r="CU46">
        <f>IFERROR(INDEX('История отказов'!$AE$5:$AE$1204,SMALL($DD$2:$DD$1201,ROWS($CU$4:CU46))),"")</f>
        <v/>
      </c>
      <c r="CV46">
        <f>IFERROR(INDEX('История отказов'!$AE$5:$AE$1204,SMALL($DE$2:$DE$1201,ROWS($CV$4:CV46))),"")</f>
        <v/>
      </c>
      <c r="CW46">
        <f>IFERROR(INDEX('История отказов'!$AE$5:$AE$1204,SMALL($DG$2:$DG$1201,ROWS($CW$3:CW46))),"")</f>
        <v/>
      </c>
      <c r="CX46">
        <f>IFERROR(INDEX('История отказов'!$AE$5:$AE$1204,SMALL($DF$2:$DF$1201,ROWS($CX$3:CX46))),"")</f>
        <v/>
      </c>
      <c r="CY46">
        <f>IFERROR(INDEX('История отказов'!$AE$5:$AE$1204,SMALL($DH$2:$DH$1201,ROWS($CY$7:CY46))),"")</f>
        <v/>
      </c>
      <c r="DA46" t="n">
        <v>1991</v>
      </c>
      <c r="DB46">
        <f>IF('История отказов'!AH49="","",'История отказов'!AH49)</f>
        <v/>
      </c>
      <c r="DC46">
        <f>IF('История отказов'!AE49="","",IF(AND(COUNTIF($CT$2:$CT$2,'История отказов'!AE49)=0,COUNTIFS('История отказов'!$F$5:F49,"ШГН",'История отказов'!$AE$5:AE49,'История отказов'!AE49)=1,'История отказов'!F49="ШГН"),45,""))</f>
        <v/>
      </c>
      <c r="DD46">
        <f>IF('История отказов'!AE49="","",IF(AND(COUNTIF($CU$2:$CU$3,'История отказов'!AE49)=0,COUNTIFS('История отказов'!$F$5:F49,"ЭЦН",'История отказов'!$AE$5:AE49,'История отказов'!AE49)=1,'История отказов'!F49="ЭЦН"),45,""))</f>
        <v/>
      </c>
      <c r="DE46">
        <f>IF('История отказов'!AE49="","",IF(AND(COUNTIF($CV$2:$CV$3,'История отказов'!AE49)=0,COUNTIFS('История отказов'!$F$5:F49,"ЭВН",'История отказов'!$AE$5:AE49,'История отказов'!AE49)=1,'История отказов'!F49="ЭВН"),45,""))</f>
        <v/>
      </c>
      <c r="DF46">
        <f>IF('История отказов'!AE49="","",IF(AND(COUNTIF($CX$2:$CX$2,'История отказов'!AE49)=0,COUNTIFS('История отказов'!$F$5:F49,"ШВН",'История отказов'!$AE$5:AE49,'История отказов'!AE49)=1,'История отказов'!F49="ШВН"),45,""))</f>
        <v/>
      </c>
      <c r="DG46">
        <f>IF('История отказов'!AE49="","",IF(AND(COUNTIF($CW$2:$CW$2,'История отказов'!AE49)=0,COUNTIFS('История отказов'!$F$5:F49,"НПУ-ВД",'История отказов'!$AE$5:AE49,'История отказов'!AE49)=1,'История отказов'!F49="НПУ-ВД"),45,""))</f>
        <v/>
      </c>
      <c r="DH46">
        <f>IF('История отказов'!AE49="","",IF(AND(COUNTIF($CY$2:$CY$6,'История отказов'!AE49)=0,COUNTIF('История отказов'!$AE$5:AE49,'История отказов'!AE49)=1),45,""))</f>
        <v/>
      </c>
      <c r="DI46">
        <f>IF('История отказов'!AK49="","",IF(AND(COUNTIF($CL$2:$CL$3,'История отказов'!AK49)=0,COUNTIF('История отказов'!$AK$5:AK49,'История отказов'!AK49)=1),45,""))</f>
        <v/>
      </c>
      <c r="DJ46">
        <f>IF('История отказов'!AU49="","",IF(AND(COUNTIF($CP$2:$CP$3,'История отказов'!AU49)=0,COUNTIF('История отказов'!$AU$5:AU49,'История отказов'!AU49)=1),45,""))</f>
        <v/>
      </c>
      <c r="DK46">
        <f>IF('История отказов'!AY49="","",IF(AND(COUNTIF($CR$2:$CR$2,'История отказов'!AY49)=0,COUNTIF('История отказов'!$AY$5:AY49,'История отказов'!AY49)=1),45,""))</f>
        <v/>
      </c>
      <c r="DL46">
        <f>IF(DB46="","",IF(AND(COUNTIF($DA$2:$DA$47,DB46)=0,COUNTIF($DB$2:DB46,DB46)=1),45,""))</f>
        <v/>
      </c>
    </row>
    <row r="47">
      <c r="A47" s="74" t="n"/>
      <c r="B47" s="75" t="n"/>
      <c r="C47" s="75" t="n"/>
      <c r="D47" s="75" t="n"/>
      <c r="E47" s="75" t="inlineStr">
        <is>
          <t>3.14 — Отсутствие допустимых интервалов размещения ГНО [УЭЦН]</t>
        </is>
      </c>
      <c r="F47" s="76" t="n"/>
      <c r="H47" t="inlineStr">
        <is>
          <t>КР6-4 — Проводка горизонтального участка скважины с целью повышения нефтеотдачи пласта.</t>
        </is>
      </c>
      <c r="J47" s="62" t="inlineStr">
        <is>
          <t>3.14 — Отсутствие допустимых интервалов размещения ГНО [УЭЦН]</t>
        </is>
      </c>
      <c r="K47" s="62" t="n"/>
      <c r="L47" s="62" t="n"/>
      <c r="M47" s="62" t="n"/>
      <c r="N47" s="62" t="n"/>
      <c r="Q47" t="inlineStr">
        <is>
          <t>Марка ГНО</t>
        </is>
      </c>
      <c r="R47" t="inlineStr">
        <is>
          <t>ШГН — серия НВ1С-57</t>
        </is>
      </c>
      <c r="S47" t="inlineStr">
        <is>
          <t>Каталожный пример / серия</t>
        </is>
      </c>
      <c r="T47" t="inlineStr">
        <is>
          <t>ГОСТ 31835-2012 / AmasEnergy</t>
        </is>
      </c>
      <c r="U47" t="inlineStr">
        <is>
          <t>https://www.amasenergy.com/ru/product/879</t>
        </is>
      </c>
      <c r="V47" t="inlineStr">
        <is>
          <t>ШГН</t>
        </is>
      </c>
      <c r="AX47" t="inlineStr">
        <is>
          <t>3.14 — Отсутствие допустимых интервалов размещения ГНО [УЭЦН]</t>
        </is>
      </c>
      <c r="AY47" t="inlineStr">
        <is>
          <t>4.4 — Организационные причины по вине подрядной организации [УШГН]</t>
        </is>
      </c>
      <c r="BA47" t="inlineStr">
        <is>
          <t>КР6-4 — Проводка горизонтального участка скважины с целью повышения нефтеотдачи пласта.</t>
        </is>
      </c>
      <c r="CJ47" t="inlineStr">
        <is>
          <t>3.14 — Отсутствие допустимых интервалов размещения ГНО [УЭЦН]</t>
        </is>
      </c>
      <c r="CL47">
        <f>IFERROR(INDEX('История отказов'!$AK$5:$AK$1204,SMALL($DI$2:$DI$1201,ROWS($CL$4:CL47))),"")</f>
        <v/>
      </c>
      <c r="CP47">
        <f>IFERROR(INDEX('История отказов'!$AU$5:$AU$1204,SMALL($DJ$2:$DJ$1201,ROWS($CP$4:CP47))),"")</f>
        <v/>
      </c>
      <c r="CR47">
        <f>IFERROR(INDEX('История отказов'!$AY$5:$AY$1204,SMALL($DK$2:$DK$1201,ROWS($CR$3:CR47))),"")</f>
        <v/>
      </c>
      <c r="CT47">
        <f>IFERROR(INDEX('История отказов'!$AE$5:$AE$1204,SMALL($DC$2:$DC$1201,ROWS($CT$3:CT47))),"")</f>
        <v/>
      </c>
      <c r="CU47">
        <f>IFERROR(INDEX('История отказов'!$AE$5:$AE$1204,SMALL($DD$2:$DD$1201,ROWS($CU$4:CU47))),"")</f>
        <v/>
      </c>
      <c r="CV47">
        <f>IFERROR(INDEX('История отказов'!$AE$5:$AE$1204,SMALL($DE$2:$DE$1201,ROWS($CV$4:CV47))),"")</f>
        <v/>
      </c>
      <c r="CW47">
        <f>IFERROR(INDEX('История отказов'!$AE$5:$AE$1204,SMALL($DG$2:$DG$1201,ROWS($CW$3:CW47))),"")</f>
        <v/>
      </c>
      <c r="CX47">
        <f>IFERROR(INDEX('История отказов'!$AE$5:$AE$1204,SMALL($DF$2:$DF$1201,ROWS($CX$3:CX47))),"")</f>
        <v/>
      </c>
      <c r="CY47">
        <f>IFERROR(INDEX('История отказов'!$AE$5:$AE$1204,SMALL($DH$2:$DH$1201,ROWS($CY$7:CY47))),"")</f>
        <v/>
      </c>
      <c r="DA47" t="n">
        <v>1990</v>
      </c>
      <c r="DB47">
        <f>IF('История отказов'!AH50="","",'История отказов'!AH50)</f>
        <v/>
      </c>
      <c r="DC47">
        <f>IF('История отказов'!AE50="","",IF(AND(COUNTIF($CT$2:$CT$2,'История отказов'!AE50)=0,COUNTIFS('История отказов'!$F$5:F50,"ШГН",'История отказов'!$AE$5:AE50,'История отказов'!AE50)=1,'История отказов'!F50="ШГН"),46,""))</f>
        <v/>
      </c>
      <c r="DD47">
        <f>IF('История отказов'!AE50="","",IF(AND(COUNTIF($CU$2:$CU$3,'История отказов'!AE50)=0,COUNTIFS('История отказов'!$F$5:F50,"ЭЦН",'История отказов'!$AE$5:AE50,'История отказов'!AE50)=1,'История отказов'!F50="ЭЦН"),46,""))</f>
        <v/>
      </c>
      <c r="DE47">
        <f>IF('История отказов'!AE50="","",IF(AND(COUNTIF($CV$2:$CV$3,'История отказов'!AE50)=0,COUNTIFS('История отказов'!$F$5:F50,"ЭВН",'История отказов'!$AE$5:AE50,'История отказов'!AE50)=1,'История отказов'!F50="ЭВН"),46,""))</f>
        <v/>
      </c>
      <c r="DF47">
        <f>IF('История отказов'!AE50="","",IF(AND(COUNTIF($CX$2:$CX$2,'История отказов'!AE50)=0,COUNTIFS('История отказов'!$F$5:F50,"ШВН",'История отказов'!$AE$5:AE50,'История отказов'!AE50)=1,'История отказов'!F50="ШВН"),46,""))</f>
        <v/>
      </c>
      <c r="DG47">
        <f>IF('История отказов'!AE50="","",IF(AND(COUNTIF($CW$2:$CW$2,'История отказов'!AE50)=0,COUNTIFS('История отказов'!$F$5:F50,"НПУ-ВД",'История отказов'!$AE$5:AE50,'История отказов'!AE50)=1,'История отказов'!F50="НПУ-ВД"),46,""))</f>
        <v/>
      </c>
      <c r="DH47">
        <f>IF('История отказов'!AE50="","",IF(AND(COUNTIF($CY$2:$CY$6,'История отказов'!AE50)=0,COUNTIF('История отказов'!$AE$5:AE50,'История отказов'!AE50)=1),46,""))</f>
        <v/>
      </c>
      <c r="DI47">
        <f>IF('История отказов'!AK50="","",IF(AND(COUNTIF($CL$2:$CL$3,'История отказов'!AK50)=0,COUNTIF('История отказов'!$AK$5:AK50,'История отказов'!AK50)=1),46,""))</f>
        <v/>
      </c>
      <c r="DJ47">
        <f>IF('История отказов'!AU50="","",IF(AND(COUNTIF($CP$2:$CP$3,'История отказов'!AU50)=0,COUNTIF('История отказов'!$AU$5:AU50,'История отказов'!AU50)=1),46,""))</f>
        <v/>
      </c>
      <c r="DK47">
        <f>IF('История отказов'!AY50="","",IF(AND(COUNTIF($CR$2:$CR$2,'История отказов'!AY50)=0,COUNTIF('История отказов'!$AY$5:AY50,'История отказов'!AY50)=1),46,""))</f>
        <v/>
      </c>
      <c r="DL47">
        <f>IF(DB47="","",IF(AND(COUNTIF($DA$2:$DA$47,DB47)=0,COUNTIF($DB$2:DB47,DB47)=1),46,""))</f>
        <v/>
      </c>
    </row>
    <row r="48">
      <c r="A48" s="74" t="n"/>
      <c r="B48" s="75" t="n"/>
      <c r="C48" s="75" t="n"/>
      <c r="D48" s="75" t="n"/>
      <c r="E48" s="75" t="inlineStr">
        <is>
          <t>3.15 — Работа ГНО в сложных условиях [УЭЦН]</t>
        </is>
      </c>
      <c r="F48" s="76" t="n"/>
      <c r="H48" t="inlineStr">
        <is>
          <t>КР6-5 — Бурение цементного стакана.</t>
        </is>
      </c>
      <c r="J48" s="62" t="inlineStr">
        <is>
          <t>3.15 — Работа ГНО в сложных условиях [УЭЦН]</t>
        </is>
      </c>
      <c r="K48" s="62" t="n"/>
      <c r="L48" s="62" t="n"/>
      <c r="M48" s="62" t="n"/>
      <c r="N48" s="62" t="n"/>
      <c r="Q48" t="inlineStr">
        <is>
          <t>Марка ГНО</t>
        </is>
      </c>
      <c r="R48" t="inlineStr">
        <is>
          <t>ЭЦН — серия УЭЦН-5</t>
        </is>
      </c>
      <c r="S48" t="inlineStr">
        <is>
          <t>Каталожный пример / серия</t>
        </is>
      </c>
      <c r="T48" t="inlineStr">
        <is>
          <t>Новомет</t>
        </is>
      </c>
      <c r="U48" t="inlineStr">
        <is>
          <t>https://www.novomet.ru/rus/products-and-services/artificial-lift/electrical-submersible-pumping-systems/standard-esp/</t>
        </is>
      </c>
      <c r="V48" t="inlineStr">
        <is>
          <t>ЭЦН</t>
        </is>
      </c>
      <c r="AX48" t="inlineStr">
        <is>
          <t>3.15 — Работа ГНО в сложных условиях [УЭЦН]</t>
        </is>
      </c>
      <c r="AY48" t="inlineStr">
        <is>
          <t>4.5 — Авария [УШГН]</t>
        </is>
      </c>
      <c r="BA48" t="inlineStr">
        <is>
          <t>КР6-5 — Бурение цементного стакана.</t>
        </is>
      </c>
      <c r="CJ48" t="inlineStr">
        <is>
          <t>3.15 — Работа ГНО в сложных условиях [УЭЦН]</t>
        </is>
      </c>
      <c r="CL48">
        <f>IFERROR(INDEX('История отказов'!$AK$5:$AK$1204,SMALL($DI$2:$DI$1201,ROWS($CL$4:CL48))),"")</f>
        <v/>
      </c>
      <c r="CP48">
        <f>IFERROR(INDEX('История отказов'!$AU$5:$AU$1204,SMALL($DJ$2:$DJ$1201,ROWS($CP$4:CP48))),"")</f>
        <v/>
      </c>
      <c r="CR48">
        <f>IFERROR(INDEX('История отказов'!$AY$5:$AY$1204,SMALL($DK$2:$DK$1201,ROWS($CR$3:CR48))),"")</f>
        <v/>
      </c>
      <c r="CT48">
        <f>IFERROR(INDEX('История отказов'!$AE$5:$AE$1204,SMALL($DC$2:$DC$1201,ROWS($CT$3:CT48))),"")</f>
        <v/>
      </c>
      <c r="CU48">
        <f>IFERROR(INDEX('История отказов'!$AE$5:$AE$1204,SMALL($DD$2:$DD$1201,ROWS($CU$4:CU48))),"")</f>
        <v/>
      </c>
      <c r="CV48">
        <f>IFERROR(INDEX('История отказов'!$AE$5:$AE$1204,SMALL($DE$2:$DE$1201,ROWS($CV$4:CV48))),"")</f>
        <v/>
      </c>
      <c r="CW48">
        <f>IFERROR(INDEX('История отказов'!$AE$5:$AE$1204,SMALL($DG$2:$DG$1201,ROWS($CW$3:CW48))),"")</f>
        <v/>
      </c>
      <c r="CX48">
        <f>IFERROR(INDEX('История отказов'!$AE$5:$AE$1204,SMALL($DF$2:$DF$1201,ROWS($CX$3:CX48))),"")</f>
        <v/>
      </c>
      <c r="CY48">
        <f>IFERROR(INDEX('История отказов'!$AE$5:$AE$1204,SMALL($DH$2:$DH$1201,ROWS($CY$7:CY48))),"")</f>
        <v/>
      </c>
      <c r="DA48">
        <f>IFERROR(INDEX($DB$2:$DB$4801,SMALL($DL$2:$DL$4801,ROWS($DA$48:DA48))),"")</f>
        <v/>
      </c>
      <c r="DB48">
        <f>IF('История отказов'!AH51="","",'История отказов'!AH51)</f>
        <v/>
      </c>
      <c r="DC48">
        <f>IF('История отказов'!AE51="","",IF(AND(COUNTIF($CT$2:$CT$2,'История отказов'!AE51)=0,COUNTIFS('История отказов'!$F$5:F51,"ШГН",'История отказов'!$AE$5:AE51,'История отказов'!AE51)=1,'История отказов'!F51="ШГН"),47,""))</f>
        <v/>
      </c>
      <c r="DD48">
        <f>IF('История отказов'!AE51="","",IF(AND(COUNTIF($CU$2:$CU$3,'История отказов'!AE51)=0,COUNTIFS('История отказов'!$F$5:F51,"ЭЦН",'История отказов'!$AE$5:AE51,'История отказов'!AE51)=1,'История отказов'!F51="ЭЦН"),47,""))</f>
        <v/>
      </c>
      <c r="DE48">
        <f>IF('История отказов'!AE51="","",IF(AND(COUNTIF($CV$2:$CV$3,'История отказов'!AE51)=0,COUNTIFS('История отказов'!$F$5:F51,"ЭВН",'История отказов'!$AE$5:AE51,'История отказов'!AE51)=1,'История отказов'!F51="ЭВН"),47,""))</f>
        <v/>
      </c>
      <c r="DF48">
        <f>IF('История отказов'!AE51="","",IF(AND(COUNTIF($CX$2:$CX$2,'История отказов'!AE51)=0,COUNTIFS('История отказов'!$F$5:F51,"ШВН",'История отказов'!$AE$5:AE51,'История отказов'!AE51)=1,'История отказов'!F51="ШВН"),47,""))</f>
        <v/>
      </c>
      <c r="DG48">
        <f>IF('История отказов'!AE51="","",IF(AND(COUNTIF($CW$2:$CW$2,'История отказов'!AE51)=0,COUNTIFS('История отказов'!$F$5:F51,"НПУ-ВД",'История отказов'!$AE$5:AE51,'История отказов'!AE51)=1,'История отказов'!F51="НПУ-ВД"),47,""))</f>
        <v/>
      </c>
      <c r="DH48">
        <f>IF('История отказов'!AE51="","",IF(AND(COUNTIF($CY$2:$CY$6,'История отказов'!AE51)=0,COUNTIF('История отказов'!$AE$5:AE51,'История отказов'!AE51)=1),47,""))</f>
        <v/>
      </c>
      <c r="DI48">
        <f>IF('История отказов'!AK51="","",IF(AND(COUNTIF($CL$2:$CL$3,'История отказов'!AK51)=0,COUNTIF('История отказов'!$AK$5:AK51,'История отказов'!AK51)=1),47,""))</f>
        <v/>
      </c>
      <c r="DJ48">
        <f>IF('История отказов'!AU51="","",IF(AND(COUNTIF($CP$2:$CP$3,'История отказов'!AU51)=0,COUNTIF('История отказов'!$AU$5:AU51,'История отказов'!AU51)=1),47,""))</f>
        <v/>
      </c>
      <c r="DK48">
        <f>IF('История отказов'!AY51="","",IF(AND(COUNTIF($CR$2:$CR$2,'История отказов'!AY51)=0,COUNTIF('История отказов'!$AY$5:AY51,'История отказов'!AY51)=1),47,""))</f>
        <v/>
      </c>
      <c r="DL48">
        <f>IF(DB48="","",IF(AND(COUNTIF($DA$2:$DA$47,DB48)=0,COUNTIF($DB$2:DB48,DB48)=1),47,""))</f>
        <v/>
      </c>
    </row>
    <row r="49">
      <c r="A49" s="74" t="n"/>
      <c r="B49" s="75" t="n"/>
      <c r="C49" s="75" t="n"/>
      <c r="D49" s="75" t="n"/>
      <c r="E49" s="75" t="inlineStr">
        <is>
          <t>3.16 — Авария [УЭЦН]</t>
        </is>
      </c>
      <c r="F49" s="76" t="n"/>
      <c r="H49" t="inlineStr">
        <is>
          <t>КР6-6 — Фрезирование башмака колонны с углублением ствола в горной породе.</t>
        </is>
      </c>
      <c r="J49" s="62" t="inlineStr">
        <is>
          <t>3.16 — Авария [УЭЦН]</t>
        </is>
      </c>
      <c r="K49" s="62" t="n"/>
      <c r="L49" s="62" t="n"/>
      <c r="M49" s="62" t="n"/>
      <c r="N49" s="62" t="n"/>
      <c r="Q49" t="inlineStr">
        <is>
          <t>Марка ГНО</t>
        </is>
      </c>
      <c r="R49" t="inlineStr">
        <is>
          <t>ЭЦН — серия УЭЦН-5У</t>
        </is>
      </c>
      <c r="S49" t="inlineStr">
        <is>
          <t>Каталожный пример / серия</t>
        </is>
      </c>
      <c r="T49" t="inlineStr">
        <is>
          <t>Новомет</t>
        </is>
      </c>
      <c r="U49" t="inlineStr">
        <is>
          <t>https://www.novomet.ru/rus/products-and-services/artificial-lift/electrical-submersible-pumping-systems/standard-esp/</t>
        </is>
      </c>
      <c r="V49" t="inlineStr">
        <is>
          <t>ЭЦН</t>
        </is>
      </c>
      <c r="AX49" t="inlineStr">
        <is>
          <t>3.16 — Авария [УЭЦН]</t>
        </is>
      </c>
      <c r="AY49" t="inlineStr">
        <is>
          <t>5.1 — Некачественный ремонт и сервисное обслуживание Привода [УШГН]</t>
        </is>
      </c>
      <c r="BA49" t="inlineStr">
        <is>
          <t>КР6-6 — Фрезирование башмака колонны с углублением ствола в горной породе.</t>
        </is>
      </c>
      <c r="CJ49" t="inlineStr">
        <is>
          <t>3.16 — Авария [УЭЦН]</t>
        </is>
      </c>
      <c r="CL49">
        <f>IFERROR(INDEX('История отказов'!$AK$5:$AK$1204,SMALL($DI$2:$DI$1201,ROWS($CL$4:CL49))),"")</f>
        <v/>
      </c>
      <c r="CP49">
        <f>IFERROR(INDEX('История отказов'!$AU$5:$AU$1204,SMALL($DJ$2:$DJ$1201,ROWS($CP$4:CP49))),"")</f>
        <v/>
      </c>
      <c r="CR49">
        <f>IFERROR(INDEX('История отказов'!$AY$5:$AY$1204,SMALL($DK$2:$DK$1201,ROWS($CR$3:CR49))),"")</f>
        <v/>
      </c>
      <c r="CT49">
        <f>IFERROR(INDEX('История отказов'!$AE$5:$AE$1204,SMALL($DC$2:$DC$1201,ROWS($CT$3:CT49))),"")</f>
        <v/>
      </c>
      <c r="CU49">
        <f>IFERROR(INDEX('История отказов'!$AE$5:$AE$1204,SMALL($DD$2:$DD$1201,ROWS($CU$4:CU49))),"")</f>
        <v/>
      </c>
      <c r="CV49">
        <f>IFERROR(INDEX('История отказов'!$AE$5:$AE$1204,SMALL($DE$2:$DE$1201,ROWS($CV$4:CV49))),"")</f>
        <v/>
      </c>
      <c r="CW49">
        <f>IFERROR(INDEX('История отказов'!$AE$5:$AE$1204,SMALL($DG$2:$DG$1201,ROWS($CW$3:CW49))),"")</f>
        <v/>
      </c>
      <c r="CX49">
        <f>IFERROR(INDEX('История отказов'!$AE$5:$AE$1204,SMALL($DF$2:$DF$1201,ROWS($CX$3:CX49))),"")</f>
        <v/>
      </c>
      <c r="CY49">
        <f>IFERROR(INDEX('История отказов'!$AE$5:$AE$1204,SMALL($DH$2:$DH$1201,ROWS($CY$7:CY49))),"")</f>
        <v/>
      </c>
      <c r="DA49">
        <f>IFERROR(INDEX($DB$2:$DB$4801,SMALL($DL$2:$DL$4801,ROWS($DA$48:DA49))),"")</f>
        <v/>
      </c>
      <c r="DB49">
        <f>IF('История отказов'!AH52="","",'История отказов'!AH52)</f>
        <v/>
      </c>
      <c r="DC49">
        <f>IF('История отказов'!AE52="","",IF(AND(COUNTIF($CT$2:$CT$2,'История отказов'!AE52)=0,COUNTIFS('История отказов'!$F$5:F52,"ШГН",'История отказов'!$AE$5:AE52,'История отказов'!AE52)=1,'История отказов'!F52="ШГН"),48,""))</f>
        <v/>
      </c>
      <c r="DD49">
        <f>IF('История отказов'!AE52="","",IF(AND(COUNTIF($CU$2:$CU$3,'История отказов'!AE52)=0,COUNTIFS('История отказов'!$F$5:F52,"ЭЦН",'История отказов'!$AE$5:AE52,'История отказов'!AE52)=1,'История отказов'!F52="ЭЦН"),48,""))</f>
        <v/>
      </c>
      <c r="DE49">
        <f>IF('История отказов'!AE52="","",IF(AND(COUNTIF($CV$2:$CV$3,'История отказов'!AE52)=0,COUNTIFS('История отказов'!$F$5:F52,"ЭВН",'История отказов'!$AE$5:AE52,'История отказов'!AE52)=1,'История отказов'!F52="ЭВН"),48,""))</f>
        <v/>
      </c>
      <c r="DF49">
        <f>IF('История отказов'!AE52="","",IF(AND(COUNTIF($CX$2:$CX$2,'История отказов'!AE52)=0,COUNTIFS('История отказов'!$F$5:F52,"ШВН",'История отказов'!$AE$5:AE52,'История отказов'!AE52)=1,'История отказов'!F52="ШВН"),48,""))</f>
        <v/>
      </c>
      <c r="DG49">
        <f>IF('История отказов'!AE52="","",IF(AND(COUNTIF($CW$2:$CW$2,'История отказов'!AE52)=0,COUNTIFS('История отказов'!$F$5:F52,"НПУ-ВД",'История отказов'!$AE$5:AE52,'История отказов'!AE52)=1,'История отказов'!F52="НПУ-ВД"),48,""))</f>
        <v/>
      </c>
      <c r="DH49">
        <f>IF('История отказов'!AE52="","",IF(AND(COUNTIF($CY$2:$CY$6,'История отказов'!AE52)=0,COUNTIF('История отказов'!$AE$5:AE52,'История отказов'!AE52)=1),48,""))</f>
        <v/>
      </c>
      <c r="DI49">
        <f>IF('История отказов'!AK52="","",IF(AND(COUNTIF($CL$2:$CL$3,'История отказов'!AK52)=0,COUNTIF('История отказов'!$AK$5:AK52,'История отказов'!AK52)=1),48,""))</f>
        <v/>
      </c>
      <c r="DJ49">
        <f>IF('История отказов'!AU52="","",IF(AND(COUNTIF($CP$2:$CP$3,'История отказов'!AU52)=0,COUNTIF('История отказов'!$AU$5:AU52,'История отказов'!AU52)=1),48,""))</f>
        <v/>
      </c>
      <c r="DK49">
        <f>IF('История отказов'!AY52="","",IF(AND(COUNTIF($CR$2:$CR$2,'История отказов'!AY52)=0,COUNTIF('История отказов'!$AY$5:AY52,'История отказов'!AY52)=1),48,""))</f>
        <v/>
      </c>
      <c r="DL49">
        <f>IF(DB49="","",IF(AND(COUNTIF($DA$2:$DA$47,DB49)=0,COUNTIF($DB$2:DB49,DB49)=1),48,""))</f>
        <v/>
      </c>
    </row>
    <row r="50">
      <c r="A50" s="74" t="n"/>
      <c r="B50" s="75" t="n"/>
      <c r="C50" s="75" t="n"/>
      <c r="D50" s="75" t="n"/>
      <c r="E50" s="75" t="inlineStr">
        <is>
          <t>3.17 — Не герметичность НКТ с большой наработкой [УЭЦН]</t>
        </is>
      </c>
      <c r="F50" s="76" t="n"/>
      <c r="H50" t="inlineStr">
        <is>
          <t>КР6-8 — Зарезка и бурение бокового (ых) ствола (ов) в скважине с многоствольным заканчиванием и с проводкой горизонтального (ых) участка (ов) в продуктивном пласте.</t>
        </is>
      </c>
      <c r="J50" s="62" t="inlineStr">
        <is>
          <t>3.17 — Не герметичность НКТ с большой наработкой [УЭЦН]</t>
        </is>
      </c>
      <c r="K50" s="62" t="n"/>
      <c r="L50" s="62" t="n"/>
      <c r="M50" s="62" t="n"/>
      <c r="N50" s="62" t="n"/>
      <c r="Q50" t="inlineStr">
        <is>
          <t>Марка ГНО</t>
        </is>
      </c>
      <c r="R50" t="inlineStr">
        <is>
          <t>ЭВН 5-16-1200</t>
        </is>
      </c>
      <c r="S50" t="inlineStr">
        <is>
          <t>Каталожный пример / серия</t>
        </is>
      </c>
      <c r="T50" t="inlineStr">
        <is>
          <t>ГМС Ливгидромаш</t>
        </is>
      </c>
      <c r="U50" t="inlineStr">
        <is>
          <t>https://www.hms-livgidromash.ru/catalog/nasosy/evn/</t>
        </is>
      </c>
      <c r="V50" t="inlineStr">
        <is>
          <t>ЭВН</t>
        </is>
      </c>
      <c r="AX50" t="inlineStr">
        <is>
          <t>3.17 — Не герметичность НКТ с большой наработкой [УЭЦН]</t>
        </is>
      </c>
      <c r="AY50" t="inlineStr">
        <is>
          <t>5.2 — Организационные причины по вине подрядной организации [УШГН]</t>
        </is>
      </c>
      <c r="BA50" t="inlineStr">
        <is>
          <t>КР6-8 — Зарезка и бурение бокового (ых) ствола (ов) в скважине с многоствольным заканчиванием и с проводкой горизонтального (ых) участка (ов) в продуктивном пласте.</t>
        </is>
      </c>
      <c r="CJ50" t="inlineStr">
        <is>
          <t>3.17 — Не герметичность НКТ с большой наработкой [УЭЦН]</t>
        </is>
      </c>
      <c r="CL50">
        <f>IFERROR(INDEX('История отказов'!$AK$5:$AK$1204,SMALL($DI$2:$DI$1201,ROWS($CL$4:CL50))),"")</f>
        <v/>
      </c>
      <c r="CP50">
        <f>IFERROR(INDEX('История отказов'!$AU$5:$AU$1204,SMALL($DJ$2:$DJ$1201,ROWS($CP$4:CP50))),"")</f>
        <v/>
      </c>
      <c r="CR50">
        <f>IFERROR(INDEX('История отказов'!$AY$5:$AY$1204,SMALL($DK$2:$DK$1201,ROWS($CR$3:CR50))),"")</f>
        <v/>
      </c>
      <c r="CT50">
        <f>IFERROR(INDEX('История отказов'!$AE$5:$AE$1204,SMALL($DC$2:$DC$1201,ROWS($CT$3:CT50))),"")</f>
        <v/>
      </c>
      <c r="CU50">
        <f>IFERROR(INDEX('История отказов'!$AE$5:$AE$1204,SMALL($DD$2:$DD$1201,ROWS($CU$4:CU50))),"")</f>
        <v/>
      </c>
      <c r="CV50">
        <f>IFERROR(INDEX('История отказов'!$AE$5:$AE$1204,SMALL($DE$2:$DE$1201,ROWS($CV$4:CV50))),"")</f>
        <v/>
      </c>
      <c r="CW50">
        <f>IFERROR(INDEX('История отказов'!$AE$5:$AE$1204,SMALL($DG$2:$DG$1201,ROWS($CW$3:CW50))),"")</f>
        <v/>
      </c>
      <c r="CX50">
        <f>IFERROR(INDEX('История отказов'!$AE$5:$AE$1204,SMALL($DF$2:$DF$1201,ROWS($CX$3:CX50))),"")</f>
        <v/>
      </c>
      <c r="CY50">
        <f>IFERROR(INDEX('История отказов'!$AE$5:$AE$1204,SMALL($DH$2:$DH$1201,ROWS($CY$7:CY50))),"")</f>
        <v/>
      </c>
      <c r="DA50">
        <f>IFERROR(INDEX($DB$2:$DB$4801,SMALL($DL$2:$DL$4801,ROWS($DA$48:DA50))),"")</f>
        <v/>
      </c>
      <c r="DB50">
        <f>IF('История отказов'!AH53="","",'История отказов'!AH53)</f>
        <v/>
      </c>
      <c r="DC50">
        <f>IF('История отказов'!AE53="","",IF(AND(COUNTIF($CT$2:$CT$2,'История отказов'!AE53)=0,COUNTIFS('История отказов'!$F$5:F53,"ШГН",'История отказов'!$AE$5:AE53,'История отказов'!AE53)=1,'История отказов'!F53="ШГН"),49,""))</f>
        <v/>
      </c>
      <c r="DD50">
        <f>IF('История отказов'!AE53="","",IF(AND(COUNTIF($CU$2:$CU$3,'История отказов'!AE53)=0,COUNTIFS('История отказов'!$F$5:F53,"ЭЦН",'История отказов'!$AE$5:AE53,'История отказов'!AE53)=1,'История отказов'!F53="ЭЦН"),49,""))</f>
        <v/>
      </c>
      <c r="DE50">
        <f>IF('История отказов'!AE53="","",IF(AND(COUNTIF($CV$2:$CV$3,'История отказов'!AE53)=0,COUNTIFS('История отказов'!$F$5:F53,"ЭВН",'История отказов'!$AE$5:AE53,'История отказов'!AE53)=1,'История отказов'!F53="ЭВН"),49,""))</f>
        <v/>
      </c>
      <c r="DF50">
        <f>IF('История отказов'!AE53="","",IF(AND(COUNTIF($CX$2:$CX$2,'История отказов'!AE53)=0,COUNTIFS('История отказов'!$F$5:F53,"ШВН",'История отказов'!$AE$5:AE53,'История отказов'!AE53)=1,'История отказов'!F53="ШВН"),49,""))</f>
        <v/>
      </c>
      <c r="DG50">
        <f>IF('История отказов'!AE53="","",IF(AND(COUNTIF($CW$2:$CW$2,'История отказов'!AE53)=0,COUNTIFS('История отказов'!$F$5:F53,"НПУ-ВД",'История отказов'!$AE$5:AE53,'История отказов'!AE53)=1,'История отказов'!F53="НПУ-ВД"),49,""))</f>
        <v/>
      </c>
      <c r="DH50">
        <f>IF('История отказов'!AE53="","",IF(AND(COUNTIF($CY$2:$CY$6,'История отказов'!AE53)=0,COUNTIF('История отказов'!$AE$5:AE53,'История отказов'!AE53)=1),49,""))</f>
        <v/>
      </c>
      <c r="DI50">
        <f>IF('История отказов'!AK53="","",IF(AND(COUNTIF($CL$2:$CL$3,'История отказов'!AK53)=0,COUNTIF('История отказов'!$AK$5:AK53,'История отказов'!AK53)=1),49,""))</f>
        <v/>
      </c>
      <c r="DJ50">
        <f>IF('История отказов'!AU53="","",IF(AND(COUNTIF($CP$2:$CP$3,'История отказов'!AU53)=0,COUNTIF('История отказов'!$AU$5:AU53,'История отказов'!AU53)=1),49,""))</f>
        <v/>
      </c>
      <c r="DK50">
        <f>IF('История отказов'!AY53="","",IF(AND(COUNTIF($CR$2:$CR$2,'История отказов'!AY53)=0,COUNTIF('История отказов'!$AY$5:AY53,'История отказов'!AY53)=1),49,""))</f>
        <v/>
      </c>
      <c r="DL50">
        <f>IF(DB50="","",IF(AND(COUNTIF($DA$2:$DA$47,DB50)=0,COUNTIF($DB$2:DB50,DB50)=1),49,""))</f>
        <v/>
      </c>
    </row>
    <row r="51">
      <c r="A51" s="74" t="n"/>
      <c r="B51" s="75" t="n"/>
      <c r="C51" s="75" t="n"/>
      <c r="D51" s="75" t="n"/>
      <c r="E51" s="75" t="inlineStr">
        <is>
          <t>3.18 — Влияние ПЦО (ПТВ) при эксплуатации [УЭЦН]</t>
        </is>
      </c>
      <c r="F51" s="76" t="n"/>
      <c r="H51" t="inlineStr">
        <is>
          <t>КР6-9 — Зарезка и бурение бокового (ых) горизонтального (ых) ствола (ов) в аварийной скважине.</t>
        </is>
      </c>
      <c r="J51" s="62" t="inlineStr">
        <is>
          <t>3.18 — Влияние ПЦО (ПТВ) при эксплуатации [УЭЦН]</t>
        </is>
      </c>
      <c r="K51" s="62" t="n"/>
      <c r="L51" s="62" t="n"/>
      <c r="M51" s="62" t="n"/>
      <c r="N51" s="62" t="n"/>
      <c r="Q51" t="inlineStr">
        <is>
          <t>Марка ГНО</t>
        </is>
      </c>
      <c r="R51" t="inlineStr">
        <is>
          <t>ЭВН 5-16-1500</t>
        </is>
      </c>
      <c r="S51" t="inlineStr">
        <is>
          <t>Каталожный пример / серия</t>
        </is>
      </c>
      <c r="T51" t="inlineStr">
        <is>
          <t>ГМС Ливгидромаш</t>
        </is>
      </c>
      <c r="U51" t="inlineStr">
        <is>
          <t>https://www.hms-livgidromash.ru/catalog/nasosy/evn/</t>
        </is>
      </c>
      <c r="V51" t="inlineStr">
        <is>
          <t>ЭВН</t>
        </is>
      </c>
      <c r="AX51" t="inlineStr">
        <is>
          <t>3.18 — Влияние ПЦО (ПТВ) при эксплуатации [УЭЦН]</t>
        </is>
      </c>
      <c r="AY51" t="inlineStr">
        <is>
          <t>5.3 — Авария [УШГН]</t>
        </is>
      </c>
      <c r="BA51" t="inlineStr">
        <is>
          <t>КР6-9 — Зарезка и бурение бокового (ых) горизонтального (ых) ствола (ов) в аварийной скважине.</t>
        </is>
      </c>
      <c r="CJ51" t="inlineStr">
        <is>
          <t>3.18 — Влияние ПЦО (ПТВ) при эксплуатации [УЭЦН]</t>
        </is>
      </c>
      <c r="CL51">
        <f>IFERROR(INDEX('История отказов'!$AK$5:$AK$1204,SMALL($DI$2:$DI$1201,ROWS($CL$4:CL51))),"")</f>
        <v/>
      </c>
      <c r="CP51">
        <f>IFERROR(INDEX('История отказов'!$AU$5:$AU$1204,SMALL($DJ$2:$DJ$1201,ROWS($CP$4:CP51))),"")</f>
        <v/>
      </c>
      <c r="CR51">
        <f>IFERROR(INDEX('История отказов'!$AY$5:$AY$1204,SMALL($DK$2:$DK$1201,ROWS($CR$3:CR51))),"")</f>
        <v/>
      </c>
      <c r="CT51">
        <f>IFERROR(INDEX('История отказов'!$AE$5:$AE$1204,SMALL($DC$2:$DC$1201,ROWS($CT$3:CT51))),"")</f>
        <v/>
      </c>
      <c r="CU51">
        <f>IFERROR(INDEX('История отказов'!$AE$5:$AE$1204,SMALL($DD$2:$DD$1201,ROWS($CU$4:CU51))),"")</f>
        <v/>
      </c>
      <c r="CV51">
        <f>IFERROR(INDEX('История отказов'!$AE$5:$AE$1204,SMALL($DE$2:$DE$1201,ROWS($CV$4:CV51))),"")</f>
        <v/>
      </c>
      <c r="CW51">
        <f>IFERROR(INDEX('История отказов'!$AE$5:$AE$1204,SMALL($DG$2:$DG$1201,ROWS($CW$3:CW51))),"")</f>
        <v/>
      </c>
      <c r="CX51">
        <f>IFERROR(INDEX('История отказов'!$AE$5:$AE$1204,SMALL($DF$2:$DF$1201,ROWS($CX$3:CX51))),"")</f>
        <v/>
      </c>
      <c r="CY51">
        <f>IFERROR(INDEX('История отказов'!$AE$5:$AE$1204,SMALL($DH$2:$DH$1201,ROWS($CY$7:CY51))),"")</f>
        <v/>
      </c>
      <c r="DA51">
        <f>IFERROR(INDEX($DB$2:$DB$4801,SMALL($DL$2:$DL$4801,ROWS($DA$48:DA51))),"")</f>
        <v/>
      </c>
      <c r="DB51">
        <f>IF('История отказов'!AH54="","",'История отказов'!AH54)</f>
        <v/>
      </c>
      <c r="DC51">
        <f>IF('История отказов'!AE54="","",IF(AND(COUNTIF($CT$2:$CT$2,'История отказов'!AE54)=0,COUNTIFS('История отказов'!$F$5:F54,"ШГН",'История отказов'!$AE$5:AE54,'История отказов'!AE54)=1,'История отказов'!F54="ШГН"),50,""))</f>
        <v/>
      </c>
      <c r="DD51">
        <f>IF('История отказов'!AE54="","",IF(AND(COUNTIF($CU$2:$CU$3,'История отказов'!AE54)=0,COUNTIFS('История отказов'!$F$5:F54,"ЭЦН",'История отказов'!$AE$5:AE54,'История отказов'!AE54)=1,'История отказов'!F54="ЭЦН"),50,""))</f>
        <v/>
      </c>
      <c r="DE51">
        <f>IF('История отказов'!AE54="","",IF(AND(COUNTIF($CV$2:$CV$3,'История отказов'!AE54)=0,COUNTIFS('История отказов'!$F$5:F54,"ЭВН",'История отказов'!$AE$5:AE54,'История отказов'!AE54)=1,'История отказов'!F54="ЭВН"),50,""))</f>
        <v/>
      </c>
      <c r="DF51">
        <f>IF('История отказов'!AE54="","",IF(AND(COUNTIF($CX$2:$CX$2,'История отказов'!AE54)=0,COUNTIFS('История отказов'!$F$5:F54,"ШВН",'История отказов'!$AE$5:AE54,'История отказов'!AE54)=1,'История отказов'!F54="ШВН"),50,""))</f>
        <v/>
      </c>
      <c r="DG51">
        <f>IF('История отказов'!AE54="","",IF(AND(COUNTIF($CW$2:$CW$2,'История отказов'!AE54)=0,COUNTIFS('История отказов'!$F$5:F54,"НПУ-ВД",'История отказов'!$AE$5:AE54,'История отказов'!AE54)=1,'История отказов'!F54="НПУ-ВД"),50,""))</f>
        <v/>
      </c>
      <c r="DH51">
        <f>IF('История отказов'!AE54="","",IF(AND(COUNTIF($CY$2:$CY$6,'История отказов'!AE54)=0,COUNTIF('История отказов'!$AE$5:AE54,'История отказов'!AE54)=1),50,""))</f>
        <v/>
      </c>
      <c r="DI51">
        <f>IF('История отказов'!AK54="","",IF(AND(COUNTIF($CL$2:$CL$3,'История отказов'!AK54)=0,COUNTIF('История отказов'!$AK$5:AK54,'История отказов'!AK54)=1),50,""))</f>
        <v/>
      </c>
      <c r="DJ51">
        <f>IF('История отказов'!AU54="","",IF(AND(COUNTIF($CP$2:$CP$3,'История отказов'!AU54)=0,COUNTIF('История отказов'!$AU$5:AU54,'История отказов'!AU54)=1),50,""))</f>
        <v/>
      </c>
      <c r="DK51">
        <f>IF('История отказов'!AY54="","",IF(AND(COUNTIF($CR$2:$CR$2,'История отказов'!AY54)=0,COUNTIF('История отказов'!$AY$5:AY54,'История отказов'!AY54)=1),50,""))</f>
        <v/>
      </c>
      <c r="DL51">
        <f>IF(DB51="","",IF(AND(COUNTIF($DA$2:$DA$47,DB51)=0,COUNTIF($DB$2:DB51,DB51)=1),50,""))</f>
        <v/>
      </c>
    </row>
    <row r="52">
      <c r="A52" s="74" t="n"/>
      <c r="B52" s="75" t="n"/>
      <c r="C52" s="75" t="n"/>
      <c r="D52" s="75" t="n"/>
      <c r="E52" s="75" t="inlineStr">
        <is>
          <t>3.19 — Влияние ВВЭ (высоковязкая эмульсия) [УЭЦН]</t>
        </is>
      </c>
      <c r="F52" s="76" t="n"/>
      <c r="H52" t="inlineStr">
        <is>
          <t>КР7-1 — Проведение кислотной обработки.</t>
        </is>
      </c>
      <c r="J52" s="62" t="inlineStr">
        <is>
          <t>3.19 — Влияние ВВЭ (высоковязкая эмульсия) [УЭЦН]</t>
        </is>
      </c>
      <c r="K52" s="62" t="n"/>
      <c r="L52" s="62" t="n"/>
      <c r="M52" s="62" t="n"/>
      <c r="N52" s="62" t="n"/>
      <c r="Q52" t="inlineStr">
        <is>
          <t>Марка ГНО</t>
        </is>
      </c>
      <c r="R52" t="inlineStr">
        <is>
          <t>ЭВН 5-25-1000</t>
        </is>
      </c>
      <c r="S52" t="inlineStr">
        <is>
          <t>Каталожный пример / серия</t>
        </is>
      </c>
      <c r="T52" t="inlineStr">
        <is>
          <t>ГМС Ливгидромаш</t>
        </is>
      </c>
      <c r="U52" t="inlineStr">
        <is>
          <t>https://www.hms-livgidromash.ru/catalog/nasosy/evn/</t>
        </is>
      </c>
      <c r="V52" t="inlineStr">
        <is>
          <t>ЭВН</t>
        </is>
      </c>
      <c r="AX52" t="inlineStr">
        <is>
          <t>3.19 — Влияние ВВЭ (высоковязкая эмульсия) [УЭЦН]</t>
        </is>
      </c>
      <c r="AY52" t="inlineStr">
        <is>
          <t>6.1 — Заводской брак НКТ, штанг и элементов подвески [УШГН]</t>
        </is>
      </c>
      <c r="BA52" t="inlineStr">
        <is>
          <t>КР7-1 — Проведение кислотной обработки.</t>
        </is>
      </c>
      <c r="CJ52" t="inlineStr">
        <is>
          <t>3.19 — Влияние ВВЭ (высоковязкая эмульсия) [УЭЦН]</t>
        </is>
      </c>
      <c r="CL52">
        <f>IFERROR(INDEX('История отказов'!$AK$5:$AK$1204,SMALL($DI$2:$DI$1201,ROWS($CL$4:CL52))),"")</f>
        <v/>
      </c>
      <c r="CP52">
        <f>IFERROR(INDEX('История отказов'!$AU$5:$AU$1204,SMALL($DJ$2:$DJ$1201,ROWS($CP$4:CP52))),"")</f>
        <v/>
      </c>
      <c r="CR52">
        <f>IFERROR(INDEX('История отказов'!$AY$5:$AY$1204,SMALL($DK$2:$DK$1201,ROWS($CR$3:CR52))),"")</f>
        <v/>
      </c>
      <c r="CT52">
        <f>IFERROR(INDEX('История отказов'!$AE$5:$AE$1204,SMALL($DC$2:$DC$1201,ROWS($CT$3:CT52))),"")</f>
        <v/>
      </c>
      <c r="CU52">
        <f>IFERROR(INDEX('История отказов'!$AE$5:$AE$1204,SMALL($DD$2:$DD$1201,ROWS($CU$4:CU52))),"")</f>
        <v/>
      </c>
      <c r="CV52">
        <f>IFERROR(INDEX('История отказов'!$AE$5:$AE$1204,SMALL($DE$2:$DE$1201,ROWS($CV$4:CV52))),"")</f>
        <v/>
      </c>
      <c r="CW52">
        <f>IFERROR(INDEX('История отказов'!$AE$5:$AE$1204,SMALL($DG$2:$DG$1201,ROWS($CW$3:CW52))),"")</f>
        <v/>
      </c>
      <c r="CX52">
        <f>IFERROR(INDEX('История отказов'!$AE$5:$AE$1204,SMALL($DF$2:$DF$1201,ROWS($CX$3:CX52))),"")</f>
        <v/>
      </c>
      <c r="CY52">
        <f>IFERROR(INDEX('История отказов'!$AE$5:$AE$1204,SMALL($DH$2:$DH$1201,ROWS($CY$7:CY52))),"")</f>
        <v/>
      </c>
      <c r="DA52">
        <f>IFERROR(INDEX($DB$2:$DB$4801,SMALL($DL$2:$DL$4801,ROWS($DA$48:DA52))),"")</f>
        <v/>
      </c>
      <c r="DB52">
        <f>IF('История отказов'!AH55="","",'История отказов'!AH55)</f>
        <v/>
      </c>
      <c r="DC52">
        <f>IF('История отказов'!AE55="","",IF(AND(COUNTIF($CT$2:$CT$2,'История отказов'!AE55)=0,COUNTIFS('История отказов'!$F$5:F55,"ШГН",'История отказов'!$AE$5:AE55,'История отказов'!AE55)=1,'История отказов'!F55="ШГН"),51,""))</f>
        <v/>
      </c>
      <c r="DD52">
        <f>IF('История отказов'!AE55="","",IF(AND(COUNTIF($CU$2:$CU$3,'История отказов'!AE55)=0,COUNTIFS('История отказов'!$F$5:F55,"ЭЦН",'История отказов'!$AE$5:AE55,'История отказов'!AE55)=1,'История отказов'!F55="ЭЦН"),51,""))</f>
        <v/>
      </c>
      <c r="DE52">
        <f>IF('История отказов'!AE55="","",IF(AND(COUNTIF($CV$2:$CV$3,'История отказов'!AE55)=0,COUNTIFS('История отказов'!$F$5:F55,"ЭВН",'История отказов'!$AE$5:AE55,'История отказов'!AE55)=1,'История отказов'!F55="ЭВН"),51,""))</f>
        <v/>
      </c>
      <c r="DF52">
        <f>IF('История отказов'!AE55="","",IF(AND(COUNTIF($CX$2:$CX$2,'История отказов'!AE55)=0,COUNTIFS('История отказов'!$F$5:F55,"ШВН",'История отказов'!$AE$5:AE55,'История отказов'!AE55)=1,'История отказов'!F55="ШВН"),51,""))</f>
        <v/>
      </c>
      <c r="DG52">
        <f>IF('История отказов'!AE55="","",IF(AND(COUNTIF($CW$2:$CW$2,'История отказов'!AE55)=0,COUNTIFS('История отказов'!$F$5:F55,"НПУ-ВД",'История отказов'!$AE$5:AE55,'История отказов'!AE55)=1,'История отказов'!F55="НПУ-ВД"),51,""))</f>
        <v/>
      </c>
      <c r="DH52">
        <f>IF('История отказов'!AE55="","",IF(AND(COUNTIF($CY$2:$CY$6,'История отказов'!AE55)=0,COUNTIF('История отказов'!$AE$5:AE55,'История отказов'!AE55)=1),51,""))</f>
        <v/>
      </c>
      <c r="DI52">
        <f>IF('История отказов'!AK55="","",IF(AND(COUNTIF($CL$2:$CL$3,'История отказов'!AK55)=0,COUNTIF('История отказов'!$AK$5:AK55,'История отказов'!AK55)=1),51,""))</f>
        <v/>
      </c>
      <c r="DJ52">
        <f>IF('История отказов'!AU55="","",IF(AND(COUNTIF($CP$2:$CP$3,'История отказов'!AU55)=0,COUNTIF('История отказов'!$AU$5:AU55,'История отказов'!AU55)=1),51,""))</f>
        <v/>
      </c>
      <c r="DK52">
        <f>IF('История отказов'!AY55="","",IF(AND(COUNTIF($CR$2:$CR$2,'История отказов'!AY55)=0,COUNTIF('История отказов'!$AY$5:AY55,'История отказов'!AY55)=1),51,""))</f>
        <v/>
      </c>
      <c r="DL52">
        <f>IF(DB52="","",IF(AND(COUNTIF($DA$2:$DA$47,DB52)=0,COUNTIF($DB$2:DB52,DB52)=1),51,""))</f>
        <v/>
      </c>
    </row>
    <row r="53">
      <c r="A53" s="74" t="n"/>
      <c r="B53" s="75" t="n"/>
      <c r="C53" s="75" t="n"/>
      <c r="D53" s="75" t="n"/>
      <c r="E53" s="75" t="inlineStr">
        <is>
          <t>4.1 — Некачественный ремонт (изготовление) кабельной линии [УЭЦН]</t>
        </is>
      </c>
      <c r="F53" s="76" t="n"/>
      <c r="H53" t="inlineStr">
        <is>
          <t>КР7-2 — Проведение ГРП.</t>
        </is>
      </c>
      <c r="J53" s="62" t="inlineStr">
        <is>
          <t>4.1 — Некачественный ремонт (изготовление) кабельной линии [УЭЦН]</t>
        </is>
      </c>
      <c r="K53" s="62" t="n"/>
      <c r="L53" s="62" t="n"/>
      <c r="M53" s="62" t="n"/>
      <c r="N53" s="62" t="n"/>
      <c r="Q53" t="inlineStr">
        <is>
          <t>Марка ГНО</t>
        </is>
      </c>
      <c r="R53" t="inlineStr">
        <is>
          <t>ЭВН 5-25-1500</t>
        </is>
      </c>
      <c r="S53" t="inlineStr">
        <is>
          <t>Каталожный пример / серия</t>
        </is>
      </c>
      <c r="T53" t="inlineStr">
        <is>
          <t>ГМС Ливгидромаш</t>
        </is>
      </c>
      <c r="U53" t="inlineStr">
        <is>
          <t>https://www.hms-livgidromash.ru/catalog/nasosy/evn/</t>
        </is>
      </c>
      <c r="V53" t="inlineStr">
        <is>
          <t>ЭВН</t>
        </is>
      </c>
      <c r="AX53" t="inlineStr">
        <is>
          <t>4.1 — Некачественный ремонт (изготовление) кабельной линии [УЭЦН]</t>
        </is>
      </c>
      <c r="AY53" t="inlineStr">
        <is>
          <t>6.2 — Заводской брак насоса ШГН/ШВН [УШГН]</t>
        </is>
      </c>
      <c r="BA53" t="inlineStr">
        <is>
          <t>КР7-2 — Проведение ГРП.</t>
        </is>
      </c>
      <c r="CJ53" t="inlineStr">
        <is>
          <t>4.1 — Некачественный ремонт (изготовление) кабельной линии [УЭЦН]</t>
        </is>
      </c>
      <c r="CL53">
        <f>IFERROR(INDEX('История отказов'!$AK$5:$AK$1204,SMALL($DI$2:$DI$1201,ROWS($CL$4:CL53))),"")</f>
        <v/>
      </c>
      <c r="CP53">
        <f>IFERROR(INDEX('История отказов'!$AU$5:$AU$1204,SMALL($DJ$2:$DJ$1201,ROWS($CP$4:CP53))),"")</f>
        <v/>
      </c>
      <c r="CR53">
        <f>IFERROR(INDEX('История отказов'!$AY$5:$AY$1204,SMALL($DK$2:$DK$1201,ROWS($CR$3:CR53))),"")</f>
        <v/>
      </c>
      <c r="CT53">
        <f>IFERROR(INDEX('История отказов'!$AE$5:$AE$1204,SMALL($DC$2:$DC$1201,ROWS($CT$3:CT53))),"")</f>
        <v/>
      </c>
      <c r="CU53">
        <f>IFERROR(INDEX('История отказов'!$AE$5:$AE$1204,SMALL($DD$2:$DD$1201,ROWS($CU$4:CU53))),"")</f>
        <v/>
      </c>
      <c r="CV53">
        <f>IFERROR(INDEX('История отказов'!$AE$5:$AE$1204,SMALL($DE$2:$DE$1201,ROWS($CV$4:CV53))),"")</f>
        <v/>
      </c>
      <c r="CW53">
        <f>IFERROR(INDEX('История отказов'!$AE$5:$AE$1204,SMALL($DG$2:$DG$1201,ROWS($CW$3:CW53))),"")</f>
        <v/>
      </c>
      <c r="CX53">
        <f>IFERROR(INDEX('История отказов'!$AE$5:$AE$1204,SMALL($DF$2:$DF$1201,ROWS($CX$3:CX53))),"")</f>
        <v/>
      </c>
      <c r="CY53">
        <f>IFERROR(INDEX('История отказов'!$AE$5:$AE$1204,SMALL($DH$2:$DH$1201,ROWS($CY$7:CY53))),"")</f>
        <v/>
      </c>
      <c r="DA53">
        <f>IFERROR(INDEX($DB$2:$DB$4801,SMALL($DL$2:$DL$4801,ROWS($DA$48:DA53))),"")</f>
        <v/>
      </c>
      <c r="DB53">
        <f>IF('История отказов'!AH56="","",'История отказов'!AH56)</f>
        <v/>
      </c>
      <c r="DC53">
        <f>IF('История отказов'!AE56="","",IF(AND(COUNTIF($CT$2:$CT$2,'История отказов'!AE56)=0,COUNTIFS('История отказов'!$F$5:F56,"ШГН",'История отказов'!$AE$5:AE56,'История отказов'!AE56)=1,'История отказов'!F56="ШГН"),52,""))</f>
        <v/>
      </c>
      <c r="DD53">
        <f>IF('История отказов'!AE56="","",IF(AND(COUNTIF($CU$2:$CU$3,'История отказов'!AE56)=0,COUNTIFS('История отказов'!$F$5:F56,"ЭЦН",'История отказов'!$AE$5:AE56,'История отказов'!AE56)=1,'История отказов'!F56="ЭЦН"),52,""))</f>
        <v/>
      </c>
      <c r="DE53">
        <f>IF('История отказов'!AE56="","",IF(AND(COUNTIF($CV$2:$CV$3,'История отказов'!AE56)=0,COUNTIFS('История отказов'!$F$5:F56,"ЭВН",'История отказов'!$AE$5:AE56,'История отказов'!AE56)=1,'История отказов'!F56="ЭВН"),52,""))</f>
        <v/>
      </c>
      <c r="DF53">
        <f>IF('История отказов'!AE56="","",IF(AND(COUNTIF($CX$2:$CX$2,'История отказов'!AE56)=0,COUNTIFS('История отказов'!$F$5:F56,"ШВН",'История отказов'!$AE$5:AE56,'История отказов'!AE56)=1,'История отказов'!F56="ШВН"),52,""))</f>
        <v/>
      </c>
      <c r="DG53">
        <f>IF('История отказов'!AE56="","",IF(AND(COUNTIF($CW$2:$CW$2,'История отказов'!AE56)=0,COUNTIFS('История отказов'!$F$5:F56,"НПУ-ВД",'История отказов'!$AE$5:AE56,'История отказов'!AE56)=1,'История отказов'!F56="НПУ-ВД"),52,""))</f>
        <v/>
      </c>
      <c r="DH53">
        <f>IF('История отказов'!AE56="","",IF(AND(COUNTIF($CY$2:$CY$6,'История отказов'!AE56)=0,COUNTIF('История отказов'!$AE$5:AE56,'История отказов'!AE56)=1),52,""))</f>
        <v/>
      </c>
      <c r="DI53">
        <f>IF('История отказов'!AK56="","",IF(AND(COUNTIF($CL$2:$CL$3,'История отказов'!AK56)=0,COUNTIF('История отказов'!$AK$5:AK56,'История отказов'!AK56)=1),52,""))</f>
        <v/>
      </c>
      <c r="DJ53">
        <f>IF('История отказов'!AU56="","",IF(AND(COUNTIF($CP$2:$CP$3,'История отказов'!AU56)=0,COUNTIF('История отказов'!$AU$5:AU56,'История отказов'!AU56)=1),52,""))</f>
        <v/>
      </c>
      <c r="DK53">
        <f>IF('История отказов'!AY56="","",IF(AND(COUNTIF($CR$2:$CR$2,'История отказов'!AY56)=0,COUNTIF('История отказов'!$AY$5:AY56,'История отказов'!AY56)=1),52,""))</f>
        <v/>
      </c>
      <c r="DL53">
        <f>IF(DB53="","",IF(AND(COUNTIF($DA$2:$DA$47,DB53)=0,COUNTIF($DB$2:DB53,DB53)=1),52,""))</f>
        <v/>
      </c>
    </row>
    <row r="54">
      <c r="A54" s="74" t="n"/>
      <c r="B54" s="75" t="n"/>
      <c r="C54" s="75" t="n"/>
      <c r="D54" s="75" t="n"/>
      <c r="E54" s="75" t="inlineStr">
        <is>
          <t>4.2 — Некачественное изготовление удлинителя [УЭЦН]</t>
        </is>
      </c>
      <c r="F54" s="76" t="n"/>
      <c r="H54" t="inlineStr">
        <is>
          <t>КР7-3 — Проведение ГГРП.</t>
        </is>
      </c>
      <c r="J54" s="62" t="inlineStr">
        <is>
          <t>4.2 — Некачественное изготовление удлинителя [УЭЦН]</t>
        </is>
      </c>
      <c r="K54" s="62" t="n"/>
      <c r="L54" s="62" t="n"/>
      <c r="M54" s="62" t="n"/>
      <c r="N54" s="62" t="n"/>
      <c r="Q54" t="inlineStr">
        <is>
          <t>Марка ГНО</t>
        </is>
      </c>
      <c r="R54" t="inlineStr">
        <is>
          <t>ЭВН 5-25-1700</t>
        </is>
      </c>
      <c r="S54" t="inlineStr">
        <is>
          <t>Каталожный пример / серия</t>
        </is>
      </c>
      <c r="T54" t="inlineStr">
        <is>
          <t>ГМС Ливгидромаш</t>
        </is>
      </c>
      <c r="U54" t="inlineStr">
        <is>
          <t>https://www.hms-livgidromash.ru/catalog/nasosy/evn/</t>
        </is>
      </c>
      <c r="V54" t="inlineStr">
        <is>
          <t>ЭВН</t>
        </is>
      </c>
      <c r="AX54" t="inlineStr">
        <is>
          <t>4.2 — Некачественное изготовление удлинителя [УЭЦН]</t>
        </is>
      </c>
      <c r="AY54" t="inlineStr">
        <is>
          <t>6.3 — Заводской брак дополнительного оборудования [УШГН]</t>
        </is>
      </c>
      <c r="BA54" t="inlineStr">
        <is>
          <t>КР7-3 — Проведение ГГРП.</t>
        </is>
      </c>
      <c r="CJ54" t="inlineStr">
        <is>
          <t>4.2 — Некачественное изготовление удлинителя [УЭЦН]</t>
        </is>
      </c>
      <c r="CL54">
        <f>IFERROR(INDEX('История отказов'!$AK$5:$AK$1204,SMALL($DI$2:$DI$1201,ROWS($CL$4:CL54))),"")</f>
        <v/>
      </c>
      <c r="CP54">
        <f>IFERROR(INDEX('История отказов'!$AU$5:$AU$1204,SMALL($DJ$2:$DJ$1201,ROWS($CP$4:CP54))),"")</f>
        <v/>
      </c>
      <c r="CR54">
        <f>IFERROR(INDEX('История отказов'!$AY$5:$AY$1204,SMALL($DK$2:$DK$1201,ROWS($CR$3:CR54))),"")</f>
        <v/>
      </c>
      <c r="CT54">
        <f>IFERROR(INDEX('История отказов'!$AE$5:$AE$1204,SMALL($DC$2:$DC$1201,ROWS($CT$3:CT54))),"")</f>
        <v/>
      </c>
      <c r="CU54">
        <f>IFERROR(INDEX('История отказов'!$AE$5:$AE$1204,SMALL($DD$2:$DD$1201,ROWS($CU$4:CU54))),"")</f>
        <v/>
      </c>
      <c r="CV54">
        <f>IFERROR(INDEX('История отказов'!$AE$5:$AE$1204,SMALL($DE$2:$DE$1201,ROWS($CV$4:CV54))),"")</f>
        <v/>
      </c>
      <c r="CW54">
        <f>IFERROR(INDEX('История отказов'!$AE$5:$AE$1204,SMALL($DG$2:$DG$1201,ROWS($CW$3:CW54))),"")</f>
        <v/>
      </c>
      <c r="CX54">
        <f>IFERROR(INDEX('История отказов'!$AE$5:$AE$1204,SMALL($DF$2:$DF$1201,ROWS($CX$3:CX54))),"")</f>
        <v/>
      </c>
      <c r="CY54">
        <f>IFERROR(INDEX('История отказов'!$AE$5:$AE$1204,SMALL($DH$2:$DH$1201,ROWS($CY$7:CY54))),"")</f>
        <v/>
      </c>
      <c r="DA54">
        <f>IFERROR(INDEX($DB$2:$DB$4801,SMALL($DL$2:$DL$4801,ROWS($DA$48:DA54))),"")</f>
        <v/>
      </c>
      <c r="DB54">
        <f>IF('История отказов'!AH57="","",'История отказов'!AH57)</f>
        <v/>
      </c>
      <c r="DC54">
        <f>IF('История отказов'!AE57="","",IF(AND(COUNTIF($CT$2:$CT$2,'История отказов'!AE57)=0,COUNTIFS('История отказов'!$F$5:F57,"ШГН",'История отказов'!$AE$5:AE57,'История отказов'!AE57)=1,'История отказов'!F57="ШГН"),53,""))</f>
        <v/>
      </c>
      <c r="DD54">
        <f>IF('История отказов'!AE57="","",IF(AND(COUNTIF($CU$2:$CU$3,'История отказов'!AE57)=0,COUNTIFS('История отказов'!$F$5:F57,"ЭЦН",'История отказов'!$AE$5:AE57,'История отказов'!AE57)=1,'История отказов'!F57="ЭЦН"),53,""))</f>
        <v/>
      </c>
      <c r="DE54">
        <f>IF('История отказов'!AE57="","",IF(AND(COUNTIF($CV$2:$CV$3,'История отказов'!AE57)=0,COUNTIFS('История отказов'!$F$5:F57,"ЭВН",'История отказов'!$AE$5:AE57,'История отказов'!AE57)=1,'История отказов'!F57="ЭВН"),53,""))</f>
        <v/>
      </c>
      <c r="DF54">
        <f>IF('История отказов'!AE57="","",IF(AND(COUNTIF($CX$2:$CX$2,'История отказов'!AE57)=0,COUNTIFS('История отказов'!$F$5:F57,"ШВН",'История отказов'!$AE$5:AE57,'История отказов'!AE57)=1,'История отказов'!F57="ШВН"),53,""))</f>
        <v/>
      </c>
      <c r="DG54">
        <f>IF('История отказов'!AE57="","",IF(AND(COUNTIF($CW$2:$CW$2,'История отказов'!AE57)=0,COUNTIFS('История отказов'!$F$5:F57,"НПУ-ВД",'История отказов'!$AE$5:AE57,'История отказов'!AE57)=1,'История отказов'!F57="НПУ-ВД"),53,""))</f>
        <v/>
      </c>
      <c r="DH54">
        <f>IF('История отказов'!AE57="","",IF(AND(COUNTIF($CY$2:$CY$6,'История отказов'!AE57)=0,COUNTIF('История отказов'!$AE$5:AE57,'История отказов'!AE57)=1),53,""))</f>
        <v/>
      </c>
      <c r="DI54">
        <f>IF('История отказов'!AK57="","",IF(AND(COUNTIF($CL$2:$CL$3,'История отказов'!AK57)=0,COUNTIF('История отказов'!$AK$5:AK57,'История отказов'!AK57)=1),53,""))</f>
        <v/>
      </c>
      <c r="DJ54">
        <f>IF('История отказов'!AU57="","",IF(AND(COUNTIF($CP$2:$CP$3,'История отказов'!AU57)=0,COUNTIF('История отказов'!$AU$5:AU57,'История отказов'!AU57)=1),53,""))</f>
        <v/>
      </c>
      <c r="DK54">
        <f>IF('История отказов'!AY57="","",IF(AND(COUNTIF($CR$2:$CR$2,'История отказов'!AY57)=0,COUNTIF('История отказов'!$AY$5:AY57,'История отказов'!AY57)=1),53,""))</f>
        <v/>
      </c>
      <c r="DL54">
        <f>IF(DB54="","",IF(AND(COUNTIF($DA$2:$DA$47,DB54)=0,COUNTIF($DB$2:DB54,DB54)=1),53,""))</f>
        <v/>
      </c>
    </row>
    <row r="55">
      <c r="A55" s="74" t="n"/>
      <c r="B55" s="75" t="n"/>
      <c r="C55" s="75" t="n"/>
      <c r="D55" s="75" t="n"/>
      <c r="E55" s="75" t="inlineStr">
        <is>
          <t>4.3 — Некачественный ремонт ЭЦН [УЭЦН]</t>
        </is>
      </c>
      <c r="F55" s="76" t="n"/>
      <c r="H55" t="inlineStr">
        <is>
          <t>КР7-4 — Проведение ГПП.</t>
        </is>
      </c>
      <c r="J55" s="62" t="inlineStr">
        <is>
          <t>4.3 — Некачественный ремонт ЭЦН [УЭЦН]</t>
        </is>
      </c>
      <c r="K55" s="62" t="n"/>
      <c r="L55" s="62" t="n"/>
      <c r="M55" s="62" t="n"/>
      <c r="N55" s="62" t="n"/>
      <c r="Q55" t="inlineStr">
        <is>
          <t>Марка ГНО</t>
        </is>
      </c>
      <c r="R55" t="inlineStr">
        <is>
          <t>ЭВН 5-63-1500</t>
        </is>
      </c>
      <c r="S55" t="inlineStr">
        <is>
          <t>Каталожный пример / серия</t>
        </is>
      </c>
      <c r="T55" t="inlineStr">
        <is>
          <t>ГМС Ливгидромаш</t>
        </is>
      </c>
      <c r="U55" t="inlineStr">
        <is>
          <t>https://www.hms-livgidromash.ru/catalog/nasosy/evn/</t>
        </is>
      </c>
      <c r="V55" t="inlineStr">
        <is>
          <t>ЭВН</t>
        </is>
      </c>
      <c r="AX55" t="inlineStr">
        <is>
          <t>4.3 — Некачественный ремонт ЭЦН [УЭЦН]</t>
        </is>
      </c>
      <c r="AY55" t="inlineStr">
        <is>
          <t>7.1 — Эксперимент [УШГН]</t>
        </is>
      </c>
      <c r="BA55" t="inlineStr">
        <is>
          <t>КР7-4 — Проведение ГПП.</t>
        </is>
      </c>
      <c r="CJ55" t="inlineStr">
        <is>
          <t>4.3 — Некачественный ремонт ЭЦН [УЭЦН]</t>
        </is>
      </c>
      <c r="CL55">
        <f>IFERROR(INDEX('История отказов'!$AK$5:$AK$1204,SMALL($DI$2:$DI$1201,ROWS($CL$4:CL55))),"")</f>
        <v/>
      </c>
      <c r="CP55">
        <f>IFERROR(INDEX('История отказов'!$AU$5:$AU$1204,SMALL($DJ$2:$DJ$1201,ROWS($CP$4:CP55))),"")</f>
        <v/>
      </c>
      <c r="CR55">
        <f>IFERROR(INDEX('История отказов'!$AY$5:$AY$1204,SMALL($DK$2:$DK$1201,ROWS($CR$3:CR55))),"")</f>
        <v/>
      </c>
      <c r="CT55">
        <f>IFERROR(INDEX('История отказов'!$AE$5:$AE$1204,SMALL($DC$2:$DC$1201,ROWS($CT$3:CT55))),"")</f>
        <v/>
      </c>
      <c r="CU55">
        <f>IFERROR(INDEX('История отказов'!$AE$5:$AE$1204,SMALL($DD$2:$DD$1201,ROWS($CU$4:CU55))),"")</f>
        <v/>
      </c>
      <c r="CV55">
        <f>IFERROR(INDEX('История отказов'!$AE$5:$AE$1204,SMALL($DE$2:$DE$1201,ROWS($CV$4:CV55))),"")</f>
        <v/>
      </c>
      <c r="CW55">
        <f>IFERROR(INDEX('История отказов'!$AE$5:$AE$1204,SMALL($DG$2:$DG$1201,ROWS($CW$3:CW55))),"")</f>
        <v/>
      </c>
      <c r="CX55">
        <f>IFERROR(INDEX('История отказов'!$AE$5:$AE$1204,SMALL($DF$2:$DF$1201,ROWS($CX$3:CX55))),"")</f>
        <v/>
      </c>
      <c r="CY55">
        <f>IFERROR(INDEX('История отказов'!$AE$5:$AE$1204,SMALL($DH$2:$DH$1201,ROWS($CY$7:CY55))),"")</f>
        <v/>
      </c>
      <c r="DA55">
        <f>IFERROR(INDEX($DB$2:$DB$4801,SMALL($DL$2:$DL$4801,ROWS($DA$48:DA55))),"")</f>
        <v/>
      </c>
      <c r="DB55">
        <f>IF('История отказов'!AH58="","",'История отказов'!AH58)</f>
        <v/>
      </c>
      <c r="DC55">
        <f>IF('История отказов'!AE58="","",IF(AND(COUNTIF($CT$2:$CT$2,'История отказов'!AE58)=0,COUNTIFS('История отказов'!$F$5:F58,"ШГН",'История отказов'!$AE$5:AE58,'История отказов'!AE58)=1,'История отказов'!F58="ШГН"),54,""))</f>
        <v/>
      </c>
      <c r="DD55">
        <f>IF('История отказов'!AE58="","",IF(AND(COUNTIF($CU$2:$CU$3,'История отказов'!AE58)=0,COUNTIFS('История отказов'!$F$5:F58,"ЭЦН",'История отказов'!$AE$5:AE58,'История отказов'!AE58)=1,'История отказов'!F58="ЭЦН"),54,""))</f>
        <v/>
      </c>
      <c r="DE55">
        <f>IF('История отказов'!AE58="","",IF(AND(COUNTIF($CV$2:$CV$3,'История отказов'!AE58)=0,COUNTIFS('История отказов'!$F$5:F58,"ЭВН",'История отказов'!$AE$5:AE58,'История отказов'!AE58)=1,'История отказов'!F58="ЭВН"),54,""))</f>
        <v/>
      </c>
      <c r="DF55">
        <f>IF('История отказов'!AE58="","",IF(AND(COUNTIF($CX$2:$CX$2,'История отказов'!AE58)=0,COUNTIFS('История отказов'!$F$5:F58,"ШВН",'История отказов'!$AE$5:AE58,'История отказов'!AE58)=1,'История отказов'!F58="ШВН"),54,""))</f>
        <v/>
      </c>
      <c r="DG55">
        <f>IF('История отказов'!AE58="","",IF(AND(COUNTIF($CW$2:$CW$2,'История отказов'!AE58)=0,COUNTIFS('История отказов'!$F$5:F58,"НПУ-ВД",'История отказов'!$AE$5:AE58,'История отказов'!AE58)=1,'История отказов'!F58="НПУ-ВД"),54,""))</f>
        <v/>
      </c>
      <c r="DH55">
        <f>IF('История отказов'!AE58="","",IF(AND(COUNTIF($CY$2:$CY$6,'История отказов'!AE58)=0,COUNTIF('История отказов'!$AE$5:AE58,'История отказов'!AE58)=1),54,""))</f>
        <v/>
      </c>
      <c r="DI55">
        <f>IF('История отказов'!AK58="","",IF(AND(COUNTIF($CL$2:$CL$3,'История отказов'!AK58)=0,COUNTIF('История отказов'!$AK$5:AK58,'История отказов'!AK58)=1),54,""))</f>
        <v/>
      </c>
      <c r="DJ55">
        <f>IF('История отказов'!AU58="","",IF(AND(COUNTIF($CP$2:$CP$3,'История отказов'!AU58)=0,COUNTIF('История отказов'!$AU$5:AU58,'История отказов'!AU58)=1),54,""))</f>
        <v/>
      </c>
      <c r="DK55">
        <f>IF('История отказов'!AY58="","",IF(AND(COUNTIF($CR$2:$CR$2,'История отказов'!AY58)=0,COUNTIF('История отказов'!$AY$5:AY58,'История отказов'!AY58)=1),54,""))</f>
        <v/>
      </c>
      <c r="DL55">
        <f>IF(DB55="","",IF(AND(COUNTIF($DA$2:$DA$47,DB55)=0,COUNTIF($DB$2:DB55,DB55)=1),54,""))</f>
        <v/>
      </c>
    </row>
    <row r="56">
      <c r="A56" s="74" t="n"/>
      <c r="B56" s="75" t="n"/>
      <c r="C56" s="75" t="n"/>
      <c r="D56" s="75" t="n"/>
      <c r="E56" s="75" t="inlineStr">
        <is>
          <t>4.4 — Некачественный ремонт ЭВН [УЭЦН]</t>
        </is>
      </c>
      <c r="F56" s="76" t="n"/>
      <c r="H56" t="inlineStr">
        <is>
          <t>КР7-5 — Виброобработка призабойной зоны пласта.</t>
        </is>
      </c>
      <c r="J56" s="62" t="inlineStr">
        <is>
          <t>4.4 — Некачественный ремонт ЭВН [УЭЦН]</t>
        </is>
      </c>
      <c r="K56" s="62" t="n"/>
      <c r="L56" s="62" t="n"/>
      <c r="M56" s="62" t="n"/>
      <c r="N56" s="62" t="n"/>
      <c r="Q56" t="inlineStr">
        <is>
          <t>Марка ГНО</t>
        </is>
      </c>
      <c r="R56" t="inlineStr">
        <is>
          <t>ЭВН 5-100-1000</t>
        </is>
      </c>
      <c r="S56" t="inlineStr">
        <is>
          <t>Каталожный пример / серия</t>
        </is>
      </c>
      <c r="T56" t="inlineStr">
        <is>
          <t>ГМС Ливгидромаш</t>
        </is>
      </c>
      <c r="U56" t="inlineStr">
        <is>
          <t>https://www.hms-livgidromash.ru/catalog/nasosy/evn/</t>
        </is>
      </c>
      <c r="V56" t="inlineStr">
        <is>
          <t>ЭВН</t>
        </is>
      </c>
      <c r="AX56" t="inlineStr">
        <is>
          <t>4.4 — Некачественный ремонт ЭВН [УЭЦН]</t>
        </is>
      </c>
      <c r="AY56" t="inlineStr">
        <is>
          <t>7.2 — Отказ, связанный с пакерным (или другим) оборудованием [УШГН]</t>
        </is>
      </c>
      <c r="BA56" t="inlineStr">
        <is>
          <t>КР7-5 — Виброобработка призабойной зоны пласта.</t>
        </is>
      </c>
      <c r="CJ56" t="inlineStr">
        <is>
          <t>4.4 — Некачественный ремонт ЭВН [УЭЦН]</t>
        </is>
      </c>
      <c r="CL56">
        <f>IFERROR(INDEX('История отказов'!$AK$5:$AK$1204,SMALL($DI$2:$DI$1201,ROWS($CL$4:CL56))),"")</f>
        <v/>
      </c>
      <c r="CP56">
        <f>IFERROR(INDEX('История отказов'!$AU$5:$AU$1204,SMALL($DJ$2:$DJ$1201,ROWS($CP$4:CP56))),"")</f>
        <v/>
      </c>
      <c r="CR56">
        <f>IFERROR(INDEX('История отказов'!$AY$5:$AY$1204,SMALL($DK$2:$DK$1201,ROWS($CR$3:CR56))),"")</f>
        <v/>
      </c>
      <c r="CT56">
        <f>IFERROR(INDEX('История отказов'!$AE$5:$AE$1204,SMALL($DC$2:$DC$1201,ROWS($CT$3:CT56))),"")</f>
        <v/>
      </c>
      <c r="CU56">
        <f>IFERROR(INDEX('История отказов'!$AE$5:$AE$1204,SMALL($DD$2:$DD$1201,ROWS($CU$4:CU56))),"")</f>
        <v/>
      </c>
      <c r="CV56">
        <f>IFERROR(INDEX('История отказов'!$AE$5:$AE$1204,SMALL($DE$2:$DE$1201,ROWS($CV$4:CV56))),"")</f>
        <v/>
      </c>
      <c r="CW56">
        <f>IFERROR(INDEX('История отказов'!$AE$5:$AE$1204,SMALL($DG$2:$DG$1201,ROWS($CW$3:CW56))),"")</f>
        <v/>
      </c>
      <c r="CX56">
        <f>IFERROR(INDEX('История отказов'!$AE$5:$AE$1204,SMALL($DF$2:$DF$1201,ROWS($CX$3:CX56))),"")</f>
        <v/>
      </c>
      <c r="CY56">
        <f>IFERROR(INDEX('История отказов'!$AE$5:$AE$1204,SMALL($DH$2:$DH$1201,ROWS($CY$7:CY56))),"")</f>
        <v/>
      </c>
      <c r="DA56">
        <f>IFERROR(INDEX($DB$2:$DB$4801,SMALL($DL$2:$DL$4801,ROWS($DA$48:DA56))),"")</f>
        <v/>
      </c>
      <c r="DB56">
        <f>IF('История отказов'!AH59="","",'История отказов'!AH59)</f>
        <v/>
      </c>
      <c r="DC56">
        <f>IF('История отказов'!AE59="","",IF(AND(COUNTIF($CT$2:$CT$2,'История отказов'!AE59)=0,COUNTIFS('История отказов'!$F$5:F59,"ШГН",'История отказов'!$AE$5:AE59,'История отказов'!AE59)=1,'История отказов'!F59="ШГН"),55,""))</f>
        <v/>
      </c>
      <c r="DD56">
        <f>IF('История отказов'!AE59="","",IF(AND(COUNTIF($CU$2:$CU$3,'История отказов'!AE59)=0,COUNTIFS('История отказов'!$F$5:F59,"ЭЦН",'История отказов'!$AE$5:AE59,'История отказов'!AE59)=1,'История отказов'!F59="ЭЦН"),55,""))</f>
        <v/>
      </c>
      <c r="DE56">
        <f>IF('История отказов'!AE59="","",IF(AND(COUNTIF($CV$2:$CV$3,'История отказов'!AE59)=0,COUNTIFS('История отказов'!$F$5:F59,"ЭВН",'История отказов'!$AE$5:AE59,'История отказов'!AE59)=1,'История отказов'!F59="ЭВН"),55,""))</f>
        <v/>
      </c>
      <c r="DF56">
        <f>IF('История отказов'!AE59="","",IF(AND(COUNTIF($CX$2:$CX$2,'История отказов'!AE59)=0,COUNTIFS('История отказов'!$F$5:F59,"ШВН",'История отказов'!$AE$5:AE59,'История отказов'!AE59)=1,'История отказов'!F59="ШВН"),55,""))</f>
        <v/>
      </c>
      <c r="DG56">
        <f>IF('История отказов'!AE59="","",IF(AND(COUNTIF($CW$2:$CW$2,'История отказов'!AE59)=0,COUNTIFS('История отказов'!$F$5:F59,"НПУ-ВД",'История отказов'!$AE$5:AE59,'История отказов'!AE59)=1,'История отказов'!F59="НПУ-ВД"),55,""))</f>
        <v/>
      </c>
      <c r="DH56">
        <f>IF('История отказов'!AE59="","",IF(AND(COUNTIF($CY$2:$CY$6,'История отказов'!AE59)=0,COUNTIF('История отказов'!$AE$5:AE59,'История отказов'!AE59)=1),55,""))</f>
        <v/>
      </c>
      <c r="DI56">
        <f>IF('История отказов'!AK59="","",IF(AND(COUNTIF($CL$2:$CL$3,'История отказов'!AK59)=0,COUNTIF('История отказов'!$AK$5:AK59,'История отказов'!AK59)=1),55,""))</f>
        <v/>
      </c>
      <c r="DJ56">
        <f>IF('История отказов'!AU59="","",IF(AND(COUNTIF($CP$2:$CP$3,'История отказов'!AU59)=0,COUNTIF('История отказов'!$AU$5:AU59,'История отказов'!AU59)=1),55,""))</f>
        <v/>
      </c>
      <c r="DK56">
        <f>IF('История отказов'!AY59="","",IF(AND(COUNTIF($CR$2:$CR$2,'История отказов'!AY59)=0,COUNTIF('История отказов'!$AY$5:AY59,'История отказов'!AY59)=1),55,""))</f>
        <v/>
      </c>
      <c r="DL56">
        <f>IF(DB56="","",IF(AND(COUNTIF($DA$2:$DA$47,DB56)=0,COUNTIF($DB$2:DB56,DB56)=1),55,""))</f>
        <v/>
      </c>
    </row>
    <row r="57">
      <c r="A57" s="74" t="n"/>
      <c r="B57" s="75" t="n"/>
      <c r="C57" s="75" t="n"/>
      <c r="D57" s="75" t="n"/>
      <c r="E57" s="75" t="inlineStr">
        <is>
          <t>4.5 — Некачественный ремонт опорного узла [УЭЦН]</t>
        </is>
      </c>
      <c r="F57" s="76" t="n"/>
      <c r="H57" t="inlineStr">
        <is>
          <t>КР7-6 — Термообработка призабойной зоны пласта.</t>
        </is>
      </c>
      <c r="J57" s="62" t="inlineStr">
        <is>
          <t>4.5 — Некачественный ремонт опорного узла [УЭЦН]</t>
        </is>
      </c>
      <c r="K57" s="62" t="n"/>
      <c r="L57" s="62" t="n"/>
      <c r="M57" s="62" t="n"/>
      <c r="N57" s="62" t="n"/>
      <c r="Q57" t="inlineStr">
        <is>
          <t>Марка ГНО</t>
        </is>
      </c>
      <c r="R57" t="inlineStr">
        <is>
          <t>ЭВН 5-100-1200</t>
        </is>
      </c>
      <c r="S57" t="inlineStr">
        <is>
          <t>Каталожный пример / серия</t>
        </is>
      </c>
      <c r="T57" t="inlineStr">
        <is>
          <t>ГМС Ливгидромаш</t>
        </is>
      </c>
      <c r="U57" t="inlineStr">
        <is>
          <t>https://www.hms-livgidromash.ru/catalog/nasosy/evn/</t>
        </is>
      </c>
      <c r="V57" t="inlineStr">
        <is>
          <t>ЭВН</t>
        </is>
      </c>
      <c r="AX57" t="inlineStr">
        <is>
          <t>4.5 — Некачественный ремонт опорного узла [УЭЦН]</t>
        </is>
      </c>
      <c r="AY57" t="inlineStr">
        <is>
          <t>7.3 — Прочие [УШГН]</t>
        </is>
      </c>
      <c r="BA57" t="inlineStr">
        <is>
          <t>КР7-6 — Термообработка призабойной зоны пласта.</t>
        </is>
      </c>
      <c r="CJ57" t="inlineStr">
        <is>
          <t>4.5 — Некачественный ремонт опорного узла [УЭЦН]</t>
        </is>
      </c>
      <c r="CL57">
        <f>IFERROR(INDEX('История отказов'!$AK$5:$AK$1204,SMALL($DI$2:$DI$1201,ROWS($CL$4:CL57))),"")</f>
        <v/>
      </c>
      <c r="CP57">
        <f>IFERROR(INDEX('История отказов'!$AU$5:$AU$1204,SMALL($DJ$2:$DJ$1201,ROWS($CP$4:CP57))),"")</f>
        <v/>
      </c>
      <c r="CR57">
        <f>IFERROR(INDEX('История отказов'!$AY$5:$AY$1204,SMALL($DK$2:$DK$1201,ROWS($CR$3:CR57))),"")</f>
        <v/>
      </c>
      <c r="CT57">
        <f>IFERROR(INDEX('История отказов'!$AE$5:$AE$1204,SMALL($DC$2:$DC$1201,ROWS($CT$3:CT57))),"")</f>
        <v/>
      </c>
      <c r="CU57">
        <f>IFERROR(INDEX('История отказов'!$AE$5:$AE$1204,SMALL($DD$2:$DD$1201,ROWS($CU$4:CU57))),"")</f>
        <v/>
      </c>
      <c r="CV57">
        <f>IFERROR(INDEX('История отказов'!$AE$5:$AE$1204,SMALL($DE$2:$DE$1201,ROWS($CV$4:CV57))),"")</f>
        <v/>
      </c>
      <c r="CW57">
        <f>IFERROR(INDEX('История отказов'!$AE$5:$AE$1204,SMALL($DG$2:$DG$1201,ROWS($CW$3:CW57))),"")</f>
        <v/>
      </c>
      <c r="CX57">
        <f>IFERROR(INDEX('История отказов'!$AE$5:$AE$1204,SMALL($DF$2:$DF$1201,ROWS($CX$3:CX57))),"")</f>
        <v/>
      </c>
      <c r="CY57">
        <f>IFERROR(INDEX('История отказов'!$AE$5:$AE$1204,SMALL($DH$2:$DH$1201,ROWS($CY$7:CY57))),"")</f>
        <v/>
      </c>
      <c r="DA57">
        <f>IFERROR(INDEX($DB$2:$DB$4801,SMALL($DL$2:$DL$4801,ROWS($DA$48:DA57))),"")</f>
        <v/>
      </c>
      <c r="DB57">
        <f>IF('История отказов'!AH60="","",'История отказов'!AH60)</f>
        <v/>
      </c>
      <c r="DC57">
        <f>IF('История отказов'!AE60="","",IF(AND(COUNTIF($CT$2:$CT$2,'История отказов'!AE60)=0,COUNTIFS('История отказов'!$F$5:F60,"ШГН",'История отказов'!$AE$5:AE60,'История отказов'!AE60)=1,'История отказов'!F60="ШГН"),56,""))</f>
        <v/>
      </c>
      <c r="DD57">
        <f>IF('История отказов'!AE60="","",IF(AND(COUNTIF($CU$2:$CU$3,'История отказов'!AE60)=0,COUNTIFS('История отказов'!$F$5:F60,"ЭЦН",'История отказов'!$AE$5:AE60,'История отказов'!AE60)=1,'История отказов'!F60="ЭЦН"),56,""))</f>
        <v/>
      </c>
      <c r="DE57">
        <f>IF('История отказов'!AE60="","",IF(AND(COUNTIF($CV$2:$CV$3,'История отказов'!AE60)=0,COUNTIFS('История отказов'!$F$5:F60,"ЭВН",'История отказов'!$AE$5:AE60,'История отказов'!AE60)=1,'История отказов'!F60="ЭВН"),56,""))</f>
        <v/>
      </c>
      <c r="DF57">
        <f>IF('История отказов'!AE60="","",IF(AND(COUNTIF($CX$2:$CX$2,'История отказов'!AE60)=0,COUNTIFS('История отказов'!$F$5:F60,"ШВН",'История отказов'!$AE$5:AE60,'История отказов'!AE60)=1,'История отказов'!F60="ШВН"),56,""))</f>
        <v/>
      </c>
      <c r="DG57">
        <f>IF('История отказов'!AE60="","",IF(AND(COUNTIF($CW$2:$CW$2,'История отказов'!AE60)=0,COUNTIFS('История отказов'!$F$5:F60,"НПУ-ВД",'История отказов'!$AE$5:AE60,'История отказов'!AE60)=1,'История отказов'!F60="НПУ-ВД"),56,""))</f>
        <v/>
      </c>
      <c r="DH57">
        <f>IF('История отказов'!AE60="","",IF(AND(COUNTIF($CY$2:$CY$6,'История отказов'!AE60)=0,COUNTIF('История отказов'!$AE$5:AE60,'История отказов'!AE60)=1),56,""))</f>
        <v/>
      </c>
      <c r="DI57">
        <f>IF('История отказов'!AK60="","",IF(AND(COUNTIF($CL$2:$CL$3,'История отказов'!AK60)=0,COUNTIF('История отказов'!$AK$5:AK60,'История отказов'!AK60)=1),56,""))</f>
        <v/>
      </c>
      <c r="DJ57">
        <f>IF('История отказов'!AU60="","",IF(AND(COUNTIF($CP$2:$CP$3,'История отказов'!AU60)=0,COUNTIF('История отказов'!$AU$5:AU60,'История отказов'!AU60)=1),56,""))</f>
        <v/>
      </c>
      <c r="DK57">
        <f>IF('История отказов'!AY60="","",IF(AND(COUNTIF($CR$2:$CR$2,'История отказов'!AY60)=0,COUNTIF('История отказов'!$AY$5:AY60,'История отказов'!AY60)=1),56,""))</f>
        <v/>
      </c>
      <c r="DL57">
        <f>IF(DB57="","",IF(AND(COUNTIF($DA$2:$DA$47,DB57)=0,COUNTIF($DB$2:DB57,DB57)=1),56,""))</f>
        <v/>
      </c>
    </row>
    <row r="58">
      <c r="A58" s="74" t="n"/>
      <c r="B58" s="75" t="n"/>
      <c r="C58" s="75" t="n"/>
      <c r="D58" s="75" t="n"/>
      <c r="E58" s="75" t="inlineStr">
        <is>
          <t>4.6 — Некачественный ремонт ЭД [УЭЦН]</t>
        </is>
      </c>
      <c r="F58" s="76" t="n"/>
      <c r="H58" t="inlineStr">
        <is>
          <t>КР7-7 — Промывка призабойной зоны.</t>
        </is>
      </c>
      <c r="J58" s="62" t="inlineStr">
        <is>
          <t>4.6 — Некачественный ремонт ЭД [УЭЦН]</t>
        </is>
      </c>
      <c r="K58" s="62" t="n"/>
      <c r="L58" s="62" t="n"/>
      <c r="M58" s="62" t="n"/>
      <c r="N58" s="62" t="n"/>
      <c r="Q58" t="inlineStr">
        <is>
          <t>Марка ГНО</t>
        </is>
      </c>
      <c r="R58" t="inlineStr">
        <is>
          <t>НПУ-ВД-М</t>
        </is>
      </c>
      <c r="S58" t="inlineStr">
        <is>
          <t>Каталожный пример / серия</t>
        </is>
      </c>
      <c r="T58" t="inlineStr">
        <is>
          <t>ЛУКОЙЛ РИТЭК</t>
        </is>
      </c>
      <c r="U58" t="inlineStr">
        <is>
          <t>https://ritek.lukoil.ru/ru/Activities/Innovation</t>
        </is>
      </c>
      <c r="V58" t="inlineStr">
        <is>
          <t>НПУ-ВД</t>
        </is>
      </c>
      <c r="AX58" t="inlineStr">
        <is>
          <t>4.6 — Некачественный ремонт ЭД [УЭЦН]</t>
        </is>
      </c>
      <c r="BA58" t="inlineStr">
        <is>
          <t>КР7-7 — Промывка призабойной зоны.</t>
        </is>
      </c>
      <c r="CJ58" t="inlineStr">
        <is>
          <t>4.6 — Некачественный ремонт ЭД [УЭЦН]</t>
        </is>
      </c>
      <c r="CL58">
        <f>IFERROR(INDEX('История отказов'!$AK$5:$AK$1204,SMALL($DI$2:$DI$1201,ROWS($CL$4:CL58))),"")</f>
        <v/>
      </c>
      <c r="CP58">
        <f>IFERROR(INDEX('История отказов'!$AU$5:$AU$1204,SMALL($DJ$2:$DJ$1201,ROWS($CP$4:CP58))),"")</f>
        <v/>
      </c>
      <c r="CR58">
        <f>IFERROR(INDEX('История отказов'!$AY$5:$AY$1204,SMALL($DK$2:$DK$1201,ROWS($CR$3:CR58))),"")</f>
        <v/>
      </c>
      <c r="CT58">
        <f>IFERROR(INDEX('История отказов'!$AE$5:$AE$1204,SMALL($DC$2:$DC$1201,ROWS($CT$3:CT58))),"")</f>
        <v/>
      </c>
      <c r="CU58">
        <f>IFERROR(INDEX('История отказов'!$AE$5:$AE$1204,SMALL($DD$2:$DD$1201,ROWS($CU$4:CU58))),"")</f>
        <v/>
      </c>
      <c r="CV58">
        <f>IFERROR(INDEX('История отказов'!$AE$5:$AE$1204,SMALL($DE$2:$DE$1201,ROWS($CV$4:CV58))),"")</f>
        <v/>
      </c>
      <c r="CW58">
        <f>IFERROR(INDEX('История отказов'!$AE$5:$AE$1204,SMALL($DG$2:$DG$1201,ROWS($CW$3:CW58))),"")</f>
        <v/>
      </c>
      <c r="CX58">
        <f>IFERROR(INDEX('История отказов'!$AE$5:$AE$1204,SMALL($DF$2:$DF$1201,ROWS($CX$3:CX58))),"")</f>
        <v/>
      </c>
      <c r="CY58">
        <f>IFERROR(INDEX('История отказов'!$AE$5:$AE$1204,SMALL($DH$2:$DH$1201,ROWS($CY$7:CY58))),"")</f>
        <v/>
      </c>
      <c r="DA58">
        <f>IFERROR(INDEX($DB$2:$DB$4801,SMALL($DL$2:$DL$4801,ROWS($DA$48:DA58))),"")</f>
        <v/>
      </c>
      <c r="DB58">
        <f>IF('История отказов'!AH61="","",'История отказов'!AH61)</f>
        <v/>
      </c>
      <c r="DC58">
        <f>IF('История отказов'!AE61="","",IF(AND(COUNTIF($CT$2:$CT$2,'История отказов'!AE61)=0,COUNTIFS('История отказов'!$F$5:F61,"ШГН",'История отказов'!$AE$5:AE61,'История отказов'!AE61)=1,'История отказов'!F61="ШГН"),57,""))</f>
        <v/>
      </c>
      <c r="DD58">
        <f>IF('История отказов'!AE61="","",IF(AND(COUNTIF($CU$2:$CU$3,'История отказов'!AE61)=0,COUNTIFS('История отказов'!$F$5:F61,"ЭЦН",'История отказов'!$AE$5:AE61,'История отказов'!AE61)=1,'История отказов'!F61="ЭЦН"),57,""))</f>
        <v/>
      </c>
      <c r="DE58">
        <f>IF('История отказов'!AE61="","",IF(AND(COUNTIF($CV$2:$CV$3,'История отказов'!AE61)=0,COUNTIFS('История отказов'!$F$5:F61,"ЭВН",'История отказов'!$AE$5:AE61,'История отказов'!AE61)=1,'История отказов'!F61="ЭВН"),57,""))</f>
        <v/>
      </c>
      <c r="DF58">
        <f>IF('История отказов'!AE61="","",IF(AND(COUNTIF($CX$2:$CX$2,'История отказов'!AE61)=0,COUNTIFS('История отказов'!$F$5:F61,"ШВН",'История отказов'!$AE$5:AE61,'История отказов'!AE61)=1,'История отказов'!F61="ШВН"),57,""))</f>
        <v/>
      </c>
      <c r="DG58">
        <f>IF('История отказов'!AE61="","",IF(AND(COUNTIF($CW$2:$CW$2,'История отказов'!AE61)=0,COUNTIFS('История отказов'!$F$5:F61,"НПУ-ВД",'История отказов'!$AE$5:AE61,'История отказов'!AE61)=1,'История отказов'!F61="НПУ-ВД"),57,""))</f>
        <v/>
      </c>
      <c r="DH58">
        <f>IF('История отказов'!AE61="","",IF(AND(COUNTIF($CY$2:$CY$6,'История отказов'!AE61)=0,COUNTIF('История отказов'!$AE$5:AE61,'История отказов'!AE61)=1),57,""))</f>
        <v/>
      </c>
      <c r="DI58">
        <f>IF('История отказов'!AK61="","",IF(AND(COUNTIF($CL$2:$CL$3,'История отказов'!AK61)=0,COUNTIF('История отказов'!$AK$5:AK61,'История отказов'!AK61)=1),57,""))</f>
        <v/>
      </c>
      <c r="DJ58">
        <f>IF('История отказов'!AU61="","",IF(AND(COUNTIF($CP$2:$CP$3,'История отказов'!AU61)=0,COUNTIF('История отказов'!$AU$5:AU61,'История отказов'!AU61)=1),57,""))</f>
        <v/>
      </c>
      <c r="DK58">
        <f>IF('История отказов'!AY61="","",IF(AND(COUNTIF($CR$2:$CR$2,'История отказов'!AY61)=0,COUNTIF('История отказов'!$AY$5:AY61,'История отказов'!AY61)=1),57,""))</f>
        <v/>
      </c>
      <c r="DL58">
        <f>IF(DB58="","",IF(AND(COUNTIF($DA$2:$DA$47,DB58)=0,COUNTIF($DB$2:DB58,DB58)=1),57,""))</f>
        <v/>
      </c>
    </row>
    <row r="59">
      <c r="A59" s="74" t="n"/>
      <c r="B59" s="75" t="n"/>
      <c r="C59" s="75" t="n"/>
      <c r="D59" s="75" t="n"/>
      <c r="E59" s="75" t="inlineStr">
        <is>
          <t>4.7 — Некачественный ремонт гидрозащиты [УЭЦН]</t>
        </is>
      </c>
      <c r="F59" s="76" t="n"/>
      <c r="H59" t="inlineStr">
        <is>
          <t>КР7-8 — Промывка и пропитка призабойной зоны плата растворами ПАВ.</t>
        </is>
      </c>
      <c r="J59" s="62" t="inlineStr">
        <is>
          <t>4.7 — Некачественный ремонт гидрозащиты [УЭЦН]</t>
        </is>
      </c>
      <c r="K59" s="62" t="n"/>
      <c r="L59" s="62" t="n"/>
      <c r="M59" s="62" t="n"/>
      <c r="N59" s="62" t="n"/>
      <c r="Q59" t="inlineStr">
        <is>
          <t>Способ эксплуатации</t>
        </is>
      </c>
      <c r="R59" t="inlineStr">
        <is>
          <t>ШГН</t>
        </is>
      </c>
      <c r="S59" t="inlineStr">
        <is>
          <t>Тип насосной установки</t>
        </is>
      </c>
      <c r="T59" t="inlineStr">
        <is>
          <t>Классификатор по способам 2024 V10 (Штанговый)</t>
        </is>
      </c>
      <c r="U59" t="inlineStr">
        <is>
          <t>Титул листа УЭЦН или УШГН</t>
        </is>
      </c>
      <c r="V59" t="inlineStr">
        <is>
          <t>Штанговый</t>
        </is>
      </c>
      <c r="AX59" t="inlineStr">
        <is>
          <t>4.7 — Некачественный ремонт гидрозащиты [УЭЦН]</t>
        </is>
      </c>
      <c r="BA59" t="inlineStr">
        <is>
          <t>КР7-8 — Промывка и пропитка призабойной зоны плата растворами ПАВ.</t>
        </is>
      </c>
      <c r="CJ59" t="inlineStr">
        <is>
          <t>4.7 — Некачественный ремонт гидрозащиты [УЭЦН]</t>
        </is>
      </c>
      <c r="CL59">
        <f>IFERROR(INDEX('История отказов'!$AK$5:$AK$1204,SMALL($DI$2:$DI$1201,ROWS($CL$4:CL59))),"")</f>
        <v/>
      </c>
      <c r="CP59">
        <f>IFERROR(INDEX('История отказов'!$AU$5:$AU$1204,SMALL($DJ$2:$DJ$1201,ROWS($CP$4:CP59))),"")</f>
        <v/>
      </c>
      <c r="CR59">
        <f>IFERROR(INDEX('История отказов'!$AY$5:$AY$1204,SMALL($DK$2:$DK$1201,ROWS($CR$3:CR59))),"")</f>
        <v/>
      </c>
      <c r="CT59">
        <f>IFERROR(INDEX('История отказов'!$AE$5:$AE$1204,SMALL($DC$2:$DC$1201,ROWS($CT$3:CT59))),"")</f>
        <v/>
      </c>
      <c r="CU59">
        <f>IFERROR(INDEX('История отказов'!$AE$5:$AE$1204,SMALL($DD$2:$DD$1201,ROWS($CU$4:CU59))),"")</f>
        <v/>
      </c>
      <c r="CV59">
        <f>IFERROR(INDEX('История отказов'!$AE$5:$AE$1204,SMALL($DE$2:$DE$1201,ROWS($CV$4:CV59))),"")</f>
        <v/>
      </c>
      <c r="CW59">
        <f>IFERROR(INDEX('История отказов'!$AE$5:$AE$1204,SMALL($DG$2:$DG$1201,ROWS($CW$3:CW59))),"")</f>
        <v/>
      </c>
      <c r="CX59">
        <f>IFERROR(INDEX('История отказов'!$AE$5:$AE$1204,SMALL($DF$2:$DF$1201,ROWS($CX$3:CX59))),"")</f>
        <v/>
      </c>
      <c r="CY59">
        <f>IFERROR(INDEX('История отказов'!$AE$5:$AE$1204,SMALL($DH$2:$DH$1201,ROWS($CY$7:CY59))),"")</f>
        <v/>
      </c>
      <c r="DA59">
        <f>IFERROR(INDEX($DB$2:$DB$4801,SMALL($DL$2:$DL$4801,ROWS($DA$48:DA59))),"")</f>
        <v/>
      </c>
      <c r="DB59">
        <f>IF('История отказов'!AH62="","",'История отказов'!AH62)</f>
        <v/>
      </c>
      <c r="DC59">
        <f>IF('История отказов'!AE62="","",IF(AND(COUNTIF($CT$2:$CT$2,'История отказов'!AE62)=0,COUNTIFS('История отказов'!$F$5:F62,"ШГН",'История отказов'!$AE$5:AE62,'История отказов'!AE62)=1,'История отказов'!F62="ШГН"),58,""))</f>
        <v/>
      </c>
      <c r="DD59">
        <f>IF('История отказов'!AE62="","",IF(AND(COUNTIF($CU$2:$CU$3,'История отказов'!AE62)=0,COUNTIFS('История отказов'!$F$5:F62,"ЭЦН",'История отказов'!$AE$5:AE62,'История отказов'!AE62)=1,'История отказов'!F62="ЭЦН"),58,""))</f>
        <v/>
      </c>
      <c r="DE59">
        <f>IF('История отказов'!AE62="","",IF(AND(COUNTIF($CV$2:$CV$3,'История отказов'!AE62)=0,COUNTIFS('История отказов'!$F$5:F62,"ЭВН",'История отказов'!$AE$5:AE62,'История отказов'!AE62)=1,'История отказов'!F62="ЭВН"),58,""))</f>
        <v/>
      </c>
      <c r="DF59">
        <f>IF('История отказов'!AE62="","",IF(AND(COUNTIF($CX$2:$CX$2,'История отказов'!AE62)=0,COUNTIFS('История отказов'!$F$5:F62,"ШВН",'История отказов'!$AE$5:AE62,'История отказов'!AE62)=1,'История отказов'!F62="ШВН"),58,""))</f>
        <v/>
      </c>
      <c r="DG59">
        <f>IF('История отказов'!AE62="","",IF(AND(COUNTIF($CW$2:$CW$2,'История отказов'!AE62)=0,COUNTIFS('История отказов'!$F$5:F62,"НПУ-ВД",'История отказов'!$AE$5:AE62,'История отказов'!AE62)=1,'История отказов'!F62="НПУ-ВД"),58,""))</f>
        <v/>
      </c>
      <c r="DH59">
        <f>IF('История отказов'!AE62="","",IF(AND(COUNTIF($CY$2:$CY$6,'История отказов'!AE62)=0,COUNTIF('История отказов'!$AE$5:AE62,'История отказов'!AE62)=1),58,""))</f>
        <v/>
      </c>
      <c r="DI59">
        <f>IF('История отказов'!AK62="","",IF(AND(COUNTIF($CL$2:$CL$3,'История отказов'!AK62)=0,COUNTIF('История отказов'!$AK$5:AK62,'История отказов'!AK62)=1),58,""))</f>
        <v/>
      </c>
      <c r="DJ59">
        <f>IF('История отказов'!AU62="","",IF(AND(COUNTIF($CP$2:$CP$3,'История отказов'!AU62)=0,COUNTIF('История отказов'!$AU$5:AU62,'История отказов'!AU62)=1),58,""))</f>
        <v/>
      </c>
      <c r="DK59">
        <f>IF('История отказов'!AY62="","",IF(AND(COUNTIF($CR$2:$CR$2,'История отказов'!AY62)=0,COUNTIF('История отказов'!$AY$5:AY62,'История отказов'!AY62)=1),58,""))</f>
        <v/>
      </c>
      <c r="DL59">
        <f>IF(DB59="","",IF(AND(COUNTIF($DA$2:$DA$47,DB59)=0,COUNTIF($DB$2:DB59,DB59)=1),58,""))</f>
        <v/>
      </c>
    </row>
    <row r="60">
      <c r="A60" s="74" t="n"/>
      <c r="B60" s="75" t="n"/>
      <c r="C60" s="75" t="n"/>
      <c r="D60" s="75" t="n"/>
      <c r="E60" s="75" t="inlineStr">
        <is>
          <t>4.7.1 — в т.ч. порыв РТИ [УЭЦН]</t>
        </is>
      </c>
      <c r="F60" s="76" t="n"/>
      <c r="H60" t="inlineStr">
        <is>
          <t>КР7-9 — Обработка скважин термогазохимическими методами (ТГХВ, ПГД, СКО, ГКО, ПГО и т.д.).</t>
        </is>
      </c>
      <c r="J60" s="62" t="inlineStr">
        <is>
          <t>4.7.1 — в т.ч. порыв РТИ [УЭЦН]</t>
        </is>
      </c>
      <c r="K60" s="62" t="n"/>
      <c r="L60" s="62" t="n"/>
      <c r="M60" s="62" t="n"/>
      <c r="N60" s="62" t="n"/>
      <c r="Q60" t="inlineStr">
        <is>
          <t>Способ эксплуатации</t>
        </is>
      </c>
      <c r="R60" t="inlineStr">
        <is>
          <t>ЭЦН</t>
        </is>
      </c>
      <c r="S60" t="inlineStr">
        <is>
          <t>Тип насосной установки</t>
        </is>
      </c>
      <c r="T60" t="inlineStr">
        <is>
          <t>Классификатор по способам 2024 V10 (Электропогружной)</t>
        </is>
      </c>
      <c r="U60" t="inlineStr">
        <is>
          <t>Титул листа УЭЦН или УШГН</t>
        </is>
      </c>
      <c r="V60" t="inlineStr">
        <is>
          <t>Электропогружной</t>
        </is>
      </c>
      <c r="AX60" t="inlineStr">
        <is>
          <t>4.7.1 — в т.ч. порыв РТИ [УЭЦН]</t>
        </is>
      </c>
      <c r="BA60" t="inlineStr">
        <is>
          <t>КР7-9 — Обработка скважин термогазохимическими методами (ТГХВ, ПГД, СКО, ГКО, ПГО и т.д.).</t>
        </is>
      </c>
      <c r="CJ60" t="inlineStr">
        <is>
          <t>4.7.1 — в т.ч. порыв РТИ [УЭЦН]</t>
        </is>
      </c>
      <c r="CL60">
        <f>IFERROR(INDEX('История отказов'!$AK$5:$AK$1204,SMALL($DI$2:$DI$1201,ROWS($CL$4:CL60))),"")</f>
        <v/>
      </c>
      <c r="CP60">
        <f>IFERROR(INDEX('История отказов'!$AU$5:$AU$1204,SMALL($DJ$2:$DJ$1201,ROWS($CP$4:CP60))),"")</f>
        <v/>
      </c>
      <c r="CR60">
        <f>IFERROR(INDEX('История отказов'!$AY$5:$AY$1204,SMALL($DK$2:$DK$1201,ROWS($CR$3:CR60))),"")</f>
        <v/>
      </c>
      <c r="CT60">
        <f>IFERROR(INDEX('История отказов'!$AE$5:$AE$1204,SMALL($DC$2:$DC$1201,ROWS($CT$3:CT60))),"")</f>
        <v/>
      </c>
      <c r="CU60">
        <f>IFERROR(INDEX('История отказов'!$AE$5:$AE$1204,SMALL($DD$2:$DD$1201,ROWS($CU$4:CU60))),"")</f>
        <v/>
      </c>
      <c r="CV60">
        <f>IFERROR(INDEX('История отказов'!$AE$5:$AE$1204,SMALL($DE$2:$DE$1201,ROWS($CV$4:CV60))),"")</f>
        <v/>
      </c>
      <c r="CW60">
        <f>IFERROR(INDEX('История отказов'!$AE$5:$AE$1204,SMALL($DG$2:$DG$1201,ROWS($CW$3:CW60))),"")</f>
        <v/>
      </c>
      <c r="CX60">
        <f>IFERROR(INDEX('История отказов'!$AE$5:$AE$1204,SMALL($DF$2:$DF$1201,ROWS($CX$3:CX60))),"")</f>
        <v/>
      </c>
      <c r="CY60">
        <f>IFERROR(INDEX('История отказов'!$AE$5:$AE$1204,SMALL($DH$2:$DH$1201,ROWS($CY$7:CY60))),"")</f>
        <v/>
      </c>
      <c r="DA60">
        <f>IFERROR(INDEX($DB$2:$DB$4801,SMALL($DL$2:$DL$4801,ROWS($DA$48:DA60))),"")</f>
        <v/>
      </c>
      <c r="DB60">
        <f>IF('История отказов'!AH63="","",'История отказов'!AH63)</f>
        <v/>
      </c>
      <c r="DC60">
        <f>IF('История отказов'!AE63="","",IF(AND(COUNTIF($CT$2:$CT$2,'История отказов'!AE63)=0,COUNTIFS('История отказов'!$F$5:F63,"ШГН",'История отказов'!$AE$5:AE63,'История отказов'!AE63)=1,'История отказов'!F63="ШГН"),59,""))</f>
        <v/>
      </c>
      <c r="DD60">
        <f>IF('История отказов'!AE63="","",IF(AND(COUNTIF($CU$2:$CU$3,'История отказов'!AE63)=0,COUNTIFS('История отказов'!$F$5:F63,"ЭЦН",'История отказов'!$AE$5:AE63,'История отказов'!AE63)=1,'История отказов'!F63="ЭЦН"),59,""))</f>
        <v/>
      </c>
      <c r="DE60">
        <f>IF('История отказов'!AE63="","",IF(AND(COUNTIF($CV$2:$CV$3,'История отказов'!AE63)=0,COUNTIFS('История отказов'!$F$5:F63,"ЭВН",'История отказов'!$AE$5:AE63,'История отказов'!AE63)=1,'История отказов'!F63="ЭВН"),59,""))</f>
        <v/>
      </c>
      <c r="DF60">
        <f>IF('История отказов'!AE63="","",IF(AND(COUNTIF($CX$2:$CX$2,'История отказов'!AE63)=0,COUNTIFS('История отказов'!$F$5:F63,"ШВН",'История отказов'!$AE$5:AE63,'История отказов'!AE63)=1,'История отказов'!F63="ШВН"),59,""))</f>
        <v/>
      </c>
      <c r="DG60">
        <f>IF('История отказов'!AE63="","",IF(AND(COUNTIF($CW$2:$CW$2,'История отказов'!AE63)=0,COUNTIFS('История отказов'!$F$5:F63,"НПУ-ВД",'История отказов'!$AE$5:AE63,'История отказов'!AE63)=1,'История отказов'!F63="НПУ-ВД"),59,""))</f>
        <v/>
      </c>
      <c r="DH60">
        <f>IF('История отказов'!AE63="","",IF(AND(COUNTIF($CY$2:$CY$6,'История отказов'!AE63)=0,COUNTIF('История отказов'!$AE$5:AE63,'История отказов'!AE63)=1),59,""))</f>
        <v/>
      </c>
      <c r="DI60">
        <f>IF('История отказов'!AK63="","",IF(AND(COUNTIF($CL$2:$CL$3,'История отказов'!AK63)=0,COUNTIF('История отказов'!$AK$5:AK63,'История отказов'!AK63)=1),59,""))</f>
        <v/>
      </c>
      <c r="DJ60">
        <f>IF('История отказов'!AU63="","",IF(AND(COUNTIF($CP$2:$CP$3,'История отказов'!AU63)=0,COUNTIF('История отказов'!$AU$5:AU63,'История отказов'!AU63)=1),59,""))</f>
        <v/>
      </c>
      <c r="DK60">
        <f>IF('История отказов'!AY63="","",IF(AND(COUNTIF($CR$2:$CR$2,'История отказов'!AY63)=0,COUNTIF('История отказов'!$AY$5:AY63,'История отказов'!AY63)=1),59,""))</f>
        <v/>
      </c>
      <c r="DL60">
        <f>IF(DB60="","",IF(AND(COUNTIF($DA$2:$DA$47,DB60)=0,COUNTIF($DB$2:DB60,DB60)=1),59,""))</f>
        <v/>
      </c>
    </row>
    <row r="61">
      <c r="A61" s="74" t="n"/>
      <c r="B61" s="75" t="n"/>
      <c r="C61" s="75" t="n"/>
      <c r="D61" s="75" t="n"/>
      <c r="E61" s="75" t="inlineStr">
        <is>
          <t>4.8 — Некачественный ремонт дополнительного оборудования [УЭЦН]</t>
        </is>
      </c>
      <c r="F61" s="76" t="n"/>
      <c r="H61" t="inlineStr">
        <is>
          <t>КР7-10 — Проведение УОС и его модефикаций.</t>
        </is>
      </c>
      <c r="J61" s="62" t="inlineStr">
        <is>
          <t>4.8 — Некачественный ремонт дополнительного оборудования [УЭЦН]</t>
        </is>
      </c>
      <c r="K61" s="62" t="n"/>
      <c r="L61" s="62" t="n"/>
      <c r="M61" s="62" t="n"/>
      <c r="N61" s="62" t="n"/>
      <c r="Q61" t="inlineStr">
        <is>
          <t>Способ эксплуатации</t>
        </is>
      </c>
      <c r="R61" t="inlineStr">
        <is>
          <t>ШВН</t>
        </is>
      </c>
      <c r="S61" t="inlineStr">
        <is>
          <t>Тип насосной установки</t>
        </is>
      </c>
      <c r="T61" t="inlineStr">
        <is>
          <t>Классификатор по способам 2024 V10 (Штанговый)</t>
        </is>
      </c>
      <c r="U61" t="inlineStr">
        <is>
          <t>Титул листа УЭЦН или УШГН</t>
        </is>
      </c>
      <c r="V61" t="inlineStr">
        <is>
          <t>Штанговый</t>
        </is>
      </c>
      <c r="AX61" t="inlineStr">
        <is>
          <t>4.8 — Некачественный ремонт дополнительного оборудования [УЭЦН]</t>
        </is>
      </c>
      <c r="BA61" t="inlineStr">
        <is>
          <t>КР7-10 — Проведение УОС и его модефикаций.</t>
        </is>
      </c>
      <c r="CJ61" t="inlineStr">
        <is>
          <t>4.8 — Некачественный ремонт дополнительного оборудования [УЭЦН]</t>
        </is>
      </c>
      <c r="CL61">
        <f>IFERROR(INDEX('История отказов'!$AK$5:$AK$1204,SMALL($DI$2:$DI$1201,ROWS($CL$4:CL61))),"")</f>
        <v/>
      </c>
      <c r="CP61">
        <f>IFERROR(INDEX('История отказов'!$AU$5:$AU$1204,SMALL($DJ$2:$DJ$1201,ROWS($CP$4:CP61))),"")</f>
        <v/>
      </c>
      <c r="CR61">
        <f>IFERROR(INDEX('История отказов'!$AY$5:$AY$1204,SMALL($DK$2:$DK$1201,ROWS($CR$3:CR61))),"")</f>
        <v/>
      </c>
      <c r="CT61">
        <f>IFERROR(INDEX('История отказов'!$AE$5:$AE$1204,SMALL($DC$2:$DC$1201,ROWS($CT$3:CT61))),"")</f>
        <v/>
      </c>
      <c r="CU61">
        <f>IFERROR(INDEX('История отказов'!$AE$5:$AE$1204,SMALL($DD$2:$DD$1201,ROWS($CU$4:CU61))),"")</f>
        <v/>
      </c>
      <c r="CV61">
        <f>IFERROR(INDEX('История отказов'!$AE$5:$AE$1204,SMALL($DE$2:$DE$1201,ROWS($CV$4:CV61))),"")</f>
        <v/>
      </c>
      <c r="CW61">
        <f>IFERROR(INDEX('История отказов'!$AE$5:$AE$1204,SMALL($DG$2:$DG$1201,ROWS($CW$3:CW61))),"")</f>
        <v/>
      </c>
      <c r="CX61">
        <f>IFERROR(INDEX('История отказов'!$AE$5:$AE$1204,SMALL($DF$2:$DF$1201,ROWS($CX$3:CX61))),"")</f>
        <v/>
      </c>
      <c r="CY61">
        <f>IFERROR(INDEX('История отказов'!$AE$5:$AE$1204,SMALL($DH$2:$DH$1201,ROWS($CY$7:CY61))),"")</f>
        <v/>
      </c>
      <c r="DA61">
        <f>IFERROR(INDEX($DB$2:$DB$4801,SMALL($DL$2:$DL$4801,ROWS($DA$48:DA61))),"")</f>
        <v/>
      </c>
      <c r="DB61">
        <f>IF('История отказов'!AH64="","",'История отказов'!AH64)</f>
        <v/>
      </c>
      <c r="DC61">
        <f>IF('История отказов'!AE64="","",IF(AND(COUNTIF($CT$2:$CT$2,'История отказов'!AE64)=0,COUNTIFS('История отказов'!$F$5:F64,"ШГН",'История отказов'!$AE$5:AE64,'История отказов'!AE64)=1,'История отказов'!F64="ШГН"),60,""))</f>
        <v/>
      </c>
      <c r="DD61">
        <f>IF('История отказов'!AE64="","",IF(AND(COUNTIF($CU$2:$CU$3,'История отказов'!AE64)=0,COUNTIFS('История отказов'!$F$5:F64,"ЭЦН",'История отказов'!$AE$5:AE64,'История отказов'!AE64)=1,'История отказов'!F64="ЭЦН"),60,""))</f>
        <v/>
      </c>
      <c r="DE61">
        <f>IF('История отказов'!AE64="","",IF(AND(COUNTIF($CV$2:$CV$3,'История отказов'!AE64)=0,COUNTIFS('История отказов'!$F$5:F64,"ЭВН",'История отказов'!$AE$5:AE64,'История отказов'!AE64)=1,'История отказов'!F64="ЭВН"),60,""))</f>
        <v/>
      </c>
      <c r="DF61">
        <f>IF('История отказов'!AE64="","",IF(AND(COUNTIF($CX$2:$CX$2,'История отказов'!AE64)=0,COUNTIFS('История отказов'!$F$5:F64,"ШВН",'История отказов'!$AE$5:AE64,'История отказов'!AE64)=1,'История отказов'!F64="ШВН"),60,""))</f>
        <v/>
      </c>
      <c r="DG61">
        <f>IF('История отказов'!AE64="","",IF(AND(COUNTIF($CW$2:$CW$2,'История отказов'!AE64)=0,COUNTIFS('История отказов'!$F$5:F64,"НПУ-ВД",'История отказов'!$AE$5:AE64,'История отказов'!AE64)=1,'История отказов'!F64="НПУ-ВД"),60,""))</f>
        <v/>
      </c>
      <c r="DH61">
        <f>IF('История отказов'!AE64="","",IF(AND(COUNTIF($CY$2:$CY$6,'История отказов'!AE64)=0,COUNTIF('История отказов'!$AE$5:AE64,'История отказов'!AE64)=1),60,""))</f>
        <v/>
      </c>
      <c r="DI61">
        <f>IF('История отказов'!AK64="","",IF(AND(COUNTIF($CL$2:$CL$3,'История отказов'!AK64)=0,COUNTIF('История отказов'!$AK$5:AK64,'История отказов'!AK64)=1),60,""))</f>
        <v/>
      </c>
      <c r="DJ61">
        <f>IF('История отказов'!AU64="","",IF(AND(COUNTIF($CP$2:$CP$3,'История отказов'!AU64)=0,COUNTIF('История отказов'!$AU$5:AU64,'История отказов'!AU64)=1),60,""))</f>
        <v/>
      </c>
      <c r="DK61">
        <f>IF('История отказов'!AY64="","",IF(AND(COUNTIF($CR$2:$CR$2,'История отказов'!AY64)=0,COUNTIF('История отказов'!$AY$5:AY64,'История отказов'!AY64)=1),60,""))</f>
        <v/>
      </c>
      <c r="DL61">
        <f>IF(DB61="","",IF(AND(COUNTIF($DA$2:$DA$47,DB61)=0,COUNTIF($DB$2:DB61,DB61)=1),60,""))</f>
        <v/>
      </c>
    </row>
    <row r="62">
      <c r="A62" s="74" t="n"/>
      <c r="B62" s="75" t="n"/>
      <c r="C62" s="75" t="n"/>
      <c r="D62" s="75" t="n"/>
      <c r="E62" s="75" t="inlineStr">
        <is>
          <t>4.9 — Неправильная комплектация ГНО [УЭЦН]</t>
        </is>
      </c>
      <c r="F62" s="76" t="n"/>
      <c r="H62" t="inlineStr">
        <is>
          <t>КР7-11 — Проведение КИИ—95 (ИПТ и др.)</t>
        </is>
      </c>
      <c r="J62" s="62" t="inlineStr">
        <is>
          <t>4.9 — Неправильная комплектация ГНО [УЭЦН]</t>
        </is>
      </c>
      <c r="K62" s="62" t="n"/>
      <c r="L62" s="62" t="n"/>
      <c r="M62" s="62" t="n"/>
      <c r="N62" s="62" t="n"/>
      <c r="Q62" t="inlineStr">
        <is>
          <t>Способ эксплуатации</t>
        </is>
      </c>
      <c r="R62" t="inlineStr">
        <is>
          <t>ЭВН</t>
        </is>
      </c>
      <c r="S62" t="inlineStr">
        <is>
          <t>Тип насосной установки</t>
        </is>
      </c>
      <c r="T62" t="inlineStr">
        <is>
          <t>Классификатор по способам 2024 V10 (Электропогружной)</t>
        </is>
      </c>
      <c r="U62" t="inlineStr">
        <is>
          <t>Титул листа УЭЦН или УШГН</t>
        </is>
      </c>
      <c r="V62" t="inlineStr">
        <is>
          <t>Электропогружной</t>
        </is>
      </c>
      <c r="AX62" t="inlineStr">
        <is>
          <t>4.9 — Неправильная комплектация ГНО [УЭЦН]</t>
        </is>
      </c>
      <c r="BA62" t="inlineStr">
        <is>
          <t>КР7-11 — Проведение КИИ—95 (ИПТ и др.)</t>
        </is>
      </c>
      <c r="CJ62" t="inlineStr">
        <is>
          <t>4.9 — Неправильная комплектация ГНО [УЭЦН]</t>
        </is>
      </c>
      <c r="CL62">
        <f>IFERROR(INDEX('История отказов'!$AK$5:$AK$1204,SMALL($DI$2:$DI$1201,ROWS($CL$4:CL62))),"")</f>
        <v/>
      </c>
      <c r="CP62">
        <f>IFERROR(INDEX('История отказов'!$AU$5:$AU$1204,SMALL($DJ$2:$DJ$1201,ROWS($CP$4:CP62))),"")</f>
        <v/>
      </c>
      <c r="CR62">
        <f>IFERROR(INDEX('История отказов'!$AY$5:$AY$1204,SMALL($DK$2:$DK$1201,ROWS($CR$3:CR62))),"")</f>
        <v/>
      </c>
      <c r="CT62">
        <f>IFERROR(INDEX('История отказов'!$AE$5:$AE$1204,SMALL($DC$2:$DC$1201,ROWS($CT$3:CT62))),"")</f>
        <v/>
      </c>
      <c r="CU62">
        <f>IFERROR(INDEX('История отказов'!$AE$5:$AE$1204,SMALL($DD$2:$DD$1201,ROWS($CU$4:CU62))),"")</f>
        <v/>
      </c>
      <c r="CV62">
        <f>IFERROR(INDEX('История отказов'!$AE$5:$AE$1204,SMALL($DE$2:$DE$1201,ROWS($CV$4:CV62))),"")</f>
        <v/>
      </c>
      <c r="CW62">
        <f>IFERROR(INDEX('История отказов'!$AE$5:$AE$1204,SMALL($DG$2:$DG$1201,ROWS($CW$3:CW62))),"")</f>
        <v/>
      </c>
      <c r="CX62">
        <f>IFERROR(INDEX('История отказов'!$AE$5:$AE$1204,SMALL($DF$2:$DF$1201,ROWS($CX$3:CX62))),"")</f>
        <v/>
      </c>
      <c r="CY62">
        <f>IFERROR(INDEX('История отказов'!$AE$5:$AE$1204,SMALL($DH$2:$DH$1201,ROWS($CY$7:CY62))),"")</f>
        <v/>
      </c>
      <c r="DA62">
        <f>IFERROR(INDEX($DB$2:$DB$4801,SMALL($DL$2:$DL$4801,ROWS($DA$48:DA62))),"")</f>
        <v/>
      </c>
      <c r="DB62">
        <f>IF('История отказов'!AH65="","",'История отказов'!AH65)</f>
        <v/>
      </c>
      <c r="DC62">
        <f>IF('История отказов'!AE65="","",IF(AND(COUNTIF($CT$2:$CT$2,'История отказов'!AE65)=0,COUNTIFS('История отказов'!$F$5:F65,"ШГН",'История отказов'!$AE$5:AE65,'История отказов'!AE65)=1,'История отказов'!F65="ШГН"),61,""))</f>
        <v/>
      </c>
      <c r="DD62">
        <f>IF('История отказов'!AE65="","",IF(AND(COUNTIF($CU$2:$CU$3,'История отказов'!AE65)=0,COUNTIFS('История отказов'!$F$5:F65,"ЭЦН",'История отказов'!$AE$5:AE65,'История отказов'!AE65)=1,'История отказов'!F65="ЭЦН"),61,""))</f>
        <v/>
      </c>
      <c r="DE62">
        <f>IF('История отказов'!AE65="","",IF(AND(COUNTIF($CV$2:$CV$3,'История отказов'!AE65)=0,COUNTIFS('История отказов'!$F$5:F65,"ЭВН",'История отказов'!$AE$5:AE65,'История отказов'!AE65)=1,'История отказов'!F65="ЭВН"),61,""))</f>
        <v/>
      </c>
      <c r="DF62">
        <f>IF('История отказов'!AE65="","",IF(AND(COUNTIF($CX$2:$CX$2,'История отказов'!AE65)=0,COUNTIFS('История отказов'!$F$5:F65,"ШВН",'История отказов'!$AE$5:AE65,'История отказов'!AE65)=1,'История отказов'!F65="ШВН"),61,""))</f>
        <v/>
      </c>
      <c r="DG62">
        <f>IF('История отказов'!AE65="","",IF(AND(COUNTIF($CW$2:$CW$2,'История отказов'!AE65)=0,COUNTIFS('История отказов'!$F$5:F65,"НПУ-ВД",'История отказов'!$AE$5:AE65,'История отказов'!AE65)=1,'История отказов'!F65="НПУ-ВД"),61,""))</f>
        <v/>
      </c>
      <c r="DH62">
        <f>IF('История отказов'!AE65="","",IF(AND(COUNTIF($CY$2:$CY$6,'История отказов'!AE65)=0,COUNTIF('История отказов'!$AE$5:AE65,'История отказов'!AE65)=1),61,""))</f>
        <v/>
      </c>
      <c r="DI62">
        <f>IF('История отказов'!AK65="","",IF(AND(COUNTIF($CL$2:$CL$3,'История отказов'!AK65)=0,COUNTIF('История отказов'!$AK$5:AK65,'История отказов'!AK65)=1),61,""))</f>
        <v/>
      </c>
      <c r="DJ62">
        <f>IF('История отказов'!AU65="","",IF(AND(COUNTIF($CP$2:$CP$3,'История отказов'!AU65)=0,COUNTIF('История отказов'!$AU$5:AU65,'История отказов'!AU65)=1),61,""))</f>
        <v/>
      </c>
      <c r="DK62">
        <f>IF('История отказов'!AY65="","",IF(AND(COUNTIF($CR$2:$CR$2,'История отказов'!AY65)=0,COUNTIF('История отказов'!$AY$5:AY65,'История отказов'!AY65)=1),61,""))</f>
        <v/>
      </c>
      <c r="DL62">
        <f>IF(DB62="","",IF(AND(COUNTIF($DA$2:$DA$47,DB62)=0,COUNTIF($DB$2:DB62,DB62)=1),61,""))</f>
        <v/>
      </c>
    </row>
    <row r="63">
      <c r="A63" s="74" t="n"/>
      <c r="B63" s="75" t="n"/>
      <c r="C63" s="75" t="n"/>
      <c r="D63" s="75" t="n"/>
      <c r="E63" s="75" t="inlineStr">
        <is>
          <t>4.10 — Некачественный монтаж [УЭЦН]</t>
        </is>
      </c>
      <c r="F63" s="76" t="n"/>
      <c r="H63" t="inlineStr">
        <is>
          <t>КР7-12 — Вызов притока свабированием, желонкой, заменой жидкости, компримированием.</t>
        </is>
      </c>
      <c r="J63" s="62" t="inlineStr">
        <is>
          <t>4.10 — Некачественный монтаж [УЭЦН]</t>
        </is>
      </c>
      <c r="K63" s="62" t="n"/>
      <c r="L63" s="62" t="n"/>
      <c r="M63" s="62" t="n"/>
      <c r="N63" s="62" t="n"/>
      <c r="Q63" t="inlineStr">
        <is>
          <t>Способ эксплуатации</t>
        </is>
      </c>
      <c r="R63" t="inlineStr">
        <is>
          <t>НПУ-ВД</t>
        </is>
      </c>
      <c r="S63" t="inlineStr">
        <is>
          <t>Тип насосной установки</t>
        </is>
      </c>
      <c r="T63" t="inlineStr">
        <is>
          <t>ЛУКОЙЛ РИТЭК</t>
        </is>
      </c>
      <c r="U63" t="inlineStr">
        <is>
          <t>https://ritek.lukoil.ru/ru/Activities/Innovation</t>
        </is>
      </c>
      <c r="V63" t="inlineStr">
        <is>
          <t>Погружной плунжерный</t>
        </is>
      </c>
      <c r="AX63" t="inlineStr">
        <is>
          <t>4.10 — Некачественный монтаж [УЭЦН]</t>
        </is>
      </c>
      <c r="BA63" t="inlineStr">
        <is>
          <t>КР7-12 — Вызов притока свабированием, желонкой, заменой жидкости, компримированием.</t>
        </is>
      </c>
      <c r="CJ63" t="inlineStr">
        <is>
          <t>4.10 — Некачественный монтаж [УЭЦН]</t>
        </is>
      </c>
      <c r="CL63">
        <f>IFERROR(INDEX('История отказов'!$AK$5:$AK$1204,SMALL($DI$2:$DI$1201,ROWS($CL$4:CL63))),"")</f>
        <v/>
      </c>
      <c r="CP63">
        <f>IFERROR(INDEX('История отказов'!$AU$5:$AU$1204,SMALL($DJ$2:$DJ$1201,ROWS($CP$4:CP63))),"")</f>
        <v/>
      </c>
      <c r="CR63">
        <f>IFERROR(INDEX('История отказов'!$AY$5:$AY$1204,SMALL($DK$2:$DK$1201,ROWS($CR$3:CR63))),"")</f>
        <v/>
      </c>
      <c r="CT63">
        <f>IFERROR(INDEX('История отказов'!$AE$5:$AE$1204,SMALL($DC$2:$DC$1201,ROWS($CT$3:CT63))),"")</f>
        <v/>
      </c>
      <c r="CU63">
        <f>IFERROR(INDEX('История отказов'!$AE$5:$AE$1204,SMALL($DD$2:$DD$1201,ROWS($CU$4:CU63))),"")</f>
        <v/>
      </c>
      <c r="CV63">
        <f>IFERROR(INDEX('История отказов'!$AE$5:$AE$1204,SMALL($DE$2:$DE$1201,ROWS($CV$4:CV63))),"")</f>
        <v/>
      </c>
      <c r="CW63">
        <f>IFERROR(INDEX('История отказов'!$AE$5:$AE$1204,SMALL($DG$2:$DG$1201,ROWS($CW$3:CW63))),"")</f>
        <v/>
      </c>
      <c r="CX63">
        <f>IFERROR(INDEX('История отказов'!$AE$5:$AE$1204,SMALL($DF$2:$DF$1201,ROWS($CX$3:CX63))),"")</f>
        <v/>
      </c>
      <c r="CY63">
        <f>IFERROR(INDEX('История отказов'!$AE$5:$AE$1204,SMALL($DH$2:$DH$1201,ROWS($CY$7:CY63))),"")</f>
        <v/>
      </c>
      <c r="DA63">
        <f>IFERROR(INDEX($DB$2:$DB$4801,SMALL($DL$2:$DL$4801,ROWS($DA$48:DA63))),"")</f>
        <v/>
      </c>
      <c r="DB63">
        <f>IF('История отказов'!AH66="","",'История отказов'!AH66)</f>
        <v/>
      </c>
      <c r="DC63">
        <f>IF('История отказов'!AE66="","",IF(AND(COUNTIF($CT$2:$CT$2,'История отказов'!AE66)=0,COUNTIFS('История отказов'!$F$5:F66,"ШГН",'История отказов'!$AE$5:AE66,'История отказов'!AE66)=1,'История отказов'!F66="ШГН"),62,""))</f>
        <v/>
      </c>
      <c r="DD63">
        <f>IF('История отказов'!AE66="","",IF(AND(COUNTIF($CU$2:$CU$3,'История отказов'!AE66)=0,COUNTIFS('История отказов'!$F$5:F66,"ЭЦН",'История отказов'!$AE$5:AE66,'История отказов'!AE66)=1,'История отказов'!F66="ЭЦН"),62,""))</f>
        <v/>
      </c>
      <c r="DE63">
        <f>IF('История отказов'!AE66="","",IF(AND(COUNTIF($CV$2:$CV$3,'История отказов'!AE66)=0,COUNTIFS('История отказов'!$F$5:F66,"ЭВН",'История отказов'!$AE$5:AE66,'История отказов'!AE66)=1,'История отказов'!F66="ЭВН"),62,""))</f>
        <v/>
      </c>
      <c r="DF63">
        <f>IF('История отказов'!AE66="","",IF(AND(COUNTIF($CX$2:$CX$2,'История отказов'!AE66)=0,COUNTIFS('История отказов'!$F$5:F66,"ШВН",'История отказов'!$AE$5:AE66,'История отказов'!AE66)=1,'История отказов'!F66="ШВН"),62,""))</f>
        <v/>
      </c>
      <c r="DG63">
        <f>IF('История отказов'!AE66="","",IF(AND(COUNTIF($CW$2:$CW$2,'История отказов'!AE66)=0,COUNTIFS('История отказов'!$F$5:F66,"НПУ-ВД",'История отказов'!$AE$5:AE66,'История отказов'!AE66)=1,'История отказов'!F66="НПУ-ВД"),62,""))</f>
        <v/>
      </c>
      <c r="DH63">
        <f>IF('История отказов'!AE66="","",IF(AND(COUNTIF($CY$2:$CY$6,'История отказов'!AE66)=0,COUNTIF('История отказов'!$AE$5:AE66,'История отказов'!AE66)=1),62,""))</f>
        <v/>
      </c>
      <c r="DI63">
        <f>IF('История отказов'!AK66="","",IF(AND(COUNTIF($CL$2:$CL$3,'История отказов'!AK66)=0,COUNTIF('История отказов'!$AK$5:AK66,'История отказов'!AK66)=1),62,""))</f>
        <v/>
      </c>
      <c r="DJ63">
        <f>IF('История отказов'!AU66="","",IF(AND(COUNTIF($CP$2:$CP$3,'История отказов'!AU66)=0,COUNTIF('История отказов'!$AU$5:AU66,'История отказов'!AU66)=1),62,""))</f>
        <v/>
      </c>
      <c r="DK63">
        <f>IF('История отказов'!AY66="","",IF(AND(COUNTIF($CR$2:$CR$2,'История отказов'!AY66)=0,COUNTIF('История отказов'!$AY$5:AY66,'История отказов'!AY66)=1),62,""))</f>
        <v/>
      </c>
      <c r="DL63">
        <f>IF(DB63="","",IF(AND(COUNTIF($DA$2:$DA$47,DB63)=0,COUNTIF($DB$2:DB63,DB63)=1),62,""))</f>
        <v/>
      </c>
    </row>
    <row r="64">
      <c r="A64" s="74" t="n"/>
      <c r="B64" s="75" t="n"/>
      <c r="C64" s="75" t="n"/>
      <c r="D64" s="75" t="n"/>
      <c r="E64" s="75" t="inlineStr">
        <is>
          <t>4.11 — Некачественный вывод на режим [УЭЦН]</t>
        </is>
      </c>
      <c r="F64" s="76" t="n"/>
      <c r="H64" t="inlineStr">
        <is>
          <t>КР7-13 — Выравнивание профиля или восстановление приемистости нагнетательной скважины.</t>
        </is>
      </c>
      <c r="J64" s="62" t="inlineStr">
        <is>
          <t>4.11 — Некачественный вывод на режим [УЭЦН]</t>
        </is>
      </c>
      <c r="K64" s="62" t="n"/>
      <c r="L64" s="62" t="n"/>
      <c r="M64" s="62" t="n"/>
      <c r="N64" s="62" t="n"/>
      <c r="Q64" t="inlineStr">
        <is>
          <t>Тип события</t>
        </is>
      </c>
      <c r="R64" t="inlineStr">
        <is>
          <t>Подтверждённый отказ</t>
        </is>
      </c>
      <c r="S64" t="inlineStr">
        <is>
          <t>Рабочий статус</t>
        </is>
      </c>
      <c r="T64" t="inlineStr">
        <is>
          <t>Логика оперативного реестра</t>
        </is>
      </c>
      <c r="U64" t="inlineStr">
        <is>
          <t>https://www.iso.org/standard/64076.html</t>
        </is>
      </c>
      <c r="V64" t="inlineStr">
        <is>
          <t>Все типы</t>
        </is>
      </c>
      <c r="AX64" t="inlineStr">
        <is>
          <t>4.11 — Некачественный вывод на режим [УЭЦН]</t>
        </is>
      </c>
      <c r="BA64" t="inlineStr">
        <is>
          <t>КР7-13 — Выравнивание профиля или восстановление приемистости нагнетательной скважины.</t>
        </is>
      </c>
      <c r="CJ64" t="inlineStr">
        <is>
          <t>4.11 — Некачественный вывод на режим [УЭЦН]</t>
        </is>
      </c>
      <c r="CL64">
        <f>IFERROR(INDEX('История отказов'!$AK$5:$AK$1204,SMALL($DI$2:$DI$1201,ROWS($CL$4:CL64))),"")</f>
        <v/>
      </c>
      <c r="CP64">
        <f>IFERROR(INDEX('История отказов'!$AU$5:$AU$1204,SMALL($DJ$2:$DJ$1201,ROWS($CP$4:CP64))),"")</f>
        <v/>
      </c>
      <c r="CR64">
        <f>IFERROR(INDEX('История отказов'!$AY$5:$AY$1204,SMALL($DK$2:$DK$1201,ROWS($CR$3:CR64))),"")</f>
        <v/>
      </c>
      <c r="CT64">
        <f>IFERROR(INDEX('История отказов'!$AE$5:$AE$1204,SMALL($DC$2:$DC$1201,ROWS($CT$3:CT64))),"")</f>
        <v/>
      </c>
      <c r="CU64">
        <f>IFERROR(INDEX('История отказов'!$AE$5:$AE$1204,SMALL($DD$2:$DD$1201,ROWS($CU$4:CU64))),"")</f>
        <v/>
      </c>
      <c r="CV64">
        <f>IFERROR(INDEX('История отказов'!$AE$5:$AE$1204,SMALL($DE$2:$DE$1201,ROWS($CV$4:CV64))),"")</f>
        <v/>
      </c>
      <c r="CW64">
        <f>IFERROR(INDEX('История отказов'!$AE$5:$AE$1204,SMALL($DG$2:$DG$1201,ROWS($CW$3:CW64))),"")</f>
        <v/>
      </c>
      <c r="CX64">
        <f>IFERROR(INDEX('История отказов'!$AE$5:$AE$1204,SMALL($DF$2:$DF$1201,ROWS($CX$3:CX64))),"")</f>
        <v/>
      </c>
      <c r="CY64">
        <f>IFERROR(INDEX('История отказов'!$AE$5:$AE$1204,SMALL($DH$2:$DH$1201,ROWS($CY$7:CY64))),"")</f>
        <v/>
      </c>
      <c r="DA64">
        <f>IFERROR(INDEX($DB$2:$DB$4801,SMALL($DL$2:$DL$4801,ROWS($DA$48:DA64))),"")</f>
        <v/>
      </c>
      <c r="DB64">
        <f>IF('История отказов'!AH67="","",'История отказов'!AH67)</f>
        <v/>
      </c>
      <c r="DC64">
        <f>IF('История отказов'!AE67="","",IF(AND(COUNTIF($CT$2:$CT$2,'История отказов'!AE67)=0,COUNTIFS('История отказов'!$F$5:F67,"ШГН",'История отказов'!$AE$5:AE67,'История отказов'!AE67)=1,'История отказов'!F67="ШГН"),63,""))</f>
        <v/>
      </c>
      <c r="DD64">
        <f>IF('История отказов'!AE67="","",IF(AND(COUNTIF($CU$2:$CU$3,'История отказов'!AE67)=0,COUNTIFS('История отказов'!$F$5:F67,"ЭЦН",'История отказов'!$AE$5:AE67,'История отказов'!AE67)=1,'История отказов'!F67="ЭЦН"),63,""))</f>
        <v/>
      </c>
      <c r="DE64">
        <f>IF('История отказов'!AE67="","",IF(AND(COUNTIF($CV$2:$CV$3,'История отказов'!AE67)=0,COUNTIFS('История отказов'!$F$5:F67,"ЭВН",'История отказов'!$AE$5:AE67,'История отказов'!AE67)=1,'История отказов'!F67="ЭВН"),63,""))</f>
        <v/>
      </c>
      <c r="DF64">
        <f>IF('История отказов'!AE67="","",IF(AND(COUNTIF($CX$2:$CX$2,'История отказов'!AE67)=0,COUNTIFS('История отказов'!$F$5:F67,"ШВН",'История отказов'!$AE$5:AE67,'История отказов'!AE67)=1,'История отказов'!F67="ШВН"),63,""))</f>
        <v/>
      </c>
      <c r="DG64">
        <f>IF('История отказов'!AE67="","",IF(AND(COUNTIF($CW$2:$CW$2,'История отказов'!AE67)=0,COUNTIFS('История отказов'!$F$5:F67,"НПУ-ВД",'История отказов'!$AE$5:AE67,'История отказов'!AE67)=1,'История отказов'!F67="НПУ-ВД"),63,""))</f>
        <v/>
      </c>
      <c r="DH64">
        <f>IF('История отказов'!AE67="","",IF(AND(COUNTIF($CY$2:$CY$6,'История отказов'!AE67)=0,COUNTIF('История отказов'!$AE$5:AE67,'История отказов'!AE67)=1),63,""))</f>
        <v/>
      </c>
      <c r="DI64">
        <f>IF('История отказов'!AK67="","",IF(AND(COUNTIF($CL$2:$CL$3,'История отказов'!AK67)=0,COUNTIF('История отказов'!$AK$5:AK67,'История отказов'!AK67)=1),63,""))</f>
        <v/>
      </c>
      <c r="DJ64">
        <f>IF('История отказов'!AU67="","",IF(AND(COUNTIF($CP$2:$CP$3,'История отказов'!AU67)=0,COUNTIF('История отказов'!$AU$5:AU67,'История отказов'!AU67)=1),63,""))</f>
        <v/>
      </c>
      <c r="DK64">
        <f>IF('История отказов'!AY67="","",IF(AND(COUNTIF($CR$2:$CR$2,'История отказов'!AY67)=0,COUNTIF('История отказов'!$AY$5:AY67,'История отказов'!AY67)=1),63,""))</f>
        <v/>
      </c>
      <c r="DL64">
        <f>IF(DB64="","",IF(AND(COUNTIF($DA$2:$DA$47,DB64)=0,COUNTIF($DB$2:DB64,DB64)=1),63,""))</f>
        <v/>
      </c>
    </row>
    <row r="65">
      <c r="A65" s="74" t="n"/>
      <c r="B65" s="75" t="n"/>
      <c r="C65" s="75" t="n"/>
      <c r="D65" s="75" t="n"/>
      <c r="E65" s="75" t="inlineStr">
        <is>
          <t>4.12 — Необоснованный подъем ГНО [УЭЦН]</t>
        </is>
      </c>
      <c r="F65" s="76" t="n"/>
      <c r="H65" t="inlineStr">
        <is>
          <t>КР7-14 — Проведение прострелочных и взрывных работ (перфорация и торпедирование и т. д.).</t>
        </is>
      </c>
      <c r="J65" s="62" t="inlineStr">
        <is>
          <t>4.12 — Необоснованный подъем ГНО [УЭЦН]</t>
        </is>
      </c>
      <c r="K65" s="62" t="n"/>
      <c r="L65" s="62" t="n"/>
      <c r="M65" s="62" t="n"/>
      <c r="N65" s="62" t="n"/>
      <c r="Q65" t="inlineStr">
        <is>
          <t>Тип события</t>
        </is>
      </c>
      <c r="R65" t="inlineStr">
        <is>
          <t>Предварительный отказ</t>
        </is>
      </c>
      <c r="S65" t="inlineStr">
        <is>
          <t>Рабочий статус</t>
        </is>
      </c>
      <c r="T65" t="inlineStr">
        <is>
          <t>Логика оперативного реестра</t>
        </is>
      </c>
      <c r="U65" t="inlineStr">
        <is>
          <t>https://www.iso.org/standard/64076.html</t>
        </is>
      </c>
      <c r="V65" t="inlineStr">
        <is>
          <t>Все типы</t>
        </is>
      </c>
      <c r="AX65" t="inlineStr">
        <is>
          <t>4.12 — Необоснованный подъем ГНО [УЭЦН]</t>
        </is>
      </c>
      <c r="BA65" t="inlineStr">
        <is>
          <t>КР7-14 — Проведение прострелочных и взрывных работ (перфорация и торпедирование и т. д.).</t>
        </is>
      </c>
      <c r="CJ65" t="inlineStr">
        <is>
          <t>4.12 — Необоснованный подъем ГНО [УЭЦН]</t>
        </is>
      </c>
      <c r="CL65">
        <f>IFERROR(INDEX('История отказов'!$AK$5:$AK$1204,SMALL($DI$2:$DI$1201,ROWS($CL$4:CL65))),"")</f>
        <v/>
      </c>
      <c r="CP65">
        <f>IFERROR(INDEX('История отказов'!$AU$5:$AU$1204,SMALL($DJ$2:$DJ$1201,ROWS($CP$4:CP65))),"")</f>
        <v/>
      </c>
      <c r="CR65">
        <f>IFERROR(INDEX('История отказов'!$AY$5:$AY$1204,SMALL($DK$2:$DK$1201,ROWS($CR$3:CR65))),"")</f>
        <v/>
      </c>
      <c r="CT65">
        <f>IFERROR(INDEX('История отказов'!$AE$5:$AE$1204,SMALL($DC$2:$DC$1201,ROWS($CT$3:CT65))),"")</f>
        <v/>
      </c>
      <c r="CU65">
        <f>IFERROR(INDEX('История отказов'!$AE$5:$AE$1204,SMALL($DD$2:$DD$1201,ROWS($CU$4:CU65))),"")</f>
        <v/>
      </c>
      <c r="CV65">
        <f>IFERROR(INDEX('История отказов'!$AE$5:$AE$1204,SMALL($DE$2:$DE$1201,ROWS($CV$4:CV65))),"")</f>
        <v/>
      </c>
      <c r="CW65">
        <f>IFERROR(INDEX('История отказов'!$AE$5:$AE$1204,SMALL($DG$2:$DG$1201,ROWS($CW$3:CW65))),"")</f>
        <v/>
      </c>
      <c r="CX65">
        <f>IFERROR(INDEX('История отказов'!$AE$5:$AE$1204,SMALL($DF$2:$DF$1201,ROWS($CX$3:CX65))),"")</f>
        <v/>
      </c>
      <c r="CY65">
        <f>IFERROR(INDEX('История отказов'!$AE$5:$AE$1204,SMALL($DH$2:$DH$1201,ROWS($CY$7:CY65))),"")</f>
        <v/>
      </c>
      <c r="DA65">
        <f>IFERROR(INDEX($DB$2:$DB$4801,SMALL($DL$2:$DL$4801,ROWS($DA$48:DA65))),"")</f>
        <v/>
      </c>
      <c r="DB65">
        <f>IF('История отказов'!AH68="","",'История отказов'!AH68)</f>
        <v/>
      </c>
      <c r="DC65">
        <f>IF('История отказов'!AE68="","",IF(AND(COUNTIF($CT$2:$CT$2,'История отказов'!AE68)=0,COUNTIFS('История отказов'!$F$5:F68,"ШГН",'История отказов'!$AE$5:AE68,'История отказов'!AE68)=1,'История отказов'!F68="ШГН"),64,""))</f>
        <v/>
      </c>
      <c r="DD65">
        <f>IF('История отказов'!AE68="","",IF(AND(COUNTIF($CU$2:$CU$3,'История отказов'!AE68)=0,COUNTIFS('История отказов'!$F$5:F68,"ЭЦН",'История отказов'!$AE$5:AE68,'История отказов'!AE68)=1,'История отказов'!F68="ЭЦН"),64,""))</f>
        <v/>
      </c>
      <c r="DE65">
        <f>IF('История отказов'!AE68="","",IF(AND(COUNTIF($CV$2:$CV$3,'История отказов'!AE68)=0,COUNTIFS('История отказов'!$F$5:F68,"ЭВН",'История отказов'!$AE$5:AE68,'История отказов'!AE68)=1,'История отказов'!F68="ЭВН"),64,""))</f>
        <v/>
      </c>
      <c r="DF65">
        <f>IF('История отказов'!AE68="","",IF(AND(COUNTIF($CX$2:$CX$2,'История отказов'!AE68)=0,COUNTIFS('История отказов'!$F$5:F68,"ШВН",'История отказов'!$AE$5:AE68,'История отказов'!AE68)=1,'История отказов'!F68="ШВН"),64,""))</f>
        <v/>
      </c>
      <c r="DG65">
        <f>IF('История отказов'!AE68="","",IF(AND(COUNTIF($CW$2:$CW$2,'История отказов'!AE68)=0,COUNTIFS('История отказов'!$F$5:F68,"НПУ-ВД",'История отказов'!$AE$5:AE68,'История отказов'!AE68)=1,'История отказов'!F68="НПУ-ВД"),64,""))</f>
        <v/>
      </c>
      <c r="DH65">
        <f>IF('История отказов'!AE68="","",IF(AND(COUNTIF($CY$2:$CY$6,'История отказов'!AE68)=0,COUNTIF('История отказов'!$AE$5:AE68,'История отказов'!AE68)=1),64,""))</f>
        <v/>
      </c>
      <c r="DI65">
        <f>IF('История отказов'!AK68="","",IF(AND(COUNTIF($CL$2:$CL$3,'История отказов'!AK68)=0,COUNTIF('История отказов'!$AK$5:AK68,'История отказов'!AK68)=1),64,""))</f>
        <v/>
      </c>
      <c r="DJ65">
        <f>IF('История отказов'!AU68="","",IF(AND(COUNTIF($CP$2:$CP$3,'История отказов'!AU68)=0,COUNTIF('История отказов'!$AU$5:AU68,'История отказов'!AU68)=1),64,""))</f>
        <v/>
      </c>
      <c r="DK65">
        <f>IF('История отказов'!AY68="","",IF(AND(COUNTIF($CR$2:$CR$2,'История отказов'!AY68)=0,COUNTIF('История отказов'!$AY$5:AY68,'История отказов'!AY68)=1),64,""))</f>
        <v/>
      </c>
      <c r="DL65">
        <f>IF(DB65="","",IF(AND(COUNTIF($DA$2:$DA$47,DB65)=0,COUNTIF($DB$2:DB65,DB65)=1),64,""))</f>
        <v/>
      </c>
    </row>
    <row r="66">
      <c r="A66" s="74" t="n"/>
      <c r="B66" s="75" t="n"/>
      <c r="C66" s="75" t="n"/>
      <c r="D66" s="75" t="n"/>
      <c r="E66" s="75" t="inlineStr">
        <is>
          <t>4.13 — Снижение изоляции кабеля [УЭЦН]</t>
        </is>
      </c>
      <c r="F66" s="76" t="n"/>
      <c r="H66" t="inlineStr">
        <is>
          <t>КР7-15 — Опытные работы по испытанию новых видов скважинного оборудования.</t>
        </is>
      </c>
      <c r="J66" s="62" t="inlineStr">
        <is>
          <t>4.13 — Снижение изоляции кабеля [УЭЦН]</t>
        </is>
      </c>
      <c r="K66" s="62" t="n"/>
      <c r="L66" s="62" t="n"/>
      <c r="M66" s="62" t="n"/>
      <c r="N66" s="62" t="n"/>
      <c r="Q66" t="inlineStr">
        <is>
          <t>Тип события</t>
        </is>
      </c>
      <c r="R66" t="inlineStr">
        <is>
          <t>Преждевременный подъём</t>
        </is>
      </c>
      <c r="S66" t="inlineStr">
        <is>
          <t>Рабочий статус</t>
        </is>
      </c>
      <c r="T66" t="inlineStr">
        <is>
          <t>Логика оперативного реестра</t>
        </is>
      </c>
      <c r="U66" t="inlineStr">
        <is>
          <t>https://www.iso.org/standard/64076.html</t>
        </is>
      </c>
      <c r="V66" t="inlineStr">
        <is>
          <t>Все типы</t>
        </is>
      </c>
      <c r="AX66" t="inlineStr">
        <is>
          <t>4.13 — Снижение изоляции кабеля [УЭЦН]</t>
        </is>
      </c>
      <c r="BA66" t="inlineStr">
        <is>
          <t>КР7-15 — Опытные работы по испытанию новых видов скважинного оборудования.</t>
        </is>
      </c>
      <c r="CJ66" t="inlineStr">
        <is>
          <t>4.13 — Снижение изоляции кабеля [УЭЦН]</t>
        </is>
      </c>
      <c r="CL66">
        <f>IFERROR(INDEX('История отказов'!$AK$5:$AK$1204,SMALL($DI$2:$DI$1201,ROWS($CL$4:CL66))),"")</f>
        <v/>
      </c>
      <c r="CP66">
        <f>IFERROR(INDEX('История отказов'!$AU$5:$AU$1204,SMALL($DJ$2:$DJ$1201,ROWS($CP$4:CP66))),"")</f>
        <v/>
      </c>
      <c r="CR66">
        <f>IFERROR(INDEX('История отказов'!$AY$5:$AY$1204,SMALL($DK$2:$DK$1201,ROWS($CR$3:CR66))),"")</f>
        <v/>
      </c>
      <c r="CT66">
        <f>IFERROR(INDEX('История отказов'!$AE$5:$AE$1204,SMALL($DC$2:$DC$1201,ROWS($CT$3:CT66))),"")</f>
        <v/>
      </c>
      <c r="CU66">
        <f>IFERROR(INDEX('История отказов'!$AE$5:$AE$1204,SMALL($DD$2:$DD$1201,ROWS($CU$4:CU66))),"")</f>
        <v/>
      </c>
      <c r="CV66">
        <f>IFERROR(INDEX('История отказов'!$AE$5:$AE$1204,SMALL($DE$2:$DE$1201,ROWS($CV$4:CV66))),"")</f>
        <v/>
      </c>
      <c r="CW66">
        <f>IFERROR(INDEX('История отказов'!$AE$5:$AE$1204,SMALL($DG$2:$DG$1201,ROWS($CW$3:CW66))),"")</f>
        <v/>
      </c>
      <c r="CX66">
        <f>IFERROR(INDEX('История отказов'!$AE$5:$AE$1204,SMALL($DF$2:$DF$1201,ROWS($CX$3:CX66))),"")</f>
        <v/>
      </c>
      <c r="CY66">
        <f>IFERROR(INDEX('История отказов'!$AE$5:$AE$1204,SMALL($DH$2:$DH$1201,ROWS($CY$7:CY66))),"")</f>
        <v/>
      </c>
      <c r="DA66">
        <f>IFERROR(INDEX($DB$2:$DB$4801,SMALL($DL$2:$DL$4801,ROWS($DA$48:DA66))),"")</f>
        <v/>
      </c>
      <c r="DB66">
        <f>IF('История отказов'!AH69="","",'История отказов'!AH69)</f>
        <v/>
      </c>
      <c r="DC66">
        <f>IF('История отказов'!AE69="","",IF(AND(COUNTIF($CT$2:$CT$2,'История отказов'!AE69)=0,COUNTIFS('История отказов'!$F$5:F69,"ШГН",'История отказов'!$AE$5:AE69,'История отказов'!AE69)=1,'История отказов'!F69="ШГН"),65,""))</f>
        <v/>
      </c>
      <c r="DD66">
        <f>IF('История отказов'!AE69="","",IF(AND(COUNTIF($CU$2:$CU$3,'История отказов'!AE69)=0,COUNTIFS('История отказов'!$F$5:F69,"ЭЦН",'История отказов'!$AE$5:AE69,'История отказов'!AE69)=1,'История отказов'!F69="ЭЦН"),65,""))</f>
        <v/>
      </c>
      <c r="DE66">
        <f>IF('История отказов'!AE69="","",IF(AND(COUNTIF($CV$2:$CV$3,'История отказов'!AE69)=0,COUNTIFS('История отказов'!$F$5:F69,"ЭВН",'История отказов'!$AE$5:AE69,'История отказов'!AE69)=1,'История отказов'!F69="ЭВН"),65,""))</f>
        <v/>
      </c>
      <c r="DF66">
        <f>IF('История отказов'!AE69="","",IF(AND(COUNTIF($CX$2:$CX$2,'История отказов'!AE69)=0,COUNTIFS('История отказов'!$F$5:F69,"ШВН",'История отказов'!$AE$5:AE69,'История отказов'!AE69)=1,'История отказов'!F69="ШВН"),65,""))</f>
        <v/>
      </c>
      <c r="DG66">
        <f>IF('История отказов'!AE69="","",IF(AND(COUNTIF($CW$2:$CW$2,'История отказов'!AE69)=0,COUNTIFS('История отказов'!$F$5:F69,"НПУ-ВД",'История отказов'!$AE$5:AE69,'История отказов'!AE69)=1,'История отказов'!F69="НПУ-ВД"),65,""))</f>
        <v/>
      </c>
      <c r="DH66">
        <f>IF('История отказов'!AE69="","",IF(AND(COUNTIF($CY$2:$CY$6,'История отказов'!AE69)=0,COUNTIF('История отказов'!$AE$5:AE69,'История отказов'!AE69)=1),65,""))</f>
        <v/>
      </c>
      <c r="DI66">
        <f>IF('История отказов'!AK69="","",IF(AND(COUNTIF($CL$2:$CL$3,'История отказов'!AK69)=0,COUNTIF('История отказов'!$AK$5:AK69,'История отказов'!AK69)=1),65,""))</f>
        <v/>
      </c>
      <c r="DJ66">
        <f>IF('История отказов'!AU69="","",IF(AND(COUNTIF($CP$2:$CP$3,'История отказов'!AU69)=0,COUNTIF('История отказов'!$AU$5:AU69,'История отказов'!AU69)=1),65,""))</f>
        <v/>
      </c>
      <c r="DK66">
        <f>IF('История отказов'!AY69="","",IF(AND(COUNTIF($CR$2:$CR$2,'История отказов'!AY69)=0,COUNTIF('История отказов'!$AY$5:AY69,'История отказов'!AY69)=1),65,""))</f>
        <v/>
      </c>
      <c r="DL66">
        <f>IF(DB66="","",IF(AND(COUNTIF($DA$2:$DA$47,DB66)=0,COUNTIF($DB$2:DB66,DB66)=1),65,""))</f>
        <v/>
      </c>
    </row>
    <row r="67">
      <c r="A67" s="74" t="n"/>
      <c r="B67" s="75" t="n"/>
      <c r="C67" s="75" t="n"/>
      <c r="D67" s="75" t="n"/>
      <c r="E67" s="75" t="inlineStr">
        <is>
          <t>4.14 — Снижение изоляции ЭД [УЭЦН]</t>
        </is>
      </c>
      <c r="F67" s="76" t="n"/>
      <c r="H67" t="inlineStr">
        <is>
          <t>КР7-16 — Прочие виды обработки призабойной зоны пласта.</t>
        </is>
      </c>
      <c r="J67" s="62" t="inlineStr">
        <is>
          <t>4.14 — Снижение изоляции ЭД [УЭЦН]</t>
        </is>
      </c>
      <c r="K67" s="62" t="n"/>
      <c r="L67" s="62" t="n"/>
      <c r="M67" s="62" t="n"/>
      <c r="N67" s="62" t="n"/>
      <c r="Q67" t="inlineStr">
        <is>
          <t>Тип события</t>
        </is>
      </c>
      <c r="R67" t="inlineStr">
        <is>
          <t>Плановый подъём</t>
        </is>
      </c>
      <c r="S67" t="inlineStr">
        <is>
          <t>Рабочий статус</t>
        </is>
      </c>
      <c r="T67" t="inlineStr">
        <is>
          <t>Логика оперативного реестра</t>
        </is>
      </c>
      <c r="U67" t="inlineStr">
        <is>
          <t>https://www.iso.org/standard/64076.html</t>
        </is>
      </c>
      <c r="V67" t="inlineStr">
        <is>
          <t>Все типы</t>
        </is>
      </c>
      <c r="AX67" t="inlineStr">
        <is>
          <t>4.14 — Снижение изоляции ЭД [УЭЦН]</t>
        </is>
      </c>
      <c r="BA67" t="inlineStr">
        <is>
          <t>КР7-16 — Прочие виды обработки призабойной зоны пласта.</t>
        </is>
      </c>
      <c r="CJ67" t="inlineStr">
        <is>
          <t>4.14 — Снижение изоляции ЭД [УЭЦН]</t>
        </is>
      </c>
      <c r="CL67">
        <f>IFERROR(INDEX('История отказов'!$AK$5:$AK$1204,SMALL($DI$2:$DI$1201,ROWS($CL$4:CL67))),"")</f>
        <v/>
      </c>
      <c r="CP67">
        <f>IFERROR(INDEX('История отказов'!$AU$5:$AU$1204,SMALL($DJ$2:$DJ$1201,ROWS($CP$4:CP67))),"")</f>
        <v/>
      </c>
      <c r="CR67">
        <f>IFERROR(INDEX('История отказов'!$AY$5:$AY$1204,SMALL($DK$2:$DK$1201,ROWS($CR$3:CR67))),"")</f>
        <v/>
      </c>
      <c r="CT67">
        <f>IFERROR(INDEX('История отказов'!$AE$5:$AE$1204,SMALL($DC$2:$DC$1201,ROWS($CT$3:CT67))),"")</f>
        <v/>
      </c>
      <c r="CU67">
        <f>IFERROR(INDEX('История отказов'!$AE$5:$AE$1204,SMALL($DD$2:$DD$1201,ROWS($CU$4:CU67))),"")</f>
        <v/>
      </c>
      <c r="CV67">
        <f>IFERROR(INDEX('История отказов'!$AE$5:$AE$1204,SMALL($DE$2:$DE$1201,ROWS($CV$4:CV67))),"")</f>
        <v/>
      </c>
      <c r="CW67">
        <f>IFERROR(INDEX('История отказов'!$AE$5:$AE$1204,SMALL($DG$2:$DG$1201,ROWS($CW$3:CW67))),"")</f>
        <v/>
      </c>
      <c r="CX67">
        <f>IFERROR(INDEX('История отказов'!$AE$5:$AE$1204,SMALL($DF$2:$DF$1201,ROWS($CX$3:CX67))),"")</f>
        <v/>
      </c>
      <c r="CY67">
        <f>IFERROR(INDEX('История отказов'!$AE$5:$AE$1204,SMALL($DH$2:$DH$1201,ROWS($CY$7:CY67))),"")</f>
        <v/>
      </c>
      <c r="DA67">
        <f>IFERROR(INDEX($DB$2:$DB$4801,SMALL($DL$2:$DL$4801,ROWS($DA$48:DA67))),"")</f>
        <v/>
      </c>
      <c r="DB67">
        <f>IF('История отказов'!AH70="","",'История отказов'!AH70)</f>
        <v/>
      </c>
      <c r="DC67">
        <f>IF('История отказов'!AE70="","",IF(AND(COUNTIF($CT$2:$CT$2,'История отказов'!AE70)=0,COUNTIFS('История отказов'!$F$5:F70,"ШГН",'История отказов'!$AE$5:AE70,'История отказов'!AE70)=1,'История отказов'!F70="ШГН"),66,""))</f>
        <v/>
      </c>
      <c r="DD67">
        <f>IF('История отказов'!AE70="","",IF(AND(COUNTIF($CU$2:$CU$3,'История отказов'!AE70)=0,COUNTIFS('История отказов'!$F$5:F70,"ЭЦН",'История отказов'!$AE$5:AE70,'История отказов'!AE70)=1,'История отказов'!F70="ЭЦН"),66,""))</f>
        <v/>
      </c>
      <c r="DE67">
        <f>IF('История отказов'!AE70="","",IF(AND(COUNTIF($CV$2:$CV$3,'История отказов'!AE70)=0,COUNTIFS('История отказов'!$F$5:F70,"ЭВН",'История отказов'!$AE$5:AE70,'История отказов'!AE70)=1,'История отказов'!F70="ЭВН"),66,""))</f>
        <v/>
      </c>
      <c r="DF67">
        <f>IF('История отказов'!AE70="","",IF(AND(COUNTIF($CX$2:$CX$2,'История отказов'!AE70)=0,COUNTIFS('История отказов'!$F$5:F70,"ШВН",'История отказов'!$AE$5:AE70,'История отказов'!AE70)=1,'История отказов'!F70="ШВН"),66,""))</f>
        <v/>
      </c>
      <c r="DG67">
        <f>IF('История отказов'!AE70="","",IF(AND(COUNTIF($CW$2:$CW$2,'История отказов'!AE70)=0,COUNTIFS('История отказов'!$F$5:F70,"НПУ-ВД",'История отказов'!$AE$5:AE70,'История отказов'!AE70)=1,'История отказов'!F70="НПУ-ВД"),66,""))</f>
        <v/>
      </c>
      <c r="DH67">
        <f>IF('История отказов'!AE70="","",IF(AND(COUNTIF($CY$2:$CY$6,'История отказов'!AE70)=0,COUNTIF('История отказов'!$AE$5:AE70,'История отказов'!AE70)=1),66,""))</f>
        <v/>
      </c>
      <c r="DI67">
        <f>IF('История отказов'!AK70="","",IF(AND(COUNTIF($CL$2:$CL$3,'История отказов'!AK70)=0,COUNTIF('История отказов'!$AK$5:AK70,'История отказов'!AK70)=1),66,""))</f>
        <v/>
      </c>
      <c r="DJ67">
        <f>IF('История отказов'!AU70="","",IF(AND(COUNTIF($CP$2:$CP$3,'История отказов'!AU70)=0,COUNTIF('История отказов'!$AU$5:AU70,'История отказов'!AU70)=1),66,""))</f>
        <v/>
      </c>
      <c r="DK67">
        <f>IF('История отказов'!AY70="","",IF(AND(COUNTIF($CR$2:$CR$2,'История отказов'!AY70)=0,COUNTIF('История отказов'!$AY$5:AY70,'История отказов'!AY70)=1),66,""))</f>
        <v/>
      </c>
      <c r="DL67">
        <f>IF(DB67="","",IF(AND(COUNTIF($DA$2:$DA$47,DB67)=0,COUNTIF($DB$2:DB67,DB67)=1),66,""))</f>
        <v/>
      </c>
    </row>
    <row r="68">
      <c r="A68" s="74" t="n"/>
      <c r="B68" s="75" t="n"/>
      <c r="C68" s="75" t="n"/>
      <c r="D68" s="75" t="n"/>
      <c r="E68" s="75" t="inlineStr">
        <is>
          <t>4.15 — Снижение изоляции ТМС [УЭЦН]</t>
        </is>
      </c>
      <c r="F68" s="76" t="n"/>
      <c r="H68" t="inlineStr">
        <is>
          <t>КР7-16.2 — Проведение реагентной разглинизации призабойной зоны пласта.</t>
        </is>
      </c>
      <c r="J68" s="62" t="inlineStr">
        <is>
          <t>4.15 — Снижение изоляции ТМС [УЭЦН]</t>
        </is>
      </c>
      <c r="K68" s="62" t="n"/>
      <c r="L68" s="62" t="n"/>
      <c r="M68" s="62" t="n"/>
      <c r="N68" s="62" t="n"/>
      <c r="Q68" t="inlineStr">
        <is>
          <t>Тип события</t>
        </is>
      </c>
      <c r="R68" t="inlineStr">
        <is>
          <t>Подъём исправного оборудования</t>
        </is>
      </c>
      <c r="S68" t="inlineStr">
        <is>
          <t>Рабочий статус</t>
        </is>
      </c>
      <c r="T68" t="inlineStr">
        <is>
          <t>Логика оперативного реестра</t>
        </is>
      </c>
      <c r="U68" t="inlineStr">
        <is>
          <t>https://www.iso.org/standard/64076.html</t>
        </is>
      </c>
      <c r="V68" t="inlineStr">
        <is>
          <t>Все типы</t>
        </is>
      </c>
      <c r="AX68" t="inlineStr">
        <is>
          <t>4.15 — Снижение изоляции ТМС [УЭЦН]</t>
        </is>
      </c>
      <c r="BA68" t="inlineStr">
        <is>
          <t>КР7-16.2 — Проведение реагентной разглинизации призабойной зоны пласта.</t>
        </is>
      </c>
      <c r="CJ68" t="inlineStr">
        <is>
          <t>4.15 — Снижение изоляции ТМС [УЭЦН]</t>
        </is>
      </c>
      <c r="CL68">
        <f>IFERROR(INDEX('История отказов'!$AK$5:$AK$1204,SMALL($DI$2:$DI$1201,ROWS($CL$4:CL68))),"")</f>
        <v/>
      </c>
      <c r="CP68">
        <f>IFERROR(INDEX('История отказов'!$AU$5:$AU$1204,SMALL($DJ$2:$DJ$1201,ROWS($CP$4:CP68))),"")</f>
        <v/>
      </c>
      <c r="CR68">
        <f>IFERROR(INDEX('История отказов'!$AY$5:$AY$1204,SMALL($DK$2:$DK$1201,ROWS($CR$3:CR68))),"")</f>
        <v/>
      </c>
      <c r="CT68">
        <f>IFERROR(INDEX('История отказов'!$AE$5:$AE$1204,SMALL($DC$2:$DC$1201,ROWS($CT$3:CT68))),"")</f>
        <v/>
      </c>
      <c r="CU68">
        <f>IFERROR(INDEX('История отказов'!$AE$5:$AE$1204,SMALL($DD$2:$DD$1201,ROWS($CU$4:CU68))),"")</f>
        <v/>
      </c>
      <c r="CV68">
        <f>IFERROR(INDEX('История отказов'!$AE$5:$AE$1204,SMALL($DE$2:$DE$1201,ROWS($CV$4:CV68))),"")</f>
        <v/>
      </c>
      <c r="CW68">
        <f>IFERROR(INDEX('История отказов'!$AE$5:$AE$1204,SMALL($DG$2:$DG$1201,ROWS($CW$3:CW68))),"")</f>
        <v/>
      </c>
      <c r="CX68">
        <f>IFERROR(INDEX('История отказов'!$AE$5:$AE$1204,SMALL($DF$2:$DF$1201,ROWS($CX$3:CX68))),"")</f>
        <v/>
      </c>
      <c r="CY68">
        <f>IFERROR(INDEX('История отказов'!$AE$5:$AE$1204,SMALL($DH$2:$DH$1201,ROWS($CY$7:CY68))),"")</f>
        <v/>
      </c>
      <c r="DA68">
        <f>IFERROR(INDEX($DB$2:$DB$4801,SMALL($DL$2:$DL$4801,ROWS($DA$48:DA68))),"")</f>
        <v/>
      </c>
      <c r="DB68">
        <f>IF('История отказов'!AH71="","",'История отказов'!AH71)</f>
        <v/>
      </c>
      <c r="DC68">
        <f>IF('История отказов'!AE71="","",IF(AND(COUNTIF($CT$2:$CT$2,'История отказов'!AE71)=0,COUNTIFS('История отказов'!$F$5:F71,"ШГН",'История отказов'!$AE$5:AE71,'История отказов'!AE71)=1,'История отказов'!F71="ШГН"),67,""))</f>
        <v/>
      </c>
      <c r="DD68">
        <f>IF('История отказов'!AE71="","",IF(AND(COUNTIF($CU$2:$CU$3,'История отказов'!AE71)=0,COUNTIFS('История отказов'!$F$5:F71,"ЭЦН",'История отказов'!$AE$5:AE71,'История отказов'!AE71)=1,'История отказов'!F71="ЭЦН"),67,""))</f>
        <v/>
      </c>
      <c r="DE68">
        <f>IF('История отказов'!AE71="","",IF(AND(COUNTIF($CV$2:$CV$3,'История отказов'!AE71)=0,COUNTIFS('История отказов'!$F$5:F71,"ЭВН",'История отказов'!$AE$5:AE71,'История отказов'!AE71)=1,'История отказов'!F71="ЭВН"),67,""))</f>
        <v/>
      </c>
      <c r="DF68">
        <f>IF('История отказов'!AE71="","",IF(AND(COUNTIF($CX$2:$CX$2,'История отказов'!AE71)=0,COUNTIFS('История отказов'!$F$5:F71,"ШВН",'История отказов'!$AE$5:AE71,'История отказов'!AE71)=1,'История отказов'!F71="ШВН"),67,""))</f>
        <v/>
      </c>
      <c r="DG68">
        <f>IF('История отказов'!AE71="","",IF(AND(COUNTIF($CW$2:$CW$2,'История отказов'!AE71)=0,COUNTIFS('История отказов'!$F$5:F71,"НПУ-ВД",'История отказов'!$AE$5:AE71,'История отказов'!AE71)=1,'История отказов'!F71="НПУ-ВД"),67,""))</f>
        <v/>
      </c>
      <c r="DH68">
        <f>IF('История отказов'!AE71="","",IF(AND(COUNTIF($CY$2:$CY$6,'История отказов'!AE71)=0,COUNTIF('История отказов'!$AE$5:AE71,'История отказов'!AE71)=1),67,""))</f>
        <v/>
      </c>
      <c r="DI68">
        <f>IF('История отказов'!AK71="","",IF(AND(COUNTIF($CL$2:$CL$3,'История отказов'!AK71)=0,COUNTIF('История отказов'!$AK$5:AK71,'История отказов'!AK71)=1),67,""))</f>
        <v/>
      </c>
      <c r="DJ68">
        <f>IF('История отказов'!AU71="","",IF(AND(COUNTIF($CP$2:$CP$3,'История отказов'!AU71)=0,COUNTIF('История отказов'!$AU$5:AU71,'История отказов'!AU71)=1),67,""))</f>
        <v/>
      </c>
      <c r="DK68">
        <f>IF('История отказов'!AY71="","",IF(AND(COUNTIF($CR$2:$CR$2,'История отказов'!AY71)=0,COUNTIF('История отказов'!$AY$5:AY71,'История отказов'!AY71)=1),67,""))</f>
        <v/>
      </c>
      <c r="DL68">
        <f>IF(DB68="","",IF(AND(COUNTIF($DA$2:$DA$47,DB68)=0,COUNTIF($DB$2:DB68,DB68)=1),67,""))</f>
        <v/>
      </c>
    </row>
    <row r="69">
      <c r="A69" s="74" t="n"/>
      <c r="B69" s="75" t="n"/>
      <c r="C69" s="75" t="n"/>
      <c r="D69" s="75" t="n"/>
      <c r="E69" s="75" t="inlineStr">
        <is>
          <t>4.16 — Авария [УЭЦН]</t>
        </is>
      </c>
      <c r="F69" s="76" t="n"/>
      <c r="H69" t="inlineStr">
        <is>
          <t>КР7-16.3 — Проведение повторной перфорации на кислых растворах.</t>
        </is>
      </c>
      <c r="J69" s="62" t="inlineStr">
        <is>
          <t>4.16 — Авария [УЭЦН]</t>
        </is>
      </c>
      <c r="K69" s="62" t="n"/>
      <c r="L69" s="62" t="n"/>
      <c r="M69" s="62" t="n"/>
      <c r="N69" s="62" t="n"/>
      <c r="Q69" t="inlineStr">
        <is>
          <t>Тип события</t>
        </is>
      </c>
      <c r="R69" t="inlineStr">
        <is>
          <t>Оборудование продолжает работать</t>
        </is>
      </c>
      <c r="S69" t="inlineStr">
        <is>
          <t>Рабочий статус</t>
        </is>
      </c>
      <c r="T69" t="inlineStr">
        <is>
          <t>Логика оперативного реестра</t>
        </is>
      </c>
      <c r="U69" t="inlineStr">
        <is>
          <t>https://www.iso.org/standard/64076.html</t>
        </is>
      </c>
      <c r="V69" t="inlineStr">
        <is>
          <t>Все типы</t>
        </is>
      </c>
      <c r="AX69" t="inlineStr">
        <is>
          <t>4.16 — Авария [УЭЦН]</t>
        </is>
      </c>
      <c r="BA69" t="inlineStr">
        <is>
          <t>КР7-16.3 — Проведение повторной перфорации на кислых растворах.</t>
        </is>
      </c>
      <c r="CJ69" t="inlineStr">
        <is>
          <t>4.16 — Авария [УЭЦН]</t>
        </is>
      </c>
      <c r="CL69">
        <f>IFERROR(INDEX('История отказов'!$AK$5:$AK$1204,SMALL($DI$2:$DI$1201,ROWS($CL$4:CL69))),"")</f>
        <v/>
      </c>
      <c r="CP69">
        <f>IFERROR(INDEX('История отказов'!$AU$5:$AU$1204,SMALL($DJ$2:$DJ$1201,ROWS($CP$4:CP69))),"")</f>
        <v/>
      </c>
      <c r="CR69">
        <f>IFERROR(INDEX('История отказов'!$AY$5:$AY$1204,SMALL($DK$2:$DK$1201,ROWS($CR$3:CR69))),"")</f>
        <v/>
      </c>
      <c r="CT69">
        <f>IFERROR(INDEX('История отказов'!$AE$5:$AE$1204,SMALL($DC$2:$DC$1201,ROWS($CT$3:CT69))),"")</f>
        <v/>
      </c>
      <c r="CU69">
        <f>IFERROR(INDEX('История отказов'!$AE$5:$AE$1204,SMALL($DD$2:$DD$1201,ROWS($CU$4:CU69))),"")</f>
        <v/>
      </c>
      <c r="CV69">
        <f>IFERROR(INDEX('История отказов'!$AE$5:$AE$1204,SMALL($DE$2:$DE$1201,ROWS($CV$4:CV69))),"")</f>
        <v/>
      </c>
      <c r="CW69">
        <f>IFERROR(INDEX('История отказов'!$AE$5:$AE$1204,SMALL($DG$2:$DG$1201,ROWS($CW$3:CW69))),"")</f>
        <v/>
      </c>
      <c r="CX69">
        <f>IFERROR(INDEX('История отказов'!$AE$5:$AE$1204,SMALL($DF$2:$DF$1201,ROWS($CX$3:CX69))),"")</f>
        <v/>
      </c>
      <c r="CY69">
        <f>IFERROR(INDEX('История отказов'!$AE$5:$AE$1204,SMALL($DH$2:$DH$1201,ROWS($CY$7:CY69))),"")</f>
        <v/>
      </c>
      <c r="DA69">
        <f>IFERROR(INDEX($DB$2:$DB$4801,SMALL($DL$2:$DL$4801,ROWS($DA$48:DA69))),"")</f>
        <v/>
      </c>
      <c r="DB69">
        <f>IF('История отказов'!AH72="","",'История отказов'!AH72)</f>
        <v/>
      </c>
      <c r="DC69">
        <f>IF('История отказов'!AE72="","",IF(AND(COUNTIF($CT$2:$CT$2,'История отказов'!AE72)=0,COUNTIFS('История отказов'!$F$5:F72,"ШГН",'История отказов'!$AE$5:AE72,'История отказов'!AE72)=1,'История отказов'!F72="ШГН"),68,""))</f>
        <v/>
      </c>
      <c r="DD69">
        <f>IF('История отказов'!AE72="","",IF(AND(COUNTIF($CU$2:$CU$3,'История отказов'!AE72)=0,COUNTIFS('История отказов'!$F$5:F72,"ЭЦН",'История отказов'!$AE$5:AE72,'История отказов'!AE72)=1,'История отказов'!F72="ЭЦН"),68,""))</f>
        <v/>
      </c>
      <c r="DE69">
        <f>IF('История отказов'!AE72="","",IF(AND(COUNTIF($CV$2:$CV$3,'История отказов'!AE72)=0,COUNTIFS('История отказов'!$F$5:F72,"ЭВН",'История отказов'!$AE$5:AE72,'История отказов'!AE72)=1,'История отказов'!F72="ЭВН"),68,""))</f>
        <v/>
      </c>
      <c r="DF69">
        <f>IF('История отказов'!AE72="","",IF(AND(COUNTIF($CX$2:$CX$2,'История отказов'!AE72)=0,COUNTIFS('История отказов'!$F$5:F72,"ШВН",'История отказов'!$AE$5:AE72,'История отказов'!AE72)=1,'История отказов'!F72="ШВН"),68,""))</f>
        <v/>
      </c>
      <c r="DG69">
        <f>IF('История отказов'!AE72="","",IF(AND(COUNTIF($CW$2:$CW$2,'История отказов'!AE72)=0,COUNTIFS('История отказов'!$F$5:F72,"НПУ-ВД",'История отказов'!$AE$5:AE72,'История отказов'!AE72)=1,'История отказов'!F72="НПУ-ВД"),68,""))</f>
        <v/>
      </c>
      <c r="DH69">
        <f>IF('История отказов'!AE72="","",IF(AND(COUNTIF($CY$2:$CY$6,'История отказов'!AE72)=0,COUNTIF('История отказов'!$AE$5:AE72,'История отказов'!AE72)=1),68,""))</f>
        <v/>
      </c>
      <c r="DI69">
        <f>IF('История отказов'!AK72="","",IF(AND(COUNTIF($CL$2:$CL$3,'История отказов'!AK72)=0,COUNTIF('История отказов'!$AK$5:AK72,'История отказов'!AK72)=1),68,""))</f>
        <v/>
      </c>
      <c r="DJ69">
        <f>IF('История отказов'!AU72="","",IF(AND(COUNTIF($CP$2:$CP$3,'История отказов'!AU72)=0,COUNTIF('История отказов'!$AU$5:AU72,'История отказов'!AU72)=1),68,""))</f>
        <v/>
      </c>
      <c r="DK69">
        <f>IF('История отказов'!AY72="","",IF(AND(COUNTIF($CR$2:$CR$2,'История отказов'!AY72)=0,COUNTIF('История отказов'!$AY$5:AY72,'История отказов'!AY72)=1),68,""))</f>
        <v/>
      </c>
      <c r="DL69">
        <f>IF(DB69="","",IF(AND(COUNTIF($DA$2:$DA$47,DB69)=0,COUNTIF($DB$2:DB69,DB69)=1),68,""))</f>
        <v/>
      </c>
    </row>
    <row r="70">
      <c r="A70" s="74" t="n"/>
      <c r="B70" s="75" t="n"/>
      <c r="C70" s="75" t="n"/>
      <c r="D70" s="75" t="n"/>
      <c r="E70" s="75" t="inlineStr">
        <is>
          <t>4.17 — Организационные причины ООО "ЛУКОЙЛ ЭПУ Сервис" [УЭЦН]</t>
        </is>
      </c>
      <c r="F70" s="76" t="n"/>
      <c r="H70" t="inlineStr">
        <is>
          <t>КР7-16.4 — Проведение депрессионной перфорации пласта.</t>
        </is>
      </c>
      <c r="J70" s="62" t="inlineStr">
        <is>
          <t>4.17 — Организационные причины ООО "ЛУКОЙЛ ЭПУ Сервис" [УЭЦН]</t>
        </is>
      </c>
      <c r="K70" s="62" t="n"/>
      <c r="L70" s="62" t="n"/>
      <c r="M70" s="62" t="n"/>
      <c r="N70" s="62" t="n"/>
      <c r="Q70" t="inlineStr">
        <is>
          <t>Тип события</t>
        </is>
      </c>
      <c r="R70" t="inlineStr">
        <is>
          <t>Иное событие</t>
        </is>
      </c>
      <c r="S70" t="inlineStr">
        <is>
          <t>Рабочий статус</t>
        </is>
      </c>
      <c r="T70" t="inlineStr">
        <is>
          <t>Логика оперативного реестра</t>
        </is>
      </c>
      <c r="U70" t="inlineStr">
        <is>
          <t>https://www.iso.org/standard/64076.html</t>
        </is>
      </c>
      <c r="V70" t="inlineStr">
        <is>
          <t>Все типы</t>
        </is>
      </c>
      <c r="AX70" t="inlineStr">
        <is>
          <t>4.17 — Организационные причины ООО "ЛУКОЙЛ ЭПУ Сервис" [УЭЦН]</t>
        </is>
      </c>
      <c r="BA70" t="inlineStr">
        <is>
          <t>КР7-16.4 — Проведение депрессионной перфорации пласта.</t>
        </is>
      </c>
      <c r="CJ70" t="inlineStr">
        <is>
          <t>4.17 — Организационные причины ООО "ЛУКОЙЛ ЭПУ Сервис" [УЭЦН]</t>
        </is>
      </c>
      <c r="CL70">
        <f>IFERROR(INDEX('История отказов'!$AK$5:$AK$1204,SMALL($DI$2:$DI$1201,ROWS($CL$4:CL70))),"")</f>
        <v/>
      </c>
      <c r="CP70">
        <f>IFERROR(INDEX('История отказов'!$AU$5:$AU$1204,SMALL($DJ$2:$DJ$1201,ROWS($CP$4:CP70))),"")</f>
        <v/>
      </c>
      <c r="CR70">
        <f>IFERROR(INDEX('История отказов'!$AY$5:$AY$1204,SMALL($DK$2:$DK$1201,ROWS($CR$3:CR70))),"")</f>
        <v/>
      </c>
      <c r="CT70">
        <f>IFERROR(INDEX('История отказов'!$AE$5:$AE$1204,SMALL($DC$2:$DC$1201,ROWS($CT$3:CT70))),"")</f>
        <v/>
      </c>
      <c r="CU70">
        <f>IFERROR(INDEX('История отказов'!$AE$5:$AE$1204,SMALL($DD$2:$DD$1201,ROWS($CU$4:CU70))),"")</f>
        <v/>
      </c>
      <c r="CV70">
        <f>IFERROR(INDEX('История отказов'!$AE$5:$AE$1204,SMALL($DE$2:$DE$1201,ROWS($CV$4:CV70))),"")</f>
        <v/>
      </c>
      <c r="CW70">
        <f>IFERROR(INDEX('История отказов'!$AE$5:$AE$1204,SMALL($DG$2:$DG$1201,ROWS($CW$3:CW70))),"")</f>
        <v/>
      </c>
      <c r="CX70">
        <f>IFERROR(INDEX('История отказов'!$AE$5:$AE$1204,SMALL($DF$2:$DF$1201,ROWS($CX$3:CX70))),"")</f>
        <v/>
      </c>
      <c r="CY70">
        <f>IFERROR(INDEX('История отказов'!$AE$5:$AE$1204,SMALL($DH$2:$DH$1201,ROWS($CY$7:CY70))),"")</f>
        <v/>
      </c>
      <c r="DA70">
        <f>IFERROR(INDEX($DB$2:$DB$4801,SMALL($DL$2:$DL$4801,ROWS($DA$48:DA70))),"")</f>
        <v/>
      </c>
      <c r="DB70">
        <f>IF('История отказов'!AH73="","",'История отказов'!AH73)</f>
        <v/>
      </c>
      <c r="DC70">
        <f>IF('История отказов'!AE73="","",IF(AND(COUNTIF($CT$2:$CT$2,'История отказов'!AE73)=0,COUNTIFS('История отказов'!$F$5:F73,"ШГН",'История отказов'!$AE$5:AE73,'История отказов'!AE73)=1,'История отказов'!F73="ШГН"),69,""))</f>
        <v/>
      </c>
      <c r="DD70">
        <f>IF('История отказов'!AE73="","",IF(AND(COUNTIF($CU$2:$CU$3,'История отказов'!AE73)=0,COUNTIFS('История отказов'!$F$5:F73,"ЭЦН",'История отказов'!$AE$5:AE73,'История отказов'!AE73)=1,'История отказов'!F73="ЭЦН"),69,""))</f>
        <v/>
      </c>
      <c r="DE70">
        <f>IF('История отказов'!AE73="","",IF(AND(COUNTIF($CV$2:$CV$3,'История отказов'!AE73)=0,COUNTIFS('История отказов'!$F$5:F73,"ЭВН",'История отказов'!$AE$5:AE73,'История отказов'!AE73)=1,'История отказов'!F73="ЭВН"),69,""))</f>
        <v/>
      </c>
      <c r="DF70">
        <f>IF('История отказов'!AE73="","",IF(AND(COUNTIF($CX$2:$CX$2,'История отказов'!AE73)=0,COUNTIFS('История отказов'!$F$5:F73,"ШВН",'История отказов'!$AE$5:AE73,'История отказов'!AE73)=1,'История отказов'!F73="ШВН"),69,""))</f>
        <v/>
      </c>
      <c r="DG70">
        <f>IF('История отказов'!AE73="","",IF(AND(COUNTIF($CW$2:$CW$2,'История отказов'!AE73)=0,COUNTIFS('История отказов'!$F$5:F73,"НПУ-ВД",'История отказов'!$AE$5:AE73,'История отказов'!AE73)=1,'История отказов'!F73="НПУ-ВД"),69,""))</f>
        <v/>
      </c>
      <c r="DH70">
        <f>IF('История отказов'!AE73="","",IF(AND(COUNTIF($CY$2:$CY$6,'История отказов'!AE73)=0,COUNTIF('История отказов'!$AE$5:AE73,'История отказов'!AE73)=1),69,""))</f>
        <v/>
      </c>
      <c r="DI70">
        <f>IF('История отказов'!AK73="","",IF(AND(COUNTIF($CL$2:$CL$3,'История отказов'!AK73)=0,COUNTIF('История отказов'!$AK$5:AK73,'История отказов'!AK73)=1),69,""))</f>
        <v/>
      </c>
      <c r="DJ70">
        <f>IF('История отказов'!AU73="","",IF(AND(COUNTIF($CP$2:$CP$3,'История отказов'!AU73)=0,COUNTIF('История отказов'!$AU$5:AU73,'История отказов'!AU73)=1),69,""))</f>
        <v/>
      </c>
      <c r="DK70">
        <f>IF('История отказов'!AY73="","",IF(AND(COUNTIF($CR$2:$CR$2,'История отказов'!AY73)=0,COUNTIF('История отказов'!$AY$5:AY73,'История отказов'!AY73)=1),69,""))</f>
        <v/>
      </c>
      <c r="DL70">
        <f>IF(DB70="","",IF(AND(COUNTIF($DA$2:$DA$47,DB70)=0,COUNTIF($DB$2:DB70,DB70)=1),69,""))</f>
        <v/>
      </c>
    </row>
    <row r="71">
      <c r="A71" s="74" t="n"/>
      <c r="B71" s="75" t="n"/>
      <c r="C71" s="75" t="n"/>
      <c r="D71" s="75" t="n"/>
      <c r="E71" s="75" t="inlineStr">
        <is>
          <t>5.1 — Брак ремонта НКТ [УЭЦН]</t>
        </is>
      </c>
      <c r="F71" s="76" t="n"/>
      <c r="H71" t="inlineStr">
        <is>
          <t>КР7-16.5 — Проведение МГД</t>
        </is>
      </c>
      <c r="J71" s="62" t="inlineStr">
        <is>
          <t>5.1 — Брак ремонта НКТ [УЭЦН]</t>
        </is>
      </c>
      <c r="K71" s="62" t="n"/>
      <c r="L71" s="62" t="n"/>
      <c r="M71" s="62" t="n"/>
      <c r="N71" s="62" t="n"/>
      <c r="Q71" t="inlineStr">
        <is>
          <t>Признак / предпосылка</t>
        </is>
      </c>
      <c r="R71" t="inlineStr">
        <is>
          <t>Снижение подачи</t>
        </is>
      </c>
      <c r="S71" t="inlineStr">
        <is>
          <t>Рабочий диагностический признак</t>
        </is>
      </c>
      <c r="T71" t="inlineStr">
        <is>
          <t>Weatherford, диагностика УЭЦН; SLB, случай солеотложений</t>
        </is>
      </c>
      <c r="U71" t="inlineStr">
        <is>
          <t>https://hs.weatherford.com/knowledge/what-is-the-electrical-submersible-pump-monitoring-package-in-petrovisor; https://www.slb.com/resource-library/case-study-with-navigation/al/esp-scale-cs</t>
        </is>
      </c>
      <c r="V71" t="inlineStr">
        <is>
          <t>Все типы при наличии замера дебита</t>
        </is>
      </c>
      <c r="AX71" t="inlineStr">
        <is>
          <t>5.1 — Брак ремонта НКТ [УЭЦН]</t>
        </is>
      </c>
      <c r="BA71" t="inlineStr">
        <is>
          <t>КР7-16.5 — Проведение МГД</t>
        </is>
      </c>
      <c r="CJ71" t="inlineStr">
        <is>
          <t>5.1 — Брак ремонта НКТ [УЭЦН]</t>
        </is>
      </c>
      <c r="CL71">
        <f>IFERROR(INDEX('История отказов'!$AK$5:$AK$1204,SMALL($DI$2:$DI$1201,ROWS($CL$4:CL71))),"")</f>
        <v/>
      </c>
      <c r="CP71">
        <f>IFERROR(INDEX('История отказов'!$AU$5:$AU$1204,SMALL($DJ$2:$DJ$1201,ROWS($CP$4:CP71))),"")</f>
        <v/>
      </c>
      <c r="CR71">
        <f>IFERROR(INDEX('История отказов'!$AY$5:$AY$1204,SMALL($DK$2:$DK$1201,ROWS($CR$3:CR71))),"")</f>
        <v/>
      </c>
      <c r="CT71">
        <f>IFERROR(INDEX('История отказов'!$AE$5:$AE$1204,SMALL($DC$2:$DC$1201,ROWS($CT$3:CT71))),"")</f>
        <v/>
      </c>
      <c r="CU71">
        <f>IFERROR(INDEX('История отказов'!$AE$5:$AE$1204,SMALL($DD$2:$DD$1201,ROWS($CU$4:CU71))),"")</f>
        <v/>
      </c>
      <c r="CV71">
        <f>IFERROR(INDEX('История отказов'!$AE$5:$AE$1204,SMALL($DE$2:$DE$1201,ROWS($CV$4:CV71))),"")</f>
        <v/>
      </c>
      <c r="CW71">
        <f>IFERROR(INDEX('История отказов'!$AE$5:$AE$1204,SMALL($DG$2:$DG$1201,ROWS($CW$3:CW71))),"")</f>
        <v/>
      </c>
      <c r="CX71">
        <f>IFERROR(INDEX('История отказов'!$AE$5:$AE$1204,SMALL($DF$2:$DF$1201,ROWS($CX$3:CX71))),"")</f>
        <v/>
      </c>
      <c r="CY71">
        <f>IFERROR(INDEX('История отказов'!$AE$5:$AE$1204,SMALL($DH$2:$DH$1201,ROWS($CY$7:CY71))),"")</f>
        <v/>
      </c>
      <c r="DA71">
        <f>IFERROR(INDEX($DB$2:$DB$4801,SMALL($DL$2:$DL$4801,ROWS($DA$48:DA71))),"")</f>
        <v/>
      </c>
      <c r="DB71">
        <f>IF('История отказов'!AH74="","",'История отказов'!AH74)</f>
        <v/>
      </c>
      <c r="DC71">
        <f>IF('История отказов'!AE74="","",IF(AND(COUNTIF($CT$2:$CT$2,'История отказов'!AE74)=0,COUNTIFS('История отказов'!$F$5:F74,"ШГН",'История отказов'!$AE$5:AE74,'История отказов'!AE74)=1,'История отказов'!F74="ШГН"),70,""))</f>
        <v/>
      </c>
      <c r="DD71">
        <f>IF('История отказов'!AE74="","",IF(AND(COUNTIF($CU$2:$CU$3,'История отказов'!AE74)=0,COUNTIFS('История отказов'!$F$5:F74,"ЭЦН",'История отказов'!$AE$5:AE74,'История отказов'!AE74)=1,'История отказов'!F74="ЭЦН"),70,""))</f>
        <v/>
      </c>
      <c r="DE71">
        <f>IF('История отказов'!AE74="","",IF(AND(COUNTIF($CV$2:$CV$3,'История отказов'!AE74)=0,COUNTIFS('История отказов'!$F$5:F74,"ЭВН",'История отказов'!$AE$5:AE74,'История отказов'!AE74)=1,'История отказов'!F74="ЭВН"),70,""))</f>
        <v/>
      </c>
      <c r="DF71">
        <f>IF('История отказов'!AE74="","",IF(AND(COUNTIF($CX$2:$CX$2,'История отказов'!AE74)=0,COUNTIFS('История отказов'!$F$5:F74,"ШВН",'История отказов'!$AE$5:AE74,'История отказов'!AE74)=1,'История отказов'!F74="ШВН"),70,""))</f>
        <v/>
      </c>
      <c r="DG71">
        <f>IF('История отказов'!AE74="","",IF(AND(COUNTIF($CW$2:$CW$2,'История отказов'!AE74)=0,COUNTIFS('История отказов'!$F$5:F74,"НПУ-ВД",'История отказов'!$AE$5:AE74,'История отказов'!AE74)=1,'История отказов'!F74="НПУ-ВД"),70,""))</f>
        <v/>
      </c>
      <c r="DH71">
        <f>IF('История отказов'!AE74="","",IF(AND(COUNTIF($CY$2:$CY$6,'История отказов'!AE74)=0,COUNTIF('История отказов'!$AE$5:AE74,'История отказов'!AE74)=1),70,""))</f>
        <v/>
      </c>
      <c r="DI71">
        <f>IF('История отказов'!AK74="","",IF(AND(COUNTIF($CL$2:$CL$3,'История отказов'!AK74)=0,COUNTIF('История отказов'!$AK$5:AK74,'История отказов'!AK74)=1),70,""))</f>
        <v/>
      </c>
      <c r="DJ71">
        <f>IF('История отказов'!AU74="","",IF(AND(COUNTIF($CP$2:$CP$3,'История отказов'!AU74)=0,COUNTIF('История отказов'!$AU$5:AU74,'История отказов'!AU74)=1),70,""))</f>
        <v/>
      </c>
      <c r="DK71">
        <f>IF('История отказов'!AY74="","",IF(AND(COUNTIF($CR$2:$CR$2,'История отказов'!AY74)=0,COUNTIF('История отказов'!$AY$5:AY74,'История отказов'!AY74)=1),70,""))</f>
        <v/>
      </c>
      <c r="DL71">
        <f>IF(DB71="","",IF(AND(COUNTIF($DA$2:$DA$47,DB71)=0,COUNTIF($DB$2:DB71,DB71)=1),70,""))</f>
        <v/>
      </c>
    </row>
    <row r="72">
      <c r="A72" s="74" t="n"/>
      <c r="B72" s="75" t="n"/>
      <c r="C72" s="75" t="n"/>
      <c r="D72" s="75" t="n"/>
      <c r="E72" s="75" t="inlineStr">
        <is>
          <t>5.2 — Организационные причины ЦТБ [УЭЦН]</t>
        </is>
      </c>
      <c r="F72" s="76" t="n"/>
      <c r="H72" t="inlineStr">
        <is>
          <t>КР8-1 — Исследование характера насыщенности и выработки продуктивных пластов, уточнение геологического разреза в скважине.</t>
        </is>
      </c>
      <c r="J72" s="62" t="inlineStr">
        <is>
          <t>5.2 — Организационные причины ЦТБ [УЭЦН]</t>
        </is>
      </c>
      <c r="K72" s="62" t="n"/>
      <c r="L72" s="62" t="n"/>
      <c r="M72" s="62" t="n"/>
      <c r="N72" s="62" t="n"/>
      <c r="Q72" t="inlineStr">
        <is>
          <t>Признак / предпосылка</t>
        </is>
      </c>
      <c r="R72" t="inlineStr">
        <is>
          <t>Отсутствие подачи</t>
        </is>
      </c>
      <c r="S72" t="inlineStr">
        <is>
          <t>Рабочий диагностический признак</t>
        </is>
      </c>
      <c r="T72" t="inlineStr">
        <is>
          <t>Weatherford, диагностика УЭЦН; SLB, случай солеотложений</t>
        </is>
      </c>
      <c r="U72" t="inlineStr">
        <is>
          <t>https://hs.weatherford.com/knowledge/what-is-the-electrical-submersible-pump-monitoring-package-in-petrovisor; https://www.slb.com/resource-library/case-study-with-navigation/al/esp-scale-cs</t>
        </is>
      </c>
      <c r="V72" t="inlineStr">
        <is>
          <t>Все типы при наличии замера дебита</t>
        </is>
      </c>
      <c r="AX72" t="inlineStr">
        <is>
          <t>5.2 — Организационные причины ЦТБ [УЭЦН]</t>
        </is>
      </c>
      <c r="BA72" t="inlineStr">
        <is>
          <t>КР8-1 — Исследование характера насыщенности и выработки продуктивных пластов, уточнение геологического разреза в скважине.</t>
        </is>
      </c>
      <c r="CJ72" t="inlineStr">
        <is>
          <t>5.2 — Организационные причины ЦТБ [УЭЦН]</t>
        </is>
      </c>
      <c r="CL72">
        <f>IFERROR(INDEX('История отказов'!$AK$5:$AK$1204,SMALL($DI$2:$DI$1201,ROWS($CL$4:CL72))),"")</f>
        <v/>
      </c>
      <c r="CP72">
        <f>IFERROR(INDEX('История отказов'!$AU$5:$AU$1204,SMALL($DJ$2:$DJ$1201,ROWS($CP$4:CP72))),"")</f>
        <v/>
      </c>
      <c r="CR72">
        <f>IFERROR(INDEX('История отказов'!$AY$5:$AY$1204,SMALL($DK$2:$DK$1201,ROWS($CR$3:CR72))),"")</f>
        <v/>
      </c>
      <c r="CT72">
        <f>IFERROR(INDEX('История отказов'!$AE$5:$AE$1204,SMALL($DC$2:$DC$1201,ROWS($CT$3:CT72))),"")</f>
        <v/>
      </c>
      <c r="CU72">
        <f>IFERROR(INDEX('История отказов'!$AE$5:$AE$1204,SMALL($DD$2:$DD$1201,ROWS($CU$4:CU72))),"")</f>
        <v/>
      </c>
      <c r="CV72">
        <f>IFERROR(INDEX('История отказов'!$AE$5:$AE$1204,SMALL($DE$2:$DE$1201,ROWS($CV$4:CV72))),"")</f>
        <v/>
      </c>
      <c r="CW72">
        <f>IFERROR(INDEX('История отказов'!$AE$5:$AE$1204,SMALL($DG$2:$DG$1201,ROWS($CW$3:CW72))),"")</f>
        <v/>
      </c>
      <c r="CX72">
        <f>IFERROR(INDEX('История отказов'!$AE$5:$AE$1204,SMALL($DF$2:$DF$1201,ROWS($CX$3:CX72))),"")</f>
        <v/>
      </c>
      <c r="CY72">
        <f>IFERROR(INDEX('История отказов'!$AE$5:$AE$1204,SMALL($DH$2:$DH$1201,ROWS($CY$7:CY72))),"")</f>
        <v/>
      </c>
      <c r="DA72">
        <f>IFERROR(INDEX($DB$2:$DB$4801,SMALL($DL$2:$DL$4801,ROWS($DA$48:DA72))),"")</f>
        <v/>
      </c>
      <c r="DB72">
        <f>IF('История отказов'!AH75="","",'История отказов'!AH75)</f>
        <v/>
      </c>
      <c r="DC72">
        <f>IF('История отказов'!AE75="","",IF(AND(COUNTIF($CT$2:$CT$2,'История отказов'!AE75)=0,COUNTIFS('История отказов'!$F$5:F75,"ШГН",'История отказов'!$AE$5:AE75,'История отказов'!AE75)=1,'История отказов'!F75="ШГН"),71,""))</f>
        <v/>
      </c>
      <c r="DD72">
        <f>IF('История отказов'!AE75="","",IF(AND(COUNTIF($CU$2:$CU$3,'История отказов'!AE75)=0,COUNTIFS('История отказов'!$F$5:F75,"ЭЦН",'История отказов'!$AE$5:AE75,'История отказов'!AE75)=1,'История отказов'!F75="ЭЦН"),71,""))</f>
        <v/>
      </c>
      <c r="DE72">
        <f>IF('История отказов'!AE75="","",IF(AND(COUNTIF($CV$2:$CV$3,'История отказов'!AE75)=0,COUNTIFS('История отказов'!$F$5:F75,"ЭВН",'История отказов'!$AE$5:AE75,'История отказов'!AE75)=1,'История отказов'!F75="ЭВН"),71,""))</f>
        <v/>
      </c>
      <c r="DF72">
        <f>IF('История отказов'!AE75="","",IF(AND(COUNTIF($CX$2:$CX$2,'История отказов'!AE75)=0,COUNTIFS('История отказов'!$F$5:F75,"ШВН",'История отказов'!$AE$5:AE75,'История отказов'!AE75)=1,'История отказов'!F75="ШВН"),71,""))</f>
        <v/>
      </c>
      <c r="DG72">
        <f>IF('История отказов'!AE75="","",IF(AND(COUNTIF($CW$2:$CW$2,'История отказов'!AE75)=0,COUNTIFS('История отказов'!$F$5:F75,"НПУ-ВД",'История отказов'!$AE$5:AE75,'История отказов'!AE75)=1,'История отказов'!F75="НПУ-ВД"),71,""))</f>
        <v/>
      </c>
      <c r="DH72">
        <f>IF('История отказов'!AE75="","",IF(AND(COUNTIF($CY$2:$CY$6,'История отказов'!AE75)=0,COUNTIF('История отказов'!$AE$5:AE75,'История отказов'!AE75)=1),71,""))</f>
        <v/>
      </c>
      <c r="DI72">
        <f>IF('История отказов'!AK75="","",IF(AND(COUNTIF($CL$2:$CL$3,'История отказов'!AK75)=0,COUNTIF('История отказов'!$AK$5:AK75,'История отказов'!AK75)=1),71,""))</f>
        <v/>
      </c>
      <c r="DJ72">
        <f>IF('История отказов'!AU75="","",IF(AND(COUNTIF($CP$2:$CP$3,'История отказов'!AU75)=0,COUNTIF('История отказов'!$AU$5:AU75,'История отказов'!AU75)=1),71,""))</f>
        <v/>
      </c>
      <c r="DK72">
        <f>IF('История отказов'!AY75="","",IF(AND(COUNTIF($CR$2:$CR$2,'История отказов'!AY75)=0,COUNTIF('История отказов'!$AY$5:AY75,'История отказов'!AY75)=1),71,""))</f>
        <v/>
      </c>
      <c r="DL72">
        <f>IF(DB72="","",IF(AND(COUNTIF($DA$2:$DA$47,DB72)=0,COUNTIF($DB$2:DB72,DB72)=1),71,""))</f>
        <v/>
      </c>
    </row>
    <row r="73">
      <c r="A73" s="74" t="n"/>
      <c r="B73" s="75" t="n"/>
      <c r="C73" s="75" t="n"/>
      <c r="D73" s="75" t="n"/>
      <c r="E73" s="75" t="inlineStr">
        <is>
          <t>5.3 — Авария [УЭЦН]</t>
        </is>
      </c>
      <c r="F73" s="76" t="n"/>
      <c r="H73" t="inlineStr">
        <is>
          <t>КР8-2 — Оценка технического состояния скважины (обследование скважины).</t>
        </is>
      </c>
      <c r="J73" s="62" t="inlineStr">
        <is>
          <t>5.3 — Авария [УЭЦН]</t>
        </is>
      </c>
      <c r="K73" s="62" t="n"/>
      <c r="L73" s="62" t="n"/>
      <c r="M73" s="62" t="n"/>
      <c r="N73" s="62" t="n"/>
      <c r="Q73" t="inlineStr">
        <is>
          <t>Признак / предпосылка</t>
        </is>
      </c>
      <c r="R73" t="inlineStr">
        <is>
          <t>Нестабильная подача</t>
        </is>
      </c>
      <c r="S73" t="inlineStr">
        <is>
          <t>Рабочий диагностический признак</t>
        </is>
      </c>
      <c r="T73" t="inlineStr">
        <is>
          <t>Weatherford, диагностика УЭЦН; SLB, случай солеотложений</t>
        </is>
      </c>
      <c r="U73" t="inlineStr">
        <is>
          <t>https://hs.weatherford.com/knowledge/what-is-the-electrical-submersible-pump-monitoring-package-in-petrovisor; https://www.slb.com/resource-library/case-study-with-navigation/al/esp-scale-cs</t>
        </is>
      </c>
      <c r="V73" t="inlineStr">
        <is>
          <t>Все типы при наличии замера дебита</t>
        </is>
      </c>
      <c r="AX73" t="inlineStr">
        <is>
          <t>5.3 — Авария [УЭЦН]</t>
        </is>
      </c>
      <c r="BA73" t="inlineStr">
        <is>
          <t>КР8-2 — Оценка технического состояния скважины (обследование скважины).</t>
        </is>
      </c>
      <c r="CJ73" t="inlineStr">
        <is>
          <t>5.3 — Авария [УЭЦН]</t>
        </is>
      </c>
      <c r="CL73">
        <f>IFERROR(INDEX('История отказов'!$AK$5:$AK$1204,SMALL($DI$2:$DI$1201,ROWS($CL$4:CL73))),"")</f>
        <v/>
      </c>
      <c r="CP73">
        <f>IFERROR(INDEX('История отказов'!$AU$5:$AU$1204,SMALL($DJ$2:$DJ$1201,ROWS($CP$4:CP73))),"")</f>
        <v/>
      </c>
      <c r="CR73">
        <f>IFERROR(INDEX('История отказов'!$AY$5:$AY$1204,SMALL($DK$2:$DK$1201,ROWS($CR$3:CR73))),"")</f>
        <v/>
      </c>
      <c r="CT73">
        <f>IFERROR(INDEX('История отказов'!$AE$5:$AE$1204,SMALL($DC$2:$DC$1201,ROWS($CT$3:CT73))),"")</f>
        <v/>
      </c>
      <c r="CU73">
        <f>IFERROR(INDEX('История отказов'!$AE$5:$AE$1204,SMALL($DD$2:$DD$1201,ROWS($CU$4:CU73))),"")</f>
        <v/>
      </c>
      <c r="CV73">
        <f>IFERROR(INDEX('История отказов'!$AE$5:$AE$1204,SMALL($DE$2:$DE$1201,ROWS($CV$4:CV73))),"")</f>
        <v/>
      </c>
      <c r="CW73">
        <f>IFERROR(INDEX('История отказов'!$AE$5:$AE$1204,SMALL($DG$2:$DG$1201,ROWS($CW$3:CW73))),"")</f>
        <v/>
      </c>
      <c r="CX73">
        <f>IFERROR(INDEX('История отказов'!$AE$5:$AE$1204,SMALL($DF$2:$DF$1201,ROWS($CX$3:CX73))),"")</f>
        <v/>
      </c>
      <c r="CY73">
        <f>IFERROR(INDEX('История отказов'!$AE$5:$AE$1204,SMALL($DH$2:$DH$1201,ROWS($CY$7:CY73))),"")</f>
        <v/>
      </c>
      <c r="DA73">
        <f>IFERROR(INDEX($DB$2:$DB$4801,SMALL($DL$2:$DL$4801,ROWS($DA$48:DA73))),"")</f>
        <v/>
      </c>
      <c r="DB73">
        <f>IF('История отказов'!AH76="","",'История отказов'!AH76)</f>
        <v/>
      </c>
      <c r="DC73">
        <f>IF('История отказов'!AE76="","",IF(AND(COUNTIF($CT$2:$CT$2,'История отказов'!AE76)=0,COUNTIFS('История отказов'!$F$5:F76,"ШГН",'История отказов'!$AE$5:AE76,'История отказов'!AE76)=1,'История отказов'!F76="ШГН"),72,""))</f>
        <v/>
      </c>
      <c r="DD73">
        <f>IF('История отказов'!AE76="","",IF(AND(COUNTIF($CU$2:$CU$3,'История отказов'!AE76)=0,COUNTIFS('История отказов'!$F$5:F76,"ЭЦН",'История отказов'!$AE$5:AE76,'История отказов'!AE76)=1,'История отказов'!F76="ЭЦН"),72,""))</f>
        <v/>
      </c>
      <c r="DE73">
        <f>IF('История отказов'!AE76="","",IF(AND(COUNTIF($CV$2:$CV$3,'История отказов'!AE76)=0,COUNTIFS('История отказов'!$F$5:F76,"ЭВН",'История отказов'!$AE$5:AE76,'История отказов'!AE76)=1,'История отказов'!F76="ЭВН"),72,""))</f>
        <v/>
      </c>
      <c r="DF73">
        <f>IF('История отказов'!AE76="","",IF(AND(COUNTIF($CX$2:$CX$2,'История отказов'!AE76)=0,COUNTIFS('История отказов'!$F$5:F76,"ШВН",'История отказов'!$AE$5:AE76,'История отказов'!AE76)=1,'История отказов'!F76="ШВН"),72,""))</f>
        <v/>
      </c>
      <c r="DG73">
        <f>IF('История отказов'!AE76="","",IF(AND(COUNTIF($CW$2:$CW$2,'История отказов'!AE76)=0,COUNTIFS('История отказов'!$F$5:F76,"НПУ-ВД",'История отказов'!$AE$5:AE76,'История отказов'!AE76)=1,'История отказов'!F76="НПУ-ВД"),72,""))</f>
        <v/>
      </c>
      <c r="DH73">
        <f>IF('История отказов'!AE76="","",IF(AND(COUNTIF($CY$2:$CY$6,'История отказов'!AE76)=0,COUNTIF('История отказов'!$AE$5:AE76,'История отказов'!AE76)=1),72,""))</f>
        <v/>
      </c>
      <c r="DI73">
        <f>IF('История отказов'!AK76="","",IF(AND(COUNTIF($CL$2:$CL$3,'История отказов'!AK76)=0,COUNTIF('История отказов'!$AK$5:AK76,'История отказов'!AK76)=1),72,""))</f>
        <v/>
      </c>
      <c r="DJ73">
        <f>IF('История отказов'!AU76="","",IF(AND(COUNTIF($CP$2:$CP$3,'История отказов'!AU76)=0,COUNTIF('История отказов'!$AU$5:AU76,'История отказов'!AU76)=1),72,""))</f>
        <v/>
      </c>
      <c r="DK73">
        <f>IF('История отказов'!AY76="","",IF(AND(COUNTIF($CR$2:$CR$2,'История отказов'!AY76)=0,COUNTIF('История отказов'!$AY$5:AY76,'История отказов'!AY76)=1),72,""))</f>
        <v/>
      </c>
      <c r="DL73">
        <f>IF(DB73="","",IF(AND(COUNTIF($DA$2:$DA$47,DB73)=0,COUNTIF($DB$2:DB73,DB73)=1),72,""))</f>
        <v/>
      </c>
    </row>
    <row r="74">
      <c r="A74" s="74" t="n"/>
      <c r="B74" s="75" t="n"/>
      <c r="C74" s="75" t="n"/>
      <c r="D74" s="75" t="n"/>
      <c r="E74" s="75" t="inlineStr">
        <is>
          <t>6.1 — Заводской брак НКТ и элементов подвески [УЭЦН]</t>
        </is>
      </c>
      <c r="F74" s="76" t="n"/>
      <c r="H74" t="inlineStr">
        <is>
          <t>КР9-1 — Освоение скважины под нагнетание.</t>
        </is>
      </c>
      <c r="J74" s="62" t="inlineStr">
        <is>
          <t>6.1 — Заводской брак НКТ и элементов подвески [УЭЦН]</t>
        </is>
      </c>
      <c r="K74" s="62" t="n"/>
      <c r="L74" s="62" t="n"/>
      <c r="M74" s="62" t="n"/>
      <c r="N74" s="62" t="n"/>
      <c r="Q74" t="inlineStr">
        <is>
          <t>Признак / предпосылка</t>
        </is>
      </c>
      <c r="R74" t="inlineStr">
        <is>
          <t>Рост потребляемого тока</t>
        </is>
      </c>
      <c r="S74" t="inlineStr">
        <is>
          <t>Рабочий диагностический признак</t>
        </is>
      </c>
      <c r="T74" t="inlineStr">
        <is>
          <t>SLB, погружной мониторинг; Weatherford, признаки УЭЦН</t>
        </is>
      </c>
      <c r="U74" t="inlineStr">
        <is>
          <t>https://www.slb.com/products-and-services/innovating-in-oil-and-gas/completions/artificial-lift/intelligent-lift/gauges/phoenix-xt150-downhole-monitoring-system; https://hs.weatherford.com/knowledge/what-is-the-electrical-submersible-pump-monitoring-package-in-petrovisor</t>
        </is>
      </c>
      <c r="V74" t="inlineStr">
        <is>
          <t>ЭЦН/ЭВН, если датчик/защита доступны</t>
        </is>
      </c>
      <c r="AX74" t="inlineStr">
        <is>
          <t>6.1 — Заводской брак НКТ и элементов подвески [УЭЦН]</t>
        </is>
      </c>
      <c r="BA74" t="inlineStr">
        <is>
          <t>КР9-1 — Освоение скважины под нагнетание.</t>
        </is>
      </c>
      <c r="CJ74" t="inlineStr">
        <is>
          <t>6.1 — Заводской брак НКТ и элементов подвески [УЭЦН]</t>
        </is>
      </c>
      <c r="CL74">
        <f>IFERROR(INDEX('История отказов'!$AK$5:$AK$1204,SMALL($DI$2:$DI$1201,ROWS($CL$4:CL74))),"")</f>
        <v/>
      </c>
      <c r="CP74">
        <f>IFERROR(INDEX('История отказов'!$AU$5:$AU$1204,SMALL($DJ$2:$DJ$1201,ROWS($CP$4:CP74))),"")</f>
        <v/>
      </c>
      <c r="CR74">
        <f>IFERROR(INDEX('История отказов'!$AY$5:$AY$1204,SMALL($DK$2:$DK$1201,ROWS($CR$3:CR74))),"")</f>
        <v/>
      </c>
      <c r="CT74">
        <f>IFERROR(INDEX('История отказов'!$AE$5:$AE$1204,SMALL($DC$2:$DC$1201,ROWS($CT$3:CT74))),"")</f>
        <v/>
      </c>
      <c r="CU74">
        <f>IFERROR(INDEX('История отказов'!$AE$5:$AE$1204,SMALL($DD$2:$DD$1201,ROWS($CU$4:CU74))),"")</f>
        <v/>
      </c>
      <c r="CV74">
        <f>IFERROR(INDEX('История отказов'!$AE$5:$AE$1204,SMALL($DE$2:$DE$1201,ROWS($CV$4:CV74))),"")</f>
        <v/>
      </c>
      <c r="CW74">
        <f>IFERROR(INDEX('История отказов'!$AE$5:$AE$1204,SMALL($DG$2:$DG$1201,ROWS($CW$3:CW74))),"")</f>
        <v/>
      </c>
      <c r="CX74">
        <f>IFERROR(INDEX('История отказов'!$AE$5:$AE$1204,SMALL($DF$2:$DF$1201,ROWS($CX$3:CX74))),"")</f>
        <v/>
      </c>
      <c r="CY74">
        <f>IFERROR(INDEX('История отказов'!$AE$5:$AE$1204,SMALL($DH$2:$DH$1201,ROWS($CY$7:CY74))),"")</f>
        <v/>
      </c>
      <c r="DA74">
        <f>IFERROR(INDEX($DB$2:$DB$4801,SMALL($DL$2:$DL$4801,ROWS($DA$48:DA74))),"")</f>
        <v/>
      </c>
      <c r="DB74">
        <f>IF('История отказов'!AH77="","",'История отказов'!AH77)</f>
        <v/>
      </c>
      <c r="DC74">
        <f>IF('История отказов'!AE77="","",IF(AND(COUNTIF($CT$2:$CT$2,'История отказов'!AE77)=0,COUNTIFS('История отказов'!$F$5:F77,"ШГН",'История отказов'!$AE$5:AE77,'История отказов'!AE77)=1,'История отказов'!F77="ШГН"),73,""))</f>
        <v/>
      </c>
      <c r="DD74">
        <f>IF('История отказов'!AE77="","",IF(AND(COUNTIF($CU$2:$CU$3,'История отказов'!AE77)=0,COUNTIFS('История отказов'!$F$5:F77,"ЭЦН",'История отказов'!$AE$5:AE77,'История отказов'!AE77)=1,'История отказов'!F77="ЭЦН"),73,""))</f>
        <v/>
      </c>
      <c r="DE74">
        <f>IF('История отказов'!AE77="","",IF(AND(COUNTIF($CV$2:$CV$3,'История отказов'!AE77)=0,COUNTIFS('История отказов'!$F$5:F77,"ЭВН",'История отказов'!$AE$5:AE77,'История отказов'!AE77)=1,'История отказов'!F77="ЭВН"),73,""))</f>
        <v/>
      </c>
      <c r="DF74">
        <f>IF('История отказов'!AE77="","",IF(AND(COUNTIF($CX$2:$CX$2,'История отказов'!AE77)=0,COUNTIFS('История отказов'!$F$5:F77,"ШВН",'История отказов'!$AE$5:AE77,'История отказов'!AE77)=1,'История отказов'!F77="ШВН"),73,""))</f>
        <v/>
      </c>
      <c r="DG74">
        <f>IF('История отказов'!AE77="","",IF(AND(COUNTIF($CW$2:$CW$2,'История отказов'!AE77)=0,COUNTIFS('История отказов'!$F$5:F77,"НПУ-ВД",'История отказов'!$AE$5:AE77,'История отказов'!AE77)=1,'История отказов'!F77="НПУ-ВД"),73,""))</f>
        <v/>
      </c>
      <c r="DH74">
        <f>IF('История отказов'!AE77="","",IF(AND(COUNTIF($CY$2:$CY$6,'История отказов'!AE77)=0,COUNTIF('История отказов'!$AE$5:AE77,'История отказов'!AE77)=1),73,""))</f>
        <v/>
      </c>
      <c r="DI74">
        <f>IF('История отказов'!AK77="","",IF(AND(COUNTIF($CL$2:$CL$3,'История отказов'!AK77)=0,COUNTIF('История отказов'!$AK$5:AK77,'История отказов'!AK77)=1),73,""))</f>
        <v/>
      </c>
      <c r="DJ74">
        <f>IF('История отказов'!AU77="","",IF(AND(COUNTIF($CP$2:$CP$3,'История отказов'!AU77)=0,COUNTIF('История отказов'!$AU$5:AU77,'История отказов'!AU77)=1),73,""))</f>
        <v/>
      </c>
      <c r="DK74">
        <f>IF('История отказов'!AY77="","",IF(AND(COUNTIF($CR$2:$CR$2,'История отказов'!AY77)=0,COUNTIF('История отказов'!$AY$5:AY77,'История отказов'!AY77)=1),73,""))</f>
        <v/>
      </c>
      <c r="DL74">
        <f>IF(DB74="","",IF(AND(COUNTIF($DA$2:$DA$47,DB74)=0,COUNTIF($DB$2:DB74,DB74)=1),73,""))</f>
        <v/>
      </c>
    </row>
    <row r="75">
      <c r="A75" s="74" t="n"/>
      <c r="B75" s="75" t="n"/>
      <c r="C75" s="75" t="n"/>
      <c r="D75" s="75" t="n"/>
      <c r="E75" s="75" t="inlineStr">
        <is>
          <t>6.2 — Заводской брак кабеля [УЭЦН]</t>
        </is>
      </c>
      <c r="F75" s="76" t="n"/>
      <c r="H75" t="inlineStr">
        <is>
          <t>КР9-2 — Перевод скважины под отбор технической воды.</t>
        </is>
      </c>
      <c r="J75" s="62" t="inlineStr">
        <is>
          <t>6.2 — Заводской брак кабеля [УЭЦН]</t>
        </is>
      </c>
      <c r="K75" s="62" t="n"/>
      <c r="L75" s="62" t="n"/>
      <c r="M75" s="62" t="n"/>
      <c r="N75" s="62" t="n"/>
      <c r="Q75" t="inlineStr">
        <is>
          <t>Признак / предпосылка</t>
        </is>
      </c>
      <c r="R75" t="inlineStr">
        <is>
          <t>Перегрузка электродвигателя</t>
        </is>
      </c>
      <c r="S75" t="inlineStr">
        <is>
          <t>Рабочий диагностический признак</t>
        </is>
      </c>
      <c r="T75" t="inlineStr">
        <is>
          <t>Рабочий резерв реестра</t>
        </is>
      </c>
      <c r="U75" t="inlineStr">
        <is>
          <t>Указать измерение/наблюдение в комментарии</t>
        </is>
      </c>
      <c r="V75" t="inlineStr">
        <is>
          <t>Все типы</t>
        </is>
      </c>
      <c r="AX75" t="inlineStr">
        <is>
          <t>6.2 — Заводской брак кабеля [УЭЦН]</t>
        </is>
      </c>
      <c r="BA75" t="inlineStr">
        <is>
          <t>КР9-2 — Перевод скважины под отбор технической воды.</t>
        </is>
      </c>
      <c r="CJ75" t="inlineStr">
        <is>
          <t>6.2 — Заводской брак кабеля [УЭЦН]</t>
        </is>
      </c>
      <c r="CL75">
        <f>IFERROR(INDEX('История отказов'!$AK$5:$AK$1204,SMALL($DI$2:$DI$1201,ROWS($CL$4:CL75))),"")</f>
        <v/>
      </c>
      <c r="CP75">
        <f>IFERROR(INDEX('История отказов'!$AU$5:$AU$1204,SMALL($DJ$2:$DJ$1201,ROWS($CP$4:CP75))),"")</f>
        <v/>
      </c>
      <c r="CR75">
        <f>IFERROR(INDEX('История отказов'!$AY$5:$AY$1204,SMALL($DK$2:$DK$1201,ROWS($CR$3:CR75))),"")</f>
        <v/>
      </c>
      <c r="CT75">
        <f>IFERROR(INDEX('История отказов'!$AE$5:$AE$1204,SMALL($DC$2:$DC$1201,ROWS($CT$3:CT75))),"")</f>
        <v/>
      </c>
      <c r="CU75">
        <f>IFERROR(INDEX('История отказов'!$AE$5:$AE$1204,SMALL($DD$2:$DD$1201,ROWS($CU$4:CU75))),"")</f>
        <v/>
      </c>
      <c r="CV75">
        <f>IFERROR(INDEX('История отказов'!$AE$5:$AE$1204,SMALL($DE$2:$DE$1201,ROWS($CV$4:CV75))),"")</f>
        <v/>
      </c>
      <c r="CW75">
        <f>IFERROR(INDEX('История отказов'!$AE$5:$AE$1204,SMALL($DG$2:$DG$1201,ROWS($CW$3:CW75))),"")</f>
        <v/>
      </c>
      <c r="CX75">
        <f>IFERROR(INDEX('История отказов'!$AE$5:$AE$1204,SMALL($DF$2:$DF$1201,ROWS($CX$3:CX75))),"")</f>
        <v/>
      </c>
      <c r="CY75">
        <f>IFERROR(INDEX('История отказов'!$AE$5:$AE$1204,SMALL($DH$2:$DH$1201,ROWS($CY$7:CY75))),"")</f>
        <v/>
      </c>
      <c r="DA75">
        <f>IFERROR(INDEX($DB$2:$DB$4801,SMALL($DL$2:$DL$4801,ROWS($DA$48:DA75))),"")</f>
        <v/>
      </c>
      <c r="DB75">
        <f>IF('История отказов'!AH78="","",'История отказов'!AH78)</f>
        <v/>
      </c>
      <c r="DC75">
        <f>IF('История отказов'!AE78="","",IF(AND(COUNTIF($CT$2:$CT$2,'История отказов'!AE78)=0,COUNTIFS('История отказов'!$F$5:F78,"ШГН",'История отказов'!$AE$5:AE78,'История отказов'!AE78)=1,'История отказов'!F78="ШГН"),74,""))</f>
        <v/>
      </c>
      <c r="DD75">
        <f>IF('История отказов'!AE78="","",IF(AND(COUNTIF($CU$2:$CU$3,'История отказов'!AE78)=0,COUNTIFS('История отказов'!$F$5:F78,"ЭЦН",'История отказов'!$AE$5:AE78,'История отказов'!AE78)=1,'История отказов'!F78="ЭЦН"),74,""))</f>
        <v/>
      </c>
      <c r="DE75">
        <f>IF('История отказов'!AE78="","",IF(AND(COUNTIF($CV$2:$CV$3,'История отказов'!AE78)=0,COUNTIFS('История отказов'!$F$5:F78,"ЭВН",'История отказов'!$AE$5:AE78,'История отказов'!AE78)=1,'История отказов'!F78="ЭВН"),74,""))</f>
        <v/>
      </c>
      <c r="DF75">
        <f>IF('История отказов'!AE78="","",IF(AND(COUNTIF($CX$2:$CX$2,'История отказов'!AE78)=0,COUNTIFS('История отказов'!$F$5:F78,"ШВН",'История отказов'!$AE$5:AE78,'История отказов'!AE78)=1,'История отказов'!F78="ШВН"),74,""))</f>
        <v/>
      </c>
      <c r="DG75">
        <f>IF('История отказов'!AE78="","",IF(AND(COUNTIF($CW$2:$CW$2,'История отказов'!AE78)=0,COUNTIFS('История отказов'!$F$5:F78,"НПУ-ВД",'История отказов'!$AE$5:AE78,'История отказов'!AE78)=1,'История отказов'!F78="НПУ-ВД"),74,""))</f>
        <v/>
      </c>
      <c r="DH75">
        <f>IF('История отказов'!AE78="","",IF(AND(COUNTIF($CY$2:$CY$6,'История отказов'!AE78)=0,COUNTIF('История отказов'!$AE$5:AE78,'История отказов'!AE78)=1),74,""))</f>
        <v/>
      </c>
      <c r="DI75">
        <f>IF('История отказов'!AK78="","",IF(AND(COUNTIF($CL$2:$CL$3,'История отказов'!AK78)=0,COUNTIF('История отказов'!$AK$5:AK78,'История отказов'!AK78)=1),74,""))</f>
        <v/>
      </c>
      <c r="DJ75">
        <f>IF('История отказов'!AU78="","",IF(AND(COUNTIF($CP$2:$CP$3,'История отказов'!AU78)=0,COUNTIF('История отказов'!$AU$5:AU78,'История отказов'!AU78)=1),74,""))</f>
        <v/>
      </c>
      <c r="DK75">
        <f>IF('История отказов'!AY78="","",IF(AND(COUNTIF($CR$2:$CR$2,'История отказов'!AY78)=0,COUNTIF('История отказов'!$AY$5:AY78,'История отказов'!AY78)=1),74,""))</f>
        <v/>
      </c>
      <c r="DL75">
        <f>IF(DB75="","",IF(AND(COUNTIF($DA$2:$DA$47,DB75)=0,COUNTIF($DB$2:DB75,DB75)=1),74,""))</f>
        <v/>
      </c>
    </row>
    <row r="76">
      <c r="A76" s="74" t="n"/>
      <c r="B76" s="75" t="n"/>
      <c r="C76" s="75" t="n"/>
      <c r="D76" s="75" t="n"/>
      <c r="E76" s="75" t="inlineStr">
        <is>
          <t>6.3 — Заводской брак насоса ЭЦН [УЭЦН]</t>
        </is>
      </c>
      <c r="F76" s="76" t="n"/>
      <c r="H76" t="inlineStr">
        <is>
          <t>КР9-3 — Перевод скважины в наблюдательную, пьезометрическую, контрольную.</t>
        </is>
      </c>
      <c r="J76" s="62" t="inlineStr">
        <is>
          <t>6.3 — Заводской брак насоса ЭЦН [УЭЦН]</t>
        </is>
      </c>
      <c r="K76" s="62" t="n"/>
      <c r="L76" s="62" t="n"/>
      <c r="M76" s="62" t="n"/>
      <c r="N76" s="62" t="n"/>
      <c r="Q76" t="inlineStr">
        <is>
          <t>Признак / предпосылка</t>
        </is>
      </c>
      <c r="R76" t="inlineStr">
        <is>
          <t>Снижение сопротивления изоляции</t>
        </is>
      </c>
      <c r="S76" t="inlineStr">
        <is>
          <t>Рабочий диагностический признак</t>
        </is>
      </c>
      <c r="T76" t="inlineStr">
        <is>
          <t>SLB, погружной мониторинг; Weatherford, признаки УЭЦН</t>
        </is>
      </c>
      <c r="U76" t="inlineStr">
        <is>
          <t>https://www.slb.com/products-and-services/innovating-in-oil-and-gas/completions/artificial-lift/intelligent-lift/gauges/phoenix-xt150-downhole-monitoring-system; https://hs.weatherford.com/knowledge/what-is-the-electrical-submersible-pump-monitoring-package-in-petrovisor</t>
        </is>
      </c>
      <c r="V76" t="inlineStr">
        <is>
          <t>ЭЦН/ЭВН, если датчик/защита доступны</t>
        </is>
      </c>
      <c r="AX76" t="inlineStr">
        <is>
          <t>6.3 — Заводской брак насоса ЭЦН [УЭЦН]</t>
        </is>
      </c>
      <c r="BA76" t="inlineStr">
        <is>
          <t>КР9-3 — Перевод скважины в наблюдательную, пьезометрическую, контрольную.</t>
        </is>
      </c>
      <c r="CJ76" t="inlineStr">
        <is>
          <t>6.3 — Заводской брак насоса ЭЦН [УЭЦН]</t>
        </is>
      </c>
      <c r="CL76">
        <f>IFERROR(INDEX('История отказов'!$AK$5:$AK$1204,SMALL($DI$2:$DI$1201,ROWS($CL$4:CL76))),"")</f>
        <v/>
      </c>
      <c r="CP76">
        <f>IFERROR(INDEX('История отказов'!$AU$5:$AU$1204,SMALL($DJ$2:$DJ$1201,ROWS($CP$4:CP76))),"")</f>
        <v/>
      </c>
      <c r="CR76">
        <f>IFERROR(INDEX('История отказов'!$AY$5:$AY$1204,SMALL($DK$2:$DK$1201,ROWS($CR$3:CR76))),"")</f>
        <v/>
      </c>
      <c r="CT76">
        <f>IFERROR(INDEX('История отказов'!$AE$5:$AE$1204,SMALL($DC$2:$DC$1201,ROWS($CT$3:CT76))),"")</f>
        <v/>
      </c>
      <c r="CU76">
        <f>IFERROR(INDEX('История отказов'!$AE$5:$AE$1204,SMALL($DD$2:$DD$1201,ROWS($CU$4:CU76))),"")</f>
        <v/>
      </c>
      <c r="CV76">
        <f>IFERROR(INDEX('История отказов'!$AE$5:$AE$1204,SMALL($DE$2:$DE$1201,ROWS($CV$4:CV76))),"")</f>
        <v/>
      </c>
      <c r="CW76">
        <f>IFERROR(INDEX('История отказов'!$AE$5:$AE$1204,SMALL($DG$2:$DG$1201,ROWS($CW$3:CW76))),"")</f>
        <v/>
      </c>
      <c r="CX76">
        <f>IFERROR(INDEX('История отказов'!$AE$5:$AE$1204,SMALL($DF$2:$DF$1201,ROWS($CX$3:CX76))),"")</f>
        <v/>
      </c>
      <c r="CY76">
        <f>IFERROR(INDEX('История отказов'!$AE$5:$AE$1204,SMALL($DH$2:$DH$1201,ROWS($CY$7:CY76))),"")</f>
        <v/>
      </c>
      <c r="DA76">
        <f>IFERROR(INDEX($DB$2:$DB$4801,SMALL($DL$2:$DL$4801,ROWS($DA$48:DA76))),"")</f>
        <v/>
      </c>
      <c r="DB76">
        <f>IF('История отказов'!AH79="","",'История отказов'!AH79)</f>
        <v/>
      </c>
      <c r="DC76">
        <f>IF('История отказов'!AE79="","",IF(AND(COUNTIF($CT$2:$CT$2,'История отказов'!AE79)=0,COUNTIFS('История отказов'!$F$5:F79,"ШГН",'История отказов'!$AE$5:AE79,'История отказов'!AE79)=1,'История отказов'!F79="ШГН"),75,""))</f>
        <v/>
      </c>
      <c r="DD76">
        <f>IF('История отказов'!AE79="","",IF(AND(COUNTIF($CU$2:$CU$3,'История отказов'!AE79)=0,COUNTIFS('История отказов'!$F$5:F79,"ЭЦН",'История отказов'!$AE$5:AE79,'История отказов'!AE79)=1,'История отказов'!F79="ЭЦН"),75,""))</f>
        <v/>
      </c>
      <c r="DE76">
        <f>IF('История отказов'!AE79="","",IF(AND(COUNTIF($CV$2:$CV$3,'История отказов'!AE79)=0,COUNTIFS('История отказов'!$F$5:F79,"ЭВН",'История отказов'!$AE$5:AE79,'История отказов'!AE79)=1,'История отказов'!F79="ЭВН"),75,""))</f>
        <v/>
      </c>
      <c r="DF76">
        <f>IF('История отказов'!AE79="","",IF(AND(COUNTIF($CX$2:$CX$2,'История отказов'!AE79)=0,COUNTIFS('История отказов'!$F$5:F79,"ШВН",'История отказов'!$AE$5:AE79,'История отказов'!AE79)=1,'История отказов'!F79="ШВН"),75,""))</f>
        <v/>
      </c>
      <c r="DG76">
        <f>IF('История отказов'!AE79="","",IF(AND(COUNTIF($CW$2:$CW$2,'История отказов'!AE79)=0,COUNTIFS('История отказов'!$F$5:F79,"НПУ-ВД",'История отказов'!$AE$5:AE79,'История отказов'!AE79)=1,'История отказов'!F79="НПУ-ВД"),75,""))</f>
        <v/>
      </c>
      <c r="DH76">
        <f>IF('История отказов'!AE79="","",IF(AND(COUNTIF($CY$2:$CY$6,'История отказов'!AE79)=0,COUNTIF('История отказов'!$AE$5:AE79,'История отказов'!AE79)=1),75,""))</f>
        <v/>
      </c>
      <c r="DI76">
        <f>IF('История отказов'!AK79="","",IF(AND(COUNTIF($CL$2:$CL$3,'История отказов'!AK79)=0,COUNTIF('История отказов'!$AK$5:AK79,'История отказов'!AK79)=1),75,""))</f>
        <v/>
      </c>
      <c r="DJ76">
        <f>IF('История отказов'!AU79="","",IF(AND(COUNTIF($CP$2:$CP$3,'История отказов'!AU79)=0,COUNTIF('История отказов'!$AU$5:AU79,'История отказов'!AU79)=1),75,""))</f>
        <v/>
      </c>
      <c r="DK76">
        <f>IF('История отказов'!AY79="","",IF(AND(COUNTIF($CR$2:$CR$2,'История отказов'!AY79)=0,COUNTIF('История отказов'!$AY$5:AY79,'История отказов'!AY79)=1),75,""))</f>
        <v/>
      </c>
      <c r="DL76">
        <f>IF(DB76="","",IF(AND(COUNTIF($DA$2:$DA$47,DB76)=0,COUNTIF($DB$2:DB76,DB76)=1),75,""))</f>
        <v/>
      </c>
    </row>
    <row r="77">
      <c r="A77" s="74" t="n"/>
      <c r="B77" s="75" t="n"/>
      <c r="C77" s="75" t="n"/>
      <c r="D77" s="75" t="n"/>
      <c r="E77" s="75" t="inlineStr">
        <is>
          <t>6.4 — Заводской брак насоса ЭВН [УЭЦН]</t>
        </is>
      </c>
      <c r="F77" s="76" t="n"/>
      <c r="H77" t="inlineStr">
        <is>
          <t>КР9-4 — Перевод скважин под нагнетание теплоносителя, воздуха или газа.</t>
        </is>
      </c>
      <c r="J77" s="62" t="inlineStr">
        <is>
          <t>6.4 — Заводской брак насоса ЭВН [УЭЦН]</t>
        </is>
      </c>
      <c r="K77" s="62" t="n"/>
      <c r="L77" s="62" t="n"/>
      <c r="M77" s="62" t="n"/>
      <c r="N77" s="62" t="n"/>
      <c r="Q77" t="inlineStr">
        <is>
          <t>Признак / предпосылка</t>
        </is>
      </c>
      <c r="R77" t="inlineStr">
        <is>
          <t>Остановка по защите</t>
        </is>
      </c>
      <c r="S77" t="inlineStr">
        <is>
          <t>Рабочий диагностический признак</t>
        </is>
      </c>
      <c r="T77" t="inlineStr">
        <is>
          <t>SLB, погружной мониторинг; Weatherford, признаки УЭЦН</t>
        </is>
      </c>
      <c r="U77" t="inlineStr">
        <is>
          <t>https://www.slb.com/products-and-services/innovating-in-oil-and-gas/completions/artificial-lift/intelligent-lift/gauges/phoenix-xt150-downhole-monitoring-system; https://hs.weatherford.com/knowledge/what-is-the-electrical-submersible-pump-monitoring-package-in-petrovisor</t>
        </is>
      </c>
      <c r="V77" t="inlineStr">
        <is>
          <t>ЭЦН/ЭВН, если датчик/защита доступны</t>
        </is>
      </c>
      <c r="AX77" t="inlineStr">
        <is>
          <t>6.4 — Заводской брак насоса ЭВН [УЭЦН]</t>
        </is>
      </c>
      <c r="BA77" t="inlineStr">
        <is>
          <t>КР9-4 — Перевод скважин под нагнетание теплоносителя, воздуха или газа.</t>
        </is>
      </c>
      <c r="CJ77" t="inlineStr">
        <is>
          <t>6.4 — Заводской брак насоса ЭВН [УЭЦН]</t>
        </is>
      </c>
      <c r="CL77">
        <f>IFERROR(INDEX('История отказов'!$AK$5:$AK$1204,SMALL($DI$2:$DI$1201,ROWS($CL$4:CL77))),"")</f>
        <v/>
      </c>
      <c r="CP77">
        <f>IFERROR(INDEX('История отказов'!$AU$5:$AU$1204,SMALL($DJ$2:$DJ$1201,ROWS($CP$4:CP77))),"")</f>
        <v/>
      </c>
      <c r="CR77">
        <f>IFERROR(INDEX('История отказов'!$AY$5:$AY$1204,SMALL($DK$2:$DK$1201,ROWS($CR$3:CR77))),"")</f>
        <v/>
      </c>
      <c r="CT77">
        <f>IFERROR(INDEX('История отказов'!$AE$5:$AE$1204,SMALL($DC$2:$DC$1201,ROWS($CT$3:CT77))),"")</f>
        <v/>
      </c>
      <c r="CU77">
        <f>IFERROR(INDEX('История отказов'!$AE$5:$AE$1204,SMALL($DD$2:$DD$1201,ROWS($CU$4:CU77))),"")</f>
        <v/>
      </c>
      <c r="CV77">
        <f>IFERROR(INDEX('История отказов'!$AE$5:$AE$1204,SMALL($DE$2:$DE$1201,ROWS($CV$4:CV77))),"")</f>
        <v/>
      </c>
      <c r="CW77">
        <f>IFERROR(INDEX('История отказов'!$AE$5:$AE$1204,SMALL($DG$2:$DG$1201,ROWS($CW$3:CW77))),"")</f>
        <v/>
      </c>
      <c r="CX77">
        <f>IFERROR(INDEX('История отказов'!$AE$5:$AE$1204,SMALL($DF$2:$DF$1201,ROWS($CX$3:CX77))),"")</f>
        <v/>
      </c>
      <c r="CY77">
        <f>IFERROR(INDEX('История отказов'!$AE$5:$AE$1204,SMALL($DH$2:$DH$1201,ROWS($CY$7:CY77))),"")</f>
        <v/>
      </c>
      <c r="DA77">
        <f>IFERROR(INDEX($DB$2:$DB$4801,SMALL($DL$2:$DL$4801,ROWS($DA$48:DA77))),"")</f>
        <v/>
      </c>
      <c r="DB77">
        <f>IF('История отказов'!AH80="","",'История отказов'!AH80)</f>
        <v/>
      </c>
      <c r="DC77">
        <f>IF('История отказов'!AE80="","",IF(AND(COUNTIF($CT$2:$CT$2,'История отказов'!AE80)=0,COUNTIFS('История отказов'!$F$5:F80,"ШГН",'История отказов'!$AE$5:AE80,'История отказов'!AE80)=1,'История отказов'!F80="ШГН"),76,""))</f>
        <v/>
      </c>
      <c r="DD77">
        <f>IF('История отказов'!AE80="","",IF(AND(COUNTIF($CU$2:$CU$3,'История отказов'!AE80)=0,COUNTIFS('История отказов'!$F$5:F80,"ЭЦН",'История отказов'!$AE$5:AE80,'История отказов'!AE80)=1,'История отказов'!F80="ЭЦН"),76,""))</f>
        <v/>
      </c>
      <c r="DE77">
        <f>IF('История отказов'!AE80="","",IF(AND(COUNTIF($CV$2:$CV$3,'История отказов'!AE80)=0,COUNTIFS('История отказов'!$F$5:F80,"ЭВН",'История отказов'!$AE$5:AE80,'История отказов'!AE80)=1,'История отказов'!F80="ЭВН"),76,""))</f>
        <v/>
      </c>
      <c r="DF77">
        <f>IF('История отказов'!AE80="","",IF(AND(COUNTIF($CX$2:$CX$2,'История отказов'!AE80)=0,COUNTIFS('История отказов'!$F$5:F80,"ШВН",'История отказов'!$AE$5:AE80,'История отказов'!AE80)=1,'История отказов'!F80="ШВН"),76,""))</f>
        <v/>
      </c>
      <c r="DG77">
        <f>IF('История отказов'!AE80="","",IF(AND(COUNTIF($CW$2:$CW$2,'История отказов'!AE80)=0,COUNTIFS('История отказов'!$F$5:F80,"НПУ-ВД",'История отказов'!$AE$5:AE80,'История отказов'!AE80)=1,'История отказов'!F80="НПУ-ВД"),76,""))</f>
        <v/>
      </c>
      <c r="DH77">
        <f>IF('История отказов'!AE80="","",IF(AND(COUNTIF($CY$2:$CY$6,'История отказов'!AE80)=0,COUNTIF('История отказов'!$AE$5:AE80,'История отказов'!AE80)=1),76,""))</f>
        <v/>
      </c>
      <c r="DI77">
        <f>IF('История отказов'!AK80="","",IF(AND(COUNTIF($CL$2:$CL$3,'История отказов'!AK80)=0,COUNTIF('История отказов'!$AK$5:AK80,'История отказов'!AK80)=1),76,""))</f>
        <v/>
      </c>
      <c r="DJ77">
        <f>IF('История отказов'!AU80="","",IF(AND(COUNTIF($CP$2:$CP$3,'История отказов'!AU80)=0,COUNTIF('История отказов'!$AU$5:AU80,'История отказов'!AU80)=1),76,""))</f>
        <v/>
      </c>
      <c r="DK77">
        <f>IF('История отказов'!AY80="","",IF(AND(COUNTIF($CR$2:$CR$2,'История отказов'!AY80)=0,COUNTIF('История отказов'!$AY$5:AY80,'История отказов'!AY80)=1),76,""))</f>
        <v/>
      </c>
      <c r="DL77">
        <f>IF(DB77="","",IF(AND(COUNTIF($DA$2:$DA$47,DB77)=0,COUNTIF($DB$2:DB77,DB77)=1),76,""))</f>
        <v/>
      </c>
    </row>
    <row r="78">
      <c r="A78" s="74" t="n"/>
      <c r="B78" s="75" t="n"/>
      <c r="C78" s="75" t="n"/>
      <c r="D78" s="75" t="n"/>
      <c r="E78" s="75" t="inlineStr">
        <is>
          <t>6.5 — Заводской брак ЭД [УЭЦН]</t>
        </is>
      </c>
      <c r="F78" s="76" t="n"/>
      <c r="H78" t="inlineStr">
        <is>
          <t>КР9-5 — Перевод скважин в добывающие.</t>
        </is>
      </c>
      <c r="J78" s="62" t="inlineStr">
        <is>
          <t>6.5 — Заводской брак ЭД [УЭЦН]</t>
        </is>
      </c>
      <c r="K78" s="62" t="n"/>
      <c r="L78" s="62" t="n"/>
      <c r="M78" s="62" t="n"/>
      <c r="N78" s="62" t="n"/>
      <c r="Q78" t="inlineStr">
        <is>
          <t>Признак / предпосылка</t>
        </is>
      </c>
      <c r="R78" t="inlineStr">
        <is>
          <t>Рост вибрации</t>
        </is>
      </c>
      <c r="S78" t="inlineStr">
        <is>
          <t>Рабочий диагностический признак</t>
        </is>
      </c>
      <c r="T78" t="inlineStr">
        <is>
          <t>SLB, погружной мониторинг; Weatherford, признаки УЭЦН</t>
        </is>
      </c>
      <c r="U78" t="inlineStr">
        <is>
          <t>https://www.slb.com/products-and-services/innovating-in-oil-and-gas/completions/artificial-lift/intelligent-lift/gauges/phoenix-xt150-downhole-monitoring-system; https://hs.weatherford.com/knowledge/what-is-the-electrical-submersible-pump-monitoring-package-in-petrovisor</t>
        </is>
      </c>
      <c r="V78" t="inlineStr">
        <is>
          <t>ЭЦН/ЭВН, если датчик/защита доступны</t>
        </is>
      </c>
      <c r="AX78" t="inlineStr">
        <is>
          <t>6.5 — Заводской брак ЭД [УЭЦН]</t>
        </is>
      </c>
      <c r="BA78" t="inlineStr">
        <is>
          <t>КР9-5 — Перевод скважин в добывающие.</t>
        </is>
      </c>
      <c r="CJ78" t="inlineStr">
        <is>
          <t>6.5 — Заводской брак ЭД [УЭЦН]</t>
        </is>
      </c>
      <c r="CL78">
        <f>IFERROR(INDEX('История отказов'!$AK$5:$AK$1204,SMALL($DI$2:$DI$1201,ROWS($CL$4:CL78))),"")</f>
        <v/>
      </c>
      <c r="CP78">
        <f>IFERROR(INDEX('История отказов'!$AU$5:$AU$1204,SMALL($DJ$2:$DJ$1201,ROWS($CP$4:CP78))),"")</f>
        <v/>
      </c>
      <c r="CR78">
        <f>IFERROR(INDEX('История отказов'!$AY$5:$AY$1204,SMALL($DK$2:$DK$1201,ROWS($CR$3:CR78))),"")</f>
        <v/>
      </c>
      <c r="CT78">
        <f>IFERROR(INDEX('История отказов'!$AE$5:$AE$1204,SMALL($DC$2:$DC$1201,ROWS($CT$3:CT78))),"")</f>
        <v/>
      </c>
      <c r="CU78">
        <f>IFERROR(INDEX('История отказов'!$AE$5:$AE$1204,SMALL($DD$2:$DD$1201,ROWS($CU$4:CU78))),"")</f>
        <v/>
      </c>
      <c r="CV78">
        <f>IFERROR(INDEX('История отказов'!$AE$5:$AE$1204,SMALL($DE$2:$DE$1201,ROWS($CV$4:CV78))),"")</f>
        <v/>
      </c>
      <c r="CW78">
        <f>IFERROR(INDEX('История отказов'!$AE$5:$AE$1204,SMALL($DG$2:$DG$1201,ROWS($CW$3:CW78))),"")</f>
        <v/>
      </c>
      <c r="CX78">
        <f>IFERROR(INDEX('История отказов'!$AE$5:$AE$1204,SMALL($DF$2:$DF$1201,ROWS($CX$3:CX78))),"")</f>
        <v/>
      </c>
      <c r="CY78">
        <f>IFERROR(INDEX('История отказов'!$AE$5:$AE$1204,SMALL($DH$2:$DH$1201,ROWS($CY$7:CY78))),"")</f>
        <v/>
      </c>
      <c r="DA78">
        <f>IFERROR(INDEX($DB$2:$DB$4801,SMALL($DL$2:$DL$4801,ROWS($DA$48:DA78))),"")</f>
        <v/>
      </c>
      <c r="DB78">
        <f>IF('История отказов'!AH81="","",'История отказов'!AH81)</f>
        <v/>
      </c>
      <c r="DC78">
        <f>IF('История отказов'!AE81="","",IF(AND(COUNTIF($CT$2:$CT$2,'История отказов'!AE81)=0,COUNTIFS('История отказов'!$F$5:F81,"ШГН",'История отказов'!$AE$5:AE81,'История отказов'!AE81)=1,'История отказов'!F81="ШГН"),77,""))</f>
        <v/>
      </c>
      <c r="DD78">
        <f>IF('История отказов'!AE81="","",IF(AND(COUNTIF($CU$2:$CU$3,'История отказов'!AE81)=0,COUNTIFS('История отказов'!$F$5:F81,"ЭЦН",'История отказов'!$AE$5:AE81,'История отказов'!AE81)=1,'История отказов'!F81="ЭЦН"),77,""))</f>
        <v/>
      </c>
      <c r="DE78">
        <f>IF('История отказов'!AE81="","",IF(AND(COUNTIF($CV$2:$CV$3,'История отказов'!AE81)=0,COUNTIFS('История отказов'!$F$5:F81,"ЭВН",'История отказов'!$AE$5:AE81,'История отказов'!AE81)=1,'История отказов'!F81="ЭВН"),77,""))</f>
        <v/>
      </c>
      <c r="DF78">
        <f>IF('История отказов'!AE81="","",IF(AND(COUNTIF($CX$2:$CX$2,'История отказов'!AE81)=0,COUNTIFS('История отказов'!$F$5:F81,"ШВН",'История отказов'!$AE$5:AE81,'История отказов'!AE81)=1,'История отказов'!F81="ШВН"),77,""))</f>
        <v/>
      </c>
      <c r="DG78">
        <f>IF('История отказов'!AE81="","",IF(AND(COUNTIF($CW$2:$CW$2,'История отказов'!AE81)=0,COUNTIFS('История отказов'!$F$5:F81,"НПУ-ВД",'История отказов'!$AE$5:AE81,'История отказов'!AE81)=1,'История отказов'!F81="НПУ-ВД"),77,""))</f>
        <v/>
      </c>
      <c r="DH78">
        <f>IF('История отказов'!AE81="","",IF(AND(COUNTIF($CY$2:$CY$6,'История отказов'!AE81)=0,COUNTIF('История отказов'!$AE$5:AE81,'История отказов'!AE81)=1),77,""))</f>
        <v/>
      </c>
      <c r="DI78">
        <f>IF('История отказов'!AK81="","",IF(AND(COUNTIF($CL$2:$CL$3,'История отказов'!AK81)=0,COUNTIF('История отказов'!$AK$5:AK81,'История отказов'!AK81)=1),77,""))</f>
        <v/>
      </c>
      <c r="DJ78">
        <f>IF('История отказов'!AU81="","",IF(AND(COUNTIF($CP$2:$CP$3,'История отказов'!AU81)=0,COUNTIF('История отказов'!$AU$5:AU81,'История отказов'!AU81)=1),77,""))</f>
        <v/>
      </c>
      <c r="DK78">
        <f>IF('История отказов'!AY81="","",IF(AND(COUNTIF($CR$2:$CR$2,'История отказов'!AY81)=0,COUNTIF('История отказов'!$AY$5:AY81,'История отказов'!AY81)=1),77,""))</f>
        <v/>
      </c>
      <c r="DL78">
        <f>IF(DB78="","",IF(AND(COUNTIF($DA$2:$DA$47,DB78)=0,COUNTIF($DB$2:DB78,DB78)=1),77,""))</f>
        <v/>
      </c>
    </row>
    <row r="79">
      <c r="A79" s="74" t="n"/>
      <c r="B79" s="75" t="n"/>
      <c r="C79" s="75" t="n"/>
      <c r="D79" s="75" t="n"/>
      <c r="E79" s="75" t="inlineStr">
        <is>
          <t>6.6 — Заводской брак гидрозащиты [УЭЦН]</t>
        </is>
      </c>
      <c r="F79" s="76" t="n"/>
      <c r="H79" t="inlineStr">
        <is>
          <t>КР9-6 — Перевод скважин в газодобывающие из других категорий.</t>
        </is>
      </c>
      <c r="J79" s="62" t="inlineStr">
        <is>
          <t>6.6 — Заводской брак гидрозащиты [УЭЦН]</t>
        </is>
      </c>
      <c r="K79" s="62" t="n"/>
      <c r="L79" s="62" t="n"/>
      <c r="M79" s="62" t="n"/>
      <c r="N79" s="62" t="n"/>
      <c r="Q79" t="inlineStr">
        <is>
          <t>Признак / предпосылка</t>
        </is>
      </c>
      <c r="R79" t="inlineStr">
        <is>
          <t>Рост температуры двигателя</t>
        </is>
      </c>
      <c r="S79" t="inlineStr">
        <is>
          <t>Рабочий диагностический признак</t>
        </is>
      </c>
      <c r="T79" t="inlineStr">
        <is>
          <t>SLB, погружной мониторинг; Weatherford, признаки УЭЦН</t>
        </is>
      </c>
      <c r="U79" t="inlineStr">
        <is>
          <t>https://www.slb.com/products-and-services/innovating-in-oil-and-gas/completions/artificial-lift/intelligent-lift/gauges/phoenix-xt150-downhole-monitoring-system; https://hs.weatherford.com/knowledge/what-is-the-electrical-submersible-pump-monitoring-package-in-petrovisor</t>
        </is>
      </c>
      <c r="V79" t="inlineStr">
        <is>
          <t>ЭЦН/ЭВН, если датчик/защита доступны</t>
        </is>
      </c>
      <c r="AX79" t="inlineStr">
        <is>
          <t>6.6 — Заводской брак гидрозащиты [УЭЦН]</t>
        </is>
      </c>
      <c r="BA79" t="inlineStr">
        <is>
          <t>КР9-6 — Перевод скважин в газодобывающие из других категорий.</t>
        </is>
      </c>
      <c r="CJ79" t="inlineStr">
        <is>
          <t>6.6 — Заводской брак гидрозащиты [УЭЦН]</t>
        </is>
      </c>
      <c r="CL79">
        <f>IFERROR(INDEX('История отказов'!$AK$5:$AK$1204,SMALL($DI$2:$DI$1201,ROWS($CL$4:CL79))),"")</f>
        <v/>
      </c>
      <c r="CP79">
        <f>IFERROR(INDEX('История отказов'!$AU$5:$AU$1204,SMALL($DJ$2:$DJ$1201,ROWS($CP$4:CP79))),"")</f>
        <v/>
      </c>
      <c r="CR79">
        <f>IFERROR(INDEX('История отказов'!$AY$5:$AY$1204,SMALL($DK$2:$DK$1201,ROWS($CR$3:CR79))),"")</f>
        <v/>
      </c>
      <c r="CT79">
        <f>IFERROR(INDEX('История отказов'!$AE$5:$AE$1204,SMALL($DC$2:$DC$1201,ROWS($CT$3:CT79))),"")</f>
        <v/>
      </c>
      <c r="CU79">
        <f>IFERROR(INDEX('История отказов'!$AE$5:$AE$1204,SMALL($DD$2:$DD$1201,ROWS($CU$4:CU79))),"")</f>
        <v/>
      </c>
      <c r="CV79">
        <f>IFERROR(INDEX('История отказов'!$AE$5:$AE$1204,SMALL($DE$2:$DE$1201,ROWS($CV$4:CV79))),"")</f>
        <v/>
      </c>
      <c r="CW79">
        <f>IFERROR(INDEX('История отказов'!$AE$5:$AE$1204,SMALL($DG$2:$DG$1201,ROWS($CW$3:CW79))),"")</f>
        <v/>
      </c>
      <c r="CX79">
        <f>IFERROR(INDEX('История отказов'!$AE$5:$AE$1204,SMALL($DF$2:$DF$1201,ROWS($CX$3:CX79))),"")</f>
        <v/>
      </c>
      <c r="CY79">
        <f>IFERROR(INDEX('История отказов'!$AE$5:$AE$1204,SMALL($DH$2:$DH$1201,ROWS($CY$7:CY79))),"")</f>
        <v/>
      </c>
      <c r="DA79">
        <f>IFERROR(INDEX($DB$2:$DB$4801,SMALL($DL$2:$DL$4801,ROWS($DA$48:DA79))),"")</f>
        <v/>
      </c>
      <c r="DB79">
        <f>IF('История отказов'!AH82="","",'История отказов'!AH82)</f>
        <v/>
      </c>
      <c r="DC79">
        <f>IF('История отказов'!AE82="","",IF(AND(COUNTIF($CT$2:$CT$2,'История отказов'!AE82)=0,COUNTIFS('История отказов'!$F$5:F82,"ШГН",'История отказов'!$AE$5:AE82,'История отказов'!AE82)=1,'История отказов'!F82="ШГН"),78,""))</f>
        <v/>
      </c>
      <c r="DD79">
        <f>IF('История отказов'!AE82="","",IF(AND(COUNTIF($CU$2:$CU$3,'История отказов'!AE82)=0,COUNTIFS('История отказов'!$F$5:F82,"ЭЦН",'История отказов'!$AE$5:AE82,'История отказов'!AE82)=1,'История отказов'!F82="ЭЦН"),78,""))</f>
        <v/>
      </c>
      <c r="DE79">
        <f>IF('История отказов'!AE82="","",IF(AND(COUNTIF($CV$2:$CV$3,'История отказов'!AE82)=0,COUNTIFS('История отказов'!$F$5:F82,"ЭВН",'История отказов'!$AE$5:AE82,'История отказов'!AE82)=1,'История отказов'!F82="ЭВН"),78,""))</f>
        <v/>
      </c>
      <c r="DF79">
        <f>IF('История отказов'!AE82="","",IF(AND(COUNTIF($CX$2:$CX$2,'История отказов'!AE82)=0,COUNTIFS('История отказов'!$F$5:F82,"ШВН",'История отказов'!$AE$5:AE82,'История отказов'!AE82)=1,'История отказов'!F82="ШВН"),78,""))</f>
        <v/>
      </c>
      <c r="DG79">
        <f>IF('История отказов'!AE82="","",IF(AND(COUNTIF($CW$2:$CW$2,'История отказов'!AE82)=0,COUNTIFS('История отказов'!$F$5:F82,"НПУ-ВД",'История отказов'!$AE$5:AE82,'История отказов'!AE82)=1,'История отказов'!F82="НПУ-ВД"),78,""))</f>
        <v/>
      </c>
      <c r="DH79">
        <f>IF('История отказов'!AE82="","",IF(AND(COUNTIF($CY$2:$CY$6,'История отказов'!AE82)=0,COUNTIF('История отказов'!$AE$5:AE82,'История отказов'!AE82)=1),78,""))</f>
        <v/>
      </c>
      <c r="DI79">
        <f>IF('История отказов'!AK82="","",IF(AND(COUNTIF($CL$2:$CL$3,'История отказов'!AK82)=0,COUNTIF('История отказов'!$AK$5:AK82,'История отказов'!AK82)=1),78,""))</f>
        <v/>
      </c>
      <c r="DJ79">
        <f>IF('История отказов'!AU82="","",IF(AND(COUNTIF($CP$2:$CP$3,'История отказов'!AU82)=0,COUNTIF('История отказов'!$AU$5:AU82,'История отказов'!AU82)=1),78,""))</f>
        <v/>
      </c>
      <c r="DK79">
        <f>IF('История отказов'!AY82="","",IF(AND(COUNTIF($CR$2:$CR$2,'История отказов'!AY82)=0,COUNTIF('История отказов'!$AY$5:AY82,'История отказов'!AY82)=1),78,""))</f>
        <v/>
      </c>
      <c r="DL79">
        <f>IF(DB79="","",IF(AND(COUNTIF($DA$2:$DA$47,DB79)=0,COUNTIF($DB$2:DB79,DB79)=1),78,""))</f>
        <v/>
      </c>
    </row>
    <row r="80">
      <c r="A80" s="74" t="n"/>
      <c r="B80" s="75" t="n"/>
      <c r="C80" s="75" t="n"/>
      <c r="D80" s="75" t="n"/>
      <c r="E80" s="75" t="inlineStr">
        <is>
          <t>6.7 — Заводской брак дополнительного оборудования [УЭЦН]</t>
        </is>
      </c>
      <c r="F80" s="76" t="n"/>
      <c r="H80" t="inlineStr">
        <is>
          <t>КР10-1 — Восстановление приемистости нагнетательной скважины</t>
        </is>
      </c>
      <c r="J80" s="62" t="inlineStr">
        <is>
          <t>6.7 — Заводской брак дополнительного оборудования [УЭЦН]</t>
        </is>
      </c>
      <c r="K80" s="62" t="n"/>
      <c r="L80" s="62" t="n"/>
      <c r="M80" s="62" t="n"/>
      <c r="N80" s="62" t="n"/>
      <c r="Q80" t="inlineStr">
        <is>
          <t>Признак / предпосылка</t>
        </is>
      </c>
      <c r="R80" t="inlineStr">
        <is>
          <t>Повышенное содержание свободного газа на приёме</t>
        </is>
      </c>
      <c r="S80" t="inlineStr">
        <is>
          <t>Рабочий диагностический признак</t>
        </is>
      </c>
      <c r="T80" t="inlineStr">
        <is>
          <t>SLB, диагностика газовой блокировки; МУ §9</t>
        </is>
      </c>
      <c r="U80" t="inlineStr">
        <is>
          <t>https://www.slb.com/resource-library/case-study-with-navigation/al/lift-iq-colombia-alianza-casabe-esp-gas-locking-cs</t>
        </is>
      </c>
      <c r="V80" t="inlineStr">
        <is>
          <t>ЭЦН/ЭВН; другие по составу установки</t>
        </is>
      </c>
      <c r="AX80" t="inlineStr">
        <is>
          <t>6.7 — Заводской брак дополнительного оборудования [УЭЦН]</t>
        </is>
      </c>
      <c r="BA80" t="inlineStr">
        <is>
          <t>КР10-1 — Восстановление приемистости нагнетательной скважины</t>
        </is>
      </c>
      <c r="CJ80" t="inlineStr">
        <is>
          <t>6.7 — Заводской брак дополнительного оборудования [УЭЦН]</t>
        </is>
      </c>
      <c r="CL80">
        <f>IFERROR(INDEX('История отказов'!$AK$5:$AK$1204,SMALL($DI$2:$DI$1201,ROWS($CL$4:CL80))),"")</f>
        <v/>
      </c>
      <c r="CP80">
        <f>IFERROR(INDEX('История отказов'!$AU$5:$AU$1204,SMALL($DJ$2:$DJ$1201,ROWS($CP$4:CP80))),"")</f>
        <v/>
      </c>
      <c r="CR80">
        <f>IFERROR(INDEX('История отказов'!$AY$5:$AY$1204,SMALL($DK$2:$DK$1201,ROWS($CR$3:CR80))),"")</f>
        <v/>
      </c>
      <c r="CT80">
        <f>IFERROR(INDEX('История отказов'!$AE$5:$AE$1204,SMALL($DC$2:$DC$1201,ROWS($CT$3:CT80))),"")</f>
        <v/>
      </c>
      <c r="CU80">
        <f>IFERROR(INDEX('История отказов'!$AE$5:$AE$1204,SMALL($DD$2:$DD$1201,ROWS($CU$4:CU80))),"")</f>
        <v/>
      </c>
      <c r="CV80">
        <f>IFERROR(INDEX('История отказов'!$AE$5:$AE$1204,SMALL($DE$2:$DE$1201,ROWS($CV$4:CV80))),"")</f>
        <v/>
      </c>
      <c r="CW80">
        <f>IFERROR(INDEX('История отказов'!$AE$5:$AE$1204,SMALL($DG$2:$DG$1201,ROWS($CW$3:CW80))),"")</f>
        <v/>
      </c>
      <c r="CX80">
        <f>IFERROR(INDEX('История отказов'!$AE$5:$AE$1204,SMALL($DF$2:$DF$1201,ROWS($CX$3:CX80))),"")</f>
        <v/>
      </c>
      <c r="CY80">
        <f>IFERROR(INDEX('История отказов'!$AE$5:$AE$1204,SMALL($DH$2:$DH$1201,ROWS($CY$7:CY80))),"")</f>
        <v/>
      </c>
      <c r="DA80">
        <f>IFERROR(INDEX($DB$2:$DB$4801,SMALL($DL$2:$DL$4801,ROWS($DA$48:DA80))),"")</f>
        <v/>
      </c>
      <c r="DB80">
        <f>IF('История отказов'!AH83="","",'История отказов'!AH83)</f>
        <v/>
      </c>
      <c r="DC80">
        <f>IF('История отказов'!AE83="","",IF(AND(COUNTIF($CT$2:$CT$2,'История отказов'!AE83)=0,COUNTIFS('История отказов'!$F$5:F83,"ШГН",'История отказов'!$AE$5:AE83,'История отказов'!AE83)=1,'История отказов'!F83="ШГН"),79,""))</f>
        <v/>
      </c>
      <c r="DD80">
        <f>IF('История отказов'!AE83="","",IF(AND(COUNTIF($CU$2:$CU$3,'История отказов'!AE83)=0,COUNTIFS('История отказов'!$F$5:F83,"ЭЦН",'История отказов'!$AE$5:AE83,'История отказов'!AE83)=1,'История отказов'!F83="ЭЦН"),79,""))</f>
        <v/>
      </c>
      <c r="DE80">
        <f>IF('История отказов'!AE83="","",IF(AND(COUNTIF($CV$2:$CV$3,'История отказов'!AE83)=0,COUNTIFS('История отказов'!$F$5:F83,"ЭВН",'История отказов'!$AE$5:AE83,'История отказов'!AE83)=1,'История отказов'!F83="ЭВН"),79,""))</f>
        <v/>
      </c>
      <c r="DF80">
        <f>IF('История отказов'!AE83="","",IF(AND(COUNTIF($CX$2:$CX$2,'История отказов'!AE83)=0,COUNTIFS('История отказов'!$F$5:F83,"ШВН",'История отказов'!$AE$5:AE83,'История отказов'!AE83)=1,'История отказов'!F83="ШВН"),79,""))</f>
        <v/>
      </c>
      <c r="DG80">
        <f>IF('История отказов'!AE83="","",IF(AND(COUNTIF($CW$2:$CW$2,'История отказов'!AE83)=0,COUNTIFS('История отказов'!$F$5:F83,"НПУ-ВД",'История отказов'!$AE$5:AE83,'История отказов'!AE83)=1,'История отказов'!F83="НПУ-ВД"),79,""))</f>
        <v/>
      </c>
      <c r="DH80">
        <f>IF('История отказов'!AE83="","",IF(AND(COUNTIF($CY$2:$CY$6,'История отказов'!AE83)=0,COUNTIF('История отказов'!$AE$5:AE83,'История отказов'!AE83)=1),79,""))</f>
        <v/>
      </c>
      <c r="DI80">
        <f>IF('История отказов'!AK83="","",IF(AND(COUNTIF($CL$2:$CL$3,'История отказов'!AK83)=0,COUNTIF('История отказов'!$AK$5:AK83,'История отказов'!AK83)=1),79,""))</f>
        <v/>
      </c>
      <c r="DJ80">
        <f>IF('История отказов'!AU83="","",IF(AND(COUNTIF($CP$2:$CP$3,'История отказов'!AU83)=0,COUNTIF('История отказов'!$AU$5:AU83,'История отказов'!AU83)=1),79,""))</f>
        <v/>
      </c>
      <c r="DK80">
        <f>IF('История отказов'!AY83="","",IF(AND(COUNTIF($CR$2:$CR$2,'История отказов'!AY83)=0,COUNTIF('История отказов'!$AY$5:AY83,'История отказов'!AY83)=1),79,""))</f>
        <v/>
      </c>
      <c r="DL80">
        <f>IF(DB80="","",IF(AND(COUNTIF($DA$2:$DA$47,DB80)=0,COUNTIF($DB$2:DB80,DB80)=1),79,""))</f>
        <v/>
      </c>
    </row>
    <row r="81">
      <c r="A81" s="74" t="n"/>
      <c r="B81" s="75" t="n"/>
      <c r="C81" s="75" t="n"/>
      <c r="D81" s="75" t="n"/>
      <c r="E81" s="75" t="inlineStr">
        <is>
          <t>6.8 — Заводской брак НЭО [УЭЦН]</t>
        </is>
      </c>
      <c r="F81" s="76" t="n"/>
      <c r="H81" t="inlineStr">
        <is>
          <t>КР10-3 — Оснащение паро- и воздухонагнететельных скважин противопесочным оборудованием.</t>
        </is>
      </c>
      <c r="J81" s="62" t="inlineStr">
        <is>
          <t>6.8 — Заводской брак НЭО [УЭЦН]</t>
        </is>
      </c>
      <c r="K81" s="62" t="n"/>
      <c r="L81" s="62" t="n"/>
      <c r="M81" s="62" t="n"/>
      <c r="N81" s="62" t="n"/>
      <c r="Q81" t="inlineStr">
        <is>
          <t>Признак / предпосылка</t>
        </is>
      </c>
      <c r="R81" t="inlineStr">
        <is>
          <t>Повышенный вынос механических примесей</t>
        </is>
      </c>
      <c r="S81" t="inlineStr">
        <is>
          <t>Рабочий диагностический признак</t>
        </is>
      </c>
      <c r="T81" t="inlineStr">
        <is>
          <t>SLB / Новомет, механические примеси и приём</t>
        </is>
      </c>
      <c r="U81" t="inlineStr">
        <is>
          <t>https://www.slb.com/resource-library/case-study-with-navigation/al/reda-maximus-colombia-cs; https://www.novomet.ru/rus/products-and-services/artificial-lift/intake-and-gas/</t>
        </is>
      </c>
      <c r="V81" t="inlineStr">
        <is>
          <t>По установленному приёмному оборудованию</t>
        </is>
      </c>
      <c r="AX81" t="inlineStr">
        <is>
          <t>6.8 — Заводской брак НЭО [УЭЦН]</t>
        </is>
      </c>
      <c r="BA81" t="inlineStr">
        <is>
          <t>КР10-3 — Оснащение паро- и воздухонагнететельных скважин противопесочным оборудованием.</t>
        </is>
      </c>
      <c r="CJ81" t="inlineStr">
        <is>
          <t>6.8 — Заводской брак НЭО [УЭЦН]</t>
        </is>
      </c>
      <c r="CL81">
        <f>IFERROR(INDEX('История отказов'!$AK$5:$AK$1204,SMALL($DI$2:$DI$1201,ROWS($CL$4:CL81))),"")</f>
        <v/>
      </c>
      <c r="CP81">
        <f>IFERROR(INDEX('История отказов'!$AU$5:$AU$1204,SMALL($DJ$2:$DJ$1201,ROWS($CP$4:CP81))),"")</f>
        <v/>
      </c>
      <c r="CR81">
        <f>IFERROR(INDEX('История отказов'!$AY$5:$AY$1204,SMALL($DK$2:$DK$1201,ROWS($CR$3:CR81))),"")</f>
        <v/>
      </c>
      <c r="CT81">
        <f>IFERROR(INDEX('История отказов'!$AE$5:$AE$1204,SMALL($DC$2:$DC$1201,ROWS($CT$3:CT81))),"")</f>
        <v/>
      </c>
      <c r="CU81">
        <f>IFERROR(INDEX('История отказов'!$AE$5:$AE$1204,SMALL($DD$2:$DD$1201,ROWS($CU$4:CU81))),"")</f>
        <v/>
      </c>
      <c r="CV81">
        <f>IFERROR(INDEX('История отказов'!$AE$5:$AE$1204,SMALL($DE$2:$DE$1201,ROWS($CV$4:CV81))),"")</f>
        <v/>
      </c>
      <c r="CW81">
        <f>IFERROR(INDEX('История отказов'!$AE$5:$AE$1204,SMALL($DG$2:$DG$1201,ROWS($CW$3:CW81))),"")</f>
        <v/>
      </c>
      <c r="CX81">
        <f>IFERROR(INDEX('История отказов'!$AE$5:$AE$1204,SMALL($DF$2:$DF$1201,ROWS($CX$3:CX81))),"")</f>
        <v/>
      </c>
      <c r="CY81">
        <f>IFERROR(INDEX('История отказов'!$AE$5:$AE$1204,SMALL($DH$2:$DH$1201,ROWS($CY$7:CY81))),"")</f>
        <v/>
      </c>
      <c r="DA81">
        <f>IFERROR(INDEX($DB$2:$DB$4801,SMALL($DL$2:$DL$4801,ROWS($DA$48:DA81))),"")</f>
        <v/>
      </c>
      <c r="DB81">
        <f>IF('История отказов'!AH84="","",'История отказов'!AH84)</f>
        <v/>
      </c>
      <c r="DC81">
        <f>IF('История отказов'!AE84="","",IF(AND(COUNTIF($CT$2:$CT$2,'История отказов'!AE84)=0,COUNTIFS('История отказов'!$F$5:F84,"ШГН",'История отказов'!$AE$5:AE84,'История отказов'!AE84)=1,'История отказов'!F84="ШГН"),80,""))</f>
        <v/>
      </c>
      <c r="DD81">
        <f>IF('История отказов'!AE84="","",IF(AND(COUNTIF($CU$2:$CU$3,'История отказов'!AE84)=0,COUNTIFS('История отказов'!$F$5:F84,"ЭЦН",'История отказов'!$AE$5:AE84,'История отказов'!AE84)=1,'История отказов'!F84="ЭЦН"),80,""))</f>
        <v/>
      </c>
      <c r="DE81">
        <f>IF('История отказов'!AE84="","",IF(AND(COUNTIF($CV$2:$CV$3,'История отказов'!AE84)=0,COUNTIFS('История отказов'!$F$5:F84,"ЭВН",'История отказов'!$AE$5:AE84,'История отказов'!AE84)=1,'История отказов'!F84="ЭВН"),80,""))</f>
        <v/>
      </c>
      <c r="DF81">
        <f>IF('История отказов'!AE84="","",IF(AND(COUNTIF($CX$2:$CX$2,'История отказов'!AE84)=0,COUNTIFS('История отказов'!$F$5:F84,"ШВН",'История отказов'!$AE$5:AE84,'История отказов'!AE84)=1,'История отказов'!F84="ШВН"),80,""))</f>
        <v/>
      </c>
      <c r="DG81">
        <f>IF('История отказов'!AE84="","",IF(AND(COUNTIF($CW$2:$CW$2,'История отказов'!AE84)=0,COUNTIFS('История отказов'!$F$5:F84,"НПУ-ВД",'История отказов'!$AE$5:AE84,'История отказов'!AE84)=1,'История отказов'!F84="НПУ-ВД"),80,""))</f>
        <v/>
      </c>
      <c r="DH81">
        <f>IF('История отказов'!AE84="","",IF(AND(COUNTIF($CY$2:$CY$6,'История отказов'!AE84)=0,COUNTIF('История отказов'!$AE$5:AE84,'История отказов'!AE84)=1),80,""))</f>
        <v/>
      </c>
      <c r="DI81">
        <f>IF('История отказов'!AK84="","",IF(AND(COUNTIF($CL$2:$CL$3,'История отказов'!AK84)=0,COUNTIF('История отказов'!$AK$5:AK84,'История отказов'!AK84)=1),80,""))</f>
        <v/>
      </c>
      <c r="DJ81">
        <f>IF('История отказов'!AU84="","",IF(AND(COUNTIF($CP$2:$CP$3,'История отказов'!AU84)=0,COUNTIF('История отказов'!$AU$5:AU84,'История отказов'!AU84)=1),80,""))</f>
        <v/>
      </c>
      <c r="DK81">
        <f>IF('История отказов'!AY84="","",IF(AND(COUNTIF($CR$2:$CR$2,'История отказов'!AY84)=0,COUNTIF('История отказов'!$AY$5:AY84,'История отказов'!AY84)=1),80,""))</f>
        <v/>
      </c>
      <c r="DL81">
        <f>IF(DB81="","",IF(AND(COUNTIF($DA$2:$DA$47,DB81)=0,COUNTIF($DB$2:DB81,DB81)=1),80,""))</f>
        <v/>
      </c>
    </row>
    <row r="82">
      <c r="A82" s="74" t="n"/>
      <c r="B82" s="75" t="n"/>
      <c r="C82" s="75" t="n"/>
      <c r="D82" s="75" t="n"/>
      <c r="E82" s="75" t="inlineStr">
        <is>
          <t>6.9 — Авария [УЭЦН]</t>
        </is>
      </c>
      <c r="F82" s="76" t="n"/>
      <c r="H82" t="inlineStr">
        <is>
          <t>КР10-4 — Промывка в паро- и</t>
        </is>
      </c>
      <c r="J82" s="62" t="inlineStr">
        <is>
          <t>6.9 — Авария [УЭЦН]</t>
        </is>
      </c>
      <c r="K82" s="62" t="n"/>
      <c r="L82" s="62" t="n"/>
      <c r="M82" s="62" t="n"/>
      <c r="N82" s="62" t="n"/>
      <c r="Q82" t="inlineStr">
        <is>
          <t>Признак / предпосылка</t>
        </is>
      </c>
      <c r="R82" t="inlineStr">
        <is>
          <t>Подозрение на засорение приёма по снижению подачи</t>
        </is>
      </c>
      <c r="S82" t="inlineStr">
        <is>
          <t>Рабочий диагностический признак</t>
        </is>
      </c>
      <c r="T82" t="inlineStr">
        <is>
          <t>SLB / Новомет, механические примеси и приём</t>
        </is>
      </c>
      <c r="U82" t="inlineStr">
        <is>
          <t>https://www.slb.com/resource-library/case-study-with-navigation/al/reda-maximus-colombia-cs; https://www.novomet.ru/rus/products-and-services/artificial-lift/intake-and-gas/</t>
        </is>
      </c>
      <c r="V82" t="inlineStr">
        <is>
          <t>По установленному приёмному оборудованию</t>
        </is>
      </c>
      <c r="AX82" t="inlineStr">
        <is>
          <t>6.9 — Авария [УЭЦН]</t>
        </is>
      </c>
      <c r="BA82" t="inlineStr">
        <is>
          <t>КР10-4 — Промывка в паро- и</t>
        </is>
      </c>
      <c r="CJ82" t="inlineStr">
        <is>
          <t>6.9 — Авария [УЭЦН]</t>
        </is>
      </c>
      <c r="CL82">
        <f>IFERROR(INDEX('История отказов'!$AK$5:$AK$1204,SMALL($DI$2:$DI$1201,ROWS($CL$4:CL82))),"")</f>
        <v/>
      </c>
      <c r="CP82">
        <f>IFERROR(INDEX('История отказов'!$AU$5:$AU$1204,SMALL($DJ$2:$DJ$1201,ROWS($CP$4:CP82))),"")</f>
        <v/>
      </c>
      <c r="CR82">
        <f>IFERROR(INDEX('История отказов'!$AY$5:$AY$1204,SMALL($DK$2:$DK$1201,ROWS($CR$3:CR82))),"")</f>
        <v/>
      </c>
      <c r="CT82">
        <f>IFERROR(INDEX('История отказов'!$AE$5:$AE$1204,SMALL($DC$2:$DC$1201,ROWS($CT$3:CT82))),"")</f>
        <v/>
      </c>
      <c r="CU82">
        <f>IFERROR(INDEX('История отказов'!$AE$5:$AE$1204,SMALL($DD$2:$DD$1201,ROWS($CU$4:CU82))),"")</f>
        <v/>
      </c>
      <c r="CV82">
        <f>IFERROR(INDEX('История отказов'!$AE$5:$AE$1204,SMALL($DE$2:$DE$1201,ROWS($CV$4:CV82))),"")</f>
        <v/>
      </c>
      <c r="CW82">
        <f>IFERROR(INDEX('История отказов'!$AE$5:$AE$1204,SMALL($DG$2:$DG$1201,ROWS($CW$3:CW82))),"")</f>
        <v/>
      </c>
      <c r="CX82">
        <f>IFERROR(INDEX('История отказов'!$AE$5:$AE$1204,SMALL($DF$2:$DF$1201,ROWS($CX$3:CX82))),"")</f>
        <v/>
      </c>
      <c r="CY82">
        <f>IFERROR(INDEX('История отказов'!$AE$5:$AE$1204,SMALL($DH$2:$DH$1201,ROWS($CY$7:CY82))),"")</f>
        <v/>
      </c>
      <c r="DA82">
        <f>IFERROR(INDEX($DB$2:$DB$4801,SMALL($DL$2:$DL$4801,ROWS($DA$48:DA82))),"")</f>
        <v/>
      </c>
      <c r="DB82">
        <f>IF('История отказов'!AH85="","",'История отказов'!AH85)</f>
        <v/>
      </c>
      <c r="DC82">
        <f>IF('История отказов'!AE85="","",IF(AND(COUNTIF($CT$2:$CT$2,'История отказов'!AE85)=0,COUNTIFS('История отказов'!$F$5:F85,"ШГН",'История отказов'!$AE$5:AE85,'История отказов'!AE85)=1,'История отказов'!F85="ШГН"),81,""))</f>
        <v/>
      </c>
      <c r="DD82">
        <f>IF('История отказов'!AE85="","",IF(AND(COUNTIF($CU$2:$CU$3,'История отказов'!AE85)=0,COUNTIFS('История отказов'!$F$5:F85,"ЭЦН",'История отказов'!$AE$5:AE85,'История отказов'!AE85)=1,'История отказов'!F85="ЭЦН"),81,""))</f>
        <v/>
      </c>
      <c r="DE82">
        <f>IF('История отказов'!AE85="","",IF(AND(COUNTIF($CV$2:$CV$3,'История отказов'!AE85)=0,COUNTIFS('История отказов'!$F$5:F85,"ЭВН",'История отказов'!$AE$5:AE85,'История отказов'!AE85)=1,'История отказов'!F85="ЭВН"),81,""))</f>
        <v/>
      </c>
      <c r="DF82">
        <f>IF('История отказов'!AE85="","",IF(AND(COUNTIF($CX$2:$CX$2,'История отказов'!AE85)=0,COUNTIFS('История отказов'!$F$5:F85,"ШВН",'История отказов'!$AE$5:AE85,'История отказов'!AE85)=1,'История отказов'!F85="ШВН"),81,""))</f>
        <v/>
      </c>
      <c r="DG82">
        <f>IF('История отказов'!AE85="","",IF(AND(COUNTIF($CW$2:$CW$2,'История отказов'!AE85)=0,COUNTIFS('История отказов'!$F$5:F85,"НПУ-ВД",'История отказов'!$AE$5:AE85,'История отказов'!AE85)=1,'История отказов'!F85="НПУ-ВД"),81,""))</f>
        <v/>
      </c>
      <c r="DH82">
        <f>IF('История отказов'!AE85="","",IF(AND(COUNTIF($CY$2:$CY$6,'История отказов'!AE85)=0,COUNTIF('История отказов'!$AE$5:AE85,'История отказов'!AE85)=1),81,""))</f>
        <v/>
      </c>
      <c r="DI82">
        <f>IF('История отказов'!AK85="","",IF(AND(COUNTIF($CL$2:$CL$3,'История отказов'!AK85)=0,COUNTIF('История отказов'!$AK$5:AK85,'История отказов'!AK85)=1),81,""))</f>
        <v/>
      </c>
      <c r="DJ82">
        <f>IF('История отказов'!AU85="","",IF(AND(COUNTIF($CP$2:$CP$3,'История отказов'!AU85)=0,COUNTIF('История отказов'!$AU$5:AU85,'История отказов'!AU85)=1),81,""))</f>
        <v/>
      </c>
      <c r="DK82">
        <f>IF('История отказов'!AY85="","",IF(AND(COUNTIF($CR$2:$CR$2,'История отказов'!AY85)=0,COUNTIF('История отказов'!$AY$5:AY85,'История отказов'!AY85)=1),81,""))</f>
        <v/>
      </c>
      <c r="DL82">
        <f>IF(DB82="","",IF(AND(COUNTIF($DA$2:$DA$47,DB82)=0,COUNTIF($DB$2:DB82,DB82)=1),81,""))</f>
        <v/>
      </c>
    </row>
    <row r="83">
      <c r="A83" s="74" t="n"/>
      <c r="B83" s="75" t="n"/>
      <c r="C83" s="75" t="n"/>
      <c r="D83" s="75" t="n"/>
      <c r="E83" s="75" t="inlineStr">
        <is>
          <t>6.10 — Заводской брак опорного узла [УЭЦН]</t>
        </is>
      </c>
      <c r="F83" s="76" t="n"/>
      <c r="H83" t="inlineStr">
        <is>
          <t>КР10-5 — Прочие виды работ по восстановлению приемистости нагнетательной скважины.</t>
        </is>
      </c>
      <c r="J83" s="62" t="inlineStr">
        <is>
          <t>6.10 — Заводской брак опорного узла [УЭЦН]</t>
        </is>
      </c>
      <c r="K83" s="62" t="n"/>
      <c r="L83" s="62" t="n"/>
      <c r="M83" s="62" t="n"/>
      <c r="N83" s="62" t="n"/>
      <c r="Q83" t="inlineStr">
        <is>
          <t>Признак / предпосылка</t>
        </is>
      </c>
      <c r="R83" t="inlineStr">
        <is>
          <t>Подозрение на отложения по снижению подачи и росту температуры</t>
        </is>
      </c>
      <c r="S83" t="inlineStr">
        <is>
          <t>Рабочий диагностический признак</t>
        </is>
      </c>
      <c r="T83" t="inlineStr">
        <is>
          <t>SLB, случай солеотложений УЭЦН</t>
        </is>
      </c>
      <c r="U83" t="inlineStr">
        <is>
          <t>https://www.slb.com/resource-library/case-study-with-navigation/al/esp-scale-cs</t>
        </is>
      </c>
      <c r="V83" t="inlineStr">
        <is>
          <t>ЭЦН/ЭВН; гипотеза до дефектовки</t>
        </is>
      </c>
      <c r="AX83" t="inlineStr">
        <is>
          <t>6.10 — Заводской брак опорного узла [УЭЦН]</t>
        </is>
      </c>
      <c r="BA83" t="inlineStr">
        <is>
          <t>КР10-5 — Прочие виды работ по восстановлению приемистости нагнетательной скважины.</t>
        </is>
      </c>
      <c r="CJ83" t="inlineStr">
        <is>
          <t>6.10 — Заводской брак опорного узла [УЭЦН]</t>
        </is>
      </c>
      <c r="CL83">
        <f>IFERROR(INDEX('История отказов'!$AK$5:$AK$1204,SMALL($DI$2:$DI$1201,ROWS($CL$4:CL83))),"")</f>
        <v/>
      </c>
      <c r="CP83">
        <f>IFERROR(INDEX('История отказов'!$AU$5:$AU$1204,SMALL($DJ$2:$DJ$1201,ROWS($CP$4:CP83))),"")</f>
        <v/>
      </c>
      <c r="CR83">
        <f>IFERROR(INDEX('История отказов'!$AY$5:$AY$1204,SMALL($DK$2:$DK$1201,ROWS($CR$3:CR83))),"")</f>
        <v/>
      </c>
      <c r="CT83">
        <f>IFERROR(INDEX('История отказов'!$AE$5:$AE$1204,SMALL($DC$2:$DC$1201,ROWS($CT$3:CT83))),"")</f>
        <v/>
      </c>
      <c r="CU83">
        <f>IFERROR(INDEX('История отказов'!$AE$5:$AE$1204,SMALL($DD$2:$DD$1201,ROWS($CU$4:CU83))),"")</f>
        <v/>
      </c>
      <c r="CV83">
        <f>IFERROR(INDEX('История отказов'!$AE$5:$AE$1204,SMALL($DE$2:$DE$1201,ROWS($CV$4:CV83))),"")</f>
        <v/>
      </c>
      <c r="CW83">
        <f>IFERROR(INDEX('История отказов'!$AE$5:$AE$1204,SMALL($DG$2:$DG$1201,ROWS($CW$3:CW83))),"")</f>
        <v/>
      </c>
      <c r="CX83">
        <f>IFERROR(INDEX('История отказов'!$AE$5:$AE$1204,SMALL($DF$2:$DF$1201,ROWS($CX$3:CX83))),"")</f>
        <v/>
      </c>
      <c r="CY83">
        <f>IFERROR(INDEX('История отказов'!$AE$5:$AE$1204,SMALL($DH$2:$DH$1201,ROWS($CY$7:CY83))),"")</f>
        <v/>
      </c>
      <c r="DA83">
        <f>IFERROR(INDEX($DB$2:$DB$4801,SMALL($DL$2:$DL$4801,ROWS($DA$48:DA83))),"")</f>
        <v/>
      </c>
      <c r="DB83">
        <f>IF('История отказов'!AH86="","",'История отказов'!AH86)</f>
        <v/>
      </c>
      <c r="DC83">
        <f>IF('История отказов'!AE86="","",IF(AND(COUNTIF($CT$2:$CT$2,'История отказов'!AE86)=0,COUNTIFS('История отказов'!$F$5:F86,"ШГН",'История отказов'!$AE$5:AE86,'История отказов'!AE86)=1,'История отказов'!F86="ШГН"),82,""))</f>
        <v/>
      </c>
      <c r="DD83">
        <f>IF('История отказов'!AE86="","",IF(AND(COUNTIF($CU$2:$CU$3,'История отказов'!AE86)=0,COUNTIFS('История отказов'!$F$5:F86,"ЭЦН",'История отказов'!$AE$5:AE86,'История отказов'!AE86)=1,'История отказов'!F86="ЭЦН"),82,""))</f>
        <v/>
      </c>
      <c r="DE83">
        <f>IF('История отказов'!AE86="","",IF(AND(COUNTIF($CV$2:$CV$3,'История отказов'!AE86)=0,COUNTIFS('История отказов'!$F$5:F86,"ЭВН",'История отказов'!$AE$5:AE86,'История отказов'!AE86)=1,'История отказов'!F86="ЭВН"),82,""))</f>
        <v/>
      </c>
      <c r="DF83">
        <f>IF('История отказов'!AE86="","",IF(AND(COUNTIF($CX$2:$CX$2,'История отказов'!AE86)=0,COUNTIFS('История отказов'!$F$5:F86,"ШВН",'История отказов'!$AE$5:AE86,'История отказов'!AE86)=1,'История отказов'!F86="ШВН"),82,""))</f>
        <v/>
      </c>
      <c r="DG83">
        <f>IF('История отказов'!AE86="","",IF(AND(COUNTIF($CW$2:$CW$2,'История отказов'!AE86)=0,COUNTIFS('История отказов'!$F$5:F86,"НПУ-ВД",'История отказов'!$AE$5:AE86,'История отказов'!AE86)=1,'История отказов'!F86="НПУ-ВД"),82,""))</f>
        <v/>
      </c>
      <c r="DH83">
        <f>IF('История отказов'!AE86="","",IF(AND(COUNTIF($CY$2:$CY$6,'История отказов'!AE86)=0,COUNTIF('История отказов'!$AE$5:AE86,'История отказов'!AE86)=1),82,""))</f>
        <v/>
      </c>
      <c r="DI83">
        <f>IF('История отказов'!AK86="","",IF(AND(COUNTIF($CL$2:$CL$3,'История отказов'!AK86)=0,COUNTIF('История отказов'!$AK$5:AK86,'История отказов'!AK86)=1),82,""))</f>
        <v/>
      </c>
      <c r="DJ83">
        <f>IF('История отказов'!AU86="","",IF(AND(COUNTIF($CP$2:$CP$3,'История отказов'!AU86)=0,COUNTIF('История отказов'!$AU$5:AU86,'История отказов'!AU86)=1),82,""))</f>
        <v/>
      </c>
      <c r="DK83">
        <f>IF('История отказов'!AY86="","",IF(AND(COUNTIF($CR$2:$CR$2,'История отказов'!AY86)=0,COUNTIF('История отказов'!$AY$5:AY86,'История отказов'!AY86)=1),82,""))</f>
        <v/>
      </c>
      <c r="DL83">
        <f>IF(DB83="","",IF(AND(COUNTIF($DA$2:$DA$47,DB83)=0,COUNTIF($DB$2:DB83,DB83)=1),82,""))</f>
        <v/>
      </c>
    </row>
    <row r="84">
      <c r="A84" s="74" t="n"/>
      <c r="B84" s="75" t="n"/>
      <c r="C84" s="75" t="n"/>
      <c r="D84" s="75" t="n"/>
      <c r="E84" s="75" t="inlineStr">
        <is>
          <t>6.11 — Заводской брак ТМС [УЭЦН]</t>
        </is>
      </c>
      <c r="F84" s="76" t="n"/>
      <c r="H84" t="inlineStr">
        <is>
          <t>КР11-1 — Консервация скважины.</t>
        </is>
      </c>
      <c r="J84" s="62" t="inlineStr">
        <is>
          <t>6.11 — Заводской брак ТМС [УЭЦН]</t>
        </is>
      </c>
      <c r="K84" s="62" t="n"/>
      <c r="L84" s="62" t="n"/>
      <c r="M84" s="62" t="n"/>
      <c r="N84" s="62" t="n"/>
      <c r="Q84" t="inlineStr">
        <is>
          <t>Признак / предпосылка</t>
        </is>
      </c>
      <c r="R84" t="inlineStr">
        <is>
          <t>Рост нагрузок штанговой колонны</t>
        </is>
      </c>
      <c r="S84" t="inlineStr">
        <is>
          <t>Рабочий диагностический признак</t>
        </is>
      </c>
      <c r="T84" t="inlineStr">
        <is>
          <t>Weatherford, диагностика УШГН по динамограмме</t>
        </is>
      </c>
      <c r="U84" t="inlineStr">
        <is>
          <t>https://hs.weatherford.com/knowledge/srp-solution-logic</t>
        </is>
      </c>
      <c r="V84" t="inlineStr">
        <is>
          <t>ШГН; для ШВН по фактическому контролю</t>
        </is>
      </c>
      <c r="AX84" t="inlineStr">
        <is>
          <t>6.11 — Заводской брак ТМС [УЭЦН]</t>
        </is>
      </c>
      <c r="BA84" t="inlineStr">
        <is>
          <t>КР11-1 — Консервация скважины.</t>
        </is>
      </c>
      <c r="CJ84" t="inlineStr">
        <is>
          <t>6.11 — Заводской брак ТМС [УЭЦН]</t>
        </is>
      </c>
      <c r="CL84">
        <f>IFERROR(INDEX('История отказов'!$AK$5:$AK$1204,SMALL($DI$2:$DI$1201,ROWS($CL$4:CL84))),"")</f>
        <v/>
      </c>
      <c r="CP84">
        <f>IFERROR(INDEX('История отказов'!$AU$5:$AU$1204,SMALL($DJ$2:$DJ$1201,ROWS($CP$4:CP84))),"")</f>
        <v/>
      </c>
      <c r="CR84">
        <f>IFERROR(INDEX('История отказов'!$AY$5:$AY$1204,SMALL($DK$2:$DK$1201,ROWS($CR$3:CR84))),"")</f>
        <v/>
      </c>
      <c r="CT84">
        <f>IFERROR(INDEX('История отказов'!$AE$5:$AE$1204,SMALL($DC$2:$DC$1201,ROWS($CT$3:CT84))),"")</f>
        <v/>
      </c>
      <c r="CU84">
        <f>IFERROR(INDEX('История отказов'!$AE$5:$AE$1204,SMALL($DD$2:$DD$1201,ROWS($CU$4:CU84))),"")</f>
        <v/>
      </c>
      <c r="CV84">
        <f>IFERROR(INDEX('История отказов'!$AE$5:$AE$1204,SMALL($DE$2:$DE$1201,ROWS($CV$4:CV84))),"")</f>
        <v/>
      </c>
      <c r="CW84">
        <f>IFERROR(INDEX('История отказов'!$AE$5:$AE$1204,SMALL($DG$2:$DG$1201,ROWS($CW$3:CW84))),"")</f>
        <v/>
      </c>
      <c r="CX84">
        <f>IFERROR(INDEX('История отказов'!$AE$5:$AE$1204,SMALL($DF$2:$DF$1201,ROWS($CX$3:CX84))),"")</f>
        <v/>
      </c>
      <c r="CY84">
        <f>IFERROR(INDEX('История отказов'!$AE$5:$AE$1204,SMALL($DH$2:$DH$1201,ROWS($CY$7:CY84))),"")</f>
        <v/>
      </c>
      <c r="DA84">
        <f>IFERROR(INDEX($DB$2:$DB$4801,SMALL($DL$2:$DL$4801,ROWS($DA$48:DA84))),"")</f>
        <v/>
      </c>
      <c r="DB84">
        <f>IF('История отказов'!AH87="","",'История отказов'!AH87)</f>
        <v/>
      </c>
      <c r="DC84">
        <f>IF('История отказов'!AE87="","",IF(AND(COUNTIF($CT$2:$CT$2,'История отказов'!AE87)=0,COUNTIFS('История отказов'!$F$5:F87,"ШГН",'История отказов'!$AE$5:AE87,'История отказов'!AE87)=1,'История отказов'!F87="ШГН"),83,""))</f>
        <v/>
      </c>
      <c r="DD84">
        <f>IF('История отказов'!AE87="","",IF(AND(COUNTIF($CU$2:$CU$3,'История отказов'!AE87)=0,COUNTIFS('История отказов'!$F$5:F87,"ЭЦН",'История отказов'!$AE$5:AE87,'История отказов'!AE87)=1,'История отказов'!F87="ЭЦН"),83,""))</f>
        <v/>
      </c>
      <c r="DE84">
        <f>IF('История отказов'!AE87="","",IF(AND(COUNTIF($CV$2:$CV$3,'История отказов'!AE87)=0,COUNTIFS('История отказов'!$F$5:F87,"ЭВН",'История отказов'!$AE$5:AE87,'История отказов'!AE87)=1,'История отказов'!F87="ЭВН"),83,""))</f>
        <v/>
      </c>
      <c r="DF84">
        <f>IF('История отказов'!AE87="","",IF(AND(COUNTIF($CX$2:$CX$2,'История отказов'!AE87)=0,COUNTIFS('История отказов'!$F$5:F87,"ШВН",'История отказов'!$AE$5:AE87,'История отказов'!AE87)=1,'История отказов'!F87="ШВН"),83,""))</f>
        <v/>
      </c>
      <c r="DG84">
        <f>IF('История отказов'!AE87="","",IF(AND(COUNTIF($CW$2:$CW$2,'История отказов'!AE87)=0,COUNTIFS('История отказов'!$F$5:F87,"НПУ-ВД",'История отказов'!$AE$5:AE87,'История отказов'!AE87)=1,'История отказов'!F87="НПУ-ВД"),83,""))</f>
        <v/>
      </c>
      <c r="DH84">
        <f>IF('История отказов'!AE87="","",IF(AND(COUNTIF($CY$2:$CY$6,'История отказов'!AE87)=0,COUNTIF('История отказов'!$AE$5:AE87,'История отказов'!AE87)=1),83,""))</f>
        <v/>
      </c>
      <c r="DI84">
        <f>IF('История отказов'!AK87="","",IF(AND(COUNTIF($CL$2:$CL$3,'История отказов'!AK87)=0,COUNTIF('История отказов'!$AK$5:AK87,'История отказов'!AK87)=1),83,""))</f>
        <v/>
      </c>
      <c r="DJ84">
        <f>IF('История отказов'!AU87="","",IF(AND(COUNTIF($CP$2:$CP$3,'История отказов'!AU87)=0,COUNTIF('История отказов'!$AU$5:AU87,'История отказов'!AU87)=1),83,""))</f>
        <v/>
      </c>
      <c r="DK84">
        <f>IF('История отказов'!AY87="","",IF(AND(COUNTIF($CR$2:$CR$2,'История отказов'!AY87)=0,COUNTIF('История отказов'!$AY$5:AY87,'История отказов'!AY87)=1),83,""))</f>
        <v/>
      </c>
      <c r="DL84">
        <f>IF(DB84="","",IF(AND(COUNTIF($DA$2:$DA$47,DB84)=0,COUNTIF($DB$2:DB84,DB84)=1),83,""))</f>
        <v/>
      </c>
    </row>
    <row r="85">
      <c r="A85" s="74" t="n"/>
      <c r="B85" s="75" t="n"/>
      <c r="C85" s="75" t="n"/>
      <c r="D85" s="75" t="n"/>
      <c r="E85" s="75" t="inlineStr">
        <is>
          <t>7.1 — Эксперимент [УЭЦН]</t>
        </is>
      </c>
      <c r="F85" s="76" t="n"/>
      <c r="H85" t="inlineStr">
        <is>
          <t>КР11-2 — Расконсервация скважины.</t>
        </is>
      </c>
      <c r="J85" s="62" t="inlineStr">
        <is>
          <t>7.1 — Эксперимент [УЭЦН]</t>
        </is>
      </c>
      <c r="K85" s="62" t="n"/>
      <c r="L85" s="62" t="n"/>
      <c r="M85" s="62" t="n"/>
      <c r="N85" s="62" t="n"/>
      <c r="Q85" t="inlineStr">
        <is>
          <t>Признак / предпосылка</t>
        </is>
      </c>
      <c r="R85" t="inlineStr">
        <is>
          <t>Изменение динамограммы</t>
        </is>
      </c>
      <c r="S85" t="inlineStr">
        <is>
          <t>Рабочий диагностический признак</t>
        </is>
      </c>
      <c r="T85" t="inlineStr">
        <is>
          <t>Weatherford, диагностика УШГН по динамограмме</t>
        </is>
      </c>
      <c r="U85" t="inlineStr">
        <is>
          <t>https://hs.weatherford.com/knowledge/srp-solution-logic</t>
        </is>
      </c>
      <c r="V85" t="inlineStr">
        <is>
          <t>ШГН; для ШВН по фактическому контролю</t>
        </is>
      </c>
      <c r="AX85" t="inlineStr">
        <is>
          <t>7.1 — Эксперимент [УЭЦН]</t>
        </is>
      </c>
      <c r="BA85" t="inlineStr">
        <is>
          <t>КР11-2 — Расконсервация скважины.</t>
        </is>
      </c>
      <c r="CJ85" t="inlineStr">
        <is>
          <t>7.1 — Эксперимент [УЭЦН]</t>
        </is>
      </c>
      <c r="CL85">
        <f>IFERROR(INDEX('История отказов'!$AK$5:$AK$1204,SMALL($DI$2:$DI$1201,ROWS($CL$4:CL85))),"")</f>
        <v/>
      </c>
      <c r="CP85">
        <f>IFERROR(INDEX('История отказов'!$AU$5:$AU$1204,SMALL($DJ$2:$DJ$1201,ROWS($CP$4:CP85))),"")</f>
        <v/>
      </c>
      <c r="CR85">
        <f>IFERROR(INDEX('История отказов'!$AY$5:$AY$1204,SMALL($DK$2:$DK$1201,ROWS($CR$3:CR85))),"")</f>
        <v/>
      </c>
      <c r="CT85">
        <f>IFERROR(INDEX('История отказов'!$AE$5:$AE$1204,SMALL($DC$2:$DC$1201,ROWS($CT$3:CT85))),"")</f>
        <v/>
      </c>
      <c r="CU85">
        <f>IFERROR(INDEX('История отказов'!$AE$5:$AE$1204,SMALL($DD$2:$DD$1201,ROWS($CU$4:CU85))),"")</f>
        <v/>
      </c>
      <c r="CV85">
        <f>IFERROR(INDEX('История отказов'!$AE$5:$AE$1204,SMALL($DE$2:$DE$1201,ROWS($CV$4:CV85))),"")</f>
        <v/>
      </c>
      <c r="CW85">
        <f>IFERROR(INDEX('История отказов'!$AE$5:$AE$1204,SMALL($DG$2:$DG$1201,ROWS($CW$3:CW85))),"")</f>
        <v/>
      </c>
      <c r="CX85">
        <f>IFERROR(INDEX('История отказов'!$AE$5:$AE$1204,SMALL($DF$2:$DF$1201,ROWS($CX$3:CX85))),"")</f>
        <v/>
      </c>
      <c r="CY85">
        <f>IFERROR(INDEX('История отказов'!$AE$5:$AE$1204,SMALL($DH$2:$DH$1201,ROWS($CY$7:CY85))),"")</f>
        <v/>
      </c>
      <c r="DA85">
        <f>IFERROR(INDEX($DB$2:$DB$4801,SMALL($DL$2:$DL$4801,ROWS($DA$48:DA85))),"")</f>
        <v/>
      </c>
      <c r="DB85">
        <f>IF('История отказов'!AH88="","",'История отказов'!AH88)</f>
        <v/>
      </c>
      <c r="DC85">
        <f>IF('История отказов'!AE88="","",IF(AND(COUNTIF($CT$2:$CT$2,'История отказов'!AE88)=0,COUNTIFS('История отказов'!$F$5:F88,"ШГН",'История отказов'!$AE$5:AE88,'История отказов'!AE88)=1,'История отказов'!F88="ШГН"),84,""))</f>
        <v/>
      </c>
      <c r="DD85">
        <f>IF('История отказов'!AE88="","",IF(AND(COUNTIF($CU$2:$CU$3,'История отказов'!AE88)=0,COUNTIFS('История отказов'!$F$5:F88,"ЭЦН",'История отказов'!$AE$5:AE88,'История отказов'!AE88)=1,'История отказов'!F88="ЭЦН"),84,""))</f>
        <v/>
      </c>
      <c r="DE85">
        <f>IF('История отказов'!AE88="","",IF(AND(COUNTIF($CV$2:$CV$3,'История отказов'!AE88)=0,COUNTIFS('История отказов'!$F$5:F88,"ЭВН",'История отказов'!$AE$5:AE88,'История отказов'!AE88)=1,'История отказов'!F88="ЭВН"),84,""))</f>
        <v/>
      </c>
      <c r="DF85">
        <f>IF('История отказов'!AE88="","",IF(AND(COUNTIF($CX$2:$CX$2,'История отказов'!AE88)=0,COUNTIFS('История отказов'!$F$5:F88,"ШВН",'История отказов'!$AE$5:AE88,'История отказов'!AE88)=1,'История отказов'!F88="ШВН"),84,""))</f>
        <v/>
      </c>
      <c r="DG85">
        <f>IF('История отказов'!AE88="","",IF(AND(COUNTIF($CW$2:$CW$2,'История отказов'!AE88)=0,COUNTIFS('История отказов'!$F$5:F88,"НПУ-ВД",'История отказов'!$AE$5:AE88,'История отказов'!AE88)=1,'История отказов'!F88="НПУ-ВД"),84,""))</f>
        <v/>
      </c>
      <c r="DH85">
        <f>IF('История отказов'!AE88="","",IF(AND(COUNTIF($CY$2:$CY$6,'История отказов'!AE88)=0,COUNTIF('История отказов'!$AE$5:AE88,'История отказов'!AE88)=1),84,""))</f>
        <v/>
      </c>
      <c r="DI85">
        <f>IF('История отказов'!AK88="","",IF(AND(COUNTIF($CL$2:$CL$3,'История отказов'!AK88)=0,COUNTIF('История отказов'!$AK$5:AK88,'История отказов'!AK88)=1),84,""))</f>
        <v/>
      </c>
      <c r="DJ85">
        <f>IF('История отказов'!AU88="","",IF(AND(COUNTIF($CP$2:$CP$3,'История отказов'!AU88)=0,COUNTIF('История отказов'!$AU$5:AU88,'История отказов'!AU88)=1),84,""))</f>
        <v/>
      </c>
      <c r="DK85">
        <f>IF('История отказов'!AY88="","",IF(AND(COUNTIF($CR$2:$CR$2,'История отказов'!AY88)=0,COUNTIF('История отказов'!$AY$5:AY88,'История отказов'!AY88)=1),84,""))</f>
        <v/>
      </c>
      <c r="DL85">
        <f>IF(DB85="","",IF(AND(COUNTIF($DA$2:$DA$47,DB85)=0,COUNTIF($DB$2:DB85,DB85)=1),84,""))</f>
        <v/>
      </c>
    </row>
    <row r="86">
      <c r="A86" s="74" t="n"/>
      <c r="B86" s="75" t="n"/>
      <c r="C86" s="75" t="n"/>
      <c r="D86" s="75" t="n"/>
      <c r="E86" s="75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F86" s="76" t="n"/>
      <c r="H86" t="inlineStr">
        <is>
          <t>КР12-1 — Ликвидация скважины без наращивания цементного кольца за эксплуатационной колонной.</t>
        </is>
      </c>
      <c r="J86" s="62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K86" s="62" t="n"/>
      <c r="L86" s="62" t="n"/>
      <c r="M86" s="62" t="n"/>
      <c r="N86" s="62" t="n"/>
      <c r="Q86" t="inlineStr">
        <is>
          <t>Признак / предпосылка</t>
        </is>
      </c>
      <c r="R86" t="inlineStr">
        <is>
          <t>Подозрение на обрыв штанг по динамограмме</t>
        </is>
      </c>
      <c r="S86" t="inlineStr">
        <is>
          <t>Рабочий диагностический признак</t>
        </is>
      </c>
      <c r="T86" t="inlineStr">
        <is>
          <t>Weatherford, диагностика УШГН по динамограмме</t>
        </is>
      </c>
      <c r="U86" t="inlineStr">
        <is>
          <t>https://hs.weatherford.com/knowledge/srp-solution-logic</t>
        </is>
      </c>
      <c r="V86" t="inlineStr">
        <is>
          <t>ШГН; для ШВН по фактическому контролю</t>
        </is>
      </c>
      <c r="AX86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BA86" t="inlineStr">
        <is>
          <t>КР12-1 — Ликвидация скважины без наращивания цементного кольца за эксплуатационной колонной.</t>
        </is>
      </c>
      <c r="CJ86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CL86">
        <f>IFERROR(INDEX('История отказов'!$AK$5:$AK$1204,SMALL($DI$2:$DI$1201,ROWS($CL$4:CL86))),"")</f>
        <v/>
      </c>
      <c r="CP86">
        <f>IFERROR(INDEX('История отказов'!$AU$5:$AU$1204,SMALL($DJ$2:$DJ$1201,ROWS($CP$4:CP86))),"")</f>
        <v/>
      </c>
      <c r="CR86">
        <f>IFERROR(INDEX('История отказов'!$AY$5:$AY$1204,SMALL($DK$2:$DK$1201,ROWS($CR$3:CR86))),"")</f>
        <v/>
      </c>
      <c r="CT86">
        <f>IFERROR(INDEX('История отказов'!$AE$5:$AE$1204,SMALL($DC$2:$DC$1201,ROWS($CT$3:CT86))),"")</f>
        <v/>
      </c>
      <c r="CU86">
        <f>IFERROR(INDEX('История отказов'!$AE$5:$AE$1204,SMALL($DD$2:$DD$1201,ROWS($CU$4:CU86))),"")</f>
        <v/>
      </c>
      <c r="CV86">
        <f>IFERROR(INDEX('История отказов'!$AE$5:$AE$1204,SMALL($DE$2:$DE$1201,ROWS($CV$4:CV86))),"")</f>
        <v/>
      </c>
      <c r="CW86">
        <f>IFERROR(INDEX('История отказов'!$AE$5:$AE$1204,SMALL($DG$2:$DG$1201,ROWS($CW$3:CW86))),"")</f>
        <v/>
      </c>
      <c r="CX86">
        <f>IFERROR(INDEX('История отказов'!$AE$5:$AE$1204,SMALL($DF$2:$DF$1201,ROWS($CX$3:CX86))),"")</f>
        <v/>
      </c>
      <c r="CY86">
        <f>IFERROR(INDEX('История отказов'!$AE$5:$AE$1204,SMALL($DH$2:$DH$1201,ROWS($CY$7:CY86))),"")</f>
        <v/>
      </c>
      <c r="DA86">
        <f>IFERROR(INDEX($DB$2:$DB$4801,SMALL($DL$2:$DL$4801,ROWS($DA$48:DA86))),"")</f>
        <v/>
      </c>
      <c r="DB86">
        <f>IF('История отказов'!AH89="","",'История отказов'!AH89)</f>
        <v/>
      </c>
      <c r="DC86">
        <f>IF('История отказов'!AE89="","",IF(AND(COUNTIF($CT$2:$CT$2,'История отказов'!AE89)=0,COUNTIFS('История отказов'!$F$5:F89,"ШГН",'История отказов'!$AE$5:AE89,'История отказов'!AE89)=1,'История отказов'!F89="ШГН"),85,""))</f>
        <v/>
      </c>
      <c r="DD86">
        <f>IF('История отказов'!AE89="","",IF(AND(COUNTIF($CU$2:$CU$3,'История отказов'!AE89)=0,COUNTIFS('История отказов'!$F$5:F89,"ЭЦН",'История отказов'!$AE$5:AE89,'История отказов'!AE89)=1,'История отказов'!F89="ЭЦН"),85,""))</f>
        <v/>
      </c>
      <c r="DE86">
        <f>IF('История отказов'!AE89="","",IF(AND(COUNTIF($CV$2:$CV$3,'История отказов'!AE89)=0,COUNTIFS('История отказов'!$F$5:F89,"ЭВН",'История отказов'!$AE$5:AE89,'История отказов'!AE89)=1,'История отказов'!F89="ЭВН"),85,""))</f>
        <v/>
      </c>
      <c r="DF86">
        <f>IF('История отказов'!AE89="","",IF(AND(COUNTIF($CX$2:$CX$2,'История отказов'!AE89)=0,COUNTIFS('История отказов'!$F$5:F89,"ШВН",'История отказов'!$AE$5:AE89,'История отказов'!AE89)=1,'История отказов'!F89="ШВН"),85,""))</f>
        <v/>
      </c>
      <c r="DG86">
        <f>IF('История отказов'!AE89="","",IF(AND(COUNTIF($CW$2:$CW$2,'История отказов'!AE89)=0,COUNTIFS('История отказов'!$F$5:F89,"НПУ-ВД",'История отказов'!$AE$5:AE89,'История отказов'!AE89)=1,'История отказов'!F89="НПУ-ВД"),85,""))</f>
        <v/>
      </c>
      <c r="DH86">
        <f>IF('История отказов'!AE89="","",IF(AND(COUNTIF($CY$2:$CY$6,'История отказов'!AE89)=0,COUNTIF('История отказов'!$AE$5:AE89,'История отказов'!AE89)=1),85,""))</f>
        <v/>
      </c>
      <c r="DI86">
        <f>IF('История отказов'!AK89="","",IF(AND(COUNTIF($CL$2:$CL$3,'История отказов'!AK89)=0,COUNTIF('История отказов'!$AK$5:AK89,'История отказов'!AK89)=1),85,""))</f>
        <v/>
      </c>
      <c r="DJ86">
        <f>IF('История отказов'!AU89="","",IF(AND(COUNTIF($CP$2:$CP$3,'История отказов'!AU89)=0,COUNTIF('История отказов'!$AU$5:AU89,'История отказов'!AU89)=1),85,""))</f>
        <v/>
      </c>
      <c r="DK86">
        <f>IF('История отказов'!AY89="","",IF(AND(COUNTIF($CR$2:$CR$2,'История отказов'!AY89)=0,COUNTIF('История отказов'!$AY$5:AY89,'История отказов'!AY89)=1),85,""))</f>
        <v/>
      </c>
      <c r="DL86">
        <f>IF(DB86="","",IF(AND(COUNTIF($DA$2:$DA$47,DB86)=0,COUNTIF($DB$2:DB86,DB86)=1),85,""))</f>
        <v/>
      </c>
    </row>
    <row r="87">
      <c r="A87" s="74" t="n"/>
      <c r="B87" s="75" t="n"/>
      <c r="C87" s="75" t="n"/>
      <c r="D87" s="75" t="n"/>
      <c r="E87" s="75" t="inlineStr">
        <is>
          <t>7.3 — Отказ, связанный с пакерным (или другим) оборудованием [УЭЦН]</t>
        </is>
      </c>
      <c r="F87" s="76" t="n"/>
      <c r="H87" t="inlineStr">
        <is>
          <t>КР13-1 — Подготовительные работы к ГРП (ПР).</t>
        </is>
      </c>
      <c r="J87" s="62" t="inlineStr">
        <is>
          <t>7.3 — Отказ, связанный с пакерным (или другим) оборудованием [УЭЦН]</t>
        </is>
      </c>
      <c r="K87" s="62" t="n"/>
      <c r="L87" s="62" t="n"/>
      <c r="M87" s="62" t="n"/>
      <c r="N87" s="62" t="n"/>
      <c r="Q87" t="inlineStr">
        <is>
          <t>Признак / предпосылка</t>
        </is>
      </c>
      <c r="R87" t="inlineStr">
        <is>
          <t>Подозрение на негерметичность НКТ</t>
        </is>
      </c>
      <c r="S87" t="inlineStr">
        <is>
          <t>Рабочий диагностический признак</t>
        </is>
      </c>
      <c r="T87" t="inlineStr">
        <is>
          <t>Weatherford, диагностика утечек по параметрам УЭЦН</t>
        </is>
      </c>
      <c r="U87" t="inlineStr">
        <is>
          <t>https://hs.weatherford.com/knowledge/what-is-the-electrical-submersible-pump-monitoring-package-in-petrovisor</t>
        </is>
      </c>
      <c r="V87" t="inlineStr">
        <is>
          <t>По фактическим измерениям</t>
        </is>
      </c>
      <c r="AX87" t="inlineStr">
        <is>
          <t>7.3 — Отказ, связанный с пакерным (или другим) оборудованием [УЭЦН]</t>
        </is>
      </c>
      <c r="BA87" t="inlineStr">
        <is>
          <t>КР13-1 — Подготовительные работы к ГРП (ПР).</t>
        </is>
      </c>
      <c r="CJ87" t="inlineStr">
        <is>
          <t>7.3 — Отказ, связанный с пакерным (или другим) оборудованием [УЭЦН]</t>
        </is>
      </c>
      <c r="CL87">
        <f>IFERROR(INDEX('История отказов'!$AK$5:$AK$1204,SMALL($DI$2:$DI$1201,ROWS($CL$4:CL87))),"")</f>
        <v/>
      </c>
      <c r="CP87">
        <f>IFERROR(INDEX('История отказов'!$AU$5:$AU$1204,SMALL($DJ$2:$DJ$1201,ROWS($CP$4:CP87))),"")</f>
        <v/>
      </c>
      <c r="CR87">
        <f>IFERROR(INDEX('История отказов'!$AY$5:$AY$1204,SMALL($DK$2:$DK$1201,ROWS($CR$3:CR87))),"")</f>
        <v/>
      </c>
      <c r="CT87">
        <f>IFERROR(INDEX('История отказов'!$AE$5:$AE$1204,SMALL($DC$2:$DC$1201,ROWS($CT$3:CT87))),"")</f>
        <v/>
      </c>
      <c r="CU87">
        <f>IFERROR(INDEX('История отказов'!$AE$5:$AE$1204,SMALL($DD$2:$DD$1201,ROWS($CU$4:CU87))),"")</f>
        <v/>
      </c>
      <c r="CV87">
        <f>IFERROR(INDEX('История отказов'!$AE$5:$AE$1204,SMALL($DE$2:$DE$1201,ROWS($CV$4:CV87))),"")</f>
        <v/>
      </c>
      <c r="CW87">
        <f>IFERROR(INDEX('История отказов'!$AE$5:$AE$1204,SMALL($DG$2:$DG$1201,ROWS($CW$3:CW87))),"")</f>
        <v/>
      </c>
      <c r="CX87">
        <f>IFERROR(INDEX('История отказов'!$AE$5:$AE$1204,SMALL($DF$2:$DF$1201,ROWS($CX$3:CX87))),"")</f>
        <v/>
      </c>
      <c r="CY87">
        <f>IFERROR(INDEX('История отказов'!$AE$5:$AE$1204,SMALL($DH$2:$DH$1201,ROWS($CY$7:CY87))),"")</f>
        <v/>
      </c>
      <c r="DA87">
        <f>IFERROR(INDEX($DB$2:$DB$4801,SMALL($DL$2:$DL$4801,ROWS($DA$48:DA87))),"")</f>
        <v/>
      </c>
      <c r="DB87">
        <f>IF('История отказов'!AH90="","",'История отказов'!AH90)</f>
        <v/>
      </c>
      <c r="DC87">
        <f>IF('История отказов'!AE90="","",IF(AND(COUNTIF($CT$2:$CT$2,'История отказов'!AE90)=0,COUNTIFS('История отказов'!$F$5:F90,"ШГН",'История отказов'!$AE$5:AE90,'История отказов'!AE90)=1,'История отказов'!F90="ШГН"),86,""))</f>
        <v/>
      </c>
      <c r="DD87">
        <f>IF('История отказов'!AE90="","",IF(AND(COUNTIF($CU$2:$CU$3,'История отказов'!AE90)=0,COUNTIFS('История отказов'!$F$5:F90,"ЭЦН",'История отказов'!$AE$5:AE90,'История отказов'!AE90)=1,'История отказов'!F90="ЭЦН"),86,""))</f>
        <v/>
      </c>
      <c r="DE87">
        <f>IF('История отказов'!AE90="","",IF(AND(COUNTIF($CV$2:$CV$3,'История отказов'!AE90)=0,COUNTIFS('История отказов'!$F$5:F90,"ЭВН",'История отказов'!$AE$5:AE90,'История отказов'!AE90)=1,'История отказов'!F90="ЭВН"),86,""))</f>
        <v/>
      </c>
      <c r="DF87">
        <f>IF('История отказов'!AE90="","",IF(AND(COUNTIF($CX$2:$CX$2,'История отказов'!AE90)=0,COUNTIFS('История отказов'!$F$5:F90,"ШВН",'История отказов'!$AE$5:AE90,'История отказов'!AE90)=1,'История отказов'!F90="ШВН"),86,""))</f>
        <v/>
      </c>
      <c r="DG87">
        <f>IF('История отказов'!AE90="","",IF(AND(COUNTIF($CW$2:$CW$2,'История отказов'!AE90)=0,COUNTIFS('История отказов'!$F$5:F90,"НПУ-ВД",'История отказов'!$AE$5:AE90,'История отказов'!AE90)=1,'История отказов'!F90="НПУ-ВД"),86,""))</f>
        <v/>
      </c>
      <c r="DH87">
        <f>IF('История отказов'!AE90="","",IF(AND(COUNTIF($CY$2:$CY$6,'История отказов'!AE90)=0,COUNTIF('История отказов'!$AE$5:AE90,'История отказов'!AE90)=1),86,""))</f>
        <v/>
      </c>
      <c r="DI87">
        <f>IF('История отказов'!AK90="","",IF(AND(COUNTIF($CL$2:$CL$3,'История отказов'!AK90)=0,COUNTIF('История отказов'!$AK$5:AK90,'История отказов'!AK90)=1),86,""))</f>
        <v/>
      </c>
      <c r="DJ87">
        <f>IF('История отказов'!AU90="","",IF(AND(COUNTIF($CP$2:$CP$3,'История отказов'!AU90)=0,COUNTIF('История отказов'!$AU$5:AU90,'История отказов'!AU90)=1),86,""))</f>
        <v/>
      </c>
      <c r="DK87">
        <f>IF('История отказов'!AY90="","",IF(AND(COUNTIF($CR$2:$CR$2,'История отказов'!AY90)=0,COUNTIF('История отказов'!$AY$5:AY90,'История отказов'!AY90)=1),86,""))</f>
        <v/>
      </c>
      <c r="DL87">
        <f>IF(DB87="","",IF(AND(COUNTIF($DA$2:$DA$47,DB87)=0,COUNTIF($DB$2:DB87,DB87)=1),86,""))</f>
        <v/>
      </c>
    </row>
    <row r="88">
      <c r="A88" s="74" t="n"/>
      <c r="B88" s="75" t="n"/>
      <c r="C88" s="75" t="n"/>
      <c r="D88" s="75" t="n"/>
      <c r="E88" s="75" t="inlineStr">
        <is>
          <t>7.4 — Авария [УЭЦН]</t>
        </is>
      </c>
      <c r="F88" s="76" t="n"/>
      <c r="H88" t="inlineStr">
        <is>
          <t>КР13-2 — Освоение скважины после ГРП (ЗР).</t>
        </is>
      </c>
      <c r="J88" s="62" t="inlineStr">
        <is>
          <t>7.4 — Авария [УЭЦН]</t>
        </is>
      </c>
      <c r="K88" s="62" t="n"/>
      <c r="L88" s="62" t="n"/>
      <c r="M88" s="62" t="n"/>
      <c r="N88" s="62" t="n"/>
      <c r="Q88" t="inlineStr">
        <is>
          <t>Признак / предпосылка</t>
        </is>
      </c>
      <c r="R88" t="inlineStr">
        <is>
          <t>Другое — описать в комментарии</t>
        </is>
      </c>
      <c r="S88" t="inlineStr">
        <is>
          <t>Рабочий диагностический признак</t>
        </is>
      </c>
      <c r="T88" t="inlineStr">
        <is>
          <t>Рабочий резерв реестра</t>
        </is>
      </c>
      <c r="U88" t="inlineStr">
        <is>
          <t>Указать измерение/наблюдение в комментарии</t>
        </is>
      </c>
      <c r="V88" t="inlineStr">
        <is>
          <t>Все типы</t>
        </is>
      </c>
      <c r="AX88" t="inlineStr">
        <is>
          <t>7.4 — Авария [УЭЦН]</t>
        </is>
      </c>
      <c r="BA88" t="inlineStr">
        <is>
          <t>КР13-2 — Освоение скважины после ГРП (ЗР).</t>
        </is>
      </c>
      <c r="CJ88" t="inlineStr">
        <is>
          <t>7.4 — Авария [УЭЦН]</t>
        </is>
      </c>
      <c r="CL88">
        <f>IFERROR(INDEX('История отказов'!$AK$5:$AK$1204,SMALL($DI$2:$DI$1201,ROWS($CL$4:CL88))),"")</f>
        <v/>
      </c>
      <c r="CP88">
        <f>IFERROR(INDEX('История отказов'!$AU$5:$AU$1204,SMALL($DJ$2:$DJ$1201,ROWS($CP$4:CP88))),"")</f>
        <v/>
      </c>
      <c r="CR88">
        <f>IFERROR(INDEX('История отказов'!$AY$5:$AY$1204,SMALL($DK$2:$DK$1201,ROWS($CR$3:CR88))),"")</f>
        <v/>
      </c>
      <c r="CT88">
        <f>IFERROR(INDEX('История отказов'!$AE$5:$AE$1204,SMALL($DC$2:$DC$1201,ROWS($CT$3:CT88))),"")</f>
        <v/>
      </c>
      <c r="CU88">
        <f>IFERROR(INDEX('История отказов'!$AE$5:$AE$1204,SMALL($DD$2:$DD$1201,ROWS($CU$4:CU88))),"")</f>
        <v/>
      </c>
      <c r="CV88">
        <f>IFERROR(INDEX('История отказов'!$AE$5:$AE$1204,SMALL($DE$2:$DE$1201,ROWS($CV$4:CV88))),"")</f>
        <v/>
      </c>
      <c r="CW88">
        <f>IFERROR(INDEX('История отказов'!$AE$5:$AE$1204,SMALL($DG$2:$DG$1201,ROWS($CW$3:CW88))),"")</f>
        <v/>
      </c>
      <c r="CX88">
        <f>IFERROR(INDEX('История отказов'!$AE$5:$AE$1204,SMALL($DF$2:$DF$1201,ROWS($CX$3:CX88))),"")</f>
        <v/>
      </c>
      <c r="CY88">
        <f>IFERROR(INDEX('История отказов'!$AE$5:$AE$1204,SMALL($DH$2:$DH$1201,ROWS($CY$7:CY88))),"")</f>
        <v/>
      </c>
      <c r="DA88">
        <f>IFERROR(INDEX($DB$2:$DB$4801,SMALL($DL$2:$DL$4801,ROWS($DA$48:DA88))),"")</f>
        <v/>
      </c>
      <c r="DB88">
        <f>IF('История отказов'!AH91="","",'История отказов'!AH91)</f>
        <v/>
      </c>
      <c r="DC88">
        <f>IF('История отказов'!AE91="","",IF(AND(COUNTIF($CT$2:$CT$2,'История отказов'!AE91)=0,COUNTIFS('История отказов'!$F$5:F91,"ШГН",'История отказов'!$AE$5:AE91,'История отказов'!AE91)=1,'История отказов'!F91="ШГН"),87,""))</f>
        <v/>
      </c>
      <c r="DD88">
        <f>IF('История отказов'!AE91="","",IF(AND(COUNTIF($CU$2:$CU$3,'История отказов'!AE91)=0,COUNTIFS('История отказов'!$F$5:F91,"ЭЦН",'История отказов'!$AE$5:AE91,'История отказов'!AE91)=1,'История отказов'!F91="ЭЦН"),87,""))</f>
        <v/>
      </c>
      <c r="DE88">
        <f>IF('История отказов'!AE91="","",IF(AND(COUNTIF($CV$2:$CV$3,'История отказов'!AE91)=0,COUNTIFS('История отказов'!$F$5:F91,"ЭВН",'История отказов'!$AE$5:AE91,'История отказов'!AE91)=1,'История отказов'!F91="ЭВН"),87,""))</f>
        <v/>
      </c>
      <c r="DF88">
        <f>IF('История отказов'!AE91="","",IF(AND(COUNTIF($CX$2:$CX$2,'История отказов'!AE91)=0,COUNTIFS('История отказов'!$F$5:F91,"ШВН",'История отказов'!$AE$5:AE91,'История отказов'!AE91)=1,'История отказов'!F91="ШВН"),87,""))</f>
        <v/>
      </c>
      <c r="DG88">
        <f>IF('История отказов'!AE91="","",IF(AND(COUNTIF($CW$2:$CW$2,'История отказов'!AE91)=0,COUNTIFS('История отказов'!$F$5:F91,"НПУ-ВД",'История отказов'!$AE$5:AE91,'История отказов'!AE91)=1,'История отказов'!F91="НПУ-ВД"),87,""))</f>
        <v/>
      </c>
      <c r="DH88">
        <f>IF('История отказов'!AE91="","",IF(AND(COUNTIF($CY$2:$CY$6,'История отказов'!AE91)=0,COUNTIF('История отказов'!$AE$5:AE91,'История отказов'!AE91)=1),87,""))</f>
        <v/>
      </c>
      <c r="DI88">
        <f>IF('История отказов'!AK91="","",IF(AND(COUNTIF($CL$2:$CL$3,'История отказов'!AK91)=0,COUNTIF('История отказов'!$AK$5:AK91,'История отказов'!AK91)=1),87,""))</f>
        <v/>
      </c>
      <c r="DJ88">
        <f>IF('История отказов'!AU91="","",IF(AND(COUNTIF($CP$2:$CP$3,'История отказов'!AU91)=0,COUNTIF('История отказов'!$AU$5:AU91,'История отказов'!AU91)=1),87,""))</f>
        <v/>
      </c>
      <c r="DK88">
        <f>IF('История отказов'!AY91="","",IF(AND(COUNTIF($CR$2:$CR$2,'История отказов'!AY91)=0,COUNTIF('История отказов'!$AY$5:AY91,'История отказов'!AY91)=1),87,""))</f>
        <v/>
      </c>
      <c r="DL88">
        <f>IF(DB88="","",IF(AND(COUNTIF($DA$2:$DA$47,DB88)=0,COUNTIF($DB$2:DB88,DB88)=1),87,""))</f>
        <v/>
      </c>
    </row>
    <row r="89">
      <c r="A89" s="74" t="n"/>
      <c r="B89" s="75" t="n"/>
      <c r="C89" s="75" t="n"/>
      <c r="D89" s="75" t="n"/>
      <c r="E89" s="75" t="inlineStr">
        <is>
          <t>7.5 — Прочие [УЭЦН]</t>
        </is>
      </c>
      <c r="F89" s="76" t="n"/>
      <c r="H89" t="inlineStr">
        <is>
          <t>КР13-3 — Подготовка скважины к забуриванию дополнительного (ых) ствола (ов).</t>
        </is>
      </c>
      <c r="J89" s="62" t="inlineStr">
        <is>
          <t>7.5 — Прочие [УЭЦН]</t>
        </is>
      </c>
      <c r="K89" s="62" t="n"/>
      <c r="L89" s="62" t="n"/>
      <c r="M89" s="62" t="n"/>
      <c r="N89" s="62" t="n"/>
      <c r="Q89" t="inlineStr">
        <is>
          <t>Отказавший узел</t>
        </is>
      </c>
      <c r="R89" t="inlineStr">
        <is>
          <t>Насос</t>
        </is>
      </c>
      <c r="S89" t="inlineStr">
        <is>
          <t>Рабочая номенклатура</t>
        </is>
      </c>
      <c r="T89" t="inlineStr">
        <is>
          <t>Состав системы по паспорту и акту дефектовки</t>
        </is>
      </c>
      <c r="U89" t="inlineStr">
        <is>
          <t>https://www.slb.com/resource-library/oilfield-review/defining-series/defining-esp</t>
        </is>
      </c>
      <c r="V89" t="inlineStr">
        <is>
          <t>Проверить фактическую комплектацию</t>
        </is>
      </c>
      <c r="AX89" t="inlineStr">
        <is>
          <t>7.5 — Прочие [УЭЦН]</t>
        </is>
      </c>
      <c r="BA89" t="inlineStr">
        <is>
          <t>КР13-3 — Подготовка скважины к забуриванию дополнительного (ых) ствола (ов).</t>
        </is>
      </c>
      <c r="CJ89" t="inlineStr">
        <is>
          <t>7.5 — Прочие [УЭЦН]</t>
        </is>
      </c>
      <c r="CL89">
        <f>IFERROR(INDEX('История отказов'!$AK$5:$AK$1204,SMALL($DI$2:$DI$1201,ROWS($CL$4:CL89))),"")</f>
        <v/>
      </c>
      <c r="CP89">
        <f>IFERROR(INDEX('История отказов'!$AU$5:$AU$1204,SMALL($DJ$2:$DJ$1201,ROWS($CP$4:CP89))),"")</f>
        <v/>
      </c>
      <c r="CR89">
        <f>IFERROR(INDEX('История отказов'!$AY$5:$AY$1204,SMALL($DK$2:$DK$1201,ROWS($CR$3:CR89))),"")</f>
        <v/>
      </c>
      <c r="CT89">
        <f>IFERROR(INDEX('История отказов'!$AE$5:$AE$1204,SMALL($DC$2:$DC$1201,ROWS($CT$3:CT89))),"")</f>
        <v/>
      </c>
      <c r="CU89">
        <f>IFERROR(INDEX('История отказов'!$AE$5:$AE$1204,SMALL($DD$2:$DD$1201,ROWS($CU$4:CU89))),"")</f>
        <v/>
      </c>
      <c r="CV89">
        <f>IFERROR(INDEX('История отказов'!$AE$5:$AE$1204,SMALL($DE$2:$DE$1201,ROWS($CV$4:CV89))),"")</f>
        <v/>
      </c>
      <c r="CW89">
        <f>IFERROR(INDEX('История отказов'!$AE$5:$AE$1204,SMALL($DG$2:$DG$1201,ROWS($CW$3:CW89))),"")</f>
        <v/>
      </c>
      <c r="CX89">
        <f>IFERROR(INDEX('История отказов'!$AE$5:$AE$1204,SMALL($DF$2:$DF$1201,ROWS($CX$3:CX89))),"")</f>
        <v/>
      </c>
      <c r="CY89">
        <f>IFERROR(INDEX('История отказов'!$AE$5:$AE$1204,SMALL($DH$2:$DH$1201,ROWS($CY$7:CY89))),"")</f>
        <v/>
      </c>
      <c r="DA89">
        <f>IFERROR(INDEX($DB$2:$DB$4801,SMALL($DL$2:$DL$4801,ROWS($DA$48:DA89))),"")</f>
        <v/>
      </c>
      <c r="DB89">
        <f>IF('История отказов'!AH92="","",'История отказов'!AH92)</f>
        <v/>
      </c>
      <c r="DC89">
        <f>IF('История отказов'!AE92="","",IF(AND(COUNTIF($CT$2:$CT$2,'История отказов'!AE92)=0,COUNTIFS('История отказов'!$F$5:F92,"ШГН",'История отказов'!$AE$5:AE92,'История отказов'!AE92)=1,'История отказов'!F92="ШГН"),88,""))</f>
        <v/>
      </c>
      <c r="DD89">
        <f>IF('История отказов'!AE92="","",IF(AND(COUNTIF($CU$2:$CU$3,'История отказов'!AE92)=0,COUNTIFS('История отказов'!$F$5:F92,"ЭЦН",'История отказов'!$AE$5:AE92,'История отказов'!AE92)=1,'История отказов'!F92="ЭЦН"),88,""))</f>
        <v/>
      </c>
      <c r="DE89">
        <f>IF('История отказов'!AE92="","",IF(AND(COUNTIF($CV$2:$CV$3,'История отказов'!AE92)=0,COUNTIFS('История отказов'!$F$5:F92,"ЭВН",'История отказов'!$AE$5:AE92,'История отказов'!AE92)=1,'История отказов'!F92="ЭВН"),88,""))</f>
        <v/>
      </c>
      <c r="DF89">
        <f>IF('История отказов'!AE92="","",IF(AND(COUNTIF($CX$2:$CX$2,'История отказов'!AE92)=0,COUNTIFS('История отказов'!$F$5:F92,"ШВН",'История отказов'!$AE$5:AE92,'История отказов'!AE92)=1,'История отказов'!F92="ШВН"),88,""))</f>
        <v/>
      </c>
      <c r="DG89">
        <f>IF('История отказов'!AE92="","",IF(AND(COUNTIF($CW$2:$CW$2,'История отказов'!AE92)=0,COUNTIFS('История отказов'!$F$5:F92,"НПУ-ВД",'История отказов'!$AE$5:AE92,'История отказов'!AE92)=1,'История отказов'!F92="НПУ-ВД"),88,""))</f>
        <v/>
      </c>
      <c r="DH89">
        <f>IF('История отказов'!AE92="","",IF(AND(COUNTIF($CY$2:$CY$6,'История отказов'!AE92)=0,COUNTIF('История отказов'!$AE$5:AE92,'История отказов'!AE92)=1),88,""))</f>
        <v/>
      </c>
      <c r="DI89">
        <f>IF('История отказов'!AK92="","",IF(AND(COUNTIF($CL$2:$CL$3,'История отказов'!AK92)=0,COUNTIF('История отказов'!$AK$5:AK92,'История отказов'!AK92)=1),88,""))</f>
        <v/>
      </c>
      <c r="DJ89">
        <f>IF('История отказов'!AU92="","",IF(AND(COUNTIF($CP$2:$CP$3,'История отказов'!AU92)=0,COUNTIF('История отказов'!$AU$5:AU92,'История отказов'!AU92)=1),88,""))</f>
        <v/>
      </c>
      <c r="DK89">
        <f>IF('История отказов'!AY92="","",IF(AND(COUNTIF($CR$2:$CR$2,'История отказов'!AY92)=0,COUNTIF('История отказов'!$AY$5:AY92,'История отказов'!AY92)=1),88,""))</f>
        <v/>
      </c>
      <c r="DL89">
        <f>IF(DB89="","",IF(AND(COUNTIF($DA$2:$DA$47,DB89)=0,COUNTIF($DB$2:DB89,DB89)=1),88,""))</f>
        <v/>
      </c>
    </row>
    <row r="90">
      <c r="A90" s="74" t="n"/>
      <c r="B90" s="75" t="n"/>
      <c r="C90" s="75" t="n"/>
      <c r="D90" s="75" t="n"/>
      <c r="E90" s="75" t="inlineStr">
        <is>
          <t>1.1 — Нарушение глубины спуска [УШГН]</t>
        </is>
      </c>
      <c r="F90" s="76" t="n"/>
      <c r="H90" t="inlineStr">
        <is>
          <t>КР13-4 — Освоение скважины после забуривания дополнительного (ых) ствола (ов).</t>
        </is>
      </c>
      <c r="J90" s="62" t="inlineStr">
        <is>
          <t>1.1 — Нарушение глубины спуска [УШГН]</t>
        </is>
      </c>
      <c r="K90" s="62" t="n"/>
      <c r="L90" s="62" t="n"/>
      <c r="M90" s="62" t="n"/>
      <c r="N90" s="62" t="n"/>
      <c r="Q90" t="inlineStr">
        <is>
          <t>Отказавший узел</t>
        </is>
      </c>
      <c r="R90" t="inlineStr">
        <is>
          <t>Рабочие органы насоса</t>
        </is>
      </c>
      <c r="S90" t="inlineStr">
        <is>
          <t>Рабочая номенклатура</t>
        </is>
      </c>
      <c r="T90" t="inlineStr">
        <is>
          <t>Состав системы по паспорту и акту дефектовки</t>
        </is>
      </c>
      <c r="U90" t="inlineStr">
        <is>
          <t>https://www.slb.com/resource-library/oilfield-review/defining-series/defining-esp</t>
        </is>
      </c>
      <c r="V90" t="inlineStr">
        <is>
          <t>Проверить фактическую комплектацию</t>
        </is>
      </c>
      <c r="BA90" t="inlineStr">
        <is>
          <t>КР13-4 — Освоение скважины после забуривания дополнительного (ых) ствола (ов).</t>
        </is>
      </c>
      <c r="CJ90" t="inlineStr">
        <is>
          <t>1.1 — Нарушение глубины спуска [УШГН]</t>
        </is>
      </c>
      <c r="CL90">
        <f>IFERROR(INDEX('История отказов'!$AK$5:$AK$1204,SMALL($DI$2:$DI$1201,ROWS($CL$4:CL90))),"")</f>
        <v/>
      </c>
      <c r="CP90">
        <f>IFERROR(INDEX('История отказов'!$AU$5:$AU$1204,SMALL($DJ$2:$DJ$1201,ROWS($CP$4:CP90))),"")</f>
        <v/>
      </c>
      <c r="CR90">
        <f>IFERROR(INDEX('История отказов'!$AY$5:$AY$1204,SMALL($DK$2:$DK$1201,ROWS($CR$3:CR90))),"")</f>
        <v/>
      </c>
      <c r="CT90">
        <f>IFERROR(INDEX('История отказов'!$AE$5:$AE$1204,SMALL($DC$2:$DC$1201,ROWS($CT$3:CT90))),"")</f>
        <v/>
      </c>
      <c r="CU90">
        <f>IFERROR(INDEX('История отказов'!$AE$5:$AE$1204,SMALL($DD$2:$DD$1201,ROWS($CU$4:CU90))),"")</f>
        <v/>
      </c>
      <c r="CV90">
        <f>IFERROR(INDEX('История отказов'!$AE$5:$AE$1204,SMALL($DE$2:$DE$1201,ROWS($CV$4:CV90))),"")</f>
        <v/>
      </c>
      <c r="CW90">
        <f>IFERROR(INDEX('История отказов'!$AE$5:$AE$1204,SMALL($DG$2:$DG$1201,ROWS($CW$3:CW90))),"")</f>
        <v/>
      </c>
      <c r="CX90">
        <f>IFERROR(INDEX('История отказов'!$AE$5:$AE$1204,SMALL($DF$2:$DF$1201,ROWS($CX$3:CX90))),"")</f>
        <v/>
      </c>
      <c r="CY90">
        <f>IFERROR(INDEX('История отказов'!$AE$5:$AE$1204,SMALL($DH$2:$DH$1201,ROWS($CY$7:CY90))),"")</f>
        <v/>
      </c>
      <c r="DA90">
        <f>IFERROR(INDEX($DB$2:$DB$4801,SMALL($DL$2:$DL$4801,ROWS($DA$48:DA90))),"")</f>
        <v/>
      </c>
      <c r="DB90">
        <f>IF('История отказов'!AH93="","",'История отказов'!AH93)</f>
        <v/>
      </c>
      <c r="DC90">
        <f>IF('История отказов'!AE93="","",IF(AND(COUNTIF($CT$2:$CT$2,'История отказов'!AE93)=0,COUNTIFS('История отказов'!$F$5:F93,"ШГН",'История отказов'!$AE$5:AE93,'История отказов'!AE93)=1,'История отказов'!F93="ШГН"),89,""))</f>
        <v/>
      </c>
      <c r="DD90">
        <f>IF('История отказов'!AE93="","",IF(AND(COUNTIF($CU$2:$CU$3,'История отказов'!AE93)=0,COUNTIFS('История отказов'!$F$5:F93,"ЭЦН",'История отказов'!$AE$5:AE93,'История отказов'!AE93)=1,'История отказов'!F93="ЭЦН"),89,""))</f>
        <v/>
      </c>
      <c r="DE90">
        <f>IF('История отказов'!AE93="","",IF(AND(COUNTIF($CV$2:$CV$3,'История отказов'!AE93)=0,COUNTIFS('История отказов'!$F$5:F93,"ЭВН",'История отказов'!$AE$5:AE93,'История отказов'!AE93)=1,'История отказов'!F93="ЭВН"),89,""))</f>
        <v/>
      </c>
      <c r="DF90">
        <f>IF('История отказов'!AE93="","",IF(AND(COUNTIF($CX$2:$CX$2,'История отказов'!AE93)=0,COUNTIFS('История отказов'!$F$5:F93,"ШВН",'История отказов'!$AE$5:AE93,'История отказов'!AE93)=1,'История отказов'!F93="ШВН"),89,""))</f>
        <v/>
      </c>
      <c r="DG90">
        <f>IF('История отказов'!AE93="","",IF(AND(COUNTIF($CW$2:$CW$2,'История отказов'!AE93)=0,COUNTIFS('История отказов'!$F$5:F93,"НПУ-ВД",'История отказов'!$AE$5:AE93,'История отказов'!AE93)=1,'История отказов'!F93="НПУ-ВД"),89,""))</f>
        <v/>
      </c>
      <c r="DH90">
        <f>IF('История отказов'!AE93="","",IF(AND(COUNTIF($CY$2:$CY$6,'История отказов'!AE93)=0,COUNTIF('История отказов'!$AE$5:AE93,'История отказов'!AE93)=1),89,""))</f>
        <v/>
      </c>
      <c r="DI90">
        <f>IF('История отказов'!AK93="","",IF(AND(COUNTIF($CL$2:$CL$3,'История отказов'!AK93)=0,COUNTIF('История отказов'!$AK$5:AK93,'История отказов'!AK93)=1),89,""))</f>
        <v/>
      </c>
      <c r="DJ90">
        <f>IF('История отказов'!AU93="","",IF(AND(COUNTIF($CP$2:$CP$3,'История отказов'!AU93)=0,COUNTIF('История отказов'!$AU$5:AU93,'История отказов'!AU93)=1),89,""))</f>
        <v/>
      </c>
      <c r="DK90">
        <f>IF('История отказов'!AY93="","",IF(AND(COUNTIF($CR$2:$CR$2,'История отказов'!AY93)=0,COUNTIF('История отказов'!$AY$5:AY93,'История отказов'!AY93)=1),89,""))</f>
        <v/>
      </c>
      <c r="DL90">
        <f>IF(DB90="","",IF(AND(COUNTIF($DA$2:$DA$47,DB90)=0,COUNTIF($DB$2:DB90,DB90)=1),89,""))</f>
        <v/>
      </c>
    </row>
    <row r="91">
      <c r="A91" s="74" t="n"/>
      <c r="B91" s="75" t="n"/>
      <c r="C91" s="75" t="n"/>
      <c r="D91" s="75" t="n"/>
      <c r="E91" s="75" t="inlineStr">
        <is>
          <t>1.2 — Некачественная подготовка скважины [УШГН]</t>
        </is>
      </c>
      <c r="F91" s="76" t="n"/>
      <c r="H91" t="inlineStr">
        <is>
          <t>КР13-5 — Подготовка скважины к проведению работ по повышению нефтеотдачи пластов.</t>
        </is>
      </c>
      <c r="J91" s="62" t="inlineStr">
        <is>
          <t>1.2 — Некачественная подготовка скважины [УШГН]</t>
        </is>
      </c>
      <c r="K91" s="62" t="n"/>
      <c r="L91" s="62" t="n"/>
      <c r="M91" s="62" t="n"/>
      <c r="N91" s="62" t="n"/>
      <c r="Q91" t="inlineStr">
        <is>
          <t>Отказавший узел</t>
        </is>
      </c>
      <c r="R91" t="inlineStr">
        <is>
          <t>Вал насоса</t>
        </is>
      </c>
      <c r="S91" t="inlineStr">
        <is>
          <t>Рабочая номенклатура</t>
        </is>
      </c>
      <c r="T91" t="inlineStr">
        <is>
          <t>Состав системы по паспорту и акту дефектовки</t>
        </is>
      </c>
      <c r="U91" t="inlineStr">
        <is>
          <t>https://www.slb.com/resource-library/oilfield-review/defining-series/defining-esp</t>
        </is>
      </c>
      <c r="V91" t="inlineStr">
        <is>
          <t>Проверить фактическую комплектацию</t>
        </is>
      </c>
      <c r="BA91" t="inlineStr">
        <is>
          <t>КР13-5 — Подготовка скважины к проведению работ по повышению нефтеотдачи пластов.</t>
        </is>
      </c>
      <c r="CJ91" t="inlineStr">
        <is>
          <t>1.2 — Некачественная подготовка скважины [УШГН]</t>
        </is>
      </c>
      <c r="CL91">
        <f>IFERROR(INDEX('История отказов'!$AK$5:$AK$1204,SMALL($DI$2:$DI$1201,ROWS($CL$4:CL91))),"")</f>
        <v/>
      </c>
      <c r="CP91">
        <f>IFERROR(INDEX('История отказов'!$AU$5:$AU$1204,SMALL($DJ$2:$DJ$1201,ROWS($CP$4:CP91))),"")</f>
        <v/>
      </c>
      <c r="CR91">
        <f>IFERROR(INDEX('История отказов'!$AY$5:$AY$1204,SMALL($DK$2:$DK$1201,ROWS($CR$3:CR91))),"")</f>
        <v/>
      </c>
      <c r="CT91">
        <f>IFERROR(INDEX('История отказов'!$AE$5:$AE$1204,SMALL($DC$2:$DC$1201,ROWS($CT$3:CT91))),"")</f>
        <v/>
      </c>
      <c r="CU91">
        <f>IFERROR(INDEX('История отказов'!$AE$5:$AE$1204,SMALL($DD$2:$DD$1201,ROWS($CU$4:CU91))),"")</f>
        <v/>
      </c>
      <c r="CV91">
        <f>IFERROR(INDEX('История отказов'!$AE$5:$AE$1204,SMALL($DE$2:$DE$1201,ROWS($CV$4:CV91))),"")</f>
        <v/>
      </c>
      <c r="CW91">
        <f>IFERROR(INDEX('История отказов'!$AE$5:$AE$1204,SMALL($DG$2:$DG$1201,ROWS($CW$3:CW91))),"")</f>
        <v/>
      </c>
      <c r="CX91">
        <f>IFERROR(INDEX('История отказов'!$AE$5:$AE$1204,SMALL($DF$2:$DF$1201,ROWS($CX$3:CX91))),"")</f>
        <v/>
      </c>
      <c r="CY91">
        <f>IFERROR(INDEX('История отказов'!$AE$5:$AE$1204,SMALL($DH$2:$DH$1201,ROWS($CY$7:CY91))),"")</f>
        <v/>
      </c>
      <c r="DA91">
        <f>IFERROR(INDEX($DB$2:$DB$4801,SMALL($DL$2:$DL$4801,ROWS($DA$48:DA91))),"")</f>
        <v/>
      </c>
      <c r="DB91">
        <f>IF('История отказов'!AH94="","",'История отказов'!AH94)</f>
        <v/>
      </c>
      <c r="DC91">
        <f>IF('История отказов'!AE94="","",IF(AND(COUNTIF($CT$2:$CT$2,'История отказов'!AE94)=0,COUNTIFS('История отказов'!$F$5:F94,"ШГН",'История отказов'!$AE$5:AE94,'История отказов'!AE94)=1,'История отказов'!F94="ШГН"),90,""))</f>
        <v/>
      </c>
      <c r="DD91">
        <f>IF('История отказов'!AE94="","",IF(AND(COUNTIF($CU$2:$CU$3,'История отказов'!AE94)=0,COUNTIFS('История отказов'!$F$5:F94,"ЭЦН",'История отказов'!$AE$5:AE94,'История отказов'!AE94)=1,'История отказов'!F94="ЭЦН"),90,""))</f>
        <v/>
      </c>
      <c r="DE91">
        <f>IF('История отказов'!AE94="","",IF(AND(COUNTIF($CV$2:$CV$3,'История отказов'!AE94)=0,COUNTIFS('История отказов'!$F$5:F94,"ЭВН",'История отказов'!$AE$5:AE94,'История отказов'!AE94)=1,'История отказов'!F94="ЭВН"),90,""))</f>
        <v/>
      </c>
      <c r="DF91">
        <f>IF('История отказов'!AE94="","",IF(AND(COUNTIF($CX$2:$CX$2,'История отказов'!AE94)=0,COUNTIFS('История отказов'!$F$5:F94,"ШВН",'История отказов'!$AE$5:AE94,'История отказов'!AE94)=1,'История отказов'!F94="ШВН"),90,""))</f>
        <v/>
      </c>
      <c r="DG91">
        <f>IF('История отказов'!AE94="","",IF(AND(COUNTIF($CW$2:$CW$2,'История отказов'!AE94)=0,COUNTIFS('История отказов'!$F$5:F94,"НПУ-ВД",'История отказов'!$AE$5:AE94,'История отказов'!AE94)=1,'История отказов'!F94="НПУ-ВД"),90,""))</f>
        <v/>
      </c>
      <c r="DH91">
        <f>IF('История отказов'!AE94="","",IF(AND(COUNTIF($CY$2:$CY$6,'История отказов'!AE94)=0,COUNTIF('История отказов'!$AE$5:AE94,'История отказов'!AE94)=1),90,""))</f>
        <v/>
      </c>
      <c r="DI91">
        <f>IF('История отказов'!AK94="","",IF(AND(COUNTIF($CL$2:$CL$3,'История отказов'!AK94)=0,COUNTIF('История отказов'!$AK$5:AK94,'История отказов'!AK94)=1),90,""))</f>
        <v/>
      </c>
      <c r="DJ91">
        <f>IF('История отказов'!AU94="","",IF(AND(COUNTIF($CP$2:$CP$3,'История отказов'!AU94)=0,COUNTIF('История отказов'!$AU$5:AU94,'История отказов'!AU94)=1),90,""))</f>
        <v/>
      </c>
      <c r="DK91">
        <f>IF('История отказов'!AY94="","",IF(AND(COUNTIF($CR$2:$CR$2,'История отказов'!AY94)=0,COUNTIF('История отказов'!$AY$5:AY94,'История отказов'!AY94)=1),90,""))</f>
        <v/>
      </c>
      <c r="DL91">
        <f>IF(DB91="","",IF(AND(COUNTIF($DA$2:$DA$47,DB91)=0,COUNTIF($DB$2:DB91,DB91)=1),90,""))</f>
        <v/>
      </c>
    </row>
    <row r="92">
      <c r="A92" s="74" t="n"/>
      <c r="B92" s="75" t="n"/>
      <c r="C92" s="75" t="n"/>
      <c r="D92" s="75" t="n"/>
      <c r="E92" s="75" t="inlineStr">
        <is>
          <t>1.3 — Не герметичность НКТ [УШГН]</t>
        </is>
      </c>
      <c r="F92" s="76" t="n"/>
      <c r="H92" t="inlineStr">
        <is>
          <t>КР13-6 — Подготовительные работы к ГГРП (ПР)</t>
        </is>
      </c>
      <c r="J92" s="62" t="inlineStr">
        <is>
          <t>1.3 — Не герметичность НКТ [УШГН]</t>
        </is>
      </c>
      <c r="K92" s="62" t="n"/>
      <c r="L92" s="62" t="n"/>
      <c r="M92" s="62" t="n"/>
      <c r="N92" s="62" t="n"/>
      <c r="Q92" t="inlineStr">
        <is>
          <t>Отказавший узел</t>
        </is>
      </c>
      <c r="R92" t="inlineStr">
        <is>
          <t>Приёмный модуль</t>
        </is>
      </c>
      <c r="S92" t="inlineStr">
        <is>
          <t>Рабочая номенклатура</t>
        </is>
      </c>
      <c r="T92" t="inlineStr">
        <is>
          <t>SLB / Новомет, состав УЭЦН</t>
        </is>
      </c>
      <c r="U92" t="inlineStr">
        <is>
          <t>https://www.slb.com/resource-library/oilfield-review/defining-series/defining-esp; https://www.novomet.ru/rus/products-and-services/artificial-lift/intake-and-gas/</t>
        </is>
      </c>
      <c r="V92" t="inlineStr">
        <is>
          <t>ЭЦН/ЭВН, НПУ-ВД по комплектации</t>
        </is>
      </c>
      <c r="BA92" t="inlineStr">
        <is>
          <t>КР13-6 — Подготовительные работы к ГГРП (ПР)</t>
        </is>
      </c>
      <c r="CJ92" t="inlineStr">
        <is>
          <t>1.3 — Не герметичность НКТ [УШГН]</t>
        </is>
      </c>
      <c r="CL92">
        <f>IFERROR(INDEX('История отказов'!$AK$5:$AK$1204,SMALL($DI$2:$DI$1201,ROWS($CL$4:CL92))),"")</f>
        <v/>
      </c>
      <c r="CP92">
        <f>IFERROR(INDEX('История отказов'!$AU$5:$AU$1204,SMALL($DJ$2:$DJ$1201,ROWS($CP$4:CP92))),"")</f>
        <v/>
      </c>
      <c r="CR92">
        <f>IFERROR(INDEX('История отказов'!$AY$5:$AY$1204,SMALL($DK$2:$DK$1201,ROWS($CR$3:CR92))),"")</f>
        <v/>
      </c>
      <c r="CT92">
        <f>IFERROR(INDEX('История отказов'!$AE$5:$AE$1204,SMALL($DC$2:$DC$1201,ROWS($CT$3:CT92))),"")</f>
        <v/>
      </c>
      <c r="CU92">
        <f>IFERROR(INDEX('История отказов'!$AE$5:$AE$1204,SMALL($DD$2:$DD$1201,ROWS($CU$4:CU92))),"")</f>
        <v/>
      </c>
      <c r="CV92">
        <f>IFERROR(INDEX('История отказов'!$AE$5:$AE$1204,SMALL($DE$2:$DE$1201,ROWS($CV$4:CV92))),"")</f>
        <v/>
      </c>
      <c r="CW92">
        <f>IFERROR(INDEX('История отказов'!$AE$5:$AE$1204,SMALL($DG$2:$DG$1201,ROWS($CW$3:CW92))),"")</f>
        <v/>
      </c>
      <c r="CX92">
        <f>IFERROR(INDEX('История отказов'!$AE$5:$AE$1204,SMALL($DF$2:$DF$1201,ROWS($CX$3:CX92))),"")</f>
        <v/>
      </c>
      <c r="CY92">
        <f>IFERROR(INDEX('История отказов'!$AE$5:$AE$1204,SMALL($DH$2:$DH$1201,ROWS($CY$7:CY92))),"")</f>
        <v/>
      </c>
      <c r="DA92">
        <f>IFERROR(INDEX($DB$2:$DB$4801,SMALL($DL$2:$DL$4801,ROWS($DA$48:DA92))),"")</f>
        <v/>
      </c>
      <c r="DB92">
        <f>IF('История отказов'!AH95="","",'История отказов'!AH95)</f>
        <v/>
      </c>
      <c r="DC92">
        <f>IF('История отказов'!AE95="","",IF(AND(COUNTIF($CT$2:$CT$2,'История отказов'!AE95)=0,COUNTIFS('История отказов'!$F$5:F95,"ШГН",'История отказов'!$AE$5:AE95,'История отказов'!AE95)=1,'История отказов'!F95="ШГН"),91,""))</f>
        <v/>
      </c>
      <c r="DD92">
        <f>IF('История отказов'!AE95="","",IF(AND(COUNTIF($CU$2:$CU$3,'История отказов'!AE95)=0,COUNTIFS('История отказов'!$F$5:F95,"ЭЦН",'История отказов'!$AE$5:AE95,'История отказов'!AE95)=1,'История отказов'!F95="ЭЦН"),91,""))</f>
        <v/>
      </c>
      <c r="DE92">
        <f>IF('История отказов'!AE95="","",IF(AND(COUNTIF($CV$2:$CV$3,'История отказов'!AE95)=0,COUNTIFS('История отказов'!$F$5:F95,"ЭВН",'История отказов'!$AE$5:AE95,'История отказов'!AE95)=1,'История отказов'!F95="ЭВН"),91,""))</f>
        <v/>
      </c>
      <c r="DF92">
        <f>IF('История отказов'!AE95="","",IF(AND(COUNTIF($CX$2:$CX$2,'История отказов'!AE95)=0,COUNTIFS('История отказов'!$F$5:F95,"ШВН",'История отказов'!$AE$5:AE95,'История отказов'!AE95)=1,'История отказов'!F95="ШВН"),91,""))</f>
        <v/>
      </c>
      <c r="DG92">
        <f>IF('История отказов'!AE95="","",IF(AND(COUNTIF($CW$2:$CW$2,'История отказов'!AE95)=0,COUNTIFS('История отказов'!$F$5:F95,"НПУ-ВД",'История отказов'!$AE$5:AE95,'История отказов'!AE95)=1,'История отказов'!F95="НПУ-ВД"),91,""))</f>
        <v/>
      </c>
      <c r="DH92">
        <f>IF('История отказов'!AE95="","",IF(AND(COUNTIF($CY$2:$CY$6,'История отказов'!AE95)=0,COUNTIF('История отказов'!$AE$5:AE95,'История отказов'!AE95)=1),91,""))</f>
        <v/>
      </c>
      <c r="DI92">
        <f>IF('История отказов'!AK95="","",IF(AND(COUNTIF($CL$2:$CL$3,'История отказов'!AK95)=0,COUNTIF('История отказов'!$AK$5:AK95,'История отказов'!AK95)=1),91,""))</f>
        <v/>
      </c>
      <c r="DJ92">
        <f>IF('История отказов'!AU95="","",IF(AND(COUNTIF($CP$2:$CP$3,'История отказов'!AU95)=0,COUNTIF('История отказов'!$AU$5:AU95,'История отказов'!AU95)=1),91,""))</f>
        <v/>
      </c>
      <c r="DK92">
        <f>IF('История отказов'!AY95="","",IF(AND(COUNTIF($CR$2:$CR$2,'История отказов'!AY95)=0,COUNTIF('История отказов'!$AY$5:AY95,'История отказов'!AY95)=1),91,""))</f>
        <v/>
      </c>
      <c r="DL92">
        <f>IF(DB92="","",IF(AND(COUNTIF($DA$2:$DA$47,DB92)=0,COUNTIF($DB$2:DB92,DB92)=1),91,""))</f>
        <v/>
      </c>
    </row>
    <row r="93">
      <c r="A93" s="74" t="n"/>
      <c r="B93" s="75" t="n"/>
      <c r="C93" s="75" t="n"/>
      <c r="D93" s="75" t="n"/>
      <c r="E93" s="75" t="inlineStr">
        <is>
          <t>1.4 — Отворот штанг [УШГН]</t>
        </is>
      </c>
      <c r="F93" s="76" t="n"/>
      <c r="H93" t="inlineStr">
        <is>
          <t>КР13-9 — Ремонт водозаборных скважин со спуском дополнительной колонны и промывкой.</t>
        </is>
      </c>
      <c r="J93" s="62" t="inlineStr">
        <is>
          <t>1.4 — Отворот штанг [УШГН]</t>
        </is>
      </c>
      <c r="K93" s="62" t="n"/>
      <c r="L93" s="62" t="n"/>
      <c r="M93" s="62" t="n"/>
      <c r="N93" s="62" t="n"/>
      <c r="Q93" t="inlineStr">
        <is>
          <t>Отказавший узел</t>
        </is>
      </c>
      <c r="R93" t="inlineStr">
        <is>
          <t>Газосепаратор</t>
        </is>
      </c>
      <c r="S93" t="inlineStr">
        <is>
          <t>Рабочая номенклатура</t>
        </is>
      </c>
      <c r="T93" t="inlineStr">
        <is>
          <t>SLB / Новомет, состав УЭЦН</t>
        </is>
      </c>
      <c r="U93" t="inlineStr">
        <is>
          <t>https://www.slb.com/resource-library/oilfield-review/defining-series/defining-esp; https://www.novomet.ru/rus/products-and-services/artificial-lift/intake-and-gas/</t>
        </is>
      </c>
      <c r="V93" t="inlineStr">
        <is>
          <t>ЭЦН/ЭВН, НПУ-ВД по комплектации</t>
        </is>
      </c>
      <c r="BA93" t="inlineStr">
        <is>
          <t>КР13-9 — Ремонт водозаборных скважин со спуском дополнительной колонны и промывкой.</t>
        </is>
      </c>
      <c r="CJ93" t="inlineStr">
        <is>
          <t>1.4 — Отворот штанг [УШГН]</t>
        </is>
      </c>
      <c r="CL93">
        <f>IFERROR(INDEX('История отказов'!$AK$5:$AK$1204,SMALL($DI$2:$DI$1201,ROWS($CL$4:CL93))),"")</f>
        <v/>
      </c>
      <c r="CP93">
        <f>IFERROR(INDEX('История отказов'!$AU$5:$AU$1204,SMALL($DJ$2:$DJ$1201,ROWS($CP$4:CP93))),"")</f>
        <v/>
      </c>
      <c r="CR93">
        <f>IFERROR(INDEX('История отказов'!$AY$5:$AY$1204,SMALL($DK$2:$DK$1201,ROWS($CR$3:CR93))),"")</f>
        <v/>
      </c>
      <c r="CT93">
        <f>IFERROR(INDEX('История отказов'!$AE$5:$AE$1204,SMALL($DC$2:$DC$1201,ROWS($CT$3:CT93))),"")</f>
        <v/>
      </c>
      <c r="CU93">
        <f>IFERROR(INDEX('История отказов'!$AE$5:$AE$1204,SMALL($DD$2:$DD$1201,ROWS($CU$4:CU93))),"")</f>
        <v/>
      </c>
      <c r="CV93">
        <f>IFERROR(INDEX('История отказов'!$AE$5:$AE$1204,SMALL($DE$2:$DE$1201,ROWS($CV$4:CV93))),"")</f>
        <v/>
      </c>
      <c r="CW93">
        <f>IFERROR(INDEX('История отказов'!$AE$5:$AE$1204,SMALL($DG$2:$DG$1201,ROWS($CW$3:CW93))),"")</f>
        <v/>
      </c>
      <c r="CX93">
        <f>IFERROR(INDEX('История отказов'!$AE$5:$AE$1204,SMALL($DF$2:$DF$1201,ROWS($CX$3:CX93))),"")</f>
        <v/>
      </c>
      <c r="CY93">
        <f>IFERROR(INDEX('История отказов'!$AE$5:$AE$1204,SMALL($DH$2:$DH$1201,ROWS($CY$7:CY93))),"")</f>
        <v/>
      </c>
      <c r="DA93">
        <f>IFERROR(INDEX($DB$2:$DB$4801,SMALL($DL$2:$DL$4801,ROWS($DA$48:DA93))),"")</f>
        <v/>
      </c>
      <c r="DB93">
        <f>IF('История отказов'!AH96="","",'История отказов'!AH96)</f>
        <v/>
      </c>
      <c r="DC93">
        <f>IF('История отказов'!AE96="","",IF(AND(COUNTIF($CT$2:$CT$2,'История отказов'!AE96)=0,COUNTIFS('История отказов'!$F$5:F96,"ШГН",'История отказов'!$AE$5:AE96,'История отказов'!AE96)=1,'История отказов'!F96="ШГН"),92,""))</f>
        <v/>
      </c>
      <c r="DD93">
        <f>IF('История отказов'!AE96="","",IF(AND(COUNTIF($CU$2:$CU$3,'История отказов'!AE96)=0,COUNTIFS('История отказов'!$F$5:F96,"ЭЦН",'История отказов'!$AE$5:AE96,'История отказов'!AE96)=1,'История отказов'!F96="ЭЦН"),92,""))</f>
        <v/>
      </c>
      <c r="DE93">
        <f>IF('История отказов'!AE96="","",IF(AND(COUNTIF($CV$2:$CV$3,'История отказов'!AE96)=0,COUNTIFS('История отказов'!$F$5:F96,"ЭВН",'История отказов'!$AE$5:AE96,'История отказов'!AE96)=1,'История отказов'!F96="ЭВН"),92,""))</f>
        <v/>
      </c>
      <c r="DF93">
        <f>IF('История отказов'!AE96="","",IF(AND(COUNTIF($CX$2:$CX$2,'История отказов'!AE96)=0,COUNTIFS('История отказов'!$F$5:F96,"ШВН",'История отказов'!$AE$5:AE96,'История отказов'!AE96)=1,'История отказов'!F96="ШВН"),92,""))</f>
        <v/>
      </c>
      <c r="DG93">
        <f>IF('История отказов'!AE96="","",IF(AND(COUNTIF($CW$2:$CW$2,'История отказов'!AE96)=0,COUNTIFS('История отказов'!$F$5:F96,"НПУ-ВД",'История отказов'!$AE$5:AE96,'История отказов'!AE96)=1,'История отказов'!F96="НПУ-ВД"),92,""))</f>
        <v/>
      </c>
      <c r="DH93">
        <f>IF('История отказов'!AE96="","",IF(AND(COUNTIF($CY$2:$CY$6,'История отказов'!AE96)=0,COUNTIF('История отказов'!$AE$5:AE96,'История отказов'!AE96)=1),92,""))</f>
        <v/>
      </c>
      <c r="DI93">
        <f>IF('История отказов'!AK96="","",IF(AND(COUNTIF($CL$2:$CL$3,'История отказов'!AK96)=0,COUNTIF('История отказов'!$AK$5:AK96,'История отказов'!AK96)=1),92,""))</f>
        <v/>
      </c>
      <c r="DJ93">
        <f>IF('История отказов'!AU96="","",IF(AND(COUNTIF($CP$2:$CP$3,'История отказов'!AU96)=0,COUNTIF('История отказов'!$AU$5:AU96,'История отказов'!AU96)=1),92,""))</f>
        <v/>
      </c>
      <c r="DK93">
        <f>IF('История отказов'!AY96="","",IF(AND(COUNTIF($CR$2:$CR$2,'История отказов'!AY96)=0,COUNTIF('История отказов'!$AY$5:AY96,'История отказов'!AY96)=1),92,""))</f>
        <v/>
      </c>
      <c r="DL93">
        <f>IF(DB93="","",IF(AND(COUNTIF($DA$2:$DA$47,DB93)=0,COUNTIF($DB$2:DB93,DB93)=1),92,""))</f>
        <v/>
      </c>
    </row>
    <row r="94">
      <c r="A94" s="74" t="n"/>
      <c r="B94" s="75" t="n"/>
      <c r="C94" s="75" t="n"/>
      <c r="D94" s="75" t="n"/>
      <c r="E94" s="75" t="inlineStr">
        <is>
          <t>1.5 — Нарушение СПО [УШГН]</t>
        </is>
      </c>
      <c r="F94" s="76" t="n"/>
      <c r="H94" t="inlineStr">
        <is>
          <t>КР13-10 — Ремонт поглощающей скважины.</t>
        </is>
      </c>
      <c r="J94" s="62" t="inlineStr">
        <is>
          <t>1.5 — Нарушение СПО [УШГН]</t>
        </is>
      </c>
      <c r="K94" s="62" t="n"/>
      <c r="L94" s="62" t="n"/>
      <c r="M94" s="62" t="n"/>
      <c r="N94" s="62" t="n"/>
      <c r="Q94" t="inlineStr">
        <is>
          <t>Отказавший узел</t>
        </is>
      </c>
      <c r="R94" t="inlineStr">
        <is>
          <t>Гидрозащита</t>
        </is>
      </c>
      <c r="S94" t="inlineStr">
        <is>
          <t>Рабочая номенклатура</t>
        </is>
      </c>
      <c r="T94" t="inlineStr">
        <is>
          <t>SLB / Новомет, состав УЭЦН</t>
        </is>
      </c>
      <c r="U94" t="inlineStr">
        <is>
          <t>https://www.slb.com/resource-library/oilfield-review/defining-series/defining-esp; https://www.novomet.ru/rus/products-and-services/artificial-lift/intake-and-gas/</t>
        </is>
      </c>
      <c r="V94" t="inlineStr">
        <is>
          <t>ЭЦН/ЭВН, НПУ-ВД по комплектации</t>
        </is>
      </c>
      <c r="BA94" t="inlineStr">
        <is>
          <t>КР13-10 — Ремонт поглощающей скважины.</t>
        </is>
      </c>
      <c r="CJ94" t="inlineStr">
        <is>
          <t>1.5 — Нарушение СПО [УШГН]</t>
        </is>
      </c>
      <c r="CL94">
        <f>IFERROR(INDEX('История отказов'!$AK$5:$AK$1204,SMALL($DI$2:$DI$1201,ROWS($CL$4:CL94))),"")</f>
        <v/>
      </c>
      <c r="CP94">
        <f>IFERROR(INDEX('История отказов'!$AU$5:$AU$1204,SMALL($DJ$2:$DJ$1201,ROWS($CP$4:CP94))),"")</f>
        <v/>
      </c>
      <c r="CR94">
        <f>IFERROR(INDEX('История отказов'!$AY$5:$AY$1204,SMALL($DK$2:$DK$1201,ROWS($CR$3:CR94))),"")</f>
        <v/>
      </c>
      <c r="CT94">
        <f>IFERROR(INDEX('История отказов'!$AE$5:$AE$1204,SMALL($DC$2:$DC$1201,ROWS($CT$3:CT94))),"")</f>
        <v/>
      </c>
      <c r="CU94">
        <f>IFERROR(INDEX('История отказов'!$AE$5:$AE$1204,SMALL($DD$2:$DD$1201,ROWS($CU$4:CU94))),"")</f>
        <v/>
      </c>
      <c r="CV94">
        <f>IFERROR(INDEX('История отказов'!$AE$5:$AE$1204,SMALL($DE$2:$DE$1201,ROWS($CV$4:CV94))),"")</f>
        <v/>
      </c>
      <c r="CW94">
        <f>IFERROR(INDEX('История отказов'!$AE$5:$AE$1204,SMALL($DG$2:$DG$1201,ROWS($CW$3:CW94))),"")</f>
        <v/>
      </c>
      <c r="CX94">
        <f>IFERROR(INDEX('История отказов'!$AE$5:$AE$1204,SMALL($DF$2:$DF$1201,ROWS($CX$3:CX94))),"")</f>
        <v/>
      </c>
      <c r="CY94">
        <f>IFERROR(INDEX('История отказов'!$AE$5:$AE$1204,SMALL($DH$2:$DH$1201,ROWS($CY$7:CY94))),"")</f>
        <v/>
      </c>
      <c r="DA94">
        <f>IFERROR(INDEX($DB$2:$DB$4801,SMALL($DL$2:$DL$4801,ROWS($DA$48:DA94))),"")</f>
        <v/>
      </c>
      <c r="DB94">
        <f>IF('История отказов'!AH97="","",'История отказов'!AH97)</f>
        <v/>
      </c>
      <c r="DC94">
        <f>IF('История отказов'!AE97="","",IF(AND(COUNTIF($CT$2:$CT$2,'История отказов'!AE97)=0,COUNTIFS('История отказов'!$F$5:F97,"ШГН",'История отказов'!$AE$5:AE97,'История отказов'!AE97)=1,'История отказов'!F97="ШГН"),93,""))</f>
        <v/>
      </c>
      <c r="DD94">
        <f>IF('История отказов'!AE97="","",IF(AND(COUNTIF($CU$2:$CU$3,'История отказов'!AE97)=0,COUNTIFS('История отказов'!$F$5:F97,"ЭЦН",'История отказов'!$AE$5:AE97,'История отказов'!AE97)=1,'История отказов'!F97="ЭЦН"),93,""))</f>
        <v/>
      </c>
      <c r="DE94">
        <f>IF('История отказов'!AE97="","",IF(AND(COUNTIF($CV$2:$CV$3,'История отказов'!AE97)=0,COUNTIFS('История отказов'!$F$5:F97,"ЭВН",'История отказов'!$AE$5:AE97,'История отказов'!AE97)=1,'История отказов'!F97="ЭВН"),93,""))</f>
        <v/>
      </c>
      <c r="DF94">
        <f>IF('История отказов'!AE97="","",IF(AND(COUNTIF($CX$2:$CX$2,'История отказов'!AE97)=0,COUNTIFS('История отказов'!$F$5:F97,"ШВН",'История отказов'!$AE$5:AE97,'История отказов'!AE97)=1,'История отказов'!F97="ШВН"),93,""))</f>
        <v/>
      </c>
      <c r="DG94">
        <f>IF('История отказов'!AE97="","",IF(AND(COUNTIF($CW$2:$CW$2,'История отказов'!AE97)=0,COUNTIFS('История отказов'!$F$5:F97,"НПУ-ВД",'История отказов'!$AE$5:AE97,'История отказов'!AE97)=1,'История отказов'!F97="НПУ-ВД"),93,""))</f>
        <v/>
      </c>
      <c r="DH94">
        <f>IF('История отказов'!AE97="","",IF(AND(COUNTIF($CY$2:$CY$6,'История отказов'!AE97)=0,COUNTIF('История отказов'!$AE$5:AE97,'История отказов'!AE97)=1),93,""))</f>
        <v/>
      </c>
      <c r="DI94">
        <f>IF('История отказов'!AK97="","",IF(AND(COUNTIF($CL$2:$CL$3,'История отказов'!AK97)=0,COUNTIF('История отказов'!$AK$5:AK97,'История отказов'!AK97)=1),93,""))</f>
        <v/>
      </c>
      <c r="DJ94">
        <f>IF('История отказов'!AU97="","",IF(AND(COUNTIF($CP$2:$CP$3,'История отказов'!AU97)=0,COUNTIF('История отказов'!$AU$5:AU97,'История отказов'!AU97)=1),93,""))</f>
        <v/>
      </c>
      <c r="DK94">
        <f>IF('История отказов'!AY97="","",IF(AND(COUNTIF($CR$2:$CR$2,'История отказов'!AY97)=0,COUNTIF('История отказов'!$AY$5:AY97,'История отказов'!AY97)=1),93,""))</f>
        <v/>
      </c>
      <c r="DL94">
        <f>IF(DB94="","",IF(AND(COUNTIF($DA$2:$DA$47,DB94)=0,COUNTIF($DB$2:DB94,DB94)=1),93,""))</f>
        <v/>
      </c>
    </row>
    <row r="95">
      <c r="A95" s="74" t="n"/>
      <c r="B95" s="75" t="n"/>
      <c r="C95" s="75" t="n"/>
      <c r="D95" s="75" t="n"/>
      <c r="E95" s="75" t="inlineStr">
        <is>
          <t>1.6 — Авария [УШГН]</t>
        </is>
      </c>
      <c r="F95" s="76" t="n"/>
      <c r="H95" t="inlineStr">
        <is>
          <t>ТР1-7 — Ввод скважин, оборудованных другими типами насосов или установок.</t>
        </is>
      </c>
      <c r="J95" s="62" t="inlineStr">
        <is>
          <t>1.6 — Авария [УШГН]</t>
        </is>
      </c>
      <c r="K95" s="62" t="n"/>
      <c r="L95" s="62" t="n"/>
      <c r="M95" s="62" t="n"/>
      <c r="N95" s="62" t="n"/>
      <c r="Q95" t="inlineStr">
        <is>
          <t>Отказавший узел</t>
        </is>
      </c>
      <c r="R95" t="inlineStr">
        <is>
          <t>Погружной электродвигатель</t>
        </is>
      </c>
      <c r="S95" t="inlineStr">
        <is>
          <t>Рабочая номенклатура</t>
        </is>
      </c>
      <c r="T95" t="inlineStr">
        <is>
          <t>SLB / Новомет, состав УЭЦН</t>
        </is>
      </c>
      <c r="U95" t="inlineStr">
        <is>
          <t>https://www.slb.com/resource-library/oilfield-review/defining-series/defining-esp; https://www.novomet.ru/rus/products-and-services/artificial-lift/intake-and-gas/</t>
        </is>
      </c>
      <c r="V95" t="inlineStr">
        <is>
          <t>ЭЦН/ЭВН, НПУ-ВД по комплектации</t>
        </is>
      </c>
      <c r="BA95" t="inlineStr">
        <is>
          <t>ТР1-7 — Ввод скважин, оборудованных другими типами насосов или установок.</t>
        </is>
      </c>
      <c r="CJ95" t="inlineStr">
        <is>
          <t>1.6 — Авария [УШГН]</t>
        </is>
      </c>
      <c r="CL95">
        <f>IFERROR(INDEX('История отказов'!$AK$5:$AK$1204,SMALL($DI$2:$DI$1201,ROWS($CL$4:CL95))),"")</f>
        <v/>
      </c>
      <c r="CP95">
        <f>IFERROR(INDEX('История отказов'!$AU$5:$AU$1204,SMALL($DJ$2:$DJ$1201,ROWS($CP$4:CP95))),"")</f>
        <v/>
      </c>
      <c r="CR95">
        <f>IFERROR(INDEX('История отказов'!$AY$5:$AY$1204,SMALL($DK$2:$DK$1201,ROWS($CR$3:CR95))),"")</f>
        <v/>
      </c>
      <c r="CT95">
        <f>IFERROR(INDEX('История отказов'!$AE$5:$AE$1204,SMALL($DC$2:$DC$1201,ROWS($CT$3:CT95))),"")</f>
        <v/>
      </c>
      <c r="CU95">
        <f>IFERROR(INDEX('История отказов'!$AE$5:$AE$1204,SMALL($DD$2:$DD$1201,ROWS($CU$4:CU95))),"")</f>
        <v/>
      </c>
      <c r="CV95">
        <f>IFERROR(INDEX('История отказов'!$AE$5:$AE$1204,SMALL($DE$2:$DE$1201,ROWS($CV$4:CV95))),"")</f>
        <v/>
      </c>
      <c r="CW95">
        <f>IFERROR(INDEX('История отказов'!$AE$5:$AE$1204,SMALL($DG$2:$DG$1201,ROWS($CW$3:CW95))),"")</f>
        <v/>
      </c>
      <c r="CX95">
        <f>IFERROR(INDEX('История отказов'!$AE$5:$AE$1204,SMALL($DF$2:$DF$1201,ROWS($CX$3:CX95))),"")</f>
        <v/>
      </c>
      <c r="CY95">
        <f>IFERROR(INDEX('История отказов'!$AE$5:$AE$1204,SMALL($DH$2:$DH$1201,ROWS($CY$7:CY95))),"")</f>
        <v/>
      </c>
      <c r="DA95">
        <f>IFERROR(INDEX($DB$2:$DB$4801,SMALL($DL$2:$DL$4801,ROWS($DA$48:DA95))),"")</f>
        <v/>
      </c>
      <c r="DB95">
        <f>IF('История отказов'!AH98="","",'История отказов'!AH98)</f>
        <v/>
      </c>
      <c r="DC95">
        <f>IF('История отказов'!AE98="","",IF(AND(COUNTIF($CT$2:$CT$2,'История отказов'!AE98)=0,COUNTIFS('История отказов'!$F$5:F98,"ШГН",'История отказов'!$AE$5:AE98,'История отказов'!AE98)=1,'История отказов'!F98="ШГН"),94,""))</f>
        <v/>
      </c>
      <c r="DD95">
        <f>IF('История отказов'!AE98="","",IF(AND(COUNTIF($CU$2:$CU$3,'История отказов'!AE98)=0,COUNTIFS('История отказов'!$F$5:F98,"ЭЦН",'История отказов'!$AE$5:AE98,'История отказов'!AE98)=1,'История отказов'!F98="ЭЦН"),94,""))</f>
        <v/>
      </c>
      <c r="DE95">
        <f>IF('История отказов'!AE98="","",IF(AND(COUNTIF($CV$2:$CV$3,'История отказов'!AE98)=0,COUNTIFS('История отказов'!$F$5:F98,"ЭВН",'История отказов'!$AE$5:AE98,'История отказов'!AE98)=1,'История отказов'!F98="ЭВН"),94,""))</f>
        <v/>
      </c>
      <c r="DF95">
        <f>IF('История отказов'!AE98="","",IF(AND(COUNTIF($CX$2:$CX$2,'История отказов'!AE98)=0,COUNTIFS('История отказов'!$F$5:F98,"ШВН",'История отказов'!$AE$5:AE98,'История отказов'!AE98)=1,'История отказов'!F98="ШВН"),94,""))</f>
        <v/>
      </c>
      <c r="DG95">
        <f>IF('История отказов'!AE98="","",IF(AND(COUNTIF($CW$2:$CW$2,'История отказов'!AE98)=0,COUNTIFS('История отказов'!$F$5:F98,"НПУ-ВД",'История отказов'!$AE$5:AE98,'История отказов'!AE98)=1,'История отказов'!F98="НПУ-ВД"),94,""))</f>
        <v/>
      </c>
      <c r="DH95">
        <f>IF('История отказов'!AE98="","",IF(AND(COUNTIF($CY$2:$CY$6,'История отказов'!AE98)=0,COUNTIF('История отказов'!$AE$5:AE98,'История отказов'!AE98)=1),94,""))</f>
        <v/>
      </c>
      <c r="DI95">
        <f>IF('История отказов'!AK98="","",IF(AND(COUNTIF($CL$2:$CL$3,'История отказов'!AK98)=0,COUNTIF('История отказов'!$AK$5:AK98,'История отказов'!AK98)=1),94,""))</f>
        <v/>
      </c>
      <c r="DJ95">
        <f>IF('История отказов'!AU98="","",IF(AND(COUNTIF($CP$2:$CP$3,'История отказов'!AU98)=0,COUNTIF('История отказов'!$AU$5:AU98,'История отказов'!AU98)=1),94,""))</f>
        <v/>
      </c>
      <c r="DK95">
        <f>IF('История отказов'!AY98="","",IF(AND(COUNTIF($CR$2:$CR$2,'История отказов'!AY98)=0,COUNTIF('История отказов'!$AY$5:AY98,'История отказов'!AY98)=1),94,""))</f>
        <v/>
      </c>
      <c r="DL95">
        <f>IF(DB95="","",IF(AND(COUNTIF($DA$2:$DA$47,DB95)=0,COUNTIF($DB$2:DB95,DB95)=1),94,""))</f>
        <v/>
      </c>
    </row>
    <row r="96">
      <c r="A96" s="74" t="n"/>
      <c r="B96" s="75" t="n"/>
      <c r="C96" s="75" t="n"/>
      <c r="D96" s="75" t="n"/>
      <c r="E96" s="75" t="inlineStr">
        <is>
          <t>1.7 — Организационные причины ТРС [УШГН]</t>
        </is>
      </c>
      <c r="F96" s="76" t="n"/>
      <c r="H96" t="inlineStr">
        <is>
          <t>ТР2-2 — Фонтанный – ШГН.</t>
        </is>
      </c>
      <c r="J96" s="62" t="inlineStr">
        <is>
          <t>1.7 — Организационные причины ТРС [УШГН]</t>
        </is>
      </c>
      <c r="K96" s="62" t="n"/>
      <c r="L96" s="62" t="n"/>
      <c r="M96" s="62" t="n"/>
      <c r="N96" s="62" t="n"/>
      <c r="Q96" t="inlineStr">
        <is>
          <t>Отказавший узел</t>
        </is>
      </c>
      <c r="R96" t="inlineStr">
        <is>
          <t>Кабельная линия</t>
        </is>
      </c>
      <c r="S96" t="inlineStr">
        <is>
          <t>Рабочая номенклатура</t>
        </is>
      </c>
      <c r="T96" t="inlineStr">
        <is>
          <t>SLB / Новомет, состав УЭЦН</t>
        </is>
      </c>
      <c r="U96" t="inlineStr">
        <is>
          <t>https://www.slb.com/resource-library/oilfield-review/defining-series/defining-esp; https://www.novomet.ru/rus/products-and-services/artificial-lift/intake-and-gas/</t>
        </is>
      </c>
      <c r="V96" t="inlineStr">
        <is>
          <t>ЭЦН/ЭВН, НПУ-ВД по комплектации</t>
        </is>
      </c>
      <c r="BA96" t="inlineStr">
        <is>
          <t>ТР2-2 — Фонтанный – ШГН.</t>
        </is>
      </c>
      <c r="CJ96" t="inlineStr">
        <is>
          <t>1.7 — Организационные причины ТРС [УШГН]</t>
        </is>
      </c>
      <c r="CL96">
        <f>IFERROR(INDEX('История отказов'!$AK$5:$AK$1204,SMALL($DI$2:$DI$1201,ROWS($CL$4:CL96))),"")</f>
        <v/>
      </c>
      <c r="CP96">
        <f>IFERROR(INDEX('История отказов'!$AU$5:$AU$1204,SMALL($DJ$2:$DJ$1201,ROWS($CP$4:CP96))),"")</f>
        <v/>
      </c>
      <c r="CR96">
        <f>IFERROR(INDEX('История отказов'!$AY$5:$AY$1204,SMALL($DK$2:$DK$1201,ROWS($CR$3:CR96))),"")</f>
        <v/>
      </c>
      <c r="CT96">
        <f>IFERROR(INDEX('История отказов'!$AE$5:$AE$1204,SMALL($DC$2:$DC$1201,ROWS($CT$3:CT96))),"")</f>
        <v/>
      </c>
      <c r="CU96">
        <f>IFERROR(INDEX('История отказов'!$AE$5:$AE$1204,SMALL($DD$2:$DD$1201,ROWS($CU$4:CU96))),"")</f>
        <v/>
      </c>
      <c r="CV96">
        <f>IFERROR(INDEX('История отказов'!$AE$5:$AE$1204,SMALL($DE$2:$DE$1201,ROWS($CV$4:CV96))),"")</f>
        <v/>
      </c>
      <c r="CW96">
        <f>IFERROR(INDEX('История отказов'!$AE$5:$AE$1204,SMALL($DG$2:$DG$1201,ROWS($CW$3:CW96))),"")</f>
        <v/>
      </c>
      <c r="CX96">
        <f>IFERROR(INDEX('История отказов'!$AE$5:$AE$1204,SMALL($DF$2:$DF$1201,ROWS($CX$3:CX96))),"")</f>
        <v/>
      </c>
      <c r="CY96">
        <f>IFERROR(INDEX('История отказов'!$AE$5:$AE$1204,SMALL($DH$2:$DH$1201,ROWS($CY$7:CY96))),"")</f>
        <v/>
      </c>
      <c r="DA96">
        <f>IFERROR(INDEX($DB$2:$DB$4801,SMALL($DL$2:$DL$4801,ROWS($DA$48:DA96))),"")</f>
        <v/>
      </c>
      <c r="DB96">
        <f>IF('История отказов'!AH99="","",'История отказов'!AH99)</f>
        <v/>
      </c>
      <c r="DC96">
        <f>IF('История отказов'!AE99="","",IF(AND(COUNTIF($CT$2:$CT$2,'История отказов'!AE99)=0,COUNTIFS('История отказов'!$F$5:F99,"ШГН",'История отказов'!$AE$5:AE99,'История отказов'!AE99)=1,'История отказов'!F99="ШГН"),95,""))</f>
        <v/>
      </c>
      <c r="DD96">
        <f>IF('История отказов'!AE99="","",IF(AND(COUNTIF($CU$2:$CU$3,'История отказов'!AE99)=0,COUNTIFS('История отказов'!$F$5:F99,"ЭЦН",'История отказов'!$AE$5:AE99,'История отказов'!AE99)=1,'История отказов'!F99="ЭЦН"),95,""))</f>
        <v/>
      </c>
      <c r="DE96">
        <f>IF('История отказов'!AE99="","",IF(AND(COUNTIF($CV$2:$CV$3,'История отказов'!AE99)=0,COUNTIFS('История отказов'!$F$5:F99,"ЭВН",'История отказов'!$AE$5:AE99,'История отказов'!AE99)=1,'История отказов'!F99="ЭВН"),95,""))</f>
        <v/>
      </c>
      <c r="DF96">
        <f>IF('История отказов'!AE99="","",IF(AND(COUNTIF($CX$2:$CX$2,'История отказов'!AE99)=0,COUNTIFS('История отказов'!$F$5:F99,"ШВН",'История отказов'!$AE$5:AE99,'История отказов'!AE99)=1,'История отказов'!F99="ШВН"),95,""))</f>
        <v/>
      </c>
      <c r="DG96">
        <f>IF('История отказов'!AE99="","",IF(AND(COUNTIF($CW$2:$CW$2,'История отказов'!AE99)=0,COUNTIFS('История отказов'!$F$5:F99,"НПУ-ВД",'История отказов'!$AE$5:AE99,'История отказов'!AE99)=1,'История отказов'!F99="НПУ-ВД"),95,""))</f>
        <v/>
      </c>
      <c r="DH96">
        <f>IF('История отказов'!AE99="","",IF(AND(COUNTIF($CY$2:$CY$6,'История отказов'!AE99)=0,COUNTIF('История отказов'!$AE$5:AE99,'История отказов'!AE99)=1),95,""))</f>
        <v/>
      </c>
      <c r="DI96">
        <f>IF('История отказов'!AK99="","",IF(AND(COUNTIF($CL$2:$CL$3,'История отказов'!AK99)=0,COUNTIF('История отказов'!$AK$5:AK99,'История отказов'!AK99)=1),95,""))</f>
        <v/>
      </c>
      <c r="DJ96">
        <f>IF('История отказов'!AU99="","",IF(AND(COUNTIF($CP$2:$CP$3,'История отказов'!AU99)=0,COUNTIF('История отказов'!$AU$5:AU99,'История отказов'!AU99)=1),95,""))</f>
        <v/>
      </c>
      <c r="DK96">
        <f>IF('История отказов'!AY99="","",IF(AND(COUNTIF($CR$2:$CR$2,'История отказов'!AY99)=0,COUNTIF('История отказов'!$AY$5:AY99,'История отказов'!AY99)=1),95,""))</f>
        <v/>
      </c>
      <c r="DL96">
        <f>IF(DB96="","",IF(AND(COUNTIF($DA$2:$DA$47,DB96)=0,COUNTIF($DB$2:DB96,DB96)=1),95,""))</f>
        <v/>
      </c>
    </row>
    <row r="97">
      <c r="A97" s="74" t="n"/>
      <c r="B97" s="75" t="n"/>
      <c r="C97" s="75" t="n"/>
      <c r="D97" s="75" t="n"/>
      <c r="E97" s="75" t="inlineStr">
        <is>
          <t>2.1 — Нарушение глубины спуска [УШГН]</t>
        </is>
      </c>
      <c r="F97" s="76" t="n"/>
      <c r="H97" t="inlineStr">
        <is>
          <t>ТР2-4 — Фонтанный – УЭВН</t>
        </is>
      </c>
      <c r="J97" s="62" t="inlineStr">
        <is>
          <t>2.1 — Нарушение глубины спуска [УШГН]</t>
        </is>
      </c>
      <c r="K97" s="62" t="n"/>
      <c r="L97" s="62" t="n"/>
      <c r="M97" s="62" t="n"/>
      <c r="N97" s="62" t="n"/>
      <c r="Q97" t="inlineStr">
        <is>
          <t>Отказавший узел</t>
        </is>
      </c>
      <c r="R97" t="inlineStr">
        <is>
          <t>Кабельный удлинитель</t>
        </is>
      </c>
      <c r="S97" t="inlineStr">
        <is>
          <t>Рабочая номенклатура</t>
        </is>
      </c>
      <c r="T97" t="inlineStr">
        <is>
          <t>SLB / Новомет, состав УЭЦН</t>
        </is>
      </c>
      <c r="U97" t="inlineStr">
        <is>
          <t>https://www.slb.com/resource-library/oilfield-review/defining-series/defining-esp; https://www.novomet.ru/rus/products-and-services/artificial-lift/intake-and-gas/</t>
        </is>
      </c>
      <c r="V97" t="inlineStr">
        <is>
          <t>ЭЦН/ЭВН, НПУ-ВД по комплектации</t>
        </is>
      </c>
      <c r="BA97" t="inlineStr">
        <is>
          <t>ТР2-4 — Фонтанный – УЭВН</t>
        </is>
      </c>
      <c r="CJ97" t="inlineStr">
        <is>
          <t>2.1 — Нарушение глубины спуска [УШГН]</t>
        </is>
      </c>
      <c r="CL97">
        <f>IFERROR(INDEX('История отказов'!$AK$5:$AK$1204,SMALL($DI$2:$DI$1201,ROWS($CL$4:CL97))),"")</f>
        <v/>
      </c>
      <c r="CP97">
        <f>IFERROR(INDEX('История отказов'!$AU$5:$AU$1204,SMALL($DJ$2:$DJ$1201,ROWS($CP$4:CP97))),"")</f>
        <v/>
      </c>
      <c r="CR97">
        <f>IFERROR(INDEX('История отказов'!$AY$5:$AY$1204,SMALL($DK$2:$DK$1201,ROWS($CR$3:CR97))),"")</f>
        <v/>
      </c>
      <c r="CT97">
        <f>IFERROR(INDEX('История отказов'!$AE$5:$AE$1204,SMALL($DC$2:$DC$1201,ROWS($CT$3:CT97))),"")</f>
        <v/>
      </c>
      <c r="CU97">
        <f>IFERROR(INDEX('История отказов'!$AE$5:$AE$1204,SMALL($DD$2:$DD$1201,ROWS($CU$4:CU97))),"")</f>
        <v/>
      </c>
      <c r="CV97">
        <f>IFERROR(INDEX('История отказов'!$AE$5:$AE$1204,SMALL($DE$2:$DE$1201,ROWS($CV$4:CV97))),"")</f>
        <v/>
      </c>
      <c r="CW97">
        <f>IFERROR(INDEX('История отказов'!$AE$5:$AE$1204,SMALL($DG$2:$DG$1201,ROWS($CW$3:CW97))),"")</f>
        <v/>
      </c>
      <c r="CX97">
        <f>IFERROR(INDEX('История отказов'!$AE$5:$AE$1204,SMALL($DF$2:$DF$1201,ROWS($CX$3:CX97))),"")</f>
        <v/>
      </c>
      <c r="CY97">
        <f>IFERROR(INDEX('История отказов'!$AE$5:$AE$1204,SMALL($DH$2:$DH$1201,ROWS($CY$7:CY97))),"")</f>
        <v/>
      </c>
      <c r="DA97">
        <f>IFERROR(INDEX($DB$2:$DB$4801,SMALL($DL$2:$DL$4801,ROWS($DA$48:DA97))),"")</f>
        <v/>
      </c>
      <c r="DB97">
        <f>IF('История отказов'!AH100="","",'История отказов'!AH100)</f>
        <v/>
      </c>
      <c r="DC97">
        <f>IF('История отказов'!AE100="","",IF(AND(COUNTIF($CT$2:$CT$2,'История отказов'!AE100)=0,COUNTIFS('История отказов'!$F$5:F100,"ШГН",'История отказов'!$AE$5:AE100,'История отказов'!AE100)=1,'История отказов'!F100="ШГН"),96,""))</f>
        <v/>
      </c>
      <c r="DD97">
        <f>IF('История отказов'!AE100="","",IF(AND(COUNTIF($CU$2:$CU$3,'История отказов'!AE100)=0,COUNTIFS('История отказов'!$F$5:F100,"ЭЦН",'История отказов'!$AE$5:AE100,'История отказов'!AE100)=1,'История отказов'!F100="ЭЦН"),96,""))</f>
        <v/>
      </c>
      <c r="DE97">
        <f>IF('История отказов'!AE100="","",IF(AND(COUNTIF($CV$2:$CV$3,'История отказов'!AE100)=0,COUNTIFS('История отказов'!$F$5:F100,"ЭВН",'История отказов'!$AE$5:AE100,'История отказов'!AE100)=1,'История отказов'!F100="ЭВН"),96,""))</f>
        <v/>
      </c>
      <c r="DF97">
        <f>IF('История отказов'!AE100="","",IF(AND(COUNTIF($CX$2:$CX$2,'История отказов'!AE100)=0,COUNTIFS('История отказов'!$F$5:F100,"ШВН",'История отказов'!$AE$5:AE100,'История отказов'!AE100)=1,'История отказов'!F100="ШВН"),96,""))</f>
        <v/>
      </c>
      <c r="DG97">
        <f>IF('История отказов'!AE100="","",IF(AND(COUNTIF($CW$2:$CW$2,'История отказов'!AE100)=0,COUNTIFS('История отказов'!$F$5:F100,"НПУ-ВД",'История отказов'!$AE$5:AE100,'История отказов'!AE100)=1,'История отказов'!F100="НПУ-ВД"),96,""))</f>
        <v/>
      </c>
      <c r="DH97">
        <f>IF('История отказов'!AE100="","",IF(AND(COUNTIF($CY$2:$CY$6,'История отказов'!AE100)=0,COUNTIF('История отказов'!$AE$5:AE100,'История отказов'!AE100)=1),96,""))</f>
        <v/>
      </c>
      <c r="DI97">
        <f>IF('История отказов'!AK100="","",IF(AND(COUNTIF($CL$2:$CL$3,'История отказов'!AK100)=0,COUNTIF('История отказов'!$AK$5:AK100,'История отказов'!AK100)=1),96,""))</f>
        <v/>
      </c>
      <c r="DJ97">
        <f>IF('История отказов'!AU100="","",IF(AND(COUNTIF($CP$2:$CP$3,'История отказов'!AU100)=0,COUNTIF('История отказов'!$AU$5:AU100,'История отказов'!AU100)=1),96,""))</f>
        <v/>
      </c>
      <c r="DK97">
        <f>IF('История отказов'!AY100="","",IF(AND(COUNTIF($CR$2:$CR$2,'История отказов'!AY100)=0,COUNTIF('История отказов'!$AY$5:AY100,'История отказов'!AY100)=1),96,""))</f>
        <v/>
      </c>
      <c r="DL97">
        <f>IF(DB97="","",IF(AND(COUNTIF($DA$2:$DA$47,DB97)=0,COUNTIF($DB$2:DB97,DB97)=1),96,""))</f>
        <v/>
      </c>
    </row>
    <row r="98">
      <c r="A98" s="74" t="n"/>
      <c r="B98" s="75" t="n"/>
      <c r="C98" s="75" t="n"/>
      <c r="D98" s="75" t="n"/>
      <c r="E98" s="75" t="inlineStr">
        <is>
          <t>2.2 — Некачественная подготовка скважины [УШГН]</t>
        </is>
      </c>
      <c r="F98" s="76" t="n"/>
      <c r="H98" t="inlineStr">
        <is>
          <t>ТР2-5 — Фонтанный – УШВН</t>
        </is>
      </c>
      <c r="J98" s="62" t="inlineStr">
        <is>
          <t>2.2 — Некачественная подготовка скважины [УШГН]</t>
        </is>
      </c>
      <c r="K98" s="62" t="n"/>
      <c r="L98" s="62" t="n"/>
      <c r="M98" s="62" t="n"/>
      <c r="N98" s="62" t="n"/>
      <c r="Q98" t="inlineStr">
        <is>
          <t>Отказавший узел</t>
        </is>
      </c>
      <c r="R98" t="inlineStr">
        <is>
          <t>Система ТМС</t>
        </is>
      </c>
      <c r="S98" t="inlineStr">
        <is>
          <t>Рабочая номенклатура</t>
        </is>
      </c>
      <c r="T98" t="inlineStr">
        <is>
          <t>SLB / Новомет, состав УЭЦН</t>
        </is>
      </c>
      <c r="U98" t="inlineStr">
        <is>
          <t>https://www.slb.com/resource-library/oilfield-review/defining-series/defining-esp; https://www.novomet.ru/rus/products-and-services/artificial-lift/intake-and-gas/</t>
        </is>
      </c>
      <c r="V98" t="inlineStr">
        <is>
          <t>ЭЦН/ЭВН, НПУ-ВД по комплектации</t>
        </is>
      </c>
      <c r="BA98" t="inlineStr">
        <is>
          <t>ТР2-5 — Фонтанный – УШВН</t>
        </is>
      </c>
      <c r="CJ98" t="inlineStr">
        <is>
          <t>2.2 — Некачественная подготовка скважины [УШГН]</t>
        </is>
      </c>
      <c r="CL98">
        <f>IFERROR(INDEX('История отказов'!$AK$5:$AK$1204,SMALL($DI$2:$DI$1201,ROWS($CL$4:CL98))),"")</f>
        <v/>
      </c>
      <c r="CP98">
        <f>IFERROR(INDEX('История отказов'!$AU$5:$AU$1204,SMALL($DJ$2:$DJ$1201,ROWS($CP$4:CP98))),"")</f>
        <v/>
      </c>
      <c r="CR98">
        <f>IFERROR(INDEX('История отказов'!$AY$5:$AY$1204,SMALL($DK$2:$DK$1201,ROWS($CR$3:CR98))),"")</f>
        <v/>
      </c>
      <c r="CT98">
        <f>IFERROR(INDEX('История отказов'!$AE$5:$AE$1204,SMALL($DC$2:$DC$1201,ROWS($CT$3:CT98))),"")</f>
        <v/>
      </c>
      <c r="CU98">
        <f>IFERROR(INDEX('История отказов'!$AE$5:$AE$1204,SMALL($DD$2:$DD$1201,ROWS($CU$4:CU98))),"")</f>
        <v/>
      </c>
      <c r="CV98">
        <f>IFERROR(INDEX('История отказов'!$AE$5:$AE$1204,SMALL($DE$2:$DE$1201,ROWS($CV$4:CV98))),"")</f>
        <v/>
      </c>
      <c r="CW98">
        <f>IFERROR(INDEX('История отказов'!$AE$5:$AE$1204,SMALL($DG$2:$DG$1201,ROWS($CW$3:CW98))),"")</f>
        <v/>
      </c>
      <c r="CX98">
        <f>IFERROR(INDEX('История отказов'!$AE$5:$AE$1204,SMALL($DF$2:$DF$1201,ROWS($CX$3:CX98))),"")</f>
        <v/>
      </c>
      <c r="CY98">
        <f>IFERROR(INDEX('История отказов'!$AE$5:$AE$1204,SMALL($DH$2:$DH$1201,ROWS($CY$7:CY98))),"")</f>
        <v/>
      </c>
      <c r="DA98">
        <f>IFERROR(INDEX($DB$2:$DB$4801,SMALL($DL$2:$DL$4801,ROWS($DA$48:DA98))),"")</f>
        <v/>
      </c>
      <c r="DB98">
        <f>IF('История отказов'!AH101="","",'История отказов'!AH101)</f>
        <v/>
      </c>
      <c r="DC98">
        <f>IF('История отказов'!AE101="","",IF(AND(COUNTIF($CT$2:$CT$2,'История отказов'!AE101)=0,COUNTIFS('История отказов'!$F$5:F101,"ШГН",'История отказов'!$AE$5:AE101,'История отказов'!AE101)=1,'История отказов'!F101="ШГН"),97,""))</f>
        <v/>
      </c>
      <c r="DD98">
        <f>IF('История отказов'!AE101="","",IF(AND(COUNTIF($CU$2:$CU$3,'История отказов'!AE101)=0,COUNTIFS('История отказов'!$F$5:F101,"ЭЦН",'История отказов'!$AE$5:AE101,'История отказов'!AE101)=1,'История отказов'!F101="ЭЦН"),97,""))</f>
        <v/>
      </c>
      <c r="DE98">
        <f>IF('История отказов'!AE101="","",IF(AND(COUNTIF($CV$2:$CV$3,'История отказов'!AE101)=0,COUNTIFS('История отказов'!$F$5:F101,"ЭВН",'История отказов'!$AE$5:AE101,'История отказов'!AE101)=1,'История отказов'!F101="ЭВН"),97,""))</f>
        <v/>
      </c>
      <c r="DF98">
        <f>IF('История отказов'!AE101="","",IF(AND(COUNTIF($CX$2:$CX$2,'История отказов'!AE101)=0,COUNTIFS('История отказов'!$F$5:F101,"ШВН",'История отказов'!$AE$5:AE101,'История отказов'!AE101)=1,'История отказов'!F101="ШВН"),97,""))</f>
        <v/>
      </c>
      <c r="DG98">
        <f>IF('История отказов'!AE101="","",IF(AND(COUNTIF($CW$2:$CW$2,'История отказов'!AE101)=0,COUNTIFS('История отказов'!$F$5:F101,"НПУ-ВД",'История отказов'!$AE$5:AE101,'История отказов'!AE101)=1,'История отказов'!F101="НПУ-ВД"),97,""))</f>
        <v/>
      </c>
      <c r="DH98">
        <f>IF('История отказов'!AE101="","",IF(AND(COUNTIF($CY$2:$CY$6,'История отказов'!AE101)=0,COUNTIF('История отказов'!$AE$5:AE101,'История отказов'!AE101)=1),97,""))</f>
        <v/>
      </c>
      <c r="DI98">
        <f>IF('История отказов'!AK101="","",IF(AND(COUNTIF($CL$2:$CL$3,'История отказов'!AK101)=0,COUNTIF('История отказов'!$AK$5:AK101,'История отказов'!AK101)=1),97,""))</f>
        <v/>
      </c>
      <c r="DJ98">
        <f>IF('История отказов'!AU101="","",IF(AND(COUNTIF($CP$2:$CP$3,'История отказов'!AU101)=0,COUNTIF('История отказов'!$AU$5:AU101,'История отказов'!AU101)=1),97,""))</f>
        <v/>
      </c>
      <c r="DK98">
        <f>IF('История отказов'!AY101="","",IF(AND(COUNTIF($CR$2:$CR$2,'История отказов'!AY101)=0,COUNTIF('История отказов'!$AY$5:AY101,'История отказов'!AY101)=1),97,""))</f>
        <v/>
      </c>
      <c r="DL98">
        <f>IF(DB98="","",IF(AND(COUNTIF($DA$2:$DA$47,DB98)=0,COUNTIF($DB$2:DB98,DB98)=1),97,""))</f>
        <v/>
      </c>
    </row>
    <row r="99">
      <c r="A99" s="74" t="n"/>
      <c r="B99" s="75" t="n"/>
      <c r="C99" s="75" t="n"/>
      <c r="D99" s="75" t="n"/>
      <c r="E99" s="75" t="inlineStr">
        <is>
          <t>2.3 — Не герметичность НКТ [УШГН]</t>
        </is>
      </c>
      <c r="F99" s="76" t="n"/>
      <c r="H99" t="inlineStr">
        <is>
          <t>ТР2-6 — Газлифт – ШГН.</t>
        </is>
      </c>
      <c r="J99" s="62" t="inlineStr">
        <is>
          <t>2.3 — Не герметичность НКТ [УШГН]</t>
        </is>
      </c>
      <c r="K99" s="62" t="n"/>
      <c r="L99" s="62" t="n"/>
      <c r="M99" s="62" t="n"/>
      <c r="N99" s="62" t="n"/>
      <c r="Q99" t="inlineStr">
        <is>
          <t>Отказавший узел</t>
        </is>
      </c>
      <c r="R99" t="inlineStr">
        <is>
          <t>НКТ</t>
        </is>
      </c>
      <c r="S99" t="inlineStr">
        <is>
          <t>Рабочая номенклатура</t>
        </is>
      </c>
      <c r="T99" t="inlineStr">
        <is>
          <t>Состав системы по паспорту и акту дефектовки</t>
        </is>
      </c>
      <c r="U99" t="inlineStr">
        <is>
          <t>https://www.slb.com/resource-library/oilfield-review/defining-series/defining-esp</t>
        </is>
      </c>
      <c r="V99" t="inlineStr">
        <is>
          <t>Проверить фактическую комплектацию</t>
        </is>
      </c>
      <c r="BA99" t="inlineStr">
        <is>
          <t>ТР2-6 — Газлифт – ШГН.</t>
        </is>
      </c>
      <c r="CJ99" t="inlineStr">
        <is>
          <t>2.3 — Не герметичность НКТ [УШГН]</t>
        </is>
      </c>
      <c r="CL99">
        <f>IFERROR(INDEX('История отказов'!$AK$5:$AK$1204,SMALL($DI$2:$DI$1201,ROWS($CL$4:CL99))),"")</f>
        <v/>
      </c>
      <c r="CP99">
        <f>IFERROR(INDEX('История отказов'!$AU$5:$AU$1204,SMALL($DJ$2:$DJ$1201,ROWS($CP$4:CP99))),"")</f>
        <v/>
      </c>
      <c r="CR99">
        <f>IFERROR(INDEX('История отказов'!$AY$5:$AY$1204,SMALL($DK$2:$DK$1201,ROWS($CR$3:CR99))),"")</f>
        <v/>
      </c>
      <c r="CT99">
        <f>IFERROR(INDEX('История отказов'!$AE$5:$AE$1204,SMALL($DC$2:$DC$1201,ROWS($CT$3:CT99))),"")</f>
        <v/>
      </c>
      <c r="CU99">
        <f>IFERROR(INDEX('История отказов'!$AE$5:$AE$1204,SMALL($DD$2:$DD$1201,ROWS($CU$4:CU99))),"")</f>
        <v/>
      </c>
      <c r="CV99">
        <f>IFERROR(INDEX('История отказов'!$AE$5:$AE$1204,SMALL($DE$2:$DE$1201,ROWS($CV$4:CV99))),"")</f>
        <v/>
      </c>
      <c r="CW99">
        <f>IFERROR(INDEX('История отказов'!$AE$5:$AE$1204,SMALL($DG$2:$DG$1201,ROWS($CW$3:CW99))),"")</f>
        <v/>
      </c>
      <c r="CX99">
        <f>IFERROR(INDEX('История отказов'!$AE$5:$AE$1204,SMALL($DF$2:$DF$1201,ROWS($CX$3:CX99))),"")</f>
        <v/>
      </c>
      <c r="CY99">
        <f>IFERROR(INDEX('История отказов'!$AE$5:$AE$1204,SMALL($DH$2:$DH$1201,ROWS($CY$7:CY99))),"")</f>
        <v/>
      </c>
      <c r="DA99">
        <f>IFERROR(INDEX($DB$2:$DB$4801,SMALL($DL$2:$DL$4801,ROWS($DA$48:DA99))),"")</f>
        <v/>
      </c>
      <c r="DB99">
        <f>IF('История отказов'!AH102="","",'История отказов'!AH102)</f>
        <v/>
      </c>
      <c r="DC99">
        <f>IF('История отказов'!AE102="","",IF(AND(COUNTIF($CT$2:$CT$2,'История отказов'!AE102)=0,COUNTIFS('История отказов'!$F$5:F102,"ШГН",'История отказов'!$AE$5:AE102,'История отказов'!AE102)=1,'История отказов'!F102="ШГН"),98,""))</f>
        <v/>
      </c>
      <c r="DD99">
        <f>IF('История отказов'!AE102="","",IF(AND(COUNTIF($CU$2:$CU$3,'История отказов'!AE102)=0,COUNTIFS('История отказов'!$F$5:F102,"ЭЦН",'История отказов'!$AE$5:AE102,'История отказов'!AE102)=1,'История отказов'!F102="ЭЦН"),98,""))</f>
        <v/>
      </c>
      <c r="DE99">
        <f>IF('История отказов'!AE102="","",IF(AND(COUNTIF($CV$2:$CV$3,'История отказов'!AE102)=0,COUNTIFS('История отказов'!$F$5:F102,"ЭВН",'История отказов'!$AE$5:AE102,'История отказов'!AE102)=1,'История отказов'!F102="ЭВН"),98,""))</f>
        <v/>
      </c>
      <c r="DF99">
        <f>IF('История отказов'!AE102="","",IF(AND(COUNTIF($CX$2:$CX$2,'История отказов'!AE102)=0,COUNTIFS('История отказов'!$F$5:F102,"ШВН",'История отказов'!$AE$5:AE102,'История отказов'!AE102)=1,'История отказов'!F102="ШВН"),98,""))</f>
        <v/>
      </c>
      <c r="DG99">
        <f>IF('История отказов'!AE102="","",IF(AND(COUNTIF($CW$2:$CW$2,'История отказов'!AE102)=0,COUNTIFS('История отказов'!$F$5:F102,"НПУ-ВД",'История отказов'!$AE$5:AE102,'История отказов'!AE102)=1,'История отказов'!F102="НПУ-ВД"),98,""))</f>
        <v/>
      </c>
      <c r="DH99">
        <f>IF('История отказов'!AE102="","",IF(AND(COUNTIF($CY$2:$CY$6,'История отказов'!AE102)=0,COUNTIF('История отказов'!$AE$5:AE102,'История отказов'!AE102)=1),98,""))</f>
        <v/>
      </c>
      <c r="DI99">
        <f>IF('История отказов'!AK102="","",IF(AND(COUNTIF($CL$2:$CL$3,'История отказов'!AK102)=0,COUNTIF('История отказов'!$AK$5:AK102,'История отказов'!AK102)=1),98,""))</f>
        <v/>
      </c>
      <c r="DJ99">
        <f>IF('История отказов'!AU102="","",IF(AND(COUNTIF($CP$2:$CP$3,'История отказов'!AU102)=0,COUNTIF('История отказов'!$AU$5:AU102,'История отказов'!AU102)=1),98,""))</f>
        <v/>
      </c>
      <c r="DK99">
        <f>IF('История отказов'!AY102="","",IF(AND(COUNTIF($CR$2:$CR$2,'История отказов'!AY102)=0,COUNTIF('История отказов'!$AY$5:AY102,'История отказов'!AY102)=1),98,""))</f>
        <v/>
      </c>
      <c r="DL99">
        <f>IF(DB99="","",IF(AND(COUNTIF($DA$2:$DA$47,DB99)=0,COUNTIF($DB$2:DB99,DB99)=1),98,""))</f>
        <v/>
      </c>
    </row>
    <row r="100">
      <c r="A100" s="74" t="n"/>
      <c r="B100" s="75" t="n"/>
      <c r="C100" s="75" t="n"/>
      <c r="D100" s="75" t="n"/>
      <c r="E100" s="75" t="inlineStr">
        <is>
          <t>2.4 — Отворот штанг [УШГН]</t>
        </is>
      </c>
      <c r="F100" s="76" t="n"/>
      <c r="H100" t="inlineStr">
        <is>
          <t>ТР2-7 — Газлифт – УЭЦН.</t>
        </is>
      </c>
      <c r="J100" s="62" t="inlineStr">
        <is>
          <t>2.4 — Отворот штанг [УШГН]</t>
        </is>
      </c>
      <c r="K100" s="62" t="n"/>
      <c r="L100" s="62" t="n"/>
      <c r="M100" s="62" t="n"/>
      <c r="N100" s="62" t="n"/>
      <c r="Q100" t="inlineStr">
        <is>
          <t>Отказавший узел</t>
        </is>
      </c>
      <c r="R100" t="inlineStr">
        <is>
          <t>Штанговая колонна</t>
        </is>
      </c>
      <c r="S100" t="inlineStr">
        <is>
          <t>Рабочая номенклатура</t>
        </is>
      </c>
      <c r="T100" t="inlineStr">
        <is>
          <t>Weatherford, системы УШГН и PCP</t>
        </is>
      </c>
      <c r="U100" t="inlineStr">
        <is>
          <t>https://hs.weatherford.com/knowledge/srp-solution-logic</t>
        </is>
      </c>
      <c r="V100" t="inlineStr">
        <is>
          <t>ШГН/ШВН</t>
        </is>
      </c>
      <c r="BA100" t="inlineStr">
        <is>
          <t>ТР2-7 — Газлифт – УЭЦН.</t>
        </is>
      </c>
      <c r="CJ100" t="inlineStr">
        <is>
          <t>2.4 — Отворот штанг [УШГН]</t>
        </is>
      </c>
      <c r="CL100">
        <f>IFERROR(INDEX('История отказов'!$AK$5:$AK$1204,SMALL($DI$2:$DI$1201,ROWS($CL$4:CL100))),"")</f>
        <v/>
      </c>
      <c r="CP100">
        <f>IFERROR(INDEX('История отказов'!$AU$5:$AU$1204,SMALL($DJ$2:$DJ$1201,ROWS($CP$4:CP100))),"")</f>
        <v/>
      </c>
      <c r="CR100">
        <f>IFERROR(INDEX('История отказов'!$AY$5:$AY$1204,SMALL($DK$2:$DK$1201,ROWS($CR$3:CR100))),"")</f>
        <v/>
      </c>
      <c r="CT100">
        <f>IFERROR(INDEX('История отказов'!$AE$5:$AE$1204,SMALL($DC$2:$DC$1201,ROWS($CT$3:CT100))),"")</f>
        <v/>
      </c>
      <c r="CU100">
        <f>IFERROR(INDEX('История отказов'!$AE$5:$AE$1204,SMALL($DD$2:$DD$1201,ROWS($CU$4:CU100))),"")</f>
        <v/>
      </c>
      <c r="CV100">
        <f>IFERROR(INDEX('История отказов'!$AE$5:$AE$1204,SMALL($DE$2:$DE$1201,ROWS($CV$4:CV100))),"")</f>
        <v/>
      </c>
      <c r="CW100">
        <f>IFERROR(INDEX('История отказов'!$AE$5:$AE$1204,SMALL($DG$2:$DG$1201,ROWS($CW$3:CW100))),"")</f>
        <v/>
      </c>
      <c r="CX100">
        <f>IFERROR(INDEX('История отказов'!$AE$5:$AE$1204,SMALL($DF$2:$DF$1201,ROWS($CX$3:CX100))),"")</f>
        <v/>
      </c>
      <c r="CY100">
        <f>IFERROR(INDEX('История отказов'!$AE$5:$AE$1204,SMALL($DH$2:$DH$1201,ROWS($CY$7:CY100))),"")</f>
        <v/>
      </c>
      <c r="DA100">
        <f>IFERROR(INDEX($DB$2:$DB$4801,SMALL($DL$2:$DL$4801,ROWS($DA$48:DA100))),"")</f>
        <v/>
      </c>
      <c r="DB100">
        <f>IF('История отказов'!AH103="","",'История отказов'!AH103)</f>
        <v/>
      </c>
      <c r="DC100">
        <f>IF('История отказов'!AE103="","",IF(AND(COUNTIF($CT$2:$CT$2,'История отказов'!AE103)=0,COUNTIFS('История отказов'!$F$5:F103,"ШГН",'История отказов'!$AE$5:AE103,'История отказов'!AE103)=1,'История отказов'!F103="ШГН"),99,""))</f>
        <v/>
      </c>
      <c r="DD100">
        <f>IF('История отказов'!AE103="","",IF(AND(COUNTIF($CU$2:$CU$3,'История отказов'!AE103)=0,COUNTIFS('История отказов'!$F$5:F103,"ЭЦН",'История отказов'!$AE$5:AE103,'История отказов'!AE103)=1,'История отказов'!F103="ЭЦН"),99,""))</f>
        <v/>
      </c>
      <c r="DE100">
        <f>IF('История отказов'!AE103="","",IF(AND(COUNTIF($CV$2:$CV$3,'История отказов'!AE103)=0,COUNTIFS('История отказов'!$F$5:F103,"ЭВН",'История отказов'!$AE$5:AE103,'История отказов'!AE103)=1,'История отказов'!F103="ЭВН"),99,""))</f>
        <v/>
      </c>
      <c r="DF100">
        <f>IF('История отказов'!AE103="","",IF(AND(COUNTIF($CX$2:$CX$2,'История отказов'!AE103)=0,COUNTIFS('История отказов'!$F$5:F103,"ШВН",'История отказов'!$AE$5:AE103,'История отказов'!AE103)=1,'История отказов'!F103="ШВН"),99,""))</f>
        <v/>
      </c>
      <c r="DG100">
        <f>IF('История отказов'!AE103="","",IF(AND(COUNTIF($CW$2:$CW$2,'История отказов'!AE103)=0,COUNTIFS('История отказов'!$F$5:F103,"НПУ-ВД",'История отказов'!$AE$5:AE103,'История отказов'!AE103)=1,'История отказов'!F103="НПУ-ВД"),99,""))</f>
        <v/>
      </c>
      <c r="DH100">
        <f>IF('История отказов'!AE103="","",IF(AND(COUNTIF($CY$2:$CY$6,'История отказов'!AE103)=0,COUNTIF('История отказов'!$AE$5:AE103,'История отказов'!AE103)=1),99,""))</f>
        <v/>
      </c>
      <c r="DI100">
        <f>IF('История отказов'!AK103="","",IF(AND(COUNTIF($CL$2:$CL$3,'История отказов'!AK103)=0,COUNTIF('История отказов'!$AK$5:AK103,'История отказов'!AK103)=1),99,""))</f>
        <v/>
      </c>
      <c r="DJ100">
        <f>IF('История отказов'!AU103="","",IF(AND(COUNTIF($CP$2:$CP$3,'История отказов'!AU103)=0,COUNTIF('История отказов'!$AU$5:AU103,'История отказов'!AU103)=1),99,""))</f>
        <v/>
      </c>
      <c r="DK100">
        <f>IF('История отказов'!AY103="","",IF(AND(COUNTIF($CR$2:$CR$2,'История отказов'!AY103)=0,COUNTIF('История отказов'!$AY$5:AY103,'История отказов'!AY103)=1),99,""))</f>
        <v/>
      </c>
      <c r="DL100">
        <f>IF(DB100="","",IF(AND(COUNTIF($DA$2:$DA$47,DB100)=0,COUNTIF($DB$2:DB100,DB100)=1),99,""))</f>
        <v/>
      </c>
    </row>
    <row r="101">
      <c r="A101" s="74" t="n"/>
      <c r="B101" s="75" t="n"/>
      <c r="C101" s="75" t="n"/>
      <c r="D101" s="75" t="n"/>
      <c r="E101" s="75" t="inlineStr">
        <is>
          <t>2.5 — Нарушение СПО [УШГН]</t>
        </is>
      </c>
      <c r="F101" s="76" t="n"/>
      <c r="H101" t="inlineStr">
        <is>
          <t>ТР2-8 — Газлифт – УЭВН</t>
        </is>
      </c>
      <c r="J101" s="62" t="inlineStr">
        <is>
          <t>2.5 — Нарушение СПО [УШГН]</t>
        </is>
      </c>
      <c r="K101" s="62" t="n"/>
      <c r="L101" s="62" t="n"/>
      <c r="M101" s="62" t="n"/>
      <c r="N101" s="62" t="n"/>
      <c r="Q101" t="inlineStr">
        <is>
          <t>Отказавший узел</t>
        </is>
      </c>
      <c r="R101" t="inlineStr">
        <is>
          <t>Муфта штанг</t>
        </is>
      </c>
      <c r="S101" t="inlineStr">
        <is>
          <t>Рабочая номенклатура</t>
        </is>
      </c>
      <c r="T101" t="inlineStr">
        <is>
          <t>Состав системы по паспорту и акту дефектовки</t>
        </is>
      </c>
      <c r="U101" t="inlineStr">
        <is>
          <t>https://www.slb.com/resource-library/oilfield-review/defining-series/defining-esp</t>
        </is>
      </c>
      <c r="V101" t="inlineStr">
        <is>
          <t>Проверить фактическую комплектацию</t>
        </is>
      </c>
      <c r="BA101" t="inlineStr">
        <is>
          <t>ТР2-8 — Газлифт – УЭВН</t>
        </is>
      </c>
      <c r="CJ101" t="inlineStr">
        <is>
          <t>2.5 — Нарушение СПО [УШГН]</t>
        </is>
      </c>
      <c r="CL101">
        <f>IFERROR(INDEX('История отказов'!$AK$5:$AK$1204,SMALL($DI$2:$DI$1201,ROWS($CL$4:CL101))),"")</f>
        <v/>
      </c>
      <c r="CP101">
        <f>IFERROR(INDEX('История отказов'!$AU$5:$AU$1204,SMALL($DJ$2:$DJ$1201,ROWS($CP$4:CP101))),"")</f>
        <v/>
      </c>
      <c r="CR101">
        <f>IFERROR(INDEX('История отказов'!$AY$5:$AY$1204,SMALL($DK$2:$DK$1201,ROWS($CR$3:CR101))),"")</f>
        <v/>
      </c>
      <c r="CT101">
        <f>IFERROR(INDEX('История отказов'!$AE$5:$AE$1204,SMALL($DC$2:$DC$1201,ROWS($CT$3:CT101))),"")</f>
        <v/>
      </c>
      <c r="CU101">
        <f>IFERROR(INDEX('История отказов'!$AE$5:$AE$1204,SMALL($DD$2:$DD$1201,ROWS($CU$4:CU101))),"")</f>
        <v/>
      </c>
      <c r="CV101">
        <f>IFERROR(INDEX('История отказов'!$AE$5:$AE$1204,SMALL($DE$2:$DE$1201,ROWS($CV$4:CV101))),"")</f>
        <v/>
      </c>
      <c r="CW101">
        <f>IFERROR(INDEX('История отказов'!$AE$5:$AE$1204,SMALL($DG$2:$DG$1201,ROWS($CW$3:CW101))),"")</f>
        <v/>
      </c>
      <c r="CX101">
        <f>IFERROR(INDEX('История отказов'!$AE$5:$AE$1204,SMALL($DF$2:$DF$1201,ROWS($CX$3:CX101))),"")</f>
        <v/>
      </c>
      <c r="CY101">
        <f>IFERROR(INDEX('История отказов'!$AE$5:$AE$1204,SMALL($DH$2:$DH$1201,ROWS($CY$7:CY101))),"")</f>
        <v/>
      </c>
      <c r="DA101">
        <f>IFERROR(INDEX($DB$2:$DB$4801,SMALL($DL$2:$DL$4801,ROWS($DA$48:DA101))),"")</f>
        <v/>
      </c>
      <c r="DB101">
        <f>IF('История отказов'!AH104="","",'История отказов'!AH104)</f>
        <v/>
      </c>
      <c r="DC101">
        <f>IF('История отказов'!AE104="","",IF(AND(COUNTIF($CT$2:$CT$2,'История отказов'!AE104)=0,COUNTIFS('История отказов'!$F$5:F104,"ШГН",'История отказов'!$AE$5:AE104,'История отказов'!AE104)=1,'История отказов'!F104="ШГН"),100,""))</f>
        <v/>
      </c>
      <c r="DD101">
        <f>IF('История отказов'!AE104="","",IF(AND(COUNTIF($CU$2:$CU$3,'История отказов'!AE104)=0,COUNTIFS('История отказов'!$F$5:F104,"ЭЦН",'История отказов'!$AE$5:AE104,'История отказов'!AE104)=1,'История отказов'!F104="ЭЦН"),100,""))</f>
        <v/>
      </c>
      <c r="DE101">
        <f>IF('История отказов'!AE104="","",IF(AND(COUNTIF($CV$2:$CV$3,'История отказов'!AE104)=0,COUNTIFS('История отказов'!$F$5:F104,"ЭВН",'История отказов'!$AE$5:AE104,'История отказов'!AE104)=1,'История отказов'!F104="ЭВН"),100,""))</f>
        <v/>
      </c>
      <c r="DF101">
        <f>IF('История отказов'!AE104="","",IF(AND(COUNTIF($CX$2:$CX$2,'История отказов'!AE104)=0,COUNTIFS('История отказов'!$F$5:F104,"ШВН",'История отказов'!$AE$5:AE104,'История отказов'!AE104)=1,'История отказов'!F104="ШВН"),100,""))</f>
        <v/>
      </c>
      <c r="DG101">
        <f>IF('История отказов'!AE104="","",IF(AND(COUNTIF($CW$2:$CW$2,'История отказов'!AE104)=0,COUNTIFS('История отказов'!$F$5:F104,"НПУ-ВД",'История отказов'!$AE$5:AE104,'История отказов'!AE104)=1,'История отказов'!F104="НПУ-ВД"),100,""))</f>
        <v/>
      </c>
      <c r="DH101">
        <f>IF('История отказов'!AE104="","",IF(AND(COUNTIF($CY$2:$CY$6,'История отказов'!AE104)=0,COUNTIF('История отказов'!$AE$5:AE104,'История отказов'!AE104)=1),100,""))</f>
        <v/>
      </c>
      <c r="DI101">
        <f>IF('История отказов'!AK104="","",IF(AND(COUNTIF($CL$2:$CL$3,'История отказов'!AK104)=0,COUNTIF('История отказов'!$AK$5:AK104,'История отказов'!AK104)=1),100,""))</f>
        <v/>
      </c>
      <c r="DJ101">
        <f>IF('История отказов'!AU104="","",IF(AND(COUNTIF($CP$2:$CP$3,'История отказов'!AU104)=0,COUNTIF('История отказов'!$AU$5:AU104,'История отказов'!AU104)=1),100,""))</f>
        <v/>
      </c>
      <c r="DK101">
        <f>IF('История отказов'!AY104="","",IF(AND(COUNTIF($CR$2:$CR$2,'История отказов'!AY104)=0,COUNTIF('История отказов'!$AY$5:AY104,'История отказов'!AY104)=1),100,""))</f>
        <v/>
      </c>
      <c r="DL101">
        <f>IF(DB101="","",IF(AND(COUNTIF($DA$2:$DA$47,DB101)=0,COUNTIF($DB$2:DB101,DB101)=1),100,""))</f>
        <v/>
      </c>
    </row>
    <row r="102">
      <c r="A102" s="74" t="n"/>
      <c r="B102" s="75" t="n"/>
      <c r="C102" s="75" t="n"/>
      <c r="D102" s="75" t="n"/>
      <c r="E102" s="75" t="inlineStr">
        <is>
          <t>2.6 — Авария [УШГН]</t>
        </is>
      </c>
      <c r="F102" s="76" t="n"/>
      <c r="H102" t="inlineStr">
        <is>
          <t>ТР2-9 — Газлифт – УШВН.</t>
        </is>
      </c>
      <c r="J102" s="62" t="inlineStr">
        <is>
          <t>2.6 — Авария [УШГН]</t>
        </is>
      </c>
      <c r="K102" s="62" t="n"/>
      <c r="L102" s="62" t="n"/>
      <c r="M102" s="62" t="n"/>
      <c r="N102" s="62" t="n"/>
      <c r="Q102" t="inlineStr">
        <is>
          <t>Отказавший узел</t>
        </is>
      </c>
      <c r="R102" t="inlineStr">
        <is>
          <t>Плунжер</t>
        </is>
      </c>
      <c r="S102" t="inlineStr">
        <is>
          <t>Рабочая номенклатура</t>
        </is>
      </c>
      <c r="T102" t="inlineStr">
        <is>
          <t>Weatherford, диагностика УШГН; РИТЭК НПУ-ВД</t>
        </is>
      </c>
      <c r="U102" t="inlineStr">
        <is>
          <t>https://hs.weatherford.com/knowledge/srp-solution-logic</t>
        </is>
      </c>
      <c r="V102" t="inlineStr">
        <is>
          <t>ШГН, НПУ-ВД по комплектации</t>
        </is>
      </c>
      <c r="BA102" t="inlineStr">
        <is>
          <t>ТР2-9 — Газлифт – УШВН.</t>
        </is>
      </c>
      <c r="CJ102" t="inlineStr">
        <is>
          <t>2.6 — Авария [УШГН]</t>
        </is>
      </c>
      <c r="CL102">
        <f>IFERROR(INDEX('История отказов'!$AK$5:$AK$1204,SMALL($DI$2:$DI$1201,ROWS($CL$4:CL102))),"")</f>
        <v/>
      </c>
      <c r="CP102">
        <f>IFERROR(INDEX('История отказов'!$AU$5:$AU$1204,SMALL($DJ$2:$DJ$1201,ROWS($CP$4:CP102))),"")</f>
        <v/>
      </c>
      <c r="CR102">
        <f>IFERROR(INDEX('История отказов'!$AY$5:$AY$1204,SMALL($DK$2:$DK$1201,ROWS($CR$3:CR102))),"")</f>
        <v/>
      </c>
      <c r="CT102">
        <f>IFERROR(INDEX('История отказов'!$AE$5:$AE$1204,SMALL($DC$2:$DC$1201,ROWS($CT$3:CT102))),"")</f>
        <v/>
      </c>
      <c r="CU102">
        <f>IFERROR(INDEX('История отказов'!$AE$5:$AE$1204,SMALL($DD$2:$DD$1201,ROWS($CU$4:CU102))),"")</f>
        <v/>
      </c>
      <c r="CV102">
        <f>IFERROR(INDEX('История отказов'!$AE$5:$AE$1204,SMALL($DE$2:$DE$1201,ROWS($CV$4:CV102))),"")</f>
        <v/>
      </c>
      <c r="CW102">
        <f>IFERROR(INDEX('История отказов'!$AE$5:$AE$1204,SMALL($DG$2:$DG$1201,ROWS($CW$3:CW102))),"")</f>
        <v/>
      </c>
      <c r="CX102">
        <f>IFERROR(INDEX('История отказов'!$AE$5:$AE$1204,SMALL($DF$2:$DF$1201,ROWS($CX$3:CX102))),"")</f>
        <v/>
      </c>
      <c r="CY102">
        <f>IFERROR(INDEX('История отказов'!$AE$5:$AE$1204,SMALL($DH$2:$DH$1201,ROWS($CY$7:CY102))),"")</f>
        <v/>
      </c>
      <c r="DA102">
        <f>IFERROR(INDEX($DB$2:$DB$4801,SMALL($DL$2:$DL$4801,ROWS($DA$48:DA102))),"")</f>
        <v/>
      </c>
      <c r="DB102">
        <f>IF('История отказов'!AH105="","",'История отказов'!AH105)</f>
        <v/>
      </c>
      <c r="DC102">
        <f>IF('История отказов'!AE105="","",IF(AND(COUNTIF($CT$2:$CT$2,'История отказов'!AE105)=0,COUNTIFS('История отказов'!$F$5:F105,"ШГН",'История отказов'!$AE$5:AE105,'История отказов'!AE105)=1,'История отказов'!F105="ШГН"),101,""))</f>
        <v/>
      </c>
      <c r="DD102">
        <f>IF('История отказов'!AE105="","",IF(AND(COUNTIF($CU$2:$CU$3,'История отказов'!AE105)=0,COUNTIFS('История отказов'!$F$5:F105,"ЭЦН",'История отказов'!$AE$5:AE105,'История отказов'!AE105)=1,'История отказов'!F105="ЭЦН"),101,""))</f>
        <v/>
      </c>
      <c r="DE102">
        <f>IF('История отказов'!AE105="","",IF(AND(COUNTIF($CV$2:$CV$3,'История отказов'!AE105)=0,COUNTIFS('История отказов'!$F$5:F105,"ЭВН",'История отказов'!$AE$5:AE105,'История отказов'!AE105)=1,'История отказов'!F105="ЭВН"),101,""))</f>
        <v/>
      </c>
      <c r="DF102">
        <f>IF('История отказов'!AE105="","",IF(AND(COUNTIF($CX$2:$CX$2,'История отказов'!AE105)=0,COUNTIFS('История отказов'!$F$5:F105,"ШВН",'История отказов'!$AE$5:AE105,'История отказов'!AE105)=1,'История отказов'!F105="ШВН"),101,""))</f>
        <v/>
      </c>
      <c r="DG102">
        <f>IF('История отказов'!AE105="","",IF(AND(COUNTIF($CW$2:$CW$2,'История отказов'!AE105)=0,COUNTIFS('История отказов'!$F$5:F105,"НПУ-ВД",'История отказов'!$AE$5:AE105,'История отказов'!AE105)=1,'История отказов'!F105="НПУ-ВД"),101,""))</f>
        <v/>
      </c>
      <c r="DH102">
        <f>IF('История отказов'!AE105="","",IF(AND(COUNTIF($CY$2:$CY$6,'История отказов'!AE105)=0,COUNTIF('История отказов'!$AE$5:AE105,'История отказов'!AE105)=1),101,""))</f>
        <v/>
      </c>
      <c r="DI102">
        <f>IF('История отказов'!AK105="","",IF(AND(COUNTIF($CL$2:$CL$3,'История отказов'!AK105)=0,COUNTIF('История отказов'!$AK$5:AK105,'История отказов'!AK105)=1),101,""))</f>
        <v/>
      </c>
      <c r="DJ102">
        <f>IF('История отказов'!AU105="","",IF(AND(COUNTIF($CP$2:$CP$3,'История отказов'!AU105)=0,COUNTIF('История отказов'!$AU$5:AU105,'История отказов'!AU105)=1),101,""))</f>
        <v/>
      </c>
      <c r="DK102">
        <f>IF('История отказов'!AY105="","",IF(AND(COUNTIF($CR$2:$CR$2,'История отказов'!AY105)=0,COUNTIF('История отказов'!$AY$5:AY105,'История отказов'!AY105)=1),101,""))</f>
        <v/>
      </c>
      <c r="DL102">
        <f>IF(DB102="","",IF(AND(COUNTIF($DA$2:$DA$47,DB102)=0,COUNTIF($DB$2:DB102,DB102)=1),101,""))</f>
        <v/>
      </c>
    </row>
    <row r="103">
      <c r="A103" s="74" t="n"/>
      <c r="B103" s="75" t="n"/>
      <c r="C103" s="75" t="n"/>
      <c r="D103" s="75" t="n"/>
      <c r="E103" s="75" t="inlineStr">
        <is>
          <t>2.7 — Организационные причины КРС [УШГН]</t>
        </is>
      </c>
      <c r="F103" s="76" t="n"/>
      <c r="H103" t="inlineStr">
        <is>
          <t>ТР2-10 — ШГН – УЭЦН.</t>
        </is>
      </c>
      <c r="J103" s="62" t="inlineStr">
        <is>
          <t>2.7 — Организационные причины КРС [УШГН]</t>
        </is>
      </c>
      <c r="K103" s="62" t="n"/>
      <c r="L103" s="62" t="n"/>
      <c r="M103" s="62" t="n"/>
      <c r="N103" s="62" t="n"/>
      <c r="Q103" t="inlineStr">
        <is>
          <t>Отказавший узел</t>
        </is>
      </c>
      <c r="R103" t="inlineStr">
        <is>
          <t>Цилиндр</t>
        </is>
      </c>
      <c r="S103" t="inlineStr">
        <is>
          <t>Рабочая номенклатура</t>
        </is>
      </c>
      <c r="T103" t="inlineStr">
        <is>
          <t>Weatherford, диагностика УШГН; РИТЭК НПУ-ВД</t>
        </is>
      </c>
      <c r="U103" t="inlineStr">
        <is>
          <t>https://hs.weatherford.com/knowledge/srp-solution-logic</t>
        </is>
      </c>
      <c r="V103" t="inlineStr">
        <is>
          <t>ШГН, НПУ-ВД по комплектации</t>
        </is>
      </c>
      <c r="BA103" t="inlineStr">
        <is>
          <t>ТР2-10 — ШГН – УЭЦН.</t>
        </is>
      </c>
      <c r="CJ103" t="inlineStr">
        <is>
          <t>2.7 — Организационные причины КРС [УШГН]</t>
        </is>
      </c>
      <c r="CL103">
        <f>IFERROR(INDEX('История отказов'!$AK$5:$AK$1204,SMALL($DI$2:$DI$1201,ROWS($CL$4:CL103))),"")</f>
        <v/>
      </c>
      <c r="CP103">
        <f>IFERROR(INDEX('История отказов'!$AU$5:$AU$1204,SMALL($DJ$2:$DJ$1201,ROWS($CP$4:CP103))),"")</f>
        <v/>
      </c>
      <c r="CR103">
        <f>IFERROR(INDEX('История отказов'!$AY$5:$AY$1204,SMALL($DK$2:$DK$1201,ROWS($CR$3:CR103))),"")</f>
        <v/>
      </c>
      <c r="CT103">
        <f>IFERROR(INDEX('История отказов'!$AE$5:$AE$1204,SMALL($DC$2:$DC$1201,ROWS($CT$3:CT103))),"")</f>
        <v/>
      </c>
      <c r="CU103">
        <f>IFERROR(INDEX('История отказов'!$AE$5:$AE$1204,SMALL($DD$2:$DD$1201,ROWS($CU$4:CU103))),"")</f>
        <v/>
      </c>
      <c r="CV103">
        <f>IFERROR(INDEX('История отказов'!$AE$5:$AE$1204,SMALL($DE$2:$DE$1201,ROWS($CV$4:CV103))),"")</f>
        <v/>
      </c>
      <c r="CW103">
        <f>IFERROR(INDEX('История отказов'!$AE$5:$AE$1204,SMALL($DG$2:$DG$1201,ROWS($CW$3:CW103))),"")</f>
        <v/>
      </c>
      <c r="CX103">
        <f>IFERROR(INDEX('История отказов'!$AE$5:$AE$1204,SMALL($DF$2:$DF$1201,ROWS($CX$3:CX103))),"")</f>
        <v/>
      </c>
      <c r="CY103">
        <f>IFERROR(INDEX('История отказов'!$AE$5:$AE$1204,SMALL($DH$2:$DH$1201,ROWS($CY$7:CY103))),"")</f>
        <v/>
      </c>
      <c r="DA103">
        <f>IFERROR(INDEX($DB$2:$DB$4801,SMALL($DL$2:$DL$4801,ROWS($DA$48:DA103))),"")</f>
        <v/>
      </c>
      <c r="DB103">
        <f>IF('История отказов'!AH106="","",'История отказов'!AH106)</f>
        <v/>
      </c>
      <c r="DC103">
        <f>IF('История отказов'!AE106="","",IF(AND(COUNTIF($CT$2:$CT$2,'История отказов'!AE106)=0,COUNTIFS('История отказов'!$F$5:F106,"ШГН",'История отказов'!$AE$5:AE106,'История отказов'!AE106)=1,'История отказов'!F106="ШГН"),102,""))</f>
        <v/>
      </c>
      <c r="DD103">
        <f>IF('История отказов'!AE106="","",IF(AND(COUNTIF($CU$2:$CU$3,'История отказов'!AE106)=0,COUNTIFS('История отказов'!$F$5:F106,"ЭЦН",'История отказов'!$AE$5:AE106,'История отказов'!AE106)=1,'История отказов'!F106="ЭЦН"),102,""))</f>
        <v/>
      </c>
      <c r="DE103">
        <f>IF('История отказов'!AE106="","",IF(AND(COUNTIF($CV$2:$CV$3,'История отказов'!AE106)=0,COUNTIFS('История отказов'!$F$5:F106,"ЭВН",'История отказов'!$AE$5:AE106,'История отказов'!AE106)=1,'История отказов'!F106="ЭВН"),102,""))</f>
        <v/>
      </c>
      <c r="DF103">
        <f>IF('История отказов'!AE106="","",IF(AND(COUNTIF($CX$2:$CX$2,'История отказов'!AE106)=0,COUNTIFS('История отказов'!$F$5:F106,"ШВН",'История отказов'!$AE$5:AE106,'История отказов'!AE106)=1,'История отказов'!F106="ШВН"),102,""))</f>
        <v/>
      </c>
      <c r="DG103">
        <f>IF('История отказов'!AE106="","",IF(AND(COUNTIF($CW$2:$CW$2,'История отказов'!AE106)=0,COUNTIFS('История отказов'!$F$5:F106,"НПУ-ВД",'История отказов'!$AE$5:AE106,'История отказов'!AE106)=1,'История отказов'!F106="НПУ-ВД"),102,""))</f>
        <v/>
      </c>
      <c r="DH103">
        <f>IF('История отказов'!AE106="","",IF(AND(COUNTIF($CY$2:$CY$6,'История отказов'!AE106)=0,COUNTIF('История отказов'!$AE$5:AE106,'История отказов'!AE106)=1),102,""))</f>
        <v/>
      </c>
      <c r="DI103">
        <f>IF('История отказов'!AK106="","",IF(AND(COUNTIF($CL$2:$CL$3,'История отказов'!AK106)=0,COUNTIF('История отказов'!$AK$5:AK106,'История отказов'!AK106)=1),102,""))</f>
        <v/>
      </c>
      <c r="DJ103">
        <f>IF('История отказов'!AU106="","",IF(AND(COUNTIF($CP$2:$CP$3,'История отказов'!AU106)=0,COUNTIF('История отказов'!$AU$5:AU106,'История отказов'!AU106)=1),102,""))</f>
        <v/>
      </c>
      <c r="DK103">
        <f>IF('История отказов'!AY106="","",IF(AND(COUNTIF($CR$2:$CR$2,'История отказов'!AY106)=0,COUNTIF('История отказов'!$AY$5:AY106,'История отказов'!AY106)=1),102,""))</f>
        <v/>
      </c>
      <c r="DL103">
        <f>IF(DB103="","",IF(AND(COUNTIF($DA$2:$DA$47,DB103)=0,COUNTIF($DB$2:DB103,DB103)=1),102,""))</f>
        <v/>
      </c>
    </row>
    <row r="104">
      <c r="A104" s="74" t="n"/>
      <c r="B104" s="75" t="n"/>
      <c r="C104" s="75" t="n"/>
      <c r="D104" s="75" t="n"/>
      <c r="E104" s="75" t="inlineStr">
        <is>
          <t>3.1 — Неправильный подбор ГНО [УШГН]</t>
        </is>
      </c>
      <c r="F104" s="76" t="n"/>
      <c r="H104" t="inlineStr">
        <is>
          <t>ТР2-11 — ШГН – УЭВН.</t>
        </is>
      </c>
      <c r="J104" s="62" t="inlineStr">
        <is>
          <t>3.1 — Неправильный подбор ГНО [УШГН]</t>
        </is>
      </c>
      <c r="K104" s="62" t="n"/>
      <c r="L104" s="62" t="n"/>
      <c r="M104" s="62" t="n"/>
      <c r="N104" s="62" t="n"/>
      <c r="Q104" t="inlineStr">
        <is>
          <t>Отказавший узел</t>
        </is>
      </c>
      <c r="R104" t="inlineStr">
        <is>
          <t>Клапанный узел</t>
        </is>
      </c>
      <c r="S104" t="inlineStr">
        <is>
          <t>Рабочая номенклатура</t>
        </is>
      </c>
      <c r="T104" t="inlineStr">
        <is>
          <t>Weatherford, диагностика УШГН; РИТЭК НПУ-ВД</t>
        </is>
      </c>
      <c r="U104" t="inlineStr">
        <is>
          <t>https://hs.weatherford.com/knowledge/srp-solution-logic</t>
        </is>
      </c>
      <c r="V104" t="inlineStr">
        <is>
          <t>ШГН, НПУ-ВД по комплектации</t>
        </is>
      </c>
      <c r="BA104" t="inlineStr">
        <is>
          <t>ТР2-11 — ШГН – УЭВН.</t>
        </is>
      </c>
      <c r="CJ104" t="inlineStr">
        <is>
          <t>3.1 — Неправильный подбор ГНО [УШГН]</t>
        </is>
      </c>
      <c r="CL104">
        <f>IFERROR(INDEX('История отказов'!$AK$5:$AK$1204,SMALL($DI$2:$DI$1201,ROWS($CL$4:CL104))),"")</f>
        <v/>
      </c>
      <c r="CP104">
        <f>IFERROR(INDEX('История отказов'!$AU$5:$AU$1204,SMALL($DJ$2:$DJ$1201,ROWS($CP$4:CP104))),"")</f>
        <v/>
      </c>
      <c r="CR104">
        <f>IFERROR(INDEX('История отказов'!$AY$5:$AY$1204,SMALL($DK$2:$DK$1201,ROWS($CR$3:CR104))),"")</f>
        <v/>
      </c>
      <c r="CT104">
        <f>IFERROR(INDEX('История отказов'!$AE$5:$AE$1204,SMALL($DC$2:$DC$1201,ROWS($CT$3:CT104))),"")</f>
        <v/>
      </c>
      <c r="CU104">
        <f>IFERROR(INDEX('История отказов'!$AE$5:$AE$1204,SMALL($DD$2:$DD$1201,ROWS($CU$4:CU104))),"")</f>
        <v/>
      </c>
      <c r="CV104">
        <f>IFERROR(INDEX('История отказов'!$AE$5:$AE$1204,SMALL($DE$2:$DE$1201,ROWS($CV$4:CV104))),"")</f>
        <v/>
      </c>
      <c r="CW104">
        <f>IFERROR(INDEX('История отказов'!$AE$5:$AE$1204,SMALL($DG$2:$DG$1201,ROWS($CW$3:CW104))),"")</f>
        <v/>
      </c>
      <c r="CX104">
        <f>IFERROR(INDEX('История отказов'!$AE$5:$AE$1204,SMALL($DF$2:$DF$1201,ROWS($CX$3:CX104))),"")</f>
        <v/>
      </c>
      <c r="CY104">
        <f>IFERROR(INDEX('История отказов'!$AE$5:$AE$1204,SMALL($DH$2:$DH$1201,ROWS($CY$7:CY104))),"")</f>
        <v/>
      </c>
      <c r="DA104">
        <f>IFERROR(INDEX($DB$2:$DB$4801,SMALL($DL$2:$DL$4801,ROWS($DA$48:DA104))),"")</f>
        <v/>
      </c>
      <c r="DB104">
        <f>IF('История отказов'!AH107="","",'История отказов'!AH107)</f>
        <v/>
      </c>
      <c r="DC104">
        <f>IF('История отказов'!AE107="","",IF(AND(COUNTIF($CT$2:$CT$2,'История отказов'!AE107)=0,COUNTIFS('История отказов'!$F$5:F107,"ШГН",'История отказов'!$AE$5:AE107,'История отказов'!AE107)=1,'История отказов'!F107="ШГН"),103,""))</f>
        <v/>
      </c>
      <c r="DD104">
        <f>IF('История отказов'!AE107="","",IF(AND(COUNTIF($CU$2:$CU$3,'История отказов'!AE107)=0,COUNTIFS('История отказов'!$F$5:F107,"ЭЦН",'История отказов'!$AE$5:AE107,'История отказов'!AE107)=1,'История отказов'!F107="ЭЦН"),103,""))</f>
        <v/>
      </c>
      <c r="DE104">
        <f>IF('История отказов'!AE107="","",IF(AND(COUNTIF($CV$2:$CV$3,'История отказов'!AE107)=0,COUNTIFS('История отказов'!$F$5:F107,"ЭВН",'История отказов'!$AE$5:AE107,'История отказов'!AE107)=1,'История отказов'!F107="ЭВН"),103,""))</f>
        <v/>
      </c>
      <c r="DF104">
        <f>IF('История отказов'!AE107="","",IF(AND(COUNTIF($CX$2:$CX$2,'История отказов'!AE107)=0,COUNTIFS('История отказов'!$F$5:F107,"ШВН",'История отказов'!$AE$5:AE107,'История отказов'!AE107)=1,'История отказов'!F107="ШВН"),103,""))</f>
        <v/>
      </c>
      <c r="DG104">
        <f>IF('История отказов'!AE107="","",IF(AND(COUNTIF($CW$2:$CW$2,'История отказов'!AE107)=0,COUNTIFS('История отказов'!$F$5:F107,"НПУ-ВД",'История отказов'!$AE$5:AE107,'История отказов'!AE107)=1,'История отказов'!F107="НПУ-ВД"),103,""))</f>
        <v/>
      </c>
      <c r="DH104">
        <f>IF('История отказов'!AE107="","",IF(AND(COUNTIF($CY$2:$CY$6,'История отказов'!AE107)=0,COUNTIF('История отказов'!$AE$5:AE107,'История отказов'!AE107)=1),103,""))</f>
        <v/>
      </c>
      <c r="DI104">
        <f>IF('История отказов'!AK107="","",IF(AND(COUNTIF($CL$2:$CL$3,'История отказов'!AK107)=0,COUNTIF('История отказов'!$AK$5:AK107,'История отказов'!AK107)=1),103,""))</f>
        <v/>
      </c>
      <c r="DJ104">
        <f>IF('История отказов'!AU107="","",IF(AND(COUNTIF($CP$2:$CP$3,'История отказов'!AU107)=0,COUNTIF('История отказов'!$AU$5:AU107,'История отказов'!AU107)=1),103,""))</f>
        <v/>
      </c>
      <c r="DK104">
        <f>IF('История отказов'!AY107="","",IF(AND(COUNTIF($CR$2:$CR$2,'История отказов'!AY107)=0,COUNTIF('История отказов'!$AY$5:AY107,'История отказов'!AY107)=1),103,""))</f>
        <v/>
      </c>
      <c r="DL104">
        <f>IF(DB104="","",IF(AND(COUNTIF($DA$2:$DA$47,DB104)=0,COUNTIF($DB$2:DB104,DB104)=1),103,""))</f>
        <v/>
      </c>
    </row>
    <row r="105">
      <c r="A105" s="74" t="n"/>
      <c r="B105" s="75" t="n"/>
      <c r="C105" s="75" t="n"/>
      <c r="D105" s="75" t="n"/>
      <c r="E105" s="75" t="inlineStr">
        <is>
          <t>3.2 — Некачественный вывод на режим [УШГН]</t>
        </is>
      </c>
      <c r="F105" s="76" t="n"/>
      <c r="H105" t="inlineStr">
        <is>
          <t>ТР2-12 — ШГН – УШВН.</t>
        </is>
      </c>
      <c r="J105" s="62" t="inlineStr">
        <is>
          <t>3.2 — Некачественный вывод на режим [УШГН]</t>
        </is>
      </c>
      <c r="K105" s="62" t="n"/>
      <c r="L105" s="62" t="n"/>
      <c r="M105" s="62" t="n"/>
      <c r="N105" s="62" t="n"/>
      <c r="Q105" t="inlineStr">
        <is>
          <t>Отказавший узел</t>
        </is>
      </c>
      <c r="R105" t="inlineStr">
        <is>
          <t>Ротор винтового насоса</t>
        </is>
      </c>
      <c r="S105" t="inlineStr">
        <is>
          <t>Рабочая номенклатура</t>
        </is>
      </c>
      <c r="T105" t="inlineStr">
        <is>
          <t>Weatherford, насос PCP</t>
        </is>
      </c>
      <c r="U105" t="inlineStr">
        <is>
          <t>https://www.weatherford.com/documents/papers/2025/applying-o-g-als-technology-to-enable-worldwide-food-security-and-a-greener-future-by-improving-boro/</t>
        </is>
      </c>
      <c r="V105" t="inlineStr">
        <is>
          <t>ШВН/ЭВН</t>
        </is>
      </c>
      <c r="BA105" t="inlineStr">
        <is>
          <t>ТР2-12 — ШГН – УШВН.</t>
        </is>
      </c>
      <c r="CJ105" t="inlineStr">
        <is>
          <t>3.2 — Некачественный вывод на режим [УШГН]</t>
        </is>
      </c>
      <c r="CL105">
        <f>IFERROR(INDEX('История отказов'!$AK$5:$AK$1204,SMALL($DI$2:$DI$1201,ROWS($CL$4:CL105))),"")</f>
        <v/>
      </c>
      <c r="CP105">
        <f>IFERROR(INDEX('История отказов'!$AU$5:$AU$1204,SMALL($DJ$2:$DJ$1201,ROWS($CP$4:CP105))),"")</f>
        <v/>
      </c>
      <c r="CR105">
        <f>IFERROR(INDEX('История отказов'!$AY$5:$AY$1204,SMALL($DK$2:$DK$1201,ROWS($CR$3:CR105))),"")</f>
        <v/>
      </c>
      <c r="CT105">
        <f>IFERROR(INDEX('История отказов'!$AE$5:$AE$1204,SMALL($DC$2:$DC$1201,ROWS($CT$3:CT105))),"")</f>
        <v/>
      </c>
      <c r="CU105">
        <f>IFERROR(INDEX('История отказов'!$AE$5:$AE$1204,SMALL($DD$2:$DD$1201,ROWS($CU$4:CU105))),"")</f>
        <v/>
      </c>
      <c r="CV105">
        <f>IFERROR(INDEX('История отказов'!$AE$5:$AE$1204,SMALL($DE$2:$DE$1201,ROWS($CV$4:CV105))),"")</f>
        <v/>
      </c>
      <c r="CW105">
        <f>IFERROR(INDEX('История отказов'!$AE$5:$AE$1204,SMALL($DG$2:$DG$1201,ROWS($CW$3:CW105))),"")</f>
        <v/>
      </c>
      <c r="CX105">
        <f>IFERROR(INDEX('История отказов'!$AE$5:$AE$1204,SMALL($DF$2:$DF$1201,ROWS($CX$3:CX105))),"")</f>
        <v/>
      </c>
      <c r="CY105">
        <f>IFERROR(INDEX('История отказов'!$AE$5:$AE$1204,SMALL($DH$2:$DH$1201,ROWS($CY$7:CY105))),"")</f>
        <v/>
      </c>
      <c r="DA105">
        <f>IFERROR(INDEX($DB$2:$DB$4801,SMALL($DL$2:$DL$4801,ROWS($DA$48:DA105))),"")</f>
        <v/>
      </c>
      <c r="DB105">
        <f>IF('История отказов'!AH108="","",'История отказов'!AH108)</f>
        <v/>
      </c>
      <c r="DC105">
        <f>IF('История отказов'!AE108="","",IF(AND(COUNTIF($CT$2:$CT$2,'История отказов'!AE108)=0,COUNTIFS('История отказов'!$F$5:F108,"ШГН",'История отказов'!$AE$5:AE108,'История отказов'!AE108)=1,'История отказов'!F108="ШГН"),104,""))</f>
        <v/>
      </c>
      <c r="DD105">
        <f>IF('История отказов'!AE108="","",IF(AND(COUNTIF($CU$2:$CU$3,'История отказов'!AE108)=0,COUNTIFS('История отказов'!$F$5:F108,"ЭЦН",'История отказов'!$AE$5:AE108,'История отказов'!AE108)=1,'История отказов'!F108="ЭЦН"),104,""))</f>
        <v/>
      </c>
      <c r="DE105">
        <f>IF('История отказов'!AE108="","",IF(AND(COUNTIF($CV$2:$CV$3,'История отказов'!AE108)=0,COUNTIFS('История отказов'!$F$5:F108,"ЭВН",'История отказов'!$AE$5:AE108,'История отказов'!AE108)=1,'История отказов'!F108="ЭВН"),104,""))</f>
        <v/>
      </c>
      <c r="DF105">
        <f>IF('История отказов'!AE108="","",IF(AND(COUNTIF($CX$2:$CX$2,'История отказов'!AE108)=0,COUNTIFS('История отказов'!$F$5:F108,"ШВН",'История отказов'!$AE$5:AE108,'История отказов'!AE108)=1,'История отказов'!F108="ШВН"),104,""))</f>
        <v/>
      </c>
      <c r="DG105">
        <f>IF('История отказов'!AE108="","",IF(AND(COUNTIF($CW$2:$CW$2,'История отказов'!AE108)=0,COUNTIFS('История отказов'!$F$5:F108,"НПУ-ВД",'История отказов'!$AE$5:AE108,'История отказов'!AE108)=1,'История отказов'!F108="НПУ-ВД"),104,""))</f>
        <v/>
      </c>
      <c r="DH105">
        <f>IF('История отказов'!AE108="","",IF(AND(COUNTIF($CY$2:$CY$6,'История отказов'!AE108)=0,COUNTIF('История отказов'!$AE$5:AE108,'История отказов'!AE108)=1),104,""))</f>
        <v/>
      </c>
      <c r="DI105">
        <f>IF('История отказов'!AK108="","",IF(AND(COUNTIF($CL$2:$CL$3,'История отказов'!AK108)=0,COUNTIF('История отказов'!$AK$5:AK108,'История отказов'!AK108)=1),104,""))</f>
        <v/>
      </c>
      <c r="DJ105">
        <f>IF('История отказов'!AU108="","",IF(AND(COUNTIF($CP$2:$CP$3,'История отказов'!AU108)=0,COUNTIF('История отказов'!$AU$5:AU108,'История отказов'!AU108)=1),104,""))</f>
        <v/>
      </c>
      <c r="DK105">
        <f>IF('История отказов'!AY108="","",IF(AND(COUNTIF($CR$2:$CR$2,'История отказов'!AY108)=0,COUNTIF('История отказов'!$AY$5:AY108,'История отказов'!AY108)=1),104,""))</f>
        <v/>
      </c>
      <c r="DL105">
        <f>IF(DB105="","",IF(AND(COUNTIF($DA$2:$DA$47,DB105)=0,COUNTIF($DB$2:DB105,DB105)=1),104,""))</f>
        <v/>
      </c>
    </row>
    <row r="106">
      <c r="A106" s="74" t="n"/>
      <c r="B106" s="75" t="n"/>
      <c r="C106" s="75" t="n"/>
      <c r="D106" s="75" t="n"/>
      <c r="E106" s="75" t="inlineStr">
        <is>
          <t>3.3 — Бесконтрольная эксплуатация [УШГН]</t>
        </is>
      </c>
      <c r="F106" s="76" t="n"/>
      <c r="H106" t="inlineStr">
        <is>
          <t>ТР2-13 — УЭЦН – ШГН.</t>
        </is>
      </c>
      <c r="J106" s="62" t="inlineStr">
        <is>
          <t>3.3 — Бесконтрольная эксплуатация [УШГН]</t>
        </is>
      </c>
      <c r="K106" s="62" t="n"/>
      <c r="L106" s="62" t="n"/>
      <c r="M106" s="62" t="n"/>
      <c r="N106" s="62" t="n"/>
      <c r="Q106" t="inlineStr">
        <is>
          <t>Отказавший узел</t>
        </is>
      </c>
      <c r="R106" t="inlineStr">
        <is>
          <t>Статор винтового насоса</t>
        </is>
      </c>
      <c r="S106" t="inlineStr">
        <is>
          <t>Рабочая номенклатура</t>
        </is>
      </c>
      <c r="T106" t="inlineStr">
        <is>
          <t>Weatherford, насос PCP</t>
        </is>
      </c>
      <c r="U106" t="inlineStr">
        <is>
          <t>https://www.weatherford.com/documents/papers/2025/applying-o-g-als-technology-to-enable-worldwide-food-security-and-a-greener-future-by-improving-boro/</t>
        </is>
      </c>
      <c r="V106" t="inlineStr">
        <is>
          <t>ШВН/ЭВН</t>
        </is>
      </c>
      <c r="BA106" t="inlineStr">
        <is>
          <t>ТР2-13 — УЭЦН – ШГН.</t>
        </is>
      </c>
      <c r="CJ106" t="inlineStr">
        <is>
          <t>3.3 — Бесконтрольная эксплуатация [УШГН]</t>
        </is>
      </c>
      <c r="CL106">
        <f>IFERROR(INDEX('История отказов'!$AK$5:$AK$1204,SMALL($DI$2:$DI$1201,ROWS($CL$4:CL106))),"")</f>
        <v/>
      </c>
      <c r="CP106">
        <f>IFERROR(INDEX('История отказов'!$AU$5:$AU$1204,SMALL($DJ$2:$DJ$1201,ROWS($CP$4:CP106))),"")</f>
        <v/>
      </c>
      <c r="CR106">
        <f>IFERROR(INDEX('История отказов'!$AY$5:$AY$1204,SMALL($DK$2:$DK$1201,ROWS($CR$3:CR106))),"")</f>
        <v/>
      </c>
      <c r="CT106">
        <f>IFERROR(INDEX('История отказов'!$AE$5:$AE$1204,SMALL($DC$2:$DC$1201,ROWS($CT$3:CT106))),"")</f>
        <v/>
      </c>
      <c r="CU106">
        <f>IFERROR(INDEX('История отказов'!$AE$5:$AE$1204,SMALL($DD$2:$DD$1201,ROWS($CU$4:CU106))),"")</f>
        <v/>
      </c>
      <c r="CV106">
        <f>IFERROR(INDEX('История отказов'!$AE$5:$AE$1204,SMALL($DE$2:$DE$1201,ROWS($CV$4:CV106))),"")</f>
        <v/>
      </c>
      <c r="CW106">
        <f>IFERROR(INDEX('История отказов'!$AE$5:$AE$1204,SMALL($DG$2:$DG$1201,ROWS($CW$3:CW106))),"")</f>
        <v/>
      </c>
      <c r="CX106">
        <f>IFERROR(INDEX('История отказов'!$AE$5:$AE$1204,SMALL($DF$2:$DF$1201,ROWS($CX$3:CX106))),"")</f>
        <v/>
      </c>
      <c r="CY106">
        <f>IFERROR(INDEX('История отказов'!$AE$5:$AE$1204,SMALL($DH$2:$DH$1201,ROWS($CY$7:CY106))),"")</f>
        <v/>
      </c>
      <c r="DA106">
        <f>IFERROR(INDEX($DB$2:$DB$4801,SMALL($DL$2:$DL$4801,ROWS($DA$48:DA106))),"")</f>
        <v/>
      </c>
      <c r="DB106">
        <f>IF('История отказов'!AH109="","",'История отказов'!AH109)</f>
        <v/>
      </c>
      <c r="DC106">
        <f>IF('История отказов'!AE109="","",IF(AND(COUNTIF($CT$2:$CT$2,'История отказов'!AE109)=0,COUNTIFS('История отказов'!$F$5:F109,"ШГН",'История отказов'!$AE$5:AE109,'История отказов'!AE109)=1,'История отказов'!F109="ШГН"),105,""))</f>
        <v/>
      </c>
      <c r="DD106">
        <f>IF('История отказов'!AE109="","",IF(AND(COUNTIF($CU$2:$CU$3,'История отказов'!AE109)=0,COUNTIFS('История отказов'!$F$5:F109,"ЭЦН",'История отказов'!$AE$5:AE109,'История отказов'!AE109)=1,'История отказов'!F109="ЭЦН"),105,""))</f>
        <v/>
      </c>
      <c r="DE106">
        <f>IF('История отказов'!AE109="","",IF(AND(COUNTIF($CV$2:$CV$3,'История отказов'!AE109)=0,COUNTIFS('История отказов'!$F$5:F109,"ЭВН",'История отказов'!$AE$5:AE109,'История отказов'!AE109)=1,'История отказов'!F109="ЭВН"),105,""))</f>
        <v/>
      </c>
      <c r="DF106">
        <f>IF('История отказов'!AE109="","",IF(AND(COUNTIF($CX$2:$CX$2,'История отказов'!AE109)=0,COUNTIFS('История отказов'!$F$5:F109,"ШВН",'История отказов'!$AE$5:AE109,'История отказов'!AE109)=1,'История отказов'!F109="ШВН"),105,""))</f>
        <v/>
      </c>
      <c r="DG106">
        <f>IF('История отказов'!AE109="","",IF(AND(COUNTIF($CW$2:$CW$2,'История отказов'!AE109)=0,COUNTIFS('История отказов'!$F$5:F109,"НПУ-ВД",'История отказов'!$AE$5:AE109,'История отказов'!AE109)=1,'История отказов'!F109="НПУ-ВД"),105,""))</f>
        <v/>
      </c>
      <c r="DH106">
        <f>IF('История отказов'!AE109="","",IF(AND(COUNTIF($CY$2:$CY$6,'История отказов'!AE109)=0,COUNTIF('История отказов'!$AE$5:AE109,'История отказов'!AE109)=1),105,""))</f>
        <v/>
      </c>
      <c r="DI106">
        <f>IF('История отказов'!AK109="","",IF(AND(COUNTIF($CL$2:$CL$3,'История отказов'!AK109)=0,COUNTIF('История отказов'!$AK$5:AK109,'История отказов'!AK109)=1),105,""))</f>
        <v/>
      </c>
      <c r="DJ106">
        <f>IF('История отказов'!AU109="","",IF(AND(COUNTIF($CP$2:$CP$3,'История отказов'!AU109)=0,COUNTIF('История отказов'!$AU$5:AU109,'История отказов'!AU109)=1),105,""))</f>
        <v/>
      </c>
      <c r="DK106">
        <f>IF('История отказов'!AY109="","",IF(AND(COUNTIF($CR$2:$CR$2,'История отказов'!AY109)=0,COUNTIF('История отказов'!$AY$5:AY109,'История отказов'!AY109)=1),105,""))</f>
        <v/>
      </c>
      <c r="DL106">
        <f>IF(DB106="","",IF(AND(COUNTIF($DA$2:$DA$47,DB106)=0,COUNTIF($DB$2:DB106,DB106)=1),105,""))</f>
        <v/>
      </c>
    </row>
    <row r="107">
      <c r="A107" s="74" t="n"/>
      <c r="B107" s="75" t="n"/>
      <c r="C107" s="75" t="n"/>
      <c r="D107" s="75" t="n"/>
      <c r="E107" s="75" t="inlineStr">
        <is>
          <t>3.4 — Необоснованный подъем ГНО [УШГН]</t>
        </is>
      </c>
      <c r="F107" s="76" t="n"/>
      <c r="H107" t="inlineStr">
        <is>
          <t>ТР2-14 — УЭЦН – УШВН.</t>
        </is>
      </c>
      <c r="J107" s="62" t="inlineStr">
        <is>
          <t>3.4 — Необоснованный подъем ГНО [УШГН]</t>
        </is>
      </c>
      <c r="K107" s="62" t="n"/>
      <c r="L107" s="62" t="n"/>
      <c r="M107" s="62" t="n"/>
      <c r="N107" s="62" t="n"/>
      <c r="Q107" t="inlineStr">
        <is>
          <t>Отказавший узел</t>
        </is>
      </c>
      <c r="R107" t="inlineStr">
        <is>
          <t>Наземный привод</t>
        </is>
      </c>
      <c r="S107" t="inlineStr">
        <is>
          <t>Рабочая номенклатура</t>
        </is>
      </c>
      <c r="T107" t="inlineStr">
        <is>
          <t>Weatherford, системы УШГН и PCP</t>
        </is>
      </c>
      <c r="U107" t="inlineStr">
        <is>
          <t>https://hs.weatherford.com/knowledge/srp-solution-logic</t>
        </is>
      </c>
      <c r="V107" t="inlineStr">
        <is>
          <t>ШГН/ШВН</t>
        </is>
      </c>
      <c r="BA107" t="inlineStr">
        <is>
          <t>ТР2-14 — УЭЦН – УШВН.</t>
        </is>
      </c>
      <c r="CJ107" t="inlineStr">
        <is>
          <t>3.4 — Необоснованный подъем ГНО [УШГН]</t>
        </is>
      </c>
      <c r="CL107">
        <f>IFERROR(INDEX('История отказов'!$AK$5:$AK$1204,SMALL($DI$2:$DI$1201,ROWS($CL$4:CL107))),"")</f>
        <v/>
      </c>
      <c r="CP107">
        <f>IFERROR(INDEX('История отказов'!$AU$5:$AU$1204,SMALL($DJ$2:$DJ$1201,ROWS($CP$4:CP107))),"")</f>
        <v/>
      </c>
      <c r="CR107">
        <f>IFERROR(INDEX('История отказов'!$AY$5:$AY$1204,SMALL($DK$2:$DK$1201,ROWS($CR$3:CR107))),"")</f>
        <v/>
      </c>
      <c r="CT107">
        <f>IFERROR(INDEX('История отказов'!$AE$5:$AE$1204,SMALL($DC$2:$DC$1201,ROWS($CT$3:CT107))),"")</f>
        <v/>
      </c>
      <c r="CU107">
        <f>IFERROR(INDEX('История отказов'!$AE$5:$AE$1204,SMALL($DD$2:$DD$1201,ROWS($CU$4:CU107))),"")</f>
        <v/>
      </c>
      <c r="CV107">
        <f>IFERROR(INDEX('История отказов'!$AE$5:$AE$1204,SMALL($DE$2:$DE$1201,ROWS($CV$4:CV107))),"")</f>
        <v/>
      </c>
      <c r="CW107">
        <f>IFERROR(INDEX('История отказов'!$AE$5:$AE$1204,SMALL($DG$2:$DG$1201,ROWS($CW$3:CW107))),"")</f>
        <v/>
      </c>
      <c r="CX107">
        <f>IFERROR(INDEX('История отказов'!$AE$5:$AE$1204,SMALL($DF$2:$DF$1201,ROWS($CX$3:CX107))),"")</f>
        <v/>
      </c>
      <c r="CY107">
        <f>IFERROR(INDEX('История отказов'!$AE$5:$AE$1204,SMALL($DH$2:$DH$1201,ROWS($CY$7:CY107))),"")</f>
        <v/>
      </c>
      <c r="DA107">
        <f>IFERROR(INDEX($DB$2:$DB$4801,SMALL($DL$2:$DL$4801,ROWS($DA$48:DA107))),"")</f>
        <v/>
      </c>
      <c r="DB107">
        <f>IF('История отказов'!AH110="","",'История отказов'!AH110)</f>
        <v/>
      </c>
      <c r="DC107">
        <f>IF('История отказов'!AE110="","",IF(AND(COUNTIF($CT$2:$CT$2,'История отказов'!AE110)=0,COUNTIFS('История отказов'!$F$5:F110,"ШГН",'История отказов'!$AE$5:AE110,'История отказов'!AE110)=1,'История отказов'!F110="ШГН"),106,""))</f>
        <v/>
      </c>
      <c r="DD107">
        <f>IF('История отказов'!AE110="","",IF(AND(COUNTIF($CU$2:$CU$3,'История отказов'!AE110)=0,COUNTIFS('История отказов'!$F$5:F110,"ЭЦН",'История отказов'!$AE$5:AE110,'История отказов'!AE110)=1,'История отказов'!F110="ЭЦН"),106,""))</f>
        <v/>
      </c>
      <c r="DE107">
        <f>IF('История отказов'!AE110="","",IF(AND(COUNTIF($CV$2:$CV$3,'История отказов'!AE110)=0,COUNTIFS('История отказов'!$F$5:F110,"ЭВН",'История отказов'!$AE$5:AE110,'История отказов'!AE110)=1,'История отказов'!F110="ЭВН"),106,""))</f>
        <v/>
      </c>
      <c r="DF107">
        <f>IF('История отказов'!AE110="","",IF(AND(COUNTIF($CX$2:$CX$2,'История отказов'!AE110)=0,COUNTIFS('История отказов'!$F$5:F110,"ШВН",'История отказов'!$AE$5:AE110,'История отказов'!AE110)=1,'История отказов'!F110="ШВН"),106,""))</f>
        <v/>
      </c>
      <c r="DG107">
        <f>IF('История отказов'!AE110="","",IF(AND(COUNTIF($CW$2:$CW$2,'История отказов'!AE110)=0,COUNTIFS('История отказов'!$F$5:F110,"НПУ-ВД",'История отказов'!$AE$5:AE110,'История отказов'!AE110)=1,'История отказов'!F110="НПУ-ВД"),106,""))</f>
        <v/>
      </c>
      <c r="DH107">
        <f>IF('История отказов'!AE110="","",IF(AND(COUNTIF($CY$2:$CY$6,'История отказов'!AE110)=0,COUNTIF('История отказов'!$AE$5:AE110,'История отказов'!AE110)=1),106,""))</f>
        <v/>
      </c>
      <c r="DI107">
        <f>IF('История отказов'!AK110="","",IF(AND(COUNTIF($CL$2:$CL$3,'История отказов'!AK110)=0,COUNTIF('История отказов'!$AK$5:AK110,'История отказов'!AK110)=1),106,""))</f>
        <v/>
      </c>
      <c r="DJ107">
        <f>IF('История отказов'!AU110="","",IF(AND(COUNTIF($CP$2:$CP$3,'История отказов'!AU110)=0,COUNTIF('История отказов'!$AU$5:AU110,'История отказов'!AU110)=1),106,""))</f>
        <v/>
      </c>
      <c r="DK107">
        <f>IF('История отказов'!AY110="","",IF(AND(COUNTIF($CR$2:$CR$2,'История отказов'!AY110)=0,COUNTIF('История отказов'!$AY$5:AY110,'История отказов'!AY110)=1),106,""))</f>
        <v/>
      </c>
      <c r="DL107">
        <f>IF(DB107="","",IF(AND(COUNTIF($DA$2:$DA$47,DB107)=0,COUNTIF($DB$2:DB107,DB107)=1),106,""))</f>
        <v/>
      </c>
    </row>
    <row r="108">
      <c r="A108" s="74" t="n"/>
      <c r="B108" s="75" t="n"/>
      <c r="C108" s="75" t="n"/>
      <c r="D108" s="75" t="n"/>
      <c r="E108" s="75" t="inlineStr">
        <is>
          <t>3.5 — Гидратопарафиноотложения [УШГН]</t>
        </is>
      </c>
      <c r="F108" s="76" t="n"/>
      <c r="H108" t="inlineStr">
        <is>
          <t>ТР2-15 — УЭЦН – УЭВН.</t>
        </is>
      </c>
      <c r="J108" s="62" t="inlineStr">
        <is>
          <t>3.5 — Гидратопарафиноотложения [УШГН]</t>
        </is>
      </c>
      <c r="K108" s="62" t="n"/>
      <c r="L108" s="62" t="n"/>
      <c r="M108" s="62" t="n"/>
      <c r="N108" s="62" t="n"/>
      <c r="Q108" t="inlineStr">
        <is>
          <t>Отказавший узел</t>
        </is>
      </c>
      <c r="R108" t="inlineStr">
        <is>
          <t>Устьевое оборудование</t>
        </is>
      </c>
      <c r="S108" t="inlineStr">
        <is>
          <t>Рабочая номенклатура</t>
        </is>
      </c>
      <c r="T108" t="inlineStr">
        <is>
          <t>Состав системы по паспорту и акту дефектовки</t>
        </is>
      </c>
      <c r="U108" t="inlineStr">
        <is>
          <t>https://www.slb.com/resource-library/oilfield-review/defining-series/defining-esp</t>
        </is>
      </c>
      <c r="V108" t="inlineStr">
        <is>
          <t>Проверить фактическую комплектацию</t>
        </is>
      </c>
      <c r="BA108" t="inlineStr">
        <is>
          <t>ТР2-15 — УЭЦН – УЭВН.</t>
        </is>
      </c>
      <c r="CJ108" t="inlineStr">
        <is>
          <t>3.5 — Гидратопарафиноотложения [УШГН]</t>
        </is>
      </c>
      <c r="CL108">
        <f>IFERROR(INDEX('История отказов'!$AK$5:$AK$1204,SMALL($DI$2:$DI$1201,ROWS($CL$4:CL108))),"")</f>
        <v/>
      </c>
      <c r="CP108">
        <f>IFERROR(INDEX('История отказов'!$AU$5:$AU$1204,SMALL($DJ$2:$DJ$1201,ROWS($CP$4:CP108))),"")</f>
        <v/>
      </c>
      <c r="CR108">
        <f>IFERROR(INDEX('История отказов'!$AY$5:$AY$1204,SMALL($DK$2:$DK$1201,ROWS($CR$3:CR108))),"")</f>
        <v/>
      </c>
      <c r="CT108">
        <f>IFERROR(INDEX('История отказов'!$AE$5:$AE$1204,SMALL($DC$2:$DC$1201,ROWS($CT$3:CT108))),"")</f>
        <v/>
      </c>
      <c r="CU108">
        <f>IFERROR(INDEX('История отказов'!$AE$5:$AE$1204,SMALL($DD$2:$DD$1201,ROWS($CU$4:CU108))),"")</f>
        <v/>
      </c>
      <c r="CV108">
        <f>IFERROR(INDEX('История отказов'!$AE$5:$AE$1204,SMALL($DE$2:$DE$1201,ROWS($CV$4:CV108))),"")</f>
        <v/>
      </c>
      <c r="CW108">
        <f>IFERROR(INDEX('История отказов'!$AE$5:$AE$1204,SMALL($DG$2:$DG$1201,ROWS($CW$3:CW108))),"")</f>
        <v/>
      </c>
      <c r="CX108">
        <f>IFERROR(INDEX('История отказов'!$AE$5:$AE$1204,SMALL($DF$2:$DF$1201,ROWS($CX$3:CX108))),"")</f>
        <v/>
      </c>
      <c r="CY108">
        <f>IFERROR(INDEX('История отказов'!$AE$5:$AE$1204,SMALL($DH$2:$DH$1201,ROWS($CY$7:CY108))),"")</f>
        <v/>
      </c>
      <c r="DA108">
        <f>IFERROR(INDEX($DB$2:$DB$4801,SMALL($DL$2:$DL$4801,ROWS($DA$48:DA108))),"")</f>
        <v/>
      </c>
      <c r="DB108">
        <f>IF('История отказов'!AH111="","",'История отказов'!AH111)</f>
        <v/>
      </c>
      <c r="DC108">
        <f>IF('История отказов'!AE111="","",IF(AND(COUNTIF($CT$2:$CT$2,'История отказов'!AE111)=0,COUNTIFS('История отказов'!$F$5:F111,"ШГН",'История отказов'!$AE$5:AE111,'История отказов'!AE111)=1,'История отказов'!F111="ШГН"),107,""))</f>
        <v/>
      </c>
      <c r="DD108">
        <f>IF('История отказов'!AE111="","",IF(AND(COUNTIF($CU$2:$CU$3,'История отказов'!AE111)=0,COUNTIFS('История отказов'!$F$5:F111,"ЭЦН",'История отказов'!$AE$5:AE111,'История отказов'!AE111)=1,'История отказов'!F111="ЭЦН"),107,""))</f>
        <v/>
      </c>
      <c r="DE108">
        <f>IF('История отказов'!AE111="","",IF(AND(COUNTIF($CV$2:$CV$3,'История отказов'!AE111)=0,COUNTIFS('История отказов'!$F$5:F111,"ЭВН",'История отказов'!$AE$5:AE111,'История отказов'!AE111)=1,'История отказов'!F111="ЭВН"),107,""))</f>
        <v/>
      </c>
      <c r="DF108">
        <f>IF('История отказов'!AE111="","",IF(AND(COUNTIF($CX$2:$CX$2,'История отказов'!AE111)=0,COUNTIFS('История отказов'!$F$5:F111,"ШВН",'История отказов'!$AE$5:AE111,'История отказов'!AE111)=1,'История отказов'!F111="ШВН"),107,""))</f>
        <v/>
      </c>
      <c r="DG108">
        <f>IF('История отказов'!AE111="","",IF(AND(COUNTIF($CW$2:$CW$2,'История отказов'!AE111)=0,COUNTIFS('История отказов'!$F$5:F111,"НПУ-ВД",'История отказов'!$AE$5:AE111,'История отказов'!AE111)=1,'История отказов'!F111="НПУ-ВД"),107,""))</f>
        <v/>
      </c>
      <c r="DH108">
        <f>IF('История отказов'!AE111="","",IF(AND(COUNTIF($CY$2:$CY$6,'История отказов'!AE111)=0,COUNTIF('История отказов'!$AE$5:AE111,'История отказов'!AE111)=1),107,""))</f>
        <v/>
      </c>
      <c r="DI108">
        <f>IF('История отказов'!AK111="","",IF(AND(COUNTIF($CL$2:$CL$3,'История отказов'!AK111)=0,COUNTIF('История отказов'!$AK$5:AK111,'История отказов'!AK111)=1),107,""))</f>
        <v/>
      </c>
      <c r="DJ108">
        <f>IF('История отказов'!AU111="","",IF(AND(COUNTIF($CP$2:$CP$3,'История отказов'!AU111)=0,COUNTIF('История отказов'!$AU$5:AU111,'История отказов'!AU111)=1),107,""))</f>
        <v/>
      </c>
      <c r="DK108">
        <f>IF('История отказов'!AY111="","",IF(AND(COUNTIF($CR$2:$CR$2,'История отказов'!AY111)=0,COUNTIF('История отказов'!$AY$5:AY111,'История отказов'!AY111)=1),107,""))</f>
        <v/>
      </c>
      <c r="DL108">
        <f>IF(DB108="","",IF(AND(COUNTIF($DA$2:$DA$47,DB108)=0,COUNTIF($DB$2:DB108,DB108)=1),107,""))</f>
        <v/>
      </c>
    </row>
    <row r="109">
      <c r="A109" s="74" t="n"/>
      <c r="B109" s="75" t="n"/>
      <c r="C109" s="75" t="n"/>
      <c r="D109" s="75" t="n"/>
      <c r="E109" s="75" t="inlineStr">
        <is>
          <t>3.6 — Солеотложения [УШГН]</t>
        </is>
      </c>
      <c r="F109" s="76" t="n"/>
      <c r="H109" t="inlineStr">
        <is>
          <t>ТР2-16 — УШВН –УЭЦН.</t>
        </is>
      </c>
      <c r="J109" s="62" t="inlineStr">
        <is>
          <t>3.6 — Солеотложения [УШГН]</t>
        </is>
      </c>
      <c r="K109" s="62" t="n"/>
      <c r="L109" s="62" t="n"/>
      <c r="M109" s="62" t="n"/>
      <c r="N109" s="62" t="n"/>
      <c r="Q109" t="inlineStr">
        <is>
          <t>Отказавший узел</t>
        </is>
      </c>
      <c r="R109" t="inlineStr">
        <is>
          <t>Дополнительное оборудование</t>
        </is>
      </c>
      <c r="S109" t="inlineStr">
        <is>
          <t>Рабочая номенклатура</t>
        </is>
      </c>
      <c r="T109" t="inlineStr">
        <is>
          <t>Состав системы по паспорту и акту дефектовки</t>
        </is>
      </c>
      <c r="U109" t="inlineStr">
        <is>
          <t>https://www.slb.com/resource-library/oilfield-review/defining-series/defining-esp</t>
        </is>
      </c>
      <c r="V109" t="inlineStr">
        <is>
          <t>Проверить фактическую комплектацию</t>
        </is>
      </c>
      <c r="BA109" t="inlineStr">
        <is>
          <t>ТР2-16 — УШВН –УЭЦН.</t>
        </is>
      </c>
      <c r="CJ109" t="inlineStr">
        <is>
          <t>3.6 — Солеотложения [УШГН]</t>
        </is>
      </c>
      <c r="CL109">
        <f>IFERROR(INDEX('История отказов'!$AK$5:$AK$1204,SMALL($DI$2:$DI$1201,ROWS($CL$4:CL109))),"")</f>
        <v/>
      </c>
      <c r="CP109">
        <f>IFERROR(INDEX('История отказов'!$AU$5:$AU$1204,SMALL($DJ$2:$DJ$1201,ROWS($CP$4:CP109))),"")</f>
        <v/>
      </c>
      <c r="CR109">
        <f>IFERROR(INDEX('История отказов'!$AY$5:$AY$1204,SMALL($DK$2:$DK$1201,ROWS($CR$3:CR109))),"")</f>
        <v/>
      </c>
      <c r="CT109">
        <f>IFERROR(INDEX('История отказов'!$AE$5:$AE$1204,SMALL($DC$2:$DC$1201,ROWS($CT$3:CT109))),"")</f>
        <v/>
      </c>
      <c r="CU109">
        <f>IFERROR(INDEX('История отказов'!$AE$5:$AE$1204,SMALL($DD$2:$DD$1201,ROWS($CU$4:CU109))),"")</f>
        <v/>
      </c>
      <c r="CV109">
        <f>IFERROR(INDEX('История отказов'!$AE$5:$AE$1204,SMALL($DE$2:$DE$1201,ROWS($CV$4:CV109))),"")</f>
        <v/>
      </c>
      <c r="CW109">
        <f>IFERROR(INDEX('История отказов'!$AE$5:$AE$1204,SMALL($DG$2:$DG$1201,ROWS($CW$3:CW109))),"")</f>
        <v/>
      </c>
      <c r="CX109">
        <f>IFERROR(INDEX('История отказов'!$AE$5:$AE$1204,SMALL($DF$2:$DF$1201,ROWS($CX$3:CX109))),"")</f>
        <v/>
      </c>
      <c r="CY109">
        <f>IFERROR(INDEX('История отказов'!$AE$5:$AE$1204,SMALL($DH$2:$DH$1201,ROWS($CY$7:CY109))),"")</f>
        <v/>
      </c>
      <c r="DA109">
        <f>IFERROR(INDEX($DB$2:$DB$4801,SMALL($DL$2:$DL$4801,ROWS($DA$48:DA109))),"")</f>
        <v/>
      </c>
      <c r="DB109">
        <f>IF('История отказов'!AH112="","",'История отказов'!AH112)</f>
        <v/>
      </c>
      <c r="DC109">
        <f>IF('История отказов'!AE112="","",IF(AND(COUNTIF($CT$2:$CT$2,'История отказов'!AE112)=0,COUNTIFS('История отказов'!$F$5:F112,"ШГН",'История отказов'!$AE$5:AE112,'История отказов'!AE112)=1,'История отказов'!F112="ШГН"),108,""))</f>
        <v/>
      </c>
      <c r="DD109">
        <f>IF('История отказов'!AE112="","",IF(AND(COUNTIF($CU$2:$CU$3,'История отказов'!AE112)=0,COUNTIFS('История отказов'!$F$5:F112,"ЭЦН",'История отказов'!$AE$5:AE112,'История отказов'!AE112)=1,'История отказов'!F112="ЭЦН"),108,""))</f>
        <v/>
      </c>
      <c r="DE109">
        <f>IF('История отказов'!AE112="","",IF(AND(COUNTIF($CV$2:$CV$3,'История отказов'!AE112)=0,COUNTIFS('История отказов'!$F$5:F112,"ЭВН",'История отказов'!$AE$5:AE112,'История отказов'!AE112)=1,'История отказов'!F112="ЭВН"),108,""))</f>
        <v/>
      </c>
      <c r="DF109">
        <f>IF('История отказов'!AE112="","",IF(AND(COUNTIF($CX$2:$CX$2,'История отказов'!AE112)=0,COUNTIFS('История отказов'!$F$5:F112,"ШВН",'История отказов'!$AE$5:AE112,'История отказов'!AE112)=1,'История отказов'!F112="ШВН"),108,""))</f>
        <v/>
      </c>
      <c r="DG109">
        <f>IF('История отказов'!AE112="","",IF(AND(COUNTIF($CW$2:$CW$2,'История отказов'!AE112)=0,COUNTIFS('История отказов'!$F$5:F112,"НПУ-ВД",'История отказов'!$AE$5:AE112,'История отказов'!AE112)=1,'История отказов'!F112="НПУ-ВД"),108,""))</f>
        <v/>
      </c>
      <c r="DH109">
        <f>IF('История отказов'!AE112="","",IF(AND(COUNTIF($CY$2:$CY$6,'История отказов'!AE112)=0,COUNTIF('История отказов'!$AE$5:AE112,'История отказов'!AE112)=1),108,""))</f>
        <v/>
      </c>
      <c r="DI109">
        <f>IF('История отказов'!AK112="","",IF(AND(COUNTIF($CL$2:$CL$3,'История отказов'!AK112)=0,COUNTIF('История отказов'!$AK$5:AK112,'История отказов'!AK112)=1),108,""))</f>
        <v/>
      </c>
      <c r="DJ109">
        <f>IF('История отказов'!AU112="","",IF(AND(COUNTIF($CP$2:$CP$3,'История отказов'!AU112)=0,COUNTIF('История отказов'!$AU$5:AU112,'История отказов'!AU112)=1),108,""))</f>
        <v/>
      </c>
      <c r="DK109">
        <f>IF('История отказов'!AY112="","",IF(AND(COUNTIF($CR$2:$CR$2,'История отказов'!AY112)=0,COUNTIF('История отказов'!$AY$5:AY112,'История отказов'!AY112)=1),108,""))</f>
        <v/>
      </c>
      <c r="DL109">
        <f>IF(DB109="","",IF(AND(COUNTIF($DA$2:$DA$47,DB109)=0,COUNTIF($DB$2:DB109,DB109)=1),108,""))</f>
        <v/>
      </c>
    </row>
    <row r="110">
      <c r="A110" s="74" t="n"/>
      <c r="B110" s="75" t="n"/>
      <c r="C110" s="75" t="n"/>
      <c r="D110" s="75" t="n"/>
      <c r="E110" s="75" t="inlineStr">
        <is>
          <t>3.7 — Коррозия насоса и его элементов [УШГН]</t>
        </is>
      </c>
      <c r="F110" s="76" t="n"/>
      <c r="H110" t="inlineStr">
        <is>
          <t>ТР2-17 — УШВН – ШГН.</t>
        </is>
      </c>
      <c r="J110" s="62" t="inlineStr">
        <is>
          <t>3.7 — Коррозия насоса и его элементов [УШГН]</t>
        </is>
      </c>
      <c r="K110" s="62" t="n"/>
      <c r="L110" s="62" t="n"/>
      <c r="M110" s="62" t="n"/>
      <c r="N110" s="62" t="n"/>
      <c r="Q110" t="inlineStr">
        <is>
          <t>Отказавший узел</t>
        </is>
      </c>
      <c r="R110" t="inlineStr">
        <is>
          <t>Узел не установлен</t>
        </is>
      </c>
      <c r="S110" t="inlineStr">
        <is>
          <t>Рабочая номенклатура</t>
        </is>
      </c>
      <c r="T110" t="inlineStr">
        <is>
          <t>Состав системы по паспорту и акту дефектовки</t>
        </is>
      </c>
      <c r="U110" t="inlineStr">
        <is>
          <t>https://www.slb.com/resource-library/oilfield-review/defining-series/defining-esp</t>
        </is>
      </c>
      <c r="V110" t="inlineStr">
        <is>
          <t>Проверить фактическую комплектацию</t>
        </is>
      </c>
      <c r="BA110" t="inlineStr">
        <is>
          <t>ТР2-17 — УШВН – ШГН.</t>
        </is>
      </c>
      <c r="CJ110" t="inlineStr">
        <is>
          <t>3.7 — Коррозия насоса и его элементов [УШГН]</t>
        </is>
      </c>
      <c r="CL110">
        <f>IFERROR(INDEX('История отказов'!$AK$5:$AK$1204,SMALL($DI$2:$DI$1201,ROWS($CL$4:CL110))),"")</f>
        <v/>
      </c>
      <c r="CP110">
        <f>IFERROR(INDEX('История отказов'!$AU$5:$AU$1204,SMALL($DJ$2:$DJ$1201,ROWS($CP$4:CP110))),"")</f>
        <v/>
      </c>
      <c r="CR110">
        <f>IFERROR(INDEX('История отказов'!$AY$5:$AY$1204,SMALL($DK$2:$DK$1201,ROWS($CR$3:CR110))),"")</f>
        <v/>
      </c>
      <c r="CT110">
        <f>IFERROR(INDEX('История отказов'!$AE$5:$AE$1204,SMALL($DC$2:$DC$1201,ROWS($CT$3:CT110))),"")</f>
        <v/>
      </c>
      <c r="CU110">
        <f>IFERROR(INDEX('История отказов'!$AE$5:$AE$1204,SMALL($DD$2:$DD$1201,ROWS($CU$4:CU110))),"")</f>
        <v/>
      </c>
      <c r="CV110">
        <f>IFERROR(INDEX('История отказов'!$AE$5:$AE$1204,SMALL($DE$2:$DE$1201,ROWS($CV$4:CV110))),"")</f>
        <v/>
      </c>
      <c r="CW110">
        <f>IFERROR(INDEX('История отказов'!$AE$5:$AE$1204,SMALL($DG$2:$DG$1201,ROWS($CW$3:CW110))),"")</f>
        <v/>
      </c>
      <c r="CX110">
        <f>IFERROR(INDEX('История отказов'!$AE$5:$AE$1204,SMALL($DF$2:$DF$1201,ROWS($CX$3:CX110))),"")</f>
        <v/>
      </c>
      <c r="CY110">
        <f>IFERROR(INDEX('История отказов'!$AE$5:$AE$1204,SMALL($DH$2:$DH$1201,ROWS($CY$7:CY110))),"")</f>
        <v/>
      </c>
      <c r="DA110">
        <f>IFERROR(INDEX($DB$2:$DB$4801,SMALL($DL$2:$DL$4801,ROWS($DA$48:DA110))),"")</f>
        <v/>
      </c>
      <c r="DB110">
        <f>IF('История отказов'!AH113="","",'История отказов'!AH113)</f>
        <v/>
      </c>
      <c r="DC110">
        <f>IF('История отказов'!AE113="","",IF(AND(COUNTIF($CT$2:$CT$2,'История отказов'!AE113)=0,COUNTIFS('История отказов'!$F$5:F113,"ШГН",'История отказов'!$AE$5:AE113,'История отказов'!AE113)=1,'История отказов'!F113="ШГН"),109,""))</f>
        <v/>
      </c>
      <c r="DD110">
        <f>IF('История отказов'!AE113="","",IF(AND(COUNTIF($CU$2:$CU$3,'История отказов'!AE113)=0,COUNTIFS('История отказов'!$F$5:F113,"ЭЦН",'История отказов'!$AE$5:AE113,'История отказов'!AE113)=1,'История отказов'!F113="ЭЦН"),109,""))</f>
        <v/>
      </c>
      <c r="DE110">
        <f>IF('История отказов'!AE113="","",IF(AND(COUNTIF($CV$2:$CV$3,'История отказов'!AE113)=0,COUNTIFS('История отказов'!$F$5:F113,"ЭВН",'История отказов'!$AE$5:AE113,'История отказов'!AE113)=1,'История отказов'!F113="ЭВН"),109,""))</f>
        <v/>
      </c>
      <c r="DF110">
        <f>IF('История отказов'!AE113="","",IF(AND(COUNTIF($CX$2:$CX$2,'История отказов'!AE113)=0,COUNTIFS('История отказов'!$F$5:F113,"ШВН",'История отказов'!$AE$5:AE113,'История отказов'!AE113)=1,'История отказов'!F113="ШВН"),109,""))</f>
        <v/>
      </c>
      <c r="DG110">
        <f>IF('История отказов'!AE113="","",IF(AND(COUNTIF($CW$2:$CW$2,'История отказов'!AE113)=0,COUNTIFS('История отказов'!$F$5:F113,"НПУ-ВД",'История отказов'!$AE$5:AE113,'История отказов'!AE113)=1,'История отказов'!F113="НПУ-ВД"),109,""))</f>
        <v/>
      </c>
      <c r="DH110">
        <f>IF('История отказов'!AE113="","",IF(AND(COUNTIF($CY$2:$CY$6,'История отказов'!AE113)=0,COUNTIF('История отказов'!$AE$5:AE113,'История отказов'!AE113)=1),109,""))</f>
        <v/>
      </c>
      <c r="DI110">
        <f>IF('История отказов'!AK113="","",IF(AND(COUNTIF($CL$2:$CL$3,'История отказов'!AK113)=0,COUNTIF('История отказов'!$AK$5:AK113,'История отказов'!AK113)=1),109,""))</f>
        <v/>
      </c>
      <c r="DJ110">
        <f>IF('История отказов'!AU113="","",IF(AND(COUNTIF($CP$2:$CP$3,'История отказов'!AU113)=0,COUNTIF('История отказов'!$AU$5:AU113,'История отказов'!AU113)=1),109,""))</f>
        <v/>
      </c>
      <c r="DK110">
        <f>IF('История отказов'!AY113="","",IF(AND(COUNTIF($CR$2:$CR$2,'История отказов'!AY113)=0,COUNTIF('История отказов'!$AY$5:AY113,'История отказов'!AY113)=1),109,""))</f>
        <v/>
      </c>
      <c r="DL110">
        <f>IF(DB110="","",IF(AND(COUNTIF($DA$2:$DA$47,DB110)=0,COUNTIF($DB$2:DB110,DB110)=1),109,""))</f>
        <v/>
      </c>
    </row>
    <row r="111">
      <c r="A111" s="74" t="n"/>
      <c r="B111" s="75" t="n"/>
      <c r="C111" s="75" t="n"/>
      <c r="D111" s="75" t="n"/>
      <c r="E111" s="75" t="inlineStr">
        <is>
          <t>3.8 — Коррозия НКТ и элементов подвески [УШГН]</t>
        </is>
      </c>
      <c r="F111" s="76" t="n"/>
      <c r="H111" t="inlineStr">
        <is>
          <t>ТР2-18.1 — ШГН – ОРЭ.</t>
        </is>
      </c>
      <c r="J111" s="62" t="inlineStr">
        <is>
          <t>3.8 — Коррозия НКТ и элементов подвески [УШГН]</t>
        </is>
      </c>
      <c r="K111" s="62" t="n"/>
      <c r="L111" s="62" t="n"/>
      <c r="M111" s="62" t="n"/>
      <c r="N111" s="62" t="n"/>
      <c r="Q111" t="inlineStr">
        <is>
          <t>Предварительная / итоговая причина</t>
        </is>
      </c>
      <c r="R111" t="inlineStr">
        <is>
          <t>1.1 — Механическое повреждение кабеля [УЭЦН]</t>
        </is>
      </c>
      <c r="S111" t="inlineStr">
        <is>
          <t>Код и название; метка группы добавлена</t>
        </is>
      </c>
      <c r="T111" t="inlineStr">
        <is>
          <t>Классификатор по способам 2024 V10, лист УЭЦН</t>
        </is>
      </c>
      <c r="U111" t="inlineStr">
        <is>
          <t>Лист УЭЦН; код 1.1</t>
        </is>
      </c>
      <c r="V111" t="inlineStr">
        <is>
          <t>ЭЦН/ЭВН</t>
        </is>
      </c>
      <c r="BA111" t="inlineStr">
        <is>
          <t>ТР2-18.1 — ШГН – ОРЭ.</t>
        </is>
      </c>
      <c r="CJ111" t="inlineStr">
        <is>
          <t>3.8 — Коррозия НКТ и элементов подвески [УШГН]</t>
        </is>
      </c>
      <c r="CL111">
        <f>IFERROR(INDEX('История отказов'!$AK$5:$AK$1204,SMALL($DI$2:$DI$1201,ROWS($CL$4:CL111))),"")</f>
        <v/>
      </c>
      <c r="CP111">
        <f>IFERROR(INDEX('История отказов'!$AU$5:$AU$1204,SMALL($DJ$2:$DJ$1201,ROWS($CP$4:CP111))),"")</f>
        <v/>
      </c>
      <c r="CR111">
        <f>IFERROR(INDEX('История отказов'!$AY$5:$AY$1204,SMALL($DK$2:$DK$1201,ROWS($CR$3:CR111))),"")</f>
        <v/>
      </c>
      <c r="CT111">
        <f>IFERROR(INDEX('История отказов'!$AE$5:$AE$1204,SMALL($DC$2:$DC$1201,ROWS($CT$3:CT111))),"")</f>
        <v/>
      </c>
      <c r="CU111">
        <f>IFERROR(INDEX('История отказов'!$AE$5:$AE$1204,SMALL($DD$2:$DD$1201,ROWS($CU$4:CU111))),"")</f>
        <v/>
      </c>
      <c r="CV111">
        <f>IFERROR(INDEX('История отказов'!$AE$5:$AE$1204,SMALL($DE$2:$DE$1201,ROWS($CV$4:CV111))),"")</f>
        <v/>
      </c>
      <c r="CW111">
        <f>IFERROR(INDEX('История отказов'!$AE$5:$AE$1204,SMALL($DG$2:$DG$1201,ROWS($CW$3:CW111))),"")</f>
        <v/>
      </c>
      <c r="CX111">
        <f>IFERROR(INDEX('История отказов'!$AE$5:$AE$1204,SMALL($DF$2:$DF$1201,ROWS($CX$3:CX111))),"")</f>
        <v/>
      </c>
      <c r="CY111">
        <f>IFERROR(INDEX('История отказов'!$AE$5:$AE$1204,SMALL($DH$2:$DH$1201,ROWS($CY$7:CY111))),"")</f>
        <v/>
      </c>
      <c r="DA111">
        <f>IFERROR(INDEX($DB$2:$DB$4801,SMALL($DL$2:$DL$4801,ROWS($DA$48:DA111))),"")</f>
        <v/>
      </c>
      <c r="DB111">
        <f>IF('История отказов'!AH114="","",'История отказов'!AH114)</f>
        <v/>
      </c>
      <c r="DC111">
        <f>IF('История отказов'!AE114="","",IF(AND(COUNTIF($CT$2:$CT$2,'История отказов'!AE114)=0,COUNTIFS('История отказов'!$F$5:F114,"ШГН",'История отказов'!$AE$5:AE114,'История отказов'!AE114)=1,'История отказов'!F114="ШГН"),110,""))</f>
        <v/>
      </c>
      <c r="DD111">
        <f>IF('История отказов'!AE114="","",IF(AND(COUNTIF($CU$2:$CU$3,'История отказов'!AE114)=0,COUNTIFS('История отказов'!$F$5:F114,"ЭЦН",'История отказов'!$AE$5:AE114,'История отказов'!AE114)=1,'История отказов'!F114="ЭЦН"),110,""))</f>
        <v/>
      </c>
      <c r="DE111">
        <f>IF('История отказов'!AE114="","",IF(AND(COUNTIF($CV$2:$CV$3,'История отказов'!AE114)=0,COUNTIFS('История отказов'!$F$5:F114,"ЭВН",'История отказов'!$AE$5:AE114,'История отказов'!AE114)=1,'История отказов'!F114="ЭВН"),110,""))</f>
        <v/>
      </c>
      <c r="DF111">
        <f>IF('История отказов'!AE114="","",IF(AND(COUNTIF($CX$2:$CX$2,'История отказов'!AE114)=0,COUNTIFS('История отказов'!$F$5:F114,"ШВН",'История отказов'!$AE$5:AE114,'История отказов'!AE114)=1,'История отказов'!F114="ШВН"),110,""))</f>
        <v/>
      </c>
      <c r="DG111">
        <f>IF('История отказов'!AE114="","",IF(AND(COUNTIF($CW$2:$CW$2,'История отказов'!AE114)=0,COUNTIFS('История отказов'!$F$5:F114,"НПУ-ВД",'История отказов'!$AE$5:AE114,'История отказов'!AE114)=1,'История отказов'!F114="НПУ-ВД"),110,""))</f>
        <v/>
      </c>
      <c r="DH111">
        <f>IF('История отказов'!AE114="","",IF(AND(COUNTIF($CY$2:$CY$6,'История отказов'!AE114)=0,COUNTIF('История отказов'!$AE$5:AE114,'История отказов'!AE114)=1),110,""))</f>
        <v/>
      </c>
      <c r="DI111">
        <f>IF('История отказов'!AK114="","",IF(AND(COUNTIF($CL$2:$CL$3,'История отказов'!AK114)=0,COUNTIF('История отказов'!$AK$5:AK114,'История отказов'!AK114)=1),110,""))</f>
        <v/>
      </c>
      <c r="DJ111">
        <f>IF('История отказов'!AU114="","",IF(AND(COUNTIF($CP$2:$CP$3,'История отказов'!AU114)=0,COUNTIF('История отказов'!$AU$5:AU114,'История отказов'!AU114)=1),110,""))</f>
        <v/>
      </c>
      <c r="DK111">
        <f>IF('История отказов'!AY114="","",IF(AND(COUNTIF($CR$2:$CR$2,'История отказов'!AY114)=0,COUNTIF('История отказов'!$AY$5:AY114,'История отказов'!AY114)=1),110,""))</f>
        <v/>
      </c>
      <c r="DL111">
        <f>IF(DB111="","",IF(AND(COUNTIF($DA$2:$DA$47,DB111)=0,COUNTIF($DB$2:DB111,DB111)=1),110,""))</f>
        <v/>
      </c>
    </row>
    <row r="112">
      <c r="A112" s="74" t="n"/>
      <c r="B112" s="75" t="n"/>
      <c r="C112" s="75" t="n"/>
      <c r="D112" s="75" t="n"/>
      <c r="E112" s="75" t="inlineStr">
        <is>
          <t>3.9 — Отворот штанг [УШГН]</t>
        </is>
      </c>
      <c r="F112" s="76" t="n"/>
      <c r="H112" t="inlineStr">
        <is>
          <t>ТР2-18.2 — УЭЦН – ОРЭ и т. д.</t>
        </is>
      </c>
      <c r="J112" s="62" t="inlineStr">
        <is>
          <t>3.9 — Отворот штанг [УШГН]</t>
        </is>
      </c>
      <c r="K112" s="62" t="n"/>
      <c r="L112" s="62" t="n"/>
      <c r="M112" s="62" t="n"/>
      <c r="N112" s="62" t="n"/>
      <c r="Q112" t="inlineStr">
        <is>
          <t>Предварительная / итоговая причина</t>
        </is>
      </c>
      <c r="R112" t="inlineStr">
        <is>
          <t>1.2 — Нарушение глубины спуска [УЭЦН]</t>
        </is>
      </c>
      <c r="S112" t="inlineStr">
        <is>
          <t>Код и название; метка группы добавлена</t>
        </is>
      </c>
      <c r="T112" t="inlineStr">
        <is>
          <t>Классификатор по способам 2024 V10, лист УЭЦН</t>
        </is>
      </c>
      <c r="U112" t="inlineStr">
        <is>
          <t>Лист УЭЦН; код 1.2</t>
        </is>
      </c>
      <c r="V112" t="inlineStr">
        <is>
          <t>ЭЦН/ЭВН</t>
        </is>
      </c>
      <c r="BA112" t="inlineStr">
        <is>
          <t>ТР2-18.2 — УЭЦН – ОРЭ и т. д.</t>
        </is>
      </c>
      <c r="CJ112" t="inlineStr">
        <is>
          <t>3.9 — Отворот штанг [УШГН]</t>
        </is>
      </c>
      <c r="CL112">
        <f>IFERROR(INDEX('История отказов'!$AK$5:$AK$1204,SMALL($DI$2:$DI$1201,ROWS($CL$4:CL112))),"")</f>
        <v/>
      </c>
      <c r="CP112">
        <f>IFERROR(INDEX('История отказов'!$AU$5:$AU$1204,SMALL($DJ$2:$DJ$1201,ROWS($CP$4:CP112))),"")</f>
        <v/>
      </c>
      <c r="CR112">
        <f>IFERROR(INDEX('История отказов'!$AY$5:$AY$1204,SMALL($DK$2:$DK$1201,ROWS($CR$3:CR112))),"")</f>
        <v/>
      </c>
      <c r="CT112">
        <f>IFERROR(INDEX('История отказов'!$AE$5:$AE$1204,SMALL($DC$2:$DC$1201,ROWS($CT$3:CT112))),"")</f>
        <v/>
      </c>
      <c r="CU112">
        <f>IFERROR(INDEX('История отказов'!$AE$5:$AE$1204,SMALL($DD$2:$DD$1201,ROWS($CU$4:CU112))),"")</f>
        <v/>
      </c>
      <c r="CV112">
        <f>IFERROR(INDEX('История отказов'!$AE$5:$AE$1204,SMALL($DE$2:$DE$1201,ROWS($CV$4:CV112))),"")</f>
        <v/>
      </c>
      <c r="CW112">
        <f>IFERROR(INDEX('История отказов'!$AE$5:$AE$1204,SMALL($DG$2:$DG$1201,ROWS($CW$3:CW112))),"")</f>
        <v/>
      </c>
      <c r="CX112">
        <f>IFERROR(INDEX('История отказов'!$AE$5:$AE$1204,SMALL($DF$2:$DF$1201,ROWS($CX$3:CX112))),"")</f>
        <v/>
      </c>
      <c r="CY112">
        <f>IFERROR(INDEX('История отказов'!$AE$5:$AE$1204,SMALL($DH$2:$DH$1201,ROWS($CY$7:CY112))),"")</f>
        <v/>
      </c>
      <c r="DA112">
        <f>IFERROR(INDEX($DB$2:$DB$4801,SMALL($DL$2:$DL$4801,ROWS($DA$48:DA112))),"")</f>
        <v/>
      </c>
      <c r="DB112">
        <f>IF('История отказов'!AH115="","",'История отказов'!AH115)</f>
        <v/>
      </c>
      <c r="DC112">
        <f>IF('История отказов'!AE115="","",IF(AND(COUNTIF($CT$2:$CT$2,'История отказов'!AE115)=0,COUNTIFS('История отказов'!$F$5:F115,"ШГН",'История отказов'!$AE$5:AE115,'История отказов'!AE115)=1,'История отказов'!F115="ШГН"),111,""))</f>
        <v/>
      </c>
      <c r="DD112">
        <f>IF('История отказов'!AE115="","",IF(AND(COUNTIF($CU$2:$CU$3,'История отказов'!AE115)=0,COUNTIFS('История отказов'!$F$5:F115,"ЭЦН",'История отказов'!$AE$5:AE115,'История отказов'!AE115)=1,'История отказов'!F115="ЭЦН"),111,""))</f>
        <v/>
      </c>
      <c r="DE112">
        <f>IF('История отказов'!AE115="","",IF(AND(COUNTIF($CV$2:$CV$3,'История отказов'!AE115)=0,COUNTIFS('История отказов'!$F$5:F115,"ЭВН",'История отказов'!$AE$5:AE115,'История отказов'!AE115)=1,'История отказов'!F115="ЭВН"),111,""))</f>
        <v/>
      </c>
      <c r="DF112">
        <f>IF('История отказов'!AE115="","",IF(AND(COUNTIF($CX$2:$CX$2,'История отказов'!AE115)=0,COUNTIFS('История отказов'!$F$5:F115,"ШВН",'История отказов'!$AE$5:AE115,'История отказов'!AE115)=1,'История отказов'!F115="ШВН"),111,""))</f>
        <v/>
      </c>
      <c r="DG112">
        <f>IF('История отказов'!AE115="","",IF(AND(COUNTIF($CW$2:$CW$2,'История отказов'!AE115)=0,COUNTIFS('История отказов'!$F$5:F115,"НПУ-ВД",'История отказов'!$AE$5:AE115,'История отказов'!AE115)=1,'История отказов'!F115="НПУ-ВД"),111,""))</f>
        <v/>
      </c>
      <c r="DH112">
        <f>IF('История отказов'!AE115="","",IF(AND(COUNTIF($CY$2:$CY$6,'История отказов'!AE115)=0,COUNTIF('История отказов'!$AE$5:AE115,'История отказов'!AE115)=1),111,""))</f>
        <v/>
      </c>
      <c r="DI112">
        <f>IF('История отказов'!AK115="","",IF(AND(COUNTIF($CL$2:$CL$3,'История отказов'!AK115)=0,COUNTIF('История отказов'!$AK$5:AK115,'История отказов'!AK115)=1),111,""))</f>
        <v/>
      </c>
      <c r="DJ112">
        <f>IF('История отказов'!AU115="","",IF(AND(COUNTIF($CP$2:$CP$3,'История отказов'!AU115)=0,COUNTIF('История отказов'!$AU$5:AU115,'История отказов'!AU115)=1),111,""))</f>
        <v/>
      </c>
      <c r="DK112">
        <f>IF('История отказов'!AY115="","",IF(AND(COUNTIF($CR$2:$CR$2,'История отказов'!AY115)=0,COUNTIF('История отказов'!$AY$5:AY115,'История отказов'!AY115)=1),111,""))</f>
        <v/>
      </c>
      <c r="DL112">
        <f>IF(DB112="","",IF(AND(COUNTIF($DA$2:$DA$47,DB112)=0,COUNTIF($DB$2:DB112,DB112)=1),111,""))</f>
        <v/>
      </c>
    </row>
    <row r="113">
      <c r="A113" s="74" t="n"/>
      <c r="B113" s="75" t="n"/>
      <c r="C113" s="75" t="n"/>
      <c r="D113" s="75" t="n"/>
      <c r="E113" s="75" t="inlineStr">
        <is>
          <t>3.10 — Обрыв штанг [УШГН]</t>
        </is>
      </c>
      <c r="F113" s="76" t="n"/>
      <c r="H113" t="inlineStr">
        <is>
          <t>ТР3-2 — То же УЭЦН.</t>
        </is>
      </c>
      <c r="J113" s="62" t="inlineStr">
        <is>
          <t>3.10 — Обрыв штанг [УШГН]</t>
        </is>
      </c>
      <c r="K113" s="62" t="n"/>
      <c r="L113" s="62" t="n"/>
      <c r="M113" s="62" t="n"/>
      <c r="N113" s="62" t="n"/>
      <c r="Q113" t="inlineStr">
        <is>
          <t>Предварительная / итоговая причина</t>
        </is>
      </c>
      <c r="R113" t="inlineStr">
        <is>
          <t>1.3 — Некачественная подготовка скважины [УЭЦН]</t>
        </is>
      </c>
      <c r="S113" t="inlineStr">
        <is>
          <t>Код и название; метка группы добавлена</t>
        </is>
      </c>
      <c r="T113" t="inlineStr">
        <is>
          <t>Классификатор по способам 2024 V10, лист УЭЦН</t>
        </is>
      </c>
      <c r="U113" t="inlineStr">
        <is>
          <t>Лист УЭЦН; код 1.3</t>
        </is>
      </c>
      <c r="V113" t="inlineStr">
        <is>
          <t>ЭЦН/ЭВН</t>
        </is>
      </c>
      <c r="BA113" t="inlineStr">
        <is>
          <t>ТР3-2 — То же УЭЦН.</t>
        </is>
      </c>
      <c r="CJ113" t="inlineStr">
        <is>
          <t>3.10 — Обрыв штанг [УШГН]</t>
        </is>
      </c>
      <c r="CL113">
        <f>IFERROR(INDEX('История отказов'!$AK$5:$AK$1204,SMALL($DI$2:$DI$1201,ROWS($CL$4:CL113))),"")</f>
        <v/>
      </c>
      <c r="CP113">
        <f>IFERROR(INDEX('История отказов'!$AU$5:$AU$1204,SMALL($DJ$2:$DJ$1201,ROWS($CP$4:CP113))),"")</f>
        <v/>
      </c>
      <c r="CR113">
        <f>IFERROR(INDEX('История отказов'!$AY$5:$AY$1204,SMALL($DK$2:$DK$1201,ROWS($CR$3:CR113))),"")</f>
        <v/>
      </c>
      <c r="CT113">
        <f>IFERROR(INDEX('История отказов'!$AE$5:$AE$1204,SMALL($DC$2:$DC$1201,ROWS($CT$3:CT113))),"")</f>
        <v/>
      </c>
      <c r="CU113">
        <f>IFERROR(INDEX('История отказов'!$AE$5:$AE$1204,SMALL($DD$2:$DD$1201,ROWS($CU$4:CU113))),"")</f>
        <v/>
      </c>
      <c r="CV113">
        <f>IFERROR(INDEX('История отказов'!$AE$5:$AE$1204,SMALL($DE$2:$DE$1201,ROWS($CV$4:CV113))),"")</f>
        <v/>
      </c>
      <c r="CW113">
        <f>IFERROR(INDEX('История отказов'!$AE$5:$AE$1204,SMALL($DG$2:$DG$1201,ROWS($CW$3:CW113))),"")</f>
        <v/>
      </c>
      <c r="CX113">
        <f>IFERROR(INDEX('История отказов'!$AE$5:$AE$1204,SMALL($DF$2:$DF$1201,ROWS($CX$3:CX113))),"")</f>
        <v/>
      </c>
      <c r="CY113">
        <f>IFERROR(INDEX('История отказов'!$AE$5:$AE$1204,SMALL($DH$2:$DH$1201,ROWS($CY$7:CY113))),"")</f>
        <v/>
      </c>
      <c r="DA113">
        <f>IFERROR(INDEX($DB$2:$DB$4801,SMALL($DL$2:$DL$4801,ROWS($DA$48:DA113))),"")</f>
        <v/>
      </c>
      <c r="DB113">
        <f>IF('История отказов'!AH116="","",'История отказов'!AH116)</f>
        <v/>
      </c>
      <c r="DC113">
        <f>IF('История отказов'!AE116="","",IF(AND(COUNTIF($CT$2:$CT$2,'История отказов'!AE116)=0,COUNTIFS('История отказов'!$F$5:F116,"ШГН",'История отказов'!$AE$5:AE116,'История отказов'!AE116)=1,'История отказов'!F116="ШГН"),112,""))</f>
        <v/>
      </c>
      <c r="DD113">
        <f>IF('История отказов'!AE116="","",IF(AND(COUNTIF($CU$2:$CU$3,'История отказов'!AE116)=0,COUNTIFS('История отказов'!$F$5:F116,"ЭЦН",'История отказов'!$AE$5:AE116,'История отказов'!AE116)=1,'История отказов'!F116="ЭЦН"),112,""))</f>
        <v/>
      </c>
      <c r="DE113">
        <f>IF('История отказов'!AE116="","",IF(AND(COUNTIF($CV$2:$CV$3,'История отказов'!AE116)=0,COUNTIFS('История отказов'!$F$5:F116,"ЭВН",'История отказов'!$AE$5:AE116,'История отказов'!AE116)=1,'История отказов'!F116="ЭВН"),112,""))</f>
        <v/>
      </c>
      <c r="DF113">
        <f>IF('История отказов'!AE116="","",IF(AND(COUNTIF($CX$2:$CX$2,'История отказов'!AE116)=0,COUNTIFS('История отказов'!$F$5:F116,"ШВН",'История отказов'!$AE$5:AE116,'История отказов'!AE116)=1,'История отказов'!F116="ШВН"),112,""))</f>
        <v/>
      </c>
      <c r="DG113">
        <f>IF('История отказов'!AE116="","",IF(AND(COUNTIF($CW$2:$CW$2,'История отказов'!AE116)=0,COUNTIFS('История отказов'!$F$5:F116,"НПУ-ВД",'История отказов'!$AE$5:AE116,'История отказов'!AE116)=1,'История отказов'!F116="НПУ-ВД"),112,""))</f>
        <v/>
      </c>
      <c r="DH113">
        <f>IF('История отказов'!AE116="","",IF(AND(COUNTIF($CY$2:$CY$6,'История отказов'!AE116)=0,COUNTIF('История отказов'!$AE$5:AE116,'История отказов'!AE116)=1),112,""))</f>
        <v/>
      </c>
      <c r="DI113">
        <f>IF('История отказов'!AK116="","",IF(AND(COUNTIF($CL$2:$CL$3,'История отказов'!AK116)=0,COUNTIF('История отказов'!$AK$5:AK116,'История отказов'!AK116)=1),112,""))</f>
        <v/>
      </c>
      <c r="DJ113">
        <f>IF('История отказов'!AU116="","",IF(AND(COUNTIF($CP$2:$CP$3,'История отказов'!AU116)=0,COUNTIF('История отказов'!$AU$5:AU116,'История отказов'!AU116)=1),112,""))</f>
        <v/>
      </c>
      <c r="DK113">
        <f>IF('История отказов'!AY116="","",IF(AND(COUNTIF($CR$2:$CR$2,'История отказов'!AY116)=0,COUNTIF('История отказов'!$AY$5:AY116,'История отказов'!AY116)=1),112,""))</f>
        <v/>
      </c>
      <c r="DL113">
        <f>IF(DB113="","",IF(AND(COUNTIF($DA$2:$DA$47,DB113)=0,COUNTIF($DB$2:DB113,DB113)=1),112,""))</f>
        <v/>
      </c>
    </row>
    <row r="114">
      <c r="A114" s="74" t="n"/>
      <c r="B114" s="75" t="n"/>
      <c r="C114" s="75" t="n"/>
      <c r="D114" s="75" t="n"/>
      <c r="E114" s="75" t="inlineStr">
        <is>
          <t>3.10.1 — - усталостный (нагрузка, наработка) [УШГН]</t>
        </is>
      </c>
      <c r="F114" s="76" t="n"/>
      <c r="H114" t="inlineStr">
        <is>
          <t>ТР3-3 — То же УЭВН.</t>
        </is>
      </c>
      <c r="J114" s="62" t="inlineStr">
        <is>
          <t>3.10.1 — - усталостный (нагрузка, наработка) [УШГН]</t>
        </is>
      </c>
      <c r="K114" s="62" t="n"/>
      <c r="L114" s="62" t="n"/>
      <c r="M114" s="62" t="n"/>
      <c r="N114" s="62" t="n"/>
      <c r="Q114" t="inlineStr">
        <is>
          <t>Предварительная / итоговая причина</t>
        </is>
      </c>
      <c r="R114" t="inlineStr">
        <is>
          <t>1.4 — Не герметичность НКТ [УЭЦН]</t>
        </is>
      </c>
      <c r="S114" t="inlineStr">
        <is>
          <t>Код и название; метка группы добавлена</t>
        </is>
      </c>
      <c r="T114" t="inlineStr">
        <is>
          <t>Классификатор по способам 2024 V10, лист УЭЦН</t>
        </is>
      </c>
      <c r="U114" t="inlineStr">
        <is>
          <t>Лист УЭЦН; код 1.4</t>
        </is>
      </c>
      <c r="V114" t="inlineStr">
        <is>
          <t>ЭЦН/ЭВН</t>
        </is>
      </c>
      <c r="BA114" t="inlineStr">
        <is>
          <t>ТР3-3 — То же УЭВН.</t>
        </is>
      </c>
      <c r="CJ114" t="inlineStr">
        <is>
          <t>3.10.1 — - усталостный (нагрузка, наработка) [УШГН]</t>
        </is>
      </c>
      <c r="CL114">
        <f>IFERROR(INDEX('История отказов'!$AK$5:$AK$1204,SMALL($DI$2:$DI$1201,ROWS($CL$4:CL114))),"")</f>
        <v/>
      </c>
      <c r="CP114">
        <f>IFERROR(INDEX('История отказов'!$AU$5:$AU$1204,SMALL($DJ$2:$DJ$1201,ROWS($CP$4:CP114))),"")</f>
        <v/>
      </c>
      <c r="CR114">
        <f>IFERROR(INDEX('История отказов'!$AY$5:$AY$1204,SMALL($DK$2:$DK$1201,ROWS($CR$3:CR114))),"")</f>
        <v/>
      </c>
      <c r="CT114">
        <f>IFERROR(INDEX('История отказов'!$AE$5:$AE$1204,SMALL($DC$2:$DC$1201,ROWS($CT$3:CT114))),"")</f>
        <v/>
      </c>
      <c r="CU114">
        <f>IFERROR(INDEX('История отказов'!$AE$5:$AE$1204,SMALL($DD$2:$DD$1201,ROWS($CU$4:CU114))),"")</f>
        <v/>
      </c>
      <c r="CV114">
        <f>IFERROR(INDEX('История отказов'!$AE$5:$AE$1204,SMALL($DE$2:$DE$1201,ROWS($CV$4:CV114))),"")</f>
        <v/>
      </c>
      <c r="CW114">
        <f>IFERROR(INDEX('История отказов'!$AE$5:$AE$1204,SMALL($DG$2:$DG$1201,ROWS($CW$3:CW114))),"")</f>
        <v/>
      </c>
      <c r="CX114">
        <f>IFERROR(INDEX('История отказов'!$AE$5:$AE$1204,SMALL($DF$2:$DF$1201,ROWS($CX$3:CX114))),"")</f>
        <v/>
      </c>
      <c r="CY114">
        <f>IFERROR(INDEX('История отказов'!$AE$5:$AE$1204,SMALL($DH$2:$DH$1201,ROWS($CY$7:CY114))),"")</f>
        <v/>
      </c>
      <c r="DA114">
        <f>IFERROR(INDEX($DB$2:$DB$4801,SMALL($DL$2:$DL$4801,ROWS($DA$48:DA114))),"")</f>
        <v/>
      </c>
      <c r="DB114">
        <f>IF('История отказов'!AH117="","",'История отказов'!AH117)</f>
        <v/>
      </c>
      <c r="DC114">
        <f>IF('История отказов'!AE117="","",IF(AND(COUNTIF($CT$2:$CT$2,'История отказов'!AE117)=0,COUNTIFS('История отказов'!$F$5:F117,"ШГН",'История отказов'!$AE$5:AE117,'История отказов'!AE117)=1,'История отказов'!F117="ШГН"),113,""))</f>
        <v/>
      </c>
      <c r="DD114">
        <f>IF('История отказов'!AE117="","",IF(AND(COUNTIF($CU$2:$CU$3,'История отказов'!AE117)=0,COUNTIFS('История отказов'!$F$5:F117,"ЭЦН",'История отказов'!$AE$5:AE117,'История отказов'!AE117)=1,'История отказов'!F117="ЭЦН"),113,""))</f>
        <v/>
      </c>
      <c r="DE114">
        <f>IF('История отказов'!AE117="","",IF(AND(COUNTIF($CV$2:$CV$3,'История отказов'!AE117)=0,COUNTIFS('История отказов'!$F$5:F117,"ЭВН",'История отказов'!$AE$5:AE117,'История отказов'!AE117)=1,'История отказов'!F117="ЭВН"),113,""))</f>
        <v/>
      </c>
      <c r="DF114">
        <f>IF('История отказов'!AE117="","",IF(AND(COUNTIF($CX$2:$CX$2,'История отказов'!AE117)=0,COUNTIFS('История отказов'!$F$5:F117,"ШВН",'История отказов'!$AE$5:AE117,'История отказов'!AE117)=1,'История отказов'!F117="ШВН"),113,""))</f>
        <v/>
      </c>
      <c r="DG114">
        <f>IF('История отказов'!AE117="","",IF(AND(COUNTIF($CW$2:$CW$2,'История отказов'!AE117)=0,COUNTIFS('История отказов'!$F$5:F117,"НПУ-ВД",'История отказов'!$AE$5:AE117,'История отказов'!AE117)=1,'История отказов'!F117="НПУ-ВД"),113,""))</f>
        <v/>
      </c>
      <c r="DH114">
        <f>IF('История отказов'!AE117="","",IF(AND(COUNTIF($CY$2:$CY$6,'История отказов'!AE117)=0,COUNTIF('История отказов'!$AE$5:AE117,'История отказов'!AE117)=1),113,""))</f>
        <v/>
      </c>
      <c r="DI114">
        <f>IF('История отказов'!AK117="","",IF(AND(COUNTIF($CL$2:$CL$3,'История отказов'!AK117)=0,COUNTIF('История отказов'!$AK$5:AK117,'История отказов'!AK117)=1),113,""))</f>
        <v/>
      </c>
      <c r="DJ114">
        <f>IF('История отказов'!AU117="","",IF(AND(COUNTIF($CP$2:$CP$3,'История отказов'!AU117)=0,COUNTIF('История отказов'!$AU$5:AU117,'История отказов'!AU117)=1),113,""))</f>
        <v/>
      </c>
      <c r="DK114">
        <f>IF('История отказов'!AY117="","",IF(AND(COUNTIF($CR$2:$CR$2,'История отказов'!AY117)=0,COUNTIF('История отказов'!$AY$5:AY117,'История отказов'!AY117)=1),113,""))</f>
        <v/>
      </c>
      <c r="DL114">
        <f>IF(DB114="","",IF(AND(COUNTIF($DA$2:$DA$47,DB114)=0,COUNTIF($DB$2:DB114,DB114)=1),113,""))</f>
        <v/>
      </c>
    </row>
    <row r="115">
      <c r="A115" s="74" t="n"/>
      <c r="B115" s="75" t="n"/>
      <c r="C115" s="75" t="n"/>
      <c r="D115" s="75" t="n"/>
      <c r="E115" s="75" t="inlineStr">
        <is>
          <t>3.10.2 — - истирание муфт [УШГН]</t>
        </is>
      </c>
      <c r="F115" s="76" t="n"/>
      <c r="H115" t="inlineStr">
        <is>
          <t>ТР3-4 — То же УШВН.</t>
        </is>
      </c>
      <c r="J115" s="62" t="inlineStr">
        <is>
          <t>3.10.2 — - истирание муфт [УШГН]</t>
        </is>
      </c>
      <c r="K115" s="62" t="n"/>
      <c r="L115" s="62" t="n"/>
      <c r="M115" s="62" t="n"/>
      <c r="N115" s="62" t="n"/>
      <c r="Q115" t="inlineStr">
        <is>
          <t>Предварительная / итоговая причина</t>
        </is>
      </c>
      <c r="R115" t="inlineStr">
        <is>
          <t>1.5 — Нарушение СПО [УЭЦН]</t>
        </is>
      </c>
      <c r="S115" t="inlineStr">
        <is>
          <t>Код и название; метка группы добавлена</t>
        </is>
      </c>
      <c r="T115" t="inlineStr">
        <is>
          <t>Классификатор по способам 2024 V10, лист УЭЦН</t>
        </is>
      </c>
      <c r="U115" t="inlineStr">
        <is>
          <t>Лист УЭЦН; код 1.5</t>
        </is>
      </c>
      <c r="V115" t="inlineStr">
        <is>
          <t>ЭЦН/ЭВН</t>
        </is>
      </c>
      <c r="BA115" t="inlineStr">
        <is>
          <t>ТР3-4 — То же УШВН.</t>
        </is>
      </c>
      <c r="CJ115" t="inlineStr">
        <is>
          <t>3.10.2 — - истирание муфт [УШГН]</t>
        </is>
      </c>
      <c r="CL115">
        <f>IFERROR(INDEX('История отказов'!$AK$5:$AK$1204,SMALL($DI$2:$DI$1201,ROWS($CL$4:CL115))),"")</f>
        <v/>
      </c>
      <c r="CP115">
        <f>IFERROR(INDEX('История отказов'!$AU$5:$AU$1204,SMALL($DJ$2:$DJ$1201,ROWS($CP$4:CP115))),"")</f>
        <v/>
      </c>
      <c r="CR115">
        <f>IFERROR(INDEX('История отказов'!$AY$5:$AY$1204,SMALL($DK$2:$DK$1201,ROWS($CR$3:CR115))),"")</f>
        <v/>
      </c>
      <c r="CT115">
        <f>IFERROR(INDEX('История отказов'!$AE$5:$AE$1204,SMALL($DC$2:$DC$1201,ROWS($CT$3:CT115))),"")</f>
        <v/>
      </c>
      <c r="CU115">
        <f>IFERROR(INDEX('История отказов'!$AE$5:$AE$1204,SMALL($DD$2:$DD$1201,ROWS($CU$4:CU115))),"")</f>
        <v/>
      </c>
      <c r="CV115">
        <f>IFERROR(INDEX('История отказов'!$AE$5:$AE$1204,SMALL($DE$2:$DE$1201,ROWS($CV$4:CV115))),"")</f>
        <v/>
      </c>
      <c r="CW115">
        <f>IFERROR(INDEX('История отказов'!$AE$5:$AE$1204,SMALL($DG$2:$DG$1201,ROWS($CW$3:CW115))),"")</f>
        <v/>
      </c>
      <c r="CX115">
        <f>IFERROR(INDEX('История отказов'!$AE$5:$AE$1204,SMALL($DF$2:$DF$1201,ROWS($CX$3:CX115))),"")</f>
        <v/>
      </c>
      <c r="CY115">
        <f>IFERROR(INDEX('История отказов'!$AE$5:$AE$1204,SMALL($DH$2:$DH$1201,ROWS($CY$7:CY115))),"")</f>
        <v/>
      </c>
      <c r="DA115">
        <f>IFERROR(INDEX($DB$2:$DB$4801,SMALL($DL$2:$DL$4801,ROWS($DA$48:DA115))),"")</f>
        <v/>
      </c>
      <c r="DB115">
        <f>IF('История отказов'!AH118="","",'История отказов'!AH118)</f>
        <v/>
      </c>
      <c r="DC115">
        <f>IF('История отказов'!AE118="","",IF(AND(COUNTIF($CT$2:$CT$2,'История отказов'!AE118)=0,COUNTIFS('История отказов'!$F$5:F118,"ШГН",'История отказов'!$AE$5:AE118,'История отказов'!AE118)=1,'История отказов'!F118="ШГН"),114,""))</f>
        <v/>
      </c>
      <c r="DD115">
        <f>IF('История отказов'!AE118="","",IF(AND(COUNTIF($CU$2:$CU$3,'История отказов'!AE118)=0,COUNTIFS('История отказов'!$F$5:F118,"ЭЦН",'История отказов'!$AE$5:AE118,'История отказов'!AE118)=1,'История отказов'!F118="ЭЦН"),114,""))</f>
        <v/>
      </c>
      <c r="DE115">
        <f>IF('История отказов'!AE118="","",IF(AND(COUNTIF($CV$2:$CV$3,'История отказов'!AE118)=0,COUNTIFS('История отказов'!$F$5:F118,"ЭВН",'История отказов'!$AE$5:AE118,'История отказов'!AE118)=1,'История отказов'!F118="ЭВН"),114,""))</f>
        <v/>
      </c>
      <c r="DF115">
        <f>IF('История отказов'!AE118="","",IF(AND(COUNTIF($CX$2:$CX$2,'История отказов'!AE118)=0,COUNTIFS('История отказов'!$F$5:F118,"ШВН",'История отказов'!$AE$5:AE118,'История отказов'!AE118)=1,'История отказов'!F118="ШВН"),114,""))</f>
        <v/>
      </c>
      <c r="DG115">
        <f>IF('История отказов'!AE118="","",IF(AND(COUNTIF($CW$2:$CW$2,'История отказов'!AE118)=0,COUNTIFS('История отказов'!$F$5:F118,"НПУ-ВД",'История отказов'!$AE$5:AE118,'История отказов'!AE118)=1,'История отказов'!F118="НПУ-ВД"),114,""))</f>
        <v/>
      </c>
      <c r="DH115">
        <f>IF('История отказов'!AE118="","",IF(AND(COUNTIF($CY$2:$CY$6,'История отказов'!AE118)=0,COUNTIF('История отказов'!$AE$5:AE118,'История отказов'!AE118)=1),114,""))</f>
        <v/>
      </c>
      <c r="DI115">
        <f>IF('История отказов'!AK118="","",IF(AND(COUNTIF($CL$2:$CL$3,'История отказов'!AK118)=0,COUNTIF('История отказов'!$AK$5:AK118,'История отказов'!AK118)=1),114,""))</f>
        <v/>
      </c>
      <c r="DJ115">
        <f>IF('История отказов'!AU118="","",IF(AND(COUNTIF($CP$2:$CP$3,'История отказов'!AU118)=0,COUNTIF('История отказов'!$AU$5:AU118,'История отказов'!AU118)=1),114,""))</f>
        <v/>
      </c>
      <c r="DK115">
        <f>IF('История отказов'!AY118="","",IF(AND(COUNTIF($CR$2:$CR$2,'История отказов'!AY118)=0,COUNTIF('История отказов'!$AY$5:AY118,'История отказов'!AY118)=1),114,""))</f>
        <v/>
      </c>
      <c r="DL115">
        <f>IF(DB115="","",IF(AND(COUNTIF($DA$2:$DA$47,DB115)=0,COUNTIF($DB$2:DB115,DB115)=1),114,""))</f>
        <v/>
      </c>
    </row>
    <row r="116">
      <c r="A116" s="74" t="n"/>
      <c r="B116" s="75" t="n"/>
      <c r="C116" s="75" t="n"/>
      <c r="D116" s="75" t="n"/>
      <c r="E116" s="75" t="inlineStr">
        <is>
          <t>3.10.3 — - коррозионный [УШГН]</t>
        </is>
      </c>
      <c r="F116" s="76" t="n"/>
      <c r="H116" t="inlineStr">
        <is>
          <t>ТР3-5 — То же других типов насосов.</t>
        </is>
      </c>
      <c r="J116" s="62" t="inlineStr">
        <is>
          <t>3.10.3 — - коррозионный [УШГН]</t>
        </is>
      </c>
      <c r="K116" s="62" t="n"/>
      <c r="L116" s="62" t="n"/>
      <c r="M116" s="62" t="n"/>
      <c r="N116" s="62" t="n"/>
      <c r="Q116" t="inlineStr">
        <is>
          <t>Предварительная / итоговая причина</t>
        </is>
      </c>
      <c r="R116" t="inlineStr">
        <is>
          <t>1.6 — Авария [УЭЦН]</t>
        </is>
      </c>
      <c r="S116" t="inlineStr">
        <is>
          <t>Код и название; метка группы добавлена</t>
        </is>
      </c>
      <c r="T116" t="inlineStr">
        <is>
          <t>Классификатор по способам 2024 V10, лист УЭЦН</t>
        </is>
      </c>
      <c r="U116" t="inlineStr">
        <is>
          <t>Лист УЭЦН; код 1.6</t>
        </is>
      </c>
      <c r="V116" t="inlineStr">
        <is>
          <t>ЭЦН/ЭВН</t>
        </is>
      </c>
      <c r="BA116" t="inlineStr">
        <is>
          <t>ТР3-5 — То же других типов насосов.</t>
        </is>
      </c>
      <c r="CJ116" t="inlineStr">
        <is>
          <t>3.10.3 — - коррозионный [УШГН]</t>
        </is>
      </c>
      <c r="CL116">
        <f>IFERROR(INDEX('История отказов'!$AK$5:$AK$1204,SMALL($DI$2:$DI$1201,ROWS($CL$4:CL116))),"")</f>
        <v/>
      </c>
      <c r="CP116">
        <f>IFERROR(INDEX('История отказов'!$AU$5:$AU$1204,SMALL($DJ$2:$DJ$1201,ROWS($CP$4:CP116))),"")</f>
        <v/>
      </c>
      <c r="CR116">
        <f>IFERROR(INDEX('История отказов'!$AY$5:$AY$1204,SMALL($DK$2:$DK$1201,ROWS($CR$3:CR116))),"")</f>
        <v/>
      </c>
      <c r="CT116">
        <f>IFERROR(INDEX('История отказов'!$AE$5:$AE$1204,SMALL($DC$2:$DC$1201,ROWS($CT$3:CT116))),"")</f>
        <v/>
      </c>
      <c r="CU116">
        <f>IFERROR(INDEX('История отказов'!$AE$5:$AE$1204,SMALL($DD$2:$DD$1201,ROWS($CU$4:CU116))),"")</f>
        <v/>
      </c>
      <c r="CV116">
        <f>IFERROR(INDEX('История отказов'!$AE$5:$AE$1204,SMALL($DE$2:$DE$1201,ROWS($CV$4:CV116))),"")</f>
        <v/>
      </c>
      <c r="CW116">
        <f>IFERROR(INDEX('История отказов'!$AE$5:$AE$1204,SMALL($DG$2:$DG$1201,ROWS($CW$3:CW116))),"")</f>
        <v/>
      </c>
      <c r="CX116">
        <f>IFERROR(INDEX('История отказов'!$AE$5:$AE$1204,SMALL($DF$2:$DF$1201,ROWS($CX$3:CX116))),"")</f>
        <v/>
      </c>
      <c r="CY116">
        <f>IFERROR(INDEX('История отказов'!$AE$5:$AE$1204,SMALL($DH$2:$DH$1201,ROWS($CY$7:CY116))),"")</f>
        <v/>
      </c>
      <c r="DA116">
        <f>IFERROR(INDEX($DB$2:$DB$4801,SMALL($DL$2:$DL$4801,ROWS($DA$48:DA116))),"")</f>
        <v/>
      </c>
      <c r="DB116">
        <f>IF('История отказов'!AH119="","",'История отказов'!AH119)</f>
        <v/>
      </c>
      <c r="DC116">
        <f>IF('История отказов'!AE119="","",IF(AND(COUNTIF($CT$2:$CT$2,'История отказов'!AE119)=0,COUNTIFS('История отказов'!$F$5:F119,"ШГН",'История отказов'!$AE$5:AE119,'История отказов'!AE119)=1,'История отказов'!F119="ШГН"),115,""))</f>
        <v/>
      </c>
      <c r="DD116">
        <f>IF('История отказов'!AE119="","",IF(AND(COUNTIF($CU$2:$CU$3,'История отказов'!AE119)=0,COUNTIFS('История отказов'!$F$5:F119,"ЭЦН",'История отказов'!$AE$5:AE119,'История отказов'!AE119)=1,'История отказов'!F119="ЭЦН"),115,""))</f>
        <v/>
      </c>
      <c r="DE116">
        <f>IF('История отказов'!AE119="","",IF(AND(COUNTIF($CV$2:$CV$3,'История отказов'!AE119)=0,COUNTIFS('История отказов'!$F$5:F119,"ЭВН",'История отказов'!$AE$5:AE119,'История отказов'!AE119)=1,'История отказов'!F119="ЭВН"),115,""))</f>
        <v/>
      </c>
      <c r="DF116">
        <f>IF('История отказов'!AE119="","",IF(AND(COUNTIF($CX$2:$CX$2,'История отказов'!AE119)=0,COUNTIFS('История отказов'!$F$5:F119,"ШВН",'История отказов'!$AE$5:AE119,'История отказов'!AE119)=1,'История отказов'!F119="ШВН"),115,""))</f>
        <v/>
      </c>
      <c r="DG116">
        <f>IF('История отказов'!AE119="","",IF(AND(COUNTIF($CW$2:$CW$2,'История отказов'!AE119)=0,COUNTIFS('История отказов'!$F$5:F119,"НПУ-ВД",'История отказов'!$AE$5:AE119,'История отказов'!AE119)=1,'История отказов'!F119="НПУ-ВД"),115,""))</f>
        <v/>
      </c>
      <c r="DH116">
        <f>IF('История отказов'!AE119="","",IF(AND(COUNTIF($CY$2:$CY$6,'История отказов'!AE119)=0,COUNTIF('История отказов'!$AE$5:AE119,'История отказов'!AE119)=1),115,""))</f>
        <v/>
      </c>
      <c r="DI116">
        <f>IF('История отказов'!AK119="","",IF(AND(COUNTIF($CL$2:$CL$3,'История отказов'!AK119)=0,COUNTIF('История отказов'!$AK$5:AK119,'История отказов'!AK119)=1),115,""))</f>
        <v/>
      </c>
      <c r="DJ116">
        <f>IF('История отказов'!AU119="","",IF(AND(COUNTIF($CP$2:$CP$3,'История отказов'!AU119)=0,COUNTIF('История отказов'!$AU$5:AU119,'История отказов'!AU119)=1),115,""))</f>
        <v/>
      </c>
      <c r="DK116">
        <f>IF('История отказов'!AY119="","",IF(AND(COUNTIF($CR$2:$CR$2,'История отказов'!AY119)=0,COUNTIF('История отказов'!$AY$5:AY119,'История отказов'!AY119)=1),115,""))</f>
        <v/>
      </c>
      <c r="DL116">
        <f>IF(DB116="","",IF(AND(COUNTIF($DA$2:$DA$47,DB116)=0,COUNTIF($DB$2:DB116,DB116)=1),115,""))</f>
        <v/>
      </c>
    </row>
    <row r="117">
      <c r="A117" s="74" t="n"/>
      <c r="B117" s="75" t="n"/>
      <c r="C117" s="75" t="n"/>
      <c r="D117" s="75" t="n"/>
      <c r="E117" s="75" t="inlineStr">
        <is>
          <t>3.11 — Засорение ГНО механическими примесями [УШГН]</t>
        </is>
      </c>
      <c r="F117" s="76" t="n"/>
      <c r="H117" t="inlineStr">
        <is>
          <t>ТР4-1 — Ревизия и смена насоса.</t>
        </is>
      </c>
      <c r="J117" s="62" t="inlineStr">
        <is>
          <t>3.11 — Засорение ГНО механическими примесями [УШГН]</t>
        </is>
      </c>
      <c r="K117" s="62" t="n"/>
      <c r="L117" s="62" t="n"/>
      <c r="M117" s="62" t="n"/>
      <c r="N117" s="62" t="n"/>
      <c r="Q117" t="inlineStr">
        <is>
          <t>Предварительная / итоговая причина</t>
        </is>
      </c>
      <c r="R117" t="inlineStr">
        <is>
          <t>1.7 — Организационные причины ТРС [УЭЦН]</t>
        </is>
      </c>
      <c r="S117" t="inlineStr">
        <is>
          <t>Код и название; метка группы добавлена</t>
        </is>
      </c>
      <c r="T117" t="inlineStr">
        <is>
          <t>Классификатор по способам 2024 V10, лист УЭЦН</t>
        </is>
      </c>
      <c r="U117" t="inlineStr">
        <is>
          <t>Лист УЭЦН; код 1.7</t>
        </is>
      </c>
      <c r="V117" t="inlineStr">
        <is>
          <t>ЭЦН/ЭВН</t>
        </is>
      </c>
      <c r="BA117" t="inlineStr">
        <is>
          <t>ТР4-1 — Ревизия и смена насоса.</t>
        </is>
      </c>
      <c r="CJ117" t="inlineStr">
        <is>
          <t>3.11 — Засорение ГНО механическими примесями [УШГН]</t>
        </is>
      </c>
      <c r="CL117">
        <f>IFERROR(INDEX('История отказов'!$AK$5:$AK$1204,SMALL($DI$2:$DI$1201,ROWS($CL$4:CL117))),"")</f>
        <v/>
      </c>
      <c r="CP117">
        <f>IFERROR(INDEX('История отказов'!$AU$5:$AU$1204,SMALL($DJ$2:$DJ$1201,ROWS($CP$4:CP117))),"")</f>
        <v/>
      </c>
      <c r="CR117">
        <f>IFERROR(INDEX('История отказов'!$AY$5:$AY$1204,SMALL($DK$2:$DK$1201,ROWS($CR$3:CR117))),"")</f>
        <v/>
      </c>
      <c r="CT117">
        <f>IFERROR(INDEX('История отказов'!$AE$5:$AE$1204,SMALL($DC$2:$DC$1201,ROWS($CT$3:CT117))),"")</f>
        <v/>
      </c>
      <c r="CU117">
        <f>IFERROR(INDEX('История отказов'!$AE$5:$AE$1204,SMALL($DD$2:$DD$1201,ROWS($CU$4:CU117))),"")</f>
        <v/>
      </c>
      <c r="CV117">
        <f>IFERROR(INDEX('История отказов'!$AE$5:$AE$1204,SMALL($DE$2:$DE$1201,ROWS($CV$4:CV117))),"")</f>
        <v/>
      </c>
      <c r="CW117">
        <f>IFERROR(INDEX('История отказов'!$AE$5:$AE$1204,SMALL($DG$2:$DG$1201,ROWS($CW$3:CW117))),"")</f>
        <v/>
      </c>
      <c r="CX117">
        <f>IFERROR(INDEX('История отказов'!$AE$5:$AE$1204,SMALL($DF$2:$DF$1201,ROWS($CX$3:CX117))),"")</f>
        <v/>
      </c>
      <c r="CY117">
        <f>IFERROR(INDEX('История отказов'!$AE$5:$AE$1204,SMALL($DH$2:$DH$1201,ROWS($CY$7:CY117))),"")</f>
        <v/>
      </c>
      <c r="DA117">
        <f>IFERROR(INDEX($DB$2:$DB$4801,SMALL($DL$2:$DL$4801,ROWS($DA$48:DA117))),"")</f>
        <v/>
      </c>
      <c r="DB117">
        <f>IF('История отказов'!AH120="","",'История отказов'!AH120)</f>
        <v/>
      </c>
      <c r="DC117">
        <f>IF('История отказов'!AE120="","",IF(AND(COUNTIF($CT$2:$CT$2,'История отказов'!AE120)=0,COUNTIFS('История отказов'!$F$5:F120,"ШГН",'История отказов'!$AE$5:AE120,'История отказов'!AE120)=1,'История отказов'!F120="ШГН"),116,""))</f>
        <v/>
      </c>
      <c r="DD117">
        <f>IF('История отказов'!AE120="","",IF(AND(COUNTIF($CU$2:$CU$3,'История отказов'!AE120)=0,COUNTIFS('История отказов'!$F$5:F120,"ЭЦН",'История отказов'!$AE$5:AE120,'История отказов'!AE120)=1,'История отказов'!F120="ЭЦН"),116,""))</f>
        <v/>
      </c>
      <c r="DE117">
        <f>IF('История отказов'!AE120="","",IF(AND(COUNTIF($CV$2:$CV$3,'История отказов'!AE120)=0,COUNTIFS('История отказов'!$F$5:F120,"ЭВН",'История отказов'!$AE$5:AE120,'История отказов'!AE120)=1,'История отказов'!F120="ЭВН"),116,""))</f>
        <v/>
      </c>
      <c r="DF117">
        <f>IF('История отказов'!AE120="","",IF(AND(COUNTIF($CX$2:$CX$2,'История отказов'!AE120)=0,COUNTIFS('История отказов'!$F$5:F120,"ШВН",'История отказов'!$AE$5:AE120,'История отказов'!AE120)=1,'История отказов'!F120="ШВН"),116,""))</f>
        <v/>
      </c>
      <c r="DG117">
        <f>IF('История отказов'!AE120="","",IF(AND(COUNTIF($CW$2:$CW$2,'История отказов'!AE120)=0,COUNTIFS('История отказов'!$F$5:F120,"НПУ-ВД",'История отказов'!$AE$5:AE120,'История отказов'!AE120)=1,'История отказов'!F120="НПУ-ВД"),116,""))</f>
        <v/>
      </c>
      <c r="DH117">
        <f>IF('История отказов'!AE120="","",IF(AND(COUNTIF($CY$2:$CY$6,'История отказов'!AE120)=0,COUNTIF('История отказов'!$AE$5:AE120,'История отказов'!AE120)=1),116,""))</f>
        <v/>
      </c>
      <c r="DI117">
        <f>IF('История отказов'!AK120="","",IF(AND(COUNTIF($CL$2:$CL$3,'История отказов'!AK120)=0,COUNTIF('История отказов'!$AK$5:AK120,'История отказов'!AK120)=1),116,""))</f>
        <v/>
      </c>
      <c r="DJ117">
        <f>IF('История отказов'!AU120="","",IF(AND(COUNTIF($CP$2:$CP$3,'История отказов'!AU120)=0,COUNTIF('История отказов'!$AU$5:AU120,'История отказов'!AU120)=1),116,""))</f>
        <v/>
      </c>
      <c r="DK117">
        <f>IF('История отказов'!AY120="","",IF(AND(COUNTIF($CR$2:$CR$2,'История отказов'!AY120)=0,COUNTIF('История отказов'!$AY$5:AY120,'История отказов'!AY120)=1),116,""))</f>
        <v/>
      </c>
      <c r="DL117">
        <f>IF(DB117="","",IF(AND(COUNTIF($DA$2:$DA$47,DB117)=0,COUNTIF($DB$2:DB117,DB117)=1),116,""))</f>
        <v/>
      </c>
    </row>
    <row r="118">
      <c r="A118" s="74" t="n"/>
      <c r="B118" s="75" t="n"/>
      <c r="C118" s="75" t="n"/>
      <c r="D118" s="75" t="n"/>
      <c r="E118" s="75" t="inlineStr">
        <is>
          <t>3.12 — Некачественная подготовка скважины [УШГН]</t>
        </is>
      </c>
      <c r="F118" s="76" t="n"/>
      <c r="H118" t="inlineStr">
        <is>
          <t>ТР4-2 — Устранение обрыва штанг.</t>
        </is>
      </c>
      <c r="J118" s="62" t="inlineStr">
        <is>
          <t>3.12 — Некачественная подготовка скважины [УШГН]</t>
        </is>
      </c>
      <c r="K118" s="62" t="n"/>
      <c r="L118" s="62" t="n"/>
      <c r="M118" s="62" t="n"/>
      <c r="N118" s="62" t="n"/>
      <c r="Q118" t="inlineStr">
        <is>
          <t>Предварительная / итоговая причина</t>
        </is>
      </c>
      <c r="R118" t="inlineStr">
        <is>
          <t>2.1 — Механическое повреждение кабеля [УЭЦН]</t>
        </is>
      </c>
      <c r="S118" t="inlineStr">
        <is>
          <t>Код и название; метка группы добавлена</t>
        </is>
      </c>
      <c r="T118" t="inlineStr">
        <is>
          <t>Классификатор по способам 2024 V10, лист УЭЦН</t>
        </is>
      </c>
      <c r="U118" t="inlineStr">
        <is>
          <t>Лист УЭЦН; код 2.1</t>
        </is>
      </c>
      <c r="V118" t="inlineStr">
        <is>
          <t>ЭЦН/ЭВН</t>
        </is>
      </c>
      <c r="BA118" t="inlineStr">
        <is>
          <t>ТР4-2 — Устранение обрыва штанг.</t>
        </is>
      </c>
      <c r="CJ118" t="inlineStr">
        <is>
          <t>3.12 — Некачественная подготовка скважины [УШГН]</t>
        </is>
      </c>
      <c r="CL118">
        <f>IFERROR(INDEX('История отказов'!$AK$5:$AK$1204,SMALL($DI$2:$DI$1201,ROWS($CL$4:CL118))),"")</f>
        <v/>
      </c>
      <c r="CP118">
        <f>IFERROR(INDEX('История отказов'!$AU$5:$AU$1204,SMALL($DJ$2:$DJ$1201,ROWS($CP$4:CP118))),"")</f>
        <v/>
      </c>
      <c r="CR118">
        <f>IFERROR(INDEX('История отказов'!$AY$5:$AY$1204,SMALL($DK$2:$DK$1201,ROWS($CR$3:CR118))),"")</f>
        <v/>
      </c>
      <c r="CT118">
        <f>IFERROR(INDEX('История отказов'!$AE$5:$AE$1204,SMALL($DC$2:$DC$1201,ROWS($CT$3:CT118))),"")</f>
        <v/>
      </c>
      <c r="CU118">
        <f>IFERROR(INDEX('История отказов'!$AE$5:$AE$1204,SMALL($DD$2:$DD$1201,ROWS($CU$4:CU118))),"")</f>
        <v/>
      </c>
      <c r="CV118">
        <f>IFERROR(INDEX('История отказов'!$AE$5:$AE$1204,SMALL($DE$2:$DE$1201,ROWS($CV$4:CV118))),"")</f>
        <v/>
      </c>
      <c r="CW118">
        <f>IFERROR(INDEX('История отказов'!$AE$5:$AE$1204,SMALL($DG$2:$DG$1201,ROWS($CW$3:CW118))),"")</f>
        <v/>
      </c>
      <c r="CX118">
        <f>IFERROR(INDEX('История отказов'!$AE$5:$AE$1204,SMALL($DF$2:$DF$1201,ROWS($CX$3:CX118))),"")</f>
        <v/>
      </c>
      <c r="CY118">
        <f>IFERROR(INDEX('История отказов'!$AE$5:$AE$1204,SMALL($DH$2:$DH$1201,ROWS($CY$7:CY118))),"")</f>
        <v/>
      </c>
      <c r="DA118">
        <f>IFERROR(INDEX($DB$2:$DB$4801,SMALL($DL$2:$DL$4801,ROWS($DA$48:DA118))),"")</f>
        <v/>
      </c>
      <c r="DB118">
        <f>IF('История отказов'!AH121="","",'История отказов'!AH121)</f>
        <v/>
      </c>
      <c r="DC118">
        <f>IF('История отказов'!AE121="","",IF(AND(COUNTIF($CT$2:$CT$2,'История отказов'!AE121)=0,COUNTIFS('История отказов'!$F$5:F121,"ШГН",'История отказов'!$AE$5:AE121,'История отказов'!AE121)=1,'История отказов'!F121="ШГН"),117,""))</f>
        <v/>
      </c>
      <c r="DD118">
        <f>IF('История отказов'!AE121="","",IF(AND(COUNTIF($CU$2:$CU$3,'История отказов'!AE121)=0,COUNTIFS('История отказов'!$F$5:F121,"ЭЦН",'История отказов'!$AE$5:AE121,'История отказов'!AE121)=1,'История отказов'!F121="ЭЦН"),117,""))</f>
        <v/>
      </c>
      <c r="DE118">
        <f>IF('История отказов'!AE121="","",IF(AND(COUNTIF($CV$2:$CV$3,'История отказов'!AE121)=0,COUNTIFS('История отказов'!$F$5:F121,"ЭВН",'История отказов'!$AE$5:AE121,'История отказов'!AE121)=1,'История отказов'!F121="ЭВН"),117,""))</f>
        <v/>
      </c>
      <c r="DF118">
        <f>IF('История отказов'!AE121="","",IF(AND(COUNTIF($CX$2:$CX$2,'История отказов'!AE121)=0,COUNTIFS('История отказов'!$F$5:F121,"ШВН",'История отказов'!$AE$5:AE121,'История отказов'!AE121)=1,'История отказов'!F121="ШВН"),117,""))</f>
        <v/>
      </c>
      <c r="DG118">
        <f>IF('История отказов'!AE121="","",IF(AND(COUNTIF($CW$2:$CW$2,'История отказов'!AE121)=0,COUNTIFS('История отказов'!$F$5:F121,"НПУ-ВД",'История отказов'!$AE$5:AE121,'История отказов'!AE121)=1,'История отказов'!F121="НПУ-ВД"),117,""))</f>
        <v/>
      </c>
      <c r="DH118">
        <f>IF('История отказов'!AE121="","",IF(AND(COUNTIF($CY$2:$CY$6,'История отказов'!AE121)=0,COUNTIF('История отказов'!$AE$5:AE121,'История отказов'!AE121)=1),117,""))</f>
        <v/>
      </c>
      <c r="DI118">
        <f>IF('История отказов'!AK121="","",IF(AND(COUNTIF($CL$2:$CL$3,'История отказов'!AK121)=0,COUNTIF('История отказов'!$AK$5:AK121,'История отказов'!AK121)=1),117,""))</f>
        <v/>
      </c>
      <c r="DJ118">
        <f>IF('История отказов'!AU121="","",IF(AND(COUNTIF($CP$2:$CP$3,'История отказов'!AU121)=0,COUNTIF('История отказов'!$AU$5:AU121,'История отказов'!AU121)=1),117,""))</f>
        <v/>
      </c>
      <c r="DK118">
        <f>IF('История отказов'!AY121="","",IF(AND(COUNTIF($CR$2:$CR$2,'История отказов'!AY121)=0,COUNTIF('История отказов'!$AY$5:AY121,'История отказов'!AY121)=1),117,""))</f>
        <v/>
      </c>
      <c r="DL118">
        <f>IF(DB118="","",IF(AND(COUNTIF($DA$2:$DA$47,DB118)=0,COUNTIF($DB$2:DB118,DB118)=1),117,""))</f>
        <v/>
      </c>
    </row>
    <row r="119">
      <c r="A119" s="74" t="n"/>
      <c r="B119" s="75" t="n"/>
      <c r="C119" s="75" t="n"/>
      <c r="D119" s="75" t="n"/>
      <c r="E119" s="75" t="inlineStr">
        <is>
          <t>3.13 — Отсутствие допустимых интервалов размещения ГНО [УШГН]</t>
        </is>
      </c>
      <c r="F119" s="76" t="n"/>
      <c r="H119" t="inlineStr">
        <is>
          <t>ТР4-3 — Устранение отворота штанг.</t>
        </is>
      </c>
      <c r="J119" s="62" t="inlineStr">
        <is>
          <t>3.13 — Отсутствие допустимых интервалов размещения ГНО [УШГН]</t>
        </is>
      </c>
      <c r="K119" s="62" t="n"/>
      <c r="L119" s="62" t="n"/>
      <c r="M119" s="62" t="n"/>
      <c r="N119" s="62" t="n"/>
      <c r="Q119" t="inlineStr">
        <is>
          <t>Предварительная / итоговая причина</t>
        </is>
      </c>
      <c r="R119" t="inlineStr">
        <is>
          <t>2.2 — Нарушение глубины спуска [УЭЦН]</t>
        </is>
      </c>
      <c r="S119" t="inlineStr">
        <is>
          <t>Код и название; метка группы добавлена</t>
        </is>
      </c>
      <c r="T119" t="inlineStr">
        <is>
          <t>Классификатор по способам 2024 V10, лист УЭЦН</t>
        </is>
      </c>
      <c r="U119" t="inlineStr">
        <is>
          <t>Лист УЭЦН; код 2.2</t>
        </is>
      </c>
      <c r="V119" t="inlineStr">
        <is>
          <t>ЭЦН/ЭВН</t>
        </is>
      </c>
      <c r="BA119" t="inlineStr">
        <is>
          <t>ТР4-3 — Устранение отворота штанг.</t>
        </is>
      </c>
      <c r="CJ119" t="inlineStr">
        <is>
          <t>3.13 — Отсутствие допустимых интервалов размещения ГНО [УШГН]</t>
        </is>
      </c>
      <c r="CL119">
        <f>IFERROR(INDEX('История отказов'!$AK$5:$AK$1204,SMALL($DI$2:$DI$1201,ROWS($CL$4:CL119))),"")</f>
        <v/>
      </c>
      <c r="CP119">
        <f>IFERROR(INDEX('История отказов'!$AU$5:$AU$1204,SMALL($DJ$2:$DJ$1201,ROWS($CP$4:CP119))),"")</f>
        <v/>
      </c>
      <c r="CR119">
        <f>IFERROR(INDEX('История отказов'!$AY$5:$AY$1204,SMALL($DK$2:$DK$1201,ROWS($CR$3:CR119))),"")</f>
        <v/>
      </c>
      <c r="CT119">
        <f>IFERROR(INDEX('История отказов'!$AE$5:$AE$1204,SMALL($DC$2:$DC$1201,ROWS($CT$3:CT119))),"")</f>
        <v/>
      </c>
      <c r="CU119">
        <f>IFERROR(INDEX('История отказов'!$AE$5:$AE$1204,SMALL($DD$2:$DD$1201,ROWS($CU$4:CU119))),"")</f>
        <v/>
      </c>
      <c r="CV119">
        <f>IFERROR(INDEX('История отказов'!$AE$5:$AE$1204,SMALL($DE$2:$DE$1201,ROWS($CV$4:CV119))),"")</f>
        <v/>
      </c>
      <c r="CW119">
        <f>IFERROR(INDEX('История отказов'!$AE$5:$AE$1204,SMALL($DG$2:$DG$1201,ROWS($CW$3:CW119))),"")</f>
        <v/>
      </c>
      <c r="CX119">
        <f>IFERROR(INDEX('История отказов'!$AE$5:$AE$1204,SMALL($DF$2:$DF$1201,ROWS($CX$3:CX119))),"")</f>
        <v/>
      </c>
      <c r="CY119">
        <f>IFERROR(INDEX('История отказов'!$AE$5:$AE$1204,SMALL($DH$2:$DH$1201,ROWS($CY$7:CY119))),"")</f>
        <v/>
      </c>
      <c r="DA119">
        <f>IFERROR(INDEX($DB$2:$DB$4801,SMALL($DL$2:$DL$4801,ROWS($DA$48:DA119))),"")</f>
        <v/>
      </c>
      <c r="DB119">
        <f>IF('История отказов'!AH122="","",'История отказов'!AH122)</f>
        <v/>
      </c>
      <c r="DC119">
        <f>IF('История отказов'!AE122="","",IF(AND(COUNTIF($CT$2:$CT$2,'История отказов'!AE122)=0,COUNTIFS('История отказов'!$F$5:F122,"ШГН",'История отказов'!$AE$5:AE122,'История отказов'!AE122)=1,'История отказов'!F122="ШГН"),118,""))</f>
        <v/>
      </c>
      <c r="DD119">
        <f>IF('История отказов'!AE122="","",IF(AND(COUNTIF($CU$2:$CU$3,'История отказов'!AE122)=0,COUNTIFS('История отказов'!$F$5:F122,"ЭЦН",'История отказов'!$AE$5:AE122,'История отказов'!AE122)=1,'История отказов'!F122="ЭЦН"),118,""))</f>
        <v/>
      </c>
      <c r="DE119">
        <f>IF('История отказов'!AE122="","",IF(AND(COUNTIF($CV$2:$CV$3,'История отказов'!AE122)=0,COUNTIFS('История отказов'!$F$5:F122,"ЭВН",'История отказов'!$AE$5:AE122,'История отказов'!AE122)=1,'История отказов'!F122="ЭВН"),118,""))</f>
        <v/>
      </c>
      <c r="DF119">
        <f>IF('История отказов'!AE122="","",IF(AND(COUNTIF($CX$2:$CX$2,'История отказов'!AE122)=0,COUNTIFS('История отказов'!$F$5:F122,"ШВН",'История отказов'!$AE$5:AE122,'История отказов'!AE122)=1,'История отказов'!F122="ШВН"),118,""))</f>
        <v/>
      </c>
      <c r="DG119">
        <f>IF('История отказов'!AE122="","",IF(AND(COUNTIF($CW$2:$CW$2,'История отказов'!AE122)=0,COUNTIFS('История отказов'!$F$5:F122,"НПУ-ВД",'История отказов'!$AE$5:AE122,'История отказов'!AE122)=1,'История отказов'!F122="НПУ-ВД"),118,""))</f>
        <v/>
      </c>
      <c r="DH119">
        <f>IF('История отказов'!AE122="","",IF(AND(COUNTIF($CY$2:$CY$6,'История отказов'!AE122)=0,COUNTIF('История отказов'!$AE$5:AE122,'История отказов'!AE122)=1),118,""))</f>
        <v/>
      </c>
      <c r="DI119">
        <f>IF('История отказов'!AK122="","",IF(AND(COUNTIF($CL$2:$CL$3,'История отказов'!AK122)=0,COUNTIF('История отказов'!$AK$5:AK122,'История отказов'!AK122)=1),118,""))</f>
        <v/>
      </c>
      <c r="DJ119">
        <f>IF('История отказов'!AU122="","",IF(AND(COUNTIF($CP$2:$CP$3,'История отказов'!AU122)=0,COUNTIF('История отказов'!$AU$5:AU122,'История отказов'!AU122)=1),118,""))</f>
        <v/>
      </c>
      <c r="DK119">
        <f>IF('История отказов'!AY122="","",IF(AND(COUNTIF($CR$2:$CR$2,'История отказов'!AY122)=0,COUNTIF('История отказов'!$AY$5:AY122,'История отказов'!AY122)=1),118,""))</f>
        <v/>
      </c>
      <c r="DL119">
        <f>IF(DB119="","",IF(AND(COUNTIF($DA$2:$DA$47,DB119)=0,COUNTIF($DB$2:DB119,DB119)=1),118,""))</f>
        <v/>
      </c>
    </row>
    <row r="120">
      <c r="A120" s="74" t="n"/>
      <c r="B120" s="75" t="n"/>
      <c r="C120" s="75" t="n"/>
      <c r="D120" s="75" t="n"/>
      <c r="E120" s="75" t="inlineStr">
        <is>
          <t>3.14 — Работа ГНО в сложных условиях [УШГН]</t>
        </is>
      </c>
      <c r="F120" s="76" t="n"/>
      <c r="H120" t="inlineStr">
        <is>
          <t>ТР4-4 — Замена штанг.</t>
        </is>
      </c>
      <c r="J120" s="62" t="inlineStr">
        <is>
          <t>3.14 — Работа ГНО в сложных условиях [УШГН]</t>
        </is>
      </c>
      <c r="K120" s="62" t="n"/>
      <c r="L120" s="62" t="n"/>
      <c r="M120" s="62" t="n"/>
      <c r="N120" s="62" t="n"/>
      <c r="Q120" t="inlineStr">
        <is>
          <t>Предварительная / итоговая причина</t>
        </is>
      </c>
      <c r="R120" t="inlineStr">
        <is>
          <t>2.3 — Некачественная подготовка скважины [УЭЦН]</t>
        </is>
      </c>
      <c r="S120" t="inlineStr">
        <is>
          <t>Код и название; метка группы добавлена</t>
        </is>
      </c>
      <c r="T120" t="inlineStr">
        <is>
          <t>Классификатор по способам 2024 V10, лист УЭЦН</t>
        </is>
      </c>
      <c r="U120" t="inlineStr">
        <is>
          <t>Лист УЭЦН; код 2.3</t>
        </is>
      </c>
      <c r="V120" t="inlineStr">
        <is>
          <t>ЭЦН/ЭВН</t>
        </is>
      </c>
      <c r="BA120" t="inlineStr">
        <is>
          <t>ТР4-4 — Замена штанг.</t>
        </is>
      </c>
      <c r="CJ120" t="inlineStr">
        <is>
          <t>3.14 — Работа ГНО в сложных условиях [УШГН]</t>
        </is>
      </c>
      <c r="CL120">
        <f>IFERROR(INDEX('История отказов'!$AK$5:$AK$1204,SMALL($DI$2:$DI$1201,ROWS($CL$4:CL120))),"")</f>
        <v/>
      </c>
      <c r="CP120">
        <f>IFERROR(INDEX('История отказов'!$AU$5:$AU$1204,SMALL($DJ$2:$DJ$1201,ROWS($CP$4:CP120))),"")</f>
        <v/>
      </c>
      <c r="CR120">
        <f>IFERROR(INDEX('История отказов'!$AY$5:$AY$1204,SMALL($DK$2:$DK$1201,ROWS($CR$3:CR120))),"")</f>
        <v/>
      </c>
      <c r="CT120">
        <f>IFERROR(INDEX('История отказов'!$AE$5:$AE$1204,SMALL($DC$2:$DC$1201,ROWS($CT$3:CT120))),"")</f>
        <v/>
      </c>
      <c r="CU120">
        <f>IFERROR(INDEX('История отказов'!$AE$5:$AE$1204,SMALL($DD$2:$DD$1201,ROWS($CU$4:CU120))),"")</f>
        <v/>
      </c>
      <c r="CV120">
        <f>IFERROR(INDEX('История отказов'!$AE$5:$AE$1204,SMALL($DE$2:$DE$1201,ROWS($CV$4:CV120))),"")</f>
        <v/>
      </c>
      <c r="CW120">
        <f>IFERROR(INDEX('История отказов'!$AE$5:$AE$1204,SMALL($DG$2:$DG$1201,ROWS($CW$3:CW120))),"")</f>
        <v/>
      </c>
      <c r="CX120">
        <f>IFERROR(INDEX('История отказов'!$AE$5:$AE$1204,SMALL($DF$2:$DF$1201,ROWS($CX$3:CX120))),"")</f>
        <v/>
      </c>
      <c r="CY120">
        <f>IFERROR(INDEX('История отказов'!$AE$5:$AE$1204,SMALL($DH$2:$DH$1201,ROWS($CY$7:CY120))),"")</f>
        <v/>
      </c>
      <c r="DA120">
        <f>IFERROR(INDEX($DB$2:$DB$4801,SMALL($DL$2:$DL$4801,ROWS($DA$48:DA120))),"")</f>
        <v/>
      </c>
      <c r="DB120">
        <f>IF('История отказов'!AH123="","",'История отказов'!AH123)</f>
        <v/>
      </c>
      <c r="DC120">
        <f>IF('История отказов'!AE123="","",IF(AND(COUNTIF($CT$2:$CT$2,'История отказов'!AE123)=0,COUNTIFS('История отказов'!$F$5:F123,"ШГН",'История отказов'!$AE$5:AE123,'История отказов'!AE123)=1,'История отказов'!F123="ШГН"),119,""))</f>
        <v/>
      </c>
      <c r="DD120">
        <f>IF('История отказов'!AE123="","",IF(AND(COUNTIF($CU$2:$CU$3,'История отказов'!AE123)=0,COUNTIFS('История отказов'!$F$5:F123,"ЭЦН",'История отказов'!$AE$5:AE123,'История отказов'!AE123)=1,'История отказов'!F123="ЭЦН"),119,""))</f>
        <v/>
      </c>
      <c r="DE120">
        <f>IF('История отказов'!AE123="","",IF(AND(COUNTIF($CV$2:$CV$3,'История отказов'!AE123)=0,COUNTIFS('История отказов'!$F$5:F123,"ЭВН",'История отказов'!$AE$5:AE123,'История отказов'!AE123)=1,'История отказов'!F123="ЭВН"),119,""))</f>
        <v/>
      </c>
      <c r="DF120">
        <f>IF('История отказов'!AE123="","",IF(AND(COUNTIF($CX$2:$CX$2,'История отказов'!AE123)=0,COUNTIFS('История отказов'!$F$5:F123,"ШВН",'История отказов'!$AE$5:AE123,'История отказов'!AE123)=1,'История отказов'!F123="ШВН"),119,""))</f>
        <v/>
      </c>
      <c r="DG120">
        <f>IF('История отказов'!AE123="","",IF(AND(COUNTIF($CW$2:$CW$2,'История отказов'!AE123)=0,COUNTIFS('История отказов'!$F$5:F123,"НПУ-ВД",'История отказов'!$AE$5:AE123,'История отказов'!AE123)=1,'История отказов'!F123="НПУ-ВД"),119,""))</f>
        <v/>
      </c>
      <c r="DH120">
        <f>IF('История отказов'!AE123="","",IF(AND(COUNTIF($CY$2:$CY$6,'История отказов'!AE123)=0,COUNTIF('История отказов'!$AE$5:AE123,'История отказов'!AE123)=1),119,""))</f>
        <v/>
      </c>
      <c r="DI120">
        <f>IF('История отказов'!AK123="","",IF(AND(COUNTIF($CL$2:$CL$3,'История отказов'!AK123)=0,COUNTIF('История отказов'!$AK$5:AK123,'История отказов'!AK123)=1),119,""))</f>
        <v/>
      </c>
      <c r="DJ120">
        <f>IF('История отказов'!AU123="","",IF(AND(COUNTIF($CP$2:$CP$3,'История отказов'!AU123)=0,COUNTIF('История отказов'!$AU$5:AU123,'История отказов'!AU123)=1),119,""))</f>
        <v/>
      </c>
      <c r="DK120">
        <f>IF('История отказов'!AY123="","",IF(AND(COUNTIF($CR$2:$CR$2,'История отказов'!AY123)=0,COUNTIF('История отказов'!$AY$5:AY123,'История отказов'!AY123)=1),119,""))</f>
        <v/>
      </c>
      <c r="DL120">
        <f>IF(DB120="","",IF(AND(COUNTIF($DA$2:$DA$47,DB120)=0,COUNTIF($DB$2:DB120,DB120)=1),119,""))</f>
        <v/>
      </c>
    </row>
    <row r="121">
      <c r="A121" s="74" t="n"/>
      <c r="B121" s="75" t="n"/>
      <c r="C121" s="75" t="n"/>
      <c r="D121" s="75" t="n"/>
      <c r="E121" s="75" t="inlineStr">
        <is>
          <t>3.15 — Не герметичность НКТ в результате истирания [УШГН]</t>
        </is>
      </c>
      <c r="F121" s="76" t="n"/>
      <c r="H121" t="inlineStr">
        <is>
          <t>ТР4-5 — Замена полированного штока.</t>
        </is>
      </c>
      <c r="J121" s="62" t="inlineStr">
        <is>
          <t>3.15 — Не герметичность НКТ в результате истирания [УШГН]</t>
        </is>
      </c>
      <c r="K121" s="62" t="n"/>
      <c r="L121" s="62" t="n"/>
      <c r="M121" s="62" t="n"/>
      <c r="N121" s="62" t="n"/>
      <c r="Q121" t="inlineStr">
        <is>
          <t>Предварительная / итоговая причина</t>
        </is>
      </c>
      <c r="R121" t="inlineStr">
        <is>
          <t>2.4 — Не герметичность НКТ [УЭЦН]</t>
        </is>
      </c>
      <c r="S121" t="inlineStr">
        <is>
          <t>Код и название; метка группы добавлена</t>
        </is>
      </c>
      <c r="T121" t="inlineStr">
        <is>
          <t>Классификатор по способам 2024 V10, лист УЭЦН</t>
        </is>
      </c>
      <c r="U121" t="inlineStr">
        <is>
          <t>Лист УЭЦН; код 2.4</t>
        </is>
      </c>
      <c r="V121" t="inlineStr">
        <is>
          <t>ЭЦН/ЭВН</t>
        </is>
      </c>
      <c r="BA121" t="inlineStr">
        <is>
          <t>ТР4-5 — Замена полированного штока.</t>
        </is>
      </c>
      <c r="CJ121" t="inlineStr">
        <is>
          <t>3.15 — Не герметичность НКТ в результате истирания [УШГН]</t>
        </is>
      </c>
      <c r="CL121">
        <f>IFERROR(INDEX('История отказов'!$AK$5:$AK$1204,SMALL($DI$2:$DI$1201,ROWS($CL$4:CL121))),"")</f>
        <v/>
      </c>
      <c r="CP121">
        <f>IFERROR(INDEX('История отказов'!$AU$5:$AU$1204,SMALL($DJ$2:$DJ$1201,ROWS($CP$4:CP121))),"")</f>
        <v/>
      </c>
      <c r="CR121">
        <f>IFERROR(INDEX('История отказов'!$AY$5:$AY$1204,SMALL($DK$2:$DK$1201,ROWS($CR$3:CR121))),"")</f>
        <v/>
      </c>
      <c r="CT121">
        <f>IFERROR(INDEX('История отказов'!$AE$5:$AE$1204,SMALL($DC$2:$DC$1201,ROWS($CT$3:CT121))),"")</f>
        <v/>
      </c>
      <c r="CU121">
        <f>IFERROR(INDEX('История отказов'!$AE$5:$AE$1204,SMALL($DD$2:$DD$1201,ROWS($CU$4:CU121))),"")</f>
        <v/>
      </c>
      <c r="CV121">
        <f>IFERROR(INDEX('История отказов'!$AE$5:$AE$1204,SMALL($DE$2:$DE$1201,ROWS($CV$4:CV121))),"")</f>
        <v/>
      </c>
      <c r="CW121">
        <f>IFERROR(INDEX('История отказов'!$AE$5:$AE$1204,SMALL($DG$2:$DG$1201,ROWS($CW$3:CW121))),"")</f>
        <v/>
      </c>
      <c r="CX121">
        <f>IFERROR(INDEX('История отказов'!$AE$5:$AE$1204,SMALL($DF$2:$DF$1201,ROWS($CX$3:CX121))),"")</f>
        <v/>
      </c>
      <c r="CY121">
        <f>IFERROR(INDEX('История отказов'!$AE$5:$AE$1204,SMALL($DH$2:$DH$1201,ROWS($CY$7:CY121))),"")</f>
        <v/>
      </c>
      <c r="DA121">
        <f>IFERROR(INDEX($DB$2:$DB$4801,SMALL($DL$2:$DL$4801,ROWS($DA$48:DA121))),"")</f>
        <v/>
      </c>
      <c r="DB121">
        <f>IF('История отказов'!AH124="","",'История отказов'!AH124)</f>
        <v/>
      </c>
      <c r="DC121">
        <f>IF('История отказов'!AE124="","",IF(AND(COUNTIF($CT$2:$CT$2,'История отказов'!AE124)=0,COUNTIFS('История отказов'!$F$5:F124,"ШГН",'История отказов'!$AE$5:AE124,'История отказов'!AE124)=1,'История отказов'!F124="ШГН"),120,""))</f>
        <v/>
      </c>
      <c r="DD121">
        <f>IF('История отказов'!AE124="","",IF(AND(COUNTIF($CU$2:$CU$3,'История отказов'!AE124)=0,COUNTIFS('История отказов'!$F$5:F124,"ЭЦН",'История отказов'!$AE$5:AE124,'История отказов'!AE124)=1,'История отказов'!F124="ЭЦН"),120,""))</f>
        <v/>
      </c>
      <c r="DE121">
        <f>IF('История отказов'!AE124="","",IF(AND(COUNTIF($CV$2:$CV$3,'История отказов'!AE124)=0,COUNTIFS('История отказов'!$F$5:F124,"ЭВН",'История отказов'!$AE$5:AE124,'История отказов'!AE124)=1,'История отказов'!F124="ЭВН"),120,""))</f>
        <v/>
      </c>
      <c r="DF121">
        <f>IF('История отказов'!AE124="","",IF(AND(COUNTIF($CX$2:$CX$2,'История отказов'!AE124)=0,COUNTIFS('История отказов'!$F$5:F124,"ШВН",'История отказов'!$AE$5:AE124,'История отказов'!AE124)=1,'История отказов'!F124="ШВН"),120,""))</f>
        <v/>
      </c>
      <c r="DG121">
        <f>IF('История отказов'!AE124="","",IF(AND(COUNTIF($CW$2:$CW$2,'История отказов'!AE124)=0,COUNTIFS('История отказов'!$F$5:F124,"НПУ-ВД",'История отказов'!$AE$5:AE124,'История отказов'!AE124)=1,'История отказов'!F124="НПУ-ВД"),120,""))</f>
        <v/>
      </c>
      <c r="DH121">
        <f>IF('История отказов'!AE124="","",IF(AND(COUNTIF($CY$2:$CY$6,'История отказов'!AE124)=0,COUNTIF('История отказов'!$AE$5:AE124,'История отказов'!AE124)=1),120,""))</f>
        <v/>
      </c>
      <c r="DI121">
        <f>IF('История отказов'!AK124="","",IF(AND(COUNTIF($CL$2:$CL$3,'История отказов'!AK124)=0,COUNTIF('История отказов'!$AK$5:AK124,'История отказов'!AK124)=1),120,""))</f>
        <v/>
      </c>
      <c r="DJ121">
        <f>IF('История отказов'!AU124="","",IF(AND(COUNTIF($CP$2:$CP$3,'История отказов'!AU124)=0,COUNTIF('История отказов'!$AU$5:AU124,'История отказов'!AU124)=1),120,""))</f>
        <v/>
      </c>
      <c r="DK121">
        <f>IF('История отказов'!AY124="","",IF(AND(COUNTIF($CR$2:$CR$2,'История отказов'!AY124)=0,COUNTIF('История отказов'!$AY$5:AY124,'История отказов'!AY124)=1),120,""))</f>
        <v/>
      </c>
      <c r="DL121">
        <f>IF(DB121="","",IF(AND(COUNTIF($DA$2:$DA$47,DB121)=0,COUNTIF($DB$2:DB121,DB121)=1),120,""))</f>
        <v/>
      </c>
    </row>
    <row r="122">
      <c r="A122" s="74" t="n"/>
      <c r="B122" s="75" t="n"/>
      <c r="C122" s="75" t="n"/>
      <c r="D122" s="75" t="n"/>
      <c r="E122" s="75" t="inlineStr">
        <is>
          <t>3.16 — Не герметичность НКТ с большой наработкой [УШГН]</t>
        </is>
      </c>
      <c r="F122" s="76" t="n"/>
      <c r="H122" t="inlineStr">
        <is>
          <t>ТР4-6 — Замена, опрессовка и устранение негерметичности НКТ.</t>
        </is>
      </c>
      <c r="J122" s="62" t="inlineStr">
        <is>
          <t>3.16 — Не герметичность НКТ с большой наработкой [УШГН]</t>
        </is>
      </c>
      <c r="K122" s="62" t="n"/>
      <c r="L122" s="62" t="n"/>
      <c r="M122" s="62" t="n"/>
      <c r="N122" s="62" t="n"/>
      <c r="Q122" t="inlineStr">
        <is>
          <t>Предварительная / итоговая причина</t>
        </is>
      </c>
      <c r="R122" t="inlineStr">
        <is>
          <t>2.5 — Нарушение СПО [УЭЦН]</t>
        </is>
      </c>
      <c r="S122" t="inlineStr">
        <is>
          <t>Код и название; метка группы добавлена</t>
        </is>
      </c>
      <c r="T122" t="inlineStr">
        <is>
          <t>Классификатор по способам 2024 V10, лист УЭЦН</t>
        </is>
      </c>
      <c r="U122" t="inlineStr">
        <is>
          <t>Лист УЭЦН; код 2.5</t>
        </is>
      </c>
      <c r="V122" t="inlineStr">
        <is>
          <t>ЭЦН/ЭВН</t>
        </is>
      </c>
      <c r="BA122" t="inlineStr">
        <is>
          <t>ТР4-6 — Замена, опрессовка и устранение негерметичности НКТ.</t>
        </is>
      </c>
      <c r="CJ122" t="inlineStr">
        <is>
          <t>3.16 — Не герметичность НКТ с большой наработкой [УШГН]</t>
        </is>
      </c>
      <c r="CL122">
        <f>IFERROR(INDEX('История отказов'!$AK$5:$AK$1204,SMALL($DI$2:$DI$1201,ROWS($CL$4:CL122))),"")</f>
        <v/>
      </c>
      <c r="CP122">
        <f>IFERROR(INDEX('История отказов'!$AU$5:$AU$1204,SMALL($DJ$2:$DJ$1201,ROWS($CP$4:CP122))),"")</f>
        <v/>
      </c>
      <c r="CR122">
        <f>IFERROR(INDEX('История отказов'!$AY$5:$AY$1204,SMALL($DK$2:$DK$1201,ROWS($CR$3:CR122))),"")</f>
        <v/>
      </c>
      <c r="CT122">
        <f>IFERROR(INDEX('История отказов'!$AE$5:$AE$1204,SMALL($DC$2:$DC$1201,ROWS($CT$3:CT122))),"")</f>
        <v/>
      </c>
      <c r="CU122">
        <f>IFERROR(INDEX('История отказов'!$AE$5:$AE$1204,SMALL($DD$2:$DD$1201,ROWS($CU$4:CU122))),"")</f>
        <v/>
      </c>
      <c r="CV122">
        <f>IFERROR(INDEX('История отказов'!$AE$5:$AE$1204,SMALL($DE$2:$DE$1201,ROWS($CV$4:CV122))),"")</f>
        <v/>
      </c>
      <c r="CW122">
        <f>IFERROR(INDEX('История отказов'!$AE$5:$AE$1204,SMALL($DG$2:$DG$1201,ROWS($CW$3:CW122))),"")</f>
        <v/>
      </c>
      <c r="CX122">
        <f>IFERROR(INDEX('История отказов'!$AE$5:$AE$1204,SMALL($DF$2:$DF$1201,ROWS($CX$3:CX122))),"")</f>
        <v/>
      </c>
      <c r="CY122">
        <f>IFERROR(INDEX('История отказов'!$AE$5:$AE$1204,SMALL($DH$2:$DH$1201,ROWS($CY$7:CY122))),"")</f>
        <v/>
      </c>
      <c r="DA122">
        <f>IFERROR(INDEX($DB$2:$DB$4801,SMALL($DL$2:$DL$4801,ROWS($DA$48:DA122))),"")</f>
        <v/>
      </c>
      <c r="DB122">
        <f>IF('История отказов'!AH125="","",'История отказов'!AH125)</f>
        <v/>
      </c>
      <c r="DC122">
        <f>IF('История отказов'!AE125="","",IF(AND(COUNTIF($CT$2:$CT$2,'История отказов'!AE125)=0,COUNTIFS('История отказов'!$F$5:F125,"ШГН",'История отказов'!$AE$5:AE125,'История отказов'!AE125)=1,'История отказов'!F125="ШГН"),121,""))</f>
        <v/>
      </c>
      <c r="DD122">
        <f>IF('История отказов'!AE125="","",IF(AND(COUNTIF($CU$2:$CU$3,'История отказов'!AE125)=0,COUNTIFS('История отказов'!$F$5:F125,"ЭЦН",'История отказов'!$AE$5:AE125,'История отказов'!AE125)=1,'История отказов'!F125="ЭЦН"),121,""))</f>
        <v/>
      </c>
      <c r="DE122">
        <f>IF('История отказов'!AE125="","",IF(AND(COUNTIF($CV$2:$CV$3,'История отказов'!AE125)=0,COUNTIFS('История отказов'!$F$5:F125,"ЭВН",'История отказов'!$AE$5:AE125,'История отказов'!AE125)=1,'История отказов'!F125="ЭВН"),121,""))</f>
        <v/>
      </c>
      <c r="DF122">
        <f>IF('История отказов'!AE125="","",IF(AND(COUNTIF($CX$2:$CX$2,'История отказов'!AE125)=0,COUNTIFS('История отказов'!$F$5:F125,"ШВН",'История отказов'!$AE$5:AE125,'История отказов'!AE125)=1,'История отказов'!F125="ШВН"),121,""))</f>
        <v/>
      </c>
      <c r="DG122">
        <f>IF('История отказов'!AE125="","",IF(AND(COUNTIF($CW$2:$CW$2,'История отказов'!AE125)=0,COUNTIFS('История отказов'!$F$5:F125,"НПУ-ВД",'История отказов'!$AE$5:AE125,'История отказов'!AE125)=1,'История отказов'!F125="НПУ-ВД"),121,""))</f>
        <v/>
      </c>
      <c r="DH122">
        <f>IF('История отказов'!AE125="","",IF(AND(COUNTIF($CY$2:$CY$6,'История отказов'!AE125)=0,COUNTIF('История отказов'!$AE$5:AE125,'История отказов'!AE125)=1),121,""))</f>
        <v/>
      </c>
      <c r="DI122">
        <f>IF('История отказов'!AK125="","",IF(AND(COUNTIF($CL$2:$CL$3,'История отказов'!AK125)=0,COUNTIF('История отказов'!$AK$5:AK125,'История отказов'!AK125)=1),121,""))</f>
        <v/>
      </c>
      <c r="DJ122">
        <f>IF('История отказов'!AU125="","",IF(AND(COUNTIF($CP$2:$CP$3,'История отказов'!AU125)=0,COUNTIF('История отказов'!$AU$5:AU125,'История отказов'!AU125)=1),121,""))</f>
        <v/>
      </c>
      <c r="DK122">
        <f>IF('История отказов'!AY125="","",IF(AND(COUNTIF($CR$2:$CR$2,'История отказов'!AY125)=0,COUNTIF('История отказов'!$AY$5:AY125,'История отказов'!AY125)=1),121,""))</f>
        <v/>
      </c>
      <c r="DL122">
        <f>IF(DB122="","",IF(AND(COUNTIF($DA$2:$DA$47,DB122)=0,COUNTIF($DB$2:DB122,DB122)=1),121,""))</f>
        <v/>
      </c>
    </row>
    <row r="123">
      <c r="A123" s="74" t="n"/>
      <c r="B123" s="75" t="n"/>
      <c r="C123" s="75" t="n"/>
      <c r="D123" s="75" t="n"/>
      <c r="E123" s="75" t="inlineStr">
        <is>
          <t>3.17 — Влияние ПЦО (ПТВ) при эксплуатации [УШГН]</t>
        </is>
      </c>
      <c r="F123" s="76" t="n"/>
      <c r="H123" t="inlineStr">
        <is>
          <t>ТР4-7 — Очистка и пропарка HKT и штанг.</t>
        </is>
      </c>
      <c r="J123" s="62" t="inlineStr">
        <is>
          <t>3.17 — Влияние ПЦО (ПТВ) при эксплуатации [УШГН]</t>
        </is>
      </c>
      <c r="K123" s="62" t="n"/>
      <c r="L123" s="62" t="n"/>
      <c r="M123" s="62" t="n"/>
      <c r="N123" s="62" t="n"/>
      <c r="Q123" t="inlineStr">
        <is>
          <t>Предварительная / итоговая причина</t>
        </is>
      </c>
      <c r="R123" t="inlineStr">
        <is>
          <t>2.6 — Авария [УЭЦН]</t>
        </is>
      </c>
      <c r="S123" t="inlineStr">
        <is>
          <t>Код и название; метка группы добавлена</t>
        </is>
      </c>
      <c r="T123" t="inlineStr">
        <is>
          <t>Классификатор по способам 2024 V10, лист УЭЦН</t>
        </is>
      </c>
      <c r="U123" t="inlineStr">
        <is>
          <t>Лист УЭЦН; код 2.6</t>
        </is>
      </c>
      <c r="V123" t="inlineStr">
        <is>
          <t>ЭЦН/ЭВН</t>
        </is>
      </c>
      <c r="BA123" t="inlineStr">
        <is>
          <t>ТР4-7 — Очистка и пропарка HKT и штанг.</t>
        </is>
      </c>
      <c r="CJ123" t="inlineStr">
        <is>
          <t>3.17 — Влияние ПЦО (ПТВ) при эксплуатации [УШГН]</t>
        </is>
      </c>
      <c r="CL123">
        <f>IFERROR(INDEX('История отказов'!$AK$5:$AK$1204,SMALL($DI$2:$DI$1201,ROWS($CL$4:CL123))),"")</f>
        <v/>
      </c>
      <c r="CP123">
        <f>IFERROR(INDEX('История отказов'!$AU$5:$AU$1204,SMALL($DJ$2:$DJ$1201,ROWS($CP$4:CP123))),"")</f>
        <v/>
      </c>
      <c r="CR123">
        <f>IFERROR(INDEX('История отказов'!$AY$5:$AY$1204,SMALL($DK$2:$DK$1201,ROWS($CR$3:CR123))),"")</f>
        <v/>
      </c>
      <c r="CT123">
        <f>IFERROR(INDEX('История отказов'!$AE$5:$AE$1204,SMALL($DC$2:$DC$1201,ROWS($CT$3:CT123))),"")</f>
        <v/>
      </c>
      <c r="CU123">
        <f>IFERROR(INDEX('История отказов'!$AE$5:$AE$1204,SMALL($DD$2:$DD$1201,ROWS($CU$4:CU123))),"")</f>
        <v/>
      </c>
      <c r="CV123">
        <f>IFERROR(INDEX('История отказов'!$AE$5:$AE$1204,SMALL($DE$2:$DE$1201,ROWS($CV$4:CV123))),"")</f>
        <v/>
      </c>
      <c r="CW123">
        <f>IFERROR(INDEX('История отказов'!$AE$5:$AE$1204,SMALL($DG$2:$DG$1201,ROWS($CW$3:CW123))),"")</f>
        <v/>
      </c>
      <c r="CX123">
        <f>IFERROR(INDEX('История отказов'!$AE$5:$AE$1204,SMALL($DF$2:$DF$1201,ROWS($CX$3:CX123))),"")</f>
        <v/>
      </c>
      <c r="CY123">
        <f>IFERROR(INDEX('История отказов'!$AE$5:$AE$1204,SMALL($DH$2:$DH$1201,ROWS($CY$7:CY123))),"")</f>
        <v/>
      </c>
      <c r="DA123">
        <f>IFERROR(INDEX($DB$2:$DB$4801,SMALL($DL$2:$DL$4801,ROWS($DA$48:DA123))),"")</f>
        <v/>
      </c>
      <c r="DB123">
        <f>IF('История отказов'!AH126="","",'История отказов'!AH126)</f>
        <v/>
      </c>
      <c r="DC123">
        <f>IF('История отказов'!AE126="","",IF(AND(COUNTIF($CT$2:$CT$2,'История отказов'!AE126)=0,COUNTIFS('История отказов'!$F$5:F126,"ШГН",'История отказов'!$AE$5:AE126,'История отказов'!AE126)=1,'История отказов'!F126="ШГН"),122,""))</f>
        <v/>
      </c>
      <c r="DD123">
        <f>IF('История отказов'!AE126="","",IF(AND(COUNTIF($CU$2:$CU$3,'История отказов'!AE126)=0,COUNTIFS('История отказов'!$F$5:F126,"ЭЦН",'История отказов'!$AE$5:AE126,'История отказов'!AE126)=1,'История отказов'!F126="ЭЦН"),122,""))</f>
        <v/>
      </c>
      <c r="DE123">
        <f>IF('История отказов'!AE126="","",IF(AND(COUNTIF($CV$2:$CV$3,'История отказов'!AE126)=0,COUNTIFS('История отказов'!$F$5:F126,"ЭВН",'История отказов'!$AE$5:AE126,'История отказов'!AE126)=1,'История отказов'!F126="ЭВН"),122,""))</f>
        <v/>
      </c>
      <c r="DF123">
        <f>IF('История отказов'!AE126="","",IF(AND(COUNTIF($CX$2:$CX$2,'История отказов'!AE126)=0,COUNTIFS('История отказов'!$F$5:F126,"ШВН",'История отказов'!$AE$5:AE126,'История отказов'!AE126)=1,'История отказов'!F126="ШВН"),122,""))</f>
        <v/>
      </c>
      <c r="DG123">
        <f>IF('История отказов'!AE126="","",IF(AND(COUNTIF($CW$2:$CW$2,'История отказов'!AE126)=0,COUNTIFS('История отказов'!$F$5:F126,"НПУ-ВД",'История отказов'!$AE$5:AE126,'История отказов'!AE126)=1,'История отказов'!F126="НПУ-ВД"),122,""))</f>
        <v/>
      </c>
      <c r="DH123">
        <f>IF('История отказов'!AE126="","",IF(AND(COUNTIF($CY$2:$CY$6,'История отказов'!AE126)=0,COUNTIF('История отказов'!$AE$5:AE126,'История отказов'!AE126)=1),122,""))</f>
        <v/>
      </c>
      <c r="DI123">
        <f>IF('История отказов'!AK126="","",IF(AND(COUNTIF($CL$2:$CL$3,'История отказов'!AK126)=0,COUNTIF('История отказов'!$AK$5:AK126,'История отказов'!AK126)=1),122,""))</f>
        <v/>
      </c>
      <c r="DJ123">
        <f>IF('История отказов'!AU126="","",IF(AND(COUNTIF($CP$2:$CP$3,'История отказов'!AU126)=0,COUNTIF('История отказов'!$AU$5:AU126,'История отказов'!AU126)=1),122,""))</f>
        <v/>
      </c>
      <c r="DK123">
        <f>IF('История отказов'!AY126="","",IF(AND(COUNTIF($CR$2:$CR$2,'История отказов'!AY126)=0,COUNTIF('История отказов'!$AY$5:AY126,'История отказов'!AY126)=1),122,""))</f>
        <v/>
      </c>
      <c r="DL123">
        <f>IF(DB123="","",IF(AND(COUNTIF($DA$2:$DA$47,DB123)=0,COUNTIF($DB$2:DB123,DB123)=1),122,""))</f>
        <v/>
      </c>
    </row>
    <row r="124">
      <c r="A124" s="74" t="n"/>
      <c r="B124" s="75" t="n"/>
      <c r="C124" s="75" t="n"/>
      <c r="D124" s="75" t="n"/>
      <c r="E124" s="75" t="inlineStr">
        <is>
          <t>3.18 — Влияние ВВЭ (высоковязкая эмульсия) [УШГН]</t>
        </is>
      </c>
      <c r="F124" s="76" t="n"/>
      <c r="H124" t="inlineStr">
        <is>
          <t>ТР4-8 — Ревизия, смена устьевого оборудования.</t>
        </is>
      </c>
      <c r="J124" s="62" t="inlineStr">
        <is>
          <t>3.18 — Влияние ВВЭ (высоковязкая эмульсия) [УШГН]</t>
        </is>
      </c>
      <c r="K124" s="62" t="n"/>
      <c r="L124" s="62" t="n"/>
      <c r="M124" s="62" t="n"/>
      <c r="N124" s="62" t="n"/>
      <c r="Q124" t="inlineStr">
        <is>
          <t>Предварительная / итоговая причина</t>
        </is>
      </c>
      <c r="R124" t="inlineStr">
        <is>
          <t>2.7 — Организационные причины КРС [УЭЦН]</t>
        </is>
      </c>
      <c r="S124" t="inlineStr">
        <is>
          <t>Код и название; метка группы добавлена</t>
        </is>
      </c>
      <c r="T124" t="inlineStr">
        <is>
          <t>Классификатор по способам 2024 V10, лист УЭЦН</t>
        </is>
      </c>
      <c r="U124" t="inlineStr">
        <is>
          <t>Лист УЭЦН; код 2.7</t>
        </is>
      </c>
      <c r="V124" t="inlineStr">
        <is>
          <t>ЭЦН/ЭВН</t>
        </is>
      </c>
      <c r="BA124" t="inlineStr">
        <is>
          <t>ТР4-8 — Ревизия, смена устьевого оборудования.</t>
        </is>
      </c>
      <c r="CJ124" t="inlineStr">
        <is>
          <t>3.18 — Влияние ВВЭ (высоковязкая эмульсия) [УШГН]</t>
        </is>
      </c>
      <c r="CL124">
        <f>IFERROR(INDEX('История отказов'!$AK$5:$AK$1204,SMALL($DI$2:$DI$1201,ROWS($CL$4:CL124))),"")</f>
        <v/>
      </c>
      <c r="CP124">
        <f>IFERROR(INDEX('История отказов'!$AU$5:$AU$1204,SMALL($DJ$2:$DJ$1201,ROWS($CP$4:CP124))),"")</f>
        <v/>
      </c>
      <c r="CR124">
        <f>IFERROR(INDEX('История отказов'!$AY$5:$AY$1204,SMALL($DK$2:$DK$1201,ROWS($CR$3:CR124))),"")</f>
        <v/>
      </c>
      <c r="CT124">
        <f>IFERROR(INDEX('История отказов'!$AE$5:$AE$1204,SMALL($DC$2:$DC$1201,ROWS($CT$3:CT124))),"")</f>
        <v/>
      </c>
      <c r="CU124">
        <f>IFERROR(INDEX('История отказов'!$AE$5:$AE$1204,SMALL($DD$2:$DD$1201,ROWS($CU$4:CU124))),"")</f>
        <v/>
      </c>
      <c r="CV124">
        <f>IFERROR(INDEX('История отказов'!$AE$5:$AE$1204,SMALL($DE$2:$DE$1201,ROWS($CV$4:CV124))),"")</f>
        <v/>
      </c>
      <c r="CW124">
        <f>IFERROR(INDEX('История отказов'!$AE$5:$AE$1204,SMALL($DG$2:$DG$1201,ROWS($CW$3:CW124))),"")</f>
        <v/>
      </c>
      <c r="CX124">
        <f>IFERROR(INDEX('История отказов'!$AE$5:$AE$1204,SMALL($DF$2:$DF$1201,ROWS($CX$3:CX124))),"")</f>
        <v/>
      </c>
      <c r="CY124">
        <f>IFERROR(INDEX('История отказов'!$AE$5:$AE$1204,SMALL($DH$2:$DH$1201,ROWS($CY$7:CY124))),"")</f>
        <v/>
      </c>
      <c r="DA124">
        <f>IFERROR(INDEX($DB$2:$DB$4801,SMALL($DL$2:$DL$4801,ROWS($DA$48:DA124))),"")</f>
        <v/>
      </c>
      <c r="DB124">
        <f>IF('История отказов'!AH127="","",'История отказов'!AH127)</f>
        <v/>
      </c>
      <c r="DC124">
        <f>IF('История отказов'!AE127="","",IF(AND(COUNTIF($CT$2:$CT$2,'История отказов'!AE127)=0,COUNTIFS('История отказов'!$F$5:F127,"ШГН",'История отказов'!$AE$5:AE127,'История отказов'!AE127)=1,'История отказов'!F127="ШГН"),123,""))</f>
        <v/>
      </c>
      <c r="DD124">
        <f>IF('История отказов'!AE127="","",IF(AND(COUNTIF($CU$2:$CU$3,'История отказов'!AE127)=0,COUNTIFS('История отказов'!$F$5:F127,"ЭЦН",'История отказов'!$AE$5:AE127,'История отказов'!AE127)=1,'История отказов'!F127="ЭЦН"),123,""))</f>
        <v/>
      </c>
      <c r="DE124">
        <f>IF('История отказов'!AE127="","",IF(AND(COUNTIF($CV$2:$CV$3,'История отказов'!AE127)=0,COUNTIFS('История отказов'!$F$5:F127,"ЭВН",'История отказов'!$AE$5:AE127,'История отказов'!AE127)=1,'История отказов'!F127="ЭВН"),123,""))</f>
        <v/>
      </c>
      <c r="DF124">
        <f>IF('История отказов'!AE127="","",IF(AND(COUNTIF($CX$2:$CX$2,'История отказов'!AE127)=0,COUNTIFS('История отказов'!$F$5:F127,"ШВН",'История отказов'!$AE$5:AE127,'История отказов'!AE127)=1,'История отказов'!F127="ШВН"),123,""))</f>
        <v/>
      </c>
      <c r="DG124">
        <f>IF('История отказов'!AE127="","",IF(AND(COUNTIF($CW$2:$CW$2,'История отказов'!AE127)=0,COUNTIFS('История отказов'!$F$5:F127,"НПУ-ВД",'История отказов'!$AE$5:AE127,'История отказов'!AE127)=1,'История отказов'!F127="НПУ-ВД"),123,""))</f>
        <v/>
      </c>
      <c r="DH124">
        <f>IF('История отказов'!AE127="","",IF(AND(COUNTIF($CY$2:$CY$6,'История отказов'!AE127)=0,COUNTIF('История отказов'!$AE$5:AE127,'История отказов'!AE127)=1),123,""))</f>
        <v/>
      </c>
      <c r="DI124">
        <f>IF('История отказов'!AK127="","",IF(AND(COUNTIF($CL$2:$CL$3,'История отказов'!AK127)=0,COUNTIF('История отказов'!$AK$5:AK127,'История отказов'!AK127)=1),123,""))</f>
        <v/>
      </c>
      <c r="DJ124">
        <f>IF('История отказов'!AU127="","",IF(AND(COUNTIF($CP$2:$CP$3,'История отказов'!AU127)=0,COUNTIF('История отказов'!$AU$5:AU127,'История отказов'!AU127)=1),123,""))</f>
        <v/>
      </c>
      <c r="DK124">
        <f>IF('История отказов'!AY127="","",IF(AND(COUNTIF($CR$2:$CR$2,'История отказов'!AY127)=0,COUNTIF('История отказов'!$AY$5:AY127,'История отказов'!AY127)=1),123,""))</f>
        <v/>
      </c>
      <c r="DL124">
        <f>IF(DB124="","",IF(AND(COUNTIF($DA$2:$DA$47,DB124)=0,COUNTIF($DB$2:DB124,DB124)=1),123,""))</f>
        <v/>
      </c>
    </row>
    <row r="125">
      <c r="A125" s="74" t="n"/>
      <c r="B125" s="75" t="n"/>
      <c r="C125" s="75" t="n"/>
      <c r="D125" s="75" t="n"/>
      <c r="E125" s="75" t="inlineStr">
        <is>
          <t>3.19 — Мехповреждение насоса [УШГН]</t>
        </is>
      </c>
      <c r="F125" s="76" t="n"/>
      <c r="H125" t="inlineStr">
        <is>
          <t>ТР4-9 — Прочие виды ремонтов по ШГН.</t>
        </is>
      </c>
      <c r="J125" s="62" t="inlineStr">
        <is>
          <t>3.19 — Мехповреждение насоса [УШГН]</t>
        </is>
      </c>
      <c r="K125" s="62" t="n"/>
      <c r="L125" s="62" t="n"/>
      <c r="M125" s="62" t="n"/>
      <c r="N125" s="62" t="n"/>
      <c r="Q125" t="inlineStr">
        <is>
          <t>Предварительная / итоговая причина</t>
        </is>
      </c>
      <c r="R125" t="inlineStr">
        <is>
          <t>3.1 — Неправильный подбор ГНО [УЭЦН]</t>
        </is>
      </c>
      <c r="S125" t="inlineStr">
        <is>
          <t>Код и название; метка группы добавлена</t>
        </is>
      </c>
      <c r="T125" t="inlineStr">
        <is>
          <t>Классификатор по способам 2024 V10, лист УЭЦН</t>
        </is>
      </c>
      <c r="U125" t="inlineStr">
        <is>
          <t>Лист УЭЦН; код 3.1</t>
        </is>
      </c>
      <c r="V125" t="inlineStr">
        <is>
          <t>ЭЦН/ЭВН</t>
        </is>
      </c>
      <c r="BA125" t="inlineStr">
        <is>
          <t>ТР4-9 — Прочие виды ремонтов по ШГН.</t>
        </is>
      </c>
      <c r="CJ125" t="inlineStr">
        <is>
          <t>3.19 — Мехповреждение насоса [УШГН]</t>
        </is>
      </c>
      <c r="CL125">
        <f>IFERROR(INDEX('История отказов'!$AK$5:$AK$1204,SMALL($DI$2:$DI$1201,ROWS($CL$4:CL125))),"")</f>
        <v/>
      </c>
      <c r="CP125">
        <f>IFERROR(INDEX('История отказов'!$AU$5:$AU$1204,SMALL($DJ$2:$DJ$1201,ROWS($CP$4:CP125))),"")</f>
        <v/>
      </c>
      <c r="CR125">
        <f>IFERROR(INDEX('История отказов'!$AY$5:$AY$1204,SMALL($DK$2:$DK$1201,ROWS($CR$3:CR125))),"")</f>
        <v/>
      </c>
      <c r="CT125">
        <f>IFERROR(INDEX('История отказов'!$AE$5:$AE$1204,SMALL($DC$2:$DC$1201,ROWS($CT$3:CT125))),"")</f>
        <v/>
      </c>
      <c r="CU125">
        <f>IFERROR(INDEX('История отказов'!$AE$5:$AE$1204,SMALL($DD$2:$DD$1201,ROWS($CU$4:CU125))),"")</f>
        <v/>
      </c>
      <c r="CV125">
        <f>IFERROR(INDEX('История отказов'!$AE$5:$AE$1204,SMALL($DE$2:$DE$1201,ROWS($CV$4:CV125))),"")</f>
        <v/>
      </c>
      <c r="CW125">
        <f>IFERROR(INDEX('История отказов'!$AE$5:$AE$1204,SMALL($DG$2:$DG$1201,ROWS($CW$3:CW125))),"")</f>
        <v/>
      </c>
      <c r="CX125">
        <f>IFERROR(INDEX('История отказов'!$AE$5:$AE$1204,SMALL($DF$2:$DF$1201,ROWS($CX$3:CX125))),"")</f>
        <v/>
      </c>
      <c r="CY125">
        <f>IFERROR(INDEX('История отказов'!$AE$5:$AE$1204,SMALL($DH$2:$DH$1201,ROWS($CY$7:CY125))),"")</f>
        <v/>
      </c>
      <c r="DA125">
        <f>IFERROR(INDEX($DB$2:$DB$4801,SMALL($DL$2:$DL$4801,ROWS($DA$48:DA125))),"")</f>
        <v/>
      </c>
      <c r="DB125">
        <f>IF('История отказов'!AH128="","",'История отказов'!AH128)</f>
        <v/>
      </c>
      <c r="DC125">
        <f>IF('История отказов'!AE128="","",IF(AND(COUNTIF($CT$2:$CT$2,'История отказов'!AE128)=0,COUNTIFS('История отказов'!$F$5:F128,"ШГН",'История отказов'!$AE$5:AE128,'История отказов'!AE128)=1,'История отказов'!F128="ШГН"),124,""))</f>
        <v/>
      </c>
      <c r="DD125">
        <f>IF('История отказов'!AE128="","",IF(AND(COUNTIF($CU$2:$CU$3,'История отказов'!AE128)=0,COUNTIFS('История отказов'!$F$5:F128,"ЭЦН",'История отказов'!$AE$5:AE128,'История отказов'!AE128)=1,'История отказов'!F128="ЭЦН"),124,""))</f>
        <v/>
      </c>
      <c r="DE125">
        <f>IF('История отказов'!AE128="","",IF(AND(COUNTIF($CV$2:$CV$3,'История отказов'!AE128)=0,COUNTIFS('История отказов'!$F$5:F128,"ЭВН",'История отказов'!$AE$5:AE128,'История отказов'!AE128)=1,'История отказов'!F128="ЭВН"),124,""))</f>
        <v/>
      </c>
      <c r="DF125">
        <f>IF('История отказов'!AE128="","",IF(AND(COUNTIF($CX$2:$CX$2,'История отказов'!AE128)=0,COUNTIFS('История отказов'!$F$5:F128,"ШВН",'История отказов'!$AE$5:AE128,'История отказов'!AE128)=1,'История отказов'!F128="ШВН"),124,""))</f>
        <v/>
      </c>
      <c r="DG125">
        <f>IF('История отказов'!AE128="","",IF(AND(COUNTIF($CW$2:$CW$2,'История отказов'!AE128)=0,COUNTIFS('История отказов'!$F$5:F128,"НПУ-ВД",'История отказов'!$AE$5:AE128,'История отказов'!AE128)=1,'История отказов'!F128="НПУ-ВД"),124,""))</f>
        <v/>
      </c>
      <c r="DH125">
        <f>IF('История отказов'!AE128="","",IF(AND(COUNTIF($CY$2:$CY$6,'История отказов'!AE128)=0,COUNTIF('История отказов'!$AE$5:AE128,'История отказов'!AE128)=1),124,""))</f>
        <v/>
      </c>
      <c r="DI125">
        <f>IF('История отказов'!AK128="","",IF(AND(COUNTIF($CL$2:$CL$3,'История отказов'!AK128)=0,COUNTIF('История отказов'!$AK$5:AK128,'История отказов'!AK128)=1),124,""))</f>
        <v/>
      </c>
      <c r="DJ125">
        <f>IF('История отказов'!AU128="","",IF(AND(COUNTIF($CP$2:$CP$3,'История отказов'!AU128)=0,COUNTIF('История отказов'!$AU$5:AU128,'История отказов'!AU128)=1),124,""))</f>
        <v/>
      </c>
      <c r="DK125">
        <f>IF('История отказов'!AY128="","",IF(AND(COUNTIF($CR$2:$CR$2,'История отказов'!AY128)=0,COUNTIF('История отказов'!$AY$5:AY128,'История отказов'!AY128)=1),124,""))</f>
        <v/>
      </c>
      <c r="DL125">
        <f>IF(DB125="","",IF(AND(COUNTIF($DA$2:$DA$47,DB125)=0,COUNTIF($DB$2:DB125,DB125)=1),124,""))</f>
        <v/>
      </c>
    </row>
    <row r="126">
      <c r="A126" s="74" t="n"/>
      <c r="B126" s="75" t="n"/>
      <c r="C126" s="75" t="n"/>
      <c r="D126" s="75" t="n"/>
      <c r="E126" s="75" t="inlineStr">
        <is>
          <t>3.19.1 — плунжера/ротора [УШГН]</t>
        </is>
      </c>
      <c r="F126" s="76" t="n"/>
      <c r="H126" t="inlineStr">
        <is>
          <t>ТР5-1 — Ревизия и смена насоса.</t>
        </is>
      </c>
      <c r="J126" s="62" t="inlineStr">
        <is>
          <t>3.19.1 — плунжера/ротора [УШГН]</t>
        </is>
      </c>
      <c r="K126" s="62" t="n"/>
      <c r="L126" s="62" t="n"/>
      <c r="M126" s="62" t="n"/>
      <c r="N126" s="62" t="n"/>
      <c r="Q126" t="inlineStr">
        <is>
          <t>Предварительная / итоговая причина</t>
        </is>
      </c>
      <c r="R126" t="inlineStr">
        <is>
          <t>3.2 — Некачественный вывод на режим [УЭЦН]</t>
        </is>
      </c>
      <c r="S126" t="inlineStr">
        <is>
          <t>Код и название; метка группы добавлена</t>
        </is>
      </c>
      <c r="T126" t="inlineStr">
        <is>
          <t>Классификатор по способам 2024 V10, лист УЭЦН</t>
        </is>
      </c>
      <c r="U126" t="inlineStr">
        <is>
          <t>Лист УЭЦН; код 3.2</t>
        </is>
      </c>
      <c r="V126" t="inlineStr">
        <is>
          <t>ЭЦН/ЭВН</t>
        </is>
      </c>
      <c r="BA126" t="inlineStr">
        <is>
          <t>ТР5-1 — Ревизия и смена насоса.</t>
        </is>
      </c>
      <c r="CJ126" t="inlineStr">
        <is>
          <t>3.19.1 — плунжера/ротора [УШГН]</t>
        </is>
      </c>
      <c r="CL126">
        <f>IFERROR(INDEX('История отказов'!$AK$5:$AK$1204,SMALL($DI$2:$DI$1201,ROWS($CL$4:CL126))),"")</f>
        <v/>
      </c>
      <c r="CP126">
        <f>IFERROR(INDEX('История отказов'!$AU$5:$AU$1204,SMALL($DJ$2:$DJ$1201,ROWS($CP$4:CP126))),"")</f>
        <v/>
      </c>
      <c r="CR126">
        <f>IFERROR(INDEX('История отказов'!$AY$5:$AY$1204,SMALL($DK$2:$DK$1201,ROWS($CR$3:CR126))),"")</f>
        <v/>
      </c>
      <c r="CT126">
        <f>IFERROR(INDEX('История отказов'!$AE$5:$AE$1204,SMALL($DC$2:$DC$1201,ROWS($CT$3:CT126))),"")</f>
        <v/>
      </c>
      <c r="CU126">
        <f>IFERROR(INDEX('История отказов'!$AE$5:$AE$1204,SMALL($DD$2:$DD$1201,ROWS($CU$4:CU126))),"")</f>
        <v/>
      </c>
      <c r="CV126">
        <f>IFERROR(INDEX('История отказов'!$AE$5:$AE$1204,SMALL($DE$2:$DE$1201,ROWS($CV$4:CV126))),"")</f>
        <v/>
      </c>
      <c r="CW126">
        <f>IFERROR(INDEX('История отказов'!$AE$5:$AE$1204,SMALL($DG$2:$DG$1201,ROWS($CW$3:CW126))),"")</f>
        <v/>
      </c>
      <c r="CX126">
        <f>IFERROR(INDEX('История отказов'!$AE$5:$AE$1204,SMALL($DF$2:$DF$1201,ROWS($CX$3:CX126))),"")</f>
        <v/>
      </c>
      <c r="CY126">
        <f>IFERROR(INDEX('История отказов'!$AE$5:$AE$1204,SMALL($DH$2:$DH$1201,ROWS($CY$7:CY126))),"")</f>
        <v/>
      </c>
      <c r="DA126">
        <f>IFERROR(INDEX($DB$2:$DB$4801,SMALL($DL$2:$DL$4801,ROWS($DA$48:DA126))),"")</f>
        <v/>
      </c>
      <c r="DB126">
        <f>IF('История отказов'!AH129="","",'История отказов'!AH129)</f>
        <v/>
      </c>
      <c r="DC126">
        <f>IF('История отказов'!AE129="","",IF(AND(COUNTIF($CT$2:$CT$2,'История отказов'!AE129)=0,COUNTIFS('История отказов'!$F$5:F129,"ШГН",'История отказов'!$AE$5:AE129,'История отказов'!AE129)=1,'История отказов'!F129="ШГН"),125,""))</f>
        <v/>
      </c>
      <c r="DD126">
        <f>IF('История отказов'!AE129="","",IF(AND(COUNTIF($CU$2:$CU$3,'История отказов'!AE129)=0,COUNTIFS('История отказов'!$F$5:F129,"ЭЦН",'История отказов'!$AE$5:AE129,'История отказов'!AE129)=1,'История отказов'!F129="ЭЦН"),125,""))</f>
        <v/>
      </c>
      <c r="DE126">
        <f>IF('История отказов'!AE129="","",IF(AND(COUNTIF($CV$2:$CV$3,'История отказов'!AE129)=0,COUNTIFS('История отказов'!$F$5:F129,"ЭВН",'История отказов'!$AE$5:AE129,'История отказов'!AE129)=1,'История отказов'!F129="ЭВН"),125,""))</f>
        <v/>
      </c>
      <c r="DF126">
        <f>IF('История отказов'!AE129="","",IF(AND(COUNTIF($CX$2:$CX$2,'История отказов'!AE129)=0,COUNTIFS('История отказов'!$F$5:F129,"ШВН",'История отказов'!$AE$5:AE129,'История отказов'!AE129)=1,'История отказов'!F129="ШВН"),125,""))</f>
        <v/>
      </c>
      <c r="DG126">
        <f>IF('История отказов'!AE129="","",IF(AND(COUNTIF($CW$2:$CW$2,'История отказов'!AE129)=0,COUNTIFS('История отказов'!$F$5:F129,"НПУ-ВД",'История отказов'!$AE$5:AE129,'История отказов'!AE129)=1,'История отказов'!F129="НПУ-ВД"),125,""))</f>
        <v/>
      </c>
      <c r="DH126">
        <f>IF('История отказов'!AE129="","",IF(AND(COUNTIF($CY$2:$CY$6,'История отказов'!AE129)=0,COUNTIF('История отказов'!$AE$5:AE129,'История отказов'!AE129)=1),125,""))</f>
        <v/>
      </c>
      <c r="DI126">
        <f>IF('История отказов'!AK129="","",IF(AND(COUNTIF($CL$2:$CL$3,'История отказов'!AK129)=0,COUNTIF('История отказов'!$AK$5:AK129,'История отказов'!AK129)=1),125,""))</f>
        <v/>
      </c>
      <c r="DJ126">
        <f>IF('История отказов'!AU129="","",IF(AND(COUNTIF($CP$2:$CP$3,'История отказов'!AU129)=0,COUNTIF('История отказов'!$AU$5:AU129,'История отказов'!AU129)=1),125,""))</f>
        <v/>
      </c>
      <c r="DK126">
        <f>IF('История отказов'!AY129="","",IF(AND(COUNTIF($CR$2:$CR$2,'История отказов'!AY129)=0,COUNTIF('История отказов'!$AY$5:AY129,'История отказов'!AY129)=1),125,""))</f>
        <v/>
      </c>
      <c r="DL126">
        <f>IF(DB126="","",IF(AND(COUNTIF($DA$2:$DA$47,DB126)=0,COUNTIF($DB$2:DB126,DB126)=1),125,""))</f>
        <v/>
      </c>
    </row>
    <row r="127">
      <c r="A127" s="74" t="n"/>
      <c r="B127" s="75" t="n"/>
      <c r="C127" s="75" t="n"/>
      <c r="D127" s="75" t="n"/>
      <c r="E127" s="75" t="inlineStr">
        <is>
          <t>3.19.2 — клапанного узла [УШГН]</t>
        </is>
      </c>
      <c r="F127" s="76" t="n"/>
      <c r="H127" t="inlineStr">
        <is>
          <t>ТР5-2 — Смена электродвигателя.</t>
        </is>
      </c>
      <c r="J127" s="62" t="inlineStr">
        <is>
          <t>3.19.2 — клапанного узла [УШГН]</t>
        </is>
      </c>
      <c r="K127" s="62" t="n"/>
      <c r="L127" s="62" t="n"/>
      <c r="M127" s="62" t="n"/>
      <c r="N127" s="62" t="n"/>
      <c r="Q127" t="inlineStr">
        <is>
          <t>Предварительная / итоговая причина</t>
        </is>
      </c>
      <c r="R127" t="inlineStr">
        <is>
          <t>3.3 — Бесконтрольная эксплуатация ГНО [УЭЦН]</t>
        </is>
      </c>
      <c r="S127" t="inlineStr">
        <is>
          <t>Код и название; метка группы добавлена</t>
        </is>
      </c>
      <c r="T127" t="inlineStr">
        <is>
          <t>Классификатор по способам 2024 V10, лист УЭЦН</t>
        </is>
      </c>
      <c r="U127" t="inlineStr">
        <is>
          <t>Лист УЭЦН; код 3.3</t>
        </is>
      </c>
      <c r="V127" t="inlineStr">
        <is>
          <t>ЭЦН/ЭВН</t>
        </is>
      </c>
      <c r="BA127" t="inlineStr">
        <is>
          <t>ТР5-2 — Смена электродвигателя.</t>
        </is>
      </c>
      <c r="CJ127" t="inlineStr">
        <is>
          <t>3.19.2 — клапанного узла [УШГН]</t>
        </is>
      </c>
      <c r="CL127">
        <f>IFERROR(INDEX('История отказов'!$AK$5:$AK$1204,SMALL($DI$2:$DI$1201,ROWS($CL$4:CL127))),"")</f>
        <v/>
      </c>
      <c r="CP127">
        <f>IFERROR(INDEX('История отказов'!$AU$5:$AU$1204,SMALL($DJ$2:$DJ$1201,ROWS($CP$4:CP127))),"")</f>
        <v/>
      </c>
      <c r="CR127">
        <f>IFERROR(INDEX('История отказов'!$AY$5:$AY$1204,SMALL($DK$2:$DK$1201,ROWS($CR$3:CR127))),"")</f>
        <v/>
      </c>
      <c r="CT127">
        <f>IFERROR(INDEX('История отказов'!$AE$5:$AE$1204,SMALL($DC$2:$DC$1201,ROWS($CT$3:CT127))),"")</f>
        <v/>
      </c>
      <c r="CU127">
        <f>IFERROR(INDEX('История отказов'!$AE$5:$AE$1204,SMALL($DD$2:$DD$1201,ROWS($CU$4:CU127))),"")</f>
        <v/>
      </c>
      <c r="CV127">
        <f>IFERROR(INDEX('История отказов'!$AE$5:$AE$1204,SMALL($DE$2:$DE$1201,ROWS($CV$4:CV127))),"")</f>
        <v/>
      </c>
      <c r="CW127">
        <f>IFERROR(INDEX('История отказов'!$AE$5:$AE$1204,SMALL($DG$2:$DG$1201,ROWS($CW$3:CW127))),"")</f>
        <v/>
      </c>
      <c r="CX127">
        <f>IFERROR(INDEX('История отказов'!$AE$5:$AE$1204,SMALL($DF$2:$DF$1201,ROWS($CX$3:CX127))),"")</f>
        <v/>
      </c>
      <c r="CY127">
        <f>IFERROR(INDEX('История отказов'!$AE$5:$AE$1204,SMALL($DH$2:$DH$1201,ROWS($CY$7:CY127))),"")</f>
        <v/>
      </c>
      <c r="DA127">
        <f>IFERROR(INDEX($DB$2:$DB$4801,SMALL($DL$2:$DL$4801,ROWS($DA$48:DA127))),"")</f>
        <v/>
      </c>
      <c r="DB127">
        <f>IF('История отказов'!AH130="","",'История отказов'!AH130)</f>
        <v/>
      </c>
      <c r="DC127">
        <f>IF('История отказов'!AE130="","",IF(AND(COUNTIF($CT$2:$CT$2,'История отказов'!AE130)=0,COUNTIFS('История отказов'!$F$5:F130,"ШГН",'История отказов'!$AE$5:AE130,'История отказов'!AE130)=1,'История отказов'!F130="ШГН"),126,""))</f>
        <v/>
      </c>
      <c r="DD127">
        <f>IF('История отказов'!AE130="","",IF(AND(COUNTIF($CU$2:$CU$3,'История отказов'!AE130)=0,COUNTIFS('История отказов'!$F$5:F130,"ЭЦН",'История отказов'!$AE$5:AE130,'История отказов'!AE130)=1,'История отказов'!F130="ЭЦН"),126,""))</f>
        <v/>
      </c>
      <c r="DE127">
        <f>IF('История отказов'!AE130="","",IF(AND(COUNTIF($CV$2:$CV$3,'История отказов'!AE130)=0,COUNTIFS('История отказов'!$F$5:F130,"ЭВН",'История отказов'!$AE$5:AE130,'История отказов'!AE130)=1,'История отказов'!F130="ЭВН"),126,""))</f>
        <v/>
      </c>
      <c r="DF127">
        <f>IF('История отказов'!AE130="","",IF(AND(COUNTIF($CX$2:$CX$2,'История отказов'!AE130)=0,COUNTIFS('История отказов'!$F$5:F130,"ШВН",'История отказов'!$AE$5:AE130,'История отказов'!AE130)=1,'История отказов'!F130="ШВН"),126,""))</f>
        <v/>
      </c>
      <c r="DG127">
        <f>IF('История отказов'!AE130="","",IF(AND(COUNTIF($CW$2:$CW$2,'История отказов'!AE130)=0,COUNTIFS('История отказов'!$F$5:F130,"НПУ-ВД",'История отказов'!$AE$5:AE130,'История отказов'!AE130)=1,'История отказов'!F130="НПУ-ВД"),126,""))</f>
        <v/>
      </c>
      <c r="DH127">
        <f>IF('История отказов'!AE130="","",IF(AND(COUNTIF($CY$2:$CY$6,'История отказов'!AE130)=0,COUNTIF('История отказов'!$AE$5:AE130,'История отказов'!AE130)=1),126,""))</f>
        <v/>
      </c>
      <c r="DI127">
        <f>IF('История отказов'!AK130="","",IF(AND(COUNTIF($CL$2:$CL$3,'История отказов'!AK130)=0,COUNTIF('История отказов'!$AK$5:AK130,'История отказов'!AK130)=1),126,""))</f>
        <v/>
      </c>
      <c r="DJ127">
        <f>IF('История отказов'!AU130="","",IF(AND(COUNTIF($CP$2:$CP$3,'История отказов'!AU130)=0,COUNTIF('История отказов'!$AU$5:AU130,'История отказов'!AU130)=1),126,""))</f>
        <v/>
      </c>
      <c r="DK127">
        <f>IF('История отказов'!AY130="","",IF(AND(COUNTIF($CR$2:$CR$2,'История отказов'!AY130)=0,COUNTIF('История отказов'!$AY$5:AY130,'История отказов'!AY130)=1),126,""))</f>
        <v/>
      </c>
      <c r="DL127">
        <f>IF(DB127="","",IF(AND(COUNTIF($DA$2:$DA$47,DB127)=0,COUNTIF($DB$2:DB127,DB127)=1),126,""))</f>
        <v/>
      </c>
    </row>
    <row r="128">
      <c r="A128" s="74" t="n"/>
      <c r="B128" s="75" t="n"/>
      <c r="C128" s="75" t="n"/>
      <c r="D128" s="75" t="n"/>
      <c r="E128" s="75" t="inlineStr">
        <is>
          <t>3.19.3 — Нарушение эластомера [УШГН]</t>
        </is>
      </c>
      <c r="F128" s="76" t="n"/>
      <c r="H128" t="inlineStr">
        <is>
          <t>ТР5-3 — Устранение повреждения кабеля.</t>
        </is>
      </c>
      <c r="J128" s="62" t="inlineStr">
        <is>
          <t>3.19.3 — Нарушение эластомера [УШГН]</t>
        </is>
      </c>
      <c r="K128" s="62" t="n"/>
      <c r="L128" s="62" t="n"/>
      <c r="M128" s="62" t="n"/>
      <c r="N128" s="62" t="n"/>
      <c r="Q128" t="inlineStr">
        <is>
          <t>Предварительная / итоговая причина</t>
        </is>
      </c>
      <c r="R128" t="inlineStr">
        <is>
          <t>3.4 — Необоснованный подъем ГНО [УЭЦН]</t>
        </is>
      </c>
      <c r="S128" t="inlineStr">
        <is>
          <t>Код и название; метка группы добавлена</t>
        </is>
      </c>
      <c r="T128" t="inlineStr">
        <is>
          <t>Классификатор по способам 2024 V10, лист УЭЦН</t>
        </is>
      </c>
      <c r="U128" t="inlineStr">
        <is>
          <t>Лист УЭЦН; код 3.4</t>
        </is>
      </c>
      <c r="V128" t="inlineStr">
        <is>
          <t>ЭЦН/ЭВН</t>
        </is>
      </c>
      <c r="BA128" t="inlineStr">
        <is>
          <t>ТР5-3 — Устранение повреждения кабеля.</t>
        </is>
      </c>
      <c r="CJ128" t="inlineStr">
        <is>
          <t>3.19.3 — Нарушение эластомера [УШГН]</t>
        </is>
      </c>
      <c r="CL128">
        <f>IFERROR(INDEX('История отказов'!$AK$5:$AK$1204,SMALL($DI$2:$DI$1201,ROWS($CL$4:CL128))),"")</f>
        <v/>
      </c>
      <c r="CP128">
        <f>IFERROR(INDEX('История отказов'!$AU$5:$AU$1204,SMALL($DJ$2:$DJ$1201,ROWS($CP$4:CP128))),"")</f>
        <v/>
      </c>
      <c r="CR128">
        <f>IFERROR(INDEX('История отказов'!$AY$5:$AY$1204,SMALL($DK$2:$DK$1201,ROWS($CR$3:CR128))),"")</f>
        <v/>
      </c>
      <c r="CT128">
        <f>IFERROR(INDEX('История отказов'!$AE$5:$AE$1204,SMALL($DC$2:$DC$1201,ROWS($CT$3:CT128))),"")</f>
        <v/>
      </c>
      <c r="CU128">
        <f>IFERROR(INDEX('История отказов'!$AE$5:$AE$1204,SMALL($DD$2:$DD$1201,ROWS($CU$4:CU128))),"")</f>
        <v/>
      </c>
      <c r="CV128">
        <f>IFERROR(INDEX('История отказов'!$AE$5:$AE$1204,SMALL($DE$2:$DE$1201,ROWS($CV$4:CV128))),"")</f>
        <v/>
      </c>
      <c r="CW128">
        <f>IFERROR(INDEX('История отказов'!$AE$5:$AE$1204,SMALL($DG$2:$DG$1201,ROWS($CW$3:CW128))),"")</f>
        <v/>
      </c>
      <c r="CX128">
        <f>IFERROR(INDEX('История отказов'!$AE$5:$AE$1204,SMALL($DF$2:$DF$1201,ROWS($CX$3:CX128))),"")</f>
        <v/>
      </c>
      <c r="CY128">
        <f>IFERROR(INDEX('История отказов'!$AE$5:$AE$1204,SMALL($DH$2:$DH$1201,ROWS($CY$7:CY128))),"")</f>
        <v/>
      </c>
      <c r="DA128">
        <f>IFERROR(INDEX($DB$2:$DB$4801,SMALL($DL$2:$DL$4801,ROWS($DA$48:DA128))),"")</f>
        <v/>
      </c>
      <c r="DB128">
        <f>IF('История отказов'!AH131="","",'История отказов'!AH131)</f>
        <v/>
      </c>
      <c r="DC128">
        <f>IF('История отказов'!AE131="","",IF(AND(COUNTIF($CT$2:$CT$2,'История отказов'!AE131)=0,COUNTIFS('История отказов'!$F$5:F131,"ШГН",'История отказов'!$AE$5:AE131,'История отказов'!AE131)=1,'История отказов'!F131="ШГН"),127,""))</f>
        <v/>
      </c>
      <c r="DD128">
        <f>IF('История отказов'!AE131="","",IF(AND(COUNTIF($CU$2:$CU$3,'История отказов'!AE131)=0,COUNTIFS('История отказов'!$F$5:F131,"ЭЦН",'История отказов'!$AE$5:AE131,'История отказов'!AE131)=1,'История отказов'!F131="ЭЦН"),127,""))</f>
        <v/>
      </c>
      <c r="DE128">
        <f>IF('История отказов'!AE131="","",IF(AND(COUNTIF($CV$2:$CV$3,'История отказов'!AE131)=0,COUNTIFS('История отказов'!$F$5:F131,"ЭВН",'История отказов'!$AE$5:AE131,'История отказов'!AE131)=1,'История отказов'!F131="ЭВН"),127,""))</f>
        <v/>
      </c>
      <c r="DF128">
        <f>IF('История отказов'!AE131="","",IF(AND(COUNTIF($CX$2:$CX$2,'История отказов'!AE131)=0,COUNTIFS('История отказов'!$F$5:F131,"ШВН",'История отказов'!$AE$5:AE131,'История отказов'!AE131)=1,'История отказов'!F131="ШВН"),127,""))</f>
        <v/>
      </c>
      <c r="DG128">
        <f>IF('История отказов'!AE131="","",IF(AND(COUNTIF($CW$2:$CW$2,'История отказов'!AE131)=0,COUNTIFS('История отказов'!$F$5:F131,"НПУ-ВД",'История отказов'!$AE$5:AE131,'История отказов'!AE131)=1,'История отказов'!F131="НПУ-ВД"),127,""))</f>
        <v/>
      </c>
      <c r="DH128">
        <f>IF('История отказов'!AE131="","",IF(AND(COUNTIF($CY$2:$CY$6,'История отказов'!AE131)=0,COUNTIF('История отказов'!$AE$5:AE131,'История отказов'!AE131)=1),127,""))</f>
        <v/>
      </c>
      <c r="DI128">
        <f>IF('История отказов'!AK131="","",IF(AND(COUNTIF($CL$2:$CL$3,'История отказов'!AK131)=0,COUNTIF('История отказов'!$AK$5:AK131,'История отказов'!AK131)=1),127,""))</f>
        <v/>
      </c>
      <c r="DJ128">
        <f>IF('История отказов'!AU131="","",IF(AND(COUNTIF($CP$2:$CP$3,'История отказов'!AU131)=0,COUNTIF('История отказов'!$AU$5:AU131,'История отказов'!AU131)=1),127,""))</f>
        <v/>
      </c>
      <c r="DK128">
        <f>IF('История отказов'!AY131="","",IF(AND(COUNTIF($CR$2:$CR$2,'История отказов'!AY131)=0,COUNTIF('История отказов'!$AY$5:AY131,'История отказов'!AY131)=1),127,""))</f>
        <v/>
      </c>
      <c r="DL128">
        <f>IF(DB128="","",IF(AND(COUNTIF($DA$2:$DA$47,DB128)=0,COUNTIF($DB$2:DB128,DB128)=1),127,""))</f>
        <v/>
      </c>
    </row>
    <row r="129">
      <c r="A129" s="74" t="n"/>
      <c r="B129" s="75" t="n"/>
      <c r="C129" s="75" t="n"/>
      <c r="D129" s="75" t="n"/>
      <c r="E129" s="75" t="inlineStr">
        <is>
          <t>3.20 — Отказ якоря/анкера/пакера [УШГН]</t>
        </is>
      </c>
      <c r="F129" s="76" t="n"/>
      <c r="H129" t="inlineStr">
        <is>
          <t>ТР5-4 — Ревизия, смена, устранение негерметичности НКТ.</t>
        </is>
      </c>
      <c r="J129" s="62" t="inlineStr">
        <is>
          <t>3.20 — Отказ якоря/анкера/пакера [УШГН]</t>
        </is>
      </c>
      <c r="K129" s="62" t="n"/>
      <c r="L129" s="62" t="n"/>
      <c r="M129" s="62" t="n"/>
      <c r="N129" s="62" t="n"/>
      <c r="Q129" t="inlineStr">
        <is>
          <t>Предварительная / итоговая причина</t>
        </is>
      </c>
      <c r="R129" t="inlineStr">
        <is>
          <t>3.5 — Гидратопарафиноотложение [УЭЦН]</t>
        </is>
      </c>
      <c r="S129" t="inlineStr">
        <is>
          <t>Код и название; метка группы добавлена</t>
        </is>
      </c>
      <c r="T129" t="inlineStr">
        <is>
          <t>Классификатор по способам 2024 V10, лист УЭЦН</t>
        </is>
      </c>
      <c r="U129" t="inlineStr">
        <is>
          <t>Лист УЭЦН; код 3.5</t>
        </is>
      </c>
      <c r="V129" t="inlineStr">
        <is>
          <t>ЭЦН/ЭВН</t>
        </is>
      </c>
      <c r="BA129" t="inlineStr">
        <is>
          <t>ТР5-4 — Ревизия, смена, устранение негерметичности НКТ.</t>
        </is>
      </c>
      <c r="CJ129" t="inlineStr">
        <is>
          <t>3.20 — Отказ якоря/анкера/пакера [УШГН]</t>
        </is>
      </c>
      <c r="CL129">
        <f>IFERROR(INDEX('История отказов'!$AK$5:$AK$1204,SMALL($DI$2:$DI$1201,ROWS($CL$4:CL129))),"")</f>
        <v/>
      </c>
      <c r="CP129">
        <f>IFERROR(INDEX('История отказов'!$AU$5:$AU$1204,SMALL($DJ$2:$DJ$1201,ROWS($CP$4:CP129))),"")</f>
        <v/>
      </c>
      <c r="CR129">
        <f>IFERROR(INDEX('История отказов'!$AY$5:$AY$1204,SMALL($DK$2:$DK$1201,ROWS($CR$3:CR129))),"")</f>
        <v/>
      </c>
      <c r="CT129">
        <f>IFERROR(INDEX('История отказов'!$AE$5:$AE$1204,SMALL($DC$2:$DC$1201,ROWS($CT$3:CT129))),"")</f>
        <v/>
      </c>
      <c r="CU129">
        <f>IFERROR(INDEX('История отказов'!$AE$5:$AE$1204,SMALL($DD$2:$DD$1201,ROWS($CU$4:CU129))),"")</f>
        <v/>
      </c>
      <c r="CV129">
        <f>IFERROR(INDEX('История отказов'!$AE$5:$AE$1204,SMALL($DE$2:$DE$1201,ROWS($CV$4:CV129))),"")</f>
        <v/>
      </c>
      <c r="CW129">
        <f>IFERROR(INDEX('История отказов'!$AE$5:$AE$1204,SMALL($DG$2:$DG$1201,ROWS($CW$3:CW129))),"")</f>
        <v/>
      </c>
      <c r="CX129">
        <f>IFERROR(INDEX('История отказов'!$AE$5:$AE$1204,SMALL($DF$2:$DF$1201,ROWS($CX$3:CX129))),"")</f>
        <v/>
      </c>
      <c r="CY129">
        <f>IFERROR(INDEX('История отказов'!$AE$5:$AE$1204,SMALL($DH$2:$DH$1201,ROWS($CY$7:CY129))),"")</f>
        <v/>
      </c>
      <c r="DA129">
        <f>IFERROR(INDEX($DB$2:$DB$4801,SMALL($DL$2:$DL$4801,ROWS($DA$48:DA129))),"")</f>
        <v/>
      </c>
      <c r="DB129">
        <f>IF('История отказов'!AH132="","",'История отказов'!AH132)</f>
        <v/>
      </c>
      <c r="DC129">
        <f>IF('История отказов'!AE132="","",IF(AND(COUNTIF($CT$2:$CT$2,'История отказов'!AE132)=0,COUNTIFS('История отказов'!$F$5:F132,"ШГН",'История отказов'!$AE$5:AE132,'История отказов'!AE132)=1,'История отказов'!F132="ШГН"),128,""))</f>
        <v/>
      </c>
      <c r="DD129">
        <f>IF('История отказов'!AE132="","",IF(AND(COUNTIF($CU$2:$CU$3,'История отказов'!AE132)=0,COUNTIFS('История отказов'!$F$5:F132,"ЭЦН",'История отказов'!$AE$5:AE132,'История отказов'!AE132)=1,'История отказов'!F132="ЭЦН"),128,""))</f>
        <v/>
      </c>
      <c r="DE129">
        <f>IF('История отказов'!AE132="","",IF(AND(COUNTIF($CV$2:$CV$3,'История отказов'!AE132)=0,COUNTIFS('История отказов'!$F$5:F132,"ЭВН",'История отказов'!$AE$5:AE132,'История отказов'!AE132)=1,'История отказов'!F132="ЭВН"),128,""))</f>
        <v/>
      </c>
      <c r="DF129">
        <f>IF('История отказов'!AE132="","",IF(AND(COUNTIF($CX$2:$CX$2,'История отказов'!AE132)=0,COUNTIFS('История отказов'!$F$5:F132,"ШВН",'История отказов'!$AE$5:AE132,'История отказов'!AE132)=1,'История отказов'!F132="ШВН"),128,""))</f>
        <v/>
      </c>
      <c r="DG129">
        <f>IF('История отказов'!AE132="","",IF(AND(COUNTIF($CW$2:$CW$2,'История отказов'!AE132)=0,COUNTIFS('История отказов'!$F$5:F132,"НПУ-ВД",'История отказов'!$AE$5:AE132,'История отказов'!AE132)=1,'История отказов'!F132="НПУ-ВД"),128,""))</f>
        <v/>
      </c>
      <c r="DH129">
        <f>IF('История отказов'!AE132="","",IF(AND(COUNTIF($CY$2:$CY$6,'История отказов'!AE132)=0,COUNTIF('История отказов'!$AE$5:AE132,'История отказов'!AE132)=1),128,""))</f>
        <v/>
      </c>
      <c r="DI129">
        <f>IF('История отказов'!AK132="","",IF(AND(COUNTIF($CL$2:$CL$3,'История отказов'!AK132)=0,COUNTIF('История отказов'!$AK$5:AK132,'История отказов'!AK132)=1),128,""))</f>
        <v/>
      </c>
      <c r="DJ129">
        <f>IF('История отказов'!AU132="","",IF(AND(COUNTIF($CP$2:$CP$3,'История отказов'!AU132)=0,COUNTIF('История отказов'!$AU$5:AU132,'История отказов'!AU132)=1),128,""))</f>
        <v/>
      </c>
      <c r="DK129">
        <f>IF('История отказов'!AY132="","",IF(AND(COUNTIF($CR$2:$CR$2,'История отказов'!AY132)=0,COUNTIF('История отказов'!$AY$5:AY132,'История отказов'!AY132)=1),128,""))</f>
        <v/>
      </c>
      <c r="DL129">
        <f>IF(DB129="","",IF(AND(COUNTIF($DA$2:$DA$47,DB129)=0,COUNTIF($DB$2:DB129,DB129)=1),128,""))</f>
        <v/>
      </c>
    </row>
    <row r="130">
      <c r="A130" s="74" t="n"/>
      <c r="B130" s="75" t="n"/>
      <c r="C130" s="75" t="n"/>
      <c r="D130" s="75" t="n"/>
      <c r="E130" s="75" t="inlineStr">
        <is>
          <t>3.21 — ГЕОЛОГО-ТЕХНИЧЕСКИЕ МЕРОПРИЯТИЯ (ГТМ) [УШГН]</t>
        </is>
      </c>
      <c r="F130" s="76" t="n"/>
      <c r="H130" t="inlineStr">
        <is>
          <t>ТР5-5 — Очистка и пропарка НКТ.</t>
        </is>
      </c>
      <c r="J130" s="62" t="inlineStr">
        <is>
          <t>3.21 — ГЕОЛОГО-ТЕХНИЧЕСКИЕ МЕРОПРИЯТИЯ (ГТМ) [УШГН]</t>
        </is>
      </c>
      <c r="K130" s="62" t="n"/>
      <c r="L130" s="62" t="n"/>
      <c r="M130" s="62" t="n"/>
      <c r="N130" s="62" t="n"/>
      <c r="Q130" t="inlineStr">
        <is>
          <t>Предварительная / итоговая причина</t>
        </is>
      </c>
      <c r="R130" t="inlineStr">
        <is>
          <t>3.6 — Солеотложение [УЭЦН]</t>
        </is>
      </c>
      <c r="S130" t="inlineStr">
        <is>
          <t>Код и название; метка группы добавлена</t>
        </is>
      </c>
      <c r="T130" t="inlineStr">
        <is>
          <t>Классификатор по способам 2024 V10, лист УЭЦН</t>
        </is>
      </c>
      <c r="U130" t="inlineStr">
        <is>
          <t>Лист УЭЦН; код 3.6</t>
        </is>
      </c>
      <c r="V130" t="inlineStr">
        <is>
          <t>ЭЦН/ЭВН</t>
        </is>
      </c>
      <c r="BA130" t="inlineStr">
        <is>
          <t>ТР5-5 — Очистка и пропарка НКТ.</t>
        </is>
      </c>
      <c r="CJ130" t="inlineStr">
        <is>
          <t>3.21 — ГЕОЛОГО-ТЕХНИЧЕСКИЕ МЕРОПРИЯТИЯ (ГТМ) [УШГН]</t>
        </is>
      </c>
      <c r="CL130">
        <f>IFERROR(INDEX('История отказов'!$AK$5:$AK$1204,SMALL($DI$2:$DI$1201,ROWS($CL$4:CL130))),"")</f>
        <v/>
      </c>
      <c r="CP130">
        <f>IFERROR(INDEX('История отказов'!$AU$5:$AU$1204,SMALL($DJ$2:$DJ$1201,ROWS($CP$4:CP130))),"")</f>
        <v/>
      </c>
      <c r="CR130">
        <f>IFERROR(INDEX('История отказов'!$AY$5:$AY$1204,SMALL($DK$2:$DK$1201,ROWS($CR$3:CR130))),"")</f>
        <v/>
      </c>
      <c r="CT130">
        <f>IFERROR(INDEX('История отказов'!$AE$5:$AE$1204,SMALL($DC$2:$DC$1201,ROWS($CT$3:CT130))),"")</f>
        <v/>
      </c>
      <c r="CU130">
        <f>IFERROR(INDEX('История отказов'!$AE$5:$AE$1204,SMALL($DD$2:$DD$1201,ROWS($CU$4:CU130))),"")</f>
        <v/>
      </c>
      <c r="CV130">
        <f>IFERROR(INDEX('История отказов'!$AE$5:$AE$1204,SMALL($DE$2:$DE$1201,ROWS($CV$4:CV130))),"")</f>
        <v/>
      </c>
      <c r="CW130">
        <f>IFERROR(INDEX('История отказов'!$AE$5:$AE$1204,SMALL($DG$2:$DG$1201,ROWS($CW$3:CW130))),"")</f>
        <v/>
      </c>
      <c r="CX130">
        <f>IFERROR(INDEX('История отказов'!$AE$5:$AE$1204,SMALL($DF$2:$DF$1201,ROWS($CX$3:CX130))),"")</f>
        <v/>
      </c>
      <c r="CY130">
        <f>IFERROR(INDEX('История отказов'!$AE$5:$AE$1204,SMALL($DH$2:$DH$1201,ROWS($CY$7:CY130))),"")</f>
        <v/>
      </c>
      <c r="DA130">
        <f>IFERROR(INDEX($DB$2:$DB$4801,SMALL($DL$2:$DL$4801,ROWS($DA$48:DA130))),"")</f>
        <v/>
      </c>
      <c r="DB130">
        <f>IF('История отказов'!AH133="","",'История отказов'!AH133)</f>
        <v/>
      </c>
      <c r="DC130">
        <f>IF('История отказов'!AE133="","",IF(AND(COUNTIF($CT$2:$CT$2,'История отказов'!AE133)=0,COUNTIFS('История отказов'!$F$5:F133,"ШГН",'История отказов'!$AE$5:AE133,'История отказов'!AE133)=1,'История отказов'!F133="ШГН"),129,""))</f>
        <v/>
      </c>
      <c r="DD130">
        <f>IF('История отказов'!AE133="","",IF(AND(COUNTIF($CU$2:$CU$3,'История отказов'!AE133)=0,COUNTIFS('История отказов'!$F$5:F133,"ЭЦН",'История отказов'!$AE$5:AE133,'История отказов'!AE133)=1,'История отказов'!F133="ЭЦН"),129,""))</f>
        <v/>
      </c>
      <c r="DE130">
        <f>IF('История отказов'!AE133="","",IF(AND(COUNTIF($CV$2:$CV$3,'История отказов'!AE133)=0,COUNTIFS('История отказов'!$F$5:F133,"ЭВН",'История отказов'!$AE$5:AE133,'История отказов'!AE133)=1,'История отказов'!F133="ЭВН"),129,""))</f>
        <v/>
      </c>
      <c r="DF130">
        <f>IF('История отказов'!AE133="","",IF(AND(COUNTIF($CX$2:$CX$2,'История отказов'!AE133)=0,COUNTIFS('История отказов'!$F$5:F133,"ШВН",'История отказов'!$AE$5:AE133,'История отказов'!AE133)=1,'История отказов'!F133="ШВН"),129,""))</f>
        <v/>
      </c>
      <c r="DG130">
        <f>IF('История отказов'!AE133="","",IF(AND(COUNTIF($CW$2:$CW$2,'История отказов'!AE133)=0,COUNTIFS('История отказов'!$F$5:F133,"НПУ-ВД",'История отказов'!$AE$5:AE133,'История отказов'!AE133)=1,'История отказов'!F133="НПУ-ВД"),129,""))</f>
        <v/>
      </c>
      <c r="DH130">
        <f>IF('История отказов'!AE133="","",IF(AND(COUNTIF($CY$2:$CY$6,'История отказов'!AE133)=0,COUNTIF('История отказов'!$AE$5:AE133,'История отказов'!AE133)=1),129,""))</f>
        <v/>
      </c>
      <c r="DI130">
        <f>IF('История отказов'!AK133="","",IF(AND(COUNTIF($CL$2:$CL$3,'История отказов'!AK133)=0,COUNTIF('История отказов'!$AK$5:AK133,'История отказов'!AK133)=1),129,""))</f>
        <v/>
      </c>
      <c r="DJ130">
        <f>IF('История отказов'!AU133="","",IF(AND(COUNTIF($CP$2:$CP$3,'История отказов'!AU133)=0,COUNTIF('История отказов'!$AU$5:AU133,'История отказов'!AU133)=1),129,""))</f>
        <v/>
      </c>
      <c r="DK130">
        <f>IF('История отказов'!AY133="","",IF(AND(COUNTIF($CR$2:$CR$2,'История отказов'!AY133)=0,COUNTIF('История отказов'!$AY$5:AY133,'История отказов'!AY133)=1),129,""))</f>
        <v/>
      </c>
      <c r="DL130">
        <f>IF(DB130="","",IF(AND(COUNTIF($DA$2:$DA$47,DB130)=0,COUNTIF($DB$2:DB130,DB130)=1),129,""))</f>
        <v/>
      </c>
    </row>
    <row r="131">
      <c r="A131" s="74" t="n"/>
      <c r="B131" s="75" t="n"/>
      <c r="C131" s="75" t="n"/>
      <c r="D131" s="75" t="n"/>
      <c r="E131" s="75" t="inlineStr">
        <is>
          <t>3.22 — Прочие [УШГН]</t>
        </is>
      </c>
      <c r="F131" s="76" t="n"/>
      <c r="H131" t="inlineStr">
        <is>
          <t>ТР5-6 — Ревизия, смена устьевого оборудования.</t>
        </is>
      </c>
      <c r="J131" s="62" t="inlineStr">
        <is>
          <t>3.22 — Прочие [УШГН]</t>
        </is>
      </c>
      <c r="K131" s="62" t="n"/>
      <c r="L131" s="62" t="n"/>
      <c r="M131" s="62" t="n"/>
      <c r="N131" s="62" t="n"/>
      <c r="Q131" t="inlineStr">
        <is>
          <t>Предварительная / итоговая причина</t>
        </is>
      </c>
      <c r="R131" t="inlineStr">
        <is>
          <t>3.6.1 — в т.ч. отложение солей сульфата бария [УЭЦН]</t>
        </is>
      </c>
      <c r="S131" t="inlineStr">
        <is>
          <t>Код и название; метка группы добавлена</t>
        </is>
      </c>
      <c r="T131" t="inlineStr">
        <is>
          <t>Классификатор по способам 2024 V10, лист УЭЦН</t>
        </is>
      </c>
      <c r="U131" t="inlineStr">
        <is>
          <t>Лист УЭЦН; код 3.6.1</t>
        </is>
      </c>
      <c r="V131" t="inlineStr">
        <is>
          <t>ЭЦН/ЭВН</t>
        </is>
      </c>
      <c r="BA131" t="inlineStr">
        <is>
          <t>ТР5-6 — Ревизия, смена устьевого оборудования.</t>
        </is>
      </c>
      <c r="CJ131" t="inlineStr">
        <is>
          <t>3.22 — Прочие [УШГН]</t>
        </is>
      </c>
      <c r="CL131">
        <f>IFERROR(INDEX('История отказов'!$AK$5:$AK$1204,SMALL($DI$2:$DI$1201,ROWS($CL$4:CL131))),"")</f>
        <v/>
      </c>
      <c r="CP131">
        <f>IFERROR(INDEX('История отказов'!$AU$5:$AU$1204,SMALL($DJ$2:$DJ$1201,ROWS($CP$4:CP131))),"")</f>
        <v/>
      </c>
      <c r="CR131">
        <f>IFERROR(INDEX('История отказов'!$AY$5:$AY$1204,SMALL($DK$2:$DK$1201,ROWS($CR$3:CR131))),"")</f>
        <v/>
      </c>
      <c r="CT131">
        <f>IFERROR(INDEX('История отказов'!$AE$5:$AE$1204,SMALL($DC$2:$DC$1201,ROWS($CT$3:CT131))),"")</f>
        <v/>
      </c>
      <c r="CU131">
        <f>IFERROR(INDEX('История отказов'!$AE$5:$AE$1204,SMALL($DD$2:$DD$1201,ROWS($CU$4:CU131))),"")</f>
        <v/>
      </c>
      <c r="CV131">
        <f>IFERROR(INDEX('История отказов'!$AE$5:$AE$1204,SMALL($DE$2:$DE$1201,ROWS($CV$4:CV131))),"")</f>
        <v/>
      </c>
      <c r="CW131">
        <f>IFERROR(INDEX('История отказов'!$AE$5:$AE$1204,SMALL($DG$2:$DG$1201,ROWS($CW$3:CW131))),"")</f>
        <v/>
      </c>
      <c r="CX131">
        <f>IFERROR(INDEX('История отказов'!$AE$5:$AE$1204,SMALL($DF$2:$DF$1201,ROWS($CX$3:CX131))),"")</f>
        <v/>
      </c>
      <c r="CY131">
        <f>IFERROR(INDEX('История отказов'!$AE$5:$AE$1204,SMALL($DH$2:$DH$1201,ROWS($CY$7:CY131))),"")</f>
        <v/>
      </c>
      <c r="DA131">
        <f>IFERROR(INDEX($DB$2:$DB$4801,SMALL($DL$2:$DL$4801,ROWS($DA$48:DA131))),"")</f>
        <v/>
      </c>
      <c r="DB131">
        <f>IF('История отказов'!AH134="","",'История отказов'!AH134)</f>
        <v/>
      </c>
      <c r="DC131">
        <f>IF('История отказов'!AE134="","",IF(AND(COUNTIF($CT$2:$CT$2,'История отказов'!AE134)=0,COUNTIFS('История отказов'!$F$5:F134,"ШГН",'История отказов'!$AE$5:AE134,'История отказов'!AE134)=1,'История отказов'!F134="ШГН"),130,""))</f>
        <v/>
      </c>
      <c r="DD131">
        <f>IF('История отказов'!AE134="","",IF(AND(COUNTIF($CU$2:$CU$3,'История отказов'!AE134)=0,COUNTIFS('История отказов'!$F$5:F134,"ЭЦН",'История отказов'!$AE$5:AE134,'История отказов'!AE134)=1,'История отказов'!F134="ЭЦН"),130,""))</f>
        <v/>
      </c>
      <c r="DE131">
        <f>IF('История отказов'!AE134="","",IF(AND(COUNTIF($CV$2:$CV$3,'История отказов'!AE134)=0,COUNTIFS('История отказов'!$F$5:F134,"ЭВН",'История отказов'!$AE$5:AE134,'История отказов'!AE134)=1,'История отказов'!F134="ЭВН"),130,""))</f>
        <v/>
      </c>
      <c r="DF131">
        <f>IF('История отказов'!AE134="","",IF(AND(COUNTIF($CX$2:$CX$2,'История отказов'!AE134)=0,COUNTIFS('История отказов'!$F$5:F134,"ШВН",'История отказов'!$AE$5:AE134,'История отказов'!AE134)=1,'История отказов'!F134="ШВН"),130,""))</f>
        <v/>
      </c>
      <c r="DG131">
        <f>IF('История отказов'!AE134="","",IF(AND(COUNTIF($CW$2:$CW$2,'История отказов'!AE134)=0,COUNTIFS('История отказов'!$F$5:F134,"НПУ-ВД",'История отказов'!$AE$5:AE134,'История отказов'!AE134)=1,'История отказов'!F134="НПУ-ВД"),130,""))</f>
        <v/>
      </c>
      <c r="DH131">
        <f>IF('История отказов'!AE134="","",IF(AND(COUNTIF($CY$2:$CY$6,'История отказов'!AE134)=0,COUNTIF('История отказов'!$AE$5:AE134,'История отказов'!AE134)=1),130,""))</f>
        <v/>
      </c>
      <c r="DI131">
        <f>IF('История отказов'!AK134="","",IF(AND(COUNTIF($CL$2:$CL$3,'История отказов'!AK134)=0,COUNTIF('История отказов'!$AK$5:AK134,'История отказов'!AK134)=1),130,""))</f>
        <v/>
      </c>
      <c r="DJ131">
        <f>IF('История отказов'!AU134="","",IF(AND(COUNTIF($CP$2:$CP$3,'История отказов'!AU134)=0,COUNTIF('История отказов'!$AU$5:AU134,'История отказов'!AU134)=1),130,""))</f>
        <v/>
      </c>
      <c r="DK131">
        <f>IF('История отказов'!AY134="","",IF(AND(COUNTIF($CR$2:$CR$2,'История отказов'!AY134)=0,COUNTIF('История отказов'!$AY$5:AY134,'История отказов'!AY134)=1),130,""))</f>
        <v/>
      </c>
      <c r="DL131">
        <f>IF(DB131="","",IF(AND(COUNTIF($DA$2:$DA$47,DB131)=0,COUNTIF($DB$2:DB131,DB131)=1),130,""))</f>
        <v/>
      </c>
    </row>
    <row r="132">
      <c r="A132" s="74" t="n"/>
      <c r="B132" s="75" t="n"/>
      <c r="C132" s="75" t="n"/>
      <c r="D132" s="75" t="n"/>
      <c r="E132" s="75" t="inlineStr">
        <is>
          <t>4.1 — Некачественный ремонт и подготовки ШГН, ШВН, штанг, НКТ. [УШГН]</t>
        </is>
      </c>
      <c r="F132" s="76" t="n"/>
      <c r="H132" t="inlineStr">
        <is>
          <t>ТР5-7 — Прочие виды ремонтов по УЭЦН (наращивание кабеля на устье и др.).</t>
        </is>
      </c>
      <c r="J132" s="62" t="inlineStr">
        <is>
          <t>4.1 — Некачественный ремонт и подготовки ШГН, ШВН, штанг, НКТ. [УШГН]</t>
        </is>
      </c>
      <c r="K132" s="62" t="n"/>
      <c r="L132" s="62" t="n"/>
      <c r="M132" s="62" t="n"/>
      <c r="N132" s="62" t="n"/>
      <c r="Q132" t="inlineStr">
        <is>
          <t>Предварительная / итоговая причина</t>
        </is>
      </c>
      <c r="R132" t="inlineStr">
        <is>
          <t>3.6.2 — в т.ч. отложение солей карбоната кальция [УЭЦН]</t>
        </is>
      </c>
      <c r="S132" t="inlineStr">
        <is>
          <t>Код и название; метка группы добавлена</t>
        </is>
      </c>
      <c r="T132" t="inlineStr">
        <is>
          <t>Классификатор по способам 2024 V10, лист УЭЦН</t>
        </is>
      </c>
      <c r="U132" t="inlineStr">
        <is>
          <t>Лист УЭЦН; код 3.6.2</t>
        </is>
      </c>
      <c r="V132" t="inlineStr">
        <is>
          <t>ЭЦН/ЭВН</t>
        </is>
      </c>
      <c r="BA132" t="inlineStr">
        <is>
          <t>ТР5-7 — Прочие виды ремонтов по УЭЦН (наращивание кабеля на устье и др.).</t>
        </is>
      </c>
      <c r="CJ132" t="inlineStr">
        <is>
          <t>4.1 — Некачественный ремонт и подготовки ШГН, ШВН, штанг, НКТ. [УШГН]</t>
        </is>
      </c>
      <c r="CL132">
        <f>IFERROR(INDEX('История отказов'!$AK$5:$AK$1204,SMALL($DI$2:$DI$1201,ROWS($CL$4:CL132))),"")</f>
        <v/>
      </c>
      <c r="CP132">
        <f>IFERROR(INDEX('История отказов'!$AU$5:$AU$1204,SMALL($DJ$2:$DJ$1201,ROWS($CP$4:CP132))),"")</f>
        <v/>
      </c>
      <c r="CR132">
        <f>IFERROR(INDEX('История отказов'!$AY$5:$AY$1204,SMALL($DK$2:$DK$1201,ROWS($CR$3:CR132))),"")</f>
        <v/>
      </c>
      <c r="CT132">
        <f>IFERROR(INDEX('История отказов'!$AE$5:$AE$1204,SMALL($DC$2:$DC$1201,ROWS($CT$3:CT132))),"")</f>
        <v/>
      </c>
      <c r="CU132">
        <f>IFERROR(INDEX('История отказов'!$AE$5:$AE$1204,SMALL($DD$2:$DD$1201,ROWS($CU$4:CU132))),"")</f>
        <v/>
      </c>
      <c r="CV132">
        <f>IFERROR(INDEX('История отказов'!$AE$5:$AE$1204,SMALL($DE$2:$DE$1201,ROWS($CV$4:CV132))),"")</f>
        <v/>
      </c>
      <c r="CW132">
        <f>IFERROR(INDEX('История отказов'!$AE$5:$AE$1204,SMALL($DG$2:$DG$1201,ROWS($CW$3:CW132))),"")</f>
        <v/>
      </c>
      <c r="CX132">
        <f>IFERROR(INDEX('История отказов'!$AE$5:$AE$1204,SMALL($DF$2:$DF$1201,ROWS($CX$3:CX132))),"")</f>
        <v/>
      </c>
      <c r="CY132">
        <f>IFERROR(INDEX('История отказов'!$AE$5:$AE$1204,SMALL($DH$2:$DH$1201,ROWS($CY$7:CY132))),"")</f>
        <v/>
      </c>
      <c r="DA132">
        <f>IFERROR(INDEX($DB$2:$DB$4801,SMALL($DL$2:$DL$4801,ROWS($DA$48:DA132))),"")</f>
        <v/>
      </c>
      <c r="DB132">
        <f>IF('История отказов'!AH135="","",'История отказов'!AH135)</f>
        <v/>
      </c>
      <c r="DC132">
        <f>IF('История отказов'!AE135="","",IF(AND(COUNTIF($CT$2:$CT$2,'История отказов'!AE135)=0,COUNTIFS('История отказов'!$F$5:F135,"ШГН",'История отказов'!$AE$5:AE135,'История отказов'!AE135)=1,'История отказов'!F135="ШГН"),131,""))</f>
        <v/>
      </c>
      <c r="DD132">
        <f>IF('История отказов'!AE135="","",IF(AND(COUNTIF($CU$2:$CU$3,'История отказов'!AE135)=0,COUNTIFS('История отказов'!$F$5:F135,"ЭЦН",'История отказов'!$AE$5:AE135,'История отказов'!AE135)=1,'История отказов'!F135="ЭЦН"),131,""))</f>
        <v/>
      </c>
      <c r="DE132">
        <f>IF('История отказов'!AE135="","",IF(AND(COUNTIF($CV$2:$CV$3,'История отказов'!AE135)=0,COUNTIFS('История отказов'!$F$5:F135,"ЭВН",'История отказов'!$AE$5:AE135,'История отказов'!AE135)=1,'История отказов'!F135="ЭВН"),131,""))</f>
        <v/>
      </c>
      <c r="DF132">
        <f>IF('История отказов'!AE135="","",IF(AND(COUNTIF($CX$2:$CX$2,'История отказов'!AE135)=0,COUNTIFS('История отказов'!$F$5:F135,"ШВН",'История отказов'!$AE$5:AE135,'История отказов'!AE135)=1,'История отказов'!F135="ШВН"),131,""))</f>
        <v/>
      </c>
      <c r="DG132">
        <f>IF('История отказов'!AE135="","",IF(AND(COUNTIF($CW$2:$CW$2,'История отказов'!AE135)=0,COUNTIFS('История отказов'!$F$5:F135,"НПУ-ВД",'История отказов'!$AE$5:AE135,'История отказов'!AE135)=1,'История отказов'!F135="НПУ-ВД"),131,""))</f>
        <v/>
      </c>
      <c r="DH132">
        <f>IF('История отказов'!AE135="","",IF(AND(COUNTIF($CY$2:$CY$6,'История отказов'!AE135)=0,COUNTIF('История отказов'!$AE$5:AE135,'История отказов'!AE135)=1),131,""))</f>
        <v/>
      </c>
      <c r="DI132">
        <f>IF('История отказов'!AK135="","",IF(AND(COUNTIF($CL$2:$CL$3,'История отказов'!AK135)=0,COUNTIF('История отказов'!$AK$5:AK135,'История отказов'!AK135)=1),131,""))</f>
        <v/>
      </c>
      <c r="DJ132">
        <f>IF('История отказов'!AU135="","",IF(AND(COUNTIF($CP$2:$CP$3,'История отказов'!AU135)=0,COUNTIF('История отказов'!$AU$5:AU135,'История отказов'!AU135)=1),131,""))</f>
        <v/>
      </c>
      <c r="DK132">
        <f>IF('История отказов'!AY135="","",IF(AND(COUNTIF($CR$2:$CR$2,'История отказов'!AY135)=0,COUNTIF('История отказов'!$AY$5:AY135,'История отказов'!AY135)=1),131,""))</f>
        <v/>
      </c>
      <c r="DL132">
        <f>IF(DB132="","",IF(AND(COUNTIF($DA$2:$DA$47,DB132)=0,COUNTIF($DB$2:DB132,DB132)=1),131,""))</f>
        <v/>
      </c>
    </row>
    <row r="133">
      <c r="A133" s="74" t="n"/>
      <c r="B133" s="75" t="n"/>
      <c r="C133" s="75" t="n"/>
      <c r="D133" s="75" t="n"/>
      <c r="E133" s="75" t="inlineStr">
        <is>
          <t>4.2 — Некачественный ремонт дополнительного оборудования [УШГН]</t>
        </is>
      </c>
      <c r="F133" s="76" t="n"/>
      <c r="H133" t="inlineStr">
        <is>
          <t>ТР6-2 — Очистка и пропарка НКТ.</t>
        </is>
      </c>
      <c r="J133" s="62" t="inlineStr">
        <is>
          <t>4.2 — Некачественный ремонт дополнительного оборудования [УШГН]</t>
        </is>
      </c>
      <c r="K133" s="62" t="n"/>
      <c r="L133" s="62" t="n"/>
      <c r="M133" s="62" t="n"/>
      <c r="N133" s="62" t="n"/>
      <c r="Q133" t="inlineStr">
        <is>
          <t>Предварительная / итоговая причина</t>
        </is>
      </c>
      <c r="R133" t="inlineStr">
        <is>
          <t>3.6.3 — в т.ч. прочие солеотложение, в т.ч. фосфорсодержащие соединения [УЭЦН]</t>
        </is>
      </c>
      <c r="S133" t="inlineStr">
        <is>
          <t>Код и название; метка группы добавлена</t>
        </is>
      </c>
      <c r="T133" t="inlineStr">
        <is>
          <t>Классификатор по способам 2024 V10, лист УЭЦН</t>
        </is>
      </c>
      <c r="U133" t="inlineStr">
        <is>
          <t>Лист УЭЦН; код 3.6.3</t>
        </is>
      </c>
      <c r="V133" t="inlineStr">
        <is>
          <t>ЭЦН/ЭВН</t>
        </is>
      </c>
      <c r="BA133" t="inlineStr">
        <is>
          <t>ТР6-2 — Очистка и пропарка НКТ.</t>
        </is>
      </c>
      <c r="CJ133" t="inlineStr">
        <is>
          <t>4.2 — Некачественный ремонт дополнительного оборудования [УШГН]</t>
        </is>
      </c>
      <c r="CL133">
        <f>IFERROR(INDEX('История отказов'!$AK$5:$AK$1204,SMALL($DI$2:$DI$1201,ROWS($CL$4:CL133))),"")</f>
        <v/>
      </c>
      <c r="CP133">
        <f>IFERROR(INDEX('История отказов'!$AU$5:$AU$1204,SMALL($DJ$2:$DJ$1201,ROWS($CP$4:CP133))),"")</f>
        <v/>
      </c>
      <c r="CR133">
        <f>IFERROR(INDEX('История отказов'!$AY$5:$AY$1204,SMALL($DK$2:$DK$1201,ROWS($CR$3:CR133))),"")</f>
        <v/>
      </c>
      <c r="CT133">
        <f>IFERROR(INDEX('История отказов'!$AE$5:$AE$1204,SMALL($DC$2:$DC$1201,ROWS($CT$3:CT133))),"")</f>
        <v/>
      </c>
      <c r="CU133">
        <f>IFERROR(INDEX('История отказов'!$AE$5:$AE$1204,SMALL($DD$2:$DD$1201,ROWS($CU$4:CU133))),"")</f>
        <v/>
      </c>
      <c r="CV133">
        <f>IFERROR(INDEX('История отказов'!$AE$5:$AE$1204,SMALL($DE$2:$DE$1201,ROWS($CV$4:CV133))),"")</f>
        <v/>
      </c>
      <c r="CW133">
        <f>IFERROR(INDEX('История отказов'!$AE$5:$AE$1204,SMALL($DG$2:$DG$1201,ROWS($CW$3:CW133))),"")</f>
        <v/>
      </c>
      <c r="CX133">
        <f>IFERROR(INDEX('История отказов'!$AE$5:$AE$1204,SMALL($DF$2:$DF$1201,ROWS($CX$3:CX133))),"")</f>
        <v/>
      </c>
      <c r="CY133">
        <f>IFERROR(INDEX('История отказов'!$AE$5:$AE$1204,SMALL($DH$2:$DH$1201,ROWS($CY$7:CY133))),"")</f>
        <v/>
      </c>
      <c r="DA133">
        <f>IFERROR(INDEX($DB$2:$DB$4801,SMALL($DL$2:$DL$4801,ROWS($DA$48:DA133))),"")</f>
        <v/>
      </c>
      <c r="DB133">
        <f>IF('История отказов'!AH136="","",'История отказов'!AH136)</f>
        <v/>
      </c>
      <c r="DC133">
        <f>IF('История отказов'!AE136="","",IF(AND(COUNTIF($CT$2:$CT$2,'История отказов'!AE136)=0,COUNTIFS('История отказов'!$F$5:F136,"ШГН",'История отказов'!$AE$5:AE136,'История отказов'!AE136)=1,'История отказов'!F136="ШГН"),132,""))</f>
        <v/>
      </c>
      <c r="DD133">
        <f>IF('История отказов'!AE136="","",IF(AND(COUNTIF($CU$2:$CU$3,'История отказов'!AE136)=0,COUNTIFS('История отказов'!$F$5:F136,"ЭЦН",'История отказов'!$AE$5:AE136,'История отказов'!AE136)=1,'История отказов'!F136="ЭЦН"),132,""))</f>
        <v/>
      </c>
      <c r="DE133">
        <f>IF('История отказов'!AE136="","",IF(AND(COUNTIF($CV$2:$CV$3,'История отказов'!AE136)=0,COUNTIFS('История отказов'!$F$5:F136,"ЭВН",'История отказов'!$AE$5:AE136,'История отказов'!AE136)=1,'История отказов'!F136="ЭВН"),132,""))</f>
        <v/>
      </c>
      <c r="DF133">
        <f>IF('История отказов'!AE136="","",IF(AND(COUNTIF($CX$2:$CX$2,'История отказов'!AE136)=0,COUNTIFS('История отказов'!$F$5:F136,"ШВН",'История отказов'!$AE$5:AE136,'История отказов'!AE136)=1,'История отказов'!F136="ШВН"),132,""))</f>
        <v/>
      </c>
      <c r="DG133">
        <f>IF('История отказов'!AE136="","",IF(AND(COUNTIF($CW$2:$CW$2,'История отказов'!AE136)=0,COUNTIFS('История отказов'!$F$5:F136,"НПУ-ВД",'История отказов'!$AE$5:AE136,'История отказов'!AE136)=1,'История отказов'!F136="НПУ-ВД"),132,""))</f>
        <v/>
      </c>
      <c r="DH133">
        <f>IF('История отказов'!AE136="","",IF(AND(COUNTIF($CY$2:$CY$6,'История отказов'!AE136)=0,COUNTIF('История отказов'!$AE$5:AE136,'История отказов'!AE136)=1),132,""))</f>
        <v/>
      </c>
      <c r="DI133">
        <f>IF('История отказов'!AK136="","",IF(AND(COUNTIF($CL$2:$CL$3,'История отказов'!AK136)=0,COUNTIF('История отказов'!$AK$5:AK136,'История отказов'!AK136)=1),132,""))</f>
        <v/>
      </c>
      <c r="DJ133">
        <f>IF('История отказов'!AU136="","",IF(AND(COUNTIF($CP$2:$CP$3,'История отказов'!AU136)=0,COUNTIF('История отказов'!$AU$5:AU136,'История отказов'!AU136)=1),132,""))</f>
        <v/>
      </c>
      <c r="DK133">
        <f>IF('История отказов'!AY136="","",IF(AND(COUNTIF($CR$2:$CR$2,'История отказов'!AY136)=0,COUNTIF('История отказов'!$AY$5:AY136,'История отказов'!AY136)=1),132,""))</f>
        <v/>
      </c>
      <c r="DL133">
        <f>IF(DB133="","",IF(AND(COUNTIF($DA$2:$DA$47,DB133)=0,COUNTIF($DB$2:DB133,DB133)=1),132,""))</f>
        <v/>
      </c>
    </row>
    <row r="134">
      <c r="A134" s="74" t="n"/>
      <c r="B134" s="75" t="n"/>
      <c r="C134" s="75" t="n"/>
      <c r="D134" s="75" t="n"/>
      <c r="E134" s="75" t="inlineStr">
        <is>
          <t>4.3 — Неправильная комплектация ГНО [УШГН]</t>
        </is>
      </c>
      <c r="F134" s="76" t="n"/>
      <c r="H134" t="inlineStr">
        <is>
          <t>ТР6-3 — Смена, ревизия устьевого оборудования.</t>
        </is>
      </c>
      <c r="J134" s="62" t="inlineStr">
        <is>
          <t>4.3 — Неправильная комплектация ГНО [УШГН]</t>
        </is>
      </c>
      <c r="K134" s="62" t="n"/>
      <c r="L134" s="62" t="n"/>
      <c r="M134" s="62" t="n"/>
      <c r="N134" s="62" t="n"/>
      <c r="Q134" t="inlineStr">
        <is>
          <t>Предварительная / итоговая причина</t>
        </is>
      </c>
      <c r="R134" t="inlineStr">
        <is>
          <t>3.7 — Коррозия насоса [УЭЦН]</t>
        </is>
      </c>
      <c r="S134" t="inlineStr">
        <is>
          <t>Код и название; метка группы добавлена</t>
        </is>
      </c>
      <c r="T134" t="inlineStr">
        <is>
          <t>Классификатор по способам 2024 V10, лист УЭЦН</t>
        </is>
      </c>
      <c r="U134" t="inlineStr">
        <is>
          <t>Лист УЭЦН; код 3.7</t>
        </is>
      </c>
      <c r="V134" t="inlineStr">
        <is>
          <t>ЭЦН/ЭВН</t>
        </is>
      </c>
      <c r="BA134" t="inlineStr">
        <is>
          <t>ТР6-3 — Смена, ревизия устьевого оборудования.</t>
        </is>
      </c>
      <c r="CJ134" t="inlineStr">
        <is>
          <t>4.3 — Неправильная комплектация ГНО [УШГН]</t>
        </is>
      </c>
      <c r="CL134">
        <f>IFERROR(INDEX('История отказов'!$AK$5:$AK$1204,SMALL($DI$2:$DI$1201,ROWS($CL$4:CL134))),"")</f>
        <v/>
      </c>
      <c r="CP134">
        <f>IFERROR(INDEX('История отказов'!$AU$5:$AU$1204,SMALL($DJ$2:$DJ$1201,ROWS($CP$4:CP134))),"")</f>
        <v/>
      </c>
      <c r="CR134">
        <f>IFERROR(INDEX('История отказов'!$AY$5:$AY$1204,SMALL($DK$2:$DK$1201,ROWS($CR$3:CR134))),"")</f>
        <v/>
      </c>
      <c r="CT134">
        <f>IFERROR(INDEX('История отказов'!$AE$5:$AE$1204,SMALL($DC$2:$DC$1201,ROWS($CT$3:CT134))),"")</f>
        <v/>
      </c>
      <c r="CU134">
        <f>IFERROR(INDEX('История отказов'!$AE$5:$AE$1204,SMALL($DD$2:$DD$1201,ROWS($CU$4:CU134))),"")</f>
        <v/>
      </c>
      <c r="CV134">
        <f>IFERROR(INDEX('История отказов'!$AE$5:$AE$1204,SMALL($DE$2:$DE$1201,ROWS($CV$4:CV134))),"")</f>
        <v/>
      </c>
      <c r="CW134">
        <f>IFERROR(INDEX('История отказов'!$AE$5:$AE$1204,SMALL($DG$2:$DG$1201,ROWS($CW$3:CW134))),"")</f>
        <v/>
      </c>
      <c r="CX134">
        <f>IFERROR(INDEX('История отказов'!$AE$5:$AE$1204,SMALL($DF$2:$DF$1201,ROWS($CX$3:CX134))),"")</f>
        <v/>
      </c>
      <c r="CY134">
        <f>IFERROR(INDEX('История отказов'!$AE$5:$AE$1204,SMALL($DH$2:$DH$1201,ROWS($CY$7:CY134))),"")</f>
        <v/>
      </c>
      <c r="DA134">
        <f>IFERROR(INDEX($DB$2:$DB$4801,SMALL($DL$2:$DL$4801,ROWS($DA$48:DA134))),"")</f>
        <v/>
      </c>
      <c r="DB134">
        <f>IF('История отказов'!AH137="","",'История отказов'!AH137)</f>
        <v/>
      </c>
      <c r="DC134">
        <f>IF('История отказов'!AE137="","",IF(AND(COUNTIF($CT$2:$CT$2,'История отказов'!AE137)=0,COUNTIFS('История отказов'!$F$5:F137,"ШГН",'История отказов'!$AE$5:AE137,'История отказов'!AE137)=1,'История отказов'!F137="ШГН"),133,""))</f>
        <v/>
      </c>
      <c r="DD134">
        <f>IF('История отказов'!AE137="","",IF(AND(COUNTIF($CU$2:$CU$3,'История отказов'!AE137)=0,COUNTIFS('История отказов'!$F$5:F137,"ЭЦН",'История отказов'!$AE$5:AE137,'История отказов'!AE137)=1,'История отказов'!F137="ЭЦН"),133,""))</f>
        <v/>
      </c>
      <c r="DE134">
        <f>IF('История отказов'!AE137="","",IF(AND(COUNTIF($CV$2:$CV$3,'История отказов'!AE137)=0,COUNTIFS('История отказов'!$F$5:F137,"ЭВН",'История отказов'!$AE$5:AE137,'История отказов'!AE137)=1,'История отказов'!F137="ЭВН"),133,""))</f>
        <v/>
      </c>
      <c r="DF134">
        <f>IF('История отказов'!AE137="","",IF(AND(COUNTIF($CX$2:$CX$2,'История отказов'!AE137)=0,COUNTIFS('История отказов'!$F$5:F137,"ШВН",'История отказов'!$AE$5:AE137,'История отказов'!AE137)=1,'История отказов'!F137="ШВН"),133,""))</f>
        <v/>
      </c>
      <c r="DG134">
        <f>IF('История отказов'!AE137="","",IF(AND(COUNTIF($CW$2:$CW$2,'История отказов'!AE137)=0,COUNTIFS('История отказов'!$F$5:F137,"НПУ-ВД",'История отказов'!$AE$5:AE137,'История отказов'!AE137)=1,'История отказов'!F137="НПУ-ВД"),133,""))</f>
        <v/>
      </c>
      <c r="DH134">
        <f>IF('История отказов'!AE137="","",IF(AND(COUNTIF($CY$2:$CY$6,'История отказов'!AE137)=0,COUNTIF('История отказов'!$AE$5:AE137,'История отказов'!AE137)=1),133,""))</f>
        <v/>
      </c>
      <c r="DI134">
        <f>IF('История отказов'!AK137="","",IF(AND(COUNTIF($CL$2:$CL$3,'История отказов'!AK137)=0,COUNTIF('История отказов'!$AK$5:AK137,'История отказов'!AK137)=1),133,""))</f>
        <v/>
      </c>
      <c r="DJ134">
        <f>IF('История отказов'!AU137="","",IF(AND(COUNTIF($CP$2:$CP$3,'История отказов'!AU137)=0,COUNTIF('История отказов'!$AU$5:AU137,'История отказов'!AU137)=1),133,""))</f>
        <v/>
      </c>
      <c r="DK134">
        <f>IF('История отказов'!AY137="","",IF(AND(COUNTIF($CR$2:$CR$2,'История отказов'!AY137)=0,COUNTIF('История отказов'!$AY$5:AY137,'История отказов'!AY137)=1),133,""))</f>
        <v/>
      </c>
      <c r="DL134">
        <f>IF(DB134="","",IF(AND(COUNTIF($DA$2:$DA$47,DB134)=0,COUNTIF($DB$2:DB134,DB134)=1),133,""))</f>
        <v/>
      </c>
    </row>
    <row r="135">
      <c r="A135" s="74" t="n"/>
      <c r="B135" s="75" t="n"/>
      <c r="C135" s="75" t="n"/>
      <c r="D135" s="75" t="n"/>
      <c r="E135" s="75" t="inlineStr">
        <is>
          <t>4.4 — Организационные причины по вине подрядной организации [УШГН]</t>
        </is>
      </c>
      <c r="F135" s="76" t="n"/>
      <c r="H135" t="inlineStr">
        <is>
          <t>ТР6-4 — Прочие виды ремонтов по фонтанным скважинам.</t>
        </is>
      </c>
      <c r="J135" s="62" t="inlineStr">
        <is>
          <t>4.4 — Организационные причины по вине подрядной организации [УШГН]</t>
        </is>
      </c>
      <c r="K135" s="62" t="n"/>
      <c r="L135" s="62" t="n"/>
      <c r="M135" s="62" t="n"/>
      <c r="N135" s="62" t="n"/>
      <c r="Q135" t="inlineStr">
        <is>
          <t>Предварительная / итоговая причина</t>
        </is>
      </c>
      <c r="R135" t="inlineStr">
        <is>
          <t>3.7.1 — в т.ч. коррозионный износ насоса [УЭЦН]</t>
        </is>
      </c>
      <c r="S135" t="inlineStr">
        <is>
          <t>Код и название; метка группы добавлена</t>
        </is>
      </c>
      <c r="T135" t="inlineStr">
        <is>
          <t>Классификатор по способам 2024 V10, лист УЭЦН</t>
        </is>
      </c>
      <c r="U135" t="inlineStr">
        <is>
          <t>Лист УЭЦН; код 3.7.1</t>
        </is>
      </c>
      <c r="V135" t="inlineStr">
        <is>
          <t>ЭЦН/ЭВН</t>
        </is>
      </c>
      <c r="BA135" t="inlineStr">
        <is>
          <t>ТР6-4 — Прочие виды ремонтов по фонтанным скважинам.</t>
        </is>
      </c>
      <c r="CJ135" t="inlineStr">
        <is>
          <t>4.4 — Организационные причины по вине подрядной организации [УШГН]</t>
        </is>
      </c>
      <c r="CL135">
        <f>IFERROR(INDEX('История отказов'!$AK$5:$AK$1204,SMALL($DI$2:$DI$1201,ROWS($CL$4:CL135))),"")</f>
        <v/>
      </c>
      <c r="CP135">
        <f>IFERROR(INDEX('История отказов'!$AU$5:$AU$1204,SMALL($DJ$2:$DJ$1201,ROWS($CP$4:CP135))),"")</f>
        <v/>
      </c>
      <c r="CR135">
        <f>IFERROR(INDEX('История отказов'!$AY$5:$AY$1204,SMALL($DK$2:$DK$1201,ROWS($CR$3:CR135))),"")</f>
        <v/>
      </c>
      <c r="CT135">
        <f>IFERROR(INDEX('История отказов'!$AE$5:$AE$1204,SMALL($DC$2:$DC$1201,ROWS($CT$3:CT135))),"")</f>
        <v/>
      </c>
      <c r="CU135">
        <f>IFERROR(INDEX('История отказов'!$AE$5:$AE$1204,SMALL($DD$2:$DD$1201,ROWS($CU$4:CU135))),"")</f>
        <v/>
      </c>
      <c r="CV135">
        <f>IFERROR(INDEX('История отказов'!$AE$5:$AE$1204,SMALL($DE$2:$DE$1201,ROWS($CV$4:CV135))),"")</f>
        <v/>
      </c>
      <c r="CW135">
        <f>IFERROR(INDEX('История отказов'!$AE$5:$AE$1204,SMALL($DG$2:$DG$1201,ROWS($CW$3:CW135))),"")</f>
        <v/>
      </c>
      <c r="CX135">
        <f>IFERROR(INDEX('История отказов'!$AE$5:$AE$1204,SMALL($DF$2:$DF$1201,ROWS($CX$3:CX135))),"")</f>
        <v/>
      </c>
      <c r="CY135">
        <f>IFERROR(INDEX('История отказов'!$AE$5:$AE$1204,SMALL($DH$2:$DH$1201,ROWS($CY$7:CY135))),"")</f>
        <v/>
      </c>
      <c r="DA135">
        <f>IFERROR(INDEX($DB$2:$DB$4801,SMALL($DL$2:$DL$4801,ROWS($DA$48:DA135))),"")</f>
        <v/>
      </c>
      <c r="DB135">
        <f>IF('История отказов'!AH138="","",'История отказов'!AH138)</f>
        <v/>
      </c>
      <c r="DC135">
        <f>IF('История отказов'!AE138="","",IF(AND(COUNTIF($CT$2:$CT$2,'История отказов'!AE138)=0,COUNTIFS('История отказов'!$F$5:F138,"ШГН",'История отказов'!$AE$5:AE138,'История отказов'!AE138)=1,'История отказов'!F138="ШГН"),134,""))</f>
        <v/>
      </c>
      <c r="DD135">
        <f>IF('История отказов'!AE138="","",IF(AND(COUNTIF($CU$2:$CU$3,'История отказов'!AE138)=0,COUNTIFS('История отказов'!$F$5:F138,"ЭЦН",'История отказов'!$AE$5:AE138,'История отказов'!AE138)=1,'История отказов'!F138="ЭЦН"),134,""))</f>
        <v/>
      </c>
      <c r="DE135">
        <f>IF('История отказов'!AE138="","",IF(AND(COUNTIF($CV$2:$CV$3,'История отказов'!AE138)=0,COUNTIFS('История отказов'!$F$5:F138,"ЭВН",'История отказов'!$AE$5:AE138,'История отказов'!AE138)=1,'История отказов'!F138="ЭВН"),134,""))</f>
        <v/>
      </c>
      <c r="DF135">
        <f>IF('История отказов'!AE138="","",IF(AND(COUNTIF($CX$2:$CX$2,'История отказов'!AE138)=0,COUNTIFS('История отказов'!$F$5:F138,"ШВН",'История отказов'!$AE$5:AE138,'История отказов'!AE138)=1,'История отказов'!F138="ШВН"),134,""))</f>
        <v/>
      </c>
      <c r="DG135">
        <f>IF('История отказов'!AE138="","",IF(AND(COUNTIF($CW$2:$CW$2,'История отказов'!AE138)=0,COUNTIFS('История отказов'!$F$5:F138,"НПУ-ВД",'История отказов'!$AE$5:AE138,'История отказов'!AE138)=1,'История отказов'!F138="НПУ-ВД"),134,""))</f>
        <v/>
      </c>
      <c r="DH135">
        <f>IF('История отказов'!AE138="","",IF(AND(COUNTIF($CY$2:$CY$6,'История отказов'!AE138)=0,COUNTIF('История отказов'!$AE$5:AE138,'История отказов'!AE138)=1),134,""))</f>
        <v/>
      </c>
      <c r="DI135">
        <f>IF('История отказов'!AK138="","",IF(AND(COUNTIF($CL$2:$CL$3,'История отказов'!AK138)=0,COUNTIF('История отказов'!$AK$5:AK138,'История отказов'!AK138)=1),134,""))</f>
        <v/>
      </c>
      <c r="DJ135">
        <f>IF('История отказов'!AU138="","",IF(AND(COUNTIF($CP$2:$CP$3,'История отказов'!AU138)=0,COUNTIF('История отказов'!$AU$5:AU138,'История отказов'!AU138)=1),134,""))</f>
        <v/>
      </c>
      <c r="DK135">
        <f>IF('История отказов'!AY138="","",IF(AND(COUNTIF($CR$2:$CR$2,'История отказов'!AY138)=0,COUNTIF('История отказов'!$AY$5:AY138,'История отказов'!AY138)=1),134,""))</f>
        <v/>
      </c>
      <c r="DL135">
        <f>IF(DB135="","",IF(AND(COUNTIF($DA$2:$DA$47,DB135)=0,COUNTIF($DB$2:DB135,DB135)=1),134,""))</f>
        <v/>
      </c>
    </row>
    <row r="136">
      <c r="A136" s="74" t="n"/>
      <c r="B136" s="75" t="n"/>
      <c r="C136" s="75" t="n"/>
      <c r="D136" s="75" t="n"/>
      <c r="E136" s="75" t="inlineStr">
        <is>
          <t>4.5 — Авария [УШГН]</t>
        </is>
      </c>
      <c r="F136" s="76" t="n"/>
      <c r="H136" t="inlineStr">
        <is>
          <t>ТР7-2 — Очистка и пропарка НКТ.</t>
        </is>
      </c>
      <c r="J136" s="62" t="inlineStr">
        <is>
          <t>4.5 — Авария [УШГН]</t>
        </is>
      </c>
      <c r="K136" s="62" t="n"/>
      <c r="L136" s="62" t="n"/>
      <c r="M136" s="62" t="n"/>
      <c r="N136" s="62" t="n"/>
      <c r="Q136" t="inlineStr">
        <is>
          <t>Предварительная / итоговая причина</t>
        </is>
      </c>
      <c r="R136" t="inlineStr">
        <is>
          <t>3.7.2 — в т.ч. гидроабразивный износ рабочих органов насоса [УЭЦН]</t>
        </is>
      </c>
      <c r="S136" t="inlineStr">
        <is>
          <t>Код и название; метка группы добавлена</t>
        </is>
      </c>
      <c r="T136" t="inlineStr">
        <is>
          <t>Классификатор по способам 2024 V10, лист УЭЦН</t>
        </is>
      </c>
      <c r="U136" t="inlineStr">
        <is>
          <t>Лист УЭЦН; код 3.7.2</t>
        </is>
      </c>
      <c r="V136" t="inlineStr">
        <is>
          <t>ЭЦН/ЭВН</t>
        </is>
      </c>
      <c r="BA136" t="inlineStr">
        <is>
          <t>ТР7-2 — Очистка и пропарка НКТ.</t>
        </is>
      </c>
      <c r="CJ136" t="inlineStr">
        <is>
          <t>4.5 — Авария [УШГН]</t>
        </is>
      </c>
      <c r="CL136">
        <f>IFERROR(INDEX('История отказов'!$AK$5:$AK$1204,SMALL($DI$2:$DI$1201,ROWS($CL$4:CL136))),"")</f>
        <v/>
      </c>
      <c r="CP136">
        <f>IFERROR(INDEX('История отказов'!$AU$5:$AU$1204,SMALL($DJ$2:$DJ$1201,ROWS($CP$4:CP136))),"")</f>
        <v/>
      </c>
      <c r="CR136">
        <f>IFERROR(INDEX('История отказов'!$AY$5:$AY$1204,SMALL($DK$2:$DK$1201,ROWS($CR$3:CR136))),"")</f>
        <v/>
      </c>
      <c r="CT136">
        <f>IFERROR(INDEX('История отказов'!$AE$5:$AE$1204,SMALL($DC$2:$DC$1201,ROWS($CT$3:CT136))),"")</f>
        <v/>
      </c>
      <c r="CU136">
        <f>IFERROR(INDEX('История отказов'!$AE$5:$AE$1204,SMALL($DD$2:$DD$1201,ROWS($CU$4:CU136))),"")</f>
        <v/>
      </c>
      <c r="CV136">
        <f>IFERROR(INDEX('История отказов'!$AE$5:$AE$1204,SMALL($DE$2:$DE$1201,ROWS($CV$4:CV136))),"")</f>
        <v/>
      </c>
      <c r="CW136">
        <f>IFERROR(INDEX('История отказов'!$AE$5:$AE$1204,SMALL($DG$2:$DG$1201,ROWS($CW$3:CW136))),"")</f>
        <v/>
      </c>
      <c r="CX136">
        <f>IFERROR(INDEX('История отказов'!$AE$5:$AE$1204,SMALL($DF$2:$DF$1201,ROWS($CX$3:CX136))),"")</f>
        <v/>
      </c>
      <c r="CY136">
        <f>IFERROR(INDEX('История отказов'!$AE$5:$AE$1204,SMALL($DH$2:$DH$1201,ROWS($CY$7:CY136))),"")</f>
        <v/>
      </c>
      <c r="DA136">
        <f>IFERROR(INDEX($DB$2:$DB$4801,SMALL($DL$2:$DL$4801,ROWS($DA$48:DA136))),"")</f>
        <v/>
      </c>
      <c r="DB136">
        <f>IF('История отказов'!AH139="","",'История отказов'!AH139)</f>
        <v/>
      </c>
      <c r="DC136">
        <f>IF('История отказов'!AE139="","",IF(AND(COUNTIF($CT$2:$CT$2,'История отказов'!AE139)=0,COUNTIFS('История отказов'!$F$5:F139,"ШГН",'История отказов'!$AE$5:AE139,'История отказов'!AE139)=1,'История отказов'!F139="ШГН"),135,""))</f>
        <v/>
      </c>
      <c r="DD136">
        <f>IF('История отказов'!AE139="","",IF(AND(COUNTIF($CU$2:$CU$3,'История отказов'!AE139)=0,COUNTIFS('История отказов'!$F$5:F139,"ЭЦН",'История отказов'!$AE$5:AE139,'История отказов'!AE139)=1,'История отказов'!F139="ЭЦН"),135,""))</f>
        <v/>
      </c>
      <c r="DE136">
        <f>IF('История отказов'!AE139="","",IF(AND(COUNTIF($CV$2:$CV$3,'История отказов'!AE139)=0,COUNTIFS('История отказов'!$F$5:F139,"ЭВН",'История отказов'!$AE$5:AE139,'История отказов'!AE139)=1,'История отказов'!F139="ЭВН"),135,""))</f>
        <v/>
      </c>
      <c r="DF136">
        <f>IF('История отказов'!AE139="","",IF(AND(COUNTIF($CX$2:$CX$2,'История отказов'!AE139)=0,COUNTIFS('История отказов'!$F$5:F139,"ШВН",'История отказов'!$AE$5:AE139,'История отказов'!AE139)=1,'История отказов'!F139="ШВН"),135,""))</f>
        <v/>
      </c>
      <c r="DG136">
        <f>IF('История отказов'!AE139="","",IF(AND(COUNTIF($CW$2:$CW$2,'История отказов'!AE139)=0,COUNTIFS('История отказов'!$F$5:F139,"НПУ-ВД",'История отказов'!$AE$5:AE139,'История отказов'!AE139)=1,'История отказов'!F139="НПУ-ВД"),135,""))</f>
        <v/>
      </c>
      <c r="DH136">
        <f>IF('История отказов'!AE139="","",IF(AND(COUNTIF($CY$2:$CY$6,'История отказов'!AE139)=0,COUNTIF('История отказов'!$AE$5:AE139,'История отказов'!AE139)=1),135,""))</f>
        <v/>
      </c>
      <c r="DI136">
        <f>IF('История отказов'!AK139="","",IF(AND(COUNTIF($CL$2:$CL$3,'История отказов'!AK139)=0,COUNTIF('История отказов'!$AK$5:AK139,'История отказов'!AK139)=1),135,""))</f>
        <v/>
      </c>
      <c r="DJ136">
        <f>IF('История отказов'!AU139="","",IF(AND(COUNTIF($CP$2:$CP$3,'История отказов'!AU139)=0,COUNTIF('История отказов'!$AU$5:AU139,'История отказов'!AU139)=1),135,""))</f>
        <v/>
      </c>
      <c r="DK136">
        <f>IF('История отказов'!AY139="","",IF(AND(COUNTIF($CR$2:$CR$2,'История отказов'!AY139)=0,COUNTIF('История отказов'!$AY$5:AY139,'История отказов'!AY139)=1),135,""))</f>
        <v/>
      </c>
      <c r="DL136">
        <f>IF(DB136="","",IF(AND(COUNTIF($DA$2:$DA$47,DB136)=0,COUNTIF($DB$2:DB136,DB136)=1),135,""))</f>
        <v/>
      </c>
    </row>
    <row r="137">
      <c r="A137" s="74" t="n"/>
      <c r="B137" s="75" t="n"/>
      <c r="C137" s="75" t="n"/>
      <c r="D137" s="75" t="n"/>
      <c r="E137" s="75" t="inlineStr">
        <is>
          <t>5.1 — Некачественный ремонт и сервисное обслуживание Привода [УШГН]</t>
        </is>
      </c>
      <c r="F137" s="76" t="n"/>
      <c r="H137" t="inlineStr">
        <is>
          <t>ТР7-3 — Ревизия, замена, очистка газлифтных клапанов.</t>
        </is>
      </c>
      <c r="J137" s="62" t="inlineStr">
        <is>
          <t>5.1 — Некачественный ремонт и сервисное обслуживание Привода [УШГН]</t>
        </is>
      </c>
      <c r="K137" s="62" t="n"/>
      <c r="L137" s="62" t="n"/>
      <c r="M137" s="62" t="n"/>
      <c r="N137" s="62" t="n"/>
      <c r="Q137" t="inlineStr">
        <is>
          <t>Предварительная / итоговая причина</t>
        </is>
      </c>
      <c r="R137" t="inlineStr">
        <is>
          <t>3.8 — Коррозия ЭД [УЭЦН]</t>
        </is>
      </c>
      <c r="S137" t="inlineStr">
        <is>
          <t>Код и название; метка группы добавлена</t>
        </is>
      </c>
      <c r="T137" t="inlineStr">
        <is>
          <t>Классификатор по способам 2024 V10, лист УЭЦН</t>
        </is>
      </c>
      <c r="U137" t="inlineStr">
        <is>
          <t>Лист УЭЦН; код 3.8</t>
        </is>
      </c>
      <c r="V137" t="inlineStr">
        <is>
          <t>ЭЦН/ЭВН</t>
        </is>
      </c>
      <c r="BA137" t="inlineStr">
        <is>
          <t>ТР7-3 — Ревизия, замена, очистка газлифтных клапанов.</t>
        </is>
      </c>
      <c r="CJ137" t="inlineStr">
        <is>
          <t>5.1 — Некачественный ремонт и сервисное обслуживание Привода [УШГН]</t>
        </is>
      </c>
      <c r="CL137">
        <f>IFERROR(INDEX('История отказов'!$AK$5:$AK$1204,SMALL($DI$2:$DI$1201,ROWS($CL$4:CL137))),"")</f>
        <v/>
      </c>
      <c r="CP137">
        <f>IFERROR(INDEX('История отказов'!$AU$5:$AU$1204,SMALL($DJ$2:$DJ$1201,ROWS($CP$4:CP137))),"")</f>
        <v/>
      </c>
      <c r="CR137">
        <f>IFERROR(INDEX('История отказов'!$AY$5:$AY$1204,SMALL($DK$2:$DK$1201,ROWS($CR$3:CR137))),"")</f>
        <v/>
      </c>
      <c r="CT137">
        <f>IFERROR(INDEX('История отказов'!$AE$5:$AE$1204,SMALL($DC$2:$DC$1201,ROWS($CT$3:CT137))),"")</f>
        <v/>
      </c>
      <c r="CU137">
        <f>IFERROR(INDEX('История отказов'!$AE$5:$AE$1204,SMALL($DD$2:$DD$1201,ROWS($CU$4:CU137))),"")</f>
        <v/>
      </c>
      <c r="CV137">
        <f>IFERROR(INDEX('История отказов'!$AE$5:$AE$1204,SMALL($DE$2:$DE$1201,ROWS($CV$4:CV137))),"")</f>
        <v/>
      </c>
      <c r="CW137">
        <f>IFERROR(INDEX('История отказов'!$AE$5:$AE$1204,SMALL($DG$2:$DG$1201,ROWS($CW$3:CW137))),"")</f>
        <v/>
      </c>
      <c r="CX137">
        <f>IFERROR(INDEX('История отказов'!$AE$5:$AE$1204,SMALL($DF$2:$DF$1201,ROWS($CX$3:CX137))),"")</f>
        <v/>
      </c>
      <c r="CY137">
        <f>IFERROR(INDEX('История отказов'!$AE$5:$AE$1204,SMALL($DH$2:$DH$1201,ROWS($CY$7:CY137))),"")</f>
        <v/>
      </c>
      <c r="DA137">
        <f>IFERROR(INDEX($DB$2:$DB$4801,SMALL($DL$2:$DL$4801,ROWS($DA$48:DA137))),"")</f>
        <v/>
      </c>
      <c r="DB137">
        <f>IF('История отказов'!AH140="","",'История отказов'!AH140)</f>
        <v/>
      </c>
      <c r="DC137">
        <f>IF('История отказов'!AE140="","",IF(AND(COUNTIF($CT$2:$CT$2,'История отказов'!AE140)=0,COUNTIFS('История отказов'!$F$5:F140,"ШГН",'История отказов'!$AE$5:AE140,'История отказов'!AE140)=1,'История отказов'!F140="ШГН"),136,""))</f>
        <v/>
      </c>
      <c r="DD137">
        <f>IF('История отказов'!AE140="","",IF(AND(COUNTIF($CU$2:$CU$3,'История отказов'!AE140)=0,COUNTIFS('История отказов'!$F$5:F140,"ЭЦН",'История отказов'!$AE$5:AE140,'История отказов'!AE140)=1,'История отказов'!F140="ЭЦН"),136,""))</f>
        <v/>
      </c>
      <c r="DE137">
        <f>IF('История отказов'!AE140="","",IF(AND(COUNTIF($CV$2:$CV$3,'История отказов'!AE140)=0,COUNTIFS('История отказов'!$F$5:F140,"ЭВН",'История отказов'!$AE$5:AE140,'История отказов'!AE140)=1,'История отказов'!F140="ЭВН"),136,""))</f>
        <v/>
      </c>
      <c r="DF137">
        <f>IF('История отказов'!AE140="","",IF(AND(COUNTIF($CX$2:$CX$2,'История отказов'!AE140)=0,COUNTIFS('История отказов'!$F$5:F140,"ШВН",'История отказов'!$AE$5:AE140,'История отказов'!AE140)=1,'История отказов'!F140="ШВН"),136,""))</f>
        <v/>
      </c>
      <c r="DG137">
        <f>IF('История отказов'!AE140="","",IF(AND(COUNTIF($CW$2:$CW$2,'История отказов'!AE140)=0,COUNTIFS('История отказов'!$F$5:F140,"НПУ-ВД",'История отказов'!$AE$5:AE140,'История отказов'!AE140)=1,'История отказов'!F140="НПУ-ВД"),136,""))</f>
        <v/>
      </c>
      <c r="DH137">
        <f>IF('История отказов'!AE140="","",IF(AND(COUNTIF($CY$2:$CY$6,'История отказов'!AE140)=0,COUNTIF('История отказов'!$AE$5:AE140,'История отказов'!AE140)=1),136,""))</f>
        <v/>
      </c>
      <c r="DI137">
        <f>IF('История отказов'!AK140="","",IF(AND(COUNTIF($CL$2:$CL$3,'История отказов'!AK140)=0,COUNTIF('История отказов'!$AK$5:AK140,'История отказов'!AK140)=1),136,""))</f>
        <v/>
      </c>
      <c r="DJ137">
        <f>IF('История отказов'!AU140="","",IF(AND(COUNTIF($CP$2:$CP$3,'История отказов'!AU140)=0,COUNTIF('История отказов'!$AU$5:AU140,'История отказов'!AU140)=1),136,""))</f>
        <v/>
      </c>
      <c r="DK137">
        <f>IF('История отказов'!AY140="","",IF(AND(COUNTIF($CR$2:$CR$2,'История отказов'!AY140)=0,COUNTIF('История отказов'!$AY$5:AY140,'История отказов'!AY140)=1),136,""))</f>
        <v/>
      </c>
      <c r="DL137">
        <f>IF(DB137="","",IF(AND(COUNTIF($DA$2:$DA$47,DB137)=0,COUNTIF($DB$2:DB137,DB137)=1),136,""))</f>
        <v/>
      </c>
    </row>
    <row r="138">
      <c r="A138" s="74" t="n"/>
      <c r="B138" s="75" t="n"/>
      <c r="C138" s="75" t="n"/>
      <c r="D138" s="75" t="n"/>
      <c r="E138" s="75" t="inlineStr">
        <is>
          <t>5.2 — Организационные причины по вине подрядной организации [УШГН]</t>
        </is>
      </c>
      <c r="F138" s="76" t="n"/>
      <c r="H138" t="inlineStr">
        <is>
          <t>ТР7-4 — Ревизия, смена устьевого оборудования.</t>
        </is>
      </c>
      <c r="J138" s="62" t="inlineStr">
        <is>
          <t>5.2 — Организационные причины по вине подрядной организации [УШГН]</t>
        </is>
      </c>
      <c r="K138" s="62" t="n"/>
      <c r="L138" s="62" t="n"/>
      <c r="M138" s="62" t="n"/>
      <c r="N138" s="62" t="n"/>
      <c r="Q138" t="inlineStr">
        <is>
          <t>Предварительная / итоговая причина</t>
        </is>
      </c>
      <c r="R138" t="inlineStr">
        <is>
          <t>3.9 — Коррозия НКТ и элементов подвески [УЭЦН]</t>
        </is>
      </c>
      <c r="S138" t="inlineStr">
        <is>
          <t>Код и название; метка группы добавлена</t>
        </is>
      </c>
      <c r="T138" t="inlineStr">
        <is>
          <t>Классификатор по способам 2024 V10, лист УЭЦН</t>
        </is>
      </c>
      <c r="U138" t="inlineStr">
        <is>
          <t>Лист УЭЦН; код 3.9</t>
        </is>
      </c>
      <c r="V138" t="inlineStr">
        <is>
          <t>ЭЦН/ЭВН</t>
        </is>
      </c>
      <c r="BA138" t="inlineStr">
        <is>
          <t>ТР7-4 — Ревизия, смена устьевого оборудования.</t>
        </is>
      </c>
      <c r="CJ138" t="inlineStr">
        <is>
          <t>5.2 — Организационные причины по вине подрядной организации [УШГН]</t>
        </is>
      </c>
      <c r="CL138">
        <f>IFERROR(INDEX('История отказов'!$AK$5:$AK$1204,SMALL($DI$2:$DI$1201,ROWS($CL$4:CL138))),"")</f>
        <v/>
      </c>
      <c r="CP138">
        <f>IFERROR(INDEX('История отказов'!$AU$5:$AU$1204,SMALL($DJ$2:$DJ$1201,ROWS($CP$4:CP138))),"")</f>
        <v/>
      </c>
      <c r="CR138">
        <f>IFERROR(INDEX('История отказов'!$AY$5:$AY$1204,SMALL($DK$2:$DK$1201,ROWS($CR$3:CR138))),"")</f>
        <v/>
      </c>
      <c r="CT138">
        <f>IFERROR(INDEX('История отказов'!$AE$5:$AE$1204,SMALL($DC$2:$DC$1201,ROWS($CT$3:CT138))),"")</f>
        <v/>
      </c>
      <c r="CU138">
        <f>IFERROR(INDEX('История отказов'!$AE$5:$AE$1204,SMALL($DD$2:$DD$1201,ROWS($CU$4:CU138))),"")</f>
        <v/>
      </c>
      <c r="CV138">
        <f>IFERROR(INDEX('История отказов'!$AE$5:$AE$1204,SMALL($DE$2:$DE$1201,ROWS($CV$4:CV138))),"")</f>
        <v/>
      </c>
      <c r="CW138">
        <f>IFERROR(INDEX('История отказов'!$AE$5:$AE$1204,SMALL($DG$2:$DG$1201,ROWS($CW$3:CW138))),"")</f>
        <v/>
      </c>
      <c r="CX138">
        <f>IFERROR(INDEX('История отказов'!$AE$5:$AE$1204,SMALL($DF$2:$DF$1201,ROWS($CX$3:CX138))),"")</f>
        <v/>
      </c>
      <c r="CY138">
        <f>IFERROR(INDEX('История отказов'!$AE$5:$AE$1204,SMALL($DH$2:$DH$1201,ROWS($CY$7:CY138))),"")</f>
        <v/>
      </c>
      <c r="DA138">
        <f>IFERROR(INDEX($DB$2:$DB$4801,SMALL($DL$2:$DL$4801,ROWS($DA$48:DA138))),"")</f>
        <v/>
      </c>
      <c r="DB138">
        <f>IF('История отказов'!AH141="","",'История отказов'!AH141)</f>
        <v/>
      </c>
      <c r="DC138">
        <f>IF('История отказов'!AE141="","",IF(AND(COUNTIF($CT$2:$CT$2,'История отказов'!AE141)=0,COUNTIFS('История отказов'!$F$5:F141,"ШГН",'История отказов'!$AE$5:AE141,'История отказов'!AE141)=1,'История отказов'!F141="ШГН"),137,""))</f>
        <v/>
      </c>
      <c r="DD138">
        <f>IF('История отказов'!AE141="","",IF(AND(COUNTIF($CU$2:$CU$3,'История отказов'!AE141)=0,COUNTIFS('История отказов'!$F$5:F141,"ЭЦН",'История отказов'!$AE$5:AE141,'История отказов'!AE141)=1,'История отказов'!F141="ЭЦН"),137,""))</f>
        <v/>
      </c>
      <c r="DE138">
        <f>IF('История отказов'!AE141="","",IF(AND(COUNTIF($CV$2:$CV$3,'История отказов'!AE141)=0,COUNTIFS('История отказов'!$F$5:F141,"ЭВН",'История отказов'!$AE$5:AE141,'История отказов'!AE141)=1,'История отказов'!F141="ЭВН"),137,""))</f>
        <v/>
      </c>
      <c r="DF138">
        <f>IF('История отказов'!AE141="","",IF(AND(COUNTIF($CX$2:$CX$2,'История отказов'!AE141)=0,COUNTIFS('История отказов'!$F$5:F141,"ШВН",'История отказов'!$AE$5:AE141,'История отказов'!AE141)=1,'История отказов'!F141="ШВН"),137,""))</f>
        <v/>
      </c>
      <c r="DG138">
        <f>IF('История отказов'!AE141="","",IF(AND(COUNTIF($CW$2:$CW$2,'История отказов'!AE141)=0,COUNTIFS('История отказов'!$F$5:F141,"НПУ-ВД",'История отказов'!$AE$5:AE141,'История отказов'!AE141)=1,'История отказов'!F141="НПУ-ВД"),137,""))</f>
        <v/>
      </c>
      <c r="DH138">
        <f>IF('История отказов'!AE141="","",IF(AND(COUNTIF($CY$2:$CY$6,'История отказов'!AE141)=0,COUNTIF('История отказов'!$AE$5:AE141,'История отказов'!AE141)=1),137,""))</f>
        <v/>
      </c>
      <c r="DI138">
        <f>IF('История отказов'!AK141="","",IF(AND(COUNTIF($CL$2:$CL$3,'История отказов'!AK141)=0,COUNTIF('История отказов'!$AK$5:AK141,'История отказов'!AK141)=1),137,""))</f>
        <v/>
      </c>
      <c r="DJ138">
        <f>IF('История отказов'!AU141="","",IF(AND(COUNTIF($CP$2:$CP$3,'История отказов'!AU141)=0,COUNTIF('История отказов'!$AU$5:AU141,'История отказов'!AU141)=1),137,""))</f>
        <v/>
      </c>
      <c r="DK138">
        <f>IF('История отказов'!AY141="","",IF(AND(COUNTIF($CR$2:$CR$2,'История отказов'!AY141)=0,COUNTIF('История отказов'!$AY$5:AY141,'История отказов'!AY141)=1),137,""))</f>
        <v/>
      </c>
      <c r="DL138">
        <f>IF(DB138="","",IF(AND(COUNTIF($DA$2:$DA$47,DB138)=0,COUNTIF($DB$2:DB138,DB138)=1),137,""))</f>
        <v/>
      </c>
    </row>
    <row r="139">
      <c r="A139" s="74" t="n"/>
      <c r="B139" s="75" t="n"/>
      <c r="C139" s="75" t="n"/>
      <c r="D139" s="75" t="n"/>
      <c r="E139" s="75" t="inlineStr">
        <is>
          <t>5.3 — Авария [УШГН]</t>
        </is>
      </c>
      <c r="F139" s="76" t="n"/>
      <c r="H139" t="inlineStr">
        <is>
          <t>ТР7-5 — Прочие виды ремонтов по газлифтным скважинам.</t>
        </is>
      </c>
      <c r="J139" s="62" t="inlineStr">
        <is>
          <t>5.3 — Авария [УШГН]</t>
        </is>
      </c>
      <c r="K139" s="62" t="n"/>
      <c r="L139" s="62" t="n"/>
      <c r="M139" s="62" t="n"/>
      <c r="N139" s="62" t="n"/>
      <c r="Q139" t="inlineStr">
        <is>
          <t>Предварительная / итоговая причина</t>
        </is>
      </c>
      <c r="R139" t="inlineStr">
        <is>
          <t>3.9.1 — в т.ч. потеря герметичности лифта по телу [УЭЦН]</t>
        </is>
      </c>
      <c r="S139" t="inlineStr">
        <is>
          <t>Код и название; метка группы добавлена</t>
        </is>
      </c>
      <c r="T139" t="inlineStr">
        <is>
          <t>Классификатор по способам 2024 V10, лист УЭЦН</t>
        </is>
      </c>
      <c r="U139" t="inlineStr">
        <is>
          <t>Лист УЭЦН; код 3.9.1</t>
        </is>
      </c>
      <c r="V139" t="inlineStr">
        <is>
          <t>ЭЦН/ЭВН</t>
        </is>
      </c>
      <c r="BA139" t="inlineStr">
        <is>
          <t>ТР7-5 — Прочие виды ремонтов по газлифтным скважинам.</t>
        </is>
      </c>
      <c r="CJ139" t="inlineStr">
        <is>
          <t>5.3 — Авария [УШГН]</t>
        </is>
      </c>
      <c r="CL139">
        <f>IFERROR(INDEX('История отказов'!$AK$5:$AK$1204,SMALL($DI$2:$DI$1201,ROWS($CL$4:CL139))),"")</f>
        <v/>
      </c>
      <c r="CP139">
        <f>IFERROR(INDEX('История отказов'!$AU$5:$AU$1204,SMALL($DJ$2:$DJ$1201,ROWS($CP$4:CP139))),"")</f>
        <v/>
      </c>
      <c r="CR139">
        <f>IFERROR(INDEX('История отказов'!$AY$5:$AY$1204,SMALL($DK$2:$DK$1201,ROWS($CR$3:CR139))),"")</f>
        <v/>
      </c>
      <c r="CT139">
        <f>IFERROR(INDEX('История отказов'!$AE$5:$AE$1204,SMALL($DC$2:$DC$1201,ROWS($CT$3:CT139))),"")</f>
        <v/>
      </c>
      <c r="CU139">
        <f>IFERROR(INDEX('История отказов'!$AE$5:$AE$1204,SMALL($DD$2:$DD$1201,ROWS($CU$4:CU139))),"")</f>
        <v/>
      </c>
      <c r="CV139">
        <f>IFERROR(INDEX('История отказов'!$AE$5:$AE$1204,SMALL($DE$2:$DE$1201,ROWS($CV$4:CV139))),"")</f>
        <v/>
      </c>
      <c r="CW139">
        <f>IFERROR(INDEX('История отказов'!$AE$5:$AE$1204,SMALL($DG$2:$DG$1201,ROWS($CW$3:CW139))),"")</f>
        <v/>
      </c>
      <c r="CX139">
        <f>IFERROR(INDEX('История отказов'!$AE$5:$AE$1204,SMALL($DF$2:$DF$1201,ROWS($CX$3:CX139))),"")</f>
        <v/>
      </c>
      <c r="CY139">
        <f>IFERROR(INDEX('История отказов'!$AE$5:$AE$1204,SMALL($DH$2:$DH$1201,ROWS($CY$7:CY139))),"")</f>
        <v/>
      </c>
      <c r="DA139">
        <f>IFERROR(INDEX($DB$2:$DB$4801,SMALL($DL$2:$DL$4801,ROWS($DA$48:DA139))),"")</f>
        <v/>
      </c>
      <c r="DB139">
        <f>IF('История отказов'!AH142="","",'История отказов'!AH142)</f>
        <v/>
      </c>
      <c r="DC139">
        <f>IF('История отказов'!AE142="","",IF(AND(COUNTIF($CT$2:$CT$2,'История отказов'!AE142)=0,COUNTIFS('История отказов'!$F$5:F142,"ШГН",'История отказов'!$AE$5:AE142,'История отказов'!AE142)=1,'История отказов'!F142="ШГН"),138,""))</f>
        <v/>
      </c>
      <c r="DD139">
        <f>IF('История отказов'!AE142="","",IF(AND(COUNTIF($CU$2:$CU$3,'История отказов'!AE142)=0,COUNTIFS('История отказов'!$F$5:F142,"ЭЦН",'История отказов'!$AE$5:AE142,'История отказов'!AE142)=1,'История отказов'!F142="ЭЦН"),138,""))</f>
        <v/>
      </c>
      <c r="DE139">
        <f>IF('История отказов'!AE142="","",IF(AND(COUNTIF($CV$2:$CV$3,'История отказов'!AE142)=0,COUNTIFS('История отказов'!$F$5:F142,"ЭВН",'История отказов'!$AE$5:AE142,'История отказов'!AE142)=1,'История отказов'!F142="ЭВН"),138,""))</f>
        <v/>
      </c>
      <c r="DF139">
        <f>IF('История отказов'!AE142="","",IF(AND(COUNTIF($CX$2:$CX$2,'История отказов'!AE142)=0,COUNTIFS('История отказов'!$F$5:F142,"ШВН",'История отказов'!$AE$5:AE142,'История отказов'!AE142)=1,'История отказов'!F142="ШВН"),138,""))</f>
        <v/>
      </c>
      <c r="DG139">
        <f>IF('История отказов'!AE142="","",IF(AND(COUNTIF($CW$2:$CW$2,'История отказов'!AE142)=0,COUNTIFS('История отказов'!$F$5:F142,"НПУ-ВД",'История отказов'!$AE$5:AE142,'История отказов'!AE142)=1,'История отказов'!F142="НПУ-ВД"),138,""))</f>
        <v/>
      </c>
      <c r="DH139">
        <f>IF('История отказов'!AE142="","",IF(AND(COUNTIF($CY$2:$CY$6,'История отказов'!AE142)=0,COUNTIF('История отказов'!$AE$5:AE142,'История отказов'!AE142)=1),138,""))</f>
        <v/>
      </c>
      <c r="DI139">
        <f>IF('История отказов'!AK142="","",IF(AND(COUNTIF($CL$2:$CL$3,'История отказов'!AK142)=0,COUNTIF('История отказов'!$AK$5:AK142,'История отказов'!AK142)=1),138,""))</f>
        <v/>
      </c>
      <c r="DJ139">
        <f>IF('История отказов'!AU142="","",IF(AND(COUNTIF($CP$2:$CP$3,'История отказов'!AU142)=0,COUNTIF('История отказов'!$AU$5:AU142,'История отказов'!AU142)=1),138,""))</f>
        <v/>
      </c>
      <c r="DK139">
        <f>IF('История отказов'!AY142="","",IF(AND(COUNTIF($CR$2:$CR$2,'История отказов'!AY142)=0,COUNTIF('История отказов'!$AY$5:AY142,'История отказов'!AY142)=1),138,""))</f>
        <v/>
      </c>
      <c r="DL139">
        <f>IF(DB139="","",IF(AND(COUNTIF($DA$2:$DA$47,DB139)=0,COUNTIF($DB$2:DB139,DB139)=1),138,""))</f>
        <v/>
      </c>
    </row>
    <row r="140">
      <c r="A140" s="74" t="n"/>
      <c r="B140" s="75" t="n"/>
      <c r="C140" s="75" t="n"/>
      <c r="D140" s="75" t="n"/>
      <c r="E140" s="75" t="inlineStr">
        <is>
          <t>6.1 — Заводской брак НКТ, штанг и элементов подвески [УШГН]</t>
        </is>
      </c>
      <c r="F140" s="76" t="n"/>
      <c r="H140" t="inlineStr">
        <is>
          <t>ТР8-1 — Ревизия и смена оборудования артезианских скважин.</t>
        </is>
      </c>
      <c r="J140" s="62" t="inlineStr">
        <is>
          <t>6.1 — Заводской брак НКТ, штанг и элементов подвески [УШГН]</t>
        </is>
      </c>
      <c r="K140" s="62" t="n"/>
      <c r="L140" s="62" t="n"/>
      <c r="M140" s="62" t="n"/>
      <c r="N140" s="62" t="n"/>
      <c r="Q140" t="inlineStr">
        <is>
          <t>Предварительная / итоговая причина</t>
        </is>
      </c>
      <c r="R140" t="inlineStr">
        <is>
          <t>3.9.2 — в т.ч. потеря герметичности резьбовых соединений [УЭЦН]</t>
        </is>
      </c>
      <c r="S140" t="inlineStr">
        <is>
          <t>Код и название; метка группы добавлена</t>
        </is>
      </c>
      <c r="T140" t="inlineStr">
        <is>
          <t>Классификатор по способам 2024 V10, лист УЭЦН</t>
        </is>
      </c>
      <c r="U140" t="inlineStr">
        <is>
          <t>Лист УЭЦН; код 3.9.2</t>
        </is>
      </c>
      <c r="V140" t="inlineStr">
        <is>
          <t>ЭЦН/ЭВН</t>
        </is>
      </c>
      <c r="BA140" t="inlineStr">
        <is>
          <t>ТР8-1 — Ревизия и смена оборудования артезианских скважин.</t>
        </is>
      </c>
      <c r="CJ140" t="inlineStr">
        <is>
          <t>6.1 — Заводской брак НКТ, штанг и элементов подвески [УШГН]</t>
        </is>
      </c>
      <c r="CL140">
        <f>IFERROR(INDEX('История отказов'!$AK$5:$AK$1204,SMALL($DI$2:$DI$1201,ROWS($CL$4:CL140))),"")</f>
        <v/>
      </c>
      <c r="CP140">
        <f>IFERROR(INDEX('История отказов'!$AU$5:$AU$1204,SMALL($DJ$2:$DJ$1201,ROWS($CP$4:CP140))),"")</f>
        <v/>
      </c>
      <c r="CR140">
        <f>IFERROR(INDEX('История отказов'!$AY$5:$AY$1204,SMALL($DK$2:$DK$1201,ROWS($CR$3:CR140))),"")</f>
        <v/>
      </c>
      <c r="CT140">
        <f>IFERROR(INDEX('История отказов'!$AE$5:$AE$1204,SMALL($DC$2:$DC$1201,ROWS($CT$3:CT140))),"")</f>
        <v/>
      </c>
      <c r="CU140">
        <f>IFERROR(INDEX('История отказов'!$AE$5:$AE$1204,SMALL($DD$2:$DD$1201,ROWS($CU$4:CU140))),"")</f>
        <v/>
      </c>
      <c r="CV140">
        <f>IFERROR(INDEX('История отказов'!$AE$5:$AE$1204,SMALL($DE$2:$DE$1201,ROWS($CV$4:CV140))),"")</f>
        <v/>
      </c>
      <c r="CW140">
        <f>IFERROR(INDEX('История отказов'!$AE$5:$AE$1204,SMALL($DG$2:$DG$1201,ROWS($CW$3:CW140))),"")</f>
        <v/>
      </c>
      <c r="CX140">
        <f>IFERROR(INDEX('История отказов'!$AE$5:$AE$1204,SMALL($DF$2:$DF$1201,ROWS($CX$3:CX140))),"")</f>
        <v/>
      </c>
      <c r="CY140">
        <f>IFERROR(INDEX('История отказов'!$AE$5:$AE$1204,SMALL($DH$2:$DH$1201,ROWS($CY$7:CY140))),"")</f>
        <v/>
      </c>
      <c r="DA140">
        <f>IFERROR(INDEX($DB$2:$DB$4801,SMALL($DL$2:$DL$4801,ROWS($DA$48:DA140))),"")</f>
        <v/>
      </c>
      <c r="DB140">
        <f>IF('История отказов'!AH143="","",'История отказов'!AH143)</f>
        <v/>
      </c>
      <c r="DC140">
        <f>IF('История отказов'!AE143="","",IF(AND(COUNTIF($CT$2:$CT$2,'История отказов'!AE143)=0,COUNTIFS('История отказов'!$F$5:F143,"ШГН",'История отказов'!$AE$5:AE143,'История отказов'!AE143)=1,'История отказов'!F143="ШГН"),139,""))</f>
        <v/>
      </c>
      <c r="DD140">
        <f>IF('История отказов'!AE143="","",IF(AND(COUNTIF($CU$2:$CU$3,'История отказов'!AE143)=0,COUNTIFS('История отказов'!$F$5:F143,"ЭЦН",'История отказов'!$AE$5:AE143,'История отказов'!AE143)=1,'История отказов'!F143="ЭЦН"),139,""))</f>
        <v/>
      </c>
      <c r="DE140">
        <f>IF('История отказов'!AE143="","",IF(AND(COUNTIF($CV$2:$CV$3,'История отказов'!AE143)=0,COUNTIFS('История отказов'!$F$5:F143,"ЭВН",'История отказов'!$AE$5:AE143,'История отказов'!AE143)=1,'История отказов'!F143="ЭВН"),139,""))</f>
        <v/>
      </c>
      <c r="DF140">
        <f>IF('История отказов'!AE143="","",IF(AND(COUNTIF($CX$2:$CX$2,'История отказов'!AE143)=0,COUNTIFS('История отказов'!$F$5:F143,"ШВН",'История отказов'!$AE$5:AE143,'История отказов'!AE143)=1,'История отказов'!F143="ШВН"),139,""))</f>
        <v/>
      </c>
      <c r="DG140">
        <f>IF('История отказов'!AE143="","",IF(AND(COUNTIF($CW$2:$CW$2,'История отказов'!AE143)=0,COUNTIFS('История отказов'!$F$5:F143,"НПУ-ВД",'История отказов'!$AE$5:AE143,'История отказов'!AE143)=1,'История отказов'!F143="НПУ-ВД"),139,""))</f>
        <v/>
      </c>
      <c r="DH140">
        <f>IF('История отказов'!AE143="","",IF(AND(COUNTIF($CY$2:$CY$6,'История отказов'!AE143)=0,COUNTIF('История отказов'!$AE$5:AE143,'История отказов'!AE143)=1),139,""))</f>
        <v/>
      </c>
      <c r="DI140">
        <f>IF('История отказов'!AK143="","",IF(AND(COUNTIF($CL$2:$CL$3,'История отказов'!AK143)=0,COUNTIF('История отказов'!$AK$5:AK143,'История отказов'!AK143)=1),139,""))</f>
        <v/>
      </c>
      <c r="DJ140">
        <f>IF('История отказов'!AU143="","",IF(AND(COUNTIF($CP$2:$CP$3,'История отказов'!AU143)=0,COUNTIF('История отказов'!$AU$5:AU143,'История отказов'!AU143)=1),139,""))</f>
        <v/>
      </c>
      <c r="DK140">
        <f>IF('История отказов'!AY143="","",IF(AND(COUNTIF($CR$2:$CR$2,'История отказов'!AY143)=0,COUNTIF('История отказов'!$AY$5:AY143,'История отказов'!AY143)=1),139,""))</f>
        <v/>
      </c>
      <c r="DL140">
        <f>IF(DB140="","",IF(AND(COUNTIF($DA$2:$DA$47,DB140)=0,COUNTIF($DB$2:DB140,DB140)=1),139,""))</f>
        <v/>
      </c>
    </row>
    <row r="141">
      <c r="A141" s="74" t="n"/>
      <c r="B141" s="75" t="n"/>
      <c r="C141" s="75" t="n"/>
      <c r="D141" s="75" t="n"/>
      <c r="E141" s="75" t="inlineStr">
        <is>
          <t>6.2 — Заводской брак насоса ШГН/ШВН [УШГН]</t>
        </is>
      </c>
      <c r="F141" s="76" t="n"/>
      <c r="H141" t="inlineStr">
        <is>
          <t>ТР8-2 — Ревизия и смена оборудования поглащающих скважин.</t>
        </is>
      </c>
      <c r="J141" s="62" t="inlineStr">
        <is>
          <t>6.2 — Заводской брак насоса ШГН/ШВН [УШГН]</t>
        </is>
      </c>
      <c r="K141" s="62" t="n"/>
      <c r="L141" s="62" t="n"/>
      <c r="M141" s="62" t="n"/>
      <c r="N141" s="62" t="n"/>
      <c r="Q141" t="inlineStr">
        <is>
          <t>Предварительная / итоговая причина</t>
        </is>
      </c>
      <c r="R141" t="inlineStr">
        <is>
          <t>3.9.3 — в т.ч. потеря герметичности переводников/патрубков [УЭЦН]</t>
        </is>
      </c>
      <c r="S141" t="inlineStr">
        <is>
          <t>Код и название; метка группы добавлена</t>
        </is>
      </c>
      <c r="T141" t="inlineStr">
        <is>
          <t>Классификатор по способам 2024 V10, лист УЭЦН</t>
        </is>
      </c>
      <c r="U141" t="inlineStr">
        <is>
          <t>Лист УЭЦН; код 3.9.3</t>
        </is>
      </c>
      <c r="V141" t="inlineStr">
        <is>
          <t>ЭЦН/ЭВН</t>
        </is>
      </c>
      <c r="BA141" t="inlineStr">
        <is>
          <t>ТР8-2 — Ревизия и смена оборудования поглащающих скважин.</t>
        </is>
      </c>
      <c r="CJ141" t="inlineStr">
        <is>
          <t>6.2 — Заводской брак насоса ШГН/ШВН [УШГН]</t>
        </is>
      </c>
      <c r="CL141">
        <f>IFERROR(INDEX('История отказов'!$AK$5:$AK$1204,SMALL($DI$2:$DI$1201,ROWS($CL$4:CL141))),"")</f>
        <v/>
      </c>
      <c r="CP141">
        <f>IFERROR(INDEX('История отказов'!$AU$5:$AU$1204,SMALL($DJ$2:$DJ$1201,ROWS($CP$4:CP141))),"")</f>
        <v/>
      </c>
      <c r="CR141">
        <f>IFERROR(INDEX('История отказов'!$AY$5:$AY$1204,SMALL($DK$2:$DK$1201,ROWS($CR$3:CR141))),"")</f>
        <v/>
      </c>
      <c r="CT141">
        <f>IFERROR(INDEX('История отказов'!$AE$5:$AE$1204,SMALL($DC$2:$DC$1201,ROWS($CT$3:CT141))),"")</f>
        <v/>
      </c>
      <c r="CU141">
        <f>IFERROR(INDEX('История отказов'!$AE$5:$AE$1204,SMALL($DD$2:$DD$1201,ROWS($CU$4:CU141))),"")</f>
        <v/>
      </c>
      <c r="CV141">
        <f>IFERROR(INDEX('История отказов'!$AE$5:$AE$1204,SMALL($DE$2:$DE$1201,ROWS($CV$4:CV141))),"")</f>
        <v/>
      </c>
      <c r="CW141">
        <f>IFERROR(INDEX('История отказов'!$AE$5:$AE$1204,SMALL($DG$2:$DG$1201,ROWS($CW$3:CW141))),"")</f>
        <v/>
      </c>
      <c r="CX141">
        <f>IFERROR(INDEX('История отказов'!$AE$5:$AE$1204,SMALL($DF$2:$DF$1201,ROWS($CX$3:CX141))),"")</f>
        <v/>
      </c>
      <c r="CY141">
        <f>IFERROR(INDEX('История отказов'!$AE$5:$AE$1204,SMALL($DH$2:$DH$1201,ROWS($CY$7:CY141))),"")</f>
        <v/>
      </c>
      <c r="DA141">
        <f>IFERROR(INDEX($DB$2:$DB$4801,SMALL($DL$2:$DL$4801,ROWS($DA$48:DA141))),"")</f>
        <v/>
      </c>
      <c r="DB141">
        <f>IF('История отказов'!AH144="","",'История отказов'!AH144)</f>
        <v/>
      </c>
      <c r="DC141">
        <f>IF('История отказов'!AE144="","",IF(AND(COUNTIF($CT$2:$CT$2,'История отказов'!AE144)=0,COUNTIFS('История отказов'!$F$5:F144,"ШГН",'История отказов'!$AE$5:AE144,'История отказов'!AE144)=1,'История отказов'!F144="ШГН"),140,""))</f>
        <v/>
      </c>
      <c r="DD141">
        <f>IF('История отказов'!AE144="","",IF(AND(COUNTIF($CU$2:$CU$3,'История отказов'!AE144)=0,COUNTIFS('История отказов'!$F$5:F144,"ЭЦН",'История отказов'!$AE$5:AE144,'История отказов'!AE144)=1,'История отказов'!F144="ЭЦН"),140,""))</f>
        <v/>
      </c>
      <c r="DE141">
        <f>IF('История отказов'!AE144="","",IF(AND(COUNTIF($CV$2:$CV$3,'История отказов'!AE144)=0,COUNTIFS('История отказов'!$F$5:F144,"ЭВН",'История отказов'!$AE$5:AE144,'История отказов'!AE144)=1,'История отказов'!F144="ЭВН"),140,""))</f>
        <v/>
      </c>
      <c r="DF141">
        <f>IF('История отказов'!AE144="","",IF(AND(COUNTIF($CX$2:$CX$2,'История отказов'!AE144)=0,COUNTIFS('История отказов'!$F$5:F144,"ШВН",'История отказов'!$AE$5:AE144,'История отказов'!AE144)=1,'История отказов'!F144="ШВН"),140,""))</f>
        <v/>
      </c>
      <c r="DG141">
        <f>IF('История отказов'!AE144="","",IF(AND(COUNTIF($CW$2:$CW$2,'История отказов'!AE144)=0,COUNTIFS('История отказов'!$F$5:F144,"НПУ-ВД",'История отказов'!$AE$5:AE144,'История отказов'!AE144)=1,'История отказов'!F144="НПУ-ВД"),140,""))</f>
        <v/>
      </c>
      <c r="DH141">
        <f>IF('История отказов'!AE144="","",IF(AND(COUNTIF($CY$2:$CY$6,'История отказов'!AE144)=0,COUNTIF('История отказов'!$AE$5:AE144,'История отказов'!AE144)=1),140,""))</f>
        <v/>
      </c>
      <c r="DI141">
        <f>IF('История отказов'!AK144="","",IF(AND(COUNTIF($CL$2:$CL$3,'История отказов'!AK144)=0,COUNTIF('История отказов'!$AK$5:AK144,'История отказов'!AK144)=1),140,""))</f>
        <v/>
      </c>
      <c r="DJ141">
        <f>IF('История отказов'!AU144="","",IF(AND(COUNTIF($CP$2:$CP$3,'История отказов'!AU144)=0,COUNTIF('История отказов'!$AU$5:AU144,'История отказов'!AU144)=1),140,""))</f>
        <v/>
      </c>
      <c r="DK141">
        <f>IF('История отказов'!AY144="","",IF(AND(COUNTIF($CR$2:$CR$2,'История отказов'!AY144)=0,COUNTIF('История отказов'!$AY$5:AY144,'История отказов'!AY144)=1),140,""))</f>
        <v/>
      </c>
      <c r="DL141">
        <f>IF(DB141="","",IF(AND(COUNTIF($DA$2:$DA$47,DB141)=0,COUNTIF($DB$2:DB141,DB141)=1),140,""))</f>
        <v/>
      </c>
    </row>
    <row r="142">
      <c r="A142" s="74" t="n"/>
      <c r="B142" s="75" t="n"/>
      <c r="C142" s="75" t="n"/>
      <c r="D142" s="75" t="n"/>
      <c r="E142" s="75" t="inlineStr">
        <is>
          <t>6.3 — Заводской брак дополнительного оборудования [УШГН]</t>
        </is>
      </c>
      <c r="F142" s="76" t="n"/>
      <c r="H142" t="inlineStr">
        <is>
          <t>ТР9-2 — Промывка ствола скважины углеводородными растворителями.</t>
        </is>
      </c>
      <c r="J142" s="62" t="inlineStr">
        <is>
          <t>6.3 — Заводской брак дополнительного оборудования [УШГН]</t>
        </is>
      </c>
      <c r="K142" s="62" t="n"/>
      <c r="L142" s="62" t="n"/>
      <c r="M142" s="62" t="n"/>
      <c r="N142" s="62" t="n"/>
      <c r="Q142" t="inlineStr">
        <is>
          <t>Предварительная / итоговая причина</t>
        </is>
      </c>
      <c r="R142" t="inlineStr">
        <is>
          <t>3.10 — Коррозия кабеля (кабеля-удлинителя) [УЭЦН]</t>
        </is>
      </c>
      <c r="S142" t="inlineStr">
        <is>
          <t>Код и название; метка группы добавлена</t>
        </is>
      </c>
      <c r="T142" t="inlineStr">
        <is>
          <t>Классификатор по способам 2024 V10, лист УЭЦН</t>
        </is>
      </c>
      <c r="U142" t="inlineStr">
        <is>
          <t>Лист УЭЦН; код 3.10</t>
        </is>
      </c>
      <c r="V142" t="inlineStr">
        <is>
          <t>ЭЦН/ЭВН</t>
        </is>
      </c>
      <c r="BA142" t="inlineStr">
        <is>
          <t>ТР9-2 — Промывка ствола скважины углеводородными растворителями.</t>
        </is>
      </c>
      <c r="CJ142" t="inlineStr">
        <is>
          <t>6.3 — Заводской брак дополнительного оборудования [УШГН]</t>
        </is>
      </c>
      <c r="CL142">
        <f>IFERROR(INDEX('История отказов'!$AK$5:$AK$1204,SMALL($DI$2:$DI$1201,ROWS($CL$4:CL142))),"")</f>
        <v/>
      </c>
      <c r="CP142">
        <f>IFERROR(INDEX('История отказов'!$AU$5:$AU$1204,SMALL($DJ$2:$DJ$1201,ROWS($CP$4:CP142))),"")</f>
        <v/>
      </c>
      <c r="CR142">
        <f>IFERROR(INDEX('История отказов'!$AY$5:$AY$1204,SMALL($DK$2:$DK$1201,ROWS($CR$3:CR142))),"")</f>
        <v/>
      </c>
      <c r="CT142">
        <f>IFERROR(INDEX('История отказов'!$AE$5:$AE$1204,SMALL($DC$2:$DC$1201,ROWS($CT$3:CT142))),"")</f>
        <v/>
      </c>
      <c r="CU142">
        <f>IFERROR(INDEX('История отказов'!$AE$5:$AE$1204,SMALL($DD$2:$DD$1201,ROWS($CU$4:CU142))),"")</f>
        <v/>
      </c>
      <c r="CV142">
        <f>IFERROR(INDEX('История отказов'!$AE$5:$AE$1204,SMALL($DE$2:$DE$1201,ROWS($CV$4:CV142))),"")</f>
        <v/>
      </c>
      <c r="CW142">
        <f>IFERROR(INDEX('История отказов'!$AE$5:$AE$1204,SMALL($DG$2:$DG$1201,ROWS($CW$3:CW142))),"")</f>
        <v/>
      </c>
      <c r="CX142">
        <f>IFERROR(INDEX('История отказов'!$AE$5:$AE$1204,SMALL($DF$2:$DF$1201,ROWS($CX$3:CX142))),"")</f>
        <v/>
      </c>
      <c r="CY142">
        <f>IFERROR(INDEX('История отказов'!$AE$5:$AE$1204,SMALL($DH$2:$DH$1201,ROWS($CY$7:CY142))),"")</f>
        <v/>
      </c>
      <c r="DA142">
        <f>IFERROR(INDEX($DB$2:$DB$4801,SMALL($DL$2:$DL$4801,ROWS($DA$48:DA142))),"")</f>
        <v/>
      </c>
      <c r="DB142">
        <f>IF('История отказов'!AH145="","",'История отказов'!AH145)</f>
        <v/>
      </c>
      <c r="DC142">
        <f>IF('История отказов'!AE145="","",IF(AND(COUNTIF($CT$2:$CT$2,'История отказов'!AE145)=0,COUNTIFS('История отказов'!$F$5:F145,"ШГН",'История отказов'!$AE$5:AE145,'История отказов'!AE145)=1,'История отказов'!F145="ШГН"),141,""))</f>
        <v/>
      </c>
      <c r="DD142">
        <f>IF('История отказов'!AE145="","",IF(AND(COUNTIF($CU$2:$CU$3,'История отказов'!AE145)=0,COUNTIFS('История отказов'!$F$5:F145,"ЭЦН",'История отказов'!$AE$5:AE145,'История отказов'!AE145)=1,'История отказов'!F145="ЭЦН"),141,""))</f>
        <v/>
      </c>
      <c r="DE142">
        <f>IF('История отказов'!AE145="","",IF(AND(COUNTIF($CV$2:$CV$3,'История отказов'!AE145)=0,COUNTIFS('История отказов'!$F$5:F145,"ЭВН",'История отказов'!$AE$5:AE145,'История отказов'!AE145)=1,'История отказов'!F145="ЭВН"),141,""))</f>
        <v/>
      </c>
      <c r="DF142">
        <f>IF('История отказов'!AE145="","",IF(AND(COUNTIF($CX$2:$CX$2,'История отказов'!AE145)=0,COUNTIFS('История отказов'!$F$5:F145,"ШВН",'История отказов'!$AE$5:AE145,'История отказов'!AE145)=1,'История отказов'!F145="ШВН"),141,""))</f>
        <v/>
      </c>
      <c r="DG142">
        <f>IF('История отказов'!AE145="","",IF(AND(COUNTIF($CW$2:$CW$2,'История отказов'!AE145)=0,COUNTIFS('История отказов'!$F$5:F145,"НПУ-ВД",'История отказов'!$AE$5:AE145,'История отказов'!AE145)=1,'История отказов'!F145="НПУ-ВД"),141,""))</f>
        <v/>
      </c>
      <c r="DH142">
        <f>IF('История отказов'!AE145="","",IF(AND(COUNTIF($CY$2:$CY$6,'История отказов'!AE145)=0,COUNTIF('История отказов'!$AE$5:AE145,'История отказов'!AE145)=1),141,""))</f>
        <v/>
      </c>
      <c r="DI142">
        <f>IF('История отказов'!AK145="","",IF(AND(COUNTIF($CL$2:$CL$3,'История отказов'!AK145)=0,COUNTIF('История отказов'!$AK$5:AK145,'История отказов'!AK145)=1),141,""))</f>
        <v/>
      </c>
      <c r="DJ142">
        <f>IF('История отказов'!AU145="","",IF(AND(COUNTIF($CP$2:$CP$3,'История отказов'!AU145)=0,COUNTIF('История отказов'!$AU$5:AU145,'История отказов'!AU145)=1),141,""))</f>
        <v/>
      </c>
      <c r="DK142">
        <f>IF('История отказов'!AY145="","",IF(AND(COUNTIF($CR$2:$CR$2,'История отказов'!AY145)=0,COUNTIF('История отказов'!$AY$5:AY145,'История отказов'!AY145)=1),141,""))</f>
        <v/>
      </c>
      <c r="DL142">
        <f>IF(DB142="","",IF(AND(COUNTIF($DA$2:$DA$47,DB142)=0,COUNTIF($DB$2:DB142,DB142)=1),141,""))</f>
        <v/>
      </c>
    </row>
    <row r="143">
      <c r="A143" s="74" t="n"/>
      <c r="B143" s="75" t="n"/>
      <c r="C143" s="75" t="n"/>
      <c r="D143" s="75" t="n"/>
      <c r="E143" s="75" t="inlineStr">
        <is>
          <t>7.1 — Эксперимент [УШГН]</t>
        </is>
      </c>
      <c r="F143" s="76" t="n"/>
      <c r="H143" t="inlineStr">
        <is>
          <t>ТР9-3 — Промывка забоя скважины горячей нефтью (водой) с добавлением ПАВ.</t>
        </is>
      </c>
      <c r="J143" s="62" t="inlineStr">
        <is>
          <t>7.1 — Эксперимент [УШГН]</t>
        </is>
      </c>
      <c r="K143" s="62" t="n"/>
      <c r="L143" s="62" t="n"/>
      <c r="M143" s="62" t="n"/>
      <c r="N143" s="62" t="n"/>
      <c r="Q143" t="inlineStr">
        <is>
          <t>Предварительная / итоговая причина</t>
        </is>
      </c>
      <c r="R143" t="inlineStr">
        <is>
          <t>3.11 — Засорение ГНО механическими примесями [УЭЦН]</t>
        </is>
      </c>
      <c r="S143" t="inlineStr">
        <is>
          <t>Код и название; метка группы добавлена</t>
        </is>
      </c>
      <c r="T143" t="inlineStr">
        <is>
          <t>Классификатор по способам 2024 V10, лист УЭЦН</t>
        </is>
      </c>
      <c r="U143" t="inlineStr">
        <is>
          <t>Лист УЭЦН; код 3.11</t>
        </is>
      </c>
      <c r="V143" t="inlineStr">
        <is>
          <t>ЭЦН/ЭВН</t>
        </is>
      </c>
      <c r="BA143" t="inlineStr">
        <is>
          <t>ТР9-3 — Промывка забоя скважины горячей нефтью (водой) с добавлением ПАВ.</t>
        </is>
      </c>
      <c r="CJ143" t="inlineStr">
        <is>
          <t>7.1 — Эксперимент [УШГН]</t>
        </is>
      </c>
      <c r="CL143">
        <f>IFERROR(INDEX('История отказов'!$AK$5:$AK$1204,SMALL($DI$2:$DI$1201,ROWS($CL$4:CL143))),"")</f>
        <v/>
      </c>
      <c r="CP143">
        <f>IFERROR(INDEX('История отказов'!$AU$5:$AU$1204,SMALL($DJ$2:$DJ$1201,ROWS($CP$4:CP143))),"")</f>
        <v/>
      </c>
      <c r="CR143">
        <f>IFERROR(INDEX('История отказов'!$AY$5:$AY$1204,SMALL($DK$2:$DK$1201,ROWS($CR$3:CR143))),"")</f>
        <v/>
      </c>
      <c r="CT143">
        <f>IFERROR(INDEX('История отказов'!$AE$5:$AE$1204,SMALL($DC$2:$DC$1201,ROWS($CT$3:CT143))),"")</f>
        <v/>
      </c>
      <c r="CU143">
        <f>IFERROR(INDEX('История отказов'!$AE$5:$AE$1204,SMALL($DD$2:$DD$1201,ROWS($CU$4:CU143))),"")</f>
        <v/>
      </c>
      <c r="CV143">
        <f>IFERROR(INDEX('История отказов'!$AE$5:$AE$1204,SMALL($DE$2:$DE$1201,ROWS($CV$4:CV143))),"")</f>
        <v/>
      </c>
      <c r="CW143">
        <f>IFERROR(INDEX('История отказов'!$AE$5:$AE$1204,SMALL($DG$2:$DG$1201,ROWS($CW$3:CW143))),"")</f>
        <v/>
      </c>
      <c r="CX143">
        <f>IFERROR(INDEX('История отказов'!$AE$5:$AE$1204,SMALL($DF$2:$DF$1201,ROWS($CX$3:CX143))),"")</f>
        <v/>
      </c>
      <c r="CY143">
        <f>IFERROR(INDEX('История отказов'!$AE$5:$AE$1204,SMALL($DH$2:$DH$1201,ROWS($CY$7:CY143))),"")</f>
        <v/>
      </c>
      <c r="DA143">
        <f>IFERROR(INDEX($DB$2:$DB$4801,SMALL($DL$2:$DL$4801,ROWS($DA$48:DA143))),"")</f>
        <v/>
      </c>
      <c r="DB143">
        <f>IF('История отказов'!AH146="","",'История отказов'!AH146)</f>
        <v/>
      </c>
      <c r="DC143">
        <f>IF('История отказов'!AE146="","",IF(AND(COUNTIF($CT$2:$CT$2,'История отказов'!AE146)=0,COUNTIFS('История отказов'!$F$5:F146,"ШГН",'История отказов'!$AE$5:AE146,'История отказов'!AE146)=1,'История отказов'!F146="ШГН"),142,""))</f>
        <v/>
      </c>
      <c r="DD143">
        <f>IF('История отказов'!AE146="","",IF(AND(COUNTIF($CU$2:$CU$3,'История отказов'!AE146)=0,COUNTIFS('История отказов'!$F$5:F146,"ЭЦН",'История отказов'!$AE$5:AE146,'История отказов'!AE146)=1,'История отказов'!F146="ЭЦН"),142,""))</f>
        <v/>
      </c>
      <c r="DE143">
        <f>IF('История отказов'!AE146="","",IF(AND(COUNTIF($CV$2:$CV$3,'История отказов'!AE146)=0,COUNTIFS('История отказов'!$F$5:F146,"ЭВН",'История отказов'!$AE$5:AE146,'История отказов'!AE146)=1,'История отказов'!F146="ЭВН"),142,""))</f>
        <v/>
      </c>
      <c r="DF143">
        <f>IF('История отказов'!AE146="","",IF(AND(COUNTIF($CX$2:$CX$2,'История отказов'!AE146)=0,COUNTIFS('История отказов'!$F$5:F146,"ШВН",'История отказов'!$AE$5:AE146,'История отказов'!AE146)=1,'История отказов'!F146="ШВН"),142,""))</f>
        <v/>
      </c>
      <c r="DG143">
        <f>IF('История отказов'!AE146="","",IF(AND(COUNTIF($CW$2:$CW$2,'История отказов'!AE146)=0,COUNTIFS('История отказов'!$F$5:F146,"НПУ-ВД",'История отказов'!$AE$5:AE146,'История отказов'!AE146)=1,'История отказов'!F146="НПУ-ВД"),142,""))</f>
        <v/>
      </c>
      <c r="DH143">
        <f>IF('История отказов'!AE146="","",IF(AND(COUNTIF($CY$2:$CY$6,'История отказов'!AE146)=0,COUNTIF('История отказов'!$AE$5:AE146,'История отказов'!AE146)=1),142,""))</f>
        <v/>
      </c>
      <c r="DI143">
        <f>IF('История отказов'!AK146="","",IF(AND(COUNTIF($CL$2:$CL$3,'История отказов'!AK146)=0,COUNTIF('История отказов'!$AK$5:AK146,'История отказов'!AK146)=1),142,""))</f>
        <v/>
      </c>
      <c r="DJ143">
        <f>IF('История отказов'!AU146="","",IF(AND(COUNTIF($CP$2:$CP$3,'История отказов'!AU146)=0,COUNTIF('История отказов'!$AU$5:AU146,'История отказов'!AU146)=1),142,""))</f>
        <v/>
      </c>
      <c r="DK143">
        <f>IF('История отказов'!AY146="","",IF(AND(COUNTIF($CR$2:$CR$2,'История отказов'!AY146)=0,COUNTIF('История отказов'!$AY$5:AY146,'История отказов'!AY146)=1),142,""))</f>
        <v/>
      </c>
      <c r="DL143">
        <f>IF(DB143="","",IF(AND(COUNTIF($DA$2:$DA$47,DB143)=0,COUNTIF($DB$2:DB143,DB143)=1),142,""))</f>
        <v/>
      </c>
    </row>
    <row r="144">
      <c r="A144" s="74" t="n"/>
      <c r="B144" s="75" t="n"/>
      <c r="C144" s="75" t="n"/>
      <c r="D144" s="75" t="n"/>
      <c r="E144" s="75" t="inlineStr">
        <is>
          <t>7.2 — Отказ, связанный с пакерным (или другим) оборудованием [УШГН]</t>
        </is>
      </c>
      <c r="F144" s="76" t="n"/>
      <c r="H144" t="inlineStr">
        <is>
          <t>ТР9-4 — Промывка забоя скважины углеводородными растворителями.</t>
        </is>
      </c>
      <c r="J144" s="62" t="inlineStr">
        <is>
          <t>7.2 — Отказ, связанный с пакерным (или другим) оборудованием [УШГН]</t>
        </is>
      </c>
      <c r="K144" s="62" t="n"/>
      <c r="L144" s="62" t="n"/>
      <c r="M144" s="62" t="n"/>
      <c r="N144" s="62" t="n"/>
      <c r="Q144" t="inlineStr">
        <is>
          <t>Предварительная / итоговая причина</t>
        </is>
      </c>
      <c r="R144" t="inlineStr">
        <is>
          <t>3.11.1 — в т.ч. засорение пропантом (содержание &gt;30%) [УЭЦН]</t>
        </is>
      </c>
      <c r="S144" t="inlineStr">
        <is>
          <t>Код и название; метка группы добавлена</t>
        </is>
      </c>
      <c r="T144" t="inlineStr">
        <is>
          <t>Классификатор по способам 2024 V10, лист УЭЦН</t>
        </is>
      </c>
      <c r="U144" t="inlineStr">
        <is>
          <t>Лист УЭЦН; код 3.11.1</t>
        </is>
      </c>
      <c r="V144" t="inlineStr">
        <is>
          <t>ЭЦН/ЭВН</t>
        </is>
      </c>
      <c r="BA144" t="inlineStr">
        <is>
          <t>ТР9-4 — Промывка забоя скважины углеводородными растворителями.</t>
        </is>
      </c>
      <c r="CJ144" t="inlineStr">
        <is>
          <t>7.2 — Отказ, связанный с пакерным (или другим) оборудованием [УШГН]</t>
        </is>
      </c>
      <c r="CL144">
        <f>IFERROR(INDEX('История отказов'!$AK$5:$AK$1204,SMALL($DI$2:$DI$1201,ROWS($CL$4:CL144))),"")</f>
        <v/>
      </c>
      <c r="CP144">
        <f>IFERROR(INDEX('История отказов'!$AU$5:$AU$1204,SMALL($DJ$2:$DJ$1201,ROWS($CP$4:CP144))),"")</f>
        <v/>
      </c>
      <c r="CR144">
        <f>IFERROR(INDEX('История отказов'!$AY$5:$AY$1204,SMALL($DK$2:$DK$1201,ROWS($CR$3:CR144))),"")</f>
        <v/>
      </c>
      <c r="CT144">
        <f>IFERROR(INDEX('История отказов'!$AE$5:$AE$1204,SMALL($DC$2:$DC$1201,ROWS($CT$3:CT144))),"")</f>
        <v/>
      </c>
      <c r="CU144">
        <f>IFERROR(INDEX('История отказов'!$AE$5:$AE$1204,SMALL($DD$2:$DD$1201,ROWS($CU$4:CU144))),"")</f>
        <v/>
      </c>
      <c r="CV144">
        <f>IFERROR(INDEX('История отказов'!$AE$5:$AE$1204,SMALL($DE$2:$DE$1201,ROWS($CV$4:CV144))),"")</f>
        <v/>
      </c>
      <c r="CW144">
        <f>IFERROR(INDEX('История отказов'!$AE$5:$AE$1204,SMALL($DG$2:$DG$1201,ROWS($CW$3:CW144))),"")</f>
        <v/>
      </c>
      <c r="CX144">
        <f>IFERROR(INDEX('История отказов'!$AE$5:$AE$1204,SMALL($DF$2:$DF$1201,ROWS($CX$3:CX144))),"")</f>
        <v/>
      </c>
      <c r="CY144">
        <f>IFERROR(INDEX('История отказов'!$AE$5:$AE$1204,SMALL($DH$2:$DH$1201,ROWS($CY$7:CY144))),"")</f>
        <v/>
      </c>
      <c r="DA144">
        <f>IFERROR(INDEX($DB$2:$DB$4801,SMALL($DL$2:$DL$4801,ROWS($DA$48:DA144))),"")</f>
        <v/>
      </c>
      <c r="DB144">
        <f>IF('История отказов'!AH147="","",'История отказов'!AH147)</f>
        <v/>
      </c>
      <c r="DC144">
        <f>IF('История отказов'!AE147="","",IF(AND(COUNTIF($CT$2:$CT$2,'История отказов'!AE147)=0,COUNTIFS('История отказов'!$F$5:F147,"ШГН",'История отказов'!$AE$5:AE147,'История отказов'!AE147)=1,'История отказов'!F147="ШГН"),143,""))</f>
        <v/>
      </c>
      <c r="DD144">
        <f>IF('История отказов'!AE147="","",IF(AND(COUNTIF($CU$2:$CU$3,'История отказов'!AE147)=0,COUNTIFS('История отказов'!$F$5:F147,"ЭЦН",'История отказов'!$AE$5:AE147,'История отказов'!AE147)=1,'История отказов'!F147="ЭЦН"),143,""))</f>
        <v/>
      </c>
      <c r="DE144">
        <f>IF('История отказов'!AE147="","",IF(AND(COUNTIF($CV$2:$CV$3,'История отказов'!AE147)=0,COUNTIFS('История отказов'!$F$5:F147,"ЭВН",'История отказов'!$AE$5:AE147,'История отказов'!AE147)=1,'История отказов'!F147="ЭВН"),143,""))</f>
        <v/>
      </c>
      <c r="DF144">
        <f>IF('История отказов'!AE147="","",IF(AND(COUNTIF($CX$2:$CX$2,'История отказов'!AE147)=0,COUNTIFS('История отказов'!$F$5:F147,"ШВН",'История отказов'!$AE$5:AE147,'История отказов'!AE147)=1,'История отказов'!F147="ШВН"),143,""))</f>
        <v/>
      </c>
      <c r="DG144">
        <f>IF('История отказов'!AE147="","",IF(AND(COUNTIF($CW$2:$CW$2,'История отказов'!AE147)=0,COUNTIFS('История отказов'!$F$5:F147,"НПУ-ВД",'История отказов'!$AE$5:AE147,'История отказов'!AE147)=1,'История отказов'!F147="НПУ-ВД"),143,""))</f>
        <v/>
      </c>
      <c r="DH144">
        <f>IF('История отказов'!AE147="","",IF(AND(COUNTIF($CY$2:$CY$6,'История отказов'!AE147)=0,COUNTIF('История отказов'!$AE$5:AE147,'История отказов'!AE147)=1),143,""))</f>
        <v/>
      </c>
      <c r="DI144">
        <f>IF('История отказов'!AK147="","",IF(AND(COUNTIF($CL$2:$CL$3,'История отказов'!AK147)=0,COUNTIF('История отказов'!$AK$5:AK147,'История отказов'!AK147)=1),143,""))</f>
        <v/>
      </c>
      <c r="DJ144">
        <f>IF('История отказов'!AU147="","",IF(AND(COUNTIF($CP$2:$CP$3,'История отказов'!AU147)=0,COUNTIF('История отказов'!$AU$5:AU147,'История отказов'!AU147)=1),143,""))</f>
        <v/>
      </c>
      <c r="DK144">
        <f>IF('История отказов'!AY147="","",IF(AND(COUNTIF($CR$2:$CR$2,'История отказов'!AY147)=0,COUNTIF('История отказов'!$AY$5:AY147,'История отказов'!AY147)=1),143,""))</f>
        <v/>
      </c>
      <c r="DL144">
        <f>IF(DB144="","",IF(AND(COUNTIF($DA$2:$DA$47,DB144)=0,COUNTIF($DB$2:DB144,DB144)=1),143,""))</f>
        <v/>
      </c>
    </row>
    <row r="145">
      <c r="A145" s="74" t="n"/>
      <c r="B145" s="75" t="n"/>
      <c r="C145" s="75" t="n"/>
      <c r="D145" s="75" t="n"/>
      <c r="E145" s="75" t="inlineStr">
        <is>
          <t>7.3 — Прочие [УШГН]</t>
        </is>
      </c>
      <c r="F145" s="76" t="n"/>
      <c r="H145" t="inlineStr">
        <is>
          <t>ТР9-5 — Обработка ПЗП химреагентами ( СКО, ГКО, БФА и т.д.).</t>
        </is>
      </c>
      <c r="J145" s="62" t="inlineStr">
        <is>
          <t>7.3 — Прочие [УШГН]</t>
        </is>
      </c>
      <c r="K145" s="62" t="n"/>
      <c r="L145" s="62" t="n"/>
      <c r="M145" s="62" t="n"/>
      <c r="N145" s="62" t="n"/>
      <c r="Q145" t="inlineStr">
        <is>
          <t>Предварительная / итоговая причина</t>
        </is>
      </c>
      <c r="R145" t="inlineStr">
        <is>
          <t>3.11.2 — в т.ч. засорение песком, глиной (содержание &gt;30%) [УЭЦН]</t>
        </is>
      </c>
      <c r="S145" t="inlineStr">
        <is>
          <t>Код и название; метка группы добавлена</t>
        </is>
      </c>
      <c r="T145" t="inlineStr">
        <is>
          <t>Классификатор по способам 2024 V10, лист УЭЦН</t>
        </is>
      </c>
      <c r="U145" t="inlineStr">
        <is>
          <t>Лист УЭЦН; код 3.11.2</t>
        </is>
      </c>
      <c r="V145" t="inlineStr">
        <is>
          <t>ЭЦН/ЭВН</t>
        </is>
      </c>
      <c r="BA145" t="inlineStr">
        <is>
          <t>ТР9-5 — Обработка ПЗП химреагентами ( СКО, ГКО, БФА и т.д.).</t>
        </is>
      </c>
      <c r="CJ145" t="inlineStr">
        <is>
          <t>7.3 — Прочие [УШГН]</t>
        </is>
      </c>
      <c r="CL145">
        <f>IFERROR(INDEX('История отказов'!$AK$5:$AK$1204,SMALL($DI$2:$DI$1201,ROWS($CL$4:CL145))),"")</f>
        <v/>
      </c>
      <c r="CP145">
        <f>IFERROR(INDEX('История отказов'!$AU$5:$AU$1204,SMALL($DJ$2:$DJ$1201,ROWS($CP$4:CP145))),"")</f>
        <v/>
      </c>
      <c r="CR145">
        <f>IFERROR(INDEX('История отказов'!$AY$5:$AY$1204,SMALL($DK$2:$DK$1201,ROWS($CR$3:CR145))),"")</f>
        <v/>
      </c>
      <c r="CT145">
        <f>IFERROR(INDEX('История отказов'!$AE$5:$AE$1204,SMALL($DC$2:$DC$1201,ROWS($CT$3:CT145))),"")</f>
        <v/>
      </c>
      <c r="CU145">
        <f>IFERROR(INDEX('История отказов'!$AE$5:$AE$1204,SMALL($DD$2:$DD$1201,ROWS($CU$4:CU145))),"")</f>
        <v/>
      </c>
      <c r="CV145">
        <f>IFERROR(INDEX('История отказов'!$AE$5:$AE$1204,SMALL($DE$2:$DE$1201,ROWS($CV$4:CV145))),"")</f>
        <v/>
      </c>
      <c r="CW145">
        <f>IFERROR(INDEX('История отказов'!$AE$5:$AE$1204,SMALL($DG$2:$DG$1201,ROWS($CW$3:CW145))),"")</f>
        <v/>
      </c>
      <c r="CX145">
        <f>IFERROR(INDEX('История отказов'!$AE$5:$AE$1204,SMALL($DF$2:$DF$1201,ROWS($CX$3:CX145))),"")</f>
        <v/>
      </c>
      <c r="CY145">
        <f>IFERROR(INDEX('История отказов'!$AE$5:$AE$1204,SMALL($DH$2:$DH$1201,ROWS($CY$7:CY145))),"")</f>
        <v/>
      </c>
      <c r="DA145">
        <f>IFERROR(INDEX($DB$2:$DB$4801,SMALL($DL$2:$DL$4801,ROWS($DA$48:DA145))),"")</f>
        <v/>
      </c>
      <c r="DB145">
        <f>IF('История отказов'!AH148="","",'История отказов'!AH148)</f>
        <v/>
      </c>
      <c r="DC145">
        <f>IF('История отказов'!AE148="","",IF(AND(COUNTIF($CT$2:$CT$2,'История отказов'!AE148)=0,COUNTIFS('История отказов'!$F$5:F148,"ШГН",'История отказов'!$AE$5:AE148,'История отказов'!AE148)=1,'История отказов'!F148="ШГН"),144,""))</f>
        <v/>
      </c>
      <c r="DD145">
        <f>IF('История отказов'!AE148="","",IF(AND(COUNTIF($CU$2:$CU$3,'История отказов'!AE148)=0,COUNTIFS('История отказов'!$F$5:F148,"ЭЦН",'История отказов'!$AE$5:AE148,'История отказов'!AE148)=1,'История отказов'!F148="ЭЦН"),144,""))</f>
        <v/>
      </c>
      <c r="DE145">
        <f>IF('История отказов'!AE148="","",IF(AND(COUNTIF($CV$2:$CV$3,'История отказов'!AE148)=0,COUNTIFS('История отказов'!$F$5:F148,"ЭВН",'История отказов'!$AE$5:AE148,'История отказов'!AE148)=1,'История отказов'!F148="ЭВН"),144,""))</f>
        <v/>
      </c>
      <c r="DF145">
        <f>IF('История отказов'!AE148="","",IF(AND(COUNTIF($CX$2:$CX$2,'История отказов'!AE148)=0,COUNTIFS('История отказов'!$F$5:F148,"ШВН",'История отказов'!$AE$5:AE148,'История отказов'!AE148)=1,'История отказов'!F148="ШВН"),144,""))</f>
        <v/>
      </c>
      <c r="DG145">
        <f>IF('История отказов'!AE148="","",IF(AND(COUNTIF($CW$2:$CW$2,'История отказов'!AE148)=0,COUNTIFS('История отказов'!$F$5:F148,"НПУ-ВД",'История отказов'!$AE$5:AE148,'История отказов'!AE148)=1,'История отказов'!F148="НПУ-ВД"),144,""))</f>
        <v/>
      </c>
      <c r="DH145">
        <f>IF('История отказов'!AE148="","",IF(AND(COUNTIF($CY$2:$CY$6,'История отказов'!AE148)=0,COUNTIF('История отказов'!$AE$5:AE148,'История отказов'!AE148)=1),144,""))</f>
        <v/>
      </c>
      <c r="DI145">
        <f>IF('История отказов'!AK148="","",IF(AND(COUNTIF($CL$2:$CL$3,'История отказов'!AK148)=0,COUNTIF('История отказов'!$AK$5:AK148,'История отказов'!AK148)=1),144,""))</f>
        <v/>
      </c>
      <c r="DJ145">
        <f>IF('История отказов'!AU148="","",IF(AND(COUNTIF($CP$2:$CP$3,'История отказов'!AU148)=0,COUNTIF('История отказов'!$AU$5:AU148,'История отказов'!AU148)=1),144,""))</f>
        <v/>
      </c>
      <c r="DK145">
        <f>IF('История отказов'!AY148="","",IF(AND(COUNTIF($CR$2:$CR$2,'История отказов'!AY148)=0,COUNTIF('История отказов'!$AY$5:AY148,'История отказов'!AY148)=1),144,""))</f>
        <v/>
      </c>
      <c r="DL145">
        <f>IF(DB145="","",IF(AND(COUNTIF($DA$2:$DA$47,DB145)=0,COUNTIF($DB$2:DB145,DB145)=1),144,""))</f>
        <v/>
      </c>
    </row>
    <row r="146">
      <c r="A146" s="74" t="n"/>
      <c r="B146" s="75" t="n"/>
      <c r="C146" s="75" t="n"/>
      <c r="D146" s="75" t="n"/>
      <c r="E146" s="75" t="n"/>
      <c r="F146" s="76" t="n"/>
      <c r="H146" t="inlineStr">
        <is>
          <t>ТР9-6 — Прочие виды очистки забоя и ствола скважины.</t>
        </is>
      </c>
      <c r="J146" s="62" t="n"/>
      <c r="K146" s="62" t="n"/>
      <c r="L146" s="62" t="n"/>
      <c r="M146" s="62" t="n"/>
      <c r="N146" s="62" t="n"/>
      <c r="Q146" t="inlineStr">
        <is>
          <t>Предварительная / итоговая причина</t>
        </is>
      </c>
      <c r="R146" t="inlineStr">
        <is>
          <t>3.11.3 — в т.ч. засорение посторонними предметами (лента, волокнистая масса, чёрный порошок и т.д.) [УЭЦН]</t>
        </is>
      </c>
      <c r="S146" t="inlineStr">
        <is>
          <t>Код и название; метка группы добавлена</t>
        </is>
      </c>
      <c r="T146" t="inlineStr">
        <is>
          <t>Классификатор по способам 2024 V10, лист УЭЦН</t>
        </is>
      </c>
      <c r="U146" t="inlineStr">
        <is>
          <t>Лист УЭЦН; код 3.11.3</t>
        </is>
      </c>
      <c r="V146" t="inlineStr">
        <is>
          <t>ЭЦН/ЭВН</t>
        </is>
      </c>
      <c r="BA146" t="inlineStr">
        <is>
          <t>ТР9-6 — Прочие виды очистки забоя и ствола скважины.</t>
        </is>
      </c>
      <c r="CJ146" t="inlineStr">
        <is>
          <t>Причина НПУ-ВД — уточнить по результатам расследования</t>
        </is>
      </c>
      <c r="CL146">
        <f>IFERROR(INDEX('История отказов'!$AK$5:$AK$1204,SMALL($DI$2:$DI$1201,ROWS($CL$4:CL146))),"")</f>
        <v/>
      </c>
      <c r="CP146">
        <f>IFERROR(INDEX('История отказов'!$AU$5:$AU$1204,SMALL($DJ$2:$DJ$1201,ROWS($CP$4:CP146))),"")</f>
        <v/>
      </c>
      <c r="CR146">
        <f>IFERROR(INDEX('История отказов'!$AY$5:$AY$1204,SMALL($DK$2:$DK$1201,ROWS($CR$3:CR146))),"")</f>
        <v/>
      </c>
      <c r="CT146">
        <f>IFERROR(INDEX('История отказов'!$AE$5:$AE$1204,SMALL($DC$2:$DC$1201,ROWS($CT$3:CT146))),"")</f>
        <v/>
      </c>
      <c r="CU146">
        <f>IFERROR(INDEX('История отказов'!$AE$5:$AE$1204,SMALL($DD$2:$DD$1201,ROWS($CU$4:CU146))),"")</f>
        <v/>
      </c>
      <c r="CV146">
        <f>IFERROR(INDEX('История отказов'!$AE$5:$AE$1204,SMALL($DE$2:$DE$1201,ROWS($CV$4:CV146))),"")</f>
        <v/>
      </c>
      <c r="CW146">
        <f>IFERROR(INDEX('История отказов'!$AE$5:$AE$1204,SMALL($DG$2:$DG$1201,ROWS($CW$3:CW146))),"")</f>
        <v/>
      </c>
      <c r="CX146">
        <f>IFERROR(INDEX('История отказов'!$AE$5:$AE$1204,SMALL($DF$2:$DF$1201,ROWS($CX$3:CX146))),"")</f>
        <v/>
      </c>
      <c r="CY146">
        <f>IFERROR(INDEX('История отказов'!$AE$5:$AE$1204,SMALL($DH$2:$DH$1201,ROWS($CY$7:CY146))),"")</f>
        <v/>
      </c>
      <c r="DA146">
        <f>IFERROR(INDEX($DB$2:$DB$4801,SMALL($DL$2:$DL$4801,ROWS($DA$48:DA146))),"")</f>
        <v/>
      </c>
      <c r="DB146">
        <f>IF('История отказов'!AH149="","",'История отказов'!AH149)</f>
        <v/>
      </c>
      <c r="DC146">
        <f>IF('История отказов'!AE149="","",IF(AND(COUNTIF($CT$2:$CT$2,'История отказов'!AE149)=0,COUNTIFS('История отказов'!$F$5:F149,"ШГН",'История отказов'!$AE$5:AE149,'История отказов'!AE149)=1,'История отказов'!F149="ШГН"),145,""))</f>
        <v/>
      </c>
      <c r="DD146">
        <f>IF('История отказов'!AE149="","",IF(AND(COUNTIF($CU$2:$CU$3,'История отказов'!AE149)=0,COUNTIFS('История отказов'!$F$5:F149,"ЭЦН",'История отказов'!$AE$5:AE149,'История отказов'!AE149)=1,'История отказов'!F149="ЭЦН"),145,""))</f>
        <v/>
      </c>
      <c r="DE146">
        <f>IF('История отказов'!AE149="","",IF(AND(COUNTIF($CV$2:$CV$3,'История отказов'!AE149)=0,COUNTIFS('История отказов'!$F$5:F149,"ЭВН",'История отказов'!$AE$5:AE149,'История отказов'!AE149)=1,'История отказов'!F149="ЭВН"),145,""))</f>
        <v/>
      </c>
      <c r="DF146">
        <f>IF('История отказов'!AE149="","",IF(AND(COUNTIF($CX$2:$CX$2,'История отказов'!AE149)=0,COUNTIFS('История отказов'!$F$5:F149,"ШВН",'История отказов'!$AE$5:AE149,'История отказов'!AE149)=1,'История отказов'!F149="ШВН"),145,""))</f>
        <v/>
      </c>
      <c r="DG146">
        <f>IF('История отказов'!AE149="","",IF(AND(COUNTIF($CW$2:$CW$2,'История отказов'!AE149)=0,COUNTIFS('История отказов'!$F$5:F149,"НПУ-ВД",'История отказов'!$AE$5:AE149,'История отказов'!AE149)=1,'История отказов'!F149="НПУ-ВД"),145,""))</f>
        <v/>
      </c>
      <c r="DH146">
        <f>IF('История отказов'!AE149="","",IF(AND(COUNTIF($CY$2:$CY$6,'История отказов'!AE149)=0,COUNTIF('История отказов'!$AE$5:AE149,'История отказов'!AE149)=1),145,""))</f>
        <v/>
      </c>
      <c r="DI146">
        <f>IF('История отказов'!AK149="","",IF(AND(COUNTIF($CL$2:$CL$3,'История отказов'!AK149)=0,COUNTIF('История отказов'!$AK$5:AK149,'История отказов'!AK149)=1),145,""))</f>
        <v/>
      </c>
      <c r="DJ146">
        <f>IF('История отказов'!AU149="","",IF(AND(COUNTIF($CP$2:$CP$3,'История отказов'!AU149)=0,COUNTIF('История отказов'!$AU$5:AU149,'История отказов'!AU149)=1),145,""))</f>
        <v/>
      </c>
      <c r="DK146">
        <f>IF('История отказов'!AY149="","",IF(AND(COUNTIF($CR$2:$CR$2,'История отказов'!AY149)=0,COUNTIF('История отказов'!$AY$5:AY149,'История отказов'!AY149)=1),145,""))</f>
        <v/>
      </c>
      <c r="DL146">
        <f>IF(DB146="","",IF(AND(COUNTIF($DA$2:$DA$47,DB146)=0,COUNTIF($DB$2:DB146,DB146)=1),145,""))</f>
        <v/>
      </c>
    </row>
    <row r="147">
      <c r="A147" s="74" t="n"/>
      <c r="B147" s="75" t="n"/>
      <c r="C147" s="75" t="n"/>
      <c r="D147" s="75" t="n"/>
      <c r="E147" s="75" t="n"/>
      <c r="F147" s="76" t="n"/>
      <c r="J147" s="62" t="n"/>
      <c r="K147" s="62" t="n"/>
      <c r="L147" s="62" t="n"/>
      <c r="M147" s="62" t="n"/>
      <c r="N147" s="62" t="n"/>
      <c r="Q147" t="inlineStr">
        <is>
          <t>Предварительная / итоговая причина</t>
        </is>
      </c>
      <c r="R147" t="inlineStr">
        <is>
          <t>3.11.4 — в т.ч. засорение продуктами коррозии (оксиды, сульфиды и т.д.) [УЭЦН]</t>
        </is>
      </c>
      <c r="S147" t="inlineStr">
        <is>
          <t>Код и название; метка группы добавлена</t>
        </is>
      </c>
      <c r="T147" t="inlineStr">
        <is>
          <t>Классификатор по способам 2024 V10, лист УЭЦН</t>
        </is>
      </c>
      <c r="U147" t="inlineStr">
        <is>
          <t>Лист УЭЦН; код 3.11.4</t>
        </is>
      </c>
      <c r="V147" t="inlineStr">
        <is>
          <t>ЭЦН/ЭВН</t>
        </is>
      </c>
      <c r="CL147">
        <f>IFERROR(INDEX('История отказов'!$AK$5:$AK$1204,SMALL($DI$2:$DI$1201,ROWS($CL$4:CL147))),"")</f>
        <v/>
      </c>
      <c r="CP147">
        <f>IFERROR(INDEX('История отказов'!$AU$5:$AU$1204,SMALL($DJ$2:$DJ$1201,ROWS($CP$4:CP147))),"")</f>
        <v/>
      </c>
      <c r="CR147">
        <f>IFERROR(INDEX('История отказов'!$AY$5:$AY$1204,SMALL($DK$2:$DK$1201,ROWS($CR$3:CR147))),"")</f>
        <v/>
      </c>
      <c r="CT147">
        <f>IFERROR(INDEX('История отказов'!$AE$5:$AE$1204,SMALL($DC$2:$DC$1201,ROWS($CT$3:CT147))),"")</f>
        <v/>
      </c>
      <c r="CU147">
        <f>IFERROR(INDEX('История отказов'!$AE$5:$AE$1204,SMALL($DD$2:$DD$1201,ROWS($CU$4:CU147))),"")</f>
        <v/>
      </c>
      <c r="CV147">
        <f>IFERROR(INDEX('История отказов'!$AE$5:$AE$1204,SMALL($DE$2:$DE$1201,ROWS($CV$4:CV147))),"")</f>
        <v/>
      </c>
      <c r="CW147">
        <f>IFERROR(INDEX('История отказов'!$AE$5:$AE$1204,SMALL($DG$2:$DG$1201,ROWS($CW$3:CW147))),"")</f>
        <v/>
      </c>
      <c r="CX147">
        <f>IFERROR(INDEX('История отказов'!$AE$5:$AE$1204,SMALL($DF$2:$DF$1201,ROWS($CX$3:CX147))),"")</f>
        <v/>
      </c>
      <c r="CY147">
        <f>IFERROR(INDEX('История отказов'!$AE$5:$AE$1204,SMALL($DH$2:$DH$1201,ROWS($CY$7:CY147))),"")</f>
        <v/>
      </c>
      <c r="DA147">
        <f>IFERROR(INDEX($DB$2:$DB$4801,SMALL($DL$2:$DL$4801,ROWS($DA$48:DA147))),"")</f>
        <v/>
      </c>
      <c r="DB147">
        <f>IF('История отказов'!AH150="","",'История отказов'!AH150)</f>
        <v/>
      </c>
      <c r="DC147">
        <f>IF('История отказов'!AE150="","",IF(AND(COUNTIF($CT$2:$CT$2,'История отказов'!AE150)=0,COUNTIFS('История отказов'!$F$5:F150,"ШГН",'История отказов'!$AE$5:AE150,'История отказов'!AE150)=1,'История отказов'!F150="ШГН"),146,""))</f>
        <v/>
      </c>
      <c r="DD147">
        <f>IF('История отказов'!AE150="","",IF(AND(COUNTIF($CU$2:$CU$3,'История отказов'!AE150)=0,COUNTIFS('История отказов'!$F$5:F150,"ЭЦН",'История отказов'!$AE$5:AE150,'История отказов'!AE150)=1,'История отказов'!F150="ЭЦН"),146,""))</f>
        <v/>
      </c>
      <c r="DE147">
        <f>IF('История отказов'!AE150="","",IF(AND(COUNTIF($CV$2:$CV$3,'История отказов'!AE150)=0,COUNTIFS('История отказов'!$F$5:F150,"ЭВН",'История отказов'!$AE$5:AE150,'История отказов'!AE150)=1,'История отказов'!F150="ЭВН"),146,""))</f>
        <v/>
      </c>
      <c r="DF147">
        <f>IF('История отказов'!AE150="","",IF(AND(COUNTIF($CX$2:$CX$2,'История отказов'!AE150)=0,COUNTIFS('История отказов'!$F$5:F150,"ШВН",'История отказов'!$AE$5:AE150,'История отказов'!AE150)=1,'История отказов'!F150="ШВН"),146,""))</f>
        <v/>
      </c>
      <c r="DG147">
        <f>IF('История отказов'!AE150="","",IF(AND(COUNTIF($CW$2:$CW$2,'История отказов'!AE150)=0,COUNTIFS('История отказов'!$F$5:F150,"НПУ-ВД",'История отказов'!$AE$5:AE150,'История отказов'!AE150)=1,'История отказов'!F150="НПУ-ВД"),146,""))</f>
        <v/>
      </c>
      <c r="DH147">
        <f>IF('История отказов'!AE150="","",IF(AND(COUNTIF($CY$2:$CY$6,'История отказов'!AE150)=0,COUNTIF('История отказов'!$AE$5:AE150,'История отказов'!AE150)=1),146,""))</f>
        <v/>
      </c>
      <c r="DI147">
        <f>IF('История отказов'!AK150="","",IF(AND(COUNTIF($CL$2:$CL$3,'История отказов'!AK150)=0,COUNTIF('История отказов'!$AK$5:AK150,'История отказов'!AK150)=1),146,""))</f>
        <v/>
      </c>
      <c r="DJ147">
        <f>IF('История отказов'!AU150="","",IF(AND(COUNTIF($CP$2:$CP$3,'История отказов'!AU150)=0,COUNTIF('История отказов'!$AU$5:AU150,'История отказов'!AU150)=1),146,""))</f>
        <v/>
      </c>
      <c r="DK147">
        <f>IF('История отказов'!AY150="","",IF(AND(COUNTIF($CR$2:$CR$2,'История отказов'!AY150)=0,COUNTIF('История отказов'!$AY$5:AY150,'История отказов'!AY150)=1),146,""))</f>
        <v/>
      </c>
      <c r="DL147">
        <f>IF(DB147="","",IF(AND(COUNTIF($DA$2:$DA$47,DB147)=0,COUNTIF($DB$2:DB147,DB147)=1),146,""))</f>
        <v/>
      </c>
    </row>
    <row r="148">
      <c r="A148" s="74" t="n"/>
      <c r="B148" s="75" t="n"/>
      <c r="C148" s="75" t="n"/>
      <c r="D148" s="75" t="n"/>
      <c r="E148" s="75" t="n"/>
      <c r="F148" s="76" t="n"/>
      <c r="J148" s="62" t="n"/>
      <c r="K148" s="62" t="n"/>
      <c r="L148" s="62" t="n"/>
      <c r="M148" s="62" t="n"/>
      <c r="N148" s="62" t="n"/>
      <c r="Q148" t="inlineStr">
        <is>
          <t>Предварительная / итоговая причина</t>
        </is>
      </c>
      <c r="R148" t="inlineStr">
        <is>
          <t>3.12 — ГЕОЛОГО-ТЕХНИЧЕСКИЕ МЕРОПРИЯТИЯ (ГТМ) [УЭЦН]</t>
        </is>
      </c>
      <c r="S148" t="inlineStr">
        <is>
          <t>Код и название; метка группы добавлена</t>
        </is>
      </c>
      <c r="T148" t="inlineStr">
        <is>
          <t>Классификатор по способам 2024 V10, лист УЭЦН</t>
        </is>
      </c>
      <c r="U148" t="inlineStr">
        <is>
          <t>Лист УЭЦН; код 3.12</t>
        </is>
      </c>
      <c r="V148" t="inlineStr">
        <is>
          <t>ЭЦН/ЭВН</t>
        </is>
      </c>
      <c r="CL148">
        <f>IFERROR(INDEX('История отказов'!$AK$5:$AK$1204,SMALL($DI$2:$DI$1201,ROWS($CL$4:CL148))),"")</f>
        <v/>
      </c>
      <c r="CP148">
        <f>IFERROR(INDEX('История отказов'!$AU$5:$AU$1204,SMALL($DJ$2:$DJ$1201,ROWS($CP$4:CP148))),"")</f>
        <v/>
      </c>
      <c r="CR148">
        <f>IFERROR(INDEX('История отказов'!$AY$5:$AY$1204,SMALL($DK$2:$DK$1201,ROWS($CR$3:CR148))),"")</f>
        <v/>
      </c>
      <c r="CT148">
        <f>IFERROR(INDEX('История отказов'!$AE$5:$AE$1204,SMALL($DC$2:$DC$1201,ROWS($CT$3:CT148))),"")</f>
        <v/>
      </c>
      <c r="CU148">
        <f>IFERROR(INDEX('История отказов'!$AE$5:$AE$1204,SMALL($DD$2:$DD$1201,ROWS($CU$4:CU148))),"")</f>
        <v/>
      </c>
      <c r="CV148">
        <f>IFERROR(INDEX('История отказов'!$AE$5:$AE$1204,SMALL($DE$2:$DE$1201,ROWS($CV$4:CV148))),"")</f>
        <v/>
      </c>
      <c r="CW148">
        <f>IFERROR(INDEX('История отказов'!$AE$5:$AE$1204,SMALL($DG$2:$DG$1201,ROWS($CW$3:CW148))),"")</f>
        <v/>
      </c>
      <c r="CX148">
        <f>IFERROR(INDEX('История отказов'!$AE$5:$AE$1204,SMALL($DF$2:$DF$1201,ROWS($CX$3:CX148))),"")</f>
        <v/>
      </c>
      <c r="CY148">
        <f>IFERROR(INDEX('История отказов'!$AE$5:$AE$1204,SMALL($DH$2:$DH$1201,ROWS($CY$7:CY148))),"")</f>
        <v/>
      </c>
      <c r="DB148">
        <f>IF('История отказов'!AH151="","",'История отказов'!AH151)</f>
        <v/>
      </c>
      <c r="DC148">
        <f>IF('История отказов'!AE151="","",IF(AND(COUNTIF($CT$2:$CT$2,'История отказов'!AE151)=0,COUNTIFS('История отказов'!$F$5:F151,"ШГН",'История отказов'!$AE$5:AE151,'История отказов'!AE151)=1,'История отказов'!F151="ШГН"),147,""))</f>
        <v/>
      </c>
      <c r="DD148">
        <f>IF('История отказов'!AE151="","",IF(AND(COUNTIF($CU$2:$CU$3,'История отказов'!AE151)=0,COUNTIFS('История отказов'!$F$5:F151,"ЭЦН",'История отказов'!$AE$5:AE151,'История отказов'!AE151)=1,'История отказов'!F151="ЭЦН"),147,""))</f>
        <v/>
      </c>
      <c r="DE148">
        <f>IF('История отказов'!AE151="","",IF(AND(COUNTIF($CV$2:$CV$3,'История отказов'!AE151)=0,COUNTIFS('История отказов'!$F$5:F151,"ЭВН",'История отказов'!$AE$5:AE151,'История отказов'!AE151)=1,'История отказов'!F151="ЭВН"),147,""))</f>
        <v/>
      </c>
      <c r="DF148">
        <f>IF('История отказов'!AE151="","",IF(AND(COUNTIF($CX$2:$CX$2,'История отказов'!AE151)=0,COUNTIFS('История отказов'!$F$5:F151,"ШВН",'История отказов'!$AE$5:AE151,'История отказов'!AE151)=1,'История отказов'!F151="ШВН"),147,""))</f>
        <v/>
      </c>
      <c r="DG148">
        <f>IF('История отказов'!AE151="","",IF(AND(COUNTIF($CW$2:$CW$2,'История отказов'!AE151)=0,COUNTIFS('История отказов'!$F$5:F151,"НПУ-ВД",'История отказов'!$AE$5:AE151,'История отказов'!AE151)=1,'История отказов'!F151="НПУ-ВД"),147,""))</f>
        <v/>
      </c>
      <c r="DH148">
        <f>IF('История отказов'!AE151="","",IF(AND(COUNTIF($CY$2:$CY$6,'История отказов'!AE151)=0,COUNTIF('История отказов'!$AE$5:AE151,'История отказов'!AE151)=1),147,""))</f>
        <v/>
      </c>
      <c r="DI148">
        <f>IF('История отказов'!AK151="","",IF(AND(COUNTIF($CL$2:$CL$3,'История отказов'!AK151)=0,COUNTIF('История отказов'!$AK$5:AK151,'История отказов'!AK151)=1),147,""))</f>
        <v/>
      </c>
      <c r="DJ148">
        <f>IF('История отказов'!AU151="","",IF(AND(COUNTIF($CP$2:$CP$3,'История отказов'!AU151)=0,COUNTIF('История отказов'!$AU$5:AU151,'История отказов'!AU151)=1),147,""))</f>
        <v/>
      </c>
      <c r="DK148">
        <f>IF('История отказов'!AY151="","",IF(AND(COUNTIF($CR$2:$CR$2,'История отказов'!AY151)=0,COUNTIF('История отказов'!$AY$5:AY151,'История отказов'!AY151)=1),147,""))</f>
        <v/>
      </c>
      <c r="DL148">
        <f>IF(DB148="","",IF(AND(COUNTIF($DA$2:$DA$47,DB148)=0,COUNTIF($DB$2:DB148,DB148)=1),147,""))</f>
        <v/>
      </c>
    </row>
    <row r="149">
      <c r="A149" s="77" t="n"/>
      <c r="B149" s="78" t="n"/>
      <c r="C149" s="78" t="n"/>
      <c r="D149" s="78" t="n"/>
      <c r="E149" s="78" t="n"/>
      <c r="F149" s="79" t="n"/>
      <c r="J149" s="62" t="n"/>
      <c r="K149" s="62" t="n"/>
      <c r="L149" s="62" t="n"/>
      <c r="M149" s="62" t="n"/>
      <c r="N149" s="62" t="n"/>
      <c r="Q149" t="inlineStr">
        <is>
          <t>Предварительная / итоговая причина</t>
        </is>
      </c>
      <c r="R149" t="inlineStr">
        <is>
          <t>3.12.1 — в т.ч. смена способа эксплуатации (без работы с пластом) [УЭЦН]</t>
        </is>
      </c>
      <c r="S149" t="inlineStr">
        <is>
          <t>Код и название; метка группы добавлена</t>
        </is>
      </c>
      <c r="T149" t="inlineStr">
        <is>
          <t>Классификатор по способам 2024 V10, лист УЭЦН</t>
        </is>
      </c>
      <c r="U149" t="inlineStr">
        <is>
          <t>Лист УЭЦН; код 3.12.1</t>
        </is>
      </c>
      <c r="V149" t="inlineStr">
        <is>
          <t>ЭЦН/ЭВН</t>
        </is>
      </c>
      <c r="CL149">
        <f>IFERROR(INDEX('История отказов'!$AK$5:$AK$1204,SMALL($DI$2:$DI$1201,ROWS($CL$4:CL149))),"")</f>
        <v/>
      </c>
      <c r="CP149">
        <f>IFERROR(INDEX('История отказов'!$AU$5:$AU$1204,SMALL($DJ$2:$DJ$1201,ROWS($CP$4:CP149))),"")</f>
        <v/>
      </c>
      <c r="CR149">
        <f>IFERROR(INDEX('История отказов'!$AY$5:$AY$1204,SMALL($DK$2:$DK$1201,ROWS($CR$3:CR149))),"")</f>
        <v/>
      </c>
      <c r="CT149">
        <f>IFERROR(INDEX('История отказов'!$AE$5:$AE$1204,SMALL($DC$2:$DC$1201,ROWS($CT$3:CT149))),"")</f>
        <v/>
      </c>
      <c r="CU149">
        <f>IFERROR(INDEX('История отказов'!$AE$5:$AE$1204,SMALL($DD$2:$DD$1201,ROWS($CU$4:CU149))),"")</f>
        <v/>
      </c>
      <c r="CV149">
        <f>IFERROR(INDEX('История отказов'!$AE$5:$AE$1204,SMALL($DE$2:$DE$1201,ROWS($CV$4:CV149))),"")</f>
        <v/>
      </c>
      <c r="CW149">
        <f>IFERROR(INDEX('История отказов'!$AE$5:$AE$1204,SMALL($DG$2:$DG$1201,ROWS($CW$3:CW149))),"")</f>
        <v/>
      </c>
      <c r="CX149">
        <f>IFERROR(INDEX('История отказов'!$AE$5:$AE$1204,SMALL($DF$2:$DF$1201,ROWS($CX$3:CX149))),"")</f>
        <v/>
      </c>
      <c r="CY149">
        <f>IFERROR(INDEX('История отказов'!$AE$5:$AE$1204,SMALL($DH$2:$DH$1201,ROWS($CY$7:CY149))),"")</f>
        <v/>
      </c>
      <c r="DB149">
        <f>IF('История отказов'!AH152="","",'История отказов'!AH152)</f>
        <v/>
      </c>
      <c r="DC149">
        <f>IF('История отказов'!AE152="","",IF(AND(COUNTIF($CT$2:$CT$2,'История отказов'!AE152)=0,COUNTIFS('История отказов'!$F$5:F152,"ШГН",'История отказов'!$AE$5:AE152,'История отказов'!AE152)=1,'История отказов'!F152="ШГН"),148,""))</f>
        <v/>
      </c>
      <c r="DD149">
        <f>IF('История отказов'!AE152="","",IF(AND(COUNTIF($CU$2:$CU$3,'История отказов'!AE152)=0,COUNTIFS('История отказов'!$F$5:F152,"ЭЦН",'История отказов'!$AE$5:AE152,'История отказов'!AE152)=1,'История отказов'!F152="ЭЦН"),148,""))</f>
        <v/>
      </c>
      <c r="DE149">
        <f>IF('История отказов'!AE152="","",IF(AND(COUNTIF($CV$2:$CV$3,'История отказов'!AE152)=0,COUNTIFS('История отказов'!$F$5:F152,"ЭВН",'История отказов'!$AE$5:AE152,'История отказов'!AE152)=1,'История отказов'!F152="ЭВН"),148,""))</f>
        <v/>
      </c>
      <c r="DF149">
        <f>IF('История отказов'!AE152="","",IF(AND(COUNTIF($CX$2:$CX$2,'История отказов'!AE152)=0,COUNTIFS('История отказов'!$F$5:F152,"ШВН",'История отказов'!$AE$5:AE152,'История отказов'!AE152)=1,'История отказов'!F152="ШВН"),148,""))</f>
        <v/>
      </c>
      <c r="DG149">
        <f>IF('История отказов'!AE152="","",IF(AND(COUNTIF($CW$2:$CW$2,'История отказов'!AE152)=0,COUNTIFS('История отказов'!$F$5:F152,"НПУ-ВД",'История отказов'!$AE$5:AE152,'История отказов'!AE152)=1,'История отказов'!F152="НПУ-ВД"),148,""))</f>
        <v/>
      </c>
      <c r="DH149">
        <f>IF('История отказов'!AE152="","",IF(AND(COUNTIF($CY$2:$CY$6,'История отказов'!AE152)=0,COUNTIF('История отказов'!$AE$5:AE152,'История отказов'!AE152)=1),148,""))</f>
        <v/>
      </c>
      <c r="DI149">
        <f>IF('История отказов'!AK152="","",IF(AND(COUNTIF($CL$2:$CL$3,'История отказов'!AK152)=0,COUNTIF('История отказов'!$AK$5:AK152,'История отказов'!AK152)=1),148,""))</f>
        <v/>
      </c>
      <c r="DJ149">
        <f>IF('История отказов'!AU152="","",IF(AND(COUNTIF($CP$2:$CP$3,'История отказов'!AU152)=0,COUNTIF('История отказов'!$AU$5:AU152,'История отказов'!AU152)=1),148,""))</f>
        <v/>
      </c>
      <c r="DK149">
        <f>IF('История отказов'!AY152="","",IF(AND(COUNTIF($CR$2:$CR$2,'История отказов'!AY152)=0,COUNTIF('История отказов'!$AY$5:AY152,'История отказов'!AY152)=1),148,""))</f>
        <v/>
      </c>
      <c r="DL149">
        <f>IF(DB149="","",IF(AND(COUNTIF($DA$2:$DA$47,DB149)=0,COUNTIF($DB$2:DB149,DB149)=1),148,""))</f>
        <v/>
      </c>
    </row>
    <row r="150">
      <c r="J150" s="62" t="n"/>
      <c r="K150" s="62" t="n"/>
      <c r="L150" s="62" t="n"/>
      <c r="M150" s="62" t="n"/>
      <c r="N150" s="62" t="n"/>
      <c r="Q150" t="inlineStr">
        <is>
          <t>Предварительная / итоговая причина</t>
        </is>
      </c>
      <c r="R150" t="inlineStr">
        <is>
          <t>3.12.2 — в т.ч. оптимизация (без работы с пластом) [УЭЦН]</t>
        </is>
      </c>
      <c r="S150" t="inlineStr">
        <is>
          <t>Код и название; метка группы добавлена</t>
        </is>
      </c>
      <c r="T150" t="inlineStr">
        <is>
          <t>Классификатор по способам 2024 V10, лист УЭЦН</t>
        </is>
      </c>
      <c r="U150" t="inlineStr">
        <is>
          <t>Лист УЭЦН; код 3.12.2</t>
        </is>
      </c>
      <c r="V150" t="inlineStr">
        <is>
          <t>ЭЦН/ЭВН</t>
        </is>
      </c>
      <c r="CL150">
        <f>IFERROR(INDEX('История отказов'!$AK$5:$AK$1204,SMALL($DI$2:$DI$1201,ROWS($CL$4:CL150))),"")</f>
        <v/>
      </c>
      <c r="CP150">
        <f>IFERROR(INDEX('История отказов'!$AU$5:$AU$1204,SMALL($DJ$2:$DJ$1201,ROWS($CP$4:CP150))),"")</f>
        <v/>
      </c>
      <c r="CR150">
        <f>IFERROR(INDEX('История отказов'!$AY$5:$AY$1204,SMALL($DK$2:$DK$1201,ROWS($CR$3:CR150))),"")</f>
        <v/>
      </c>
      <c r="CT150">
        <f>IFERROR(INDEX('История отказов'!$AE$5:$AE$1204,SMALL($DC$2:$DC$1201,ROWS($CT$3:CT150))),"")</f>
        <v/>
      </c>
      <c r="CU150">
        <f>IFERROR(INDEX('История отказов'!$AE$5:$AE$1204,SMALL($DD$2:$DD$1201,ROWS($CU$4:CU150))),"")</f>
        <v/>
      </c>
      <c r="CV150">
        <f>IFERROR(INDEX('История отказов'!$AE$5:$AE$1204,SMALL($DE$2:$DE$1201,ROWS($CV$4:CV150))),"")</f>
        <v/>
      </c>
      <c r="CW150">
        <f>IFERROR(INDEX('История отказов'!$AE$5:$AE$1204,SMALL($DG$2:$DG$1201,ROWS($CW$3:CW150))),"")</f>
        <v/>
      </c>
      <c r="CX150">
        <f>IFERROR(INDEX('История отказов'!$AE$5:$AE$1204,SMALL($DF$2:$DF$1201,ROWS($CX$3:CX150))),"")</f>
        <v/>
      </c>
      <c r="CY150">
        <f>IFERROR(INDEX('История отказов'!$AE$5:$AE$1204,SMALL($DH$2:$DH$1201,ROWS($CY$7:CY150))),"")</f>
        <v/>
      </c>
      <c r="DB150">
        <f>IF('История отказов'!AH153="","",'История отказов'!AH153)</f>
        <v/>
      </c>
      <c r="DC150">
        <f>IF('История отказов'!AE153="","",IF(AND(COUNTIF($CT$2:$CT$2,'История отказов'!AE153)=0,COUNTIFS('История отказов'!$F$5:F153,"ШГН",'История отказов'!$AE$5:AE153,'История отказов'!AE153)=1,'История отказов'!F153="ШГН"),149,""))</f>
        <v/>
      </c>
      <c r="DD150">
        <f>IF('История отказов'!AE153="","",IF(AND(COUNTIF($CU$2:$CU$3,'История отказов'!AE153)=0,COUNTIFS('История отказов'!$F$5:F153,"ЭЦН",'История отказов'!$AE$5:AE153,'История отказов'!AE153)=1,'История отказов'!F153="ЭЦН"),149,""))</f>
        <v/>
      </c>
      <c r="DE150">
        <f>IF('История отказов'!AE153="","",IF(AND(COUNTIF($CV$2:$CV$3,'История отказов'!AE153)=0,COUNTIFS('История отказов'!$F$5:F153,"ЭВН",'История отказов'!$AE$5:AE153,'История отказов'!AE153)=1,'История отказов'!F153="ЭВН"),149,""))</f>
        <v/>
      </c>
      <c r="DF150">
        <f>IF('История отказов'!AE153="","",IF(AND(COUNTIF($CX$2:$CX$2,'История отказов'!AE153)=0,COUNTIFS('История отказов'!$F$5:F153,"ШВН",'История отказов'!$AE$5:AE153,'История отказов'!AE153)=1,'История отказов'!F153="ШВН"),149,""))</f>
        <v/>
      </c>
      <c r="DG150">
        <f>IF('История отказов'!AE153="","",IF(AND(COUNTIF($CW$2:$CW$2,'История отказов'!AE153)=0,COUNTIFS('История отказов'!$F$5:F153,"НПУ-ВД",'История отказов'!$AE$5:AE153,'История отказов'!AE153)=1,'История отказов'!F153="НПУ-ВД"),149,""))</f>
        <v/>
      </c>
      <c r="DH150">
        <f>IF('История отказов'!AE153="","",IF(AND(COUNTIF($CY$2:$CY$6,'История отказов'!AE153)=0,COUNTIF('История отказов'!$AE$5:AE153,'История отказов'!AE153)=1),149,""))</f>
        <v/>
      </c>
      <c r="DI150">
        <f>IF('История отказов'!AK153="","",IF(AND(COUNTIF($CL$2:$CL$3,'История отказов'!AK153)=0,COUNTIF('История отказов'!$AK$5:AK153,'История отказов'!AK153)=1),149,""))</f>
        <v/>
      </c>
      <c r="DJ150">
        <f>IF('История отказов'!AU153="","",IF(AND(COUNTIF($CP$2:$CP$3,'История отказов'!AU153)=0,COUNTIF('История отказов'!$AU$5:AU153,'История отказов'!AU153)=1),149,""))</f>
        <v/>
      </c>
      <c r="DK150">
        <f>IF('История отказов'!AY153="","",IF(AND(COUNTIF($CR$2:$CR$2,'История отказов'!AY153)=0,COUNTIF('История отказов'!$AY$5:AY153,'История отказов'!AY153)=1),149,""))</f>
        <v/>
      </c>
      <c r="DL150">
        <f>IF(DB150="","",IF(AND(COUNTIF($DA$2:$DA$47,DB150)=0,COUNTIF($DB$2:DB150,DB150)=1),149,""))</f>
        <v/>
      </c>
    </row>
    <row r="151">
      <c r="J151" s="62" t="n"/>
      <c r="K151" s="62" t="n"/>
      <c r="L151" s="62" t="n"/>
      <c r="M151" s="62" t="n"/>
      <c r="N151" s="62" t="n"/>
      <c r="Q151" t="inlineStr">
        <is>
          <t>Предварительная / итоговая причина</t>
        </is>
      </c>
      <c r="R151" t="inlineStr">
        <is>
          <t>3.12.3 — в т.ч работа с пластом (ГРП, ОПЗ, ПВР и т.д.) [УЭЦН]</t>
        </is>
      </c>
      <c r="S151" t="inlineStr">
        <is>
          <t>Код и название; метка группы добавлена</t>
        </is>
      </c>
      <c r="T151" t="inlineStr">
        <is>
          <t>Классификатор по способам 2024 V10, лист УЭЦН</t>
        </is>
      </c>
      <c r="U151" t="inlineStr">
        <is>
          <t>Лист УЭЦН; код 3.12.3</t>
        </is>
      </c>
      <c r="V151" t="inlineStr">
        <is>
          <t>ЭЦН/ЭВН</t>
        </is>
      </c>
      <c r="CL151">
        <f>IFERROR(INDEX('История отказов'!$AK$5:$AK$1204,SMALL($DI$2:$DI$1201,ROWS($CL$4:CL151))),"")</f>
        <v/>
      </c>
      <c r="CP151">
        <f>IFERROR(INDEX('История отказов'!$AU$5:$AU$1204,SMALL($DJ$2:$DJ$1201,ROWS($CP$4:CP151))),"")</f>
        <v/>
      </c>
      <c r="CR151">
        <f>IFERROR(INDEX('История отказов'!$AY$5:$AY$1204,SMALL($DK$2:$DK$1201,ROWS($CR$3:CR151))),"")</f>
        <v/>
      </c>
      <c r="CT151">
        <f>IFERROR(INDEX('История отказов'!$AE$5:$AE$1204,SMALL($DC$2:$DC$1201,ROWS($CT$3:CT151))),"")</f>
        <v/>
      </c>
      <c r="CU151">
        <f>IFERROR(INDEX('История отказов'!$AE$5:$AE$1204,SMALL($DD$2:$DD$1201,ROWS($CU$4:CU151))),"")</f>
        <v/>
      </c>
      <c r="CV151">
        <f>IFERROR(INDEX('История отказов'!$AE$5:$AE$1204,SMALL($DE$2:$DE$1201,ROWS($CV$4:CV151))),"")</f>
        <v/>
      </c>
      <c r="CW151">
        <f>IFERROR(INDEX('История отказов'!$AE$5:$AE$1204,SMALL($DG$2:$DG$1201,ROWS($CW$3:CW151))),"")</f>
        <v/>
      </c>
      <c r="CX151">
        <f>IFERROR(INDEX('История отказов'!$AE$5:$AE$1204,SMALL($DF$2:$DF$1201,ROWS($CX$3:CX151))),"")</f>
        <v/>
      </c>
      <c r="CY151">
        <f>IFERROR(INDEX('История отказов'!$AE$5:$AE$1204,SMALL($DH$2:$DH$1201,ROWS($CY$7:CY151))),"")</f>
        <v/>
      </c>
      <c r="DB151">
        <f>IF('История отказов'!AH154="","",'История отказов'!AH154)</f>
        <v/>
      </c>
      <c r="DC151">
        <f>IF('История отказов'!AE154="","",IF(AND(COUNTIF($CT$2:$CT$2,'История отказов'!AE154)=0,COUNTIFS('История отказов'!$F$5:F154,"ШГН",'История отказов'!$AE$5:AE154,'История отказов'!AE154)=1,'История отказов'!F154="ШГН"),150,""))</f>
        <v/>
      </c>
      <c r="DD151">
        <f>IF('История отказов'!AE154="","",IF(AND(COUNTIF($CU$2:$CU$3,'История отказов'!AE154)=0,COUNTIFS('История отказов'!$F$5:F154,"ЭЦН",'История отказов'!$AE$5:AE154,'История отказов'!AE154)=1,'История отказов'!F154="ЭЦН"),150,""))</f>
        <v/>
      </c>
      <c r="DE151">
        <f>IF('История отказов'!AE154="","",IF(AND(COUNTIF($CV$2:$CV$3,'История отказов'!AE154)=0,COUNTIFS('История отказов'!$F$5:F154,"ЭВН",'История отказов'!$AE$5:AE154,'История отказов'!AE154)=1,'История отказов'!F154="ЭВН"),150,""))</f>
        <v/>
      </c>
      <c r="DF151">
        <f>IF('История отказов'!AE154="","",IF(AND(COUNTIF($CX$2:$CX$2,'История отказов'!AE154)=0,COUNTIFS('История отказов'!$F$5:F154,"ШВН",'История отказов'!$AE$5:AE154,'История отказов'!AE154)=1,'История отказов'!F154="ШВН"),150,""))</f>
        <v/>
      </c>
      <c r="DG151">
        <f>IF('История отказов'!AE154="","",IF(AND(COUNTIF($CW$2:$CW$2,'История отказов'!AE154)=0,COUNTIFS('История отказов'!$F$5:F154,"НПУ-ВД",'История отказов'!$AE$5:AE154,'История отказов'!AE154)=1,'История отказов'!F154="НПУ-ВД"),150,""))</f>
        <v/>
      </c>
      <c r="DH151">
        <f>IF('История отказов'!AE154="","",IF(AND(COUNTIF($CY$2:$CY$6,'История отказов'!AE154)=0,COUNTIF('История отказов'!$AE$5:AE154,'История отказов'!AE154)=1),150,""))</f>
        <v/>
      </c>
      <c r="DI151">
        <f>IF('История отказов'!AK154="","",IF(AND(COUNTIF($CL$2:$CL$3,'История отказов'!AK154)=0,COUNTIF('История отказов'!$AK$5:AK154,'История отказов'!AK154)=1),150,""))</f>
        <v/>
      </c>
      <c r="DJ151">
        <f>IF('История отказов'!AU154="","",IF(AND(COUNTIF($CP$2:$CP$3,'История отказов'!AU154)=0,COUNTIF('История отказов'!$AU$5:AU154,'История отказов'!AU154)=1),150,""))</f>
        <v/>
      </c>
      <c r="DK151">
        <f>IF('История отказов'!AY154="","",IF(AND(COUNTIF($CR$2:$CR$2,'История отказов'!AY154)=0,COUNTIF('История отказов'!$AY$5:AY154,'История отказов'!AY154)=1),150,""))</f>
        <v/>
      </c>
      <c r="DL151">
        <f>IF(DB151="","",IF(AND(COUNTIF($DA$2:$DA$47,DB151)=0,COUNTIF($DB$2:DB151,DB151)=1),150,""))</f>
        <v/>
      </c>
    </row>
    <row r="152">
      <c r="A152" s="33" t="n"/>
      <c r="B152" s="34" t="n"/>
      <c r="C152" s="34" t="n"/>
      <c r="D152" s="34" t="n"/>
      <c r="E152" s="34" t="n"/>
      <c r="F152" s="34" t="n"/>
      <c r="G152" s="35" t="n"/>
      <c r="J152" s="62" t="n"/>
      <c r="K152" s="62" t="n"/>
      <c r="L152" s="62" t="n"/>
      <c r="M152" s="62" t="n"/>
      <c r="N152" s="62" t="n"/>
      <c r="Q152" t="inlineStr">
        <is>
          <t>Предварительная / итоговая причина</t>
        </is>
      </c>
      <c r="R152" t="inlineStr">
        <is>
          <t>3.12.4 — в т.ч. проведение ГИС (поиск источника обводнения, исследования с Y-Tool) [УЭЦН]</t>
        </is>
      </c>
      <c r="S152" t="inlineStr">
        <is>
          <t>Код и название; метка группы добавлена</t>
        </is>
      </c>
      <c r="T152" t="inlineStr">
        <is>
          <t>Классификатор по способам 2024 V10, лист УЭЦН</t>
        </is>
      </c>
      <c r="U152" t="inlineStr">
        <is>
          <t>Лист УЭЦН; код 3.12.4</t>
        </is>
      </c>
      <c r="V152" t="inlineStr">
        <is>
          <t>ЭЦН/ЭВН</t>
        </is>
      </c>
      <c r="CL152">
        <f>IFERROR(INDEX('История отказов'!$AK$5:$AK$1204,SMALL($DI$2:$DI$1201,ROWS($CL$4:CL152))),"")</f>
        <v/>
      </c>
      <c r="CP152">
        <f>IFERROR(INDEX('История отказов'!$AU$5:$AU$1204,SMALL($DJ$2:$DJ$1201,ROWS($CP$4:CP152))),"")</f>
        <v/>
      </c>
      <c r="CR152">
        <f>IFERROR(INDEX('История отказов'!$AY$5:$AY$1204,SMALL($DK$2:$DK$1201,ROWS($CR$3:CR152))),"")</f>
        <v/>
      </c>
      <c r="CT152">
        <f>IFERROR(INDEX('История отказов'!$AE$5:$AE$1204,SMALL($DC$2:$DC$1201,ROWS($CT$3:CT152))),"")</f>
        <v/>
      </c>
      <c r="CU152">
        <f>IFERROR(INDEX('История отказов'!$AE$5:$AE$1204,SMALL($DD$2:$DD$1201,ROWS($CU$4:CU152))),"")</f>
        <v/>
      </c>
      <c r="CV152">
        <f>IFERROR(INDEX('История отказов'!$AE$5:$AE$1204,SMALL($DE$2:$DE$1201,ROWS($CV$4:CV152))),"")</f>
        <v/>
      </c>
      <c r="CW152">
        <f>IFERROR(INDEX('История отказов'!$AE$5:$AE$1204,SMALL($DG$2:$DG$1201,ROWS($CW$3:CW152))),"")</f>
        <v/>
      </c>
      <c r="CX152">
        <f>IFERROR(INDEX('История отказов'!$AE$5:$AE$1204,SMALL($DF$2:$DF$1201,ROWS($CX$3:CX152))),"")</f>
        <v/>
      </c>
      <c r="CY152">
        <f>IFERROR(INDEX('История отказов'!$AE$5:$AE$1204,SMALL($DH$2:$DH$1201,ROWS($CY$7:CY152))),"")</f>
        <v/>
      </c>
      <c r="DB152">
        <f>IF('История отказов'!AH155="","",'История отказов'!AH155)</f>
        <v/>
      </c>
      <c r="DC152">
        <f>IF('История отказов'!AE155="","",IF(AND(COUNTIF($CT$2:$CT$2,'История отказов'!AE155)=0,COUNTIFS('История отказов'!$F$5:F155,"ШГН",'История отказов'!$AE$5:AE155,'История отказов'!AE155)=1,'История отказов'!F155="ШГН"),151,""))</f>
        <v/>
      </c>
      <c r="DD152">
        <f>IF('История отказов'!AE155="","",IF(AND(COUNTIF($CU$2:$CU$3,'История отказов'!AE155)=0,COUNTIFS('История отказов'!$F$5:F155,"ЭЦН",'История отказов'!$AE$5:AE155,'История отказов'!AE155)=1,'История отказов'!F155="ЭЦН"),151,""))</f>
        <v/>
      </c>
      <c r="DE152">
        <f>IF('История отказов'!AE155="","",IF(AND(COUNTIF($CV$2:$CV$3,'История отказов'!AE155)=0,COUNTIFS('История отказов'!$F$5:F155,"ЭВН",'История отказов'!$AE$5:AE155,'История отказов'!AE155)=1,'История отказов'!F155="ЭВН"),151,""))</f>
        <v/>
      </c>
      <c r="DF152">
        <f>IF('История отказов'!AE155="","",IF(AND(COUNTIF($CX$2:$CX$2,'История отказов'!AE155)=0,COUNTIFS('История отказов'!$F$5:F155,"ШВН",'История отказов'!$AE$5:AE155,'История отказов'!AE155)=1,'История отказов'!F155="ШВН"),151,""))</f>
        <v/>
      </c>
      <c r="DG152">
        <f>IF('История отказов'!AE155="","",IF(AND(COUNTIF($CW$2:$CW$2,'История отказов'!AE155)=0,COUNTIFS('История отказов'!$F$5:F155,"НПУ-ВД",'История отказов'!$AE$5:AE155,'История отказов'!AE155)=1,'История отказов'!F155="НПУ-ВД"),151,""))</f>
        <v/>
      </c>
      <c r="DH152">
        <f>IF('История отказов'!AE155="","",IF(AND(COUNTIF($CY$2:$CY$6,'История отказов'!AE155)=0,COUNTIF('История отказов'!$AE$5:AE155,'История отказов'!AE155)=1),151,""))</f>
        <v/>
      </c>
      <c r="DI152">
        <f>IF('История отказов'!AK155="","",IF(AND(COUNTIF($CL$2:$CL$3,'История отказов'!AK155)=0,COUNTIF('История отказов'!$AK$5:AK155,'История отказов'!AK155)=1),151,""))</f>
        <v/>
      </c>
      <c r="DJ152">
        <f>IF('История отказов'!AU155="","",IF(AND(COUNTIF($CP$2:$CP$3,'История отказов'!AU155)=0,COUNTIF('История отказов'!$AU$5:AU155,'История отказов'!AU155)=1),151,""))</f>
        <v/>
      </c>
      <c r="DK152">
        <f>IF('История отказов'!AY155="","",IF(AND(COUNTIF($CR$2:$CR$2,'История отказов'!AY155)=0,COUNTIF('История отказов'!$AY$5:AY155,'История отказов'!AY155)=1),151,""))</f>
        <v/>
      </c>
      <c r="DL152">
        <f>IF(DB152="","",IF(AND(COUNTIF($DA$2:$DA$47,DB152)=0,COUNTIF($DB$2:DB152,DB152)=1),151,""))</f>
        <v/>
      </c>
    </row>
    <row r="153">
      <c r="A153" s="48" t="n"/>
      <c r="B153" s="49" t="n"/>
      <c r="C153" s="49" t="n"/>
      <c r="D153" s="49" t="n"/>
      <c r="E153" s="49" t="n"/>
      <c r="F153" s="49" t="n"/>
      <c r="G153" s="50" t="n"/>
      <c r="J153" s="62" t="n"/>
      <c r="K153" s="62" t="n"/>
      <c r="L153" s="62" t="n"/>
      <c r="M153" s="62" t="n"/>
      <c r="N153" s="62" t="n"/>
      <c r="Q153" t="inlineStr">
        <is>
          <t>Предварительная / итоговая причина</t>
        </is>
      </c>
      <c r="R153" t="inlineStr">
        <is>
          <t>3.12.5 — в т.ч. перевод в ППД [УЭЦН]</t>
        </is>
      </c>
      <c r="S153" t="inlineStr">
        <is>
          <t>Код и название; метка группы добавлена</t>
        </is>
      </c>
      <c r="T153" t="inlineStr">
        <is>
          <t>Классификатор по способам 2024 V10, лист УЭЦН</t>
        </is>
      </c>
      <c r="U153" t="inlineStr">
        <is>
          <t>Лист УЭЦН; код 3.12.5</t>
        </is>
      </c>
      <c r="V153" t="inlineStr">
        <is>
          <t>ЭЦН/ЭВН</t>
        </is>
      </c>
      <c r="CL153">
        <f>IFERROR(INDEX('История отказов'!$AK$5:$AK$1204,SMALL($DI$2:$DI$1201,ROWS($CL$4:CL153))),"")</f>
        <v/>
      </c>
      <c r="CP153">
        <f>IFERROR(INDEX('История отказов'!$AU$5:$AU$1204,SMALL($DJ$2:$DJ$1201,ROWS($CP$4:CP153))),"")</f>
        <v/>
      </c>
      <c r="CR153">
        <f>IFERROR(INDEX('История отказов'!$AY$5:$AY$1204,SMALL($DK$2:$DK$1201,ROWS($CR$3:CR153))),"")</f>
        <v/>
      </c>
      <c r="CT153">
        <f>IFERROR(INDEX('История отказов'!$AE$5:$AE$1204,SMALL($DC$2:$DC$1201,ROWS($CT$3:CT153))),"")</f>
        <v/>
      </c>
      <c r="CU153">
        <f>IFERROR(INDEX('История отказов'!$AE$5:$AE$1204,SMALL($DD$2:$DD$1201,ROWS($CU$4:CU153))),"")</f>
        <v/>
      </c>
      <c r="CV153">
        <f>IFERROR(INDEX('История отказов'!$AE$5:$AE$1204,SMALL($DE$2:$DE$1201,ROWS($CV$4:CV153))),"")</f>
        <v/>
      </c>
      <c r="CW153">
        <f>IFERROR(INDEX('История отказов'!$AE$5:$AE$1204,SMALL($DG$2:$DG$1201,ROWS($CW$3:CW153))),"")</f>
        <v/>
      </c>
      <c r="CX153">
        <f>IFERROR(INDEX('История отказов'!$AE$5:$AE$1204,SMALL($DF$2:$DF$1201,ROWS($CX$3:CX153))),"")</f>
        <v/>
      </c>
      <c r="CY153">
        <f>IFERROR(INDEX('История отказов'!$AE$5:$AE$1204,SMALL($DH$2:$DH$1201,ROWS($CY$7:CY153))),"")</f>
        <v/>
      </c>
      <c r="DB153">
        <f>IF('История отказов'!AH156="","",'История отказов'!AH156)</f>
        <v/>
      </c>
      <c r="DC153">
        <f>IF('История отказов'!AE156="","",IF(AND(COUNTIF($CT$2:$CT$2,'История отказов'!AE156)=0,COUNTIFS('История отказов'!$F$5:F156,"ШГН",'История отказов'!$AE$5:AE156,'История отказов'!AE156)=1,'История отказов'!F156="ШГН"),152,""))</f>
        <v/>
      </c>
      <c r="DD153">
        <f>IF('История отказов'!AE156="","",IF(AND(COUNTIF($CU$2:$CU$3,'История отказов'!AE156)=0,COUNTIFS('История отказов'!$F$5:F156,"ЭЦН",'История отказов'!$AE$5:AE156,'История отказов'!AE156)=1,'История отказов'!F156="ЭЦН"),152,""))</f>
        <v/>
      </c>
      <c r="DE153">
        <f>IF('История отказов'!AE156="","",IF(AND(COUNTIF($CV$2:$CV$3,'История отказов'!AE156)=0,COUNTIFS('История отказов'!$F$5:F156,"ЭВН",'История отказов'!$AE$5:AE156,'История отказов'!AE156)=1,'История отказов'!F156="ЭВН"),152,""))</f>
        <v/>
      </c>
      <c r="DF153">
        <f>IF('История отказов'!AE156="","",IF(AND(COUNTIF($CX$2:$CX$2,'История отказов'!AE156)=0,COUNTIFS('История отказов'!$F$5:F156,"ШВН",'История отказов'!$AE$5:AE156,'История отказов'!AE156)=1,'История отказов'!F156="ШВН"),152,""))</f>
        <v/>
      </c>
      <c r="DG153">
        <f>IF('История отказов'!AE156="","",IF(AND(COUNTIF($CW$2:$CW$2,'История отказов'!AE156)=0,COUNTIFS('История отказов'!$F$5:F156,"НПУ-ВД",'История отказов'!$AE$5:AE156,'История отказов'!AE156)=1,'История отказов'!F156="НПУ-ВД"),152,""))</f>
        <v/>
      </c>
      <c r="DH153">
        <f>IF('История отказов'!AE156="","",IF(AND(COUNTIF($CY$2:$CY$6,'История отказов'!AE156)=0,COUNTIF('История отказов'!$AE$5:AE156,'История отказов'!AE156)=1),152,""))</f>
        <v/>
      </c>
      <c r="DI153">
        <f>IF('История отказов'!AK156="","",IF(AND(COUNTIF($CL$2:$CL$3,'История отказов'!AK156)=0,COUNTIF('История отказов'!$AK$5:AK156,'История отказов'!AK156)=1),152,""))</f>
        <v/>
      </c>
      <c r="DJ153">
        <f>IF('История отказов'!AU156="","",IF(AND(COUNTIF($CP$2:$CP$3,'История отказов'!AU156)=0,COUNTIF('История отказов'!$AU$5:AU156,'История отказов'!AU156)=1),152,""))</f>
        <v/>
      </c>
      <c r="DK153">
        <f>IF('История отказов'!AY156="","",IF(AND(COUNTIF($CR$2:$CR$2,'История отказов'!AY156)=0,COUNTIF('История отказов'!$AY$5:AY156,'История отказов'!AY156)=1),152,""))</f>
        <v/>
      </c>
      <c r="DL153">
        <f>IF(DB153="","",IF(AND(COUNTIF($DA$2:$DA$47,DB153)=0,COUNTIF($DB$2:DB153,DB153)=1),152,""))</f>
        <v/>
      </c>
    </row>
    <row r="154">
      <c r="A154" s="71" t="n"/>
      <c r="B154" s="72" t="n"/>
      <c r="C154" s="72" t="n"/>
      <c r="D154" s="72" t="n"/>
      <c r="E154" s="72" t="n"/>
      <c r="F154" s="72" t="n"/>
      <c r="G154" s="73" t="n"/>
      <c r="J154" s="62" t="n"/>
      <c r="K154" s="62" t="n"/>
      <c r="L154" s="62" t="n"/>
      <c r="M154" s="62" t="n"/>
      <c r="N154" s="62" t="n"/>
      <c r="Q154" t="inlineStr">
        <is>
          <t>Предварительная / итоговая причина</t>
        </is>
      </c>
      <c r="R154" t="inlineStr">
        <is>
          <t>3.12.6 — в т.ч. извлечение оборудования из скважин (консервация, пьезометр и т.д.) [УЭЦН]</t>
        </is>
      </c>
      <c r="S154" t="inlineStr">
        <is>
          <t>Код и название; метка группы добавлена</t>
        </is>
      </c>
      <c r="T154" t="inlineStr">
        <is>
          <t>Классификатор по способам 2024 V10, лист УЭЦН</t>
        </is>
      </c>
      <c r="U154" t="inlineStr">
        <is>
          <t>Лист УЭЦН; код 3.12.6</t>
        </is>
      </c>
      <c r="V154" t="inlineStr">
        <is>
          <t>ЭЦН/ЭВН</t>
        </is>
      </c>
      <c r="CL154">
        <f>IFERROR(INDEX('История отказов'!$AK$5:$AK$1204,SMALL($DI$2:$DI$1201,ROWS($CL$4:CL154))),"")</f>
        <v/>
      </c>
      <c r="CP154">
        <f>IFERROR(INDEX('История отказов'!$AU$5:$AU$1204,SMALL($DJ$2:$DJ$1201,ROWS($CP$4:CP154))),"")</f>
        <v/>
      </c>
      <c r="CR154">
        <f>IFERROR(INDEX('История отказов'!$AY$5:$AY$1204,SMALL($DK$2:$DK$1201,ROWS($CR$3:CR154))),"")</f>
        <v/>
      </c>
      <c r="CT154">
        <f>IFERROR(INDEX('История отказов'!$AE$5:$AE$1204,SMALL($DC$2:$DC$1201,ROWS($CT$3:CT154))),"")</f>
        <v/>
      </c>
      <c r="CU154">
        <f>IFERROR(INDEX('История отказов'!$AE$5:$AE$1204,SMALL($DD$2:$DD$1201,ROWS($CU$4:CU154))),"")</f>
        <v/>
      </c>
      <c r="CV154">
        <f>IFERROR(INDEX('История отказов'!$AE$5:$AE$1204,SMALL($DE$2:$DE$1201,ROWS($CV$4:CV154))),"")</f>
        <v/>
      </c>
      <c r="CW154">
        <f>IFERROR(INDEX('История отказов'!$AE$5:$AE$1204,SMALL($DG$2:$DG$1201,ROWS($CW$3:CW154))),"")</f>
        <v/>
      </c>
      <c r="CX154">
        <f>IFERROR(INDEX('История отказов'!$AE$5:$AE$1204,SMALL($DF$2:$DF$1201,ROWS($CX$3:CX154))),"")</f>
        <v/>
      </c>
      <c r="CY154">
        <f>IFERROR(INDEX('История отказов'!$AE$5:$AE$1204,SMALL($DH$2:$DH$1201,ROWS($CY$7:CY154))),"")</f>
        <v/>
      </c>
      <c r="DB154">
        <f>IF('История отказов'!AH157="","",'История отказов'!AH157)</f>
        <v/>
      </c>
      <c r="DC154">
        <f>IF('История отказов'!AE157="","",IF(AND(COUNTIF($CT$2:$CT$2,'История отказов'!AE157)=0,COUNTIFS('История отказов'!$F$5:F157,"ШГН",'История отказов'!$AE$5:AE157,'История отказов'!AE157)=1,'История отказов'!F157="ШГН"),153,""))</f>
        <v/>
      </c>
      <c r="DD154">
        <f>IF('История отказов'!AE157="","",IF(AND(COUNTIF($CU$2:$CU$3,'История отказов'!AE157)=0,COUNTIFS('История отказов'!$F$5:F157,"ЭЦН",'История отказов'!$AE$5:AE157,'История отказов'!AE157)=1,'История отказов'!F157="ЭЦН"),153,""))</f>
        <v/>
      </c>
      <c r="DE154">
        <f>IF('История отказов'!AE157="","",IF(AND(COUNTIF($CV$2:$CV$3,'История отказов'!AE157)=0,COUNTIFS('История отказов'!$F$5:F157,"ЭВН",'История отказов'!$AE$5:AE157,'История отказов'!AE157)=1,'История отказов'!F157="ЭВН"),153,""))</f>
        <v/>
      </c>
      <c r="DF154">
        <f>IF('История отказов'!AE157="","",IF(AND(COUNTIF($CX$2:$CX$2,'История отказов'!AE157)=0,COUNTIFS('История отказов'!$F$5:F157,"ШВН",'История отказов'!$AE$5:AE157,'История отказов'!AE157)=1,'История отказов'!F157="ШВН"),153,""))</f>
        <v/>
      </c>
      <c r="DG154">
        <f>IF('История отказов'!AE157="","",IF(AND(COUNTIF($CW$2:$CW$2,'История отказов'!AE157)=0,COUNTIFS('История отказов'!$F$5:F157,"НПУ-ВД",'История отказов'!$AE$5:AE157,'История отказов'!AE157)=1,'История отказов'!F157="НПУ-ВД"),153,""))</f>
        <v/>
      </c>
      <c r="DH154">
        <f>IF('История отказов'!AE157="","",IF(AND(COUNTIF($CY$2:$CY$6,'История отказов'!AE157)=0,COUNTIF('История отказов'!$AE$5:AE157,'История отказов'!AE157)=1),153,""))</f>
        <v/>
      </c>
      <c r="DI154">
        <f>IF('История отказов'!AK157="","",IF(AND(COUNTIF($CL$2:$CL$3,'История отказов'!AK157)=0,COUNTIF('История отказов'!$AK$5:AK157,'История отказов'!AK157)=1),153,""))</f>
        <v/>
      </c>
      <c r="DJ154">
        <f>IF('История отказов'!AU157="","",IF(AND(COUNTIF($CP$2:$CP$3,'История отказов'!AU157)=0,COUNTIF('История отказов'!$AU$5:AU157,'История отказов'!AU157)=1),153,""))</f>
        <v/>
      </c>
      <c r="DK154">
        <f>IF('История отказов'!AY157="","",IF(AND(COUNTIF($CR$2:$CR$2,'История отказов'!AY157)=0,COUNTIF('История отказов'!$AY$5:AY157,'История отказов'!AY157)=1),153,""))</f>
        <v/>
      </c>
      <c r="DL154">
        <f>IF(DB154="","",IF(AND(COUNTIF($DA$2:$DA$47,DB154)=0,COUNTIF($DB$2:DB154,DB154)=1),153,""))</f>
        <v/>
      </c>
    </row>
    <row r="155">
      <c r="A155" s="74" t="n"/>
      <c r="B155" s="75" t="n"/>
      <c r="C155" s="75" t="n"/>
      <c r="D155" s="75" t="n"/>
      <c r="E155" s="75" t="n"/>
      <c r="F155" s="75" t="n"/>
      <c r="G155" s="76" t="n"/>
      <c r="J155" s="62" t="n"/>
      <c r="K155" s="62" t="n"/>
      <c r="L155" s="62" t="n"/>
      <c r="M155" s="62" t="n"/>
      <c r="N155" s="62" t="n"/>
      <c r="Q155" t="inlineStr">
        <is>
          <t>Предварительная / итоговая причина</t>
        </is>
      </c>
      <c r="R155" t="inlineStr">
        <is>
          <t>3.13 — Некачественная подготовка скважины [УЭЦН]</t>
        </is>
      </c>
      <c r="S155" t="inlineStr">
        <is>
          <t>Код и название; метка группы добавлена</t>
        </is>
      </c>
      <c r="T155" t="inlineStr">
        <is>
          <t>Классификатор по способам 2024 V10, лист УЭЦН</t>
        </is>
      </c>
      <c r="U155" t="inlineStr">
        <is>
          <t>Лист УЭЦН; код 3.13</t>
        </is>
      </c>
      <c r="V155" t="inlineStr">
        <is>
          <t>ЭЦН/ЭВН</t>
        </is>
      </c>
      <c r="CL155">
        <f>IFERROR(INDEX('История отказов'!$AK$5:$AK$1204,SMALL($DI$2:$DI$1201,ROWS($CL$4:CL155))),"")</f>
        <v/>
      </c>
      <c r="CP155">
        <f>IFERROR(INDEX('История отказов'!$AU$5:$AU$1204,SMALL($DJ$2:$DJ$1201,ROWS($CP$4:CP155))),"")</f>
        <v/>
      </c>
      <c r="CR155">
        <f>IFERROR(INDEX('История отказов'!$AY$5:$AY$1204,SMALL($DK$2:$DK$1201,ROWS($CR$3:CR155))),"")</f>
        <v/>
      </c>
      <c r="CT155">
        <f>IFERROR(INDEX('История отказов'!$AE$5:$AE$1204,SMALL($DC$2:$DC$1201,ROWS($CT$3:CT155))),"")</f>
        <v/>
      </c>
      <c r="CU155">
        <f>IFERROR(INDEX('История отказов'!$AE$5:$AE$1204,SMALL($DD$2:$DD$1201,ROWS($CU$4:CU155))),"")</f>
        <v/>
      </c>
      <c r="CV155">
        <f>IFERROR(INDEX('История отказов'!$AE$5:$AE$1204,SMALL($DE$2:$DE$1201,ROWS($CV$4:CV155))),"")</f>
        <v/>
      </c>
      <c r="CW155">
        <f>IFERROR(INDEX('История отказов'!$AE$5:$AE$1204,SMALL($DG$2:$DG$1201,ROWS($CW$3:CW155))),"")</f>
        <v/>
      </c>
      <c r="CX155">
        <f>IFERROR(INDEX('История отказов'!$AE$5:$AE$1204,SMALL($DF$2:$DF$1201,ROWS($CX$3:CX155))),"")</f>
        <v/>
      </c>
      <c r="CY155">
        <f>IFERROR(INDEX('История отказов'!$AE$5:$AE$1204,SMALL($DH$2:$DH$1201,ROWS($CY$7:CY155))),"")</f>
        <v/>
      </c>
      <c r="DB155">
        <f>IF('История отказов'!AH158="","",'История отказов'!AH158)</f>
        <v/>
      </c>
      <c r="DC155">
        <f>IF('История отказов'!AE158="","",IF(AND(COUNTIF($CT$2:$CT$2,'История отказов'!AE158)=0,COUNTIFS('История отказов'!$F$5:F158,"ШГН",'История отказов'!$AE$5:AE158,'История отказов'!AE158)=1,'История отказов'!F158="ШГН"),154,""))</f>
        <v/>
      </c>
      <c r="DD155">
        <f>IF('История отказов'!AE158="","",IF(AND(COUNTIF($CU$2:$CU$3,'История отказов'!AE158)=0,COUNTIFS('История отказов'!$F$5:F158,"ЭЦН",'История отказов'!$AE$5:AE158,'История отказов'!AE158)=1,'История отказов'!F158="ЭЦН"),154,""))</f>
        <v/>
      </c>
      <c r="DE155">
        <f>IF('История отказов'!AE158="","",IF(AND(COUNTIF($CV$2:$CV$3,'История отказов'!AE158)=0,COUNTIFS('История отказов'!$F$5:F158,"ЭВН",'История отказов'!$AE$5:AE158,'История отказов'!AE158)=1,'История отказов'!F158="ЭВН"),154,""))</f>
        <v/>
      </c>
      <c r="DF155">
        <f>IF('История отказов'!AE158="","",IF(AND(COUNTIF($CX$2:$CX$2,'История отказов'!AE158)=0,COUNTIFS('История отказов'!$F$5:F158,"ШВН",'История отказов'!$AE$5:AE158,'История отказов'!AE158)=1,'История отказов'!F158="ШВН"),154,""))</f>
        <v/>
      </c>
      <c r="DG155">
        <f>IF('История отказов'!AE158="","",IF(AND(COUNTIF($CW$2:$CW$2,'История отказов'!AE158)=0,COUNTIFS('История отказов'!$F$5:F158,"НПУ-ВД",'История отказов'!$AE$5:AE158,'История отказов'!AE158)=1,'История отказов'!F158="НПУ-ВД"),154,""))</f>
        <v/>
      </c>
      <c r="DH155">
        <f>IF('История отказов'!AE158="","",IF(AND(COUNTIF($CY$2:$CY$6,'История отказов'!AE158)=0,COUNTIF('История отказов'!$AE$5:AE158,'История отказов'!AE158)=1),154,""))</f>
        <v/>
      </c>
      <c r="DI155">
        <f>IF('История отказов'!AK158="","",IF(AND(COUNTIF($CL$2:$CL$3,'История отказов'!AK158)=0,COUNTIF('История отказов'!$AK$5:AK158,'История отказов'!AK158)=1),154,""))</f>
        <v/>
      </c>
      <c r="DJ155">
        <f>IF('История отказов'!AU158="","",IF(AND(COUNTIF($CP$2:$CP$3,'История отказов'!AU158)=0,COUNTIF('История отказов'!$AU$5:AU158,'История отказов'!AU158)=1),154,""))</f>
        <v/>
      </c>
      <c r="DK155">
        <f>IF('История отказов'!AY158="","",IF(AND(COUNTIF($CR$2:$CR$2,'История отказов'!AY158)=0,COUNTIF('История отказов'!$AY$5:AY158,'История отказов'!AY158)=1),154,""))</f>
        <v/>
      </c>
      <c r="DL155">
        <f>IF(DB155="","",IF(AND(COUNTIF($DA$2:$DA$47,DB155)=0,COUNTIF($DB$2:DB155,DB155)=1),154,""))</f>
        <v/>
      </c>
    </row>
    <row r="156">
      <c r="A156" s="74" t="n"/>
      <c r="B156" s="75" t="n"/>
      <c r="C156" s="75" t="n"/>
      <c r="D156" s="75" t="n"/>
      <c r="E156" s="75" t="n"/>
      <c r="F156" s="75" t="n"/>
      <c r="G156" s="76" t="n"/>
      <c r="J156" s="62" t="n"/>
      <c r="K156" s="62" t="n"/>
      <c r="L156" s="62" t="n"/>
      <c r="M156" s="62" t="n"/>
      <c r="N156" s="62" t="n"/>
      <c r="Q156" t="inlineStr">
        <is>
          <t>Предварительная / итоговая причина</t>
        </is>
      </c>
      <c r="R156" t="inlineStr">
        <is>
          <t>3.14 — Отсутствие допустимых интервалов размещения ГНО [УЭЦН]</t>
        </is>
      </c>
      <c r="S156" t="inlineStr">
        <is>
          <t>Код и название; метка группы добавлена</t>
        </is>
      </c>
      <c r="T156" t="inlineStr">
        <is>
          <t>Классификатор по способам 2024 V10, лист УЭЦН</t>
        </is>
      </c>
      <c r="U156" t="inlineStr">
        <is>
          <t>Лист УЭЦН; код 3.14</t>
        </is>
      </c>
      <c r="V156" t="inlineStr">
        <is>
          <t>ЭЦН/ЭВН</t>
        </is>
      </c>
      <c r="CL156">
        <f>IFERROR(INDEX('История отказов'!$AK$5:$AK$1204,SMALL($DI$2:$DI$1201,ROWS($CL$4:CL156))),"")</f>
        <v/>
      </c>
      <c r="CP156">
        <f>IFERROR(INDEX('История отказов'!$AU$5:$AU$1204,SMALL($DJ$2:$DJ$1201,ROWS($CP$4:CP156))),"")</f>
        <v/>
      </c>
      <c r="CR156">
        <f>IFERROR(INDEX('История отказов'!$AY$5:$AY$1204,SMALL($DK$2:$DK$1201,ROWS($CR$3:CR156))),"")</f>
        <v/>
      </c>
      <c r="CT156">
        <f>IFERROR(INDEX('История отказов'!$AE$5:$AE$1204,SMALL($DC$2:$DC$1201,ROWS($CT$3:CT156))),"")</f>
        <v/>
      </c>
      <c r="CU156">
        <f>IFERROR(INDEX('История отказов'!$AE$5:$AE$1204,SMALL($DD$2:$DD$1201,ROWS($CU$4:CU156))),"")</f>
        <v/>
      </c>
      <c r="CV156">
        <f>IFERROR(INDEX('История отказов'!$AE$5:$AE$1204,SMALL($DE$2:$DE$1201,ROWS($CV$4:CV156))),"")</f>
        <v/>
      </c>
      <c r="CW156">
        <f>IFERROR(INDEX('История отказов'!$AE$5:$AE$1204,SMALL($DG$2:$DG$1201,ROWS($CW$3:CW156))),"")</f>
        <v/>
      </c>
      <c r="CX156">
        <f>IFERROR(INDEX('История отказов'!$AE$5:$AE$1204,SMALL($DF$2:$DF$1201,ROWS($CX$3:CX156))),"")</f>
        <v/>
      </c>
      <c r="CY156">
        <f>IFERROR(INDEX('История отказов'!$AE$5:$AE$1204,SMALL($DH$2:$DH$1201,ROWS($CY$7:CY156))),"")</f>
        <v/>
      </c>
      <c r="DB156">
        <f>IF('История отказов'!AH159="","",'История отказов'!AH159)</f>
        <v/>
      </c>
      <c r="DC156">
        <f>IF('История отказов'!AE159="","",IF(AND(COUNTIF($CT$2:$CT$2,'История отказов'!AE159)=0,COUNTIFS('История отказов'!$F$5:F159,"ШГН",'История отказов'!$AE$5:AE159,'История отказов'!AE159)=1,'История отказов'!F159="ШГН"),155,""))</f>
        <v/>
      </c>
      <c r="DD156">
        <f>IF('История отказов'!AE159="","",IF(AND(COUNTIF($CU$2:$CU$3,'История отказов'!AE159)=0,COUNTIFS('История отказов'!$F$5:F159,"ЭЦН",'История отказов'!$AE$5:AE159,'История отказов'!AE159)=1,'История отказов'!F159="ЭЦН"),155,""))</f>
        <v/>
      </c>
      <c r="DE156">
        <f>IF('История отказов'!AE159="","",IF(AND(COUNTIF($CV$2:$CV$3,'История отказов'!AE159)=0,COUNTIFS('История отказов'!$F$5:F159,"ЭВН",'История отказов'!$AE$5:AE159,'История отказов'!AE159)=1,'История отказов'!F159="ЭВН"),155,""))</f>
        <v/>
      </c>
      <c r="DF156">
        <f>IF('История отказов'!AE159="","",IF(AND(COUNTIF($CX$2:$CX$2,'История отказов'!AE159)=0,COUNTIFS('История отказов'!$F$5:F159,"ШВН",'История отказов'!$AE$5:AE159,'История отказов'!AE159)=1,'История отказов'!F159="ШВН"),155,""))</f>
        <v/>
      </c>
      <c r="DG156">
        <f>IF('История отказов'!AE159="","",IF(AND(COUNTIF($CW$2:$CW$2,'История отказов'!AE159)=0,COUNTIFS('История отказов'!$F$5:F159,"НПУ-ВД",'История отказов'!$AE$5:AE159,'История отказов'!AE159)=1,'История отказов'!F159="НПУ-ВД"),155,""))</f>
        <v/>
      </c>
      <c r="DH156">
        <f>IF('История отказов'!AE159="","",IF(AND(COUNTIF($CY$2:$CY$6,'История отказов'!AE159)=0,COUNTIF('История отказов'!$AE$5:AE159,'История отказов'!AE159)=1),155,""))</f>
        <v/>
      </c>
      <c r="DI156">
        <f>IF('История отказов'!AK159="","",IF(AND(COUNTIF($CL$2:$CL$3,'История отказов'!AK159)=0,COUNTIF('История отказов'!$AK$5:AK159,'История отказов'!AK159)=1),155,""))</f>
        <v/>
      </c>
      <c r="DJ156">
        <f>IF('История отказов'!AU159="","",IF(AND(COUNTIF($CP$2:$CP$3,'История отказов'!AU159)=0,COUNTIF('История отказов'!$AU$5:AU159,'История отказов'!AU159)=1),155,""))</f>
        <v/>
      </c>
      <c r="DK156">
        <f>IF('История отказов'!AY159="","",IF(AND(COUNTIF($CR$2:$CR$2,'История отказов'!AY159)=0,COUNTIF('История отказов'!$AY$5:AY159,'История отказов'!AY159)=1),155,""))</f>
        <v/>
      </c>
      <c r="DL156">
        <f>IF(DB156="","",IF(AND(COUNTIF($DA$2:$DA$47,DB156)=0,COUNTIF($DB$2:DB156,DB156)=1),155,""))</f>
        <v/>
      </c>
    </row>
    <row r="157">
      <c r="A157" s="74" t="n"/>
      <c r="B157" s="75" t="n"/>
      <c r="C157" s="75" t="n"/>
      <c r="D157" s="75" t="n"/>
      <c r="E157" s="75" t="n"/>
      <c r="F157" s="75" t="n"/>
      <c r="G157" s="76" t="n"/>
      <c r="J157" s="62" t="n"/>
      <c r="K157" s="62" t="n"/>
      <c r="L157" s="62" t="n"/>
      <c r="M157" s="62" t="n"/>
      <c r="N157" s="62" t="n"/>
      <c r="Q157" t="inlineStr">
        <is>
          <t>Предварительная / итоговая причина</t>
        </is>
      </c>
      <c r="R157" t="inlineStr">
        <is>
          <t>3.15 — Работа ГНО в сложных условиях [УЭЦН]</t>
        </is>
      </c>
      <c r="S157" t="inlineStr">
        <is>
          <t>Код и название; метка группы добавлена</t>
        </is>
      </c>
      <c r="T157" t="inlineStr">
        <is>
          <t>Классификатор по способам 2024 V10, лист УЭЦН</t>
        </is>
      </c>
      <c r="U157" t="inlineStr">
        <is>
          <t>Лист УЭЦН; код 3.15</t>
        </is>
      </c>
      <c r="V157" t="inlineStr">
        <is>
          <t>ЭЦН/ЭВН</t>
        </is>
      </c>
      <c r="CL157">
        <f>IFERROR(INDEX('История отказов'!$AK$5:$AK$1204,SMALL($DI$2:$DI$1201,ROWS($CL$4:CL157))),"")</f>
        <v/>
      </c>
      <c r="CP157">
        <f>IFERROR(INDEX('История отказов'!$AU$5:$AU$1204,SMALL($DJ$2:$DJ$1201,ROWS($CP$4:CP157))),"")</f>
        <v/>
      </c>
      <c r="CR157">
        <f>IFERROR(INDEX('История отказов'!$AY$5:$AY$1204,SMALL($DK$2:$DK$1201,ROWS($CR$3:CR157))),"")</f>
        <v/>
      </c>
      <c r="CT157">
        <f>IFERROR(INDEX('История отказов'!$AE$5:$AE$1204,SMALL($DC$2:$DC$1201,ROWS($CT$3:CT157))),"")</f>
        <v/>
      </c>
      <c r="CU157">
        <f>IFERROR(INDEX('История отказов'!$AE$5:$AE$1204,SMALL($DD$2:$DD$1201,ROWS($CU$4:CU157))),"")</f>
        <v/>
      </c>
      <c r="CV157">
        <f>IFERROR(INDEX('История отказов'!$AE$5:$AE$1204,SMALL($DE$2:$DE$1201,ROWS($CV$4:CV157))),"")</f>
        <v/>
      </c>
      <c r="CW157">
        <f>IFERROR(INDEX('История отказов'!$AE$5:$AE$1204,SMALL($DG$2:$DG$1201,ROWS($CW$3:CW157))),"")</f>
        <v/>
      </c>
      <c r="CX157">
        <f>IFERROR(INDEX('История отказов'!$AE$5:$AE$1204,SMALL($DF$2:$DF$1201,ROWS($CX$3:CX157))),"")</f>
        <v/>
      </c>
      <c r="CY157">
        <f>IFERROR(INDEX('История отказов'!$AE$5:$AE$1204,SMALL($DH$2:$DH$1201,ROWS($CY$7:CY157))),"")</f>
        <v/>
      </c>
      <c r="DB157">
        <f>IF('История отказов'!AH160="","",'История отказов'!AH160)</f>
        <v/>
      </c>
      <c r="DC157">
        <f>IF('История отказов'!AE160="","",IF(AND(COUNTIF($CT$2:$CT$2,'История отказов'!AE160)=0,COUNTIFS('История отказов'!$F$5:F160,"ШГН",'История отказов'!$AE$5:AE160,'История отказов'!AE160)=1,'История отказов'!F160="ШГН"),156,""))</f>
        <v/>
      </c>
      <c r="DD157">
        <f>IF('История отказов'!AE160="","",IF(AND(COUNTIF($CU$2:$CU$3,'История отказов'!AE160)=0,COUNTIFS('История отказов'!$F$5:F160,"ЭЦН",'История отказов'!$AE$5:AE160,'История отказов'!AE160)=1,'История отказов'!F160="ЭЦН"),156,""))</f>
        <v/>
      </c>
      <c r="DE157">
        <f>IF('История отказов'!AE160="","",IF(AND(COUNTIF($CV$2:$CV$3,'История отказов'!AE160)=0,COUNTIFS('История отказов'!$F$5:F160,"ЭВН",'История отказов'!$AE$5:AE160,'История отказов'!AE160)=1,'История отказов'!F160="ЭВН"),156,""))</f>
        <v/>
      </c>
      <c r="DF157">
        <f>IF('История отказов'!AE160="","",IF(AND(COUNTIF($CX$2:$CX$2,'История отказов'!AE160)=0,COUNTIFS('История отказов'!$F$5:F160,"ШВН",'История отказов'!$AE$5:AE160,'История отказов'!AE160)=1,'История отказов'!F160="ШВН"),156,""))</f>
        <v/>
      </c>
      <c r="DG157">
        <f>IF('История отказов'!AE160="","",IF(AND(COUNTIF($CW$2:$CW$2,'История отказов'!AE160)=0,COUNTIFS('История отказов'!$F$5:F160,"НПУ-ВД",'История отказов'!$AE$5:AE160,'История отказов'!AE160)=1,'История отказов'!F160="НПУ-ВД"),156,""))</f>
        <v/>
      </c>
      <c r="DH157">
        <f>IF('История отказов'!AE160="","",IF(AND(COUNTIF($CY$2:$CY$6,'История отказов'!AE160)=0,COUNTIF('История отказов'!$AE$5:AE160,'История отказов'!AE160)=1),156,""))</f>
        <v/>
      </c>
      <c r="DI157">
        <f>IF('История отказов'!AK160="","",IF(AND(COUNTIF($CL$2:$CL$3,'История отказов'!AK160)=0,COUNTIF('История отказов'!$AK$5:AK160,'История отказов'!AK160)=1),156,""))</f>
        <v/>
      </c>
      <c r="DJ157">
        <f>IF('История отказов'!AU160="","",IF(AND(COUNTIF($CP$2:$CP$3,'История отказов'!AU160)=0,COUNTIF('История отказов'!$AU$5:AU160,'История отказов'!AU160)=1),156,""))</f>
        <v/>
      </c>
      <c r="DK157">
        <f>IF('История отказов'!AY160="","",IF(AND(COUNTIF($CR$2:$CR$2,'История отказов'!AY160)=0,COUNTIF('История отказов'!$AY$5:AY160,'История отказов'!AY160)=1),156,""))</f>
        <v/>
      </c>
      <c r="DL157">
        <f>IF(DB157="","",IF(AND(COUNTIF($DA$2:$DA$47,DB157)=0,COUNTIF($DB$2:DB157,DB157)=1),156,""))</f>
        <v/>
      </c>
    </row>
    <row r="158">
      <c r="A158" s="74" t="n"/>
      <c r="B158" s="75" t="n"/>
      <c r="C158" s="75" t="n"/>
      <c r="D158" s="75" t="n"/>
      <c r="E158" s="75" t="n"/>
      <c r="F158" s="75" t="n"/>
      <c r="G158" s="76" t="n"/>
      <c r="J158" s="62" t="n"/>
      <c r="K158" s="62" t="n"/>
      <c r="L158" s="62" t="n"/>
      <c r="M158" s="62" t="n"/>
      <c r="N158" s="62" t="n"/>
      <c r="Q158" t="inlineStr">
        <is>
          <t>Предварительная / итоговая причина</t>
        </is>
      </c>
      <c r="R158" t="inlineStr">
        <is>
          <t>3.16 — Авария [УЭЦН]</t>
        </is>
      </c>
      <c r="S158" t="inlineStr">
        <is>
          <t>Код и название; метка группы добавлена</t>
        </is>
      </c>
      <c r="T158" t="inlineStr">
        <is>
          <t>Классификатор по способам 2024 V10, лист УЭЦН</t>
        </is>
      </c>
      <c r="U158" t="inlineStr">
        <is>
          <t>Лист УЭЦН; код 3.16</t>
        </is>
      </c>
      <c r="V158" t="inlineStr">
        <is>
          <t>ЭЦН/ЭВН</t>
        </is>
      </c>
      <c r="CL158">
        <f>IFERROR(INDEX('История отказов'!$AK$5:$AK$1204,SMALL($DI$2:$DI$1201,ROWS($CL$4:CL158))),"")</f>
        <v/>
      </c>
      <c r="CP158">
        <f>IFERROR(INDEX('История отказов'!$AU$5:$AU$1204,SMALL($DJ$2:$DJ$1201,ROWS($CP$4:CP158))),"")</f>
        <v/>
      </c>
      <c r="CR158">
        <f>IFERROR(INDEX('История отказов'!$AY$5:$AY$1204,SMALL($DK$2:$DK$1201,ROWS($CR$3:CR158))),"")</f>
        <v/>
      </c>
      <c r="CT158">
        <f>IFERROR(INDEX('История отказов'!$AE$5:$AE$1204,SMALL($DC$2:$DC$1201,ROWS($CT$3:CT158))),"")</f>
        <v/>
      </c>
      <c r="CU158">
        <f>IFERROR(INDEX('История отказов'!$AE$5:$AE$1204,SMALL($DD$2:$DD$1201,ROWS($CU$4:CU158))),"")</f>
        <v/>
      </c>
      <c r="CV158">
        <f>IFERROR(INDEX('История отказов'!$AE$5:$AE$1204,SMALL($DE$2:$DE$1201,ROWS($CV$4:CV158))),"")</f>
        <v/>
      </c>
      <c r="CW158">
        <f>IFERROR(INDEX('История отказов'!$AE$5:$AE$1204,SMALL($DG$2:$DG$1201,ROWS($CW$3:CW158))),"")</f>
        <v/>
      </c>
      <c r="CX158">
        <f>IFERROR(INDEX('История отказов'!$AE$5:$AE$1204,SMALL($DF$2:$DF$1201,ROWS($CX$3:CX158))),"")</f>
        <v/>
      </c>
      <c r="CY158">
        <f>IFERROR(INDEX('История отказов'!$AE$5:$AE$1204,SMALL($DH$2:$DH$1201,ROWS($CY$7:CY158))),"")</f>
        <v/>
      </c>
      <c r="DB158">
        <f>IF('История отказов'!AH161="","",'История отказов'!AH161)</f>
        <v/>
      </c>
      <c r="DC158">
        <f>IF('История отказов'!AE161="","",IF(AND(COUNTIF($CT$2:$CT$2,'История отказов'!AE161)=0,COUNTIFS('История отказов'!$F$5:F161,"ШГН",'История отказов'!$AE$5:AE161,'История отказов'!AE161)=1,'История отказов'!F161="ШГН"),157,""))</f>
        <v/>
      </c>
      <c r="DD158">
        <f>IF('История отказов'!AE161="","",IF(AND(COUNTIF($CU$2:$CU$3,'История отказов'!AE161)=0,COUNTIFS('История отказов'!$F$5:F161,"ЭЦН",'История отказов'!$AE$5:AE161,'История отказов'!AE161)=1,'История отказов'!F161="ЭЦН"),157,""))</f>
        <v/>
      </c>
      <c r="DE158">
        <f>IF('История отказов'!AE161="","",IF(AND(COUNTIF($CV$2:$CV$3,'История отказов'!AE161)=0,COUNTIFS('История отказов'!$F$5:F161,"ЭВН",'История отказов'!$AE$5:AE161,'История отказов'!AE161)=1,'История отказов'!F161="ЭВН"),157,""))</f>
        <v/>
      </c>
      <c r="DF158">
        <f>IF('История отказов'!AE161="","",IF(AND(COUNTIF($CX$2:$CX$2,'История отказов'!AE161)=0,COUNTIFS('История отказов'!$F$5:F161,"ШВН",'История отказов'!$AE$5:AE161,'История отказов'!AE161)=1,'История отказов'!F161="ШВН"),157,""))</f>
        <v/>
      </c>
      <c r="DG158">
        <f>IF('История отказов'!AE161="","",IF(AND(COUNTIF($CW$2:$CW$2,'История отказов'!AE161)=0,COUNTIFS('История отказов'!$F$5:F161,"НПУ-ВД",'История отказов'!$AE$5:AE161,'История отказов'!AE161)=1,'История отказов'!F161="НПУ-ВД"),157,""))</f>
        <v/>
      </c>
      <c r="DH158">
        <f>IF('История отказов'!AE161="","",IF(AND(COUNTIF($CY$2:$CY$6,'История отказов'!AE161)=0,COUNTIF('История отказов'!$AE$5:AE161,'История отказов'!AE161)=1),157,""))</f>
        <v/>
      </c>
      <c r="DI158">
        <f>IF('История отказов'!AK161="","",IF(AND(COUNTIF($CL$2:$CL$3,'История отказов'!AK161)=0,COUNTIF('История отказов'!$AK$5:AK161,'История отказов'!AK161)=1),157,""))</f>
        <v/>
      </c>
      <c r="DJ158">
        <f>IF('История отказов'!AU161="","",IF(AND(COUNTIF($CP$2:$CP$3,'История отказов'!AU161)=0,COUNTIF('История отказов'!$AU$5:AU161,'История отказов'!AU161)=1),157,""))</f>
        <v/>
      </c>
      <c r="DK158">
        <f>IF('История отказов'!AY161="","",IF(AND(COUNTIF($CR$2:$CR$2,'История отказов'!AY161)=0,COUNTIF('История отказов'!$AY$5:AY161,'История отказов'!AY161)=1),157,""))</f>
        <v/>
      </c>
      <c r="DL158">
        <f>IF(DB158="","",IF(AND(COUNTIF($DA$2:$DA$47,DB158)=0,COUNTIF($DB$2:DB158,DB158)=1),157,""))</f>
        <v/>
      </c>
    </row>
    <row r="159">
      <c r="A159" s="74" t="n"/>
      <c r="B159" s="75" t="n"/>
      <c r="C159" s="75" t="n"/>
      <c r="D159" s="75" t="n"/>
      <c r="E159" s="75" t="n"/>
      <c r="F159" s="75" t="n"/>
      <c r="G159" s="76" t="n"/>
      <c r="J159" s="62" t="n"/>
      <c r="K159" s="62" t="n"/>
      <c r="L159" s="62" t="n"/>
      <c r="M159" s="62" t="n"/>
      <c r="N159" s="62" t="n"/>
      <c r="Q159" t="inlineStr">
        <is>
          <t>Предварительная / итоговая причина</t>
        </is>
      </c>
      <c r="R159" t="inlineStr">
        <is>
          <t>3.17 — Не герметичность НКТ с большой наработкой [УЭЦН]</t>
        </is>
      </c>
      <c r="S159" t="inlineStr">
        <is>
          <t>Код и название; метка группы добавлена</t>
        </is>
      </c>
      <c r="T159" t="inlineStr">
        <is>
          <t>Классификатор по способам 2024 V10, лист УЭЦН</t>
        </is>
      </c>
      <c r="U159" t="inlineStr">
        <is>
          <t>Лист УЭЦН; код 3.17</t>
        </is>
      </c>
      <c r="V159" t="inlineStr">
        <is>
          <t>ЭЦН/ЭВН</t>
        </is>
      </c>
      <c r="CL159">
        <f>IFERROR(INDEX('История отказов'!$AK$5:$AK$1204,SMALL($DI$2:$DI$1201,ROWS($CL$4:CL159))),"")</f>
        <v/>
      </c>
      <c r="CP159">
        <f>IFERROR(INDEX('История отказов'!$AU$5:$AU$1204,SMALL($DJ$2:$DJ$1201,ROWS($CP$4:CP159))),"")</f>
        <v/>
      </c>
      <c r="CR159">
        <f>IFERROR(INDEX('История отказов'!$AY$5:$AY$1204,SMALL($DK$2:$DK$1201,ROWS($CR$3:CR159))),"")</f>
        <v/>
      </c>
      <c r="CT159">
        <f>IFERROR(INDEX('История отказов'!$AE$5:$AE$1204,SMALL($DC$2:$DC$1201,ROWS($CT$3:CT159))),"")</f>
        <v/>
      </c>
      <c r="CU159">
        <f>IFERROR(INDEX('История отказов'!$AE$5:$AE$1204,SMALL($DD$2:$DD$1201,ROWS($CU$4:CU159))),"")</f>
        <v/>
      </c>
      <c r="CV159">
        <f>IFERROR(INDEX('История отказов'!$AE$5:$AE$1204,SMALL($DE$2:$DE$1201,ROWS($CV$4:CV159))),"")</f>
        <v/>
      </c>
      <c r="CW159">
        <f>IFERROR(INDEX('История отказов'!$AE$5:$AE$1204,SMALL($DG$2:$DG$1201,ROWS($CW$3:CW159))),"")</f>
        <v/>
      </c>
      <c r="CX159">
        <f>IFERROR(INDEX('История отказов'!$AE$5:$AE$1204,SMALL($DF$2:$DF$1201,ROWS($CX$3:CX159))),"")</f>
        <v/>
      </c>
      <c r="CY159">
        <f>IFERROR(INDEX('История отказов'!$AE$5:$AE$1204,SMALL($DH$2:$DH$1201,ROWS($CY$7:CY159))),"")</f>
        <v/>
      </c>
      <c r="DB159">
        <f>IF('История отказов'!AH162="","",'История отказов'!AH162)</f>
        <v/>
      </c>
      <c r="DC159">
        <f>IF('История отказов'!AE162="","",IF(AND(COUNTIF($CT$2:$CT$2,'История отказов'!AE162)=0,COUNTIFS('История отказов'!$F$5:F162,"ШГН",'История отказов'!$AE$5:AE162,'История отказов'!AE162)=1,'История отказов'!F162="ШГН"),158,""))</f>
        <v/>
      </c>
      <c r="DD159">
        <f>IF('История отказов'!AE162="","",IF(AND(COUNTIF($CU$2:$CU$3,'История отказов'!AE162)=0,COUNTIFS('История отказов'!$F$5:F162,"ЭЦН",'История отказов'!$AE$5:AE162,'История отказов'!AE162)=1,'История отказов'!F162="ЭЦН"),158,""))</f>
        <v/>
      </c>
      <c r="DE159">
        <f>IF('История отказов'!AE162="","",IF(AND(COUNTIF($CV$2:$CV$3,'История отказов'!AE162)=0,COUNTIFS('История отказов'!$F$5:F162,"ЭВН",'История отказов'!$AE$5:AE162,'История отказов'!AE162)=1,'История отказов'!F162="ЭВН"),158,""))</f>
        <v/>
      </c>
      <c r="DF159">
        <f>IF('История отказов'!AE162="","",IF(AND(COUNTIF($CX$2:$CX$2,'История отказов'!AE162)=0,COUNTIFS('История отказов'!$F$5:F162,"ШВН",'История отказов'!$AE$5:AE162,'История отказов'!AE162)=1,'История отказов'!F162="ШВН"),158,""))</f>
        <v/>
      </c>
      <c r="DG159">
        <f>IF('История отказов'!AE162="","",IF(AND(COUNTIF($CW$2:$CW$2,'История отказов'!AE162)=0,COUNTIFS('История отказов'!$F$5:F162,"НПУ-ВД",'История отказов'!$AE$5:AE162,'История отказов'!AE162)=1,'История отказов'!F162="НПУ-ВД"),158,""))</f>
        <v/>
      </c>
      <c r="DH159">
        <f>IF('История отказов'!AE162="","",IF(AND(COUNTIF($CY$2:$CY$6,'История отказов'!AE162)=0,COUNTIF('История отказов'!$AE$5:AE162,'История отказов'!AE162)=1),158,""))</f>
        <v/>
      </c>
      <c r="DI159">
        <f>IF('История отказов'!AK162="","",IF(AND(COUNTIF($CL$2:$CL$3,'История отказов'!AK162)=0,COUNTIF('История отказов'!$AK$5:AK162,'История отказов'!AK162)=1),158,""))</f>
        <v/>
      </c>
      <c r="DJ159">
        <f>IF('История отказов'!AU162="","",IF(AND(COUNTIF($CP$2:$CP$3,'История отказов'!AU162)=0,COUNTIF('История отказов'!$AU$5:AU162,'История отказов'!AU162)=1),158,""))</f>
        <v/>
      </c>
      <c r="DK159">
        <f>IF('История отказов'!AY162="","",IF(AND(COUNTIF($CR$2:$CR$2,'История отказов'!AY162)=0,COUNTIF('История отказов'!$AY$5:AY162,'История отказов'!AY162)=1),158,""))</f>
        <v/>
      </c>
      <c r="DL159">
        <f>IF(DB159="","",IF(AND(COUNTIF($DA$2:$DA$47,DB159)=0,COUNTIF($DB$2:DB159,DB159)=1),158,""))</f>
        <v/>
      </c>
    </row>
    <row r="160">
      <c r="A160" s="74" t="n"/>
      <c r="B160" s="75" t="n"/>
      <c r="C160" s="75" t="n"/>
      <c r="D160" s="75" t="n"/>
      <c r="E160" s="75" t="n"/>
      <c r="F160" s="75" t="n"/>
      <c r="G160" s="76" t="n"/>
      <c r="J160" s="62" t="n"/>
      <c r="K160" s="62" t="n"/>
      <c r="L160" s="62" t="n"/>
      <c r="M160" s="62" t="n"/>
      <c r="N160" s="62" t="n"/>
      <c r="Q160" t="inlineStr">
        <is>
          <t>Предварительная / итоговая причина</t>
        </is>
      </c>
      <c r="R160" t="inlineStr">
        <is>
          <t>3.18 — Влияние ПЦО (ПТВ) при эксплуатации [УЭЦН]</t>
        </is>
      </c>
      <c r="S160" t="inlineStr">
        <is>
          <t>Код и название; метка группы добавлена</t>
        </is>
      </c>
      <c r="T160" t="inlineStr">
        <is>
          <t>Классификатор по способам 2024 V10, лист УЭЦН</t>
        </is>
      </c>
      <c r="U160" t="inlineStr">
        <is>
          <t>Лист УЭЦН; код 3.18</t>
        </is>
      </c>
      <c r="V160" t="inlineStr">
        <is>
          <t>ЭЦН/ЭВН</t>
        </is>
      </c>
      <c r="CL160">
        <f>IFERROR(INDEX('История отказов'!$AK$5:$AK$1204,SMALL($DI$2:$DI$1201,ROWS($CL$4:CL160))),"")</f>
        <v/>
      </c>
      <c r="CP160">
        <f>IFERROR(INDEX('История отказов'!$AU$5:$AU$1204,SMALL($DJ$2:$DJ$1201,ROWS($CP$4:CP160))),"")</f>
        <v/>
      </c>
      <c r="CR160">
        <f>IFERROR(INDEX('История отказов'!$AY$5:$AY$1204,SMALL($DK$2:$DK$1201,ROWS($CR$3:CR160))),"")</f>
        <v/>
      </c>
      <c r="CT160">
        <f>IFERROR(INDEX('История отказов'!$AE$5:$AE$1204,SMALL($DC$2:$DC$1201,ROWS($CT$3:CT160))),"")</f>
        <v/>
      </c>
      <c r="CU160">
        <f>IFERROR(INDEX('История отказов'!$AE$5:$AE$1204,SMALL($DD$2:$DD$1201,ROWS($CU$4:CU160))),"")</f>
        <v/>
      </c>
      <c r="CV160">
        <f>IFERROR(INDEX('История отказов'!$AE$5:$AE$1204,SMALL($DE$2:$DE$1201,ROWS($CV$4:CV160))),"")</f>
        <v/>
      </c>
      <c r="CW160">
        <f>IFERROR(INDEX('История отказов'!$AE$5:$AE$1204,SMALL($DG$2:$DG$1201,ROWS($CW$3:CW160))),"")</f>
        <v/>
      </c>
      <c r="CX160">
        <f>IFERROR(INDEX('История отказов'!$AE$5:$AE$1204,SMALL($DF$2:$DF$1201,ROWS($CX$3:CX160))),"")</f>
        <v/>
      </c>
      <c r="CY160">
        <f>IFERROR(INDEX('История отказов'!$AE$5:$AE$1204,SMALL($DH$2:$DH$1201,ROWS($CY$7:CY160))),"")</f>
        <v/>
      </c>
      <c r="DB160">
        <f>IF('История отказов'!AH163="","",'История отказов'!AH163)</f>
        <v/>
      </c>
      <c r="DC160">
        <f>IF('История отказов'!AE163="","",IF(AND(COUNTIF($CT$2:$CT$2,'История отказов'!AE163)=0,COUNTIFS('История отказов'!$F$5:F163,"ШГН",'История отказов'!$AE$5:AE163,'История отказов'!AE163)=1,'История отказов'!F163="ШГН"),159,""))</f>
        <v/>
      </c>
      <c r="DD160">
        <f>IF('История отказов'!AE163="","",IF(AND(COUNTIF($CU$2:$CU$3,'История отказов'!AE163)=0,COUNTIFS('История отказов'!$F$5:F163,"ЭЦН",'История отказов'!$AE$5:AE163,'История отказов'!AE163)=1,'История отказов'!F163="ЭЦН"),159,""))</f>
        <v/>
      </c>
      <c r="DE160">
        <f>IF('История отказов'!AE163="","",IF(AND(COUNTIF($CV$2:$CV$3,'История отказов'!AE163)=0,COUNTIFS('История отказов'!$F$5:F163,"ЭВН",'История отказов'!$AE$5:AE163,'История отказов'!AE163)=1,'История отказов'!F163="ЭВН"),159,""))</f>
        <v/>
      </c>
      <c r="DF160">
        <f>IF('История отказов'!AE163="","",IF(AND(COUNTIF($CX$2:$CX$2,'История отказов'!AE163)=0,COUNTIFS('История отказов'!$F$5:F163,"ШВН",'История отказов'!$AE$5:AE163,'История отказов'!AE163)=1,'История отказов'!F163="ШВН"),159,""))</f>
        <v/>
      </c>
      <c r="DG160">
        <f>IF('История отказов'!AE163="","",IF(AND(COUNTIF($CW$2:$CW$2,'История отказов'!AE163)=0,COUNTIFS('История отказов'!$F$5:F163,"НПУ-ВД",'История отказов'!$AE$5:AE163,'История отказов'!AE163)=1,'История отказов'!F163="НПУ-ВД"),159,""))</f>
        <v/>
      </c>
      <c r="DH160">
        <f>IF('История отказов'!AE163="","",IF(AND(COUNTIF($CY$2:$CY$6,'История отказов'!AE163)=0,COUNTIF('История отказов'!$AE$5:AE163,'История отказов'!AE163)=1),159,""))</f>
        <v/>
      </c>
      <c r="DI160">
        <f>IF('История отказов'!AK163="","",IF(AND(COUNTIF($CL$2:$CL$3,'История отказов'!AK163)=0,COUNTIF('История отказов'!$AK$5:AK163,'История отказов'!AK163)=1),159,""))</f>
        <v/>
      </c>
      <c r="DJ160">
        <f>IF('История отказов'!AU163="","",IF(AND(COUNTIF($CP$2:$CP$3,'История отказов'!AU163)=0,COUNTIF('История отказов'!$AU$5:AU163,'История отказов'!AU163)=1),159,""))</f>
        <v/>
      </c>
      <c r="DK160">
        <f>IF('История отказов'!AY163="","",IF(AND(COUNTIF($CR$2:$CR$2,'История отказов'!AY163)=0,COUNTIF('История отказов'!$AY$5:AY163,'История отказов'!AY163)=1),159,""))</f>
        <v/>
      </c>
      <c r="DL160">
        <f>IF(DB160="","",IF(AND(COUNTIF($DA$2:$DA$47,DB160)=0,COUNTIF($DB$2:DB160,DB160)=1),159,""))</f>
        <v/>
      </c>
    </row>
    <row r="161">
      <c r="A161" s="74" t="n"/>
      <c r="B161" s="75" t="n"/>
      <c r="C161" s="75" t="n"/>
      <c r="D161" s="75" t="n"/>
      <c r="E161" s="75" t="n"/>
      <c r="F161" s="75" t="n"/>
      <c r="G161" s="76" t="n"/>
      <c r="J161" s="62" t="n"/>
      <c r="K161" s="62" t="n"/>
      <c r="L161" s="62" t="n"/>
      <c r="M161" s="62" t="n"/>
      <c r="N161" s="62" t="n"/>
      <c r="Q161" t="inlineStr">
        <is>
          <t>Предварительная / итоговая причина</t>
        </is>
      </c>
      <c r="R161" t="inlineStr">
        <is>
          <t>3.19 — Влияние ВВЭ (высоковязкая эмульсия) [УЭЦН]</t>
        </is>
      </c>
      <c r="S161" t="inlineStr">
        <is>
          <t>Код и название; метка группы добавлена</t>
        </is>
      </c>
      <c r="T161" t="inlineStr">
        <is>
          <t>Классификатор по способам 2024 V10, лист УЭЦН</t>
        </is>
      </c>
      <c r="U161" t="inlineStr">
        <is>
          <t>Лист УЭЦН; код 3.19</t>
        </is>
      </c>
      <c r="V161" t="inlineStr">
        <is>
          <t>ЭЦН/ЭВН</t>
        </is>
      </c>
      <c r="CL161">
        <f>IFERROR(INDEX('История отказов'!$AK$5:$AK$1204,SMALL($DI$2:$DI$1201,ROWS($CL$4:CL161))),"")</f>
        <v/>
      </c>
      <c r="CP161">
        <f>IFERROR(INDEX('История отказов'!$AU$5:$AU$1204,SMALL($DJ$2:$DJ$1201,ROWS($CP$4:CP161))),"")</f>
        <v/>
      </c>
      <c r="CR161">
        <f>IFERROR(INDEX('История отказов'!$AY$5:$AY$1204,SMALL($DK$2:$DK$1201,ROWS($CR$3:CR161))),"")</f>
        <v/>
      </c>
      <c r="CT161">
        <f>IFERROR(INDEX('История отказов'!$AE$5:$AE$1204,SMALL($DC$2:$DC$1201,ROWS($CT$3:CT161))),"")</f>
        <v/>
      </c>
      <c r="CU161">
        <f>IFERROR(INDEX('История отказов'!$AE$5:$AE$1204,SMALL($DD$2:$DD$1201,ROWS($CU$4:CU161))),"")</f>
        <v/>
      </c>
      <c r="CV161">
        <f>IFERROR(INDEX('История отказов'!$AE$5:$AE$1204,SMALL($DE$2:$DE$1201,ROWS($CV$4:CV161))),"")</f>
        <v/>
      </c>
      <c r="CW161">
        <f>IFERROR(INDEX('История отказов'!$AE$5:$AE$1204,SMALL($DG$2:$DG$1201,ROWS($CW$3:CW161))),"")</f>
        <v/>
      </c>
      <c r="CX161">
        <f>IFERROR(INDEX('История отказов'!$AE$5:$AE$1204,SMALL($DF$2:$DF$1201,ROWS($CX$3:CX161))),"")</f>
        <v/>
      </c>
      <c r="CY161">
        <f>IFERROR(INDEX('История отказов'!$AE$5:$AE$1204,SMALL($DH$2:$DH$1201,ROWS($CY$7:CY161))),"")</f>
        <v/>
      </c>
      <c r="DB161">
        <f>IF('История отказов'!AH164="","",'История отказов'!AH164)</f>
        <v/>
      </c>
      <c r="DC161">
        <f>IF('История отказов'!AE164="","",IF(AND(COUNTIF($CT$2:$CT$2,'История отказов'!AE164)=0,COUNTIFS('История отказов'!$F$5:F164,"ШГН",'История отказов'!$AE$5:AE164,'История отказов'!AE164)=1,'История отказов'!F164="ШГН"),160,""))</f>
        <v/>
      </c>
      <c r="DD161">
        <f>IF('История отказов'!AE164="","",IF(AND(COUNTIF($CU$2:$CU$3,'История отказов'!AE164)=0,COUNTIFS('История отказов'!$F$5:F164,"ЭЦН",'История отказов'!$AE$5:AE164,'История отказов'!AE164)=1,'История отказов'!F164="ЭЦН"),160,""))</f>
        <v/>
      </c>
      <c r="DE161">
        <f>IF('История отказов'!AE164="","",IF(AND(COUNTIF($CV$2:$CV$3,'История отказов'!AE164)=0,COUNTIFS('История отказов'!$F$5:F164,"ЭВН",'История отказов'!$AE$5:AE164,'История отказов'!AE164)=1,'История отказов'!F164="ЭВН"),160,""))</f>
        <v/>
      </c>
      <c r="DF161">
        <f>IF('История отказов'!AE164="","",IF(AND(COUNTIF($CX$2:$CX$2,'История отказов'!AE164)=0,COUNTIFS('История отказов'!$F$5:F164,"ШВН",'История отказов'!$AE$5:AE164,'История отказов'!AE164)=1,'История отказов'!F164="ШВН"),160,""))</f>
        <v/>
      </c>
      <c r="DG161">
        <f>IF('История отказов'!AE164="","",IF(AND(COUNTIF($CW$2:$CW$2,'История отказов'!AE164)=0,COUNTIFS('История отказов'!$F$5:F164,"НПУ-ВД",'История отказов'!$AE$5:AE164,'История отказов'!AE164)=1,'История отказов'!F164="НПУ-ВД"),160,""))</f>
        <v/>
      </c>
      <c r="DH161">
        <f>IF('История отказов'!AE164="","",IF(AND(COUNTIF($CY$2:$CY$6,'История отказов'!AE164)=0,COUNTIF('История отказов'!$AE$5:AE164,'История отказов'!AE164)=1),160,""))</f>
        <v/>
      </c>
      <c r="DI161">
        <f>IF('История отказов'!AK164="","",IF(AND(COUNTIF($CL$2:$CL$3,'История отказов'!AK164)=0,COUNTIF('История отказов'!$AK$5:AK164,'История отказов'!AK164)=1),160,""))</f>
        <v/>
      </c>
      <c r="DJ161">
        <f>IF('История отказов'!AU164="","",IF(AND(COUNTIF($CP$2:$CP$3,'История отказов'!AU164)=0,COUNTIF('История отказов'!$AU$5:AU164,'История отказов'!AU164)=1),160,""))</f>
        <v/>
      </c>
      <c r="DK161">
        <f>IF('История отказов'!AY164="","",IF(AND(COUNTIF($CR$2:$CR$2,'История отказов'!AY164)=0,COUNTIF('История отказов'!$AY$5:AY164,'История отказов'!AY164)=1),160,""))</f>
        <v/>
      </c>
      <c r="DL161">
        <f>IF(DB161="","",IF(AND(COUNTIF($DA$2:$DA$47,DB161)=0,COUNTIF($DB$2:DB161,DB161)=1),160,""))</f>
        <v/>
      </c>
    </row>
    <row r="162">
      <c r="A162" s="74" t="n"/>
      <c r="B162" s="75" t="n"/>
      <c r="C162" s="75" t="n"/>
      <c r="D162" s="75" t="n"/>
      <c r="E162" s="75" t="n"/>
      <c r="F162" s="75" t="n"/>
      <c r="G162" s="76" t="n"/>
      <c r="J162" s="62" t="n"/>
      <c r="K162" s="62" t="n"/>
      <c r="L162" s="62" t="n"/>
      <c r="M162" s="62" t="n"/>
      <c r="N162" s="62" t="n"/>
      <c r="Q162" t="inlineStr">
        <is>
          <t>Предварительная / итоговая причина</t>
        </is>
      </c>
      <c r="R162" t="inlineStr">
        <is>
          <t>4.1 — Некачественный ремонт (изготовление) кабельной линии [УЭЦН]</t>
        </is>
      </c>
      <c r="S162" t="inlineStr">
        <is>
          <t>Код и название; метка группы добавлена</t>
        </is>
      </c>
      <c r="T162" t="inlineStr">
        <is>
          <t>Классификатор по способам 2024 V10, лист УЭЦН</t>
        </is>
      </c>
      <c r="U162" t="inlineStr">
        <is>
          <t>Лист УЭЦН; код 4.1</t>
        </is>
      </c>
      <c r="V162" t="inlineStr">
        <is>
          <t>ЭЦН/ЭВН</t>
        </is>
      </c>
      <c r="CL162">
        <f>IFERROR(INDEX('История отказов'!$AK$5:$AK$1204,SMALL($DI$2:$DI$1201,ROWS($CL$4:CL162))),"")</f>
        <v/>
      </c>
      <c r="CP162">
        <f>IFERROR(INDEX('История отказов'!$AU$5:$AU$1204,SMALL($DJ$2:$DJ$1201,ROWS($CP$4:CP162))),"")</f>
        <v/>
      </c>
      <c r="CR162">
        <f>IFERROR(INDEX('История отказов'!$AY$5:$AY$1204,SMALL($DK$2:$DK$1201,ROWS($CR$3:CR162))),"")</f>
        <v/>
      </c>
      <c r="CT162">
        <f>IFERROR(INDEX('История отказов'!$AE$5:$AE$1204,SMALL($DC$2:$DC$1201,ROWS($CT$3:CT162))),"")</f>
        <v/>
      </c>
      <c r="CU162">
        <f>IFERROR(INDEX('История отказов'!$AE$5:$AE$1204,SMALL($DD$2:$DD$1201,ROWS($CU$4:CU162))),"")</f>
        <v/>
      </c>
      <c r="CV162">
        <f>IFERROR(INDEX('История отказов'!$AE$5:$AE$1204,SMALL($DE$2:$DE$1201,ROWS($CV$4:CV162))),"")</f>
        <v/>
      </c>
      <c r="CW162">
        <f>IFERROR(INDEX('История отказов'!$AE$5:$AE$1204,SMALL($DG$2:$DG$1201,ROWS($CW$3:CW162))),"")</f>
        <v/>
      </c>
      <c r="CX162">
        <f>IFERROR(INDEX('История отказов'!$AE$5:$AE$1204,SMALL($DF$2:$DF$1201,ROWS($CX$3:CX162))),"")</f>
        <v/>
      </c>
      <c r="CY162">
        <f>IFERROR(INDEX('История отказов'!$AE$5:$AE$1204,SMALL($DH$2:$DH$1201,ROWS($CY$7:CY162))),"")</f>
        <v/>
      </c>
      <c r="DB162">
        <f>IF('История отказов'!AH165="","",'История отказов'!AH165)</f>
        <v/>
      </c>
      <c r="DC162">
        <f>IF('История отказов'!AE165="","",IF(AND(COUNTIF($CT$2:$CT$2,'История отказов'!AE165)=0,COUNTIFS('История отказов'!$F$5:F165,"ШГН",'История отказов'!$AE$5:AE165,'История отказов'!AE165)=1,'История отказов'!F165="ШГН"),161,""))</f>
        <v/>
      </c>
      <c r="DD162">
        <f>IF('История отказов'!AE165="","",IF(AND(COUNTIF($CU$2:$CU$3,'История отказов'!AE165)=0,COUNTIFS('История отказов'!$F$5:F165,"ЭЦН",'История отказов'!$AE$5:AE165,'История отказов'!AE165)=1,'История отказов'!F165="ЭЦН"),161,""))</f>
        <v/>
      </c>
      <c r="DE162">
        <f>IF('История отказов'!AE165="","",IF(AND(COUNTIF($CV$2:$CV$3,'История отказов'!AE165)=0,COUNTIFS('История отказов'!$F$5:F165,"ЭВН",'История отказов'!$AE$5:AE165,'История отказов'!AE165)=1,'История отказов'!F165="ЭВН"),161,""))</f>
        <v/>
      </c>
      <c r="DF162">
        <f>IF('История отказов'!AE165="","",IF(AND(COUNTIF($CX$2:$CX$2,'История отказов'!AE165)=0,COUNTIFS('История отказов'!$F$5:F165,"ШВН",'История отказов'!$AE$5:AE165,'История отказов'!AE165)=1,'История отказов'!F165="ШВН"),161,""))</f>
        <v/>
      </c>
      <c r="DG162">
        <f>IF('История отказов'!AE165="","",IF(AND(COUNTIF($CW$2:$CW$2,'История отказов'!AE165)=0,COUNTIFS('История отказов'!$F$5:F165,"НПУ-ВД",'История отказов'!$AE$5:AE165,'История отказов'!AE165)=1,'История отказов'!F165="НПУ-ВД"),161,""))</f>
        <v/>
      </c>
      <c r="DH162">
        <f>IF('История отказов'!AE165="","",IF(AND(COUNTIF($CY$2:$CY$6,'История отказов'!AE165)=0,COUNTIF('История отказов'!$AE$5:AE165,'История отказов'!AE165)=1),161,""))</f>
        <v/>
      </c>
      <c r="DI162">
        <f>IF('История отказов'!AK165="","",IF(AND(COUNTIF($CL$2:$CL$3,'История отказов'!AK165)=0,COUNTIF('История отказов'!$AK$5:AK165,'История отказов'!AK165)=1),161,""))</f>
        <v/>
      </c>
      <c r="DJ162">
        <f>IF('История отказов'!AU165="","",IF(AND(COUNTIF($CP$2:$CP$3,'История отказов'!AU165)=0,COUNTIF('История отказов'!$AU$5:AU165,'История отказов'!AU165)=1),161,""))</f>
        <v/>
      </c>
      <c r="DK162">
        <f>IF('История отказов'!AY165="","",IF(AND(COUNTIF($CR$2:$CR$2,'История отказов'!AY165)=0,COUNTIF('История отказов'!$AY$5:AY165,'История отказов'!AY165)=1),161,""))</f>
        <v/>
      </c>
      <c r="DL162">
        <f>IF(DB162="","",IF(AND(COUNTIF($DA$2:$DA$47,DB162)=0,COUNTIF($DB$2:DB162,DB162)=1),161,""))</f>
        <v/>
      </c>
    </row>
    <row r="163">
      <c r="A163" s="74" t="n"/>
      <c r="B163" s="75" t="n"/>
      <c r="C163" s="75" t="n"/>
      <c r="D163" s="75" t="n"/>
      <c r="E163" s="75" t="n"/>
      <c r="F163" s="75" t="n"/>
      <c r="G163" s="76" t="n"/>
      <c r="J163" s="62" t="n"/>
      <c r="K163" s="62" t="n"/>
      <c r="L163" s="62" t="n"/>
      <c r="M163" s="62" t="n"/>
      <c r="N163" s="62" t="n"/>
      <c r="Q163" t="inlineStr">
        <is>
          <t>Предварительная / итоговая причина</t>
        </is>
      </c>
      <c r="R163" t="inlineStr">
        <is>
          <t>4.2 — Некачественное изготовление удлинителя [УЭЦН]</t>
        </is>
      </c>
      <c r="S163" t="inlineStr">
        <is>
          <t>Код и название; метка группы добавлена</t>
        </is>
      </c>
      <c r="T163" t="inlineStr">
        <is>
          <t>Классификатор по способам 2024 V10, лист УЭЦН</t>
        </is>
      </c>
      <c r="U163" t="inlineStr">
        <is>
          <t>Лист УЭЦН; код 4.2</t>
        </is>
      </c>
      <c r="V163" t="inlineStr">
        <is>
          <t>ЭЦН/ЭВН</t>
        </is>
      </c>
      <c r="CL163">
        <f>IFERROR(INDEX('История отказов'!$AK$5:$AK$1204,SMALL($DI$2:$DI$1201,ROWS($CL$4:CL163))),"")</f>
        <v/>
      </c>
      <c r="CP163">
        <f>IFERROR(INDEX('История отказов'!$AU$5:$AU$1204,SMALL($DJ$2:$DJ$1201,ROWS($CP$4:CP163))),"")</f>
        <v/>
      </c>
      <c r="CR163">
        <f>IFERROR(INDEX('История отказов'!$AY$5:$AY$1204,SMALL($DK$2:$DK$1201,ROWS($CR$3:CR163))),"")</f>
        <v/>
      </c>
      <c r="CT163">
        <f>IFERROR(INDEX('История отказов'!$AE$5:$AE$1204,SMALL($DC$2:$DC$1201,ROWS($CT$3:CT163))),"")</f>
        <v/>
      </c>
      <c r="CU163">
        <f>IFERROR(INDEX('История отказов'!$AE$5:$AE$1204,SMALL($DD$2:$DD$1201,ROWS($CU$4:CU163))),"")</f>
        <v/>
      </c>
      <c r="CV163">
        <f>IFERROR(INDEX('История отказов'!$AE$5:$AE$1204,SMALL($DE$2:$DE$1201,ROWS($CV$4:CV163))),"")</f>
        <v/>
      </c>
      <c r="CW163">
        <f>IFERROR(INDEX('История отказов'!$AE$5:$AE$1204,SMALL($DG$2:$DG$1201,ROWS($CW$3:CW163))),"")</f>
        <v/>
      </c>
      <c r="CX163">
        <f>IFERROR(INDEX('История отказов'!$AE$5:$AE$1204,SMALL($DF$2:$DF$1201,ROWS($CX$3:CX163))),"")</f>
        <v/>
      </c>
      <c r="CY163">
        <f>IFERROR(INDEX('История отказов'!$AE$5:$AE$1204,SMALL($DH$2:$DH$1201,ROWS($CY$7:CY163))),"")</f>
        <v/>
      </c>
      <c r="DB163">
        <f>IF('История отказов'!AH166="","",'История отказов'!AH166)</f>
        <v/>
      </c>
      <c r="DC163">
        <f>IF('История отказов'!AE166="","",IF(AND(COUNTIF($CT$2:$CT$2,'История отказов'!AE166)=0,COUNTIFS('История отказов'!$F$5:F166,"ШГН",'История отказов'!$AE$5:AE166,'История отказов'!AE166)=1,'История отказов'!F166="ШГН"),162,""))</f>
        <v/>
      </c>
      <c r="DD163">
        <f>IF('История отказов'!AE166="","",IF(AND(COUNTIF($CU$2:$CU$3,'История отказов'!AE166)=0,COUNTIFS('История отказов'!$F$5:F166,"ЭЦН",'История отказов'!$AE$5:AE166,'История отказов'!AE166)=1,'История отказов'!F166="ЭЦН"),162,""))</f>
        <v/>
      </c>
      <c r="DE163">
        <f>IF('История отказов'!AE166="","",IF(AND(COUNTIF($CV$2:$CV$3,'История отказов'!AE166)=0,COUNTIFS('История отказов'!$F$5:F166,"ЭВН",'История отказов'!$AE$5:AE166,'История отказов'!AE166)=1,'История отказов'!F166="ЭВН"),162,""))</f>
        <v/>
      </c>
      <c r="DF163">
        <f>IF('История отказов'!AE166="","",IF(AND(COUNTIF($CX$2:$CX$2,'История отказов'!AE166)=0,COUNTIFS('История отказов'!$F$5:F166,"ШВН",'История отказов'!$AE$5:AE166,'История отказов'!AE166)=1,'История отказов'!F166="ШВН"),162,""))</f>
        <v/>
      </c>
      <c r="DG163">
        <f>IF('История отказов'!AE166="","",IF(AND(COUNTIF($CW$2:$CW$2,'История отказов'!AE166)=0,COUNTIFS('История отказов'!$F$5:F166,"НПУ-ВД",'История отказов'!$AE$5:AE166,'История отказов'!AE166)=1,'История отказов'!F166="НПУ-ВД"),162,""))</f>
        <v/>
      </c>
      <c r="DH163">
        <f>IF('История отказов'!AE166="","",IF(AND(COUNTIF($CY$2:$CY$6,'История отказов'!AE166)=0,COUNTIF('История отказов'!$AE$5:AE166,'История отказов'!AE166)=1),162,""))</f>
        <v/>
      </c>
      <c r="DI163">
        <f>IF('История отказов'!AK166="","",IF(AND(COUNTIF($CL$2:$CL$3,'История отказов'!AK166)=0,COUNTIF('История отказов'!$AK$5:AK166,'История отказов'!AK166)=1),162,""))</f>
        <v/>
      </c>
      <c r="DJ163">
        <f>IF('История отказов'!AU166="","",IF(AND(COUNTIF($CP$2:$CP$3,'История отказов'!AU166)=0,COUNTIF('История отказов'!$AU$5:AU166,'История отказов'!AU166)=1),162,""))</f>
        <v/>
      </c>
      <c r="DK163">
        <f>IF('История отказов'!AY166="","",IF(AND(COUNTIF($CR$2:$CR$2,'История отказов'!AY166)=0,COUNTIF('История отказов'!$AY$5:AY166,'История отказов'!AY166)=1),162,""))</f>
        <v/>
      </c>
      <c r="DL163">
        <f>IF(DB163="","",IF(AND(COUNTIF($DA$2:$DA$47,DB163)=0,COUNTIF($DB$2:DB163,DB163)=1),162,""))</f>
        <v/>
      </c>
    </row>
    <row r="164">
      <c r="A164" s="74" t="n"/>
      <c r="B164" s="75" t="n"/>
      <c r="C164" s="75" t="n"/>
      <c r="D164" s="75" t="n"/>
      <c r="E164" s="75" t="n"/>
      <c r="F164" s="75" t="n"/>
      <c r="G164" s="76" t="n"/>
      <c r="J164" s="62" t="n"/>
      <c r="K164" s="62" t="n"/>
      <c r="L164" s="62" t="n"/>
      <c r="M164" s="62" t="n"/>
      <c r="N164" s="62" t="n"/>
      <c r="Q164" t="inlineStr">
        <is>
          <t>Предварительная / итоговая причина</t>
        </is>
      </c>
      <c r="R164" t="inlineStr">
        <is>
          <t>4.3 — Некачественный ремонт ЭЦН [УЭЦН]</t>
        </is>
      </c>
      <c r="S164" t="inlineStr">
        <is>
          <t>Код и название; метка группы добавлена</t>
        </is>
      </c>
      <c r="T164" t="inlineStr">
        <is>
          <t>Классификатор по способам 2024 V10, лист УЭЦН</t>
        </is>
      </c>
      <c r="U164" t="inlineStr">
        <is>
          <t>Лист УЭЦН; код 4.3</t>
        </is>
      </c>
      <c r="V164" t="inlineStr">
        <is>
          <t>ЭЦН/ЭВН</t>
        </is>
      </c>
      <c r="CL164">
        <f>IFERROR(INDEX('История отказов'!$AK$5:$AK$1204,SMALL($DI$2:$DI$1201,ROWS($CL$4:CL164))),"")</f>
        <v/>
      </c>
      <c r="CP164">
        <f>IFERROR(INDEX('История отказов'!$AU$5:$AU$1204,SMALL($DJ$2:$DJ$1201,ROWS($CP$4:CP164))),"")</f>
        <v/>
      </c>
      <c r="CR164">
        <f>IFERROR(INDEX('История отказов'!$AY$5:$AY$1204,SMALL($DK$2:$DK$1201,ROWS($CR$3:CR164))),"")</f>
        <v/>
      </c>
      <c r="CT164">
        <f>IFERROR(INDEX('История отказов'!$AE$5:$AE$1204,SMALL($DC$2:$DC$1201,ROWS($CT$3:CT164))),"")</f>
        <v/>
      </c>
      <c r="CU164">
        <f>IFERROR(INDEX('История отказов'!$AE$5:$AE$1204,SMALL($DD$2:$DD$1201,ROWS($CU$4:CU164))),"")</f>
        <v/>
      </c>
      <c r="CV164">
        <f>IFERROR(INDEX('История отказов'!$AE$5:$AE$1204,SMALL($DE$2:$DE$1201,ROWS($CV$4:CV164))),"")</f>
        <v/>
      </c>
      <c r="CW164">
        <f>IFERROR(INDEX('История отказов'!$AE$5:$AE$1204,SMALL($DG$2:$DG$1201,ROWS($CW$3:CW164))),"")</f>
        <v/>
      </c>
      <c r="CX164">
        <f>IFERROR(INDEX('История отказов'!$AE$5:$AE$1204,SMALL($DF$2:$DF$1201,ROWS($CX$3:CX164))),"")</f>
        <v/>
      </c>
      <c r="CY164">
        <f>IFERROR(INDEX('История отказов'!$AE$5:$AE$1204,SMALL($DH$2:$DH$1201,ROWS($CY$7:CY164))),"")</f>
        <v/>
      </c>
      <c r="DB164">
        <f>IF('История отказов'!AH167="","",'История отказов'!AH167)</f>
        <v/>
      </c>
      <c r="DC164">
        <f>IF('История отказов'!AE167="","",IF(AND(COUNTIF($CT$2:$CT$2,'История отказов'!AE167)=0,COUNTIFS('История отказов'!$F$5:F167,"ШГН",'История отказов'!$AE$5:AE167,'История отказов'!AE167)=1,'История отказов'!F167="ШГН"),163,""))</f>
        <v/>
      </c>
      <c r="DD164">
        <f>IF('История отказов'!AE167="","",IF(AND(COUNTIF($CU$2:$CU$3,'История отказов'!AE167)=0,COUNTIFS('История отказов'!$F$5:F167,"ЭЦН",'История отказов'!$AE$5:AE167,'История отказов'!AE167)=1,'История отказов'!F167="ЭЦН"),163,""))</f>
        <v/>
      </c>
      <c r="DE164">
        <f>IF('История отказов'!AE167="","",IF(AND(COUNTIF($CV$2:$CV$3,'История отказов'!AE167)=0,COUNTIFS('История отказов'!$F$5:F167,"ЭВН",'История отказов'!$AE$5:AE167,'История отказов'!AE167)=1,'История отказов'!F167="ЭВН"),163,""))</f>
        <v/>
      </c>
      <c r="DF164">
        <f>IF('История отказов'!AE167="","",IF(AND(COUNTIF($CX$2:$CX$2,'История отказов'!AE167)=0,COUNTIFS('История отказов'!$F$5:F167,"ШВН",'История отказов'!$AE$5:AE167,'История отказов'!AE167)=1,'История отказов'!F167="ШВН"),163,""))</f>
        <v/>
      </c>
      <c r="DG164">
        <f>IF('История отказов'!AE167="","",IF(AND(COUNTIF($CW$2:$CW$2,'История отказов'!AE167)=0,COUNTIFS('История отказов'!$F$5:F167,"НПУ-ВД",'История отказов'!$AE$5:AE167,'История отказов'!AE167)=1,'История отказов'!F167="НПУ-ВД"),163,""))</f>
        <v/>
      </c>
      <c r="DH164">
        <f>IF('История отказов'!AE167="","",IF(AND(COUNTIF($CY$2:$CY$6,'История отказов'!AE167)=0,COUNTIF('История отказов'!$AE$5:AE167,'История отказов'!AE167)=1),163,""))</f>
        <v/>
      </c>
      <c r="DI164">
        <f>IF('История отказов'!AK167="","",IF(AND(COUNTIF($CL$2:$CL$3,'История отказов'!AK167)=0,COUNTIF('История отказов'!$AK$5:AK167,'История отказов'!AK167)=1),163,""))</f>
        <v/>
      </c>
      <c r="DJ164">
        <f>IF('История отказов'!AU167="","",IF(AND(COUNTIF($CP$2:$CP$3,'История отказов'!AU167)=0,COUNTIF('История отказов'!$AU$5:AU167,'История отказов'!AU167)=1),163,""))</f>
        <v/>
      </c>
      <c r="DK164">
        <f>IF('История отказов'!AY167="","",IF(AND(COUNTIF($CR$2:$CR$2,'История отказов'!AY167)=0,COUNTIF('История отказов'!$AY$5:AY167,'История отказов'!AY167)=1),163,""))</f>
        <v/>
      </c>
      <c r="DL164">
        <f>IF(DB164="","",IF(AND(COUNTIF($DA$2:$DA$47,DB164)=0,COUNTIF($DB$2:DB164,DB164)=1),163,""))</f>
        <v/>
      </c>
    </row>
    <row r="165">
      <c r="A165" s="74" t="n"/>
      <c r="B165" s="75" t="n"/>
      <c r="C165" s="75" t="n"/>
      <c r="D165" s="75" t="n"/>
      <c r="E165" s="75" t="n"/>
      <c r="F165" s="75" t="n"/>
      <c r="G165" s="76" t="n"/>
      <c r="J165" s="62" t="n"/>
      <c r="K165" s="62" t="n"/>
      <c r="L165" s="62" t="n"/>
      <c r="M165" s="62" t="n"/>
      <c r="N165" s="62" t="n"/>
      <c r="Q165" t="inlineStr">
        <is>
          <t>Предварительная / итоговая причина</t>
        </is>
      </c>
      <c r="R165" t="inlineStr">
        <is>
          <t>4.4 — Некачественный ремонт ЭВН [УЭЦН]</t>
        </is>
      </c>
      <c r="S165" t="inlineStr">
        <is>
          <t>Код и название; метка группы добавлена</t>
        </is>
      </c>
      <c r="T165" t="inlineStr">
        <is>
          <t>Классификатор по способам 2024 V10, лист УЭЦН</t>
        </is>
      </c>
      <c r="U165" t="inlineStr">
        <is>
          <t>Лист УЭЦН; код 4.4</t>
        </is>
      </c>
      <c r="V165" t="inlineStr">
        <is>
          <t>ЭЦН/ЭВН</t>
        </is>
      </c>
      <c r="CL165">
        <f>IFERROR(INDEX('История отказов'!$AK$5:$AK$1204,SMALL($DI$2:$DI$1201,ROWS($CL$4:CL165))),"")</f>
        <v/>
      </c>
      <c r="CP165">
        <f>IFERROR(INDEX('История отказов'!$AU$5:$AU$1204,SMALL($DJ$2:$DJ$1201,ROWS($CP$4:CP165))),"")</f>
        <v/>
      </c>
      <c r="CR165">
        <f>IFERROR(INDEX('История отказов'!$AY$5:$AY$1204,SMALL($DK$2:$DK$1201,ROWS($CR$3:CR165))),"")</f>
        <v/>
      </c>
      <c r="CT165">
        <f>IFERROR(INDEX('История отказов'!$AE$5:$AE$1204,SMALL($DC$2:$DC$1201,ROWS($CT$3:CT165))),"")</f>
        <v/>
      </c>
      <c r="CU165">
        <f>IFERROR(INDEX('История отказов'!$AE$5:$AE$1204,SMALL($DD$2:$DD$1201,ROWS($CU$4:CU165))),"")</f>
        <v/>
      </c>
      <c r="CV165">
        <f>IFERROR(INDEX('История отказов'!$AE$5:$AE$1204,SMALL($DE$2:$DE$1201,ROWS($CV$4:CV165))),"")</f>
        <v/>
      </c>
      <c r="CW165">
        <f>IFERROR(INDEX('История отказов'!$AE$5:$AE$1204,SMALL($DG$2:$DG$1201,ROWS($CW$3:CW165))),"")</f>
        <v/>
      </c>
      <c r="CX165">
        <f>IFERROR(INDEX('История отказов'!$AE$5:$AE$1204,SMALL($DF$2:$DF$1201,ROWS($CX$3:CX165))),"")</f>
        <v/>
      </c>
      <c r="CY165">
        <f>IFERROR(INDEX('История отказов'!$AE$5:$AE$1204,SMALL($DH$2:$DH$1201,ROWS($CY$7:CY165))),"")</f>
        <v/>
      </c>
      <c r="DB165">
        <f>IF('История отказов'!AH168="","",'История отказов'!AH168)</f>
        <v/>
      </c>
      <c r="DC165">
        <f>IF('История отказов'!AE168="","",IF(AND(COUNTIF($CT$2:$CT$2,'История отказов'!AE168)=0,COUNTIFS('История отказов'!$F$5:F168,"ШГН",'История отказов'!$AE$5:AE168,'История отказов'!AE168)=1,'История отказов'!F168="ШГН"),164,""))</f>
        <v/>
      </c>
      <c r="DD165">
        <f>IF('История отказов'!AE168="","",IF(AND(COUNTIF($CU$2:$CU$3,'История отказов'!AE168)=0,COUNTIFS('История отказов'!$F$5:F168,"ЭЦН",'История отказов'!$AE$5:AE168,'История отказов'!AE168)=1,'История отказов'!F168="ЭЦН"),164,""))</f>
        <v/>
      </c>
      <c r="DE165">
        <f>IF('История отказов'!AE168="","",IF(AND(COUNTIF($CV$2:$CV$3,'История отказов'!AE168)=0,COUNTIFS('История отказов'!$F$5:F168,"ЭВН",'История отказов'!$AE$5:AE168,'История отказов'!AE168)=1,'История отказов'!F168="ЭВН"),164,""))</f>
        <v/>
      </c>
      <c r="DF165">
        <f>IF('История отказов'!AE168="","",IF(AND(COUNTIF($CX$2:$CX$2,'История отказов'!AE168)=0,COUNTIFS('История отказов'!$F$5:F168,"ШВН",'История отказов'!$AE$5:AE168,'История отказов'!AE168)=1,'История отказов'!F168="ШВН"),164,""))</f>
        <v/>
      </c>
      <c r="DG165">
        <f>IF('История отказов'!AE168="","",IF(AND(COUNTIF($CW$2:$CW$2,'История отказов'!AE168)=0,COUNTIFS('История отказов'!$F$5:F168,"НПУ-ВД",'История отказов'!$AE$5:AE168,'История отказов'!AE168)=1,'История отказов'!F168="НПУ-ВД"),164,""))</f>
        <v/>
      </c>
      <c r="DH165">
        <f>IF('История отказов'!AE168="","",IF(AND(COUNTIF($CY$2:$CY$6,'История отказов'!AE168)=0,COUNTIF('История отказов'!$AE$5:AE168,'История отказов'!AE168)=1),164,""))</f>
        <v/>
      </c>
      <c r="DI165">
        <f>IF('История отказов'!AK168="","",IF(AND(COUNTIF($CL$2:$CL$3,'История отказов'!AK168)=0,COUNTIF('История отказов'!$AK$5:AK168,'История отказов'!AK168)=1),164,""))</f>
        <v/>
      </c>
      <c r="DJ165">
        <f>IF('История отказов'!AU168="","",IF(AND(COUNTIF($CP$2:$CP$3,'История отказов'!AU168)=0,COUNTIF('История отказов'!$AU$5:AU168,'История отказов'!AU168)=1),164,""))</f>
        <v/>
      </c>
      <c r="DK165">
        <f>IF('История отказов'!AY168="","",IF(AND(COUNTIF($CR$2:$CR$2,'История отказов'!AY168)=0,COUNTIF('История отказов'!$AY$5:AY168,'История отказов'!AY168)=1),164,""))</f>
        <v/>
      </c>
      <c r="DL165">
        <f>IF(DB165="","",IF(AND(COUNTIF($DA$2:$DA$47,DB165)=0,COUNTIF($DB$2:DB165,DB165)=1),164,""))</f>
        <v/>
      </c>
    </row>
    <row r="166">
      <c r="A166" s="74" t="n"/>
      <c r="B166" s="75" t="n"/>
      <c r="C166" s="75" t="n"/>
      <c r="D166" s="75" t="n"/>
      <c r="E166" s="75" t="n"/>
      <c r="F166" s="75" t="n"/>
      <c r="G166" s="76" t="n"/>
      <c r="J166" s="62" t="n"/>
      <c r="K166" s="62" t="n"/>
      <c r="L166" s="62" t="n"/>
      <c r="M166" s="62" t="n"/>
      <c r="N166" s="62" t="n"/>
      <c r="Q166" t="inlineStr">
        <is>
          <t>Предварительная / итоговая причина</t>
        </is>
      </c>
      <c r="R166" t="inlineStr">
        <is>
          <t>4.5 — Некачественный ремонт опорного узла [УЭЦН]</t>
        </is>
      </c>
      <c r="S166" t="inlineStr">
        <is>
          <t>Код и название; метка группы добавлена</t>
        </is>
      </c>
      <c r="T166" t="inlineStr">
        <is>
          <t>Классификатор по способам 2024 V10, лист УЭЦН</t>
        </is>
      </c>
      <c r="U166" t="inlineStr">
        <is>
          <t>Лист УЭЦН; код 4.5</t>
        </is>
      </c>
      <c r="V166" t="inlineStr">
        <is>
          <t>ЭЦН/ЭВН</t>
        </is>
      </c>
      <c r="CL166">
        <f>IFERROR(INDEX('История отказов'!$AK$5:$AK$1204,SMALL($DI$2:$DI$1201,ROWS($CL$4:CL166))),"")</f>
        <v/>
      </c>
      <c r="CP166">
        <f>IFERROR(INDEX('История отказов'!$AU$5:$AU$1204,SMALL($DJ$2:$DJ$1201,ROWS($CP$4:CP166))),"")</f>
        <v/>
      </c>
      <c r="CR166">
        <f>IFERROR(INDEX('История отказов'!$AY$5:$AY$1204,SMALL($DK$2:$DK$1201,ROWS($CR$3:CR166))),"")</f>
        <v/>
      </c>
      <c r="CT166">
        <f>IFERROR(INDEX('История отказов'!$AE$5:$AE$1204,SMALL($DC$2:$DC$1201,ROWS($CT$3:CT166))),"")</f>
        <v/>
      </c>
      <c r="CU166">
        <f>IFERROR(INDEX('История отказов'!$AE$5:$AE$1204,SMALL($DD$2:$DD$1201,ROWS($CU$4:CU166))),"")</f>
        <v/>
      </c>
      <c r="CV166">
        <f>IFERROR(INDEX('История отказов'!$AE$5:$AE$1204,SMALL($DE$2:$DE$1201,ROWS($CV$4:CV166))),"")</f>
        <v/>
      </c>
      <c r="CW166">
        <f>IFERROR(INDEX('История отказов'!$AE$5:$AE$1204,SMALL($DG$2:$DG$1201,ROWS($CW$3:CW166))),"")</f>
        <v/>
      </c>
      <c r="CX166">
        <f>IFERROR(INDEX('История отказов'!$AE$5:$AE$1204,SMALL($DF$2:$DF$1201,ROWS($CX$3:CX166))),"")</f>
        <v/>
      </c>
      <c r="CY166">
        <f>IFERROR(INDEX('История отказов'!$AE$5:$AE$1204,SMALL($DH$2:$DH$1201,ROWS($CY$7:CY166))),"")</f>
        <v/>
      </c>
      <c r="DB166">
        <f>IF('История отказов'!AH169="","",'История отказов'!AH169)</f>
        <v/>
      </c>
      <c r="DC166">
        <f>IF('История отказов'!AE169="","",IF(AND(COUNTIF($CT$2:$CT$2,'История отказов'!AE169)=0,COUNTIFS('История отказов'!$F$5:F169,"ШГН",'История отказов'!$AE$5:AE169,'История отказов'!AE169)=1,'История отказов'!F169="ШГН"),165,""))</f>
        <v/>
      </c>
      <c r="DD166">
        <f>IF('История отказов'!AE169="","",IF(AND(COUNTIF($CU$2:$CU$3,'История отказов'!AE169)=0,COUNTIFS('История отказов'!$F$5:F169,"ЭЦН",'История отказов'!$AE$5:AE169,'История отказов'!AE169)=1,'История отказов'!F169="ЭЦН"),165,""))</f>
        <v/>
      </c>
      <c r="DE166">
        <f>IF('История отказов'!AE169="","",IF(AND(COUNTIF($CV$2:$CV$3,'История отказов'!AE169)=0,COUNTIFS('История отказов'!$F$5:F169,"ЭВН",'История отказов'!$AE$5:AE169,'История отказов'!AE169)=1,'История отказов'!F169="ЭВН"),165,""))</f>
        <v/>
      </c>
      <c r="DF166">
        <f>IF('История отказов'!AE169="","",IF(AND(COUNTIF($CX$2:$CX$2,'История отказов'!AE169)=0,COUNTIFS('История отказов'!$F$5:F169,"ШВН",'История отказов'!$AE$5:AE169,'История отказов'!AE169)=1,'История отказов'!F169="ШВН"),165,""))</f>
        <v/>
      </c>
      <c r="DG166">
        <f>IF('История отказов'!AE169="","",IF(AND(COUNTIF($CW$2:$CW$2,'История отказов'!AE169)=0,COUNTIFS('История отказов'!$F$5:F169,"НПУ-ВД",'История отказов'!$AE$5:AE169,'История отказов'!AE169)=1,'История отказов'!F169="НПУ-ВД"),165,""))</f>
        <v/>
      </c>
      <c r="DH166">
        <f>IF('История отказов'!AE169="","",IF(AND(COUNTIF($CY$2:$CY$6,'История отказов'!AE169)=0,COUNTIF('История отказов'!$AE$5:AE169,'История отказов'!AE169)=1),165,""))</f>
        <v/>
      </c>
      <c r="DI166">
        <f>IF('История отказов'!AK169="","",IF(AND(COUNTIF($CL$2:$CL$3,'История отказов'!AK169)=0,COUNTIF('История отказов'!$AK$5:AK169,'История отказов'!AK169)=1),165,""))</f>
        <v/>
      </c>
      <c r="DJ166">
        <f>IF('История отказов'!AU169="","",IF(AND(COUNTIF($CP$2:$CP$3,'История отказов'!AU169)=0,COUNTIF('История отказов'!$AU$5:AU169,'История отказов'!AU169)=1),165,""))</f>
        <v/>
      </c>
      <c r="DK166">
        <f>IF('История отказов'!AY169="","",IF(AND(COUNTIF($CR$2:$CR$2,'История отказов'!AY169)=0,COUNTIF('История отказов'!$AY$5:AY169,'История отказов'!AY169)=1),165,""))</f>
        <v/>
      </c>
      <c r="DL166">
        <f>IF(DB166="","",IF(AND(COUNTIF($DA$2:$DA$47,DB166)=0,COUNTIF($DB$2:DB166,DB166)=1),165,""))</f>
        <v/>
      </c>
    </row>
    <row r="167">
      <c r="A167" s="74" t="n"/>
      <c r="B167" s="75" t="n"/>
      <c r="C167" s="75" t="n"/>
      <c r="D167" s="75" t="n"/>
      <c r="E167" s="75" t="n"/>
      <c r="F167" s="75" t="n"/>
      <c r="G167" s="76" t="n"/>
      <c r="J167" s="62" t="n"/>
      <c r="K167" s="62" t="n"/>
      <c r="L167" s="62" t="n"/>
      <c r="M167" s="62" t="n"/>
      <c r="N167" s="62" t="n"/>
      <c r="Q167" t="inlineStr">
        <is>
          <t>Предварительная / итоговая причина</t>
        </is>
      </c>
      <c r="R167" t="inlineStr">
        <is>
          <t>4.6 — Некачественный ремонт ЭД [УЭЦН]</t>
        </is>
      </c>
      <c r="S167" t="inlineStr">
        <is>
          <t>Код и название; метка группы добавлена</t>
        </is>
      </c>
      <c r="T167" t="inlineStr">
        <is>
          <t>Классификатор по способам 2024 V10, лист УЭЦН</t>
        </is>
      </c>
      <c r="U167" t="inlineStr">
        <is>
          <t>Лист УЭЦН; код 4.6</t>
        </is>
      </c>
      <c r="V167" t="inlineStr">
        <is>
          <t>ЭЦН/ЭВН</t>
        </is>
      </c>
      <c r="CL167">
        <f>IFERROR(INDEX('История отказов'!$AK$5:$AK$1204,SMALL($DI$2:$DI$1201,ROWS($CL$4:CL167))),"")</f>
        <v/>
      </c>
      <c r="CP167">
        <f>IFERROR(INDEX('История отказов'!$AU$5:$AU$1204,SMALL($DJ$2:$DJ$1201,ROWS($CP$4:CP167))),"")</f>
        <v/>
      </c>
      <c r="CR167">
        <f>IFERROR(INDEX('История отказов'!$AY$5:$AY$1204,SMALL($DK$2:$DK$1201,ROWS($CR$3:CR167))),"")</f>
        <v/>
      </c>
      <c r="CT167">
        <f>IFERROR(INDEX('История отказов'!$AE$5:$AE$1204,SMALL($DC$2:$DC$1201,ROWS($CT$3:CT167))),"")</f>
        <v/>
      </c>
      <c r="CU167">
        <f>IFERROR(INDEX('История отказов'!$AE$5:$AE$1204,SMALL($DD$2:$DD$1201,ROWS($CU$4:CU167))),"")</f>
        <v/>
      </c>
      <c r="CV167">
        <f>IFERROR(INDEX('История отказов'!$AE$5:$AE$1204,SMALL($DE$2:$DE$1201,ROWS($CV$4:CV167))),"")</f>
        <v/>
      </c>
      <c r="CW167">
        <f>IFERROR(INDEX('История отказов'!$AE$5:$AE$1204,SMALL($DG$2:$DG$1201,ROWS($CW$3:CW167))),"")</f>
        <v/>
      </c>
      <c r="CX167">
        <f>IFERROR(INDEX('История отказов'!$AE$5:$AE$1204,SMALL($DF$2:$DF$1201,ROWS($CX$3:CX167))),"")</f>
        <v/>
      </c>
      <c r="CY167">
        <f>IFERROR(INDEX('История отказов'!$AE$5:$AE$1204,SMALL($DH$2:$DH$1201,ROWS($CY$7:CY167))),"")</f>
        <v/>
      </c>
      <c r="DB167">
        <f>IF('История отказов'!AH170="","",'История отказов'!AH170)</f>
        <v/>
      </c>
      <c r="DC167">
        <f>IF('История отказов'!AE170="","",IF(AND(COUNTIF($CT$2:$CT$2,'История отказов'!AE170)=0,COUNTIFS('История отказов'!$F$5:F170,"ШГН",'История отказов'!$AE$5:AE170,'История отказов'!AE170)=1,'История отказов'!F170="ШГН"),166,""))</f>
        <v/>
      </c>
      <c r="DD167">
        <f>IF('История отказов'!AE170="","",IF(AND(COUNTIF($CU$2:$CU$3,'История отказов'!AE170)=0,COUNTIFS('История отказов'!$F$5:F170,"ЭЦН",'История отказов'!$AE$5:AE170,'История отказов'!AE170)=1,'История отказов'!F170="ЭЦН"),166,""))</f>
        <v/>
      </c>
      <c r="DE167">
        <f>IF('История отказов'!AE170="","",IF(AND(COUNTIF($CV$2:$CV$3,'История отказов'!AE170)=0,COUNTIFS('История отказов'!$F$5:F170,"ЭВН",'История отказов'!$AE$5:AE170,'История отказов'!AE170)=1,'История отказов'!F170="ЭВН"),166,""))</f>
        <v/>
      </c>
      <c r="DF167">
        <f>IF('История отказов'!AE170="","",IF(AND(COUNTIF($CX$2:$CX$2,'История отказов'!AE170)=0,COUNTIFS('История отказов'!$F$5:F170,"ШВН",'История отказов'!$AE$5:AE170,'История отказов'!AE170)=1,'История отказов'!F170="ШВН"),166,""))</f>
        <v/>
      </c>
      <c r="DG167">
        <f>IF('История отказов'!AE170="","",IF(AND(COUNTIF($CW$2:$CW$2,'История отказов'!AE170)=0,COUNTIFS('История отказов'!$F$5:F170,"НПУ-ВД",'История отказов'!$AE$5:AE170,'История отказов'!AE170)=1,'История отказов'!F170="НПУ-ВД"),166,""))</f>
        <v/>
      </c>
      <c r="DH167">
        <f>IF('История отказов'!AE170="","",IF(AND(COUNTIF($CY$2:$CY$6,'История отказов'!AE170)=0,COUNTIF('История отказов'!$AE$5:AE170,'История отказов'!AE170)=1),166,""))</f>
        <v/>
      </c>
      <c r="DI167">
        <f>IF('История отказов'!AK170="","",IF(AND(COUNTIF($CL$2:$CL$3,'История отказов'!AK170)=0,COUNTIF('История отказов'!$AK$5:AK170,'История отказов'!AK170)=1),166,""))</f>
        <v/>
      </c>
      <c r="DJ167">
        <f>IF('История отказов'!AU170="","",IF(AND(COUNTIF($CP$2:$CP$3,'История отказов'!AU170)=0,COUNTIF('История отказов'!$AU$5:AU170,'История отказов'!AU170)=1),166,""))</f>
        <v/>
      </c>
      <c r="DK167">
        <f>IF('История отказов'!AY170="","",IF(AND(COUNTIF($CR$2:$CR$2,'История отказов'!AY170)=0,COUNTIF('История отказов'!$AY$5:AY170,'История отказов'!AY170)=1),166,""))</f>
        <v/>
      </c>
      <c r="DL167">
        <f>IF(DB167="","",IF(AND(COUNTIF($DA$2:$DA$47,DB167)=0,COUNTIF($DB$2:DB167,DB167)=1),166,""))</f>
        <v/>
      </c>
    </row>
    <row r="168">
      <c r="A168" s="74" t="n"/>
      <c r="B168" s="75" t="n"/>
      <c r="C168" s="75" t="n"/>
      <c r="D168" s="75" t="n"/>
      <c r="E168" s="75" t="n"/>
      <c r="F168" s="75" t="n"/>
      <c r="G168" s="76" t="n"/>
      <c r="J168" s="62" t="n"/>
      <c r="K168" s="62" t="n"/>
      <c r="L168" s="62" t="n"/>
      <c r="M168" s="62" t="n"/>
      <c r="N168" s="62" t="n"/>
      <c r="Q168" t="inlineStr">
        <is>
          <t>Предварительная / итоговая причина</t>
        </is>
      </c>
      <c r="R168" t="inlineStr">
        <is>
          <t>4.7 — Некачественный ремонт гидрозащиты [УЭЦН]</t>
        </is>
      </c>
      <c r="S168" t="inlineStr">
        <is>
          <t>Код и название; метка группы добавлена</t>
        </is>
      </c>
      <c r="T168" t="inlineStr">
        <is>
          <t>Классификатор по способам 2024 V10, лист УЭЦН</t>
        </is>
      </c>
      <c r="U168" t="inlineStr">
        <is>
          <t>Лист УЭЦН; код 4.7</t>
        </is>
      </c>
      <c r="V168" t="inlineStr">
        <is>
          <t>ЭЦН/ЭВН</t>
        </is>
      </c>
      <c r="CL168">
        <f>IFERROR(INDEX('История отказов'!$AK$5:$AK$1204,SMALL($DI$2:$DI$1201,ROWS($CL$4:CL168))),"")</f>
        <v/>
      </c>
      <c r="CP168">
        <f>IFERROR(INDEX('История отказов'!$AU$5:$AU$1204,SMALL($DJ$2:$DJ$1201,ROWS($CP$4:CP168))),"")</f>
        <v/>
      </c>
      <c r="CR168">
        <f>IFERROR(INDEX('История отказов'!$AY$5:$AY$1204,SMALL($DK$2:$DK$1201,ROWS($CR$3:CR168))),"")</f>
        <v/>
      </c>
      <c r="CT168">
        <f>IFERROR(INDEX('История отказов'!$AE$5:$AE$1204,SMALL($DC$2:$DC$1201,ROWS($CT$3:CT168))),"")</f>
        <v/>
      </c>
      <c r="CU168">
        <f>IFERROR(INDEX('История отказов'!$AE$5:$AE$1204,SMALL($DD$2:$DD$1201,ROWS($CU$4:CU168))),"")</f>
        <v/>
      </c>
      <c r="CV168">
        <f>IFERROR(INDEX('История отказов'!$AE$5:$AE$1204,SMALL($DE$2:$DE$1201,ROWS($CV$4:CV168))),"")</f>
        <v/>
      </c>
      <c r="CW168">
        <f>IFERROR(INDEX('История отказов'!$AE$5:$AE$1204,SMALL($DG$2:$DG$1201,ROWS($CW$3:CW168))),"")</f>
        <v/>
      </c>
      <c r="CX168">
        <f>IFERROR(INDEX('История отказов'!$AE$5:$AE$1204,SMALL($DF$2:$DF$1201,ROWS($CX$3:CX168))),"")</f>
        <v/>
      </c>
      <c r="CY168">
        <f>IFERROR(INDEX('История отказов'!$AE$5:$AE$1204,SMALL($DH$2:$DH$1201,ROWS($CY$7:CY168))),"")</f>
        <v/>
      </c>
      <c r="DB168">
        <f>IF('История отказов'!AH171="","",'История отказов'!AH171)</f>
        <v/>
      </c>
      <c r="DC168">
        <f>IF('История отказов'!AE171="","",IF(AND(COUNTIF($CT$2:$CT$2,'История отказов'!AE171)=0,COUNTIFS('История отказов'!$F$5:F171,"ШГН",'История отказов'!$AE$5:AE171,'История отказов'!AE171)=1,'История отказов'!F171="ШГН"),167,""))</f>
        <v/>
      </c>
      <c r="DD168">
        <f>IF('История отказов'!AE171="","",IF(AND(COUNTIF($CU$2:$CU$3,'История отказов'!AE171)=0,COUNTIFS('История отказов'!$F$5:F171,"ЭЦН",'История отказов'!$AE$5:AE171,'История отказов'!AE171)=1,'История отказов'!F171="ЭЦН"),167,""))</f>
        <v/>
      </c>
      <c r="DE168">
        <f>IF('История отказов'!AE171="","",IF(AND(COUNTIF($CV$2:$CV$3,'История отказов'!AE171)=0,COUNTIFS('История отказов'!$F$5:F171,"ЭВН",'История отказов'!$AE$5:AE171,'История отказов'!AE171)=1,'История отказов'!F171="ЭВН"),167,""))</f>
        <v/>
      </c>
      <c r="DF168">
        <f>IF('История отказов'!AE171="","",IF(AND(COUNTIF($CX$2:$CX$2,'История отказов'!AE171)=0,COUNTIFS('История отказов'!$F$5:F171,"ШВН",'История отказов'!$AE$5:AE171,'История отказов'!AE171)=1,'История отказов'!F171="ШВН"),167,""))</f>
        <v/>
      </c>
      <c r="DG168">
        <f>IF('История отказов'!AE171="","",IF(AND(COUNTIF($CW$2:$CW$2,'История отказов'!AE171)=0,COUNTIFS('История отказов'!$F$5:F171,"НПУ-ВД",'История отказов'!$AE$5:AE171,'История отказов'!AE171)=1,'История отказов'!F171="НПУ-ВД"),167,""))</f>
        <v/>
      </c>
      <c r="DH168">
        <f>IF('История отказов'!AE171="","",IF(AND(COUNTIF($CY$2:$CY$6,'История отказов'!AE171)=0,COUNTIF('История отказов'!$AE$5:AE171,'История отказов'!AE171)=1),167,""))</f>
        <v/>
      </c>
      <c r="DI168">
        <f>IF('История отказов'!AK171="","",IF(AND(COUNTIF($CL$2:$CL$3,'История отказов'!AK171)=0,COUNTIF('История отказов'!$AK$5:AK171,'История отказов'!AK171)=1),167,""))</f>
        <v/>
      </c>
      <c r="DJ168">
        <f>IF('История отказов'!AU171="","",IF(AND(COUNTIF($CP$2:$CP$3,'История отказов'!AU171)=0,COUNTIF('История отказов'!$AU$5:AU171,'История отказов'!AU171)=1),167,""))</f>
        <v/>
      </c>
      <c r="DK168">
        <f>IF('История отказов'!AY171="","",IF(AND(COUNTIF($CR$2:$CR$2,'История отказов'!AY171)=0,COUNTIF('История отказов'!$AY$5:AY171,'История отказов'!AY171)=1),167,""))</f>
        <v/>
      </c>
      <c r="DL168">
        <f>IF(DB168="","",IF(AND(COUNTIF($DA$2:$DA$47,DB168)=0,COUNTIF($DB$2:DB168,DB168)=1),167,""))</f>
        <v/>
      </c>
    </row>
    <row r="169">
      <c r="A169" s="74" t="n"/>
      <c r="B169" s="75" t="n"/>
      <c r="C169" s="75" t="n"/>
      <c r="D169" s="75" t="n"/>
      <c r="E169" s="75" t="n"/>
      <c r="F169" s="75" t="n"/>
      <c r="G169" s="76" t="n"/>
      <c r="J169" s="62" t="n"/>
      <c r="K169" s="62" t="n"/>
      <c r="L169" s="62" t="n"/>
      <c r="M169" s="62" t="n"/>
      <c r="N169" s="62" t="n"/>
      <c r="Q169" t="inlineStr">
        <is>
          <t>Предварительная / итоговая причина</t>
        </is>
      </c>
      <c r="R169" t="inlineStr">
        <is>
          <t>4.7.1 — в т.ч. порыв РТИ [УЭЦН]</t>
        </is>
      </c>
      <c r="S169" t="inlineStr">
        <is>
          <t>Код и название; метка группы добавлена</t>
        </is>
      </c>
      <c r="T169" t="inlineStr">
        <is>
          <t>Классификатор по способам 2024 V10, лист УЭЦН</t>
        </is>
      </c>
      <c r="U169" t="inlineStr">
        <is>
          <t>Лист УЭЦН; код 4.7.1</t>
        </is>
      </c>
      <c r="V169" t="inlineStr">
        <is>
          <t>ЭЦН/ЭВН</t>
        </is>
      </c>
      <c r="CL169">
        <f>IFERROR(INDEX('История отказов'!$AK$5:$AK$1204,SMALL($DI$2:$DI$1201,ROWS($CL$4:CL169))),"")</f>
        <v/>
      </c>
      <c r="CP169">
        <f>IFERROR(INDEX('История отказов'!$AU$5:$AU$1204,SMALL($DJ$2:$DJ$1201,ROWS($CP$4:CP169))),"")</f>
        <v/>
      </c>
      <c r="CR169">
        <f>IFERROR(INDEX('История отказов'!$AY$5:$AY$1204,SMALL($DK$2:$DK$1201,ROWS($CR$3:CR169))),"")</f>
        <v/>
      </c>
      <c r="CT169">
        <f>IFERROR(INDEX('История отказов'!$AE$5:$AE$1204,SMALL($DC$2:$DC$1201,ROWS($CT$3:CT169))),"")</f>
        <v/>
      </c>
      <c r="CU169">
        <f>IFERROR(INDEX('История отказов'!$AE$5:$AE$1204,SMALL($DD$2:$DD$1201,ROWS($CU$4:CU169))),"")</f>
        <v/>
      </c>
      <c r="CV169">
        <f>IFERROR(INDEX('История отказов'!$AE$5:$AE$1204,SMALL($DE$2:$DE$1201,ROWS($CV$4:CV169))),"")</f>
        <v/>
      </c>
      <c r="CW169">
        <f>IFERROR(INDEX('История отказов'!$AE$5:$AE$1204,SMALL($DG$2:$DG$1201,ROWS($CW$3:CW169))),"")</f>
        <v/>
      </c>
      <c r="CX169">
        <f>IFERROR(INDEX('История отказов'!$AE$5:$AE$1204,SMALL($DF$2:$DF$1201,ROWS($CX$3:CX169))),"")</f>
        <v/>
      </c>
      <c r="CY169">
        <f>IFERROR(INDEX('История отказов'!$AE$5:$AE$1204,SMALL($DH$2:$DH$1201,ROWS($CY$7:CY169))),"")</f>
        <v/>
      </c>
      <c r="DB169">
        <f>IF('История отказов'!AH172="","",'История отказов'!AH172)</f>
        <v/>
      </c>
      <c r="DC169">
        <f>IF('История отказов'!AE172="","",IF(AND(COUNTIF($CT$2:$CT$2,'История отказов'!AE172)=0,COUNTIFS('История отказов'!$F$5:F172,"ШГН",'История отказов'!$AE$5:AE172,'История отказов'!AE172)=1,'История отказов'!F172="ШГН"),168,""))</f>
        <v/>
      </c>
      <c r="DD169">
        <f>IF('История отказов'!AE172="","",IF(AND(COUNTIF($CU$2:$CU$3,'История отказов'!AE172)=0,COUNTIFS('История отказов'!$F$5:F172,"ЭЦН",'История отказов'!$AE$5:AE172,'История отказов'!AE172)=1,'История отказов'!F172="ЭЦН"),168,""))</f>
        <v/>
      </c>
      <c r="DE169">
        <f>IF('История отказов'!AE172="","",IF(AND(COUNTIF($CV$2:$CV$3,'История отказов'!AE172)=0,COUNTIFS('История отказов'!$F$5:F172,"ЭВН",'История отказов'!$AE$5:AE172,'История отказов'!AE172)=1,'История отказов'!F172="ЭВН"),168,""))</f>
        <v/>
      </c>
      <c r="DF169">
        <f>IF('История отказов'!AE172="","",IF(AND(COUNTIF($CX$2:$CX$2,'История отказов'!AE172)=0,COUNTIFS('История отказов'!$F$5:F172,"ШВН",'История отказов'!$AE$5:AE172,'История отказов'!AE172)=1,'История отказов'!F172="ШВН"),168,""))</f>
        <v/>
      </c>
      <c r="DG169">
        <f>IF('История отказов'!AE172="","",IF(AND(COUNTIF($CW$2:$CW$2,'История отказов'!AE172)=0,COUNTIFS('История отказов'!$F$5:F172,"НПУ-ВД",'История отказов'!$AE$5:AE172,'История отказов'!AE172)=1,'История отказов'!F172="НПУ-ВД"),168,""))</f>
        <v/>
      </c>
      <c r="DH169">
        <f>IF('История отказов'!AE172="","",IF(AND(COUNTIF($CY$2:$CY$6,'История отказов'!AE172)=0,COUNTIF('История отказов'!$AE$5:AE172,'История отказов'!AE172)=1),168,""))</f>
        <v/>
      </c>
      <c r="DI169">
        <f>IF('История отказов'!AK172="","",IF(AND(COUNTIF($CL$2:$CL$3,'История отказов'!AK172)=0,COUNTIF('История отказов'!$AK$5:AK172,'История отказов'!AK172)=1),168,""))</f>
        <v/>
      </c>
      <c r="DJ169">
        <f>IF('История отказов'!AU172="","",IF(AND(COUNTIF($CP$2:$CP$3,'История отказов'!AU172)=0,COUNTIF('История отказов'!$AU$5:AU172,'История отказов'!AU172)=1),168,""))</f>
        <v/>
      </c>
      <c r="DK169">
        <f>IF('История отказов'!AY172="","",IF(AND(COUNTIF($CR$2:$CR$2,'История отказов'!AY172)=0,COUNTIF('История отказов'!$AY$5:AY172,'История отказов'!AY172)=1),168,""))</f>
        <v/>
      </c>
      <c r="DL169">
        <f>IF(DB169="","",IF(AND(COUNTIF($DA$2:$DA$47,DB169)=0,COUNTIF($DB$2:DB169,DB169)=1),168,""))</f>
        <v/>
      </c>
    </row>
    <row r="170">
      <c r="A170" s="74" t="n"/>
      <c r="B170" s="75" t="n"/>
      <c r="C170" s="75" t="n"/>
      <c r="D170" s="75" t="n"/>
      <c r="E170" s="75" t="n"/>
      <c r="F170" s="75" t="n"/>
      <c r="G170" s="76" t="n"/>
      <c r="J170" s="62" t="n"/>
      <c r="K170" s="62" t="n"/>
      <c r="L170" s="62" t="n"/>
      <c r="M170" s="62" t="n"/>
      <c r="N170" s="62" t="n"/>
      <c r="Q170" t="inlineStr">
        <is>
          <t>Предварительная / итоговая причина</t>
        </is>
      </c>
      <c r="R170" t="inlineStr">
        <is>
          <t>4.8 — Некачественный ремонт дополнительного оборудования [УЭЦН]</t>
        </is>
      </c>
      <c r="S170" t="inlineStr">
        <is>
          <t>Код и название; метка группы добавлена</t>
        </is>
      </c>
      <c r="T170" t="inlineStr">
        <is>
          <t>Классификатор по способам 2024 V10, лист УЭЦН</t>
        </is>
      </c>
      <c r="U170" t="inlineStr">
        <is>
          <t>Лист УЭЦН; код 4.8</t>
        </is>
      </c>
      <c r="V170" t="inlineStr">
        <is>
          <t>ЭЦН/ЭВН</t>
        </is>
      </c>
      <c r="CL170">
        <f>IFERROR(INDEX('История отказов'!$AK$5:$AK$1204,SMALL($DI$2:$DI$1201,ROWS($CL$4:CL170))),"")</f>
        <v/>
      </c>
      <c r="CP170">
        <f>IFERROR(INDEX('История отказов'!$AU$5:$AU$1204,SMALL($DJ$2:$DJ$1201,ROWS($CP$4:CP170))),"")</f>
        <v/>
      </c>
      <c r="CR170">
        <f>IFERROR(INDEX('История отказов'!$AY$5:$AY$1204,SMALL($DK$2:$DK$1201,ROWS($CR$3:CR170))),"")</f>
        <v/>
      </c>
      <c r="CT170">
        <f>IFERROR(INDEX('История отказов'!$AE$5:$AE$1204,SMALL($DC$2:$DC$1201,ROWS($CT$3:CT170))),"")</f>
        <v/>
      </c>
      <c r="CU170">
        <f>IFERROR(INDEX('История отказов'!$AE$5:$AE$1204,SMALL($DD$2:$DD$1201,ROWS($CU$4:CU170))),"")</f>
        <v/>
      </c>
      <c r="CV170">
        <f>IFERROR(INDEX('История отказов'!$AE$5:$AE$1204,SMALL($DE$2:$DE$1201,ROWS($CV$4:CV170))),"")</f>
        <v/>
      </c>
      <c r="CW170">
        <f>IFERROR(INDEX('История отказов'!$AE$5:$AE$1204,SMALL($DG$2:$DG$1201,ROWS($CW$3:CW170))),"")</f>
        <v/>
      </c>
      <c r="CX170">
        <f>IFERROR(INDEX('История отказов'!$AE$5:$AE$1204,SMALL($DF$2:$DF$1201,ROWS($CX$3:CX170))),"")</f>
        <v/>
      </c>
      <c r="CY170">
        <f>IFERROR(INDEX('История отказов'!$AE$5:$AE$1204,SMALL($DH$2:$DH$1201,ROWS($CY$7:CY170))),"")</f>
        <v/>
      </c>
      <c r="DB170">
        <f>IF('История отказов'!AH173="","",'История отказов'!AH173)</f>
        <v/>
      </c>
      <c r="DC170">
        <f>IF('История отказов'!AE173="","",IF(AND(COUNTIF($CT$2:$CT$2,'История отказов'!AE173)=0,COUNTIFS('История отказов'!$F$5:F173,"ШГН",'История отказов'!$AE$5:AE173,'История отказов'!AE173)=1,'История отказов'!F173="ШГН"),169,""))</f>
        <v/>
      </c>
      <c r="DD170">
        <f>IF('История отказов'!AE173="","",IF(AND(COUNTIF($CU$2:$CU$3,'История отказов'!AE173)=0,COUNTIFS('История отказов'!$F$5:F173,"ЭЦН",'История отказов'!$AE$5:AE173,'История отказов'!AE173)=1,'История отказов'!F173="ЭЦН"),169,""))</f>
        <v/>
      </c>
      <c r="DE170">
        <f>IF('История отказов'!AE173="","",IF(AND(COUNTIF($CV$2:$CV$3,'История отказов'!AE173)=0,COUNTIFS('История отказов'!$F$5:F173,"ЭВН",'История отказов'!$AE$5:AE173,'История отказов'!AE173)=1,'История отказов'!F173="ЭВН"),169,""))</f>
        <v/>
      </c>
      <c r="DF170">
        <f>IF('История отказов'!AE173="","",IF(AND(COUNTIF($CX$2:$CX$2,'История отказов'!AE173)=0,COUNTIFS('История отказов'!$F$5:F173,"ШВН",'История отказов'!$AE$5:AE173,'История отказов'!AE173)=1,'История отказов'!F173="ШВН"),169,""))</f>
        <v/>
      </c>
      <c r="DG170">
        <f>IF('История отказов'!AE173="","",IF(AND(COUNTIF($CW$2:$CW$2,'История отказов'!AE173)=0,COUNTIFS('История отказов'!$F$5:F173,"НПУ-ВД",'История отказов'!$AE$5:AE173,'История отказов'!AE173)=1,'История отказов'!F173="НПУ-ВД"),169,""))</f>
        <v/>
      </c>
      <c r="DH170">
        <f>IF('История отказов'!AE173="","",IF(AND(COUNTIF($CY$2:$CY$6,'История отказов'!AE173)=0,COUNTIF('История отказов'!$AE$5:AE173,'История отказов'!AE173)=1),169,""))</f>
        <v/>
      </c>
      <c r="DI170">
        <f>IF('История отказов'!AK173="","",IF(AND(COUNTIF($CL$2:$CL$3,'История отказов'!AK173)=0,COUNTIF('История отказов'!$AK$5:AK173,'История отказов'!AK173)=1),169,""))</f>
        <v/>
      </c>
      <c r="DJ170">
        <f>IF('История отказов'!AU173="","",IF(AND(COUNTIF($CP$2:$CP$3,'История отказов'!AU173)=0,COUNTIF('История отказов'!$AU$5:AU173,'История отказов'!AU173)=1),169,""))</f>
        <v/>
      </c>
      <c r="DK170">
        <f>IF('История отказов'!AY173="","",IF(AND(COUNTIF($CR$2:$CR$2,'История отказов'!AY173)=0,COUNTIF('История отказов'!$AY$5:AY173,'История отказов'!AY173)=1),169,""))</f>
        <v/>
      </c>
      <c r="DL170">
        <f>IF(DB170="","",IF(AND(COUNTIF($DA$2:$DA$47,DB170)=0,COUNTIF($DB$2:DB170,DB170)=1),169,""))</f>
        <v/>
      </c>
    </row>
    <row r="171">
      <c r="A171" s="74" t="n"/>
      <c r="B171" s="75" t="n"/>
      <c r="C171" s="75" t="n"/>
      <c r="D171" s="75" t="n"/>
      <c r="E171" s="75" t="n"/>
      <c r="F171" s="75" t="n"/>
      <c r="G171" s="76" t="n"/>
      <c r="J171" s="62" t="n"/>
      <c r="K171" s="62" t="n"/>
      <c r="L171" s="62" t="n"/>
      <c r="M171" s="62" t="n"/>
      <c r="N171" s="62" t="n"/>
      <c r="Q171" t="inlineStr">
        <is>
          <t>Предварительная / итоговая причина</t>
        </is>
      </c>
      <c r="R171" t="inlineStr">
        <is>
          <t>4.9 — Неправильная комплектация ГНО [УЭЦН]</t>
        </is>
      </c>
      <c r="S171" t="inlineStr">
        <is>
          <t>Код и название; метка группы добавлена</t>
        </is>
      </c>
      <c r="T171" t="inlineStr">
        <is>
          <t>Классификатор по способам 2024 V10, лист УЭЦН</t>
        </is>
      </c>
      <c r="U171" t="inlineStr">
        <is>
          <t>Лист УЭЦН; код 4.9</t>
        </is>
      </c>
      <c r="V171" t="inlineStr">
        <is>
          <t>ЭЦН/ЭВН</t>
        </is>
      </c>
      <c r="CL171">
        <f>IFERROR(INDEX('История отказов'!$AK$5:$AK$1204,SMALL($DI$2:$DI$1201,ROWS($CL$4:CL171))),"")</f>
        <v/>
      </c>
      <c r="CP171">
        <f>IFERROR(INDEX('История отказов'!$AU$5:$AU$1204,SMALL($DJ$2:$DJ$1201,ROWS($CP$4:CP171))),"")</f>
        <v/>
      </c>
      <c r="CR171">
        <f>IFERROR(INDEX('История отказов'!$AY$5:$AY$1204,SMALL($DK$2:$DK$1201,ROWS($CR$3:CR171))),"")</f>
        <v/>
      </c>
      <c r="CT171">
        <f>IFERROR(INDEX('История отказов'!$AE$5:$AE$1204,SMALL($DC$2:$DC$1201,ROWS($CT$3:CT171))),"")</f>
        <v/>
      </c>
      <c r="CU171">
        <f>IFERROR(INDEX('История отказов'!$AE$5:$AE$1204,SMALL($DD$2:$DD$1201,ROWS($CU$4:CU171))),"")</f>
        <v/>
      </c>
      <c r="CV171">
        <f>IFERROR(INDEX('История отказов'!$AE$5:$AE$1204,SMALL($DE$2:$DE$1201,ROWS($CV$4:CV171))),"")</f>
        <v/>
      </c>
      <c r="CW171">
        <f>IFERROR(INDEX('История отказов'!$AE$5:$AE$1204,SMALL($DG$2:$DG$1201,ROWS($CW$3:CW171))),"")</f>
        <v/>
      </c>
      <c r="CX171">
        <f>IFERROR(INDEX('История отказов'!$AE$5:$AE$1204,SMALL($DF$2:$DF$1201,ROWS($CX$3:CX171))),"")</f>
        <v/>
      </c>
      <c r="CY171">
        <f>IFERROR(INDEX('История отказов'!$AE$5:$AE$1204,SMALL($DH$2:$DH$1201,ROWS($CY$7:CY171))),"")</f>
        <v/>
      </c>
      <c r="DB171">
        <f>IF('История отказов'!AH174="","",'История отказов'!AH174)</f>
        <v/>
      </c>
      <c r="DC171">
        <f>IF('История отказов'!AE174="","",IF(AND(COUNTIF($CT$2:$CT$2,'История отказов'!AE174)=0,COUNTIFS('История отказов'!$F$5:F174,"ШГН",'История отказов'!$AE$5:AE174,'История отказов'!AE174)=1,'История отказов'!F174="ШГН"),170,""))</f>
        <v/>
      </c>
      <c r="DD171">
        <f>IF('История отказов'!AE174="","",IF(AND(COUNTIF($CU$2:$CU$3,'История отказов'!AE174)=0,COUNTIFS('История отказов'!$F$5:F174,"ЭЦН",'История отказов'!$AE$5:AE174,'История отказов'!AE174)=1,'История отказов'!F174="ЭЦН"),170,""))</f>
        <v/>
      </c>
      <c r="DE171">
        <f>IF('История отказов'!AE174="","",IF(AND(COUNTIF($CV$2:$CV$3,'История отказов'!AE174)=0,COUNTIFS('История отказов'!$F$5:F174,"ЭВН",'История отказов'!$AE$5:AE174,'История отказов'!AE174)=1,'История отказов'!F174="ЭВН"),170,""))</f>
        <v/>
      </c>
      <c r="DF171">
        <f>IF('История отказов'!AE174="","",IF(AND(COUNTIF($CX$2:$CX$2,'История отказов'!AE174)=0,COUNTIFS('История отказов'!$F$5:F174,"ШВН",'История отказов'!$AE$5:AE174,'История отказов'!AE174)=1,'История отказов'!F174="ШВН"),170,""))</f>
        <v/>
      </c>
      <c r="DG171">
        <f>IF('История отказов'!AE174="","",IF(AND(COUNTIF($CW$2:$CW$2,'История отказов'!AE174)=0,COUNTIFS('История отказов'!$F$5:F174,"НПУ-ВД",'История отказов'!$AE$5:AE174,'История отказов'!AE174)=1,'История отказов'!F174="НПУ-ВД"),170,""))</f>
        <v/>
      </c>
      <c r="DH171">
        <f>IF('История отказов'!AE174="","",IF(AND(COUNTIF($CY$2:$CY$6,'История отказов'!AE174)=0,COUNTIF('История отказов'!$AE$5:AE174,'История отказов'!AE174)=1),170,""))</f>
        <v/>
      </c>
      <c r="DI171">
        <f>IF('История отказов'!AK174="","",IF(AND(COUNTIF($CL$2:$CL$3,'История отказов'!AK174)=0,COUNTIF('История отказов'!$AK$5:AK174,'История отказов'!AK174)=1),170,""))</f>
        <v/>
      </c>
      <c r="DJ171">
        <f>IF('История отказов'!AU174="","",IF(AND(COUNTIF($CP$2:$CP$3,'История отказов'!AU174)=0,COUNTIF('История отказов'!$AU$5:AU174,'История отказов'!AU174)=1),170,""))</f>
        <v/>
      </c>
      <c r="DK171">
        <f>IF('История отказов'!AY174="","",IF(AND(COUNTIF($CR$2:$CR$2,'История отказов'!AY174)=0,COUNTIF('История отказов'!$AY$5:AY174,'История отказов'!AY174)=1),170,""))</f>
        <v/>
      </c>
      <c r="DL171">
        <f>IF(DB171="","",IF(AND(COUNTIF($DA$2:$DA$47,DB171)=0,COUNTIF($DB$2:DB171,DB171)=1),170,""))</f>
        <v/>
      </c>
    </row>
    <row r="172">
      <c r="A172" s="74" t="n"/>
      <c r="B172" s="75" t="n"/>
      <c r="C172" s="75" t="n"/>
      <c r="D172" s="75" t="n"/>
      <c r="E172" s="75" t="n"/>
      <c r="F172" s="75" t="n"/>
      <c r="G172" s="76" t="n"/>
      <c r="J172" s="62" t="n"/>
      <c r="K172" s="62" t="n"/>
      <c r="L172" s="62" t="n"/>
      <c r="M172" s="62" t="n"/>
      <c r="N172" s="62" t="n"/>
      <c r="Q172" t="inlineStr">
        <is>
          <t>Предварительная / итоговая причина</t>
        </is>
      </c>
      <c r="R172" t="inlineStr">
        <is>
          <t>4.10 — Некачественный монтаж [УЭЦН]</t>
        </is>
      </c>
      <c r="S172" t="inlineStr">
        <is>
          <t>Код и название; метка группы добавлена</t>
        </is>
      </c>
      <c r="T172" t="inlineStr">
        <is>
          <t>Классификатор по способам 2024 V10, лист УЭЦН</t>
        </is>
      </c>
      <c r="U172" t="inlineStr">
        <is>
          <t>Лист УЭЦН; код 4.10</t>
        </is>
      </c>
      <c r="V172" t="inlineStr">
        <is>
          <t>ЭЦН/ЭВН</t>
        </is>
      </c>
      <c r="CL172">
        <f>IFERROR(INDEX('История отказов'!$AK$5:$AK$1204,SMALL($DI$2:$DI$1201,ROWS($CL$4:CL172))),"")</f>
        <v/>
      </c>
      <c r="CP172">
        <f>IFERROR(INDEX('История отказов'!$AU$5:$AU$1204,SMALL($DJ$2:$DJ$1201,ROWS($CP$4:CP172))),"")</f>
        <v/>
      </c>
      <c r="CR172">
        <f>IFERROR(INDEX('История отказов'!$AY$5:$AY$1204,SMALL($DK$2:$DK$1201,ROWS($CR$3:CR172))),"")</f>
        <v/>
      </c>
      <c r="CT172">
        <f>IFERROR(INDEX('История отказов'!$AE$5:$AE$1204,SMALL($DC$2:$DC$1201,ROWS($CT$3:CT172))),"")</f>
        <v/>
      </c>
      <c r="CU172">
        <f>IFERROR(INDEX('История отказов'!$AE$5:$AE$1204,SMALL($DD$2:$DD$1201,ROWS($CU$4:CU172))),"")</f>
        <v/>
      </c>
      <c r="CV172">
        <f>IFERROR(INDEX('История отказов'!$AE$5:$AE$1204,SMALL($DE$2:$DE$1201,ROWS($CV$4:CV172))),"")</f>
        <v/>
      </c>
      <c r="CW172">
        <f>IFERROR(INDEX('История отказов'!$AE$5:$AE$1204,SMALL($DG$2:$DG$1201,ROWS($CW$3:CW172))),"")</f>
        <v/>
      </c>
      <c r="CX172">
        <f>IFERROR(INDEX('История отказов'!$AE$5:$AE$1204,SMALL($DF$2:$DF$1201,ROWS($CX$3:CX172))),"")</f>
        <v/>
      </c>
      <c r="CY172">
        <f>IFERROR(INDEX('История отказов'!$AE$5:$AE$1204,SMALL($DH$2:$DH$1201,ROWS($CY$7:CY172))),"")</f>
        <v/>
      </c>
      <c r="DB172">
        <f>IF('История отказов'!AH175="","",'История отказов'!AH175)</f>
        <v/>
      </c>
      <c r="DC172">
        <f>IF('История отказов'!AE175="","",IF(AND(COUNTIF($CT$2:$CT$2,'История отказов'!AE175)=0,COUNTIFS('История отказов'!$F$5:F175,"ШГН",'История отказов'!$AE$5:AE175,'История отказов'!AE175)=1,'История отказов'!F175="ШГН"),171,""))</f>
        <v/>
      </c>
      <c r="DD172">
        <f>IF('История отказов'!AE175="","",IF(AND(COUNTIF($CU$2:$CU$3,'История отказов'!AE175)=0,COUNTIFS('История отказов'!$F$5:F175,"ЭЦН",'История отказов'!$AE$5:AE175,'История отказов'!AE175)=1,'История отказов'!F175="ЭЦН"),171,""))</f>
        <v/>
      </c>
      <c r="DE172">
        <f>IF('История отказов'!AE175="","",IF(AND(COUNTIF($CV$2:$CV$3,'История отказов'!AE175)=0,COUNTIFS('История отказов'!$F$5:F175,"ЭВН",'История отказов'!$AE$5:AE175,'История отказов'!AE175)=1,'История отказов'!F175="ЭВН"),171,""))</f>
        <v/>
      </c>
      <c r="DF172">
        <f>IF('История отказов'!AE175="","",IF(AND(COUNTIF($CX$2:$CX$2,'История отказов'!AE175)=0,COUNTIFS('История отказов'!$F$5:F175,"ШВН",'История отказов'!$AE$5:AE175,'История отказов'!AE175)=1,'История отказов'!F175="ШВН"),171,""))</f>
        <v/>
      </c>
      <c r="DG172">
        <f>IF('История отказов'!AE175="","",IF(AND(COUNTIF($CW$2:$CW$2,'История отказов'!AE175)=0,COUNTIFS('История отказов'!$F$5:F175,"НПУ-ВД",'История отказов'!$AE$5:AE175,'История отказов'!AE175)=1,'История отказов'!F175="НПУ-ВД"),171,""))</f>
        <v/>
      </c>
      <c r="DH172">
        <f>IF('История отказов'!AE175="","",IF(AND(COUNTIF($CY$2:$CY$6,'История отказов'!AE175)=0,COUNTIF('История отказов'!$AE$5:AE175,'История отказов'!AE175)=1),171,""))</f>
        <v/>
      </c>
      <c r="DI172">
        <f>IF('История отказов'!AK175="","",IF(AND(COUNTIF($CL$2:$CL$3,'История отказов'!AK175)=0,COUNTIF('История отказов'!$AK$5:AK175,'История отказов'!AK175)=1),171,""))</f>
        <v/>
      </c>
      <c r="DJ172">
        <f>IF('История отказов'!AU175="","",IF(AND(COUNTIF($CP$2:$CP$3,'История отказов'!AU175)=0,COUNTIF('История отказов'!$AU$5:AU175,'История отказов'!AU175)=1),171,""))</f>
        <v/>
      </c>
      <c r="DK172">
        <f>IF('История отказов'!AY175="","",IF(AND(COUNTIF($CR$2:$CR$2,'История отказов'!AY175)=0,COUNTIF('История отказов'!$AY$5:AY175,'История отказов'!AY175)=1),171,""))</f>
        <v/>
      </c>
      <c r="DL172">
        <f>IF(DB172="","",IF(AND(COUNTIF($DA$2:$DA$47,DB172)=0,COUNTIF($DB$2:DB172,DB172)=1),171,""))</f>
        <v/>
      </c>
    </row>
    <row r="173">
      <c r="A173" s="74" t="n"/>
      <c r="B173" s="75" t="n"/>
      <c r="C173" s="75" t="n"/>
      <c r="D173" s="75" t="n"/>
      <c r="E173" s="75" t="n"/>
      <c r="F173" s="75" t="n"/>
      <c r="G173" s="76" t="n"/>
      <c r="J173" s="62" t="n"/>
      <c r="K173" s="62" t="n"/>
      <c r="L173" s="62" t="n"/>
      <c r="M173" s="62" t="n"/>
      <c r="N173" s="62" t="n"/>
      <c r="Q173" t="inlineStr">
        <is>
          <t>Предварительная / итоговая причина</t>
        </is>
      </c>
      <c r="R173" t="inlineStr">
        <is>
          <t>4.11 — Некачественный вывод на режим [УЭЦН]</t>
        </is>
      </c>
      <c r="S173" t="inlineStr">
        <is>
          <t>Код и название; метка группы добавлена</t>
        </is>
      </c>
      <c r="T173" t="inlineStr">
        <is>
          <t>Классификатор по способам 2024 V10, лист УЭЦН</t>
        </is>
      </c>
      <c r="U173" t="inlineStr">
        <is>
          <t>Лист УЭЦН; код 4.11</t>
        </is>
      </c>
      <c r="V173" t="inlineStr">
        <is>
          <t>ЭЦН/ЭВН</t>
        </is>
      </c>
      <c r="CL173">
        <f>IFERROR(INDEX('История отказов'!$AK$5:$AK$1204,SMALL($DI$2:$DI$1201,ROWS($CL$4:CL173))),"")</f>
        <v/>
      </c>
      <c r="CP173">
        <f>IFERROR(INDEX('История отказов'!$AU$5:$AU$1204,SMALL($DJ$2:$DJ$1201,ROWS($CP$4:CP173))),"")</f>
        <v/>
      </c>
      <c r="CR173">
        <f>IFERROR(INDEX('История отказов'!$AY$5:$AY$1204,SMALL($DK$2:$DK$1201,ROWS($CR$3:CR173))),"")</f>
        <v/>
      </c>
      <c r="CT173">
        <f>IFERROR(INDEX('История отказов'!$AE$5:$AE$1204,SMALL($DC$2:$DC$1201,ROWS($CT$3:CT173))),"")</f>
        <v/>
      </c>
      <c r="CU173">
        <f>IFERROR(INDEX('История отказов'!$AE$5:$AE$1204,SMALL($DD$2:$DD$1201,ROWS($CU$4:CU173))),"")</f>
        <v/>
      </c>
      <c r="CV173">
        <f>IFERROR(INDEX('История отказов'!$AE$5:$AE$1204,SMALL($DE$2:$DE$1201,ROWS($CV$4:CV173))),"")</f>
        <v/>
      </c>
      <c r="CW173">
        <f>IFERROR(INDEX('История отказов'!$AE$5:$AE$1204,SMALL($DG$2:$DG$1201,ROWS($CW$3:CW173))),"")</f>
        <v/>
      </c>
      <c r="CX173">
        <f>IFERROR(INDEX('История отказов'!$AE$5:$AE$1204,SMALL($DF$2:$DF$1201,ROWS($CX$3:CX173))),"")</f>
        <v/>
      </c>
      <c r="CY173">
        <f>IFERROR(INDEX('История отказов'!$AE$5:$AE$1204,SMALL($DH$2:$DH$1201,ROWS($CY$7:CY173))),"")</f>
        <v/>
      </c>
      <c r="DB173">
        <f>IF('История отказов'!AH176="","",'История отказов'!AH176)</f>
        <v/>
      </c>
      <c r="DC173">
        <f>IF('История отказов'!AE176="","",IF(AND(COUNTIF($CT$2:$CT$2,'История отказов'!AE176)=0,COUNTIFS('История отказов'!$F$5:F176,"ШГН",'История отказов'!$AE$5:AE176,'История отказов'!AE176)=1,'История отказов'!F176="ШГН"),172,""))</f>
        <v/>
      </c>
      <c r="DD173">
        <f>IF('История отказов'!AE176="","",IF(AND(COUNTIF($CU$2:$CU$3,'История отказов'!AE176)=0,COUNTIFS('История отказов'!$F$5:F176,"ЭЦН",'История отказов'!$AE$5:AE176,'История отказов'!AE176)=1,'История отказов'!F176="ЭЦН"),172,""))</f>
        <v/>
      </c>
      <c r="DE173">
        <f>IF('История отказов'!AE176="","",IF(AND(COUNTIF($CV$2:$CV$3,'История отказов'!AE176)=0,COUNTIFS('История отказов'!$F$5:F176,"ЭВН",'История отказов'!$AE$5:AE176,'История отказов'!AE176)=1,'История отказов'!F176="ЭВН"),172,""))</f>
        <v/>
      </c>
      <c r="DF173">
        <f>IF('История отказов'!AE176="","",IF(AND(COUNTIF($CX$2:$CX$2,'История отказов'!AE176)=0,COUNTIFS('История отказов'!$F$5:F176,"ШВН",'История отказов'!$AE$5:AE176,'История отказов'!AE176)=1,'История отказов'!F176="ШВН"),172,""))</f>
        <v/>
      </c>
      <c r="DG173">
        <f>IF('История отказов'!AE176="","",IF(AND(COUNTIF($CW$2:$CW$2,'История отказов'!AE176)=0,COUNTIFS('История отказов'!$F$5:F176,"НПУ-ВД",'История отказов'!$AE$5:AE176,'История отказов'!AE176)=1,'История отказов'!F176="НПУ-ВД"),172,""))</f>
        <v/>
      </c>
      <c r="DH173">
        <f>IF('История отказов'!AE176="","",IF(AND(COUNTIF($CY$2:$CY$6,'История отказов'!AE176)=0,COUNTIF('История отказов'!$AE$5:AE176,'История отказов'!AE176)=1),172,""))</f>
        <v/>
      </c>
      <c r="DI173">
        <f>IF('История отказов'!AK176="","",IF(AND(COUNTIF($CL$2:$CL$3,'История отказов'!AK176)=0,COUNTIF('История отказов'!$AK$5:AK176,'История отказов'!AK176)=1),172,""))</f>
        <v/>
      </c>
      <c r="DJ173">
        <f>IF('История отказов'!AU176="","",IF(AND(COUNTIF($CP$2:$CP$3,'История отказов'!AU176)=0,COUNTIF('История отказов'!$AU$5:AU176,'История отказов'!AU176)=1),172,""))</f>
        <v/>
      </c>
      <c r="DK173">
        <f>IF('История отказов'!AY176="","",IF(AND(COUNTIF($CR$2:$CR$2,'История отказов'!AY176)=0,COUNTIF('История отказов'!$AY$5:AY176,'История отказов'!AY176)=1),172,""))</f>
        <v/>
      </c>
      <c r="DL173">
        <f>IF(DB173="","",IF(AND(COUNTIF($DA$2:$DA$47,DB173)=0,COUNTIF($DB$2:DB173,DB173)=1),172,""))</f>
        <v/>
      </c>
    </row>
    <row r="174">
      <c r="A174" s="74" t="n"/>
      <c r="B174" s="75" t="n"/>
      <c r="C174" s="75" t="n"/>
      <c r="D174" s="75" t="n"/>
      <c r="E174" s="75" t="n"/>
      <c r="F174" s="75" t="n"/>
      <c r="G174" s="76" t="n"/>
      <c r="J174" s="62" t="n"/>
      <c r="K174" s="62" t="n"/>
      <c r="L174" s="62" t="n"/>
      <c r="M174" s="62" t="n"/>
      <c r="N174" s="62" t="n"/>
      <c r="Q174" t="inlineStr">
        <is>
          <t>Предварительная / итоговая причина</t>
        </is>
      </c>
      <c r="R174" t="inlineStr">
        <is>
          <t>4.12 — Необоснованный подъем ГНО [УЭЦН]</t>
        </is>
      </c>
      <c r="S174" t="inlineStr">
        <is>
          <t>Код и название; метка группы добавлена</t>
        </is>
      </c>
      <c r="T174" t="inlineStr">
        <is>
          <t>Классификатор по способам 2024 V10, лист УЭЦН</t>
        </is>
      </c>
      <c r="U174" t="inlineStr">
        <is>
          <t>Лист УЭЦН; код 4.12</t>
        </is>
      </c>
      <c r="V174" t="inlineStr">
        <is>
          <t>ЭЦН/ЭВН</t>
        </is>
      </c>
      <c r="CL174">
        <f>IFERROR(INDEX('История отказов'!$AK$5:$AK$1204,SMALL($DI$2:$DI$1201,ROWS($CL$4:CL174))),"")</f>
        <v/>
      </c>
      <c r="CP174">
        <f>IFERROR(INDEX('История отказов'!$AU$5:$AU$1204,SMALL($DJ$2:$DJ$1201,ROWS($CP$4:CP174))),"")</f>
        <v/>
      </c>
      <c r="CR174">
        <f>IFERROR(INDEX('История отказов'!$AY$5:$AY$1204,SMALL($DK$2:$DK$1201,ROWS($CR$3:CR174))),"")</f>
        <v/>
      </c>
      <c r="CT174">
        <f>IFERROR(INDEX('История отказов'!$AE$5:$AE$1204,SMALL($DC$2:$DC$1201,ROWS($CT$3:CT174))),"")</f>
        <v/>
      </c>
      <c r="CU174">
        <f>IFERROR(INDEX('История отказов'!$AE$5:$AE$1204,SMALL($DD$2:$DD$1201,ROWS($CU$4:CU174))),"")</f>
        <v/>
      </c>
      <c r="CV174">
        <f>IFERROR(INDEX('История отказов'!$AE$5:$AE$1204,SMALL($DE$2:$DE$1201,ROWS($CV$4:CV174))),"")</f>
        <v/>
      </c>
      <c r="CW174">
        <f>IFERROR(INDEX('История отказов'!$AE$5:$AE$1204,SMALL($DG$2:$DG$1201,ROWS($CW$3:CW174))),"")</f>
        <v/>
      </c>
      <c r="CX174">
        <f>IFERROR(INDEX('История отказов'!$AE$5:$AE$1204,SMALL($DF$2:$DF$1201,ROWS($CX$3:CX174))),"")</f>
        <v/>
      </c>
      <c r="CY174">
        <f>IFERROR(INDEX('История отказов'!$AE$5:$AE$1204,SMALL($DH$2:$DH$1201,ROWS($CY$7:CY174))),"")</f>
        <v/>
      </c>
      <c r="DB174">
        <f>IF('История отказов'!AH177="","",'История отказов'!AH177)</f>
        <v/>
      </c>
      <c r="DC174">
        <f>IF('История отказов'!AE177="","",IF(AND(COUNTIF($CT$2:$CT$2,'История отказов'!AE177)=0,COUNTIFS('История отказов'!$F$5:F177,"ШГН",'История отказов'!$AE$5:AE177,'История отказов'!AE177)=1,'История отказов'!F177="ШГН"),173,""))</f>
        <v/>
      </c>
      <c r="DD174">
        <f>IF('История отказов'!AE177="","",IF(AND(COUNTIF($CU$2:$CU$3,'История отказов'!AE177)=0,COUNTIFS('История отказов'!$F$5:F177,"ЭЦН",'История отказов'!$AE$5:AE177,'История отказов'!AE177)=1,'История отказов'!F177="ЭЦН"),173,""))</f>
        <v/>
      </c>
      <c r="DE174">
        <f>IF('История отказов'!AE177="","",IF(AND(COUNTIF($CV$2:$CV$3,'История отказов'!AE177)=0,COUNTIFS('История отказов'!$F$5:F177,"ЭВН",'История отказов'!$AE$5:AE177,'История отказов'!AE177)=1,'История отказов'!F177="ЭВН"),173,""))</f>
        <v/>
      </c>
      <c r="DF174">
        <f>IF('История отказов'!AE177="","",IF(AND(COUNTIF($CX$2:$CX$2,'История отказов'!AE177)=0,COUNTIFS('История отказов'!$F$5:F177,"ШВН",'История отказов'!$AE$5:AE177,'История отказов'!AE177)=1,'История отказов'!F177="ШВН"),173,""))</f>
        <v/>
      </c>
      <c r="DG174">
        <f>IF('История отказов'!AE177="","",IF(AND(COUNTIF($CW$2:$CW$2,'История отказов'!AE177)=0,COUNTIFS('История отказов'!$F$5:F177,"НПУ-ВД",'История отказов'!$AE$5:AE177,'История отказов'!AE177)=1,'История отказов'!F177="НПУ-ВД"),173,""))</f>
        <v/>
      </c>
      <c r="DH174">
        <f>IF('История отказов'!AE177="","",IF(AND(COUNTIF($CY$2:$CY$6,'История отказов'!AE177)=0,COUNTIF('История отказов'!$AE$5:AE177,'История отказов'!AE177)=1),173,""))</f>
        <v/>
      </c>
      <c r="DI174">
        <f>IF('История отказов'!AK177="","",IF(AND(COUNTIF($CL$2:$CL$3,'История отказов'!AK177)=0,COUNTIF('История отказов'!$AK$5:AK177,'История отказов'!AK177)=1),173,""))</f>
        <v/>
      </c>
      <c r="DJ174">
        <f>IF('История отказов'!AU177="","",IF(AND(COUNTIF($CP$2:$CP$3,'История отказов'!AU177)=0,COUNTIF('История отказов'!$AU$5:AU177,'История отказов'!AU177)=1),173,""))</f>
        <v/>
      </c>
      <c r="DK174">
        <f>IF('История отказов'!AY177="","",IF(AND(COUNTIF($CR$2:$CR$2,'История отказов'!AY177)=0,COUNTIF('История отказов'!$AY$5:AY177,'История отказов'!AY177)=1),173,""))</f>
        <v/>
      </c>
      <c r="DL174">
        <f>IF(DB174="","",IF(AND(COUNTIF($DA$2:$DA$47,DB174)=0,COUNTIF($DB$2:DB174,DB174)=1),173,""))</f>
        <v/>
      </c>
    </row>
    <row r="175">
      <c r="A175" s="74" t="n"/>
      <c r="B175" s="75" t="n"/>
      <c r="C175" s="75" t="n"/>
      <c r="D175" s="75" t="n"/>
      <c r="E175" s="75" t="n"/>
      <c r="F175" s="75" t="n"/>
      <c r="G175" s="76" t="n"/>
      <c r="J175" s="62" t="n"/>
      <c r="K175" s="62" t="n"/>
      <c r="L175" s="62" t="n"/>
      <c r="M175" s="62" t="n"/>
      <c r="N175" s="62" t="n"/>
      <c r="Q175" t="inlineStr">
        <is>
          <t>Предварительная / итоговая причина</t>
        </is>
      </c>
      <c r="R175" t="inlineStr">
        <is>
          <t>4.13 — Снижение изоляции кабеля [УЭЦН]</t>
        </is>
      </c>
      <c r="S175" t="inlineStr">
        <is>
          <t>Код и название; метка группы добавлена</t>
        </is>
      </c>
      <c r="T175" t="inlineStr">
        <is>
          <t>Классификатор по способам 2024 V10, лист УЭЦН</t>
        </is>
      </c>
      <c r="U175" t="inlineStr">
        <is>
          <t>Лист УЭЦН; код 4.13</t>
        </is>
      </c>
      <c r="V175" t="inlineStr">
        <is>
          <t>ЭЦН/ЭВН</t>
        </is>
      </c>
      <c r="CL175">
        <f>IFERROR(INDEX('История отказов'!$AK$5:$AK$1204,SMALL($DI$2:$DI$1201,ROWS($CL$4:CL175))),"")</f>
        <v/>
      </c>
      <c r="CP175">
        <f>IFERROR(INDEX('История отказов'!$AU$5:$AU$1204,SMALL($DJ$2:$DJ$1201,ROWS($CP$4:CP175))),"")</f>
        <v/>
      </c>
      <c r="CR175">
        <f>IFERROR(INDEX('История отказов'!$AY$5:$AY$1204,SMALL($DK$2:$DK$1201,ROWS($CR$3:CR175))),"")</f>
        <v/>
      </c>
      <c r="CT175">
        <f>IFERROR(INDEX('История отказов'!$AE$5:$AE$1204,SMALL($DC$2:$DC$1201,ROWS($CT$3:CT175))),"")</f>
        <v/>
      </c>
      <c r="CU175">
        <f>IFERROR(INDEX('История отказов'!$AE$5:$AE$1204,SMALL($DD$2:$DD$1201,ROWS($CU$4:CU175))),"")</f>
        <v/>
      </c>
      <c r="CV175">
        <f>IFERROR(INDEX('История отказов'!$AE$5:$AE$1204,SMALL($DE$2:$DE$1201,ROWS($CV$4:CV175))),"")</f>
        <v/>
      </c>
      <c r="CW175">
        <f>IFERROR(INDEX('История отказов'!$AE$5:$AE$1204,SMALL($DG$2:$DG$1201,ROWS($CW$3:CW175))),"")</f>
        <v/>
      </c>
      <c r="CX175">
        <f>IFERROR(INDEX('История отказов'!$AE$5:$AE$1204,SMALL($DF$2:$DF$1201,ROWS($CX$3:CX175))),"")</f>
        <v/>
      </c>
      <c r="CY175">
        <f>IFERROR(INDEX('История отказов'!$AE$5:$AE$1204,SMALL($DH$2:$DH$1201,ROWS($CY$7:CY175))),"")</f>
        <v/>
      </c>
      <c r="DB175">
        <f>IF('История отказов'!AH178="","",'История отказов'!AH178)</f>
        <v/>
      </c>
      <c r="DC175">
        <f>IF('История отказов'!AE178="","",IF(AND(COUNTIF($CT$2:$CT$2,'История отказов'!AE178)=0,COUNTIFS('История отказов'!$F$5:F178,"ШГН",'История отказов'!$AE$5:AE178,'История отказов'!AE178)=1,'История отказов'!F178="ШГН"),174,""))</f>
        <v/>
      </c>
      <c r="DD175">
        <f>IF('История отказов'!AE178="","",IF(AND(COUNTIF($CU$2:$CU$3,'История отказов'!AE178)=0,COUNTIFS('История отказов'!$F$5:F178,"ЭЦН",'История отказов'!$AE$5:AE178,'История отказов'!AE178)=1,'История отказов'!F178="ЭЦН"),174,""))</f>
        <v/>
      </c>
      <c r="DE175">
        <f>IF('История отказов'!AE178="","",IF(AND(COUNTIF($CV$2:$CV$3,'История отказов'!AE178)=0,COUNTIFS('История отказов'!$F$5:F178,"ЭВН",'История отказов'!$AE$5:AE178,'История отказов'!AE178)=1,'История отказов'!F178="ЭВН"),174,""))</f>
        <v/>
      </c>
      <c r="DF175">
        <f>IF('История отказов'!AE178="","",IF(AND(COUNTIF($CX$2:$CX$2,'История отказов'!AE178)=0,COUNTIFS('История отказов'!$F$5:F178,"ШВН",'История отказов'!$AE$5:AE178,'История отказов'!AE178)=1,'История отказов'!F178="ШВН"),174,""))</f>
        <v/>
      </c>
      <c r="DG175">
        <f>IF('История отказов'!AE178="","",IF(AND(COUNTIF($CW$2:$CW$2,'История отказов'!AE178)=0,COUNTIFS('История отказов'!$F$5:F178,"НПУ-ВД",'История отказов'!$AE$5:AE178,'История отказов'!AE178)=1,'История отказов'!F178="НПУ-ВД"),174,""))</f>
        <v/>
      </c>
      <c r="DH175">
        <f>IF('История отказов'!AE178="","",IF(AND(COUNTIF($CY$2:$CY$6,'История отказов'!AE178)=0,COUNTIF('История отказов'!$AE$5:AE178,'История отказов'!AE178)=1),174,""))</f>
        <v/>
      </c>
      <c r="DI175">
        <f>IF('История отказов'!AK178="","",IF(AND(COUNTIF($CL$2:$CL$3,'История отказов'!AK178)=0,COUNTIF('История отказов'!$AK$5:AK178,'История отказов'!AK178)=1),174,""))</f>
        <v/>
      </c>
      <c r="DJ175">
        <f>IF('История отказов'!AU178="","",IF(AND(COUNTIF($CP$2:$CP$3,'История отказов'!AU178)=0,COUNTIF('История отказов'!$AU$5:AU178,'История отказов'!AU178)=1),174,""))</f>
        <v/>
      </c>
      <c r="DK175">
        <f>IF('История отказов'!AY178="","",IF(AND(COUNTIF($CR$2:$CR$2,'История отказов'!AY178)=0,COUNTIF('История отказов'!$AY$5:AY178,'История отказов'!AY178)=1),174,""))</f>
        <v/>
      </c>
      <c r="DL175">
        <f>IF(DB175="","",IF(AND(COUNTIF($DA$2:$DA$47,DB175)=0,COUNTIF($DB$2:DB175,DB175)=1),174,""))</f>
        <v/>
      </c>
    </row>
    <row r="176">
      <c r="A176" s="74" t="n"/>
      <c r="B176" s="75" t="n"/>
      <c r="C176" s="75" t="n"/>
      <c r="D176" s="75" t="n"/>
      <c r="E176" s="75" t="n"/>
      <c r="F176" s="75" t="n"/>
      <c r="G176" s="76" t="n"/>
      <c r="J176" s="62" t="n"/>
      <c r="K176" s="62" t="n"/>
      <c r="L176" s="62" t="n"/>
      <c r="M176" s="62" t="n"/>
      <c r="N176" s="62" t="n"/>
      <c r="Q176" t="inlineStr">
        <is>
          <t>Предварительная / итоговая причина</t>
        </is>
      </c>
      <c r="R176" t="inlineStr">
        <is>
          <t>4.14 — Снижение изоляции ЭД [УЭЦН]</t>
        </is>
      </c>
      <c r="S176" t="inlineStr">
        <is>
          <t>Код и название; метка группы добавлена</t>
        </is>
      </c>
      <c r="T176" t="inlineStr">
        <is>
          <t>Классификатор по способам 2024 V10, лист УЭЦН</t>
        </is>
      </c>
      <c r="U176" t="inlineStr">
        <is>
          <t>Лист УЭЦН; код 4.14</t>
        </is>
      </c>
      <c r="V176" t="inlineStr">
        <is>
          <t>ЭЦН/ЭВН</t>
        </is>
      </c>
      <c r="CL176">
        <f>IFERROR(INDEX('История отказов'!$AK$5:$AK$1204,SMALL($DI$2:$DI$1201,ROWS($CL$4:CL176))),"")</f>
        <v/>
      </c>
      <c r="CP176">
        <f>IFERROR(INDEX('История отказов'!$AU$5:$AU$1204,SMALL($DJ$2:$DJ$1201,ROWS($CP$4:CP176))),"")</f>
        <v/>
      </c>
      <c r="CR176">
        <f>IFERROR(INDEX('История отказов'!$AY$5:$AY$1204,SMALL($DK$2:$DK$1201,ROWS($CR$3:CR176))),"")</f>
        <v/>
      </c>
      <c r="CT176">
        <f>IFERROR(INDEX('История отказов'!$AE$5:$AE$1204,SMALL($DC$2:$DC$1201,ROWS($CT$3:CT176))),"")</f>
        <v/>
      </c>
      <c r="CU176">
        <f>IFERROR(INDEX('История отказов'!$AE$5:$AE$1204,SMALL($DD$2:$DD$1201,ROWS($CU$4:CU176))),"")</f>
        <v/>
      </c>
      <c r="CV176">
        <f>IFERROR(INDEX('История отказов'!$AE$5:$AE$1204,SMALL($DE$2:$DE$1201,ROWS($CV$4:CV176))),"")</f>
        <v/>
      </c>
      <c r="CW176">
        <f>IFERROR(INDEX('История отказов'!$AE$5:$AE$1204,SMALL($DG$2:$DG$1201,ROWS($CW$3:CW176))),"")</f>
        <v/>
      </c>
      <c r="CX176">
        <f>IFERROR(INDEX('История отказов'!$AE$5:$AE$1204,SMALL($DF$2:$DF$1201,ROWS($CX$3:CX176))),"")</f>
        <v/>
      </c>
      <c r="CY176">
        <f>IFERROR(INDEX('История отказов'!$AE$5:$AE$1204,SMALL($DH$2:$DH$1201,ROWS($CY$7:CY176))),"")</f>
        <v/>
      </c>
      <c r="DB176">
        <f>IF('История отказов'!AH179="","",'История отказов'!AH179)</f>
        <v/>
      </c>
      <c r="DC176">
        <f>IF('История отказов'!AE179="","",IF(AND(COUNTIF($CT$2:$CT$2,'История отказов'!AE179)=0,COUNTIFS('История отказов'!$F$5:F179,"ШГН",'История отказов'!$AE$5:AE179,'История отказов'!AE179)=1,'История отказов'!F179="ШГН"),175,""))</f>
        <v/>
      </c>
      <c r="DD176">
        <f>IF('История отказов'!AE179="","",IF(AND(COUNTIF($CU$2:$CU$3,'История отказов'!AE179)=0,COUNTIFS('История отказов'!$F$5:F179,"ЭЦН",'История отказов'!$AE$5:AE179,'История отказов'!AE179)=1,'История отказов'!F179="ЭЦН"),175,""))</f>
        <v/>
      </c>
      <c r="DE176">
        <f>IF('История отказов'!AE179="","",IF(AND(COUNTIF($CV$2:$CV$3,'История отказов'!AE179)=0,COUNTIFS('История отказов'!$F$5:F179,"ЭВН",'История отказов'!$AE$5:AE179,'История отказов'!AE179)=1,'История отказов'!F179="ЭВН"),175,""))</f>
        <v/>
      </c>
      <c r="DF176">
        <f>IF('История отказов'!AE179="","",IF(AND(COUNTIF($CX$2:$CX$2,'История отказов'!AE179)=0,COUNTIFS('История отказов'!$F$5:F179,"ШВН",'История отказов'!$AE$5:AE179,'История отказов'!AE179)=1,'История отказов'!F179="ШВН"),175,""))</f>
        <v/>
      </c>
      <c r="DG176">
        <f>IF('История отказов'!AE179="","",IF(AND(COUNTIF($CW$2:$CW$2,'История отказов'!AE179)=0,COUNTIFS('История отказов'!$F$5:F179,"НПУ-ВД",'История отказов'!$AE$5:AE179,'История отказов'!AE179)=1,'История отказов'!F179="НПУ-ВД"),175,""))</f>
        <v/>
      </c>
      <c r="DH176">
        <f>IF('История отказов'!AE179="","",IF(AND(COUNTIF($CY$2:$CY$6,'История отказов'!AE179)=0,COUNTIF('История отказов'!$AE$5:AE179,'История отказов'!AE179)=1),175,""))</f>
        <v/>
      </c>
      <c r="DI176">
        <f>IF('История отказов'!AK179="","",IF(AND(COUNTIF($CL$2:$CL$3,'История отказов'!AK179)=0,COUNTIF('История отказов'!$AK$5:AK179,'История отказов'!AK179)=1),175,""))</f>
        <v/>
      </c>
      <c r="DJ176">
        <f>IF('История отказов'!AU179="","",IF(AND(COUNTIF($CP$2:$CP$3,'История отказов'!AU179)=0,COUNTIF('История отказов'!$AU$5:AU179,'История отказов'!AU179)=1),175,""))</f>
        <v/>
      </c>
      <c r="DK176">
        <f>IF('История отказов'!AY179="","",IF(AND(COUNTIF($CR$2:$CR$2,'История отказов'!AY179)=0,COUNTIF('История отказов'!$AY$5:AY179,'История отказов'!AY179)=1),175,""))</f>
        <v/>
      </c>
      <c r="DL176">
        <f>IF(DB176="","",IF(AND(COUNTIF($DA$2:$DA$47,DB176)=0,COUNTIF($DB$2:DB176,DB176)=1),175,""))</f>
        <v/>
      </c>
    </row>
    <row r="177">
      <c r="A177" s="74" t="n"/>
      <c r="B177" s="75" t="n"/>
      <c r="C177" s="75" t="n"/>
      <c r="D177" s="75" t="n"/>
      <c r="E177" s="75" t="n"/>
      <c r="F177" s="75" t="n"/>
      <c r="G177" s="76" t="n"/>
      <c r="J177" s="62" t="n"/>
      <c r="K177" s="62" t="n"/>
      <c r="L177" s="62" t="n"/>
      <c r="M177" s="62" t="n"/>
      <c r="N177" s="62" t="n"/>
      <c r="Q177" t="inlineStr">
        <is>
          <t>Предварительная / итоговая причина</t>
        </is>
      </c>
      <c r="R177" t="inlineStr">
        <is>
          <t>4.15 — Снижение изоляции ТМС [УЭЦН]</t>
        </is>
      </c>
      <c r="S177" t="inlineStr">
        <is>
          <t>Код и название; метка группы добавлена</t>
        </is>
      </c>
      <c r="T177" t="inlineStr">
        <is>
          <t>Классификатор по способам 2024 V10, лист УЭЦН</t>
        </is>
      </c>
      <c r="U177" t="inlineStr">
        <is>
          <t>Лист УЭЦН; код 4.15</t>
        </is>
      </c>
      <c r="V177" t="inlineStr">
        <is>
          <t>ЭЦН/ЭВН</t>
        </is>
      </c>
      <c r="CL177">
        <f>IFERROR(INDEX('История отказов'!$AK$5:$AK$1204,SMALL($DI$2:$DI$1201,ROWS($CL$4:CL177))),"")</f>
        <v/>
      </c>
      <c r="CP177">
        <f>IFERROR(INDEX('История отказов'!$AU$5:$AU$1204,SMALL($DJ$2:$DJ$1201,ROWS($CP$4:CP177))),"")</f>
        <v/>
      </c>
      <c r="CR177">
        <f>IFERROR(INDEX('История отказов'!$AY$5:$AY$1204,SMALL($DK$2:$DK$1201,ROWS($CR$3:CR177))),"")</f>
        <v/>
      </c>
      <c r="CT177">
        <f>IFERROR(INDEX('История отказов'!$AE$5:$AE$1204,SMALL($DC$2:$DC$1201,ROWS($CT$3:CT177))),"")</f>
        <v/>
      </c>
      <c r="CU177">
        <f>IFERROR(INDEX('История отказов'!$AE$5:$AE$1204,SMALL($DD$2:$DD$1201,ROWS($CU$4:CU177))),"")</f>
        <v/>
      </c>
      <c r="CV177">
        <f>IFERROR(INDEX('История отказов'!$AE$5:$AE$1204,SMALL($DE$2:$DE$1201,ROWS($CV$4:CV177))),"")</f>
        <v/>
      </c>
      <c r="CW177">
        <f>IFERROR(INDEX('История отказов'!$AE$5:$AE$1204,SMALL($DG$2:$DG$1201,ROWS($CW$3:CW177))),"")</f>
        <v/>
      </c>
      <c r="CX177">
        <f>IFERROR(INDEX('История отказов'!$AE$5:$AE$1204,SMALL($DF$2:$DF$1201,ROWS($CX$3:CX177))),"")</f>
        <v/>
      </c>
      <c r="CY177">
        <f>IFERROR(INDEX('История отказов'!$AE$5:$AE$1204,SMALL($DH$2:$DH$1201,ROWS($CY$7:CY177))),"")</f>
        <v/>
      </c>
      <c r="DB177">
        <f>IF('История отказов'!AH180="","",'История отказов'!AH180)</f>
        <v/>
      </c>
      <c r="DC177">
        <f>IF('История отказов'!AE180="","",IF(AND(COUNTIF($CT$2:$CT$2,'История отказов'!AE180)=0,COUNTIFS('История отказов'!$F$5:F180,"ШГН",'История отказов'!$AE$5:AE180,'История отказов'!AE180)=1,'История отказов'!F180="ШГН"),176,""))</f>
        <v/>
      </c>
      <c r="DD177">
        <f>IF('История отказов'!AE180="","",IF(AND(COUNTIF($CU$2:$CU$3,'История отказов'!AE180)=0,COUNTIFS('История отказов'!$F$5:F180,"ЭЦН",'История отказов'!$AE$5:AE180,'История отказов'!AE180)=1,'История отказов'!F180="ЭЦН"),176,""))</f>
        <v/>
      </c>
      <c r="DE177">
        <f>IF('История отказов'!AE180="","",IF(AND(COUNTIF($CV$2:$CV$3,'История отказов'!AE180)=0,COUNTIFS('История отказов'!$F$5:F180,"ЭВН",'История отказов'!$AE$5:AE180,'История отказов'!AE180)=1,'История отказов'!F180="ЭВН"),176,""))</f>
        <v/>
      </c>
      <c r="DF177">
        <f>IF('История отказов'!AE180="","",IF(AND(COUNTIF($CX$2:$CX$2,'История отказов'!AE180)=0,COUNTIFS('История отказов'!$F$5:F180,"ШВН",'История отказов'!$AE$5:AE180,'История отказов'!AE180)=1,'История отказов'!F180="ШВН"),176,""))</f>
        <v/>
      </c>
      <c r="DG177">
        <f>IF('История отказов'!AE180="","",IF(AND(COUNTIF($CW$2:$CW$2,'История отказов'!AE180)=0,COUNTIFS('История отказов'!$F$5:F180,"НПУ-ВД",'История отказов'!$AE$5:AE180,'История отказов'!AE180)=1,'История отказов'!F180="НПУ-ВД"),176,""))</f>
        <v/>
      </c>
      <c r="DH177">
        <f>IF('История отказов'!AE180="","",IF(AND(COUNTIF($CY$2:$CY$6,'История отказов'!AE180)=0,COUNTIF('История отказов'!$AE$5:AE180,'История отказов'!AE180)=1),176,""))</f>
        <v/>
      </c>
      <c r="DI177">
        <f>IF('История отказов'!AK180="","",IF(AND(COUNTIF($CL$2:$CL$3,'История отказов'!AK180)=0,COUNTIF('История отказов'!$AK$5:AK180,'История отказов'!AK180)=1),176,""))</f>
        <v/>
      </c>
      <c r="DJ177">
        <f>IF('История отказов'!AU180="","",IF(AND(COUNTIF($CP$2:$CP$3,'История отказов'!AU180)=0,COUNTIF('История отказов'!$AU$5:AU180,'История отказов'!AU180)=1),176,""))</f>
        <v/>
      </c>
      <c r="DK177">
        <f>IF('История отказов'!AY180="","",IF(AND(COUNTIF($CR$2:$CR$2,'История отказов'!AY180)=0,COUNTIF('История отказов'!$AY$5:AY180,'История отказов'!AY180)=1),176,""))</f>
        <v/>
      </c>
      <c r="DL177">
        <f>IF(DB177="","",IF(AND(COUNTIF($DA$2:$DA$47,DB177)=0,COUNTIF($DB$2:DB177,DB177)=1),176,""))</f>
        <v/>
      </c>
    </row>
    <row r="178">
      <c r="A178" s="74" t="n"/>
      <c r="B178" s="75" t="n"/>
      <c r="C178" s="75" t="n"/>
      <c r="D178" s="75" t="n"/>
      <c r="E178" s="75" t="n"/>
      <c r="F178" s="75" t="n"/>
      <c r="G178" s="76" t="n"/>
      <c r="J178" s="62" t="n"/>
      <c r="K178" s="62" t="n"/>
      <c r="L178" s="62" t="n"/>
      <c r="M178" s="62" t="n"/>
      <c r="N178" s="62" t="n"/>
      <c r="Q178" t="inlineStr">
        <is>
          <t>Предварительная / итоговая причина</t>
        </is>
      </c>
      <c r="R178" t="inlineStr">
        <is>
          <t>4.16 — Авария [УЭЦН]</t>
        </is>
      </c>
      <c r="S178" t="inlineStr">
        <is>
          <t>Код и название; метка группы добавлена</t>
        </is>
      </c>
      <c r="T178" t="inlineStr">
        <is>
          <t>Классификатор по способам 2024 V10, лист УЭЦН</t>
        </is>
      </c>
      <c r="U178" t="inlineStr">
        <is>
          <t>Лист УЭЦН; код 4.16</t>
        </is>
      </c>
      <c r="V178" t="inlineStr">
        <is>
          <t>ЭЦН/ЭВН</t>
        </is>
      </c>
      <c r="CL178">
        <f>IFERROR(INDEX('История отказов'!$AK$5:$AK$1204,SMALL($DI$2:$DI$1201,ROWS($CL$4:CL178))),"")</f>
        <v/>
      </c>
      <c r="CP178">
        <f>IFERROR(INDEX('История отказов'!$AU$5:$AU$1204,SMALL($DJ$2:$DJ$1201,ROWS($CP$4:CP178))),"")</f>
        <v/>
      </c>
      <c r="CR178">
        <f>IFERROR(INDEX('История отказов'!$AY$5:$AY$1204,SMALL($DK$2:$DK$1201,ROWS($CR$3:CR178))),"")</f>
        <v/>
      </c>
      <c r="CT178">
        <f>IFERROR(INDEX('История отказов'!$AE$5:$AE$1204,SMALL($DC$2:$DC$1201,ROWS($CT$3:CT178))),"")</f>
        <v/>
      </c>
      <c r="CU178">
        <f>IFERROR(INDEX('История отказов'!$AE$5:$AE$1204,SMALL($DD$2:$DD$1201,ROWS($CU$4:CU178))),"")</f>
        <v/>
      </c>
      <c r="CV178">
        <f>IFERROR(INDEX('История отказов'!$AE$5:$AE$1204,SMALL($DE$2:$DE$1201,ROWS($CV$4:CV178))),"")</f>
        <v/>
      </c>
      <c r="CW178">
        <f>IFERROR(INDEX('История отказов'!$AE$5:$AE$1204,SMALL($DG$2:$DG$1201,ROWS($CW$3:CW178))),"")</f>
        <v/>
      </c>
      <c r="CX178">
        <f>IFERROR(INDEX('История отказов'!$AE$5:$AE$1204,SMALL($DF$2:$DF$1201,ROWS($CX$3:CX178))),"")</f>
        <v/>
      </c>
      <c r="CY178">
        <f>IFERROR(INDEX('История отказов'!$AE$5:$AE$1204,SMALL($DH$2:$DH$1201,ROWS($CY$7:CY178))),"")</f>
        <v/>
      </c>
      <c r="DB178">
        <f>IF('История отказов'!AH181="","",'История отказов'!AH181)</f>
        <v/>
      </c>
      <c r="DC178">
        <f>IF('История отказов'!AE181="","",IF(AND(COUNTIF($CT$2:$CT$2,'История отказов'!AE181)=0,COUNTIFS('История отказов'!$F$5:F181,"ШГН",'История отказов'!$AE$5:AE181,'История отказов'!AE181)=1,'История отказов'!F181="ШГН"),177,""))</f>
        <v/>
      </c>
      <c r="DD178">
        <f>IF('История отказов'!AE181="","",IF(AND(COUNTIF($CU$2:$CU$3,'История отказов'!AE181)=0,COUNTIFS('История отказов'!$F$5:F181,"ЭЦН",'История отказов'!$AE$5:AE181,'История отказов'!AE181)=1,'История отказов'!F181="ЭЦН"),177,""))</f>
        <v/>
      </c>
      <c r="DE178">
        <f>IF('История отказов'!AE181="","",IF(AND(COUNTIF($CV$2:$CV$3,'История отказов'!AE181)=0,COUNTIFS('История отказов'!$F$5:F181,"ЭВН",'История отказов'!$AE$5:AE181,'История отказов'!AE181)=1,'История отказов'!F181="ЭВН"),177,""))</f>
        <v/>
      </c>
      <c r="DF178">
        <f>IF('История отказов'!AE181="","",IF(AND(COUNTIF($CX$2:$CX$2,'История отказов'!AE181)=0,COUNTIFS('История отказов'!$F$5:F181,"ШВН",'История отказов'!$AE$5:AE181,'История отказов'!AE181)=1,'История отказов'!F181="ШВН"),177,""))</f>
        <v/>
      </c>
      <c r="DG178">
        <f>IF('История отказов'!AE181="","",IF(AND(COUNTIF($CW$2:$CW$2,'История отказов'!AE181)=0,COUNTIFS('История отказов'!$F$5:F181,"НПУ-ВД",'История отказов'!$AE$5:AE181,'История отказов'!AE181)=1,'История отказов'!F181="НПУ-ВД"),177,""))</f>
        <v/>
      </c>
      <c r="DH178">
        <f>IF('История отказов'!AE181="","",IF(AND(COUNTIF($CY$2:$CY$6,'История отказов'!AE181)=0,COUNTIF('История отказов'!$AE$5:AE181,'История отказов'!AE181)=1),177,""))</f>
        <v/>
      </c>
      <c r="DI178">
        <f>IF('История отказов'!AK181="","",IF(AND(COUNTIF($CL$2:$CL$3,'История отказов'!AK181)=0,COUNTIF('История отказов'!$AK$5:AK181,'История отказов'!AK181)=1),177,""))</f>
        <v/>
      </c>
      <c r="DJ178">
        <f>IF('История отказов'!AU181="","",IF(AND(COUNTIF($CP$2:$CP$3,'История отказов'!AU181)=0,COUNTIF('История отказов'!$AU$5:AU181,'История отказов'!AU181)=1),177,""))</f>
        <v/>
      </c>
      <c r="DK178">
        <f>IF('История отказов'!AY181="","",IF(AND(COUNTIF($CR$2:$CR$2,'История отказов'!AY181)=0,COUNTIF('История отказов'!$AY$5:AY181,'История отказов'!AY181)=1),177,""))</f>
        <v/>
      </c>
      <c r="DL178">
        <f>IF(DB178="","",IF(AND(COUNTIF($DA$2:$DA$47,DB178)=0,COUNTIF($DB$2:DB178,DB178)=1),177,""))</f>
        <v/>
      </c>
    </row>
    <row r="179">
      <c r="A179" s="74" t="n"/>
      <c r="B179" s="75" t="n"/>
      <c r="C179" s="75" t="n"/>
      <c r="D179" s="75" t="n"/>
      <c r="E179" s="75" t="n"/>
      <c r="F179" s="75" t="n"/>
      <c r="G179" s="76" t="n"/>
      <c r="J179" s="62" t="n"/>
      <c r="K179" s="62" t="n"/>
      <c r="L179" s="62" t="n"/>
      <c r="M179" s="62" t="n"/>
      <c r="N179" s="62" t="n"/>
      <c r="Q179" t="inlineStr">
        <is>
          <t>Предварительная / итоговая причина</t>
        </is>
      </c>
      <c r="R179" t="inlineStr">
        <is>
          <t>4.17 — Организационные причины ООО "ЛУКОЙЛ ЭПУ Сервис" [УЭЦН]</t>
        </is>
      </c>
      <c r="S179" t="inlineStr">
        <is>
          <t>Код и название; метка группы добавлена</t>
        </is>
      </c>
      <c r="T179" t="inlineStr">
        <is>
          <t>Классификатор по способам 2024 V10, лист УЭЦН</t>
        </is>
      </c>
      <c r="U179" t="inlineStr">
        <is>
          <t>Лист УЭЦН; код 4.17</t>
        </is>
      </c>
      <c r="V179" t="inlineStr">
        <is>
          <t>ЭЦН/ЭВН</t>
        </is>
      </c>
      <c r="CL179">
        <f>IFERROR(INDEX('История отказов'!$AK$5:$AK$1204,SMALL($DI$2:$DI$1201,ROWS($CL$4:CL179))),"")</f>
        <v/>
      </c>
      <c r="CP179">
        <f>IFERROR(INDEX('История отказов'!$AU$5:$AU$1204,SMALL($DJ$2:$DJ$1201,ROWS($CP$4:CP179))),"")</f>
        <v/>
      </c>
      <c r="CR179">
        <f>IFERROR(INDEX('История отказов'!$AY$5:$AY$1204,SMALL($DK$2:$DK$1201,ROWS($CR$3:CR179))),"")</f>
        <v/>
      </c>
      <c r="CT179">
        <f>IFERROR(INDEX('История отказов'!$AE$5:$AE$1204,SMALL($DC$2:$DC$1201,ROWS($CT$3:CT179))),"")</f>
        <v/>
      </c>
      <c r="CU179">
        <f>IFERROR(INDEX('История отказов'!$AE$5:$AE$1204,SMALL($DD$2:$DD$1201,ROWS($CU$4:CU179))),"")</f>
        <v/>
      </c>
      <c r="CV179">
        <f>IFERROR(INDEX('История отказов'!$AE$5:$AE$1204,SMALL($DE$2:$DE$1201,ROWS($CV$4:CV179))),"")</f>
        <v/>
      </c>
      <c r="CW179">
        <f>IFERROR(INDEX('История отказов'!$AE$5:$AE$1204,SMALL($DG$2:$DG$1201,ROWS($CW$3:CW179))),"")</f>
        <v/>
      </c>
      <c r="CX179">
        <f>IFERROR(INDEX('История отказов'!$AE$5:$AE$1204,SMALL($DF$2:$DF$1201,ROWS($CX$3:CX179))),"")</f>
        <v/>
      </c>
      <c r="CY179">
        <f>IFERROR(INDEX('История отказов'!$AE$5:$AE$1204,SMALL($DH$2:$DH$1201,ROWS($CY$7:CY179))),"")</f>
        <v/>
      </c>
      <c r="DB179">
        <f>IF('История отказов'!AH182="","",'История отказов'!AH182)</f>
        <v/>
      </c>
      <c r="DC179">
        <f>IF('История отказов'!AE182="","",IF(AND(COUNTIF($CT$2:$CT$2,'История отказов'!AE182)=0,COUNTIFS('История отказов'!$F$5:F182,"ШГН",'История отказов'!$AE$5:AE182,'История отказов'!AE182)=1,'История отказов'!F182="ШГН"),178,""))</f>
        <v/>
      </c>
      <c r="DD179">
        <f>IF('История отказов'!AE182="","",IF(AND(COUNTIF($CU$2:$CU$3,'История отказов'!AE182)=0,COUNTIFS('История отказов'!$F$5:F182,"ЭЦН",'История отказов'!$AE$5:AE182,'История отказов'!AE182)=1,'История отказов'!F182="ЭЦН"),178,""))</f>
        <v/>
      </c>
      <c r="DE179">
        <f>IF('История отказов'!AE182="","",IF(AND(COUNTIF($CV$2:$CV$3,'История отказов'!AE182)=0,COUNTIFS('История отказов'!$F$5:F182,"ЭВН",'История отказов'!$AE$5:AE182,'История отказов'!AE182)=1,'История отказов'!F182="ЭВН"),178,""))</f>
        <v/>
      </c>
      <c r="DF179">
        <f>IF('История отказов'!AE182="","",IF(AND(COUNTIF($CX$2:$CX$2,'История отказов'!AE182)=0,COUNTIFS('История отказов'!$F$5:F182,"ШВН",'История отказов'!$AE$5:AE182,'История отказов'!AE182)=1,'История отказов'!F182="ШВН"),178,""))</f>
        <v/>
      </c>
      <c r="DG179">
        <f>IF('История отказов'!AE182="","",IF(AND(COUNTIF($CW$2:$CW$2,'История отказов'!AE182)=0,COUNTIFS('История отказов'!$F$5:F182,"НПУ-ВД",'История отказов'!$AE$5:AE182,'История отказов'!AE182)=1,'История отказов'!F182="НПУ-ВД"),178,""))</f>
        <v/>
      </c>
      <c r="DH179">
        <f>IF('История отказов'!AE182="","",IF(AND(COUNTIF($CY$2:$CY$6,'История отказов'!AE182)=0,COUNTIF('История отказов'!$AE$5:AE182,'История отказов'!AE182)=1),178,""))</f>
        <v/>
      </c>
      <c r="DI179">
        <f>IF('История отказов'!AK182="","",IF(AND(COUNTIF($CL$2:$CL$3,'История отказов'!AK182)=0,COUNTIF('История отказов'!$AK$5:AK182,'История отказов'!AK182)=1),178,""))</f>
        <v/>
      </c>
      <c r="DJ179">
        <f>IF('История отказов'!AU182="","",IF(AND(COUNTIF($CP$2:$CP$3,'История отказов'!AU182)=0,COUNTIF('История отказов'!$AU$5:AU182,'История отказов'!AU182)=1),178,""))</f>
        <v/>
      </c>
      <c r="DK179">
        <f>IF('История отказов'!AY182="","",IF(AND(COUNTIF($CR$2:$CR$2,'История отказов'!AY182)=0,COUNTIF('История отказов'!$AY$5:AY182,'История отказов'!AY182)=1),178,""))</f>
        <v/>
      </c>
      <c r="DL179">
        <f>IF(DB179="","",IF(AND(COUNTIF($DA$2:$DA$47,DB179)=0,COUNTIF($DB$2:DB179,DB179)=1),178,""))</f>
        <v/>
      </c>
    </row>
    <row r="180">
      <c r="A180" s="74" t="n"/>
      <c r="B180" s="75" t="n"/>
      <c r="C180" s="75" t="n"/>
      <c r="D180" s="75" t="n"/>
      <c r="E180" s="75" t="n"/>
      <c r="F180" s="75" t="n"/>
      <c r="G180" s="76" t="n"/>
      <c r="J180" s="62" t="n"/>
      <c r="K180" s="62" t="n"/>
      <c r="L180" s="62" t="n"/>
      <c r="M180" s="62" t="n"/>
      <c r="N180" s="62" t="n"/>
      <c r="Q180" t="inlineStr">
        <is>
          <t>Предварительная / итоговая причина</t>
        </is>
      </c>
      <c r="R180" t="inlineStr">
        <is>
          <t>5.1 — Брак ремонта НКТ [УЭЦН]</t>
        </is>
      </c>
      <c r="S180" t="inlineStr">
        <is>
          <t>Код и название; метка группы добавлена</t>
        </is>
      </c>
      <c r="T180" t="inlineStr">
        <is>
          <t>Классификатор по способам 2024 V10, лист УЭЦН</t>
        </is>
      </c>
      <c r="U180" t="inlineStr">
        <is>
          <t>Лист УЭЦН; код 5.1</t>
        </is>
      </c>
      <c r="V180" t="inlineStr">
        <is>
          <t>ЭЦН/ЭВН</t>
        </is>
      </c>
      <c r="CL180">
        <f>IFERROR(INDEX('История отказов'!$AK$5:$AK$1204,SMALL($DI$2:$DI$1201,ROWS($CL$4:CL180))),"")</f>
        <v/>
      </c>
      <c r="CP180">
        <f>IFERROR(INDEX('История отказов'!$AU$5:$AU$1204,SMALL($DJ$2:$DJ$1201,ROWS($CP$4:CP180))),"")</f>
        <v/>
      </c>
      <c r="CR180">
        <f>IFERROR(INDEX('История отказов'!$AY$5:$AY$1204,SMALL($DK$2:$DK$1201,ROWS($CR$3:CR180))),"")</f>
        <v/>
      </c>
      <c r="CT180">
        <f>IFERROR(INDEX('История отказов'!$AE$5:$AE$1204,SMALL($DC$2:$DC$1201,ROWS($CT$3:CT180))),"")</f>
        <v/>
      </c>
      <c r="CU180">
        <f>IFERROR(INDEX('История отказов'!$AE$5:$AE$1204,SMALL($DD$2:$DD$1201,ROWS($CU$4:CU180))),"")</f>
        <v/>
      </c>
      <c r="CV180">
        <f>IFERROR(INDEX('История отказов'!$AE$5:$AE$1204,SMALL($DE$2:$DE$1201,ROWS($CV$4:CV180))),"")</f>
        <v/>
      </c>
      <c r="CW180">
        <f>IFERROR(INDEX('История отказов'!$AE$5:$AE$1204,SMALL($DG$2:$DG$1201,ROWS($CW$3:CW180))),"")</f>
        <v/>
      </c>
      <c r="CX180">
        <f>IFERROR(INDEX('История отказов'!$AE$5:$AE$1204,SMALL($DF$2:$DF$1201,ROWS($CX$3:CX180))),"")</f>
        <v/>
      </c>
      <c r="CY180">
        <f>IFERROR(INDEX('История отказов'!$AE$5:$AE$1204,SMALL($DH$2:$DH$1201,ROWS($CY$7:CY180))),"")</f>
        <v/>
      </c>
      <c r="DB180">
        <f>IF('История отказов'!AH183="","",'История отказов'!AH183)</f>
        <v/>
      </c>
      <c r="DC180">
        <f>IF('История отказов'!AE183="","",IF(AND(COUNTIF($CT$2:$CT$2,'История отказов'!AE183)=0,COUNTIFS('История отказов'!$F$5:F183,"ШГН",'История отказов'!$AE$5:AE183,'История отказов'!AE183)=1,'История отказов'!F183="ШГН"),179,""))</f>
        <v/>
      </c>
      <c r="DD180">
        <f>IF('История отказов'!AE183="","",IF(AND(COUNTIF($CU$2:$CU$3,'История отказов'!AE183)=0,COUNTIFS('История отказов'!$F$5:F183,"ЭЦН",'История отказов'!$AE$5:AE183,'История отказов'!AE183)=1,'История отказов'!F183="ЭЦН"),179,""))</f>
        <v/>
      </c>
      <c r="DE180">
        <f>IF('История отказов'!AE183="","",IF(AND(COUNTIF($CV$2:$CV$3,'История отказов'!AE183)=0,COUNTIFS('История отказов'!$F$5:F183,"ЭВН",'История отказов'!$AE$5:AE183,'История отказов'!AE183)=1,'История отказов'!F183="ЭВН"),179,""))</f>
        <v/>
      </c>
      <c r="DF180">
        <f>IF('История отказов'!AE183="","",IF(AND(COUNTIF($CX$2:$CX$2,'История отказов'!AE183)=0,COUNTIFS('История отказов'!$F$5:F183,"ШВН",'История отказов'!$AE$5:AE183,'История отказов'!AE183)=1,'История отказов'!F183="ШВН"),179,""))</f>
        <v/>
      </c>
      <c r="DG180">
        <f>IF('История отказов'!AE183="","",IF(AND(COUNTIF($CW$2:$CW$2,'История отказов'!AE183)=0,COUNTIFS('История отказов'!$F$5:F183,"НПУ-ВД",'История отказов'!$AE$5:AE183,'История отказов'!AE183)=1,'История отказов'!F183="НПУ-ВД"),179,""))</f>
        <v/>
      </c>
      <c r="DH180">
        <f>IF('История отказов'!AE183="","",IF(AND(COUNTIF($CY$2:$CY$6,'История отказов'!AE183)=0,COUNTIF('История отказов'!$AE$5:AE183,'История отказов'!AE183)=1),179,""))</f>
        <v/>
      </c>
      <c r="DI180">
        <f>IF('История отказов'!AK183="","",IF(AND(COUNTIF($CL$2:$CL$3,'История отказов'!AK183)=0,COUNTIF('История отказов'!$AK$5:AK183,'История отказов'!AK183)=1),179,""))</f>
        <v/>
      </c>
      <c r="DJ180">
        <f>IF('История отказов'!AU183="","",IF(AND(COUNTIF($CP$2:$CP$3,'История отказов'!AU183)=0,COUNTIF('История отказов'!$AU$5:AU183,'История отказов'!AU183)=1),179,""))</f>
        <v/>
      </c>
      <c r="DK180">
        <f>IF('История отказов'!AY183="","",IF(AND(COUNTIF($CR$2:$CR$2,'История отказов'!AY183)=0,COUNTIF('История отказов'!$AY$5:AY183,'История отказов'!AY183)=1),179,""))</f>
        <v/>
      </c>
      <c r="DL180">
        <f>IF(DB180="","",IF(AND(COUNTIF($DA$2:$DA$47,DB180)=0,COUNTIF($DB$2:DB180,DB180)=1),179,""))</f>
        <v/>
      </c>
    </row>
    <row r="181">
      <c r="A181" s="74" t="n"/>
      <c r="B181" s="75" t="n"/>
      <c r="C181" s="75" t="n"/>
      <c r="D181" s="75" t="n"/>
      <c r="E181" s="75" t="n"/>
      <c r="F181" s="75" t="n"/>
      <c r="G181" s="76" t="n"/>
      <c r="J181" s="62" t="n"/>
      <c r="K181" s="62" t="n"/>
      <c r="L181" s="62" t="n"/>
      <c r="M181" s="62" t="n"/>
      <c r="N181" s="62" t="n"/>
      <c r="Q181" t="inlineStr">
        <is>
          <t>Предварительная / итоговая причина</t>
        </is>
      </c>
      <c r="R181" t="inlineStr">
        <is>
          <t>5.2 — Организационные причины ЦТБ [УЭЦН]</t>
        </is>
      </c>
      <c r="S181" t="inlineStr">
        <is>
          <t>Код и название; метка группы добавлена</t>
        </is>
      </c>
      <c r="T181" t="inlineStr">
        <is>
          <t>Классификатор по способам 2024 V10, лист УЭЦН</t>
        </is>
      </c>
      <c r="U181" t="inlineStr">
        <is>
          <t>Лист УЭЦН; код 5.2</t>
        </is>
      </c>
      <c r="V181" t="inlineStr">
        <is>
          <t>ЭЦН/ЭВН</t>
        </is>
      </c>
      <c r="CL181">
        <f>IFERROR(INDEX('История отказов'!$AK$5:$AK$1204,SMALL($DI$2:$DI$1201,ROWS($CL$4:CL181))),"")</f>
        <v/>
      </c>
      <c r="CP181">
        <f>IFERROR(INDEX('История отказов'!$AU$5:$AU$1204,SMALL($DJ$2:$DJ$1201,ROWS($CP$4:CP181))),"")</f>
        <v/>
      </c>
      <c r="CR181">
        <f>IFERROR(INDEX('История отказов'!$AY$5:$AY$1204,SMALL($DK$2:$DK$1201,ROWS($CR$3:CR181))),"")</f>
        <v/>
      </c>
      <c r="CT181">
        <f>IFERROR(INDEX('История отказов'!$AE$5:$AE$1204,SMALL($DC$2:$DC$1201,ROWS($CT$3:CT181))),"")</f>
        <v/>
      </c>
      <c r="CU181">
        <f>IFERROR(INDEX('История отказов'!$AE$5:$AE$1204,SMALL($DD$2:$DD$1201,ROWS($CU$4:CU181))),"")</f>
        <v/>
      </c>
      <c r="CV181">
        <f>IFERROR(INDEX('История отказов'!$AE$5:$AE$1204,SMALL($DE$2:$DE$1201,ROWS($CV$4:CV181))),"")</f>
        <v/>
      </c>
      <c r="CW181">
        <f>IFERROR(INDEX('История отказов'!$AE$5:$AE$1204,SMALL($DG$2:$DG$1201,ROWS($CW$3:CW181))),"")</f>
        <v/>
      </c>
      <c r="CX181">
        <f>IFERROR(INDEX('История отказов'!$AE$5:$AE$1204,SMALL($DF$2:$DF$1201,ROWS($CX$3:CX181))),"")</f>
        <v/>
      </c>
      <c r="CY181">
        <f>IFERROR(INDEX('История отказов'!$AE$5:$AE$1204,SMALL($DH$2:$DH$1201,ROWS($CY$7:CY181))),"")</f>
        <v/>
      </c>
      <c r="DB181">
        <f>IF('История отказов'!AH184="","",'История отказов'!AH184)</f>
        <v/>
      </c>
      <c r="DC181">
        <f>IF('История отказов'!AE184="","",IF(AND(COUNTIF($CT$2:$CT$2,'История отказов'!AE184)=0,COUNTIFS('История отказов'!$F$5:F184,"ШГН",'История отказов'!$AE$5:AE184,'История отказов'!AE184)=1,'История отказов'!F184="ШГН"),180,""))</f>
        <v/>
      </c>
      <c r="DD181">
        <f>IF('История отказов'!AE184="","",IF(AND(COUNTIF($CU$2:$CU$3,'История отказов'!AE184)=0,COUNTIFS('История отказов'!$F$5:F184,"ЭЦН",'История отказов'!$AE$5:AE184,'История отказов'!AE184)=1,'История отказов'!F184="ЭЦН"),180,""))</f>
        <v/>
      </c>
      <c r="DE181">
        <f>IF('История отказов'!AE184="","",IF(AND(COUNTIF($CV$2:$CV$3,'История отказов'!AE184)=0,COUNTIFS('История отказов'!$F$5:F184,"ЭВН",'История отказов'!$AE$5:AE184,'История отказов'!AE184)=1,'История отказов'!F184="ЭВН"),180,""))</f>
        <v/>
      </c>
      <c r="DF181">
        <f>IF('История отказов'!AE184="","",IF(AND(COUNTIF($CX$2:$CX$2,'История отказов'!AE184)=0,COUNTIFS('История отказов'!$F$5:F184,"ШВН",'История отказов'!$AE$5:AE184,'История отказов'!AE184)=1,'История отказов'!F184="ШВН"),180,""))</f>
        <v/>
      </c>
      <c r="DG181">
        <f>IF('История отказов'!AE184="","",IF(AND(COUNTIF($CW$2:$CW$2,'История отказов'!AE184)=0,COUNTIFS('История отказов'!$F$5:F184,"НПУ-ВД",'История отказов'!$AE$5:AE184,'История отказов'!AE184)=1,'История отказов'!F184="НПУ-ВД"),180,""))</f>
        <v/>
      </c>
      <c r="DH181">
        <f>IF('История отказов'!AE184="","",IF(AND(COUNTIF($CY$2:$CY$6,'История отказов'!AE184)=0,COUNTIF('История отказов'!$AE$5:AE184,'История отказов'!AE184)=1),180,""))</f>
        <v/>
      </c>
      <c r="DI181">
        <f>IF('История отказов'!AK184="","",IF(AND(COUNTIF($CL$2:$CL$3,'История отказов'!AK184)=0,COUNTIF('История отказов'!$AK$5:AK184,'История отказов'!AK184)=1),180,""))</f>
        <v/>
      </c>
      <c r="DJ181">
        <f>IF('История отказов'!AU184="","",IF(AND(COUNTIF($CP$2:$CP$3,'История отказов'!AU184)=0,COUNTIF('История отказов'!$AU$5:AU184,'История отказов'!AU184)=1),180,""))</f>
        <v/>
      </c>
      <c r="DK181">
        <f>IF('История отказов'!AY184="","",IF(AND(COUNTIF($CR$2:$CR$2,'История отказов'!AY184)=0,COUNTIF('История отказов'!$AY$5:AY184,'История отказов'!AY184)=1),180,""))</f>
        <v/>
      </c>
      <c r="DL181">
        <f>IF(DB181="","",IF(AND(COUNTIF($DA$2:$DA$47,DB181)=0,COUNTIF($DB$2:DB181,DB181)=1),180,""))</f>
        <v/>
      </c>
    </row>
    <row r="182">
      <c r="A182" s="74" t="n"/>
      <c r="B182" s="75" t="n"/>
      <c r="C182" s="75" t="n"/>
      <c r="D182" s="75" t="n"/>
      <c r="E182" s="75" t="n"/>
      <c r="F182" s="75" t="n"/>
      <c r="G182" s="76" t="n"/>
      <c r="J182" s="62" t="n"/>
      <c r="K182" s="62" t="n"/>
      <c r="L182" s="62" t="n"/>
      <c r="M182" s="62" t="n"/>
      <c r="N182" s="62" t="n"/>
      <c r="Q182" t="inlineStr">
        <is>
          <t>Предварительная / итоговая причина</t>
        </is>
      </c>
      <c r="R182" t="inlineStr">
        <is>
          <t>5.3 — Авария [УЭЦН]</t>
        </is>
      </c>
      <c r="S182" t="inlineStr">
        <is>
          <t>Код и название; метка группы добавлена</t>
        </is>
      </c>
      <c r="T182" t="inlineStr">
        <is>
          <t>Классификатор по способам 2024 V10, лист УЭЦН</t>
        </is>
      </c>
      <c r="U182" t="inlineStr">
        <is>
          <t>Лист УЭЦН; код 5.3</t>
        </is>
      </c>
      <c r="V182" t="inlineStr">
        <is>
          <t>ЭЦН/ЭВН</t>
        </is>
      </c>
      <c r="CL182">
        <f>IFERROR(INDEX('История отказов'!$AK$5:$AK$1204,SMALL($DI$2:$DI$1201,ROWS($CL$4:CL182))),"")</f>
        <v/>
      </c>
      <c r="CP182">
        <f>IFERROR(INDEX('История отказов'!$AU$5:$AU$1204,SMALL($DJ$2:$DJ$1201,ROWS($CP$4:CP182))),"")</f>
        <v/>
      </c>
      <c r="CR182">
        <f>IFERROR(INDEX('История отказов'!$AY$5:$AY$1204,SMALL($DK$2:$DK$1201,ROWS($CR$3:CR182))),"")</f>
        <v/>
      </c>
      <c r="CT182">
        <f>IFERROR(INDEX('История отказов'!$AE$5:$AE$1204,SMALL($DC$2:$DC$1201,ROWS($CT$3:CT182))),"")</f>
        <v/>
      </c>
      <c r="CU182">
        <f>IFERROR(INDEX('История отказов'!$AE$5:$AE$1204,SMALL($DD$2:$DD$1201,ROWS($CU$4:CU182))),"")</f>
        <v/>
      </c>
      <c r="CV182">
        <f>IFERROR(INDEX('История отказов'!$AE$5:$AE$1204,SMALL($DE$2:$DE$1201,ROWS($CV$4:CV182))),"")</f>
        <v/>
      </c>
      <c r="CW182">
        <f>IFERROR(INDEX('История отказов'!$AE$5:$AE$1204,SMALL($DG$2:$DG$1201,ROWS($CW$3:CW182))),"")</f>
        <v/>
      </c>
      <c r="CX182">
        <f>IFERROR(INDEX('История отказов'!$AE$5:$AE$1204,SMALL($DF$2:$DF$1201,ROWS($CX$3:CX182))),"")</f>
        <v/>
      </c>
      <c r="CY182">
        <f>IFERROR(INDEX('История отказов'!$AE$5:$AE$1204,SMALL($DH$2:$DH$1201,ROWS($CY$7:CY182))),"")</f>
        <v/>
      </c>
      <c r="DB182">
        <f>IF('История отказов'!AH185="","",'История отказов'!AH185)</f>
        <v/>
      </c>
      <c r="DC182">
        <f>IF('История отказов'!AE185="","",IF(AND(COUNTIF($CT$2:$CT$2,'История отказов'!AE185)=0,COUNTIFS('История отказов'!$F$5:F185,"ШГН",'История отказов'!$AE$5:AE185,'История отказов'!AE185)=1,'История отказов'!F185="ШГН"),181,""))</f>
        <v/>
      </c>
      <c r="DD182">
        <f>IF('История отказов'!AE185="","",IF(AND(COUNTIF($CU$2:$CU$3,'История отказов'!AE185)=0,COUNTIFS('История отказов'!$F$5:F185,"ЭЦН",'История отказов'!$AE$5:AE185,'История отказов'!AE185)=1,'История отказов'!F185="ЭЦН"),181,""))</f>
        <v/>
      </c>
      <c r="DE182">
        <f>IF('История отказов'!AE185="","",IF(AND(COUNTIF($CV$2:$CV$3,'История отказов'!AE185)=0,COUNTIFS('История отказов'!$F$5:F185,"ЭВН",'История отказов'!$AE$5:AE185,'История отказов'!AE185)=1,'История отказов'!F185="ЭВН"),181,""))</f>
        <v/>
      </c>
      <c r="DF182">
        <f>IF('История отказов'!AE185="","",IF(AND(COUNTIF($CX$2:$CX$2,'История отказов'!AE185)=0,COUNTIFS('История отказов'!$F$5:F185,"ШВН",'История отказов'!$AE$5:AE185,'История отказов'!AE185)=1,'История отказов'!F185="ШВН"),181,""))</f>
        <v/>
      </c>
      <c r="DG182">
        <f>IF('История отказов'!AE185="","",IF(AND(COUNTIF($CW$2:$CW$2,'История отказов'!AE185)=0,COUNTIFS('История отказов'!$F$5:F185,"НПУ-ВД",'История отказов'!$AE$5:AE185,'История отказов'!AE185)=1,'История отказов'!F185="НПУ-ВД"),181,""))</f>
        <v/>
      </c>
      <c r="DH182">
        <f>IF('История отказов'!AE185="","",IF(AND(COUNTIF($CY$2:$CY$6,'История отказов'!AE185)=0,COUNTIF('История отказов'!$AE$5:AE185,'История отказов'!AE185)=1),181,""))</f>
        <v/>
      </c>
      <c r="DI182">
        <f>IF('История отказов'!AK185="","",IF(AND(COUNTIF($CL$2:$CL$3,'История отказов'!AK185)=0,COUNTIF('История отказов'!$AK$5:AK185,'История отказов'!AK185)=1),181,""))</f>
        <v/>
      </c>
      <c r="DJ182">
        <f>IF('История отказов'!AU185="","",IF(AND(COUNTIF($CP$2:$CP$3,'История отказов'!AU185)=0,COUNTIF('История отказов'!$AU$5:AU185,'История отказов'!AU185)=1),181,""))</f>
        <v/>
      </c>
      <c r="DK182">
        <f>IF('История отказов'!AY185="","",IF(AND(COUNTIF($CR$2:$CR$2,'История отказов'!AY185)=0,COUNTIF('История отказов'!$AY$5:AY185,'История отказов'!AY185)=1),181,""))</f>
        <v/>
      </c>
      <c r="DL182">
        <f>IF(DB182="","",IF(AND(COUNTIF($DA$2:$DA$47,DB182)=0,COUNTIF($DB$2:DB182,DB182)=1),181,""))</f>
        <v/>
      </c>
    </row>
    <row r="183">
      <c r="A183" s="74" t="n"/>
      <c r="B183" s="75" t="n"/>
      <c r="C183" s="75" t="n"/>
      <c r="D183" s="75" t="n"/>
      <c r="E183" s="75" t="n"/>
      <c r="F183" s="75" t="n"/>
      <c r="G183" s="76" t="n"/>
      <c r="J183" s="62" t="n"/>
      <c r="K183" s="62" t="n"/>
      <c r="L183" s="62" t="n"/>
      <c r="M183" s="62" t="n"/>
      <c r="N183" s="62" t="n"/>
      <c r="Q183" t="inlineStr">
        <is>
          <t>Предварительная / итоговая причина</t>
        </is>
      </c>
      <c r="R183" t="inlineStr">
        <is>
          <t>6.1 — Заводской брак НКТ и элементов подвески [УЭЦН]</t>
        </is>
      </c>
      <c r="S183" t="inlineStr">
        <is>
          <t>Код и название; метка группы добавлена</t>
        </is>
      </c>
      <c r="T183" t="inlineStr">
        <is>
          <t>Классификатор по способам 2024 V10, лист УЭЦН</t>
        </is>
      </c>
      <c r="U183" t="inlineStr">
        <is>
          <t>Лист УЭЦН; код 6.1</t>
        </is>
      </c>
      <c r="V183" t="inlineStr">
        <is>
          <t>ЭЦН/ЭВН</t>
        </is>
      </c>
      <c r="CL183">
        <f>IFERROR(INDEX('История отказов'!$AK$5:$AK$1204,SMALL($DI$2:$DI$1201,ROWS($CL$4:CL183))),"")</f>
        <v/>
      </c>
      <c r="CP183">
        <f>IFERROR(INDEX('История отказов'!$AU$5:$AU$1204,SMALL($DJ$2:$DJ$1201,ROWS($CP$4:CP183))),"")</f>
        <v/>
      </c>
      <c r="CR183">
        <f>IFERROR(INDEX('История отказов'!$AY$5:$AY$1204,SMALL($DK$2:$DK$1201,ROWS($CR$3:CR183))),"")</f>
        <v/>
      </c>
      <c r="CT183">
        <f>IFERROR(INDEX('История отказов'!$AE$5:$AE$1204,SMALL($DC$2:$DC$1201,ROWS($CT$3:CT183))),"")</f>
        <v/>
      </c>
      <c r="CU183">
        <f>IFERROR(INDEX('История отказов'!$AE$5:$AE$1204,SMALL($DD$2:$DD$1201,ROWS($CU$4:CU183))),"")</f>
        <v/>
      </c>
      <c r="CV183">
        <f>IFERROR(INDEX('История отказов'!$AE$5:$AE$1204,SMALL($DE$2:$DE$1201,ROWS($CV$4:CV183))),"")</f>
        <v/>
      </c>
      <c r="CW183">
        <f>IFERROR(INDEX('История отказов'!$AE$5:$AE$1204,SMALL($DG$2:$DG$1201,ROWS($CW$3:CW183))),"")</f>
        <v/>
      </c>
      <c r="CX183">
        <f>IFERROR(INDEX('История отказов'!$AE$5:$AE$1204,SMALL($DF$2:$DF$1201,ROWS($CX$3:CX183))),"")</f>
        <v/>
      </c>
      <c r="CY183">
        <f>IFERROR(INDEX('История отказов'!$AE$5:$AE$1204,SMALL($DH$2:$DH$1201,ROWS($CY$7:CY183))),"")</f>
        <v/>
      </c>
      <c r="DB183">
        <f>IF('История отказов'!AH186="","",'История отказов'!AH186)</f>
        <v/>
      </c>
      <c r="DC183">
        <f>IF('История отказов'!AE186="","",IF(AND(COUNTIF($CT$2:$CT$2,'История отказов'!AE186)=0,COUNTIFS('История отказов'!$F$5:F186,"ШГН",'История отказов'!$AE$5:AE186,'История отказов'!AE186)=1,'История отказов'!F186="ШГН"),182,""))</f>
        <v/>
      </c>
      <c r="DD183">
        <f>IF('История отказов'!AE186="","",IF(AND(COUNTIF($CU$2:$CU$3,'История отказов'!AE186)=0,COUNTIFS('История отказов'!$F$5:F186,"ЭЦН",'История отказов'!$AE$5:AE186,'История отказов'!AE186)=1,'История отказов'!F186="ЭЦН"),182,""))</f>
        <v/>
      </c>
      <c r="DE183">
        <f>IF('История отказов'!AE186="","",IF(AND(COUNTIF($CV$2:$CV$3,'История отказов'!AE186)=0,COUNTIFS('История отказов'!$F$5:F186,"ЭВН",'История отказов'!$AE$5:AE186,'История отказов'!AE186)=1,'История отказов'!F186="ЭВН"),182,""))</f>
        <v/>
      </c>
      <c r="DF183">
        <f>IF('История отказов'!AE186="","",IF(AND(COUNTIF($CX$2:$CX$2,'История отказов'!AE186)=0,COUNTIFS('История отказов'!$F$5:F186,"ШВН",'История отказов'!$AE$5:AE186,'История отказов'!AE186)=1,'История отказов'!F186="ШВН"),182,""))</f>
        <v/>
      </c>
      <c r="DG183">
        <f>IF('История отказов'!AE186="","",IF(AND(COUNTIF($CW$2:$CW$2,'История отказов'!AE186)=0,COUNTIFS('История отказов'!$F$5:F186,"НПУ-ВД",'История отказов'!$AE$5:AE186,'История отказов'!AE186)=1,'История отказов'!F186="НПУ-ВД"),182,""))</f>
        <v/>
      </c>
      <c r="DH183">
        <f>IF('История отказов'!AE186="","",IF(AND(COUNTIF($CY$2:$CY$6,'История отказов'!AE186)=0,COUNTIF('История отказов'!$AE$5:AE186,'История отказов'!AE186)=1),182,""))</f>
        <v/>
      </c>
      <c r="DI183">
        <f>IF('История отказов'!AK186="","",IF(AND(COUNTIF($CL$2:$CL$3,'История отказов'!AK186)=0,COUNTIF('История отказов'!$AK$5:AK186,'История отказов'!AK186)=1),182,""))</f>
        <v/>
      </c>
      <c r="DJ183">
        <f>IF('История отказов'!AU186="","",IF(AND(COUNTIF($CP$2:$CP$3,'История отказов'!AU186)=0,COUNTIF('История отказов'!$AU$5:AU186,'История отказов'!AU186)=1),182,""))</f>
        <v/>
      </c>
      <c r="DK183">
        <f>IF('История отказов'!AY186="","",IF(AND(COUNTIF($CR$2:$CR$2,'История отказов'!AY186)=0,COUNTIF('История отказов'!$AY$5:AY186,'История отказов'!AY186)=1),182,""))</f>
        <v/>
      </c>
      <c r="DL183">
        <f>IF(DB183="","",IF(AND(COUNTIF($DA$2:$DA$47,DB183)=0,COUNTIF($DB$2:DB183,DB183)=1),182,""))</f>
        <v/>
      </c>
    </row>
    <row r="184">
      <c r="A184" s="74" t="n"/>
      <c r="B184" s="75" t="n"/>
      <c r="C184" s="75" t="n"/>
      <c r="D184" s="75" t="n"/>
      <c r="E184" s="75" t="n"/>
      <c r="F184" s="75" t="n"/>
      <c r="G184" s="76" t="n"/>
      <c r="J184" s="62" t="n"/>
      <c r="K184" s="62" t="n"/>
      <c r="L184" s="62" t="n"/>
      <c r="M184" s="62" t="n"/>
      <c r="N184" s="62" t="n"/>
      <c r="Q184" t="inlineStr">
        <is>
          <t>Предварительная / итоговая причина</t>
        </is>
      </c>
      <c r="R184" t="inlineStr">
        <is>
          <t>6.2 — Заводской брак кабеля [УЭЦН]</t>
        </is>
      </c>
      <c r="S184" t="inlineStr">
        <is>
          <t>Код и название; метка группы добавлена</t>
        </is>
      </c>
      <c r="T184" t="inlineStr">
        <is>
          <t>Классификатор по способам 2024 V10, лист УЭЦН</t>
        </is>
      </c>
      <c r="U184" t="inlineStr">
        <is>
          <t>Лист УЭЦН; код 6.2</t>
        </is>
      </c>
      <c r="V184" t="inlineStr">
        <is>
          <t>ЭЦН/ЭВН</t>
        </is>
      </c>
      <c r="CL184">
        <f>IFERROR(INDEX('История отказов'!$AK$5:$AK$1204,SMALL($DI$2:$DI$1201,ROWS($CL$4:CL184))),"")</f>
        <v/>
      </c>
      <c r="CP184">
        <f>IFERROR(INDEX('История отказов'!$AU$5:$AU$1204,SMALL($DJ$2:$DJ$1201,ROWS($CP$4:CP184))),"")</f>
        <v/>
      </c>
      <c r="CR184">
        <f>IFERROR(INDEX('История отказов'!$AY$5:$AY$1204,SMALL($DK$2:$DK$1201,ROWS($CR$3:CR184))),"")</f>
        <v/>
      </c>
      <c r="CT184">
        <f>IFERROR(INDEX('История отказов'!$AE$5:$AE$1204,SMALL($DC$2:$DC$1201,ROWS($CT$3:CT184))),"")</f>
        <v/>
      </c>
      <c r="CU184">
        <f>IFERROR(INDEX('История отказов'!$AE$5:$AE$1204,SMALL($DD$2:$DD$1201,ROWS($CU$4:CU184))),"")</f>
        <v/>
      </c>
      <c r="CV184">
        <f>IFERROR(INDEX('История отказов'!$AE$5:$AE$1204,SMALL($DE$2:$DE$1201,ROWS($CV$4:CV184))),"")</f>
        <v/>
      </c>
      <c r="CW184">
        <f>IFERROR(INDEX('История отказов'!$AE$5:$AE$1204,SMALL($DG$2:$DG$1201,ROWS($CW$3:CW184))),"")</f>
        <v/>
      </c>
      <c r="CX184">
        <f>IFERROR(INDEX('История отказов'!$AE$5:$AE$1204,SMALL($DF$2:$DF$1201,ROWS($CX$3:CX184))),"")</f>
        <v/>
      </c>
      <c r="CY184">
        <f>IFERROR(INDEX('История отказов'!$AE$5:$AE$1204,SMALL($DH$2:$DH$1201,ROWS($CY$7:CY184))),"")</f>
        <v/>
      </c>
      <c r="DB184">
        <f>IF('История отказов'!AH187="","",'История отказов'!AH187)</f>
        <v/>
      </c>
      <c r="DC184">
        <f>IF('История отказов'!AE187="","",IF(AND(COUNTIF($CT$2:$CT$2,'История отказов'!AE187)=0,COUNTIFS('История отказов'!$F$5:F187,"ШГН",'История отказов'!$AE$5:AE187,'История отказов'!AE187)=1,'История отказов'!F187="ШГН"),183,""))</f>
        <v/>
      </c>
      <c r="DD184">
        <f>IF('История отказов'!AE187="","",IF(AND(COUNTIF($CU$2:$CU$3,'История отказов'!AE187)=0,COUNTIFS('История отказов'!$F$5:F187,"ЭЦН",'История отказов'!$AE$5:AE187,'История отказов'!AE187)=1,'История отказов'!F187="ЭЦН"),183,""))</f>
        <v/>
      </c>
      <c r="DE184">
        <f>IF('История отказов'!AE187="","",IF(AND(COUNTIF($CV$2:$CV$3,'История отказов'!AE187)=0,COUNTIFS('История отказов'!$F$5:F187,"ЭВН",'История отказов'!$AE$5:AE187,'История отказов'!AE187)=1,'История отказов'!F187="ЭВН"),183,""))</f>
        <v/>
      </c>
      <c r="DF184">
        <f>IF('История отказов'!AE187="","",IF(AND(COUNTIF($CX$2:$CX$2,'История отказов'!AE187)=0,COUNTIFS('История отказов'!$F$5:F187,"ШВН",'История отказов'!$AE$5:AE187,'История отказов'!AE187)=1,'История отказов'!F187="ШВН"),183,""))</f>
        <v/>
      </c>
      <c r="DG184">
        <f>IF('История отказов'!AE187="","",IF(AND(COUNTIF($CW$2:$CW$2,'История отказов'!AE187)=0,COUNTIFS('История отказов'!$F$5:F187,"НПУ-ВД",'История отказов'!$AE$5:AE187,'История отказов'!AE187)=1,'История отказов'!F187="НПУ-ВД"),183,""))</f>
        <v/>
      </c>
      <c r="DH184">
        <f>IF('История отказов'!AE187="","",IF(AND(COUNTIF($CY$2:$CY$6,'История отказов'!AE187)=0,COUNTIF('История отказов'!$AE$5:AE187,'История отказов'!AE187)=1),183,""))</f>
        <v/>
      </c>
      <c r="DI184">
        <f>IF('История отказов'!AK187="","",IF(AND(COUNTIF($CL$2:$CL$3,'История отказов'!AK187)=0,COUNTIF('История отказов'!$AK$5:AK187,'История отказов'!AK187)=1),183,""))</f>
        <v/>
      </c>
      <c r="DJ184">
        <f>IF('История отказов'!AU187="","",IF(AND(COUNTIF($CP$2:$CP$3,'История отказов'!AU187)=0,COUNTIF('История отказов'!$AU$5:AU187,'История отказов'!AU187)=1),183,""))</f>
        <v/>
      </c>
      <c r="DK184">
        <f>IF('История отказов'!AY187="","",IF(AND(COUNTIF($CR$2:$CR$2,'История отказов'!AY187)=0,COUNTIF('История отказов'!$AY$5:AY187,'История отказов'!AY187)=1),183,""))</f>
        <v/>
      </c>
      <c r="DL184">
        <f>IF(DB184="","",IF(AND(COUNTIF($DA$2:$DA$47,DB184)=0,COUNTIF($DB$2:DB184,DB184)=1),183,""))</f>
        <v/>
      </c>
    </row>
    <row r="185">
      <c r="A185" s="74" t="n"/>
      <c r="B185" s="75" t="n"/>
      <c r="C185" s="75" t="n"/>
      <c r="D185" s="75" t="n"/>
      <c r="E185" s="75" t="n"/>
      <c r="F185" s="75" t="n"/>
      <c r="G185" s="76" t="n"/>
      <c r="J185" s="62" t="n"/>
      <c r="K185" s="62" t="n"/>
      <c r="L185" s="62" t="n"/>
      <c r="M185" s="62" t="n"/>
      <c r="N185" s="62" t="n"/>
      <c r="Q185" t="inlineStr">
        <is>
          <t>Предварительная / итоговая причина</t>
        </is>
      </c>
      <c r="R185" t="inlineStr">
        <is>
          <t>6.3 — Заводской брак насоса ЭЦН [УЭЦН]</t>
        </is>
      </c>
      <c r="S185" t="inlineStr">
        <is>
          <t>Код и название; метка группы добавлена</t>
        </is>
      </c>
      <c r="T185" t="inlineStr">
        <is>
          <t>Классификатор по способам 2024 V10, лист УЭЦН</t>
        </is>
      </c>
      <c r="U185" t="inlineStr">
        <is>
          <t>Лист УЭЦН; код 6.3</t>
        </is>
      </c>
      <c r="V185" t="inlineStr">
        <is>
          <t>ЭЦН/ЭВН</t>
        </is>
      </c>
      <c r="CL185">
        <f>IFERROR(INDEX('История отказов'!$AK$5:$AK$1204,SMALL($DI$2:$DI$1201,ROWS($CL$4:CL185))),"")</f>
        <v/>
      </c>
      <c r="CP185">
        <f>IFERROR(INDEX('История отказов'!$AU$5:$AU$1204,SMALL($DJ$2:$DJ$1201,ROWS($CP$4:CP185))),"")</f>
        <v/>
      </c>
      <c r="CR185">
        <f>IFERROR(INDEX('История отказов'!$AY$5:$AY$1204,SMALL($DK$2:$DK$1201,ROWS($CR$3:CR185))),"")</f>
        <v/>
      </c>
      <c r="CT185">
        <f>IFERROR(INDEX('История отказов'!$AE$5:$AE$1204,SMALL($DC$2:$DC$1201,ROWS($CT$3:CT185))),"")</f>
        <v/>
      </c>
      <c r="CU185">
        <f>IFERROR(INDEX('История отказов'!$AE$5:$AE$1204,SMALL($DD$2:$DD$1201,ROWS($CU$4:CU185))),"")</f>
        <v/>
      </c>
      <c r="CV185">
        <f>IFERROR(INDEX('История отказов'!$AE$5:$AE$1204,SMALL($DE$2:$DE$1201,ROWS($CV$4:CV185))),"")</f>
        <v/>
      </c>
      <c r="CW185">
        <f>IFERROR(INDEX('История отказов'!$AE$5:$AE$1204,SMALL($DG$2:$DG$1201,ROWS($CW$3:CW185))),"")</f>
        <v/>
      </c>
      <c r="CX185">
        <f>IFERROR(INDEX('История отказов'!$AE$5:$AE$1204,SMALL($DF$2:$DF$1201,ROWS($CX$3:CX185))),"")</f>
        <v/>
      </c>
      <c r="CY185">
        <f>IFERROR(INDEX('История отказов'!$AE$5:$AE$1204,SMALL($DH$2:$DH$1201,ROWS($CY$7:CY185))),"")</f>
        <v/>
      </c>
      <c r="DB185">
        <f>IF('История отказов'!AH188="","",'История отказов'!AH188)</f>
        <v/>
      </c>
      <c r="DC185">
        <f>IF('История отказов'!AE188="","",IF(AND(COUNTIF($CT$2:$CT$2,'История отказов'!AE188)=0,COUNTIFS('История отказов'!$F$5:F188,"ШГН",'История отказов'!$AE$5:AE188,'История отказов'!AE188)=1,'История отказов'!F188="ШГН"),184,""))</f>
        <v/>
      </c>
      <c r="DD185">
        <f>IF('История отказов'!AE188="","",IF(AND(COUNTIF($CU$2:$CU$3,'История отказов'!AE188)=0,COUNTIFS('История отказов'!$F$5:F188,"ЭЦН",'История отказов'!$AE$5:AE188,'История отказов'!AE188)=1,'История отказов'!F188="ЭЦН"),184,""))</f>
        <v/>
      </c>
      <c r="DE185">
        <f>IF('История отказов'!AE188="","",IF(AND(COUNTIF($CV$2:$CV$3,'История отказов'!AE188)=0,COUNTIFS('История отказов'!$F$5:F188,"ЭВН",'История отказов'!$AE$5:AE188,'История отказов'!AE188)=1,'История отказов'!F188="ЭВН"),184,""))</f>
        <v/>
      </c>
      <c r="DF185">
        <f>IF('История отказов'!AE188="","",IF(AND(COUNTIF($CX$2:$CX$2,'История отказов'!AE188)=0,COUNTIFS('История отказов'!$F$5:F188,"ШВН",'История отказов'!$AE$5:AE188,'История отказов'!AE188)=1,'История отказов'!F188="ШВН"),184,""))</f>
        <v/>
      </c>
      <c r="DG185">
        <f>IF('История отказов'!AE188="","",IF(AND(COUNTIF($CW$2:$CW$2,'История отказов'!AE188)=0,COUNTIFS('История отказов'!$F$5:F188,"НПУ-ВД",'История отказов'!$AE$5:AE188,'История отказов'!AE188)=1,'История отказов'!F188="НПУ-ВД"),184,""))</f>
        <v/>
      </c>
      <c r="DH185">
        <f>IF('История отказов'!AE188="","",IF(AND(COUNTIF($CY$2:$CY$6,'История отказов'!AE188)=0,COUNTIF('История отказов'!$AE$5:AE188,'История отказов'!AE188)=1),184,""))</f>
        <v/>
      </c>
      <c r="DI185">
        <f>IF('История отказов'!AK188="","",IF(AND(COUNTIF($CL$2:$CL$3,'История отказов'!AK188)=0,COUNTIF('История отказов'!$AK$5:AK188,'История отказов'!AK188)=1),184,""))</f>
        <v/>
      </c>
      <c r="DJ185">
        <f>IF('История отказов'!AU188="","",IF(AND(COUNTIF($CP$2:$CP$3,'История отказов'!AU188)=0,COUNTIF('История отказов'!$AU$5:AU188,'История отказов'!AU188)=1),184,""))</f>
        <v/>
      </c>
      <c r="DK185">
        <f>IF('История отказов'!AY188="","",IF(AND(COUNTIF($CR$2:$CR$2,'История отказов'!AY188)=0,COUNTIF('История отказов'!$AY$5:AY188,'История отказов'!AY188)=1),184,""))</f>
        <v/>
      </c>
      <c r="DL185">
        <f>IF(DB185="","",IF(AND(COUNTIF($DA$2:$DA$47,DB185)=0,COUNTIF($DB$2:DB185,DB185)=1),184,""))</f>
        <v/>
      </c>
    </row>
    <row r="186">
      <c r="A186" s="74" t="n"/>
      <c r="B186" s="75" t="n"/>
      <c r="C186" s="75" t="n"/>
      <c r="D186" s="75" t="n"/>
      <c r="E186" s="75" t="n"/>
      <c r="F186" s="75" t="n"/>
      <c r="G186" s="76" t="n"/>
      <c r="J186" s="62" t="n"/>
      <c r="K186" s="62" t="n"/>
      <c r="L186" s="62" t="n"/>
      <c r="M186" s="62" t="n"/>
      <c r="N186" s="62" t="n"/>
      <c r="Q186" t="inlineStr">
        <is>
          <t>Предварительная / итоговая причина</t>
        </is>
      </c>
      <c r="R186" t="inlineStr">
        <is>
          <t>6.4 — Заводской брак насоса ЭВН [УЭЦН]</t>
        </is>
      </c>
      <c r="S186" t="inlineStr">
        <is>
          <t>Код и название; метка группы добавлена</t>
        </is>
      </c>
      <c r="T186" t="inlineStr">
        <is>
          <t>Классификатор по способам 2024 V10, лист УЭЦН</t>
        </is>
      </c>
      <c r="U186" t="inlineStr">
        <is>
          <t>Лист УЭЦН; код 6.4</t>
        </is>
      </c>
      <c r="V186" t="inlineStr">
        <is>
          <t>ЭЦН/ЭВН</t>
        </is>
      </c>
      <c r="CL186">
        <f>IFERROR(INDEX('История отказов'!$AK$5:$AK$1204,SMALL($DI$2:$DI$1201,ROWS($CL$4:CL186))),"")</f>
        <v/>
      </c>
      <c r="CP186">
        <f>IFERROR(INDEX('История отказов'!$AU$5:$AU$1204,SMALL($DJ$2:$DJ$1201,ROWS($CP$4:CP186))),"")</f>
        <v/>
      </c>
      <c r="CR186">
        <f>IFERROR(INDEX('История отказов'!$AY$5:$AY$1204,SMALL($DK$2:$DK$1201,ROWS($CR$3:CR186))),"")</f>
        <v/>
      </c>
      <c r="CT186">
        <f>IFERROR(INDEX('История отказов'!$AE$5:$AE$1204,SMALL($DC$2:$DC$1201,ROWS($CT$3:CT186))),"")</f>
        <v/>
      </c>
      <c r="CU186">
        <f>IFERROR(INDEX('История отказов'!$AE$5:$AE$1204,SMALL($DD$2:$DD$1201,ROWS($CU$4:CU186))),"")</f>
        <v/>
      </c>
      <c r="CV186">
        <f>IFERROR(INDEX('История отказов'!$AE$5:$AE$1204,SMALL($DE$2:$DE$1201,ROWS($CV$4:CV186))),"")</f>
        <v/>
      </c>
      <c r="CW186">
        <f>IFERROR(INDEX('История отказов'!$AE$5:$AE$1204,SMALL($DG$2:$DG$1201,ROWS($CW$3:CW186))),"")</f>
        <v/>
      </c>
      <c r="CX186">
        <f>IFERROR(INDEX('История отказов'!$AE$5:$AE$1204,SMALL($DF$2:$DF$1201,ROWS($CX$3:CX186))),"")</f>
        <v/>
      </c>
      <c r="CY186">
        <f>IFERROR(INDEX('История отказов'!$AE$5:$AE$1204,SMALL($DH$2:$DH$1201,ROWS($CY$7:CY186))),"")</f>
        <v/>
      </c>
      <c r="DB186">
        <f>IF('История отказов'!AH189="","",'История отказов'!AH189)</f>
        <v/>
      </c>
      <c r="DC186">
        <f>IF('История отказов'!AE189="","",IF(AND(COUNTIF($CT$2:$CT$2,'История отказов'!AE189)=0,COUNTIFS('История отказов'!$F$5:F189,"ШГН",'История отказов'!$AE$5:AE189,'История отказов'!AE189)=1,'История отказов'!F189="ШГН"),185,""))</f>
        <v/>
      </c>
      <c r="DD186">
        <f>IF('История отказов'!AE189="","",IF(AND(COUNTIF($CU$2:$CU$3,'История отказов'!AE189)=0,COUNTIFS('История отказов'!$F$5:F189,"ЭЦН",'История отказов'!$AE$5:AE189,'История отказов'!AE189)=1,'История отказов'!F189="ЭЦН"),185,""))</f>
        <v/>
      </c>
      <c r="DE186">
        <f>IF('История отказов'!AE189="","",IF(AND(COUNTIF($CV$2:$CV$3,'История отказов'!AE189)=0,COUNTIFS('История отказов'!$F$5:F189,"ЭВН",'История отказов'!$AE$5:AE189,'История отказов'!AE189)=1,'История отказов'!F189="ЭВН"),185,""))</f>
        <v/>
      </c>
      <c r="DF186">
        <f>IF('История отказов'!AE189="","",IF(AND(COUNTIF($CX$2:$CX$2,'История отказов'!AE189)=0,COUNTIFS('История отказов'!$F$5:F189,"ШВН",'История отказов'!$AE$5:AE189,'История отказов'!AE189)=1,'История отказов'!F189="ШВН"),185,""))</f>
        <v/>
      </c>
      <c r="DG186">
        <f>IF('История отказов'!AE189="","",IF(AND(COUNTIF($CW$2:$CW$2,'История отказов'!AE189)=0,COUNTIFS('История отказов'!$F$5:F189,"НПУ-ВД",'История отказов'!$AE$5:AE189,'История отказов'!AE189)=1,'История отказов'!F189="НПУ-ВД"),185,""))</f>
        <v/>
      </c>
      <c r="DH186">
        <f>IF('История отказов'!AE189="","",IF(AND(COUNTIF($CY$2:$CY$6,'История отказов'!AE189)=0,COUNTIF('История отказов'!$AE$5:AE189,'История отказов'!AE189)=1),185,""))</f>
        <v/>
      </c>
      <c r="DI186">
        <f>IF('История отказов'!AK189="","",IF(AND(COUNTIF($CL$2:$CL$3,'История отказов'!AK189)=0,COUNTIF('История отказов'!$AK$5:AK189,'История отказов'!AK189)=1),185,""))</f>
        <v/>
      </c>
      <c r="DJ186">
        <f>IF('История отказов'!AU189="","",IF(AND(COUNTIF($CP$2:$CP$3,'История отказов'!AU189)=0,COUNTIF('История отказов'!$AU$5:AU189,'История отказов'!AU189)=1),185,""))</f>
        <v/>
      </c>
      <c r="DK186">
        <f>IF('История отказов'!AY189="","",IF(AND(COUNTIF($CR$2:$CR$2,'История отказов'!AY189)=0,COUNTIF('История отказов'!$AY$5:AY189,'История отказов'!AY189)=1),185,""))</f>
        <v/>
      </c>
      <c r="DL186">
        <f>IF(DB186="","",IF(AND(COUNTIF($DA$2:$DA$47,DB186)=0,COUNTIF($DB$2:DB186,DB186)=1),185,""))</f>
        <v/>
      </c>
    </row>
    <row r="187">
      <c r="A187" s="74" t="n"/>
      <c r="B187" s="75" t="n"/>
      <c r="C187" s="75" t="n"/>
      <c r="D187" s="75" t="n"/>
      <c r="E187" s="75" t="n"/>
      <c r="F187" s="75" t="n"/>
      <c r="G187" s="76" t="n"/>
      <c r="J187" s="62" t="n"/>
      <c r="K187" s="62" t="n"/>
      <c r="L187" s="62" t="n"/>
      <c r="M187" s="62" t="n"/>
      <c r="N187" s="62" t="n"/>
      <c r="Q187" t="inlineStr">
        <is>
          <t>Предварительная / итоговая причина</t>
        </is>
      </c>
      <c r="R187" t="inlineStr">
        <is>
          <t>6.5 — Заводской брак ЭД [УЭЦН]</t>
        </is>
      </c>
      <c r="S187" t="inlineStr">
        <is>
          <t>Код и название; метка группы добавлена</t>
        </is>
      </c>
      <c r="T187" t="inlineStr">
        <is>
          <t>Классификатор по способам 2024 V10, лист УЭЦН</t>
        </is>
      </c>
      <c r="U187" t="inlineStr">
        <is>
          <t>Лист УЭЦН; код 6.5</t>
        </is>
      </c>
      <c r="V187" t="inlineStr">
        <is>
          <t>ЭЦН/ЭВН</t>
        </is>
      </c>
      <c r="CL187">
        <f>IFERROR(INDEX('История отказов'!$AK$5:$AK$1204,SMALL($DI$2:$DI$1201,ROWS($CL$4:CL187))),"")</f>
        <v/>
      </c>
      <c r="CP187">
        <f>IFERROR(INDEX('История отказов'!$AU$5:$AU$1204,SMALL($DJ$2:$DJ$1201,ROWS($CP$4:CP187))),"")</f>
        <v/>
      </c>
      <c r="CR187">
        <f>IFERROR(INDEX('История отказов'!$AY$5:$AY$1204,SMALL($DK$2:$DK$1201,ROWS($CR$3:CR187))),"")</f>
        <v/>
      </c>
      <c r="CT187">
        <f>IFERROR(INDEX('История отказов'!$AE$5:$AE$1204,SMALL($DC$2:$DC$1201,ROWS($CT$3:CT187))),"")</f>
        <v/>
      </c>
      <c r="CU187">
        <f>IFERROR(INDEX('История отказов'!$AE$5:$AE$1204,SMALL($DD$2:$DD$1201,ROWS($CU$4:CU187))),"")</f>
        <v/>
      </c>
      <c r="CV187">
        <f>IFERROR(INDEX('История отказов'!$AE$5:$AE$1204,SMALL($DE$2:$DE$1201,ROWS($CV$4:CV187))),"")</f>
        <v/>
      </c>
      <c r="CW187">
        <f>IFERROR(INDEX('История отказов'!$AE$5:$AE$1204,SMALL($DG$2:$DG$1201,ROWS($CW$3:CW187))),"")</f>
        <v/>
      </c>
      <c r="CX187">
        <f>IFERROR(INDEX('История отказов'!$AE$5:$AE$1204,SMALL($DF$2:$DF$1201,ROWS($CX$3:CX187))),"")</f>
        <v/>
      </c>
      <c r="CY187">
        <f>IFERROR(INDEX('История отказов'!$AE$5:$AE$1204,SMALL($DH$2:$DH$1201,ROWS($CY$7:CY187))),"")</f>
        <v/>
      </c>
      <c r="DB187">
        <f>IF('История отказов'!AH190="","",'История отказов'!AH190)</f>
        <v/>
      </c>
      <c r="DC187">
        <f>IF('История отказов'!AE190="","",IF(AND(COUNTIF($CT$2:$CT$2,'История отказов'!AE190)=0,COUNTIFS('История отказов'!$F$5:F190,"ШГН",'История отказов'!$AE$5:AE190,'История отказов'!AE190)=1,'История отказов'!F190="ШГН"),186,""))</f>
        <v/>
      </c>
      <c r="DD187">
        <f>IF('История отказов'!AE190="","",IF(AND(COUNTIF($CU$2:$CU$3,'История отказов'!AE190)=0,COUNTIFS('История отказов'!$F$5:F190,"ЭЦН",'История отказов'!$AE$5:AE190,'История отказов'!AE190)=1,'История отказов'!F190="ЭЦН"),186,""))</f>
        <v/>
      </c>
      <c r="DE187">
        <f>IF('История отказов'!AE190="","",IF(AND(COUNTIF($CV$2:$CV$3,'История отказов'!AE190)=0,COUNTIFS('История отказов'!$F$5:F190,"ЭВН",'История отказов'!$AE$5:AE190,'История отказов'!AE190)=1,'История отказов'!F190="ЭВН"),186,""))</f>
        <v/>
      </c>
      <c r="DF187">
        <f>IF('История отказов'!AE190="","",IF(AND(COUNTIF($CX$2:$CX$2,'История отказов'!AE190)=0,COUNTIFS('История отказов'!$F$5:F190,"ШВН",'История отказов'!$AE$5:AE190,'История отказов'!AE190)=1,'История отказов'!F190="ШВН"),186,""))</f>
        <v/>
      </c>
      <c r="DG187">
        <f>IF('История отказов'!AE190="","",IF(AND(COUNTIF($CW$2:$CW$2,'История отказов'!AE190)=0,COUNTIFS('История отказов'!$F$5:F190,"НПУ-ВД",'История отказов'!$AE$5:AE190,'История отказов'!AE190)=1,'История отказов'!F190="НПУ-ВД"),186,""))</f>
        <v/>
      </c>
      <c r="DH187">
        <f>IF('История отказов'!AE190="","",IF(AND(COUNTIF($CY$2:$CY$6,'История отказов'!AE190)=0,COUNTIF('История отказов'!$AE$5:AE190,'История отказов'!AE190)=1),186,""))</f>
        <v/>
      </c>
      <c r="DI187">
        <f>IF('История отказов'!AK190="","",IF(AND(COUNTIF($CL$2:$CL$3,'История отказов'!AK190)=0,COUNTIF('История отказов'!$AK$5:AK190,'История отказов'!AK190)=1),186,""))</f>
        <v/>
      </c>
      <c r="DJ187">
        <f>IF('История отказов'!AU190="","",IF(AND(COUNTIF($CP$2:$CP$3,'История отказов'!AU190)=0,COUNTIF('История отказов'!$AU$5:AU190,'История отказов'!AU190)=1),186,""))</f>
        <v/>
      </c>
      <c r="DK187">
        <f>IF('История отказов'!AY190="","",IF(AND(COUNTIF($CR$2:$CR$2,'История отказов'!AY190)=0,COUNTIF('История отказов'!$AY$5:AY190,'История отказов'!AY190)=1),186,""))</f>
        <v/>
      </c>
      <c r="DL187">
        <f>IF(DB187="","",IF(AND(COUNTIF($DA$2:$DA$47,DB187)=0,COUNTIF($DB$2:DB187,DB187)=1),186,""))</f>
        <v/>
      </c>
    </row>
    <row r="188">
      <c r="A188" s="74" t="n"/>
      <c r="B188" s="75" t="n"/>
      <c r="C188" s="75" t="n"/>
      <c r="D188" s="75" t="n"/>
      <c r="E188" s="75" t="n"/>
      <c r="F188" s="75" t="n"/>
      <c r="G188" s="76" t="n"/>
      <c r="J188" s="62" t="n"/>
      <c r="K188" s="62" t="n"/>
      <c r="L188" s="62" t="n"/>
      <c r="M188" s="62" t="n"/>
      <c r="N188" s="62" t="n"/>
      <c r="Q188" t="inlineStr">
        <is>
          <t>Предварительная / итоговая причина</t>
        </is>
      </c>
      <c r="R188" t="inlineStr">
        <is>
          <t>6.6 — Заводской брак гидрозащиты [УЭЦН]</t>
        </is>
      </c>
      <c r="S188" t="inlineStr">
        <is>
          <t>Код и название; метка группы добавлена</t>
        </is>
      </c>
      <c r="T188" t="inlineStr">
        <is>
          <t>Классификатор по способам 2024 V10, лист УЭЦН</t>
        </is>
      </c>
      <c r="U188" t="inlineStr">
        <is>
          <t>Лист УЭЦН; код 6.6</t>
        </is>
      </c>
      <c r="V188" t="inlineStr">
        <is>
          <t>ЭЦН/ЭВН</t>
        </is>
      </c>
      <c r="CL188">
        <f>IFERROR(INDEX('История отказов'!$AK$5:$AK$1204,SMALL($DI$2:$DI$1201,ROWS($CL$4:CL188))),"")</f>
        <v/>
      </c>
      <c r="CP188">
        <f>IFERROR(INDEX('История отказов'!$AU$5:$AU$1204,SMALL($DJ$2:$DJ$1201,ROWS($CP$4:CP188))),"")</f>
        <v/>
      </c>
      <c r="CR188">
        <f>IFERROR(INDEX('История отказов'!$AY$5:$AY$1204,SMALL($DK$2:$DK$1201,ROWS($CR$3:CR188))),"")</f>
        <v/>
      </c>
      <c r="CT188">
        <f>IFERROR(INDEX('История отказов'!$AE$5:$AE$1204,SMALL($DC$2:$DC$1201,ROWS($CT$3:CT188))),"")</f>
        <v/>
      </c>
      <c r="CU188">
        <f>IFERROR(INDEX('История отказов'!$AE$5:$AE$1204,SMALL($DD$2:$DD$1201,ROWS($CU$4:CU188))),"")</f>
        <v/>
      </c>
      <c r="CV188">
        <f>IFERROR(INDEX('История отказов'!$AE$5:$AE$1204,SMALL($DE$2:$DE$1201,ROWS($CV$4:CV188))),"")</f>
        <v/>
      </c>
      <c r="CW188">
        <f>IFERROR(INDEX('История отказов'!$AE$5:$AE$1204,SMALL($DG$2:$DG$1201,ROWS($CW$3:CW188))),"")</f>
        <v/>
      </c>
      <c r="CX188">
        <f>IFERROR(INDEX('История отказов'!$AE$5:$AE$1204,SMALL($DF$2:$DF$1201,ROWS($CX$3:CX188))),"")</f>
        <v/>
      </c>
      <c r="CY188">
        <f>IFERROR(INDEX('История отказов'!$AE$5:$AE$1204,SMALL($DH$2:$DH$1201,ROWS($CY$7:CY188))),"")</f>
        <v/>
      </c>
      <c r="DB188">
        <f>IF('История отказов'!AH191="","",'История отказов'!AH191)</f>
        <v/>
      </c>
      <c r="DC188">
        <f>IF('История отказов'!AE191="","",IF(AND(COUNTIF($CT$2:$CT$2,'История отказов'!AE191)=0,COUNTIFS('История отказов'!$F$5:F191,"ШГН",'История отказов'!$AE$5:AE191,'История отказов'!AE191)=1,'История отказов'!F191="ШГН"),187,""))</f>
        <v/>
      </c>
      <c r="DD188">
        <f>IF('История отказов'!AE191="","",IF(AND(COUNTIF($CU$2:$CU$3,'История отказов'!AE191)=0,COUNTIFS('История отказов'!$F$5:F191,"ЭЦН",'История отказов'!$AE$5:AE191,'История отказов'!AE191)=1,'История отказов'!F191="ЭЦН"),187,""))</f>
        <v/>
      </c>
      <c r="DE188">
        <f>IF('История отказов'!AE191="","",IF(AND(COUNTIF($CV$2:$CV$3,'История отказов'!AE191)=0,COUNTIFS('История отказов'!$F$5:F191,"ЭВН",'История отказов'!$AE$5:AE191,'История отказов'!AE191)=1,'История отказов'!F191="ЭВН"),187,""))</f>
        <v/>
      </c>
      <c r="DF188">
        <f>IF('История отказов'!AE191="","",IF(AND(COUNTIF($CX$2:$CX$2,'История отказов'!AE191)=0,COUNTIFS('История отказов'!$F$5:F191,"ШВН",'История отказов'!$AE$5:AE191,'История отказов'!AE191)=1,'История отказов'!F191="ШВН"),187,""))</f>
        <v/>
      </c>
      <c r="DG188">
        <f>IF('История отказов'!AE191="","",IF(AND(COUNTIF($CW$2:$CW$2,'История отказов'!AE191)=0,COUNTIFS('История отказов'!$F$5:F191,"НПУ-ВД",'История отказов'!$AE$5:AE191,'История отказов'!AE191)=1,'История отказов'!F191="НПУ-ВД"),187,""))</f>
        <v/>
      </c>
      <c r="DH188">
        <f>IF('История отказов'!AE191="","",IF(AND(COUNTIF($CY$2:$CY$6,'История отказов'!AE191)=0,COUNTIF('История отказов'!$AE$5:AE191,'История отказов'!AE191)=1),187,""))</f>
        <v/>
      </c>
      <c r="DI188">
        <f>IF('История отказов'!AK191="","",IF(AND(COUNTIF($CL$2:$CL$3,'История отказов'!AK191)=0,COUNTIF('История отказов'!$AK$5:AK191,'История отказов'!AK191)=1),187,""))</f>
        <v/>
      </c>
      <c r="DJ188">
        <f>IF('История отказов'!AU191="","",IF(AND(COUNTIF($CP$2:$CP$3,'История отказов'!AU191)=0,COUNTIF('История отказов'!$AU$5:AU191,'История отказов'!AU191)=1),187,""))</f>
        <v/>
      </c>
      <c r="DK188">
        <f>IF('История отказов'!AY191="","",IF(AND(COUNTIF($CR$2:$CR$2,'История отказов'!AY191)=0,COUNTIF('История отказов'!$AY$5:AY191,'История отказов'!AY191)=1),187,""))</f>
        <v/>
      </c>
      <c r="DL188">
        <f>IF(DB188="","",IF(AND(COUNTIF($DA$2:$DA$47,DB188)=0,COUNTIF($DB$2:DB188,DB188)=1),187,""))</f>
        <v/>
      </c>
    </row>
    <row r="189">
      <c r="A189" s="74" t="n"/>
      <c r="B189" s="75" t="n"/>
      <c r="C189" s="75" t="n"/>
      <c r="D189" s="75" t="n"/>
      <c r="E189" s="75" t="n"/>
      <c r="F189" s="75" t="n"/>
      <c r="G189" s="76" t="n"/>
      <c r="J189" s="62" t="n"/>
      <c r="K189" s="62" t="n"/>
      <c r="L189" s="62" t="n"/>
      <c r="M189" s="62" t="n"/>
      <c r="N189" s="62" t="n"/>
      <c r="Q189" t="inlineStr">
        <is>
          <t>Предварительная / итоговая причина</t>
        </is>
      </c>
      <c r="R189" t="inlineStr">
        <is>
          <t>6.7 — Заводской брак дополнительного оборудования [УЭЦН]</t>
        </is>
      </c>
      <c r="S189" t="inlineStr">
        <is>
          <t>Код и название; метка группы добавлена</t>
        </is>
      </c>
      <c r="T189" t="inlineStr">
        <is>
          <t>Классификатор по способам 2024 V10, лист УЭЦН</t>
        </is>
      </c>
      <c r="U189" t="inlineStr">
        <is>
          <t>Лист УЭЦН; код 6.7</t>
        </is>
      </c>
      <c r="V189" t="inlineStr">
        <is>
          <t>ЭЦН/ЭВН</t>
        </is>
      </c>
      <c r="CL189">
        <f>IFERROR(INDEX('История отказов'!$AK$5:$AK$1204,SMALL($DI$2:$DI$1201,ROWS($CL$4:CL189))),"")</f>
        <v/>
      </c>
      <c r="CP189">
        <f>IFERROR(INDEX('История отказов'!$AU$5:$AU$1204,SMALL($DJ$2:$DJ$1201,ROWS($CP$4:CP189))),"")</f>
        <v/>
      </c>
      <c r="CR189">
        <f>IFERROR(INDEX('История отказов'!$AY$5:$AY$1204,SMALL($DK$2:$DK$1201,ROWS($CR$3:CR189))),"")</f>
        <v/>
      </c>
      <c r="CT189">
        <f>IFERROR(INDEX('История отказов'!$AE$5:$AE$1204,SMALL($DC$2:$DC$1201,ROWS($CT$3:CT189))),"")</f>
        <v/>
      </c>
      <c r="CU189">
        <f>IFERROR(INDEX('История отказов'!$AE$5:$AE$1204,SMALL($DD$2:$DD$1201,ROWS($CU$4:CU189))),"")</f>
        <v/>
      </c>
      <c r="CV189">
        <f>IFERROR(INDEX('История отказов'!$AE$5:$AE$1204,SMALL($DE$2:$DE$1201,ROWS($CV$4:CV189))),"")</f>
        <v/>
      </c>
      <c r="CW189">
        <f>IFERROR(INDEX('История отказов'!$AE$5:$AE$1204,SMALL($DG$2:$DG$1201,ROWS($CW$3:CW189))),"")</f>
        <v/>
      </c>
      <c r="CX189">
        <f>IFERROR(INDEX('История отказов'!$AE$5:$AE$1204,SMALL($DF$2:$DF$1201,ROWS($CX$3:CX189))),"")</f>
        <v/>
      </c>
      <c r="CY189">
        <f>IFERROR(INDEX('История отказов'!$AE$5:$AE$1204,SMALL($DH$2:$DH$1201,ROWS($CY$7:CY189))),"")</f>
        <v/>
      </c>
      <c r="DB189">
        <f>IF('История отказов'!AH192="","",'История отказов'!AH192)</f>
        <v/>
      </c>
      <c r="DC189">
        <f>IF('История отказов'!AE192="","",IF(AND(COUNTIF($CT$2:$CT$2,'История отказов'!AE192)=0,COUNTIFS('История отказов'!$F$5:F192,"ШГН",'История отказов'!$AE$5:AE192,'История отказов'!AE192)=1,'История отказов'!F192="ШГН"),188,""))</f>
        <v/>
      </c>
      <c r="DD189">
        <f>IF('История отказов'!AE192="","",IF(AND(COUNTIF($CU$2:$CU$3,'История отказов'!AE192)=0,COUNTIFS('История отказов'!$F$5:F192,"ЭЦН",'История отказов'!$AE$5:AE192,'История отказов'!AE192)=1,'История отказов'!F192="ЭЦН"),188,""))</f>
        <v/>
      </c>
      <c r="DE189">
        <f>IF('История отказов'!AE192="","",IF(AND(COUNTIF($CV$2:$CV$3,'История отказов'!AE192)=0,COUNTIFS('История отказов'!$F$5:F192,"ЭВН",'История отказов'!$AE$5:AE192,'История отказов'!AE192)=1,'История отказов'!F192="ЭВН"),188,""))</f>
        <v/>
      </c>
      <c r="DF189">
        <f>IF('История отказов'!AE192="","",IF(AND(COUNTIF($CX$2:$CX$2,'История отказов'!AE192)=0,COUNTIFS('История отказов'!$F$5:F192,"ШВН",'История отказов'!$AE$5:AE192,'История отказов'!AE192)=1,'История отказов'!F192="ШВН"),188,""))</f>
        <v/>
      </c>
      <c r="DG189">
        <f>IF('История отказов'!AE192="","",IF(AND(COUNTIF($CW$2:$CW$2,'История отказов'!AE192)=0,COUNTIFS('История отказов'!$F$5:F192,"НПУ-ВД",'История отказов'!$AE$5:AE192,'История отказов'!AE192)=1,'История отказов'!F192="НПУ-ВД"),188,""))</f>
        <v/>
      </c>
      <c r="DH189">
        <f>IF('История отказов'!AE192="","",IF(AND(COUNTIF($CY$2:$CY$6,'История отказов'!AE192)=0,COUNTIF('История отказов'!$AE$5:AE192,'История отказов'!AE192)=1),188,""))</f>
        <v/>
      </c>
      <c r="DI189">
        <f>IF('История отказов'!AK192="","",IF(AND(COUNTIF($CL$2:$CL$3,'История отказов'!AK192)=0,COUNTIF('История отказов'!$AK$5:AK192,'История отказов'!AK192)=1),188,""))</f>
        <v/>
      </c>
      <c r="DJ189">
        <f>IF('История отказов'!AU192="","",IF(AND(COUNTIF($CP$2:$CP$3,'История отказов'!AU192)=0,COUNTIF('История отказов'!$AU$5:AU192,'История отказов'!AU192)=1),188,""))</f>
        <v/>
      </c>
      <c r="DK189">
        <f>IF('История отказов'!AY192="","",IF(AND(COUNTIF($CR$2:$CR$2,'История отказов'!AY192)=0,COUNTIF('История отказов'!$AY$5:AY192,'История отказов'!AY192)=1),188,""))</f>
        <v/>
      </c>
      <c r="DL189">
        <f>IF(DB189="","",IF(AND(COUNTIF($DA$2:$DA$47,DB189)=0,COUNTIF($DB$2:DB189,DB189)=1),188,""))</f>
        <v/>
      </c>
    </row>
    <row r="190">
      <c r="A190" s="74" t="n"/>
      <c r="B190" s="75" t="n"/>
      <c r="C190" s="75" t="n"/>
      <c r="D190" s="75" t="n"/>
      <c r="E190" s="75" t="n"/>
      <c r="F190" s="75" t="n"/>
      <c r="G190" s="76" t="n"/>
      <c r="J190" s="62" t="n"/>
      <c r="K190" s="62" t="n"/>
      <c r="L190" s="62" t="n"/>
      <c r="M190" s="62" t="n"/>
      <c r="N190" s="62" t="n"/>
      <c r="Q190" t="inlineStr">
        <is>
          <t>Предварительная / итоговая причина</t>
        </is>
      </c>
      <c r="R190" t="inlineStr">
        <is>
          <t>6.8 — Заводской брак НЭО [УЭЦН]</t>
        </is>
      </c>
      <c r="S190" t="inlineStr">
        <is>
          <t>Код и название; метка группы добавлена</t>
        </is>
      </c>
      <c r="T190" t="inlineStr">
        <is>
          <t>Классификатор по способам 2024 V10, лист УЭЦН</t>
        </is>
      </c>
      <c r="U190" t="inlineStr">
        <is>
          <t>Лист УЭЦН; код 6.8</t>
        </is>
      </c>
      <c r="V190" t="inlineStr">
        <is>
          <t>ЭЦН/ЭВН</t>
        </is>
      </c>
      <c r="CL190">
        <f>IFERROR(INDEX('История отказов'!$AK$5:$AK$1204,SMALL($DI$2:$DI$1201,ROWS($CL$4:CL190))),"")</f>
        <v/>
      </c>
      <c r="CP190">
        <f>IFERROR(INDEX('История отказов'!$AU$5:$AU$1204,SMALL($DJ$2:$DJ$1201,ROWS($CP$4:CP190))),"")</f>
        <v/>
      </c>
      <c r="CR190">
        <f>IFERROR(INDEX('История отказов'!$AY$5:$AY$1204,SMALL($DK$2:$DK$1201,ROWS($CR$3:CR190))),"")</f>
        <v/>
      </c>
      <c r="CT190">
        <f>IFERROR(INDEX('История отказов'!$AE$5:$AE$1204,SMALL($DC$2:$DC$1201,ROWS($CT$3:CT190))),"")</f>
        <v/>
      </c>
      <c r="CU190">
        <f>IFERROR(INDEX('История отказов'!$AE$5:$AE$1204,SMALL($DD$2:$DD$1201,ROWS($CU$4:CU190))),"")</f>
        <v/>
      </c>
      <c r="CV190">
        <f>IFERROR(INDEX('История отказов'!$AE$5:$AE$1204,SMALL($DE$2:$DE$1201,ROWS($CV$4:CV190))),"")</f>
        <v/>
      </c>
      <c r="CW190">
        <f>IFERROR(INDEX('История отказов'!$AE$5:$AE$1204,SMALL($DG$2:$DG$1201,ROWS($CW$3:CW190))),"")</f>
        <v/>
      </c>
      <c r="CX190">
        <f>IFERROR(INDEX('История отказов'!$AE$5:$AE$1204,SMALL($DF$2:$DF$1201,ROWS($CX$3:CX190))),"")</f>
        <v/>
      </c>
      <c r="CY190">
        <f>IFERROR(INDEX('История отказов'!$AE$5:$AE$1204,SMALL($DH$2:$DH$1201,ROWS($CY$7:CY190))),"")</f>
        <v/>
      </c>
      <c r="DB190">
        <f>IF('История отказов'!AH193="","",'История отказов'!AH193)</f>
        <v/>
      </c>
      <c r="DC190">
        <f>IF('История отказов'!AE193="","",IF(AND(COUNTIF($CT$2:$CT$2,'История отказов'!AE193)=0,COUNTIFS('История отказов'!$F$5:F193,"ШГН",'История отказов'!$AE$5:AE193,'История отказов'!AE193)=1,'История отказов'!F193="ШГН"),189,""))</f>
        <v/>
      </c>
      <c r="DD190">
        <f>IF('История отказов'!AE193="","",IF(AND(COUNTIF($CU$2:$CU$3,'История отказов'!AE193)=0,COUNTIFS('История отказов'!$F$5:F193,"ЭЦН",'История отказов'!$AE$5:AE193,'История отказов'!AE193)=1,'История отказов'!F193="ЭЦН"),189,""))</f>
        <v/>
      </c>
      <c r="DE190">
        <f>IF('История отказов'!AE193="","",IF(AND(COUNTIF($CV$2:$CV$3,'История отказов'!AE193)=0,COUNTIFS('История отказов'!$F$5:F193,"ЭВН",'История отказов'!$AE$5:AE193,'История отказов'!AE193)=1,'История отказов'!F193="ЭВН"),189,""))</f>
        <v/>
      </c>
      <c r="DF190">
        <f>IF('История отказов'!AE193="","",IF(AND(COUNTIF($CX$2:$CX$2,'История отказов'!AE193)=0,COUNTIFS('История отказов'!$F$5:F193,"ШВН",'История отказов'!$AE$5:AE193,'История отказов'!AE193)=1,'История отказов'!F193="ШВН"),189,""))</f>
        <v/>
      </c>
      <c r="DG190">
        <f>IF('История отказов'!AE193="","",IF(AND(COUNTIF($CW$2:$CW$2,'История отказов'!AE193)=0,COUNTIFS('История отказов'!$F$5:F193,"НПУ-ВД",'История отказов'!$AE$5:AE193,'История отказов'!AE193)=1,'История отказов'!F193="НПУ-ВД"),189,""))</f>
        <v/>
      </c>
      <c r="DH190">
        <f>IF('История отказов'!AE193="","",IF(AND(COUNTIF($CY$2:$CY$6,'История отказов'!AE193)=0,COUNTIF('История отказов'!$AE$5:AE193,'История отказов'!AE193)=1),189,""))</f>
        <v/>
      </c>
      <c r="DI190">
        <f>IF('История отказов'!AK193="","",IF(AND(COUNTIF($CL$2:$CL$3,'История отказов'!AK193)=0,COUNTIF('История отказов'!$AK$5:AK193,'История отказов'!AK193)=1),189,""))</f>
        <v/>
      </c>
      <c r="DJ190">
        <f>IF('История отказов'!AU193="","",IF(AND(COUNTIF($CP$2:$CP$3,'История отказов'!AU193)=0,COUNTIF('История отказов'!$AU$5:AU193,'История отказов'!AU193)=1),189,""))</f>
        <v/>
      </c>
      <c r="DK190">
        <f>IF('История отказов'!AY193="","",IF(AND(COUNTIF($CR$2:$CR$2,'История отказов'!AY193)=0,COUNTIF('История отказов'!$AY$5:AY193,'История отказов'!AY193)=1),189,""))</f>
        <v/>
      </c>
      <c r="DL190">
        <f>IF(DB190="","",IF(AND(COUNTIF($DA$2:$DA$47,DB190)=0,COUNTIF($DB$2:DB190,DB190)=1),189,""))</f>
        <v/>
      </c>
    </row>
    <row r="191">
      <c r="A191" s="74" t="n"/>
      <c r="B191" s="75" t="n"/>
      <c r="C191" s="75" t="n"/>
      <c r="D191" s="75" t="n"/>
      <c r="E191" s="75" t="n"/>
      <c r="F191" s="75" t="n"/>
      <c r="G191" s="76" t="n"/>
      <c r="J191" s="62" t="n"/>
      <c r="K191" s="62" t="n"/>
      <c r="L191" s="62" t="n"/>
      <c r="M191" s="62" t="n"/>
      <c r="N191" s="62" t="n"/>
      <c r="Q191" t="inlineStr">
        <is>
          <t>Предварительная / итоговая причина</t>
        </is>
      </c>
      <c r="R191" t="inlineStr">
        <is>
          <t>6.9 — Авария [УЭЦН]</t>
        </is>
      </c>
      <c r="S191" t="inlineStr">
        <is>
          <t>Код и название; метка группы добавлена</t>
        </is>
      </c>
      <c r="T191" t="inlineStr">
        <is>
          <t>Классификатор по способам 2024 V10, лист УЭЦН</t>
        </is>
      </c>
      <c r="U191" t="inlineStr">
        <is>
          <t>Лист УЭЦН; код 6.9</t>
        </is>
      </c>
      <c r="V191" t="inlineStr">
        <is>
          <t>ЭЦН/ЭВН</t>
        </is>
      </c>
      <c r="CL191">
        <f>IFERROR(INDEX('История отказов'!$AK$5:$AK$1204,SMALL($DI$2:$DI$1201,ROWS($CL$4:CL191))),"")</f>
        <v/>
      </c>
      <c r="CP191">
        <f>IFERROR(INDEX('История отказов'!$AU$5:$AU$1204,SMALL($DJ$2:$DJ$1201,ROWS($CP$4:CP191))),"")</f>
        <v/>
      </c>
      <c r="CR191">
        <f>IFERROR(INDEX('История отказов'!$AY$5:$AY$1204,SMALL($DK$2:$DK$1201,ROWS($CR$3:CR191))),"")</f>
        <v/>
      </c>
      <c r="CT191">
        <f>IFERROR(INDEX('История отказов'!$AE$5:$AE$1204,SMALL($DC$2:$DC$1201,ROWS($CT$3:CT191))),"")</f>
        <v/>
      </c>
      <c r="CU191">
        <f>IFERROR(INDEX('История отказов'!$AE$5:$AE$1204,SMALL($DD$2:$DD$1201,ROWS($CU$4:CU191))),"")</f>
        <v/>
      </c>
      <c r="CV191">
        <f>IFERROR(INDEX('История отказов'!$AE$5:$AE$1204,SMALL($DE$2:$DE$1201,ROWS($CV$4:CV191))),"")</f>
        <v/>
      </c>
      <c r="CW191">
        <f>IFERROR(INDEX('История отказов'!$AE$5:$AE$1204,SMALL($DG$2:$DG$1201,ROWS($CW$3:CW191))),"")</f>
        <v/>
      </c>
      <c r="CX191">
        <f>IFERROR(INDEX('История отказов'!$AE$5:$AE$1204,SMALL($DF$2:$DF$1201,ROWS($CX$3:CX191))),"")</f>
        <v/>
      </c>
      <c r="CY191">
        <f>IFERROR(INDEX('История отказов'!$AE$5:$AE$1204,SMALL($DH$2:$DH$1201,ROWS($CY$7:CY191))),"")</f>
        <v/>
      </c>
      <c r="DB191">
        <f>IF('История отказов'!AH194="","",'История отказов'!AH194)</f>
        <v/>
      </c>
      <c r="DC191">
        <f>IF('История отказов'!AE194="","",IF(AND(COUNTIF($CT$2:$CT$2,'История отказов'!AE194)=0,COUNTIFS('История отказов'!$F$5:F194,"ШГН",'История отказов'!$AE$5:AE194,'История отказов'!AE194)=1,'История отказов'!F194="ШГН"),190,""))</f>
        <v/>
      </c>
      <c r="DD191">
        <f>IF('История отказов'!AE194="","",IF(AND(COUNTIF($CU$2:$CU$3,'История отказов'!AE194)=0,COUNTIFS('История отказов'!$F$5:F194,"ЭЦН",'История отказов'!$AE$5:AE194,'История отказов'!AE194)=1,'История отказов'!F194="ЭЦН"),190,""))</f>
        <v/>
      </c>
      <c r="DE191">
        <f>IF('История отказов'!AE194="","",IF(AND(COUNTIF($CV$2:$CV$3,'История отказов'!AE194)=0,COUNTIFS('История отказов'!$F$5:F194,"ЭВН",'История отказов'!$AE$5:AE194,'История отказов'!AE194)=1,'История отказов'!F194="ЭВН"),190,""))</f>
        <v/>
      </c>
      <c r="DF191">
        <f>IF('История отказов'!AE194="","",IF(AND(COUNTIF($CX$2:$CX$2,'История отказов'!AE194)=0,COUNTIFS('История отказов'!$F$5:F194,"ШВН",'История отказов'!$AE$5:AE194,'История отказов'!AE194)=1,'История отказов'!F194="ШВН"),190,""))</f>
        <v/>
      </c>
      <c r="DG191">
        <f>IF('История отказов'!AE194="","",IF(AND(COUNTIF($CW$2:$CW$2,'История отказов'!AE194)=0,COUNTIFS('История отказов'!$F$5:F194,"НПУ-ВД",'История отказов'!$AE$5:AE194,'История отказов'!AE194)=1,'История отказов'!F194="НПУ-ВД"),190,""))</f>
        <v/>
      </c>
      <c r="DH191">
        <f>IF('История отказов'!AE194="","",IF(AND(COUNTIF($CY$2:$CY$6,'История отказов'!AE194)=0,COUNTIF('История отказов'!$AE$5:AE194,'История отказов'!AE194)=1),190,""))</f>
        <v/>
      </c>
      <c r="DI191">
        <f>IF('История отказов'!AK194="","",IF(AND(COUNTIF($CL$2:$CL$3,'История отказов'!AK194)=0,COUNTIF('История отказов'!$AK$5:AK194,'История отказов'!AK194)=1),190,""))</f>
        <v/>
      </c>
      <c r="DJ191">
        <f>IF('История отказов'!AU194="","",IF(AND(COUNTIF($CP$2:$CP$3,'История отказов'!AU194)=0,COUNTIF('История отказов'!$AU$5:AU194,'История отказов'!AU194)=1),190,""))</f>
        <v/>
      </c>
      <c r="DK191">
        <f>IF('История отказов'!AY194="","",IF(AND(COUNTIF($CR$2:$CR$2,'История отказов'!AY194)=0,COUNTIF('История отказов'!$AY$5:AY194,'История отказов'!AY194)=1),190,""))</f>
        <v/>
      </c>
      <c r="DL191">
        <f>IF(DB191="","",IF(AND(COUNTIF($DA$2:$DA$47,DB191)=0,COUNTIF($DB$2:DB191,DB191)=1),190,""))</f>
        <v/>
      </c>
    </row>
    <row r="192">
      <c r="A192" s="74" t="n"/>
      <c r="B192" s="75" t="n"/>
      <c r="C192" s="75" t="n"/>
      <c r="D192" s="75" t="n"/>
      <c r="E192" s="75" t="n"/>
      <c r="F192" s="75" t="n"/>
      <c r="G192" s="76" t="n"/>
      <c r="J192" s="62" t="n"/>
      <c r="K192" s="62" t="n"/>
      <c r="L192" s="62" t="n"/>
      <c r="M192" s="62" t="n"/>
      <c r="N192" s="62" t="n"/>
      <c r="Q192" t="inlineStr">
        <is>
          <t>Предварительная / итоговая причина</t>
        </is>
      </c>
      <c r="R192" t="inlineStr">
        <is>
          <t>6.10 — Заводской брак опорного узла [УЭЦН]</t>
        </is>
      </c>
      <c r="S192" t="inlineStr">
        <is>
          <t>Код и название; метка группы добавлена</t>
        </is>
      </c>
      <c r="T192" t="inlineStr">
        <is>
          <t>Классификатор по способам 2024 V10, лист УЭЦН</t>
        </is>
      </c>
      <c r="U192" t="inlineStr">
        <is>
          <t>Лист УЭЦН; код 6.10</t>
        </is>
      </c>
      <c r="V192" t="inlineStr">
        <is>
          <t>ЭЦН/ЭВН</t>
        </is>
      </c>
      <c r="CL192">
        <f>IFERROR(INDEX('История отказов'!$AK$5:$AK$1204,SMALL($DI$2:$DI$1201,ROWS($CL$4:CL192))),"")</f>
        <v/>
      </c>
      <c r="CP192">
        <f>IFERROR(INDEX('История отказов'!$AU$5:$AU$1204,SMALL($DJ$2:$DJ$1201,ROWS($CP$4:CP192))),"")</f>
        <v/>
      </c>
      <c r="CR192">
        <f>IFERROR(INDEX('История отказов'!$AY$5:$AY$1204,SMALL($DK$2:$DK$1201,ROWS($CR$3:CR192))),"")</f>
        <v/>
      </c>
      <c r="CT192">
        <f>IFERROR(INDEX('История отказов'!$AE$5:$AE$1204,SMALL($DC$2:$DC$1201,ROWS($CT$3:CT192))),"")</f>
        <v/>
      </c>
      <c r="CU192">
        <f>IFERROR(INDEX('История отказов'!$AE$5:$AE$1204,SMALL($DD$2:$DD$1201,ROWS($CU$4:CU192))),"")</f>
        <v/>
      </c>
      <c r="CV192">
        <f>IFERROR(INDEX('История отказов'!$AE$5:$AE$1204,SMALL($DE$2:$DE$1201,ROWS($CV$4:CV192))),"")</f>
        <v/>
      </c>
      <c r="CW192">
        <f>IFERROR(INDEX('История отказов'!$AE$5:$AE$1204,SMALL($DG$2:$DG$1201,ROWS($CW$3:CW192))),"")</f>
        <v/>
      </c>
      <c r="CX192">
        <f>IFERROR(INDEX('История отказов'!$AE$5:$AE$1204,SMALL($DF$2:$DF$1201,ROWS($CX$3:CX192))),"")</f>
        <v/>
      </c>
      <c r="CY192">
        <f>IFERROR(INDEX('История отказов'!$AE$5:$AE$1204,SMALL($DH$2:$DH$1201,ROWS($CY$7:CY192))),"")</f>
        <v/>
      </c>
      <c r="DB192">
        <f>IF('История отказов'!AH195="","",'История отказов'!AH195)</f>
        <v/>
      </c>
      <c r="DC192">
        <f>IF('История отказов'!AE195="","",IF(AND(COUNTIF($CT$2:$CT$2,'История отказов'!AE195)=0,COUNTIFS('История отказов'!$F$5:F195,"ШГН",'История отказов'!$AE$5:AE195,'История отказов'!AE195)=1,'История отказов'!F195="ШГН"),191,""))</f>
        <v/>
      </c>
      <c r="DD192">
        <f>IF('История отказов'!AE195="","",IF(AND(COUNTIF($CU$2:$CU$3,'История отказов'!AE195)=0,COUNTIFS('История отказов'!$F$5:F195,"ЭЦН",'История отказов'!$AE$5:AE195,'История отказов'!AE195)=1,'История отказов'!F195="ЭЦН"),191,""))</f>
        <v/>
      </c>
      <c r="DE192">
        <f>IF('История отказов'!AE195="","",IF(AND(COUNTIF($CV$2:$CV$3,'История отказов'!AE195)=0,COUNTIFS('История отказов'!$F$5:F195,"ЭВН",'История отказов'!$AE$5:AE195,'История отказов'!AE195)=1,'История отказов'!F195="ЭВН"),191,""))</f>
        <v/>
      </c>
      <c r="DF192">
        <f>IF('История отказов'!AE195="","",IF(AND(COUNTIF($CX$2:$CX$2,'История отказов'!AE195)=0,COUNTIFS('История отказов'!$F$5:F195,"ШВН",'История отказов'!$AE$5:AE195,'История отказов'!AE195)=1,'История отказов'!F195="ШВН"),191,""))</f>
        <v/>
      </c>
      <c r="DG192">
        <f>IF('История отказов'!AE195="","",IF(AND(COUNTIF($CW$2:$CW$2,'История отказов'!AE195)=0,COUNTIFS('История отказов'!$F$5:F195,"НПУ-ВД",'История отказов'!$AE$5:AE195,'История отказов'!AE195)=1,'История отказов'!F195="НПУ-ВД"),191,""))</f>
        <v/>
      </c>
      <c r="DH192">
        <f>IF('История отказов'!AE195="","",IF(AND(COUNTIF($CY$2:$CY$6,'История отказов'!AE195)=0,COUNTIF('История отказов'!$AE$5:AE195,'История отказов'!AE195)=1),191,""))</f>
        <v/>
      </c>
      <c r="DI192">
        <f>IF('История отказов'!AK195="","",IF(AND(COUNTIF($CL$2:$CL$3,'История отказов'!AK195)=0,COUNTIF('История отказов'!$AK$5:AK195,'История отказов'!AK195)=1),191,""))</f>
        <v/>
      </c>
      <c r="DJ192">
        <f>IF('История отказов'!AU195="","",IF(AND(COUNTIF($CP$2:$CP$3,'История отказов'!AU195)=0,COUNTIF('История отказов'!$AU$5:AU195,'История отказов'!AU195)=1),191,""))</f>
        <v/>
      </c>
      <c r="DK192">
        <f>IF('История отказов'!AY195="","",IF(AND(COUNTIF($CR$2:$CR$2,'История отказов'!AY195)=0,COUNTIF('История отказов'!$AY$5:AY195,'История отказов'!AY195)=1),191,""))</f>
        <v/>
      </c>
      <c r="DL192">
        <f>IF(DB192="","",IF(AND(COUNTIF($DA$2:$DA$47,DB192)=0,COUNTIF($DB$2:DB192,DB192)=1),191,""))</f>
        <v/>
      </c>
    </row>
    <row r="193">
      <c r="A193" s="74" t="n"/>
      <c r="B193" s="75" t="n"/>
      <c r="C193" s="75" t="n"/>
      <c r="D193" s="75" t="n"/>
      <c r="E193" s="75" t="n"/>
      <c r="F193" s="75" t="n"/>
      <c r="G193" s="76" t="n"/>
      <c r="J193" s="62" t="n"/>
      <c r="K193" s="62" t="n"/>
      <c r="L193" s="62" t="n"/>
      <c r="M193" s="62" t="n"/>
      <c r="N193" s="62" t="n"/>
      <c r="Q193" t="inlineStr">
        <is>
          <t>Предварительная / итоговая причина</t>
        </is>
      </c>
      <c r="R193" t="inlineStr">
        <is>
          <t>6.11 — Заводской брак ТМС [УЭЦН]</t>
        </is>
      </c>
      <c r="S193" t="inlineStr">
        <is>
          <t>Код и название; метка группы добавлена</t>
        </is>
      </c>
      <c r="T193" t="inlineStr">
        <is>
          <t>Классификатор по способам 2024 V10, лист УЭЦН</t>
        </is>
      </c>
      <c r="U193" t="inlineStr">
        <is>
          <t>Лист УЭЦН; код 6.11</t>
        </is>
      </c>
      <c r="V193" t="inlineStr">
        <is>
          <t>ЭЦН/ЭВН</t>
        </is>
      </c>
      <c r="CL193">
        <f>IFERROR(INDEX('История отказов'!$AK$5:$AK$1204,SMALL($DI$2:$DI$1201,ROWS($CL$4:CL193))),"")</f>
        <v/>
      </c>
      <c r="CP193">
        <f>IFERROR(INDEX('История отказов'!$AU$5:$AU$1204,SMALL($DJ$2:$DJ$1201,ROWS($CP$4:CP193))),"")</f>
        <v/>
      </c>
      <c r="CR193">
        <f>IFERROR(INDEX('История отказов'!$AY$5:$AY$1204,SMALL($DK$2:$DK$1201,ROWS($CR$3:CR193))),"")</f>
        <v/>
      </c>
      <c r="CT193">
        <f>IFERROR(INDEX('История отказов'!$AE$5:$AE$1204,SMALL($DC$2:$DC$1201,ROWS($CT$3:CT193))),"")</f>
        <v/>
      </c>
      <c r="CU193">
        <f>IFERROR(INDEX('История отказов'!$AE$5:$AE$1204,SMALL($DD$2:$DD$1201,ROWS($CU$4:CU193))),"")</f>
        <v/>
      </c>
      <c r="CV193">
        <f>IFERROR(INDEX('История отказов'!$AE$5:$AE$1204,SMALL($DE$2:$DE$1201,ROWS($CV$4:CV193))),"")</f>
        <v/>
      </c>
      <c r="CW193">
        <f>IFERROR(INDEX('История отказов'!$AE$5:$AE$1204,SMALL($DG$2:$DG$1201,ROWS($CW$3:CW193))),"")</f>
        <v/>
      </c>
      <c r="CX193">
        <f>IFERROR(INDEX('История отказов'!$AE$5:$AE$1204,SMALL($DF$2:$DF$1201,ROWS($CX$3:CX193))),"")</f>
        <v/>
      </c>
      <c r="CY193">
        <f>IFERROR(INDEX('История отказов'!$AE$5:$AE$1204,SMALL($DH$2:$DH$1201,ROWS($CY$7:CY193))),"")</f>
        <v/>
      </c>
      <c r="DB193">
        <f>IF('История отказов'!AH196="","",'История отказов'!AH196)</f>
        <v/>
      </c>
      <c r="DC193">
        <f>IF('История отказов'!AE196="","",IF(AND(COUNTIF($CT$2:$CT$2,'История отказов'!AE196)=0,COUNTIFS('История отказов'!$F$5:F196,"ШГН",'История отказов'!$AE$5:AE196,'История отказов'!AE196)=1,'История отказов'!F196="ШГН"),192,""))</f>
        <v/>
      </c>
      <c r="DD193">
        <f>IF('История отказов'!AE196="","",IF(AND(COUNTIF($CU$2:$CU$3,'История отказов'!AE196)=0,COUNTIFS('История отказов'!$F$5:F196,"ЭЦН",'История отказов'!$AE$5:AE196,'История отказов'!AE196)=1,'История отказов'!F196="ЭЦН"),192,""))</f>
        <v/>
      </c>
      <c r="DE193">
        <f>IF('История отказов'!AE196="","",IF(AND(COUNTIF($CV$2:$CV$3,'История отказов'!AE196)=0,COUNTIFS('История отказов'!$F$5:F196,"ЭВН",'История отказов'!$AE$5:AE196,'История отказов'!AE196)=1,'История отказов'!F196="ЭВН"),192,""))</f>
        <v/>
      </c>
      <c r="DF193">
        <f>IF('История отказов'!AE196="","",IF(AND(COUNTIF($CX$2:$CX$2,'История отказов'!AE196)=0,COUNTIFS('История отказов'!$F$5:F196,"ШВН",'История отказов'!$AE$5:AE196,'История отказов'!AE196)=1,'История отказов'!F196="ШВН"),192,""))</f>
        <v/>
      </c>
      <c r="DG193">
        <f>IF('История отказов'!AE196="","",IF(AND(COUNTIF($CW$2:$CW$2,'История отказов'!AE196)=0,COUNTIFS('История отказов'!$F$5:F196,"НПУ-ВД",'История отказов'!$AE$5:AE196,'История отказов'!AE196)=1,'История отказов'!F196="НПУ-ВД"),192,""))</f>
        <v/>
      </c>
      <c r="DH193">
        <f>IF('История отказов'!AE196="","",IF(AND(COUNTIF($CY$2:$CY$6,'История отказов'!AE196)=0,COUNTIF('История отказов'!$AE$5:AE196,'История отказов'!AE196)=1),192,""))</f>
        <v/>
      </c>
      <c r="DI193">
        <f>IF('История отказов'!AK196="","",IF(AND(COUNTIF($CL$2:$CL$3,'История отказов'!AK196)=0,COUNTIF('История отказов'!$AK$5:AK196,'История отказов'!AK196)=1),192,""))</f>
        <v/>
      </c>
      <c r="DJ193">
        <f>IF('История отказов'!AU196="","",IF(AND(COUNTIF($CP$2:$CP$3,'История отказов'!AU196)=0,COUNTIF('История отказов'!$AU$5:AU196,'История отказов'!AU196)=1),192,""))</f>
        <v/>
      </c>
      <c r="DK193">
        <f>IF('История отказов'!AY196="","",IF(AND(COUNTIF($CR$2:$CR$2,'История отказов'!AY196)=0,COUNTIF('История отказов'!$AY$5:AY196,'История отказов'!AY196)=1),192,""))</f>
        <v/>
      </c>
      <c r="DL193">
        <f>IF(DB193="","",IF(AND(COUNTIF($DA$2:$DA$47,DB193)=0,COUNTIF($DB$2:DB193,DB193)=1),192,""))</f>
        <v/>
      </c>
    </row>
    <row r="194">
      <c r="A194" s="74" t="n"/>
      <c r="B194" s="75" t="n"/>
      <c r="C194" s="75" t="n"/>
      <c r="D194" s="75" t="n"/>
      <c r="E194" s="75" t="n"/>
      <c r="F194" s="75" t="n"/>
      <c r="G194" s="76" t="n"/>
      <c r="J194" s="62" t="n"/>
      <c r="K194" s="62" t="n"/>
      <c r="L194" s="62" t="n"/>
      <c r="M194" s="62" t="n"/>
      <c r="N194" s="62" t="n"/>
      <c r="Q194" t="inlineStr">
        <is>
          <t>Предварительная / итоговая причина</t>
        </is>
      </c>
      <c r="R194" t="inlineStr">
        <is>
          <t>7.1 — Эксперимент [УЭЦН]</t>
        </is>
      </c>
      <c r="S194" t="inlineStr">
        <is>
          <t>Код и название; метка группы добавлена</t>
        </is>
      </c>
      <c r="T194" t="inlineStr">
        <is>
          <t>Классификатор по способам 2024 V10, лист УЭЦН</t>
        </is>
      </c>
      <c r="U194" t="inlineStr">
        <is>
          <t>Лист УЭЦН; код 7.1</t>
        </is>
      </c>
      <c r="V194" t="inlineStr">
        <is>
          <t>ЭЦН/ЭВН</t>
        </is>
      </c>
      <c r="CL194">
        <f>IFERROR(INDEX('История отказов'!$AK$5:$AK$1204,SMALL($DI$2:$DI$1201,ROWS($CL$4:CL194))),"")</f>
        <v/>
      </c>
      <c r="CP194">
        <f>IFERROR(INDEX('История отказов'!$AU$5:$AU$1204,SMALL($DJ$2:$DJ$1201,ROWS($CP$4:CP194))),"")</f>
        <v/>
      </c>
      <c r="CR194">
        <f>IFERROR(INDEX('История отказов'!$AY$5:$AY$1204,SMALL($DK$2:$DK$1201,ROWS($CR$3:CR194))),"")</f>
        <v/>
      </c>
      <c r="CT194">
        <f>IFERROR(INDEX('История отказов'!$AE$5:$AE$1204,SMALL($DC$2:$DC$1201,ROWS($CT$3:CT194))),"")</f>
        <v/>
      </c>
      <c r="CU194">
        <f>IFERROR(INDEX('История отказов'!$AE$5:$AE$1204,SMALL($DD$2:$DD$1201,ROWS($CU$4:CU194))),"")</f>
        <v/>
      </c>
      <c r="CV194">
        <f>IFERROR(INDEX('История отказов'!$AE$5:$AE$1204,SMALL($DE$2:$DE$1201,ROWS($CV$4:CV194))),"")</f>
        <v/>
      </c>
      <c r="CW194">
        <f>IFERROR(INDEX('История отказов'!$AE$5:$AE$1204,SMALL($DG$2:$DG$1201,ROWS($CW$3:CW194))),"")</f>
        <v/>
      </c>
      <c r="CX194">
        <f>IFERROR(INDEX('История отказов'!$AE$5:$AE$1204,SMALL($DF$2:$DF$1201,ROWS($CX$3:CX194))),"")</f>
        <v/>
      </c>
      <c r="CY194">
        <f>IFERROR(INDEX('История отказов'!$AE$5:$AE$1204,SMALL($DH$2:$DH$1201,ROWS($CY$7:CY194))),"")</f>
        <v/>
      </c>
      <c r="DB194">
        <f>IF('История отказов'!AH197="","",'История отказов'!AH197)</f>
        <v/>
      </c>
      <c r="DC194">
        <f>IF('История отказов'!AE197="","",IF(AND(COUNTIF($CT$2:$CT$2,'История отказов'!AE197)=0,COUNTIFS('История отказов'!$F$5:F197,"ШГН",'История отказов'!$AE$5:AE197,'История отказов'!AE197)=1,'История отказов'!F197="ШГН"),193,""))</f>
        <v/>
      </c>
      <c r="DD194">
        <f>IF('История отказов'!AE197="","",IF(AND(COUNTIF($CU$2:$CU$3,'История отказов'!AE197)=0,COUNTIFS('История отказов'!$F$5:F197,"ЭЦН",'История отказов'!$AE$5:AE197,'История отказов'!AE197)=1,'История отказов'!F197="ЭЦН"),193,""))</f>
        <v/>
      </c>
      <c r="DE194">
        <f>IF('История отказов'!AE197="","",IF(AND(COUNTIF($CV$2:$CV$3,'История отказов'!AE197)=0,COUNTIFS('История отказов'!$F$5:F197,"ЭВН",'История отказов'!$AE$5:AE197,'История отказов'!AE197)=1,'История отказов'!F197="ЭВН"),193,""))</f>
        <v/>
      </c>
      <c r="DF194">
        <f>IF('История отказов'!AE197="","",IF(AND(COUNTIF($CX$2:$CX$2,'История отказов'!AE197)=0,COUNTIFS('История отказов'!$F$5:F197,"ШВН",'История отказов'!$AE$5:AE197,'История отказов'!AE197)=1,'История отказов'!F197="ШВН"),193,""))</f>
        <v/>
      </c>
      <c r="DG194">
        <f>IF('История отказов'!AE197="","",IF(AND(COUNTIF($CW$2:$CW$2,'История отказов'!AE197)=0,COUNTIFS('История отказов'!$F$5:F197,"НПУ-ВД",'История отказов'!$AE$5:AE197,'История отказов'!AE197)=1,'История отказов'!F197="НПУ-ВД"),193,""))</f>
        <v/>
      </c>
      <c r="DH194">
        <f>IF('История отказов'!AE197="","",IF(AND(COUNTIF($CY$2:$CY$6,'История отказов'!AE197)=0,COUNTIF('История отказов'!$AE$5:AE197,'История отказов'!AE197)=1),193,""))</f>
        <v/>
      </c>
      <c r="DI194">
        <f>IF('История отказов'!AK197="","",IF(AND(COUNTIF($CL$2:$CL$3,'История отказов'!AK197)=0,COUNTIF('История отказов'!$AK$5:AK197,'История отказов'!AK197)=1),193,""))</f>
        <v/>
      </c>
      <c r="DJ194">
        <f>IF('История отказов'!AU197="","",IF(AND(COUNTIF($CP$2:$CP$3,'История отказов'!AU197)=0,COUNTIF('История отказов'!$AU$5:AU197,'История отказов'!AU197)=1),193,""))</f>
        <v/>
      </c>
      <c r="DK194">
        <f>IF('История отказов'!AY197="","",IF(AND(COUNTIF($CR$2:$CR$2,'История отказов'!AY197)=0,COUNTIF('История отказов'!$AY$5:AY197,'История отказов'!AY197)=1),193,""))</f>
        <v/>
      </c>
      <c r="DL194">
        <f>IF(DB194="","",IF(AND(COUNTIF($DA$2:$DA$47,DB194)=0,COUNTIF($DB$2:DB194,DB194)=1),193,""))</f>
        <v/>
      </c>
    </row>
    <row r="195">
      <c r="A195" s="74" t="n"/>
      <c r="B195" s="75" t="n"/>
      <c r="C195" s="75" t="n"/>
      <c r="D195" s="75" t="n"/>
      <c r="E195" s="75" t="n"/>
      <c r="F195" s="75" t="n"/>
      <c r="G195" s="76" t="n"/>
      <c r="J195" s="62" t="n"/>
      <c r="K195" s="62" t="n"/>
      <c r="L195" s="62" t="n"/>
      <c r="M195" s="62" t="n"/>
      <c r="N195" s="62" t="n"/>
      <c r="Q195" t="inlineStr">
        <is>
          <t>Предварительная / итоговая причина</t>
        </is>
      </c>
      <c r="R195" t="inlineStr">
        <is>
          <t>7.2 — Подъем ЭЦН связанный с отказом оборудования ШГН в компоновке ОРЭ (или 2-го УЭЦН в дуальной системе ОРЭ) [УЭЦН]</t>
        </is>
      </c>
      <c r="S195" t="inlineStr">
        <is>
          <t>Код и название; метка группы добавлена</t>
        </is>
      </c>
      <c r="T195" t="inlineStr">
        <is>
          <t>Классификатор по способам 2024 V10, лист УЭЦН</t>
        </is>
      </c>
      <c r="U195" t="inlineStr">
        <is>
          <t>Лист УЭЦН; код 7.2</t>
        </is>
      </c>
      <c r="V195" t="inlineStr">
        <is>
          <t>ЭЦН/ЭВН</t>
        </is>
      </c>
      <c r="CL195">
        <f>IFERROR(INDEX('История отказов'!$AK$5:$AK$1204,SMALL($DI$2:$DI$1201,ROWS($CL$4:CL195))),"")</f>
        <v/>
      </c>
      <c r="CP195">
        <f>IFERROR(INDEX('История отказов'!$AU$5:$AU$1204,SMALL($DJ$2:$DJ$1201,ROWS($CP$4:CP195))),"")</f>
        <v/>
      </c>
      <c r="CR195">
        <f>IFERROR(INDEX('История отказов'!$AY$5:$AY$1204,SMALL($DK$2:$DK$1201,ROWS($CR$3:CR195))),"")</f>
        <v/>
      </c>
      <c r="CT195">
        <f>IFERROR(INDEX('История отказов'!$AE$5:$AE$1204,SMALL($DC$2:$DC$1201,ROWS($CT$3:CT195))),"")</f>
        <v/>
      </c>
      <c r="CU195">
        <f>IFERROR(INDEX('История отказов'!$AE$5:$AE$1204,SMALL($DD$2:$DD$1201,ROWS($CU$4:CU195))),"")</f>
        <v/>
      </c>
      <c r="CV195">
        <f>IFERROR(INDEX('История отказов'!$AE$5:$AE$1204,SMALL($DE$2:$DE$1201,ROWS($CV$4:CV195))),"")</f>
        <v/>
      </c>
      <c r="CW195">
        <f>IFERROR(INDEX('История отказов'!$AE$5:$AE$1204,SMALL($DG$2:$DG$1201,ROWS($CW$3:CW195))),"")</f>
        <v/>
      </c>
      <c r="CX195">
        <f>IFERROR(INDEX('История отказов'!$AE$5:$AE$1204,SMALL($DF$2:$DF$1201,ROWS($CX$3:CX195))),"")</f>
        <v/>
      </c>
      <c r="CY195">
        <f>IFERROR(INDEX('История отказов'!$AE$5:$AE$1204,SMALL($DH$2:$DH$1201,ROWS($CY$7:CY195))),"")</f>
        <v/>
      </c>
      <c r="DB195">
        <f>IF('История отказов'!AH198="","",'История отказов'!AH198)</f>
        <v/>
      </c>
      <c r="DC195">
        <f>IF('История отказов'!AE198="","",IF(AND(COUNTIF($CT$2:$CT$2,'История отказов'!AE198)=0,COUNTIFS('История отказов'!$F$5:F198,"ШГН",'История отказов'!$AE$5:AE198,'История отказов'!AE198)=1,'История отказов'!F198="ШГН"),194,""))</f>
        <v/>
      </c>
      <c r="DD195">
        <f>IF('История отказов'!AE198="","",IF(AND(COUNTIF($CU$2:$CU$3,'История отказов'!AE198)=0,COUNTIFS('История отказов'!$F$5:F198,"ЭЦН",'История отказов'!$AE$5:AE198,'История отказов'!AE198)=1,'История отказов'!F198="ЭЦН"),194,""))</f>
        <v/>
      </c>
      <c r="DE195">
        <f>IF('История отказов'!AE198="","",IF(AND(COUNTIF($CV$2:$CV$3,'История отказов'!AE198)=0,COUNTIFS('История отказов'!$F$5:F198,"ЭВН",'История отказов'!$AE$5:AE198,'История отказов'!AE198)=1,'История отказов'!F198="ЭВН"),194,""))</f>
        <v/>
      </c>
      <c r="DF195">
        <f>IF('История отказов'!AE198="","",IF(AND(COUNTIF($CX$2:$CX$2,'История отказов'!AE198)=0,COUNTIFS('История отказов'!$F$5:F198,"ШВН",'История отказов'!$AE$5:AE198,'История отказов'!AE198)=1,'История отказов'!F198="ШВН"),194,""))</f>
        <v/>
      </c>
      <c r="DG195">
        <f>IF('История отказов'!AE198="","",IF(AND(COUNTIF($CW$2:$CW$2,'История отказов'!AE198)=0,COUNTIFS('История отказов'!$F$5:F198,"НПУ-ВД",'История отказов'!$AE$5:AE198,'История отказов'!AE198)=1,'История отказов'!F198="НПУ-ВД"),194,""))</f>
        <v/>
      </c>
      <c r="DH195">
        <f>IF('История отказов'!AE198="","",IF(AND(COUNTIF($CY$2:$CY$6,'История отказов'!AE198)=0,COUNTIF('История отказов'!$AE$5:AE198,'История отказов'!AE198)=1),194,""))</f>
        <v/>
      </c>
      <c r="DI195">
        <f>IF('История отказов'!AK198="","",IF(AND(COUNTIF($CL$2:$CL$3,'История отказов'!AK198)=0,COUNTIF('История отказов'!$AK$5:AK198,'История отказов'!AK198)=1),194,""))</f>
        <v/>
      </c>
      <c r="DJ195">
        <f>IF('История отказов'!AU198="","",IF(AND(COUNTIF($CP$2:$CP$3,'История отказов'!AU198)=0,COUNTIF('История отказов'!$AU$5:AU198,'История отказов'!AU198)=1),194,""))</f>
        <v/>
      </c>
      <c r="DK195">
        <f>IF('История отказов'!AY198="","",IF(AND(COUNTIF($CR$2:$CR$2,'История отказов'!AY198)=0,COUNTIF('История отказов'!$AY$5:AY198,'История отказов'!AY198)=1),194,""))</f>
        <v/>
      </c>
      <c r="DL195">
        <f>IF(DB195="","",IF(AND(COUNTIF($DA$2:$DA$47,DB195)=0,COUNTIF($DB$2:DB195,DB195)=1),194,""))</f>
        <v/>
      </c>
    </row>
    <row r="196">
      <c r="A196" s="74" t="n"/>
      <c r="B196" s="75" t="n"/>
      <c r="C196" s="75" t="n"/>
      <c r="D196" s="75" t="n"/>
      <c r="E196" s="75" t="n"/>
      <c r="F196" s="75" t="n"/>
      <c r="G196" s="76" t="n"/>
      <c r="J196" s="62" t="n"/>
      <c r="K196" s="62" t="n"/>
      <c r="L196" s="62" t="n"/>
      <c r="M196" s="62" t="n"/>
      <c r="N196" s="62" t="n"/>
      <c r="Q196" t="inlineStr">
        <is>
          <t>Предварительная / итоговая причина</t>
        </is>
      </c>
      <c r="R196" t="inlineStr">
        <is>
          <t>7.3 — Отказ, связанный с пакерным (или другим) оборудованием [УЭЦН]</t>
        </is>
      </c>
      <c r="S196" t="inlineStr">
        <is>
          <t>Код и название; метка группы добавлена</t>
        </is>
      </c>
      <c r="T196" t="inlineStr">
        <is>
          <t>Классификатор по способам 2024 V10, лист УЭЦН</t>
        </is>
      </c>
      <c r="U196" t="inlineStr">
        <is>
          <t>Лист УЭЦН; код 7.3</t>
        </is>
      </c>
      <c r="V196" t="inlineStr">
        <is>
          <t>ЭЦН/ЭВН</t>
        </is>
      </c>
      <c r="CL196">
        <f>IFERROR(INDEX('История отказов'!$AK$5:$AK$1204,SMALL($DI$2:$DI$1201,ROWS($CL$4:CL196))),"")</f>
        <v/>
      </c>
      <c r="CP196">
        <f>IFERROR(INDEX('История отказов'!$AU$5:$AU$1204,SMALL($DJ$2:$DJ$1201,ROWS($CP$4:CP196))),"")</f>
        <v/>
      </c>
      <c r="CR196">
        <f>IFERROR(INDEX('История отказов'!$AY$5:$AY$1204,SMALL($DK$2:$DK$1201,ROWS($CR$3:CR196))),"")</f>
        <v/>
      </c>
      <c r="CT196">
        <f>IFERROR(INDEX('История отказов'!$AE$5:$AE$1204,SMALL($DC$2:$DC$1201,ROWS($CT$3:CT196))),"")</f>
        <v/>
      </c>
      <c r="CU196">
        <f>IFERROR(INDEX('История отказов'!$AE$5:$AE$1204,SMALL($DD$2:$DD$1201,ROWS($CU$4:CU196))),"")</f>
        <v/>
      </c>
      <c r="CV196">
        <f>IFERROR(INDEX('История отказов'!$AE$5:$AE$1204,SMALL($DE$2:$DE$1201,ROWS($CV$4:CV196))),"")</f>
        <v/>
      </c>
      <c r="CW196">
        <f>IFERROR(INDEX('История отказов'!$AE$5:$AE$1204,SMALL($DG$2:$DG$1201,ROWS($CW$3:CW196))),"")</f>
        <v/>
      </c>
      <c r="CX196">
        <f>IFERROR(INDEX('История отказов'!$AE$5:$AE$1204,SMALL($DF$2:$DF$1201,ROWS($CX$3:CX196))),"")</f>
        <v/>
      </c>
      <c r="CY196">
        <f>IFERROR(INDEX('История отказов'!$AE$5:$AE$1204,SMALL($DH$2:$DH$1201,ROWS($CY$7:CY196))),"")</f>
        <v/>
      </c>
      <c r="DB196">
        <f>IF('История отказов'!AH199="","",'История отказов'!AH199)</f>
        <v/>
      </c>
      <c r="DC196">
        <f>IF('История отказов'!AE199="","",IF(AND(COUNTIF($CT$2:$CT$2,'История отказов'!AE199)=0,COUNTIFS('История отказов'!$F$5:F199,"ШГН",'История отказов'!$AE$5:AE199,'История отказов'!AE199)=1,'История отказов'!F199="ШГН"),195,""))</f>
        <v/>
      </c>
      <c r="DD196">
        <f>IF('История отказов'!AE199="","",IF(AND(COUNTIF($CU$2:$CU$3,'История отказов'!AE199)=0,COUNTIFS('История отказов'!$F$5:F199,"ЭЦН",'История отказов'!$AE$5:AE199,'История отказов'!AE199)=1,'История отказов'!F199="ЭЦН"),195,""))</f>
        <v/>
      </c>
      <c r="DE196">
        <f>IF('История отказов'!AE199="","",IF(AND(COUNTIF($CV$2:$CV$3,'История отказов'!AE199)=0,COUNTIFS('История отказов'!$F$5:F199,"ЭВН",'История отказов'!$AE$5:AE199,'История отказов'!AE199)=1,'История отказов'!F199="ЭВН"),195,""))</f>
        <v/>
      </c>
      <c r="DF196">
        <f>IF('История отказов'!AE199="","",IF(AND(COUNTIF($CX$2:$CX$2,'История отказов'!AE199)=0,COUNTIFS('История отказов'!$F$5:F199,"ШВН",'История отказов'!$AE$5:AE199,'История отказов'!AE199)=1,'История отказов'!F199="ШВН"),195,""))</f>
        <v/>
      </c>
      <c r="DG196">
        <f>IF('История отказов'!AE199="","",IF(AND(COUNTIF($CW$2:$CW$2,'История отказов'!AE199)=0,COUNTIFS('История отказов'!$F$5:F199,"НПУ-ВД",'История отказов'!$AE$5:AE199,'История отказов'!AE199)=1,'История отказов'!F199="НПУ-ВД"),195,""))</f>
        <v/>
      </c>
      <c r="DH196">
        <f>IF('История отказов'!AE199="","",IF(AND(COUNTIF($CY$2:$CY$6,'История отказов'!AE199)=0,COUNTIF('История отказов'!$AE$5:AE199,'История отказов'!AE199)=1),195,""))</f>
        <v/>
      </c>
      <c r="DI196">
        <f>IF('История отказов'!AK199="","",IF(AND(COUNTIF($CL$2:$CL$3,'История отказов'!AK199)=0,COUNTIF('История отказов'!$AK$5:AK199,'История отказов'!AK199)=1),195,""))</f>
        <v/>
      </c>
      <c r="DJ196">
        <f>IF('История отказов'!AU199="","",IF(AND(COUNTIF($CP$2:$CP$3,'История отказов'!AU199)=0,COUNTIF('История отказов'!$AU$5:AU199,'История отказов'!AU199)=1),195,""))</f>
        <v/>
      </c>
      <c r="DK196">
        <f>IF('История отказов'!AY199="","",IF(AND(COUNTIF($CR$2:$CR$2,'История отказов'!AY199)=0,COUNTIF('История отказов'!$AY$5:AY199,'История отказов'!AY199)=1),195,""))</f>
        <v/>
      </c>
      <c r="DL196">
        <f>IF(DB196="","",IF(AND(COUNTIF($DA$2:$DA$47,DB196)=0,COUNTIF($DB$2:DB196,DB196)=1),195,""))</f>
        <v/>
      </c>
    </row>
    <row r="197">
      <c r="A197" s="74" t="n"/>
      <c r="B197" s="75" t="n"/>
      <c r="C197" s="75" t="n"/>
      <c r="D197" s="75" t="n"/>
      <c r="E197" s="75" t="n"/>
      <c r="F197" s="75" t="n"/>
      <c r="G197" s="76" t="n"/>
      <c r="J197" s="62" t="n"/>
      <c r="K197" s="62" t="n"/>
      <c r="L197" s="62" t="n"/>
      <c r="M197" s="62" t="n"/>
      <c r="N197" s="62" t="n"/>
      <c r="Q197" t="inlineStr">
        <is>
          <t>Предварительная / итоговая причина</t>
        </is>
      </c>
      <c r="R197" t="inlineStr">
        <is>
          <t>7.4 — Авария [УЭЦН]</t>
        </is>
      </c>
      <c r="S197" t="inlineStr">
        <is>
          <t>Код и название; метка группы добавлена</t>
        </is>
      </c>
      <c r="T197" t="inlineStr">
        <is>
          <t>Классификатор по способам 2024 V10, лист УЭЦН</t>
        </is>
      </c>
      <c r="U197" t="inlineStr">
        <is>
          <t>Лист УЭЦН; код 7.4</t>
        </is>
      </c>
      <c r="V197" t="inlineStr">
        <is>
          <t>ЭЦН/ЭВН</t>
        </is>
      </c>
      <c r="CL197">
        <f>IFERROR(INDEX('История отказов'!$AK$5:$AK$1204,SMALL($DI$2:$DI$1201,ROWS($CL$4:CL197))),"")</f>
        <v/>
      </c>
      <c r="CP197">
        <f>IFERROR(INDEX('История отказов'!$AU$5:$AU$1204,SMALL($DJ$2:$DJ$1201,ROWS($CP$4:CP197))),"")</f>
        <v/>
      </c>
      <c r="CR197">
        <f>IFERROR(INDEX('История отказов'!$AY$5:$AY$1204,SMALL($DK$2:$DK$1201,ROWS($CR$3:CR197))),"")</f>
        <v/>
      </c>
      <c r="CT197">
        <f>IFERROR(INDEX('История отказов'!$AE$5:$AE$1204,SMALL($DC$2:$DC$1201,ROWS($CT$3:CT197))),"")</f>
        <v/>
      </c>
      <c r="CU197">
        <f>IFERROR(INDEX('История отказов'!$AE$5:$AE$1204,SMALL($DD$2:$DD$1201,ROWS($CU$4:CU197))),"")</f>
        <v/>
      </c>
      <c r="CV197">
        <f>IFERROR(INDEX('История отказов'!$AE$5:$AE$1204,SMALL($DE$2:$DE$1201,ROWS($CV$4:CV197))),"")</f>
        <v/>
      </c>
      <c r="CW197">
        <f>IFERROR(INDEX('История отказов'!$AE$5:$AE$1204,SMALL($DG$2:$DG$1201,ROWS($CW$3:CW197))),"")</f>
        <v/>
      </c>
      <c r="CX197">
        <f>IFERROR(INDEX('История отказов'!$AE$5:$AE$1204,SMALL($DF$2:$DF$1201,ROWS($CX$3:CX197))),"")</f>
        <v/>
      </c>
      <c r="CY197">
        <f>IFERROR(INDEX('История отказов'!$AE$5:$AE$1204,SMALL($DH$2:$DH$1201,ROWS($CY$7:CY197))),"")</f>
        <v/>
      </c>
      <c r="DB197">
        <f>IF('История отказов'!AH200="","",'История отказов'!AH200)</f>
        <v/>
      </c>
      <c r="DC197">
        <f>IF('История отказов'!AE200="","",IF(AND(COUNTIF($CT$2:$CT$2,'История отказов'!AE200)=0,COUNTIFS('История отказов'!$F$5:F200,"ШГН",'История отказов'!$AE$5:AE200,'История отказов'!AE200)=1,'История отказов'!F200="ШГН"),196,""))</f>
        <v/>
      </c>
      <c r="DD197">
        <f>IF('История отказов'!AE200="","",IF(AND(COUNTIF($CU$2:$CU$3,'История отказов'!AE200)=0,COUNTIFS('История отказов'!$F$5:F200,"ЭЦН",'История отказов'!$AE$5:AE200,'История отказов'!AE200)=1,'История отказов'!F200="ЭЦН"),196,""))</f>
        <v/>
      </c>
      <c r="DE197">
        <f>IF('История отказов'!AE200="","",IF(AND(COUNTIF($CV$2:$CV$3,'История отказов'!AE200)=0,COUNTIFS('История отказов'!$F$5:F200,"ЭВН",'История отказов'!$AE$5:AE200,'История отказов'!AE200)=1,'История отказов'!F200="ЭВН"),196,""))</f>
        <v/>
      </c>
      <c r="DF197">
        <f>IF('История отказов'!AE200="","",IF(AND(COUNTIF($CX$2:$CX$2,'История отказов'!AE200)=0,COUNTIFS('История отказов'!$F$5:F200,"ШВН",'История отказов'!$AE$5:AE200,'История отказов'!AE200)=1,'История отказов'!F200="ШВН"),196,""))</f>
        <v/>
      </c>
      <c r="DG197">
        <f>IF('История отказов'!AE200="","",IF(AND(COUNTIF($CW$2:$CW$2,'История отказов'!AE200)=0,COUNTIFS('История отказов'!$F$5:F200,"НПУ-ВД",'История отказов'!$AE$5:AE200,'История отказов'!AE200)=1,'История отказов'!F200="НПУ-ВД"),196,""))</f>
        <v/>
      </c>
      <c r="DH197">
        <f>IF('История отказов'!AE200="","",IF(AND(COUNTIF($CY$2:$CY$6,'История отказов'!AE200)=0,COUNTIF('История отказов'!$AE$5:AE200,'История отказов'!AE200)=1),196,""))</f>
        <v/>
      </c>
      <c r="DI197">
        <f>IF('История отказов'!AK200="","",IF(AND(COUNTIF($CL$2:$CL$3,'История отказов'!AK200)=0,COUNTIF('История отказов'!$AK$5:AK200,'История отказов'!AK200)=1),196,""))</f>
        <v/>
      </c>
      <c r="DJ197">
        <f>IF('История отказов'!AU200="","",IF(AND(COUNTIF($CP$2:$CP$3,'История отказов'!AU200)=0,COUNTIF('История отказов'!$AU$5:AU200,'История отказов'!AU200)=1),196,""))</f>
        <v/>
      </c>
      <c r="DK197">
        <f>IF('История отказов'!AY200="","",IF(AND(COUNTIF($CR$2:$CR$2,'История отказов'!AY200)=0,COUNTIF('История отказов'!$AY$5:AY200,'История отказов'!AY200)=1),196,""))</f>
        <v/>
      </c>
      <c r="DL197">
        <f>IF(DB197="","",IF(AND(COUNTIF($DA$2:$DA$47,DB197)=0,COUNTIF($DB$2:DB197,DB197)=1),196,""))</f>
        <v/>
      </c>
    </row>
    <row r="198">
      <c r="A198" s="74" t="n"/>
      <c r="B198" s="75" t="n"/>
      <c r="C198" s="75" t="n"/>
      <c r="D198" s="75" t="n"/>
      <c r="E198" s="75" t="n"/>
      <c r="F198" s="75" t="n"/>
      <c r="G198" s="76" t="n"/>
      <c r="J198" s="62" t="n"/>
      <c r="K198" s="62" t="n"/>
      <c r="L198" s="62" t="n"/>
      <c r="M198" s="62" t="n"/>
      <c r="N198" s="62" t="n"/>
      <c r="Q198" t="inlineStr">
        <is>
          <t>Предварительная / итоговая причина</t>
        </is>
      </c>
      <c r="R198" t="inlineStr">
        <is>
          <t>7.5 — Прочие [УЭЦН]</t>
        </is>
      </c>
      <c r="S198" t="inlineStr">
        <is>
          <t>Код и название; метка группы добавлена</t>
        </is>
      </c>
      <c r="T198" t="inlineStr">
        <is>
          <t>Классификатор по способам 2024 V10, лист УЭЦН</t>
        </is>
      </c>
      <c r="U198" t="inlineStr">
        <is>
          <t>Лист УЭЦН; код 7.5</t>
        </is>
      </c>
      <c r="V198" t="inlineStr">
        <is>
          <t>ЭЦН/ЭВН</t>
        </is>
      </c>
      <c r="CL198">
        <f>IFERROR(INDEX('История отказов'!$AK$5:$AK$1204,SMALL($DI$2:$DI$1201,ROWS($CL$4:CL198))),"")</f>
        <v/>
      </c>
      <c r="CP198">
        <f>IFERROR(INDEX('История отказов'!$AU$5:$AU$1204,SMALL($DJ$2:$DJ$1201,ROWS($CP$4:CP198))),"")</f>
        <v/>
      </c>
      <c r="CR198">
        <f>IFERROR(INDEX('История отказов'!$AY$5:$AY$1204,SMALL($DK$2:$DK$1201,ROWS($CR$3:CR198))),"")</f>
        <v/>
      </c>
      <c r="CT198">
        <f>IFERROR(INDEX('История отказов'!$AE$5:$AE$1204,SMALL($DC$2:$DC$1201,ROWS($CT$3:CT198))),"")</f>
        <v/>
      </c>
      <c r="CU198">
        <f>IFERROR(INDEX('История отказов'!$AE$5:$AE$1204,SMALL($DD$2:$DD$1201,ROWS($CU$4:CU198))),"")</f>
        <v/>
      </c>
      <c r="CV198">
        <f>IFERROR(INDEX('История отказов'!$AE$5:$AE$1204,SMALL($DE$2:$DE$1201,ROWS($CV$4:CV198))),"")</f>
        <v/>
      </c>
      <c r="CW198">
        <f>IFERROR(INDEX('История отказов'!$AE$5:$AE$1204,SMALL($DG$2:$DG$1201,ROWS($CW$3:CW198))),"")</f>
        <v/>
      </c>
      <c r="CX198">
        <f>IFERROR(INDEX('История отказов'!$AE$5:$AE$1204,SMALL($DF$2:$DF$1201,ROWS($CX$3:CX198))),"")</f>
        <v/>
      </c>
      <c r="CY198">
        <f>IFERROR(INDEX('История отказов'!$AE$5:$AE$1204,SMALL($DH$2:$DH$1201,ROWS($CY$7:CY198))),"")</f>
        <v/>
      </c>
      <c r="DB198">
        <f>IF('История отказов'!AH201="","",'История отказов'!AH201)</f>
        <v/>
      </c>
      <c r="DC198">
        <f>IF('История отказов'!AE201="","",IF(AND(COUNTIF($CT$2:$CT$2,'История отказов'!AE201)=0,COUNTIFS('История отказов'!$F$5:F201,"ШГН",'История отказов'!$AE$5:AE201,'История отказов'!AE201)=1,'История отказов'!F201="ШГН"),197,""))</f>
        <v/>
      </c>
      <c r="DD198">
        <f>IF('История отказов'!AE201="","",IF(AND(COUNTIF($CU$2:$CU$3,'История отказов'!AE201)=0,COUNTIFS('История отказов'!$F$5:F201,"ЭЦН",'История отказов'!$AE$5:AE201,'История отказов'!AE201)=1,'История отказов'!F201="ЭЦН"),197,""))</f>
        <v/>
      </c>
      <c r="DE198">
        <f>IF('История отказов'!AE201="","",IF(AND(COUNTIF($CV$2:$CV$3,'История отказов'!AE201)=0,COUNTIFS('История отказов'!$F$5:F201,"ЭВН",'История отказов'!$AE$5:AE201,'История отказов'!AE201)=1,'История отказов'!F201="ЭВН"),197,""))</f>
        <v/>
      </c>
      <c r="DF198">
        <f>IF('История отказов'!AE201="","",IF(AND(COUNTIF($CX$2:$CX$2,'История отказов'!AE201)=0,COUNTIFS('История отказов'!$F$5:F201,"ШВН",'История отказов'!$AE$5:AE201,'История отказов'!AE201)=1,'История отказов'!F201="ШВН"),197,""))</f>
        <v/>
      </c>
      <c r="DG198">
        <f>IF('История отказов'!AE201="","",IF(AND(COUNTIF($CW$2:$CW$2,'История отказов'!AE201)=0,COUNTIFS('История отказов'!$F$5:F201,"НПУ-ВД",'История отказов'!$AE$5:AE201,'История отказов'!AE201)=1,'История отказов'!F201="НПУ-ВД"),197,""))</f>
        <v/>
      </c>
      <c r="DH198">
        <f>IF('История отказов'!AE201="","",IF(AND(COUNTIF($CY$2:$CY$6,'История отказов'!AE201)=0,COUNTIF('История отказов'!$AE$5:AE201,'История отказов'!AE201)=1),197,""))</f>
        <v/>
      </c>
      <c r="DI198">
        <f>IF('История отказов'!AK201="","",IF(AND(COUNTIF($CL$2:$CL$3,'История отказов'!AK201)=0,COUNTIF('История отказов'!$AK$5:AK201,'История отказов'!AK201)=1),197,""))</f>
        <v/>
      </c>
      <c r="DJ198">
        <f>IF('История отказов'!AU201="","",IF(AND(COUNTIF($CP$2:$CP$3,'История отказов'!AU201)=0,COUNTIF('История отказов'!$AU$5:AU201,'История отказов'!AU201)=1),197,""))</f>
        <v/>
      </c>
      <c r="DK198">
        <f>IF('История отказов'!AY201="","",IF(AND(COUNTIF($CR$2:$CR$2,'История отказов'!AY201)=0,COUNTIF('История отказов'!$AY$5:AY201,'История отказов'!AY201)=1),197,""))</f>
        <v/>
      </c>
      <c r="DL198">
        <f>IF(DB198="","",IF(AND(COUNTIF($DA$2:$DA$47,DB198)=0,COUNTIF($DB$2:DB198,DB198)=1),197,""))</f>
        <v/>
      </c>
    </row>
    <row r="199">
      <c r="A199" s="74" t="n"/>
      <c r="B199" s="75" t="n"/>
      <c r="C199" s="75" t="n"/>
      <c r="D199" s="75" t="n"/>
      <c r="E199" s="75" t="n"/>
      <c r="F199" s="75" t="n"/>
      <c r="G199" s="76" t="n"/>
      <c r="J199" s="62" t="n"/>
      <c r="K199" s="62" t="n"/>
      <c r="L199" s="62" t="n"/>
      <c r="M199" s="62" t="n"/>
      <c r="N199" s="62" t="n"/>
      <c r="Q199" t="inlineStr">
        <is>
          <t>Предварительная / итоговая причина</t>
        </is>
      </c>
      <c r="R199" t="inlineStr">
        <is>
          <t>1.1 — Нарушение глубины спуска [УШГН]</t>
        </is>
      </c>
      <c r="S199" t="inlineStr">
        <is>
          <t>Код и название; метка группы добавлена</t>
        </is>
      </c>
      <c r="T199" t="inlineStr">
        <is>
          <t>Классификатор по способам 2024 V10, лист УШГН</t>
        </is>
      </c>
      <c r="U199" t="inlineStr">
        <is>
          <t>Лист УШГН; код 1.1</t>
        </is>
      </c>
      <c r="V199" t="inlineStr">
        <is>
          <t>ШГН/ШВН</t>
        </is>
      </c>
      <c r="CL199">
        <f>IFERROR(INDEX('История отказов'!$AK$5:$AK$1204,SMALL($DI$2:$DI$1201,ROWS($CL$4:CL199))),"")</f>
        <v/>
      </c>
      <c r="CP199">
        <f>IFERROR(INDEX('История отказов'!$AU$5:$AU$1204,SMALL($DJ$2:$DJ$1201,ROWS($CP$4:CP199))),"")</f>
        <v/>
      </c>
      <c r="CR199">
        <f>IFERROR(INDEX('История отказов'!$AY$5:$AY$1204,SMALL($DK$2:$DK$1201,ROWS($CR$3:CR199))),"")</f>
        <v/>
      </c>
      <c r="CT199">
        <f>IFERROR(INDEX('История отказов'!$AE$5:$AE$1204,SMALL($DC$2:$DC$1201,ROWS($CT$3:CT199))),"")</f>
        <v/>
      </c>
      <c r="CU199">
        <f>IFERROR(INDEX('История отказов'!$AE$5:$AE$1204,SMALL($DD$2:$DD$1201,ROWS($CU$4:CU199))),"")</f>
        <v/>
      </c>
      <c r="CV199">
        <f>IFERROR(INDEX('История отказов'!$AE$5:$AE$1204,SMALL($DE$2:$DE$1201,ROWS($CV$4:CV199))),"")</f>
        <v/>
      </c>
      <c r="CW199">
        <f>IFERROR(INDEX('История отказов'!$AE$5:$AE$1204,SMALL($DG$2:$DG$1201,ROWS($CW$3:CW199))),"")</f>
        <v/>
      </c>
      <c r="CX199">
        <f>IFERROR(INDEX('История отказов'!$AE$5:$AE$1204,SMALL($DF$2:$DF$1201,ROWS($CX$3:CX199))),"")</f>
        <v/>
      </c>
      <c r="CY199">
        <f>IFERROR(INDEX('История отказов'!$AE$5:$AE$1204,SMALL($DH$2:$DH$1201,ROWS($CY$7:CY199))),"")</f>
        <v/>
      </c>
      <c r="DB199">
        <f>IF('История отказов'!AH202="","",'История отказов'!AH202)</f>
        <v/>
      </c>
      <c r="DC199">
        <f>IF('История отказов'!AE202="","",IF(AND(COUNTIF($CT$2:$CT$2,'История отказов'!AE202)=0,COUNTIFS('История отказов'!$F$5:F202,"ШГН",'История отказов'!$AE$5:AE202,'История отказов'!AE202)=1,'История отказов'!F202="ШГН"),198,""))</f>
        <v/>
      </c>
      <c r="DD199">
        <f>IF('История отказов'!AE202="","",IF(AND(COUNTIF($CU$2:$CU$3,'История отказов'!AE202)=0,COUNTIFS('История отказов'!$F$5:F202,"ЭЦН",'История отказов'!$AE$5:AE202,'История отказов'!AE202)=1,'История отказов'!F202="ЭЦН"),198,""))</f>
        <v/>
      </c>
      <c r="DE199">
        <f>IF('История отказов'!AE202="","",IF(AND(COUNTIF($CV$2:$CV$3,'История отказов'!AE202)=0,COUNTIFS('История отказов'!$F$5:F202,"ЭВН",'История отказов'!$AE$5:AE202,'История отказов'!AE202)=1,'История отказов'!F202="ЭВН"),198,""))</f>
        <v/>
      </c>
      <c r="DF199">
        <f>IF('История отказов'!AE202="","",IF(AND(COUNTIF($CX$2:$CX$2,'История отказов'!AE202)=0,COUNTIFS('История отказов'!$F$5:F202,"ШВН",'История отказов'!$AE$5:AE202,'История отказов'!AE202)=1,'История отказов'!F202="ШВН"),198,""))</f>
        <v/>
      </c>
      <c r="DG199">
        <f>IF('История отказов'!AE202="","",IF(AND(COUNTIF($CW$2:$CW$2,'История отказов'!AE202)=0,COUNTIFS('История отказов'!$F$5:F202,"НПУ-ВД",'История отказов'!$AE$5:AE202,'История отказов'!AE202)=1,'История отказов'!F202="НПУ-ВД"),198,""))</f>
        <v/>
      </c>
      <c r="DH199">
        <f>IF('История отказов'!AE202="","",IF(AND(COUNTIF($CY$2:$CY$6,'История отказов'!AE202)=0,COUNTIF('История отказов'!$AE$5:AE202,'История отказов'!AE202)=1),198,""))</f>
        <v/>
      </c>
      <c r="DI199">
        <f>IF('История отказов'!AK202="","",IF(AND(COUNTIF($CL$2:$CL$3,'История отказов'!AK202)=0,COUNTIF('История отказов'!$AK$5:AK202,'История отказов'!AK202)=1),198,""))</f>
        <v/>
      </c>
      <c r="DJ199">
        <f>IF('История отказов'!AU202="","",IF(AND(COUNTIF($CP$2:$CP$3,'История отказов'!AU202)=0,COUNTIF('История отказов'!$AU$5:AU202,'История отказов'!AU202)=1),198,""))</f>
        <v/>
      </c>
      <c r="DK199">
        <f>IF('История отказов'!AY202="","",IF(AND(COUNTIF($CR$2:$CR$2,'История отказов'!AY202)=0,COUNTIF('История отказов'!$AY$5:AY202,'История отказов'!AY202)=1),198,""))</f>
        <v/>
      </c>
      <c r="DL199">
        <f>IF(DB199="","",IF(AND(COUNTIF($DA$2:$DA$47,DB199)=0,COUNTIF($DB$2:DB199,DB199)=1),198,""))</f>
        <v/>
      </c>
    </row>
    <row r="200">
      <c r="A200" s="74" t="n"/>
      <c r="B200" s="75" t="n"/>
      <c r="C200" s="75" t="n"/>
      <c r="D200" s="75" t="n"/>
      <c r="E200" s="75" t="n"/>
      <c r="F200" s="75" t="n"/>
      <c r="G200" s="76" t="n"/>
      <c r="J200" s="62" t="n"/>
      <c r="K200" s="62" t="n"/>
      <c r="L200" s="62" t="n"/>
      <c r="M200" s="62" t="n"/>
      <c r="N200" s="62" t="n"/>
      <c r="Q200" t="inlineStr">
        <is>
          <t>Предварительная / итоговая причина</t>
        </is>
      </c>
      <c r="R200" t="inlineStr">
        <is>
          <t>1.2 — Некачественная подготовка скважины [УШГН]</t>
        </is>
      </c>
      <c r="S200" t="inlineStr">
        <is>
          <t>Код и название; метка группы добавлена</t>
        </is>
      </c>
      <c r="T200" t="inlineStr">
        <is>
          <t>Классификатор по способам 2024 V10, лист УШГН</t>
        </is>
      </c>
      <c r="U200" t="inlineStr">
        <is>
          <t>Лист УШГН; код 1.2</t>
        </is>
      </c>
      <c r="V200" t="inlineStr">
        <is>
          <t>ШГН/ШВН</t>
        </is>
      </c>
      <c r="CL200">
        <f>IFERROR(INDEX('История отказов'!$AK$5:$AK$1204,SMALL($DI$2:$DI$1201,ROWS($CL$4:CL200))),"")</f>
        <v/>
      </c>
      <c r="CP200">
        <f>IFERROR(INDEX('История отказов'!$AU$5:$AU$1204,SMALL($DJ$2:$DJ$1201,ROWS($CP$4:CP200))),"")</f>
        <v/>
      </c>
      <c r="CR200">
        <f>IFERROR(INDEX('История отказов'!$AY$5:$AY$1204,SMALL($DK$2:$DK$1201,ROWS($CR$3:CR200))),"")</f>
        <v/>
      </c>
      <c r="CT200">
        <f>IFERROR(INDEX('История отказов'!$AE$5:$AE$1204,SMALL($DC$2:$DC$1201,ROWS($CT$3:CT200))),"")</f>
        <v/>
      </c>
      <c r="CU200">
        <f>IFERROR(INDEX('История отказов'!$AE$5:$AE$1204,SMALL($DD$2:$DD$1201,ROWS($CU$4:CU200))),"")</f>
        <v/>
      </c>
      <c r="CV200">
        <f>IFERROR(INDEX('История отказов'!$AE$5:$AE$1204,SMALL($DE$2:$DE$1201,ROWS($CV$4:CV200))),"")</f>
        <v/>
      </c>
      <c r="CW200">
        <f>IFERROR(INDEX('История отказов'!$AE$5:$AE$1204,SMALL($DG$2:$DG$1201,ROWS($CW$3:CW200))),"")</f>
        <v/>
      </c>
      <c r="CX200">
        <f>IFERROR(INDEX('История отказов'!$AE$5:$AE$1204,SMALL($DF$2:$DF$1201,ROWS($CX$3:CX200))),"")</f>
        <v/>
      </c>
      <c r="CY200">
        <f>IFERROR(INDEX('История отказов'!$AE$5:$AE$1204,SMALL($DH$2:$DH$1201,ROWS($CY$7:CY200))),"")</f>
        <v/>
      </c>
      <c r="DB200">
        <f>IF('История отказов'!AH203="","",'История отказов'!AH203)</f>
        <v/>
      </c>
      <c r="DC200">
        <f>IF('История отказов'!AE203="","",IF(AND(COUNTIF($CT$2:$CT$2,'История отказов'!AE203)=0,COUNTIFS('История отказов'!$F$5:F203,"ШГН",'История отказов'!$AE$5:AE203,'История отказов'!AE203)=1,'История отказов'!F203="ШГН"),199,""))</f>
        <v/>
      </c>
      <c r="DD200">
        <f>IF('История отказов'!AE203="","",IF(AND(COUNTIF($CU$2:$CU$3,'История отказов'!AE203)=0,COUNTIFS('История отказов'!$F$5:F203,"ЭЦН",'История отказов'!$AE$5:AE203,'История отказов'!AE203)=1,'История отказов'!F203="ЭЦН"),199,""))</f>
        <v/>
      </c>
      <c r="DE200">
        <f>IF('История отказов'!AE203="","",IF(AND(COUNTIF($CV$2:$CV$3,'История отказов'!AE203)=0,COUNTIFS('История отказов'!$F$5:F203,"ЭВН",'История отказов'!$AE$5:AE203,'История отказов'!AE203)=1,'История отказов'!F203="ЭВН"),199,""))</f>
        <v/>
      </c>
      <c r="DF200">
        <f>IF('История отказов'!AE203="","",IF(AND(COUNTIF($CX$2:$CX$2,'История отказов'!AE203)=0,COUNTIFS('История отказов'!$F$5:F203,"ШВН",'История отказов'!$AE$5:AE203,'История отказов'!AE203)=1,'История отказов'!F203="ШВН"),199,""))</f>
        <v/>
      </c>
      <c r="DG200">
        <f>IF('История отказов'!AE203="","",IF(AND(COUNTIF($CW$2:$CW$2,'История отказов'!AE203)=0,COUNTIFS('История отказов'!$F$5:F203,"НПУ-ВД",'История отказов'!$AE$5:AE203,'История отказов'!AE203)=1,'История отказов'!F203="НПУ-ВД"),199,""))</f>
        <v/>
      </c>
      <c r="DH200">
        <f>IF('История отказов'!AE203="","",IF(AND(COUNTIF($CY$2:$CY$6,'История отказов'!AE203)=0,COUNTIF('История отказов'!$AE$5:AE203,'История отказов'!AE203)=1),199,""))</f>
        <v/>
      </c>
      <c r="DI200">
        <f>IF('История отказов'!AK203="","",IF(AND(COUNTIF($CL$2:$CL$3,'История отказов'!AK203)=0,COUNTIF('История отказов'!$AK$5:AK203,'История отказов'!AK203)=1),199,""))</f>
        <v/>
      </c>
      <c r="DJ200">
        <f>IF('История отказов'!AU203="","",IF(AND(COUNTIF($CP$2:$CP$3,'История отказов'!AU203)=0,COUNTIF('История отказов'!$AU$5:AU203,'История отказов'!AU203)=1),199,""))</f>
        <v/>
      </c>
      <c r="DK200">
        <f>IF('История отказов'!AY203="","",IF(AND(COUNTIF($CR$2:$CR$2,'История отказов'!AY203)=0,COUNTIF('История отказов'!$AY$5:AY203,'История отказов'!AY203)=1),199,""))</f>
        <v/>
      </c>
      <c r="DL200">
        <f>IF(DB200="","",IF(AND(COUNTIF($DA$2:$DA$47,DB200)=0,COUNTIF($DB$2:DB200,DB200)=1),199,""))</f>
        <v/>
      </c>
    </row>
    <row r="201">
      <c r="A201" s="74" t="n"/>
      <c r="B201" s="75" t="n"/>
      <c r="C201" s="75" t="n"/>
      <c r="D201" s="75" t="n"/>
      <c r="E201" s="75" t="n"/>
      <c r="F201" s="75" t="n"/>
      <c r="G201" s="76" t="n"/>
      <c r="J201" s="62" t="n"/>
      <c r="K201" s="62" t="n"/>
      <c r="L201" s="62" t="n"/>
      <c r="M201" s="62" t="n"/>
      <c r="N201" s="62" t="n"/>
      <c r="Q201" t="inlineStr">
        <is>
          <t>Предварительная / итоговая причина</t>
        </is>
      </c>
      <c r="R201" t="inlineStr">
        <is>
          <t>1.3 — Не герметичность НКТ [УШГН]</t>
        </is>
      </c>
      <c r="S201" t="inlineStr">
        <is>
          <t>Код и название; метка группы добавлена</t>
        </is>
      </c>
      <c r="T201" t="inlineStr">
        <is>
          <t>Классификатор по способам 2024 V10, лист УШГН</t>
        </is>
      </c>
      <c r="U201" t="inlineStr">
        <is>
          <t>Лист УШГН; код 1.3</t>
        </is>
      </c>
      <c r="V201" t="inlineStr">
        <is>
          <t>ШГН/ШВН</t>
        </is>
      </c>
      <c r="CL201">
        <f>IFERROR(INDEX('История отказов'!$AK$5:$AK$1204,SMALL($DI$2:$DI$1201,ROWS($CL$4:CL201))),"")</f>
        <v/>
      </c>
      <c r="CP201">
        <f>IFERROR(INDEX('История отказов'!$AU$5:$AU$1204,SMALL($DJ$2:$DJ$1201,ROWS($CP$4:CP201))),"")</f>
        <v/>
      </c>
      <c r="CR201">
        <f>IFERROR(INDEX('История отказов'!$AY$5:$AY$1204,SMALL($DK$2:$DK$1201,ROWS($CR$3:CR201))),"")</f>
        <v/>
      </c>
      <c r="CT201">
        <f>IFERROR(INDEX('История отказов'!$AE$5:$AE$1204,SMALL($DC$2:$DC$1201,ROWS($CT$3:CT201))),"")</f>
        <v/>
      </c>
      <c r="CU201">
        <f>IFERROR(INDEX('История отказов'!$AE$5:$AE$1204,SMALL($DD$2:$DD$1201,ROWS($CU$4:CU201))),"")</f>
        <v/>
      </c>
      <c r="CV201">
        <f>IFERROR(INDEX('История отказов'!$AE$5:$AE$1204,SMALL($DE$2:$DE$1201,ROWS($CV$4:CV201))),"")</f>
        <v/>
      </c>
      <c r="CW201">
        <f>IFERROR(INDEX('История отказов'!$AE$5:$AE$1204,SMALL($DG$2:$DG$1201,ROWS($CW$3:CW201))),"")</f>
        <v/>
      </c>
      <c r="CX201">
        <f>IFERROR(INDEX('История отказов'!$AE$5:$AE$1204,SMALL($DF$2:$DF$1201,ROWS($CX$3:CX201))),"")</f>
        <v/>
      </c>
      <c r="CY201">
        <f>IFERROR(INDEX('История отказов'!$AE$5:$AE$1204,SMALL($DH$2:$DH$1201,ROWS($CY$7:CY201))),"")</f>
        <v/>
      </c>
      <c r="DB201">
        <f>IF('История отказов'!AH204="","",'История отказов'!AH204)</f>
        <v/>
      </c>
      <c r="DC201">
        <f>IF('История отказов'!AE204="","",IF(AND(COUNTIF($CT$2:$CT$2,'История отказов'!AE204)=0,COUNTIFS('История отказов'!$F$5:F204,"ШГН",'История отказов'!$AE$5:AE204,'История отказов'!AE204)=1,'История отказов'!F204="ШГН"),200,""))</f>
        <v/>
      </c>
      <c r="DD201">
        <f>IF('История отказов'!AE204="","",IF(AND(COUNTIF($CU$2:$CU$3,'История отказов'!AE204)=0,COUNTIFS('История отказов'!$F$5:F204,"ЭЦН",'История отказов'!$AE$5:AE204,'История отказов'!AE204)=1,'История отказов'!F204="ЭЦН"),200,""))</f>
        <v/>
      </c>
      <c r="DE201">
        <f>IF('История отказов'!AE204="","",IF(AND(COUNTIF($CV$2:$CV$3,'История отказов'!AE204)=0,COUNTIFS('История отказов'!$F$5:F204,"ЭВН",'История отказов'!$AE$5:AE204,'История отказов'!AE204)=1,'История отказов'!F204="ЭВН"),200,""))</f>
        <v/>
      </c>
      <c r="DF201">
        <f>IF('История отказов'!AE204="","",IF(AND(COUNTIF($CX$2:$CX$2,'История отказов'!AE204)=0,COUNTIFS('История отказов'!$F$5:F204,"ШВН",'История отказов'!$AE$5:AE204,'История отказов'!AE204)=1,'История отказов'!F204="ШВН"),200,""))</f>
        <v/>
      </c>
      <c r="DG201">
        <f>IF('История отказов'!AE204="","",IF(AND(COUNTIF($CW$2:$CW$2,'История отказов'!AE204)=0,COUNTIFS('История отказов'!$F$5:F204,"НПУ-ВД",'История отказов'!$AE$5:AE204,'История отказов'!AE204)=1,'История отказов'!F204="НПУ-ВД"),200,""))</f>
        <v/>
      </c>
      <c r="DH201">
        <f>IF('История отказов'!AE204="","",IF(AND(COUNTIF($CY$2:$CY$6,'История отказов'!AE204)=0,COUNTIF('История отказов'!$AE$5:AE204,'История отказов'!AE204)=1),200,""))</f>
        <v/>
      </c>
      <c r="DI201">
        <f>IF('История отказов'!AK204="","",IF(AND(COUNTIF($CL$2:$CL$3,'История отказов'!AK204)=0,COUNTIF('История отказов'!$AK$5:AK204,'История отказов'!AK204)=1),200,""))</f>
        <v/>
      </c>
      <c r="DJ201">
        <f>IF('История отказов'!AU204="","",IF(AND(COUNTIF($CP$2:$CP$3,'История отказов'!AU204)=0,COUNTIF('История отказов'!$AU$5:AU204,'История отказов'!AU204)=1),200,""))</f>
        <v/>
      </c>
      <c r="DK201">
        <f>IF('История отказов'!AY204="","",IF(AND(COUNTIF($CR$2:$CR$2,'История отказов'!AY204)=0,COUNTIF('История отказов'!$AY$5:AY204,'История отказов'!AY204)=1),200,""))</f>
        <v/>
      </c>
      <c r="DL201">
        <f>IF(DB201="","",IF(AND(COUNTIF($DA$2:$DA$47,DB201)=0,COUNTIF($DB$2:DB201,DB201)=1),200,""))</f>
        <v/>
      </c>
    </row>
    <row r="202">
      <c r="A202" s="74" t="n"/>
      <c r="B202" s="75" t="n"/>
      <c r="C202" s="75" t="n"/>
      <c r="D202" s="75" t="n"/>
      <c r="E202" s="75" t="n"/>
      <c r="F202" s="75" t="n"/>
      <c r="G202" s="76" t="n"/>
      <c r="J202" s="62" t="n"/>
      <c r="K202" s="62" t="n"/>
      <c r="L202" s="62" t="n"/>
      <c r="M202" s="62" t="n"/>
      <c r="N202" s="62" t="n"/>
      <c r="Q202" t="inlineStr">
        <is>
          <t>Предварительная / итоговая причина</t>
        </is>
      </c>
      <c r="R202" t="inlineStr">
        <is>
          <t>1.4 — Отворот штанг [УШГН]</t>
        </is>
      </c>
      <c r="S202" t="inlineStr">
        <is>
          <t>Код и название; метка группы добавлена</t>
        </is>
      </c>
      <c r="T202" t="inlineStr">
        <is>
          <t>Классификатор по способам 2024 V10, лист УШГН</t>
        </is>
      </c>
      <c r="U202" t="inlineStr">
        <is>
          <t>Лист УШГН; код 1.4</t>
        </is>
      </c>
      <c r="V202" t="inlineStr">
        <is>
          <t>ШГН/ШВН</t>
        </is>
      </c>
      <c r="CL202">
        <f>IFERROR(INDEX('История отказов'!$AK$5:$AK$1204,SMALL($DI$2:$DI$1201,ROWS($CL$4:CL202))),"")</f>
        <v/>
      </c>
      <c r="CP202">
        <f>IFERROR(INDEX('История отказов'!$AU$5:$AU$1204,SMALL($DJ$2:$DJ$1201,ROWS($CP$4:CP202))),"")</f>
        <v/>
      </c>
      <c r="CR202">
        <f>IFERROR(INDEX('История отказов'!$AY$5:$AY$1204,SMALL($DK$2:$DK$1201,ROWS($CR$3:CR202))),"")</f>
        <v/>
      </c>
      <c r="CT202">
        <f>IFERROR(INDEX('История отказов'!$AE$5:$AE$1204,SMALL($DC$2:$DC$1201,ROWS($CT$3:CT202))),"")</f>
        <v/>
      </c>
      <c r="CU202">
        <f>IFERROR(INDEX('История отказов'!$AE$5:$AE$1204,SMALL($DD$2:$DD$1201,ROWS($CU$4:CU202))),"")</f>
        <v/>
      </c>
      <c r="CV202">
        <f>IFERROR(INDEX('История отказов'!$AE$5:$AE$1204,SMALL($DE$2:$DE$1201,ROWS($CV$4:CV202))),"")</f>
        <v/>
      </c>
      <c r="CW202">
        <f>IFERROR(INDEX('История отказов'!$AE$5:$AE$1204,SMALL($DG$2:$DG$1201,ROWS($CW$3:CW202))),"")</f>
        <v/>
      </c>
      <c r="CX202">
        <f>IFERROR(INDEX('История отказов'!$AE$5:$AE$1204,SMALL($DF$2:$DF$1201,ROWS($CX$3:CX202))),"")</f>
        <v/>
      </c>
      <c r="CY202">
        <f>IFERROR(INDEX('История отказов'!$AE$5:$AE$1204,SMALL($DH$2:$DH$1201,ROWS($CY$7:CY202))),"")</f>
        <v/>
      </c>
      <c r="DB202">
        <f>IF('История отказов'!AH205="","",'История отказов'!AH205)</f>
        <v/>
      </c>
      <c r="DC202">
        <f>IF('История отказов'!AE205="","",IF(AND(COUNTIF($CT$2:$CT$2,'История отказов'!AE205)=0,COUNTIFS('История отказов'!$F$5:F205,"ШГН",'История отказов'!$AE$5:AE205,'История отказов'!AE205)=1,'История отказов'!F205="ШГН"),201,""))</f>
        <v/>
      </c>
      <c r="DD202">
        <f>IF('История отказов'!AE205="","",IF(AND(COUNTIF($CU$2:$CU$3,'История отказов'!AE205)=0,COUNTIFS('История отказов'!$F$5:F205,"ЭЦН",'История отказов'!$AE$5:AE205,'История отказов'!AE205)=1,'История отказов'!F205="ЭЦН"),201,""))</f>
        <v/>
      </c>
      <c r="DE202">
        <f>IF('История отказов'!AE205="","",IF(AND(COUNTIF($CV$2:$CV$3,'История отказов'!AE205)=0,COUNTIFS('История отказов'!$F$5:F205,"ЭВН",'История отказов'!$AE$5:AE205,'История отказов'!AE205)=1,'История отказов'!F205="ЭВН"),201,""))</f>
        <v/>
      </c>
      <c r="DF202">
        <f>IF('История отказов'!AE205="","",IF(AND(COUNTIF($CX$2:$CX$2,'История отказов'!AE205)=0,COUNTIFS('История отказов'!$F$5:F205,"ШВН",'История отказов'!$AE$5:AE205,'История отказов'!AE205)=1,'История отказов'!F205="ШВН"),201,""))</f>
        <v/>
      </c>
      <c r="DG202">
        <f>IF('История отказов'!AE205="","",IF(AND(COUNTIF($CW$2:$CW$2,'История отказов'!AE205)=0,COUNTIFS('История отказов'!$F$5:F205,"НПУ-ВД",'История отказов'!$AE$5:AE205,'История отказов'!AE205)=1,'История отказов'!F205="НПУ-ВД"),201,""))</f>
        <v/>
      </c>
      <c r="DH202">
        <f>IF('История отказов'!AE205="","",IF(AND(COUNTIF($CY$2:$CY$6,'История отказов'!AE205)=0,COUNTIF('История отказов'!$AE$5:AE205,'История отказов'!AE205)=1),201,""))</f>
        <v/>
      </c>
      <c r="DI202">
        <f>IF('История отказов'!AK205="","",IF(AND(COUNTIF($CL$2:$CL$3,'История отказов'!AK205)=0,COUNTIF('История отказов'!$AK$5:AK205,'История отказов'!AK205)=1),201,""))</f>
        <v/>
      </c>
      <c r="DJ202">
        <f>IF('История отказов'!AU205="","",IF(AND(COUNTIF($CP$2:$CP$3,'История отказов'!AU205)=0,COUNTIF('История отказов'!$AU$5:AU205,'История отказов'!AU205)=1),201,""))</f>
        <v/>
      </c>
      <c r="DK202">
        <f>IF('История отказов'!AY205="","",IF(AND(COUNTIF($CR$2:$CR$2,'История отказов'!AY205)=0,COUNTIF('История отказов'!$AY$5:AY205,'История отказов'!AY205)=1),201,""))</f>
        <v/>
      </c>
      <c r="DL202">
        <f>IF(DB202="","",IF(AND(COUNTIF($DA$2:$DA$47,DB202)=0,COUNTIF($DB$2:DB202,DB202)=1),201,""))</f>
        <v/>
      </c>
    </row>
    <row r="203">
      <c r="A203" s="74" t="n"/>
      <c r="B203" s="75" t="n"/>
      <c r="C203" s="75" t="n"/>
      <c r="D203" s="75" t="n"/>
      <c r="E203" s="75" t="n"/>
      <c r="F203" s="75" t="n"/>
      <c r="G203" s="76" t="n"/>
      <c r="J203" s="62" t="n"/>
      <c r="K203" s="62" t="n"/>
      <c r="L203" s="62" t="n"/>
      <c r="M203" s="62" t="n"/>
      <c r="N203" s="62" t="n"/>
      <c r="Q203" t="inlineStr">
        <is>
          <t>Предварительная / итоговая причина</t>
        </is>
      </c>
      <c r="R203" t="inlineStr">
        <is>
          <t>1.5 — Нарушение СПО [УШГН]</t>
        </is>
      </c>
      <c r="S203" t="inlineStr">
        <is>
          <t>Код и название; метка группы добавлена</t>
        </is>
      </c>
      <c r="T203" t="inlineStr">
        <is>
          <t>Классификатор по способам 2024 V10, лист УШГН</t>
        </is>
      </c>
      <c r="U203" t="inlineStr">
        <is>
          <t>Лист УШГН; код 1.5</t>
        </is>
      </c>
      <c r="V203" t="inlineStr">
        <is>
          <t>ШГН/ШВН</t>
        </is>
      </c>
      <c r="CL203">
        <f>IFERROR(INDEX('История отказов'!$AK$5:$AK$1204,SMALL($DI$2:$DI$1201,ROWS($CL$4:CL203))),"")</f>
        <v/>
      </c>
      <c r="CP203">
        <f>IFERROR(INDEX('История отказов'!$AU$5:$AU$1204,SMALL($DJ$2:$DJ$1201,ROWS($CP$4:CP203))),"")</f>
        <v/>
      </c>
      <c r="CU203">
        <f>IFERROR(INDEX('История отказов'!$AE$5:$AE$1204,SMALL($DD$2:$DD$1201,ROWS($CU$4:CU203))),"")</f>
        <v/>
      </c>
      <c r="CV203">
        <f>IFERROR(INDEX('История отказов'!$AE$5:$AE$1204,SMALL($DE$2:$DE$1201,ROWS($CV$4:CV203))),"")</f>
        <v/>
      </c>
      <c r="CY203">
        <f>IFERROR(INDEX('История отказов'!$AE$5:$AE$1204,SMALL($DH$2:$DH$1201,ROWS($CY$7:CY203))),"")</f>
        <v/>
      </c>
      <c r="DB203">
        <f>IF('История отказов'!AH206="","",'История отказов'!AH206)</f>
        <v/>
      </c>
      <c r="DC203">
        <f>IF('История отказов'!AE206="","",IF(AND(COUNTIF($CT$2:$CT$2,'История отказов'!AE206)=0,COUNTIFS('История отказов'!$F$5:F206,"ШГН",'История отказов'!$AE$5:AE206,'История отказов'!AE206)=1,'История отказов'!F206="ШГН"),202,""))</f>
        <v/>
      </c>
      <c r="DD203">
        <f>IF('История отказов'!AE206="","",IF(AND(COUNTIF($CU$2:$CU$3,'История отказов'!AE206)=0,COUNTIFS('История отказов'!$F$5:F206,"ЭЦН",'История отказов'!$AE$5:AE206,'История отказов'!AE206)=1,'История отказов'!F206="ЭЦН"),202,""))</f>
        <v/>
      </c>
      <c r="DE203">
        <f>IF('История отказов'!AE206="","",IF(AND(COUNTIF($CV$2:$CV$3,'История отказов'!AE206)=0,COUNTIFS('История отказов'!$F$5:F206,"ЭВН",'История отказов'!$AE$5:AE206,'История отказов'!AE206)=1,'История отказов'!F206="ЭВН"),202,""))</f>
        <v/>
      </c>
      <c r="DF203">
        <f>IF('История отказов'!AE206="","",IF(AND(COUNTIF($CX$2:$CX$2,'История отказов'!AE206)=0,COUNTIFS('История отказов'!$F$5:F206,"ШВН",'История отказов'!$AE$5:AE206,'История отказов'!AE206)=1,'История отказов'!F206="ШВН"),202,""))</f>
        <v/>
      </c>
      <c r="DG203">
        <f>IF('История отказов'!AE206="","",IF(AND(COUNTIF($CW$2:$CW$2,'История отказов'!AE206)=0,COUNTIFS('История отказов'!$F$5:F206,"НПУ-ВД",'История отказов'!$AE$5:AE206,'История отказов'!AE206)=1,'История отказов'!F206="НПУ-ВД"),202,""))</f>
        <v/>
      </c>
      <c r="DH203">
        <f>IF('История отказов'!AE206="","",IF(AND(COUNTIF($CY$2:$CY$6,'История отказов'!AE206)=0,COUNTIF('История отказов'!$AE$5:AE206,'История отказов'!AE206)=1),202,""))</f>
        <v/>
      </c>
      <c r="DI203">
        <f>IF('История отказов'!AK206="","",IF(AND(COUNTIF($CL$2:$CL$3,'История отказов'!AK206)=0,COUNTIF('История отказов'!$AK$5:AK206,'История отказов'!AK206)=1),202,""))</f>
        <v/>
      </c>
      <c r="DJ203">
        <f>IF('История отказов'!AU206="","",IF(AND(COUNTIF($CP$2:$CP$3,'История отказов'!AU206)=0,COUNTIF('История отказов'!$AU$5:AU206,'История отказов'!AU206)=1),202,""))</f>
        <v/>
      </c>
      <c r="DK203">
        <f>IF('История отказов'!AY206="","",IF(AND(COUNTIF($CR$2:$CR$2,'История отказов'!AY206)=0,COUNTIF('История отказов'!$AY$5:AY206,'История отказов'!AY206)=1),202,""))</f>
        <v/>
      </c>
      <c r="DL203">
        <f>IF(DB203="","",IF(AND(COUNTIF($DA$2:$DA$47,DB203)=0,COUNTIF($DB$2:DB203,DB203)=1),202,""))</f>
        <v/>
      </c>
    </row>
    <row r="204">
      <c r="A204" s="74" t="n"/>
      <c r="B204" s="75" t="n"/>
      <c r="C204" s="75" t="n"/>
      <c r="D204" s="75" t="n"/>
      <c r="E204" s="75" t="n"/>
      <c r="F204" s="75" t="n"/>
      <c r="G204" s="76" t="n"/>
      <c r="J204" s="62" t="n"/>
      <c r="K204" s="62" t="n"/>
      <c r="L204" s="62" t="n"/>
      <c r="M204" s="62" t="n"/>
      <c r="N204" s="62" t="n"/>
      <c r="Q204" t="inlineStr">
        <is>
          <t>Предварительная / итоговая причина</t>
        </is>
      </c>
      <c r="R204" t="inlineStr">
        <is>
          <t>1.6 — Авария [УШГН]</t>
        </is>
      </c>
      <c r="S204" t="inlineStr">
        <is>
          <t>Код и название; метка группы добавлена</t>
        </is>
      </c>
      <c r="T204" t="inlineStr">
        <is>
          <t>Классификатор по способам 2024 V10, лист УШГН</t>
        </is>
      </c>
      <c r="U204" t="inlineStr">
        <is>
          <t>Лист УШГН; код 1.6</t>
        </is>
      </c>
      <c r="V204" t="inlineStr">
        <is>
          <t>ШГН/ШВН</t>
        </is>
      </c>
      <c r="CY204">
        <f>IFERROR(INDEX('История отказов'!$AE$5:$AE$1204,SMALL($DH$2:$DH$1201,ROWS($CY$7:CY204))),"")</f>
        <v/>
      </c>
      <c r="DB204">
        <f>IF('История отказов'!AH207="","",'История отказов'!AH207)</f>
        <v/>
      </c>
      <c r="DC204">
        <f>IF('История отказов'!AE207="","",IF(AND(COUNTIF($CT$2:$CT$2,'История отказов'!AE207)=0,COUNTIFS('История отказов'!$F$5:F207,"ШГН",'История отказов'!$AE$5:AE207,'История отказов'!AE207)=1,'История отказов'!F207="ШГН"),203,""))</f>
        <v/>
      </c>
      <c r="DD204">
        <f>IF('История отказов'!AE207="","",IF(AND(COUNTIF($CU$2:$CU$3,'История отказов'!AE207)=0,COUNTIFS('История отказов'!$F$5:F207,"ЭЦН",'История отказов'!$AE$5:AE207,'История отказов'!AE207)=1,'История отказов'!F207="ЭЦН"),203,""))</f>
        <v/>
      </c>
      <c r="DE204">
        <f>IF('История отказов'!AE207="","",IF(AND(COUNTIF($CV$2:$CV$3,'История отказов'!AE207)=0,COUNTIFS('История отказов'!$F$5:F207,"ЭВН",'История отказов'!$AE$5:AE207,'История отказов'!AE207)=1,'История отказов'!F207="ЭВН"),203,""))</f>
        <v/>
      </c>
      <c r="DF204">
        <f>IF('История отказов'!AE207="","",IF(AND(COUNTIF($CX$2:$CX$2,'История отказов'!AE207)=0,COUNTIFS('История отказов'!$F$5:F207,"ШВН",'История отказов'!$AE$5:AE207,'История отказов'!AE207)=1,'История отказов'!F207="ШВН"),203,""))</f>
        <v/>
      </c>
      <c r="DG204">
        <f>IF('История отказов'!AE207="","",IF(AND(COUNTIF($CW$2:$CW$2,'История отказов'!AE207)=0,COUNTIFS('История отказов'!$F$5:F207,"НПУ-ВД",'История отказов'!$AE$5:AE207,'История отказов'!AE207)=1,'История отказов'!F207="НПУ-ВД"),203,""))</f>
        <v/>
      </c>
      <c r="DH204">
        <f>IF('История отказов'!AE207="","",IF(AND(COUNTIF($CY$2:$CY$6,'История отказов'!AE207)=0,COUNTIF('История отказов'!$AE$5:AE207,'История отказов'!AE207)=1),203,""))</f>
        <v/>
      </c>
      <c r="DI204">
        <f>IF('История отказов'!AK207="","",IF(AND(COUNTIF($CL$2:$CL$3,'История отказов'!AK207)=0,COUNTIF('История отказов'!$AK$5:AK207,'История отказов'!AK207)=1),203,""))</f>
        <v/>
      </c>
      <c r="DJ204">
        <f>IF('История отказов'!AU207="","",IF(AND(COUNTIF($CP$2:$CP$3,'История отказов'!AU207)=0,COUNTIF('История отказов'!$AU$5:AU207,'История отказов'!AU207)=1),203,""))</f>
        <v/>
      </c>
      <c r="DK204">
        <f>IF('История отказов'!AY207="","",IF(AND(COUNTIF($CR$2:$CR$2,'История отказов'!AY207)=0,COUNTIF('История отказов'!$AY$5:AY207,'История отказов'!AY207)=1),203,""))</f>
        <v/>
      </c>
      <c r="DL204">
        <f>IF(DB204="","",IF(AND(COUNTIF($DA$2:$DA$47,DB204)=0,COUNTIF($DB$2:DB204,DB204)=1),203,""))</f>
        <v/>
      </c>
    </row>
    <row r="205">
      <c r="A205" s="74" t="n"/>
      <c r="B205" s="75" t="n"/>
      <c r="C205" s="75" t="n"/>
      <c r="D205" s="75" t="n"/>
      <c r="E205" s="75" t="n"/>
      <c r="F205" s="75" t="n"/>
      <c r="G205" s="76" t="n"/>
      <c r="J205" s="62" t="n"/>
      <c r="K205" s="62" t="n"/>
      <c r="L205" s="62" t="n"/>
      <c r="M205" s="62" t="n"/>
      <c r="N205" s="62" t="n"/>
      <c r="Q205" t="inlineStr">
        <is>
          <t>Предварительная / итоговая причина</t>
        </is>
      </c>
      <c r="R205" t="inlineStr">
        <is>
          <t>1.7 — Организационные причины ТРС [УШГН]</t>
        </is>
      </c>
      <c r="S205" t="inlineStr">
        <is>
          <t>Код и название; метка группы добавлена</t>
        </is>
      </c>
      <c r="T205" t="inlineStr">
        <is>
          <t>Классификатор по способам 2024 V10, лист УШГН</t>
        </is>
      </c>
      <c r="U205" t="inlineStr">
        <is>
          <t>Лист УШГН; код 1.7</t>
        </is>
      </c>
      <c r="V205" t="inlineStr">
        <is>
          <t>ШГН/ШВН</t>
        </is>
      </c>
      <c r="CY205">
        <f>IFERROR(INDEX('История отказов'!$AE$5:$AE$1204,SMALL($DH$2:$DH$1201,ROWS($CY$7:CY205))),"")</f>
        <v/>
      </c>
      <c r="DB205">
        <f>IF('История отказов'!AH208="","",'История отказов'!AH208)</f>
        <v/>
      </c>
      <c r="DC205">
        <f>IF('История отказов'!AE208="","",IF(AND(COUNTIF($CT$2:$CT$2,'История отказов'!AE208)=0,COUNTIFS('История отказов'!$F$5:F208,"ШГН",'История отказов'!$AE$5:AE208,'История отказов'!AE208)=1,'История отказов'!F208="ШГН"),204,""))</f>
        <v/>
      </c>
      <c r="DD205">
        <f>IF('История отказов'!AE208="","",IF(AND(COUNTIF($CU$2:$CU$3,'История отказов'!AE208)=0,COUNTIFS('История отказов'!$F$5:F208,"ЭЦН",'История отказов'!$AE$5:AE208,'История отказов'!AE208)=1,'История отказов'!F208="ЭЦН"),204,""))</f>
        <v/>
      </c>
      <c r="DE205">
        <f>IF('История отказов'!AE208="","",IF(AND(COUNTIF($CV$2:$CV$3,'История отказов'!AE208)=0,COUNTIFS('История отказов'!$F$5:F208,"ЭВН",'История отказов'!$AE$5:AE208,'История отказов'!AE208)=1,'История отказов'!F208="ЭВН"),204,""))</f>
        <v/>
      </c>
      <c r="DF205">
        <f>IF('История отказов'!AE208="","",IF(AND(COUNTIF($CX$2:$CX$2,'История отказов'!AE208)=0,COUNTIFS('История отказов'!$F$5:F208,"ШВН",'История отказов'!$AE$5:AE208,'История отказов'!AE208)=1,'История отказов'!F208="ШВН"),204,""))</f>
        <v/>
      </c>
      <c r="DG205">
        <f>IF('История отказов'!AE208="","",IF(AND(COUNTIF($CW$2:$CW$2,'История отказов'!AE208)=0,COUNTIFS('История отказов'!$F$5:F208,"НПУ-ВД",'История отказов'!$AE$5:AE208,'История отказов'!AE208)=1,'История отказов'!F208="НПУ-ВД"),204,""))</f>
        <v/>
      </c>
      <c r="DH205">
        <f>IF('История отказов'!AE208="","",IF(AND(COUNTIF($CY$2:$CY$6,'История отказов'!AE208)=0,COUNTIF('История отказов'!$AE$5:AE208,'История отказов'!AE208)=1),204,""))</f>
        <v/>
      </c>
      <c r="DI205">
        <f>IF('История отказов'!AK208="","",IF(AND(COUNTIF($CL$2:$CL$3,'История отказов'!AK208)=0,COUNTIF('История отказов'!$AK$5:AK208,'История отказов'!AK208)=1),204,""))</f>
        <v/>
      </c>
      <c r="DJ205">
        <f>IF('История отказов'!AU208="","",IF(AND(COUNTIF($CP$2:$CP$3,'История отказов'!AU208)=0,COUNTIF('История отказов'!$AU$5:AU208,'История отказов'!AU208)=1),204,""))</f>
        <v/>
      </c>
      <c r="DK205">
        <f>IF('История отказов'!AY208="","",IF(AND(COUNTIF($CR$2:$CR$2,'История отказов'!AY208)=0,COUNTIF('История отказов'!$AY$5:AY208,'История отказов'!AY208)=1),204,""))</f>
        <v/>
      </c>
      <c r="DL205">
        <f>IF(DB205="","",IF(AND(COUNTIF($DA$2:$DA$47,DB205)=0,COUNTIF($DB$2:DB205,DB205)=1),204,""))</f>
        <v/>
      </c>
    </row>
    <row r="206">
      <c r="A206" s="74" t="n"/>
      <c r="B206" s="75" t="n"/>
      <c r="C206" s="75" t="n"/>
      <c r="D206" s="75" t="n"/>
      <c r="E206" s="75" t="n"/>
      <c r="F206" s="75" t="n"/>
      <c r="G206" s="76" t="n"/>
      <c r="J206" s="62" t="n"/>
      <c r="K206" s="62" t="n"/>
      <c r="L206" s="62" t="n"/>
      <c r="M206" s="62" t="n"/>
      <c r="N206" s="62" t="n"/>
      <c r="Q206" t="inlineStr">
        <is>
          <t>Предварительная / итоговая причина</t>
        </is>
      </c>
      <c r="R206" t="inlineStr">
        <is>
          <t>2.1 — Нарушение глубины спуска [УШГН]</t>
        </is>
      </c>
      <c r="S206" t="inlineStr">
        <is>
          <t>Код и название; метка группы добавлена</t>
        </is>
      </c>
      <c r="T206" t="inlineStr">
        <is>
          <t>Классификатор по способам 2024 V10, лист УШГН</t>
        </is>
      </c>
      <c r="U206" t="inlineStr">
        <is>
          <t>Лист УШГН; код 2.1</t>
        </is>
      </c>
      <c r="V206" t="inlineStr">
        <is>
          <t>ШГН/ШВН</t>
        </is>
      </c>
      <c r="CY206">
        <f>IFERROR(INDEX('История отказов'!$AE$5:$AE$1204,SMALL($DH$2:$DH$1201,ROWS($CY$7:CY206))),"")</f>
        <v/>
      </c>
      <c r="DB206">
        <f>IF('История отказов'!AH209="","",'История отказов'!AH209)</f>
        <v/>
      </c>
      <c r="DC206">
        <f>IF('История отказов'!AE209="","",IF(AND(COUNTIF($CT$2:$CT$2,'История отказов'!AE209)=0,COUNTIFS('История отказов'!$F$5:F209,"ШГН",'История отказов'!$AE$5:AE209,'История отказов'!AE209)=1,'История отказов'!F209="ШГН"),205,""))</f>
        <v/>
      </c>
      <c r="DD206">
        <f>IF('История отказов'!AE209="","",IF(AND(COUNTIF($CU$2:$CU$3,'История отказов'!AE209)=0,COUNTIFS('История отказов'!$F$5:F209,"ЭЦН",'История отказов'!$AE$5:AE209,'История отказов'!AE209)=1,'История отказов'!F209="ЭЦН"),205,""))</f>
        <v/>
      </c>
      <c r="DE206">
        <f>IF('История отказов'!AE209="","",IF(AND(COUNTIF($CV$2:$CV$3,'История отказов'!AE209)=0,COUNTIFS('История отказов'!$F$5:F209,"ЭВН",'История отказов'!$AE$5:AE209,'История отказов'!AE209)=1,'История отказов'!F209="ЭВН"),205,""))</f>
        <v/>
      </c>
      <c r="DF206">
        <f>IF('История отказов'!AE209="","",IF(AND(COUNTIF($CX$2:$CX$2,'История отказов'!AE209)=0,COUNTIFS('История отказов'!$F$5:F209,"ШВН",'История отказов'!$AE$5:AE209,'История отказов'!AE209)=1,'История отказов'!F209="ШВН"),205,""))</f>
        <v/>
      </c>
      <c r="DG206">
        <f>IF('История отказов'!AE209="","",IF(AND(COUNTIF($CW$2:$CW$2,'История отказов'!AE209)=0,COUNTIFS('История отказов'!$F$5:F209,"НПУ-ВД",'История отказов'!$AE$5:AE209,'История отказов'!AE209)=1,'История отказов'!F209="НПУ-ВД"),205,""))</f>
        <v/>
      </c>
      <c r="DH206">
        <f>IF('История отказов'!AE209="","",IF(AND(COUNTIF($CY$2:$CY$6,'История отказов'!AE209)=0,COUNTIF('История отказов'!$AE$5:AE209,'История отказов'!AE209)=1),205,""))</f>
        <v/>
      </c>
      <c r="DI206">
        <f>IF('История отказов'!AK209="","",IF(AND(COUNTIF($CL$2:$CL$3,'История отказов'!AK209)=0,COUNTIF('История отказов'!$AK$5:AK209,'История отказов'!AK209)=1),205,""))</f>
        <v/>
      </c>
      <c r="DJ206">
        <f>IF('История отказов'!AU209="","",IF(AND(COUNTIF($CP$2:$CP$3,'История отказов'!AU209)=0,COUNTIF('История отказов'!$AU$5:AU209,'История отказов'!AU209)=1),205,""))</f>
        <v/>
      </c>
      <c r="DK206">
        <f>IF('История отказов'!AY209="","",IF(AND(COUNTIF($CR$2:$CR$2,'История отказов'!AY209)=0,COUNTIF('История отказов'!$AY$5:AY209,'История отказов'!AY209)=1),205,""))</f>
        <v/>
      </c>
      <c r="DL206">
        <f>IF(DB206="","",IF(AND(COUNTIF($DA$2:$DA$47,DB206)=0,COUNTIF($DB$2:DB206,DB206)=1),205,""))</f>
        <v/>
      </c>
    </row>
    <row r="207">
      <c r="A207" s="74" t="n"/>
      <c r="B207" s="75" t="n"/>
      <c r="C207" s="75" t="n"/>
      <c r="D207" s="75" t="n"/>
      <c r="E207" s="75" t="n"/>
      <c r="F207" s="75" t="n"/>
      <c r="G207" s="76" t="n"/>
      <c r="J207" s="62" t="n"/>
      <c r="K207" s="62" t="n"/>
      <c r="L207" s="62" t="n"/>
      <c r="M207" s="62" t="n"/>
      <c r="N207" s="62" t="n"/>
      <c r="Q207" t="inlineStr">
        <is>
          <t>Предварительная / итоговая причина</t>
        </is>
      </c>
      <c r="R207" t="inlineStr">
        <is>
          <t>2.2 — Некачественная подготовка скважины [УШГН]</t>
        </is>
      </c>
      <c r="S207" t="inlineStr">
        <is>
          <t>Код и название; метка группы добавлена</t>
        </is>
      </c>
      <c r="T207" t="inlineStr">
        <is>
          <t>Классификатор по способам 2024 V10, лист УШГН</t>
        </is>
      </c>
      <c r="U207" t="inlineStr">
        <is>
          <t>Лист УШГН; код 2.2</t>
        </is>
      </c>
      <c r="V207" t="inlineStr">
        <is>
          <t>ШГН/ШВН</t>
        </is>
      </c>
      <c r="DB207">
        <f>IF('История отказов'!AH210="","",'История отказов'!AH210)</f>
        <v/>
      </c>
      <c r="DC207">
        <f>IF('История отказов'!AE210="","",IF(AND(COUNTIF($CT$2:$CT$2,'История отказов'!AE210)=0,COUNTIFS('История отказов'!$F$5:F210,"ШГН",'История отказов'!$AE$5:AE210,'История отказов'!AE210)=1,'История отказов'!F210="ШГН"),206,""))</f>
        <v/>
      </c>
      <c r="DD207">
        <f>IF('История отказов'!AE210="","",IF(AND(COUNTIF($CU$2:$CU$3,'История отказов'!AE210)=0,COUNTIFS('История отказов'!$F$5:F210,"ЭЦН",'История отказов'!$AE$5:AE210,'История отказов'!AE210)=1,'История отказов'!F210="ЭЦН"),206,""))</f>
        <v/>
      </c>
      <c r="DE207">
        <f>IF('История отказов'!AE210="","",IF(AND(COUNTIF($CV$2:$CV$3,'История отказов'!AE210)=0,COUNTIFS('История отказов'!$F$5:F210,"ЭВН",'История отказов'!$AE$5:AE210,'История отказов'!AE210)=1,'История отказов'!F210="ЭВН"),206,""))</f>
        <v/>
      </c>
      <c r="DF207">
        <f>IF('История отказов'!AE210="","",IF(AND(COUNTIF($CX$2:$CX$2,'История отказов'!AE210)=0,COUNTIFS('История отказов'!$F$5:F210,"ШВН",'История отказов'!$AE$5:AE210,'История отказов'!AE210)=1,'История отказов'!F210="ШВН"),206,""))</f>
        <v/>
      </c>
      <c r="DG207">
        <f>IF('История отказов'!AE210="","",IF(AND(COUNTIF($CW$2:$CW$2,'История отказов'!AE210)=0,COUNTIFS('История отказов'!$F$5:F210,"НПУ-ВД",'История отказов'!$AE$5:AE210,'История отказов'!AE210)=1,'История отказов'!F210="НПУ-ВД"),206,""))</f>
        <v/>
      </c>
      <c r="DH207">
        <f>IF('История отказов'!AE210="","",IF(AND(COUNTIF($CY$2:$CY$6,'История отказов'!AE210)=0,COUNTIF('История отказов'!$AE$5:AE210,'История отказов'!AE210)=1),206,""))</f>
        <v/>
      </c>
      <c r="DI207">
        <f>IF('История отказов'!AK210="","",IF(AND(COUNTIF($CL$2:$CL$3,'История отказов'!AK210)=0,COUNTIF('История отказов'!$AK$5:AK210,'История отказов'!AK210)=1),206,""))</f>
        <v/>
      </c>
      <c r="DJ207">
        <f>IF('История отказов'!AU210="","",IF(AND(COUNTIF($CP$2:$CP$3,'История отказов'!AU210)=0,COUNTIF('История отказов'!$AU$5:AU210,'История отказов'!AU210)=1),206,""))</f>
        <v/>
      </c>
      <c r="DK207">
        <f>IF('История отказов'!AY210="","",IF(AND(COUNTIF($CR$2:$CR$2,'История отказов'!AY210)=0,COUNTIF('История отказов'!$AY$5:AY210,'История отказов'!AY210)=1),206,""))</f>
        <v/>
      </c>
      <c r="DL207">
        <f>IF(DB207="","",IF(AND(COUNTIF($DA$2:$DA$47,DB207)=0,COUNTIF($DB$2:DB207,DB207)=1),206,""))</f>
        <v/>
      </c>
    </row>
    <row r="208">
      <c r="A208" s="74" t="n"/>
      <c r="B208" s="75" t="n"/>
      <c r="C208" s="75" t="n"/>
      <c r="D208" s="75" t="n"/>
      <c r="E208" s="75" t="n"/>
      <c r="F208" s="75" t="n"/>
      <c r="G208" s="76" t="n"/>
      <c r="J208" s="62" t="n"/>
      <c r="K208" s="62" t="n"/>
      <c r="L208" s="62" t="n"/>
      <c r="M208" s="62" t="n"/>
      <c r="N208" s="62" t="n"/>
      <c r="Q208" t="inlineStr">
        <is>
          <t>Предварительная / итоговая причина</t>
        </is>
      </c>
      <c r="R208" t="inlineStr">
        <is>
          <t>2.3 — Не герметичность НКТ [УШГН]</t>
        </is>
      </c>
      <c r="S208" t="inlineStr">
        <is>
          <t>Код и название; метка группы добавлена</t>
        </is>
      </c>
      <c r="T208" t="inlineStr">
        <is>
          <t>Классификатор по способам 2024 V10, лист УШГН</t>
        </is>
      </c>
      <c r="U208" t="inlineStr">
        <is>
          <t>Лист УШГН; код 2.3</t>
        </is>
      </c>
      <c r="V208" t="inlineStr">
        <is>
          <t>ШГН/ШВН</t>
        </is>
      </c>
      <c r="DB208">
        <f>IF('История отказов'!AH211="","",'История отказов'!AH211)</f>
        <v/>
      </c>
      <c r="DC208">
        <f>IF('История отказов'!AE211="","",IF(AND(COUNTIF($CT$2:$CT$2,'История отказов'!AE211)=0,COUNTIFS('История отказов'!$F$5:F211,"ШГН",'История отказов'!$AE$5:AE211,'История отказов'!AE211)=1,'История отказов'!F211="ШГН"),207,""))</f>
        <v/>
      </c>
      <c r="DD208">
        <f>IF('История отказов'!AE211="","",IF(AND(COUNTIF($CU$2:$CU$3,'История отказов'!AE211)=0,COUNTIFS('История отказов'!$F$5:F211,"ЭЦН",'История отказов'!$AE$5:AE211,'История отказов'!AE211)=1,'История отказов'!F211="ЭЦН"),207,""))</f>
        <v/>
      </c>
      <c r="DE208">
        <f>IF('История отказов'!AE211="","",IF(AND(COUNTIF($CV$2:$CV$3,'История отказов'!AE211)=0,COUNTIFS('История отказов'!$F$5:F211,"ЭВН",'История отказов'!$AE$5:AE211,'История отказов'!AE211)=1,'История отказов'!F211="ЭВН"),207,""))</f>
        <v/>
      </c>
      <c r="DF208">
        <f>IF('История отказов'!AE211="","",IF(AND(COUNTIF($CX$2:$CX$2,'История отказов'!AE211)=0,COUNTIFS('История отказов'!$F$5:F211,"ШВН",'История отказов'!$AE$5:AE211,'История отказов'!AE211)=1,'История отказов'!F211="ШВН"),207,""))</f>
        <v/>
      </c>
      <c r="DG208">
        <f>IF('История отказов'!AE211="","",IF(AND(COUNTIF($CW$2:$CW$2,'История отказов'!AE211)=0,COUNTIFS('История отказов'!$F$5:F211,"НПУ-ВД",'История отказов'!$AE$5:AE211,'История отказов'!AE211)=1,'История отказов'!F211="НПУ-ВД"),207,""))</f>
        <v/>
      </c>
      <c r="DH208">
        <f>IF('История отказов'!AE211="","",IF(AND(COUNTIF($CY$2:$CY$6,'История отказов'!AE211)=0,COUNTIF('История отказов'!$AE$5:AE211,'История отказов'!AE211)=1),207,""))</f>
        <v/>
      </c>
      <c r="DI208">
        <f>IF('История отказов'!AK211="","",IF(AND(COUNTIF($CL$2:$CL$3,'История отказов'!AK211)=0,COUNTIF('История отказов'!$AK$5:AK211,'История отказов'!AK211)=1),207,""))</f>
        <v/>
      </c>
      <c r="DJ208">
        <f>IF('История отказов'!AU211="","",IF(AND(COUNTIF($CP$2:$CP$3,'История отказов'!AU211)=0,COUNTIF('История отказов'!$AU$5:AU211,'История отказов'!AU211)=1),207,""))</f>
        <v/>
      </c>
      <c r="DK208">
        <f>IF('История отказов'!AY211="","",IF(AND(COUNTIF($CR$2:$CR$2,'История отказов'!AY211)=0,COUNTIF('История отказов'!$AY$5:AY211,'История отказов'!AY211)=1),207,""))</f>
        <v/>
      </c>
      <c r="DL208">
        <f>IF(DB208="","",IF(AND(COUNTIF($DA$2:$DA$47,DB208)=0,COUNTIF($DB$2:DB208,DB208)=1),207,""))</f>
        <v/>
      </c>
    </row>
    <row r="209">
      <c r="A209" s="74" t="n"/>
      <c r="B209" s="75" t="n"/>
      <c r="C209" s="75" t="n"/>
      <c r="D209" s="75" t="n"/>
      <c r="E209" s="75" t="n"/>
      <c r="F209" s="75" t="n"/>
      <c r="G209" s="76" t="n"/>
      <c r="J209" s="62" t="n"/>
      <c r="K209" s="62" t="n"/>
      <c r="L209" s="62" t="n"/>
      <c r="M209" s="62" t="n"/>
      <c r="N209" s="62" t="n"/>
      <c r="Q209" t="inlineStr">
        <is>
          <t>Предварительная / итоговая причина</t>
        </is>
      </c>
      <c r="R209" t="inlineStr">
        <is>
          <t>2.4 — Отворот штанг [УШГН]</t>
        </is>
      </c>
      <c r="S209" t="inlineStr">
        <is>
          <t>Код и название; метка группы добавлена</t>
        </is>
      </c>
      <c r="T209" t="inlineStr">
        <is>
          <t>Классификатор по способам 2024 V10, лист УШГН</t>
        </is>
      </c>
      <c r="U209" t="inlineStr">
        <is>
          <t>Лист УШГН; код 2.4</t>
        </is>
      </c>
      <c r="V209" t="inlineStr">
        <is>
          <t>ШГН/ШВН</t>
        </is>
      </c>
      <c r="DB209">
        <f>IF('История отказов'!AH212="","",'История отказов'!AH212)</f>
        <v/>
      </c>
      <c r="DC209">
        <f>IF('История отказов'!AE212="","",IF(AND(COUNTIF($CT$2:$CT$2,'История отказов'!AE212)=0,COUNTIFS('История отказов'!$F$5:F212,"ШГН",'История отказов'!$AE$5:AE212,'История отказов'!AE212)=1,'История отказов'!F212="ШГН"),208,""))</f>
        <v/>
      </c>
      <c r="DD209">
        <f>IF('История отказов'!AE212="","",IF(AND(COUNTIF($CU$2:$CU$3,'История отказов'!AE212)=0,COUNTIFS('История отказов'!$F$5:F212,"ЭЦН",'История отказов'!$AE$5:AE212,'История отказов'!AE212)=1,'История отказов'!F212="ЭЦН"),208,""))</f>
        <v/>
      </c>
      <c r="DE209">
        <f>IF('История отказов'!AE212="","",IF(AND(COUNTIF($CV$2:$CV$3,'История отказов'!AE212)=0,COUNTIFS('История отказов'!$F$5:F212,"ЭВН",'История отказов'!$AE$5:AE212,'История отказов'!AE212)=1,'История отказов'!F212="ЭВН"),208,""))</f>
        <v/>
      </c>
      <c r="DF209">
        <f>IF('История отказов'!AE212="","",IF(AND(COUNTIF($CX$2:$CX$2,'История отказов'!AE212)=0,COUNTIFS('История отказов'!$F$5:F212,"ШВН",'История отказов'!$AE$5:AE212,'История отказов'!AE212)=1,'История отказов'!F212="ШВН"),208,""))</f>
        <v/>
      </c>
      <c r="DG209">
        <f>IF('История отказов'!AE212="","",IF(AND(COUNTIF($CW$2:$CW$2,'История отказов'!AE212)=0,COUNTIFS('История отказов'!$F$5:F212,"НПУ-ВД",'История отказов'!$AE$5:AE212,'История отказов'!AE212)=1,'История отказов'!F212="НПУ-ВД"),208,""))</f>
        <v/>
      </c>
      <c r="DH209">
        <f>IF('История отказов'!AE212="","",IF(AND(COUNTIF($CY$2:$CY$6,'История отказов'!AE212)=0,COUNTIF('История отказов'!$AE$5:AE212,'История отказов'!AE212)=1),208,""))</f>
        <v/>
      </c>
      <c r="DI209">
        <f>IF('История отказов'!AK212="","",IF(AND(COUNTIF($CL$2:$CL$3,'История отказов'!AK212)=0,COUNTIF('История отказов'!$AK$5:AK212,'История отказов'!AK212)=1),208,""))</f>
        <v/>
      </c>
      <c r="DJ209">
        <f>IF('История отказов'!AU212="","",IF(AND(COUNTIF($CP$2:$CP$3,'История отказов'!AU212)=0,COUNTIF('История отказов'!$AU$5:AU212,'История отказов'!AU212)=1),208,""))</f>
        <v/>
      </c>
      <c r="DK209">
        <f>IF('История отказов'!AY212="","",IF(AND(COUNTIF($CR$2:$CR$2,'История отказов'!AY212)=0,COUNTIF('История отказов'!$AY$5:AY212,'История отказов'!AY212)=1),208,""))</f>
        <v/>
      </c>
      <c r="DL209">
        <f>IF(DB209="","",IF(AND(COUNTIF($DA$2:$DA$47,DB209)=0,COUNTIF($DB$2:DB209,DB209)=1),208,""))</f>
        <v/>
      </c>
    </row>
    <row r="210">
      <c r="A210" s="74" t="n"/>
      <c r="B210" s="75" t="n"/>
      <c r="C210" s="75" t="n"/>
      <c r="D210" s="75" t="n"/>
      <c r="E210" s="75" t="n"/>
      <c r="F210" s="75" t="n"/>
      <c r="G210" s="76" t="n"/>
      <c r="J210" s="62" t="n"/>
      <c r="K210" s="62" t="n"/>
      <c r="L210" s="62" t="n"/>
      <c r="M210" s="62" t="n"/>
      <c r="N210" s="62" t="n"/>
      <c r="Q210" t="inlineStr">
        <is>
          <t>Предварительная / итоговая причина</t>
        </is>
      </c>
      <c r="R210" t="inlineStr">
        <is>
          <t>2.5 — Нарушение СПО [УШГН]</t>
        </is>
      </c>
      <c r="S210" t="inlineStr">
        <is>
          <t>Код и название; метка группы добавлена</t>
        </is>
      </c>
      <c r="T210" t="inlineStr">
        <is>
          <t>Классификатор по способам 2024 V10, лист УШГН</t>
        </is>
      </c>
      <c r="U210" t="inlineStr">
        <is>
          <t>Лист УШГН; код 2.5</t>
        </is>
      </c>
      <c r="V210" t="inlineStr">
        <is>
          <t>ШГН/ШВН</t>
        </is>
      </c>
      <c r="DB210">
        <f>IF('История отказов'!AH213="","",'История отказов'!AH213)</f>
        <v/>
      </c>
      <c r="DC210">
        <f>IF('История отказов'!AE213="","",IF(AND(COUNTIF($CT$2:$CT$2,'История отказов'!AE213)=0,COUNTIFS('История отказов'!$F$5:F213,"ШГН",'История отказов'!$AE$5:AE213,'История отказов'!AE213)=1,'История отказов'!F213="ШГН"),209,""))</f>
        <v/>
      </c>
      <c r="DD210">
        <f>IF('История отказов'!AE213="","",IF(AND(COUNTIF($CU$2:$CU$3,'История отказов'!AE213)=0,COUNTIFS('История отказов'!$F$5:F213,"ЭЦН",'История отказов'!$AE$5:AE213,'История отказов'!AE213)=1,'История отказов'!F213="ЭЦН"),209,""))</f>
        <v/>
      </c>
      <c r="DE210">
        <f>IF('История отказов'!AE213="","",IF(AND(COUNTIF($CV$2:$CV$3,'История отказов'!AE213)=0,COUNTIFS('История отказов'!$F$5:F213,"ЭВН",'История отказов'!$AE$5:AE213,'История отказов'!AE213)=1,'История отказов'!F213="ЭВН"),209,""))</f>
        <v/>
      </c>
      <c r="DF210">
        <f>IF('История отказов'!AE213="","",IF(AND(COUNTIF($CX$2:$CX$2,'История отказов'!AE213)=0,COUNTIFS('История отказов'!$F$5:F213,"ШВН",'История отказов'!$AE$5:AE213,'История отказов'!AE213)=1,'История отказов'!F213="ШВН"),209,""))</f>
        <v/>
      </c>
      <c r="DG210">
        <f>IF('История отказов'!AE213="","",IF(AND(COUNTIF($CW$2:$CW$2,'История отказов'!AE213)=0,COUNTIFS('История отказов'!$F$5:F213,"НПУ-ВД",'История отказов'!$AE$5:AE213,'История отказов'!AE213)=1,'История отказов'!F213="НПУ-ВД"),209,""))</f>
        <v/>
      </c>
      <c r="DH210">
        <f>IF('История отказов'!AE213="","",IF(AND(COUNTIF($CY$2:$CY$6,'История отказов'!AE213)=0,COUNTIF('История отказов'!$AE$5:AE213,'История отказов'!AE213)=1),209,""))</f>
        <v/>
      </c>
      <c r="DI210">
        <f>IF('История отказов'!AK213="","",IF(AND(COUNTIF($CL$2:$CL$3,'История отказов'!AK213)=0,COUNTIF('История отказов'!$AK$5:AK213,'История отказов'!AK213)=1),209,""))</f>
        <v/>
      </c>
      <c r="DJ210">
        <f>IF('История отказов'!AU213="","",IF(AND(COUNTIF($CP$2:$CP$3,'История отказов'!AU213)=0,COUNTIF('История отказов'!$AU$5:AU213,'История отказов'!AU213)=1),209,""))</f>
        <v/>
      </c>
      <c r="DK210">
        <f>IF('История отказов'!AY213="","",IF(AND(COUNTIF($CR$2:$CR$2,'История отказов'!AY213)=0,COUNTIF('История отказов'!$AY$5:AY213,'История отказов'!AY213)=1),209,""))</f>
        <v/>
      </c>
      <c r="DL210">
        <f>IF(DB210="","",IF(AND(COUNTIF($DA$2:$DA$47,DB210)=0,COUNTIF($DB$2:DB210,DB210)=1),209,""))</f>
        <v/>
      </c>
    </row>
    <row r="211">
      <c r="A211" s="74" t="n"/>
      <c r="B211" s="75" t="n"/>
      <c r="C211" s="75" t="n"/>
      <c r="D211" s="75" t="n"/>
      <c r="E211" s="75" t="n"/>
      <c r="F211" s="75" t="n"/>
      <c r="G211" s="76" t="n"/>
      <c r="J211" s="62" t="n"/>
      <c r="K211" s="62" t="n"/>
      <c r="L211" s="62" t="n"/>
      <c r="M211" s="62" t="n"/>
      <c r="N211" s="62" t="n"/>
      <c r="Q211" t="inlineStr">
        <is>
          <t>Предварительная / итоговая причина</t>
        </is>
      </c>
      <c r="R211" t="inlineStr">
        <is>
          <t>2.6 — Авария [УШГН]</t>
        </is>
      </c>
      <c r="S211" t="inlineStr">
        <is>
          <t>Код и название; метка группы добавлена</t>
        </is>
      </c>
      <c r="T211" t="inlineStr">
        <is>
          <t>Классификатор по способам 2024 V10, лист УШГН</t>
        </is>
      </c>
      <c r="U211" t="inlineStr">
        <is>
          <t>Лист УШГН; код 2.6</t>
        </is>
      </c>
      <c r="V211" t="inlineStr">
        <is>
          <t>ШГН/ШВН</t>
        </is>
      </c>
      <c r="DB211">
        <f>IF('История отказов'!AH214="","",'История отказов'!AH214)</f>
        <v/>
      </c>
      <c r="DC211">
        <f>IF('История отказов'!AE214="","",IF(AND(COUNTIF($CT$2:$CT$2,'История отказов'!AE214)=0,COUNTIFS('История отказов'!$F$5:F214,"ШГН",'История отказов'!$AE$5:AE214,'История отказов'!AE214)=1,'История отказов'!F214="ШГН"),210,""))</f>
        <v/>
      </c>
      <c r="DD211">
        <f>IF('История отказов'!AE214="","",IF(AND(COUNTIF($CU$2:$CU$3,'История отказов'!AE214)=0,COUNTIFS('История отказов'!$F$5:F214,"ЭЦН",'История отказов'!$AE$5:AE214,'История отказов'!AE214)=1,'История отказов'!F214="ЭЦН"),210,""))</f>
        <v/>
      </c>
      <c r="DE211">
        <f>IF('История отказов'!AE214="","",IF(AND(COUNTIF($CV$2:$CV$3,'История отказов'!AE214)=0,COUNTIFS('История отказов'!$F$5:F214,"ЭВН",'История отказов'!$AE$5:AE214,'История отказов'!AE214)=1,'История отказов'!F214="ЭВН"),210,""))</f>
        <v/>
      </c>
      <c r="DF211">
        <f>IF('История отказов'!AE214="","",IF(AND(COUNTIF($CX$2:$CX$2,'История отказов'!AE214)=0,COUNTIFS('История отказов'!$F$5:F214,"ШВН",'История отказов'!$AE$5:AE214,'История отказов'!AE214)=1,'История отказов'!F214="ШВН"),210,""))</f>
        <v/>
      </c>
      <c r="DG211">
        <f>IF('История отказов'!AE214="","",IF(AND(COUNTIF($CW$2:$CW$2,'История отказов'!AE214)=0,COUNTIFS('История отказов'!$F$5:F214,"НПУ-ВД",'История отказов'!$AE$5:AE214,'История отказов'!AE214)=1,'История отказов'!F214="НПУ-ВД"),210,""))</f>
        <v/>
      </c>
      <c r="DH211">
        <f>IF('История отказов'!AE214="","",IF(AND(COUNTIF($CY$2:$CY$6,'История отказов'!AE214)=0,COUNTIF('История отказов'!$AE$5:AE214,'История отказов'!AE214)=1),210,""))</f>
        <v/>
      </c>
      <c r="DI211">
        <f>IF('История отказов'!AK214="","",IF(AND(COUNTIF($CL$2:$CL$3,'История отказов'!AK214)=0,COUNTIF('История отказов'!$AK$5:AK214,'История отказов'!AK214)=1),210,""))</f>
        <v/>
      </c>
      <c r="DJ211">
        <f>IF('История отказов'!AU214="","",IF(AND(COUNTIF($CP$2:$CP$3,'История отказов'!AU214)=0,COUNTIF('История отказов'!$AU$5:AU214,'История отказов'!AU214)=1),210,""))</f>
        <v/>
      </c>
      <c r="DK211">
        <f>IF('История отказов'!AY214="","",IF(AND(COUNTIF($CR$2:$CR$2,'История отказов'!AY214)=0,COUNTIF('История отказов'!$AY$5:AY214,'История отказов'!AY214)=1),210,""))</f>
        <v/>
      </c>
      <c r="DL211">
        <f>IF(DB211="","",IF(AND(COUNTIF($DA$2:$DA$47,DB211)=0,COUNTIF($DB$2:DB211,DB211)=1),210,""))</f>
        <v/>
      </c>
    </row>
    <row r="212">
      <c r="A212" s="74" t="n"/>
      <c r="B212" s="75" t="n"/>
      <c r="C212" s="75" t="n"/>
      <c r="D212" s="75" t="n"/>
      <c r="E212" s="75" t="n"/>
      <c r="F212" s="75" t="n"/>
      <c r="G212" s="76" t="n"/>
      <c r="J212" s="62" t="n"/>
      <c r="K212" s="62" t="n"/>
      <c r="L212" s="62" t="n"/>
      <c r="M212" s="62" t="n"/>
      <c r="N212" s="62" t="n"/>
      <c r="Q212" t="inlineStr">
        <is>
          <t>Предварительная / итоговая причина</t>
        </is>
      </c>
      <c r="R212" t="inlineStr">
        <is>
          <t>2.7 — Организационные причины КРС [УШГН]</t>
        </is>
      </c>
      <c r="S212" t="inlineStr">
        <is>
          <t>Код и название; метка группы добавлена</t>
        </is>
      </c>
      <c r="T212" t="inlineStr">
        <is>
          <t>Классификатор по способам 2024 V10, лист УШГН</t>
        </is>
      </c>
      <c r="U212" t="inlineStr">
        <is>
          <t>Лист УШГН; код 2.7</t>
        </is>
      </c>
      <c r="V212" t="inlineStr">
        <is>
          <t>ШГН/ШВН</t>
        </is>
      </c>
      <c r="DB212">
        <f>IF('История отказов'!AH215="","",'История отказов'!AH215)</f>
        <v/>
      </c>
      <c r="DC212">
        <f>IF('История отказов'!AE215="","",IF(AND(COUNTIF($CT$2:$CT$2,'История отказов'!AE215)=0,COUNTIFS('История отказов'!$F$5:F215,"ШГН",'История отказов'!$AE$5:AE215,'История отказов'!AE215)=1,'История отказов'!F215="ШГН"),211,""))</f>
        <v/>
      </c>
      <c r="DD212">
        <f>IF('История отказов'!AE215="","",IF(AND(COUNTIF($CU$2:$CU$3,'История отказов'!AE215)=0,COUNTIFS('История отказов'!$F$5:F215,"ЭЦН",'История отказов'!$AE$5:AE215,'История отказов'!AE215)=1,'История отказов'!F215="ЭЦН"),211,""))</f>
        <v/>
      </c>
      <c r="DE212">
        <f>IF('История отказов'!AE215="","",IF(AND(COUNTIF($CV$2:$CV$3,'История отказов'!AE215)=0,COUNTIFS('История отказов'!$F$5:F215,"ЭВН",'История отказов'!$AE$5:AE215,'История отказов'!AE215)=1,'История отказов'!F215="ЭВН"),211,""))</f>
        <v/>
      </c>
      <c r="DF212">
        <f>IF('История отказов'!AE215="","",IF(AND(COUNTIF($CX$2:$CX$2,'История отказов'!AE215)=0,COUNTIFS('История отказов'!$F$5:F215,"ШВН",'История отказов'!$AE$5:AE215,'История отказов'!AE215)=1,'История отказов'!F215="ШВН"),211,""))</f>
        <v/>
      </c>
      <c r="DG212">
        <f>IF('История отказов'!AE215="","",IF(AND(COUNTIF($CW$2:$CW$2,'История отказов'!AE215)=0,COUNTIFS('История отказов'!$F$5:F215,"НПУ-ВД",'История отказов'!$AE$5:AE215,'История отказов'!AE215)=1,'История отказов'!F215="НПУ-ВД"),211,""))</f>
        <v/>
      </c>
      <c r="DH212">
        <f>IF('История отказов'!AE215="","",IF(AND(COUNTIF($CY$2:$CY$6,'История отказов'!AE215)=0,COUNTIF('История отказов'!$AE$5:AE215,'История отказов'!AE215)=1),211,""))</f>
        <v/>
      </c>
      <c r="DI212">
        <f>IF('История отказов'!AK215="","",IF(AND(COUNTIF($CL$2:$CL$3,'История отказов'!AK215)=0,COUNTIF('История отказов'!$AK$5:AK215,'История отказов'!AK215)=1),211,""))</f>
        <v/>
      </c>
      <c r="DJ212">
        <f>IF('История отказов'!AU215="","",IF(AND(COUNTIF($CP$2:$CP$3,'История отказов'!AU215)=0,COUNTIF('История отказов'!$AU$5:AU215,'История отказов'!AU215)=1),211,""))</f>
        <v/>
      </c>
      <c r="DK212">
        <f>IF('История отказов'!AY215="","",IF(AND(COUNTIF($CR$2:$CR$2,'История отказов'!AY215)=0,COUNTIF('История отказов'!$AY$5:AY215,'История отказов'!AY215)=1),211,""))</f>
        <v/>
      </c>
      <c r="DL212">
        <f>IF(DB212="","",IF(AND(COUNTIF($DA$2:$DA$47,DB212)=0,COUNTIF($DB$2:DB212,DB212)=1),211,""))</f>
        <v/>
      </c>
    </row>
    <row r="213">
      <c r="A213" s="74" t="n"/>
      <c r="B213" s="75" t="n"/>
      <c r="C213" s="75" t="n"/>
      <c r="D213" s="75" t="n"/>
      <c r="E213" s="75" t="n"/>
      <c r="F213" s="75" t="n"/>
      <c r="G213" s="76" t="n"/>
      <c r="J213" s="62" t="n"/>
      <c r="K213" s="62" t="n"/>
      <c r="L213" s="62" t="n"/>
      <c r="M213" s="62" t="n"/>
      <c r="N213" s="62" t="n"/>
      <c r="Q213" t="inlineStr">
        <is>
          <t>Предварительная / итоговая причина</t>
        </is>
      </c>
      <c r="R213" t="inlineStr">
        <is>
          <t>3.1 — Неправильный подбор ГНО [УШГН]</t>
        </is>
      </c>
      <c r="S213" t="inlineStr">
        <is>
          <t>Код и название; метка группы добавлена</t>
        </is>
      </c>
      <c r="T213" t="inlineStr">
        <is>
          <t>Классификатор по способам 2024 V10, лист УШГН</t>
        </is>
      </c>
      <c r="U213" t="inlineStr">
        <is>
          <t>Лист УШГН; код 3.1</t>
        </is>
      </c>
      <c r="V213" t="inlineStr">
        <is>
          <t>ШГН/ШВН</t>
        </is>
      </c>
      <c r="DB213">
        <f>IF('История отказов'!AH216="","",'История отказов'!AH216)</f>
        <v/>
      </c>
      <c r="DC213">
        <f>IF('История отказов'!AE216="","",IF(AND(COUNTIF($CT$2:$CT$2,'История отказов'!AE216)=0,COUNTIFS('История отказов'!$F$5:F216,"ШГН",'История отказов'!$AE$5:AE216,'История отказов'!AE216)=1,'История отказов'!F216="ШГН"),212,""))</f>
        <v/>
      </c>
      <c r="DD213">
        <f>IF('История отказов'!AE216="","",IF(AND(COUNTIF($CU$2:$CU$3,'История отказов'!AE216)=0,COUNTIFS('История отказов'!$F$5:F216,"ЭЦН",'История отказов'!$AE$5:AE216,'История отказов'!AE216)=1,'История отказов'!F216="ЭЦН"),212,""))</f>
        <v/>
      </c>
      <c r="DE213">
        <f>IF('История отказов'!AE216="","",IF(AND(COUNTIF($CV$2:$CV$3,'История отказов'!AE216)=0,COUNTIFS('История отказов'!$F$5:F216,"ЭВН",'История отказов'!$AE$5:AE216,'История отказов'!AE216)=1,'История отказов'!F216="ЭВН"),212,""))</f>
        <v/>
      </c>
      <c r="DF213">
        <f>IF('История отказов'!AE216="","",IF(AND(COUNTIF($CX$2:$CX$2,'История отказов'!AE216)=0,COUNTIFS('История отказов'!$F$5:F216,"ШВН",'История отказов'!$AE$5:AE216,'История отказов'!AE216)=1,'История отказов'!F216="ШВН"),212,""))</f>
        <v/>
      </c>
      <c r="DG213">
        <f>IF('История отказов'!AE216="","",IF(AND(COUNTIF($CW$2:$CW$2,'История отказов'!AE216)=0,COUNTIFS('История отказов'!$F$5:F216,"НПУ-ВД",'История отказов'!$AE$5:AE216,'История отказов'!AE216)=1,'История отказов'!F216="НПУ-ВД"),212,""))</f>
        <v/>
      </c>
      <c r="DH213">
        <f>IF('История отказов'!AE216="","",IF(AND(COUNTIF($CY$2:$CY$6,'История отказов'!AE216)=0,COUNTIF('История отказов'!$AE$5:AE216,'История отказов'!AE216)=1),212,""))</f>
        <v/>
      </c>
      <c r="DI213">
        <f>IF('История отказов'!AK216="","",IF(AND(COUNTIF($CL$2:$CL$3,'История отказов'!AK216)=0,COUNTIF('История отказов'!$AK$5:AK216,'История отказов'!AK216)=1),212,""))</f>
        <v/>
      </c>
      <c r="DJ213">
        <f>IF('История отказов'!AU216="","",IF(AND(COUNTIF($CP$2:$CP$3,'История отказов'!AU216)=0,COUNTIF('История отказов'!$AU$5:AU216,'История отказов'!AU216)=1),212,""))</f>
        <v/>
      </c>
      <c r="DK213">
        <f>IF('История отказов'!AY216="","",IF(AND(COUNTIF($CR$2:$CR$2,'История отказов'!AY216)=0,COUNTIF('История отказов'!$AY$5:AY216,'История отказов'!AY216)=1),212,""))</f>
        <v/>
      </c>
      <c r="DL213">
        <f>IF(DB213="","",IF(AND(COUNTIF($DA$2:$DA$47,DB213)=0,COUNTIF($DB$2:DB213,DB213)=1),212,""))</f>
        <v/>
      </c>
    </row>
    <row r="214">
      <c r="A214" s="74" t="n"/>
      <c r="B214" s="75" t="n"/>
      <c r="C214" s="75" t="n"/>
      <c r="D214" s="75" t="n"/>
      <c r="E214" s="75" t="n"/>
      <c r="F214" s="75" t="n"/>
      <c r="G214" s="76" t="n"/>
      <c r="J214" s="62" t="n"/>
      <c r="K214" s="62" t="n"/>
      <c r="L214" s="62" t="n"/>
      <c r="M214" s="62" t="n"/>
      <c r="N214" s="62" t="n"/>
      <c r="Q214" t="inlineStr">
        <is>
          <t>Предварительная / итоговая причина</t>
        </is>
      </c>
      <c r="R214" t="inlineStr">
        <is>
          <t>3.2 — Некачественный вывод на режим [УШГН]</t>
        </is>
      </c>
      <c r="S214" t="inlineStr">
        <is>
          <t>Код и название; метка группы добавлена</t>
        </is>
      </c>
      <c r="T214" t="inlineStr">
        <is>
          <t>Классификатор по способам 2024 V10, лист УШГН</t>
        </is>
      </c>
      <c r="U214" t="inlineStr">
        <is>
          <t>Лист УШГН; код 3.2</t>
        </is>
      </c>
      <c r="V214" t="inlineStr">
        <is>
          <t>ШГН/ШВН</t>
        </is>
      </c>
      <c r="DB214">
        <f>IF('История отказов'!AH217="","",'История отказов'!AH217)</f>
        <v/>
      </c>
      <c r="DC214">
        <f>IF('История отказов'!AE217="","",IF(AND(COUNTIF($CT$2:$CT$2,'История отказов'!AE217)=0,COUNTIFS('История отказов'!$F$5:F217,"ШГН",'История отказов'!$AE$5:AE217,'История отказов'!AE217)=1,'История отказов'!F217="ШГН"),213,""))</f>
        <v/>
      </c>
      <c r="DD214">
        <f>IF('История отказов'!AE217="","",IF(AND(COUNTIF($CU$2:$CU$3,'История отказов'!AE217)=0,COUNTIFS('История отказов'!$F$5:F217,"ЭЦН",'История отказов'!$AE$5:AE217,'История отказов'!AE217)=1,'История отказов'!F217="ЭЦН"),213,""))</f>
        <v/>
      </c>
      <c r="DE214">
        <f>IF('История отказов'!AE217="","",IF(AND(COUNTIF($CV$2:$CV$3,'История отказов'!AE217)=0,COUNTIFS('История отказов'!$F$5:F217,"ЭВН",'История отказов'!$AE$5:AE217,'История отказов'!AE217)=1,'История отказов'!F217="ЭВН"),213,""))</f>
        <v/>
      </c>
      <c r="DF214">
        <f>IF('История отказов'!AE217="","",IF(AND(COUNTIF($CX$2:$CX$2,'История отказов'!AE217)=0,COUNTIFS('История отказов'!$F$5:F217,"ШВН",'История отказов'!$AE$5:AE217,'История отказов'!AE217)=1,'История отказов'!F217="ШВН"),213,""))</f>
        <v/>
      </c>
      <c r="DG214">
        <f>IF('История отказов'!AE217="","",IF(AND(COUNTIF($CW$2:$CW$2,'История отказов'!AE217)=0,COUNTIFS('История отказов'!$F$5:F217,"НПУ-ВД",'История отказов'!$AE$5:AE217,'История отказов'!AE217)=1,'История отказов'!F217="НПУ-ВД"),213,""))</f>
        <v/>
      </c>
      <c r="DH214">
        <f>IF('История отказов'!AE217="","",IF(AND(COUNTIF($CY$2:$CY$6,'История отказов'!AE217)=0,COUNTIF('История отказов'!$AE$5:AE217,'История отказов'!AE217)=1),213,""))</f>
        <v/>
      </c>
      <c r="DI214">
        <f>IF('История отказов'!AK217="","",IF(AND(COUNTIF($CL$2:$CL$3,'История отказов'!AK217)=0,COUNTIF('История отказов'!$AK$5:AK217,'История отказов'!AK217)=1),213,""))</f>
        <v/>
      </c>
      <c r="DJ214">
        <f>IF('История отказов'!AU217="","",IF(AND(COUNTIF($CP$2:$CP$3,'История отказов'!AU217)=0,COUNTIF('История отказов'!$AU$5:AU217,'История отказов'!AU217)=1),213,""))</f>
        <v/>
      </c>
      <c r="DK214">
        <f>IF('История отказов'!AY217="","",IF(AND(COUNTIF($CR$2:$CR$2,'История отказов'!AY217)=0,COUNTIF('История отказов'!$AY$5:AY217,'История отказов'!AY217)=1),213,""))</f>
        <v/>
      </c>
      <c r="DL214">
        <f>IF(DB214="","",IF(AND(COUNTIF($DA$2:$DA$47,DB214)=0,COUNTIF($DB$2:DB214,DB214)=1),213,""))</f>
        <v/>
      </c>
    </row>
    <row r="215">
      <c r="A215" s="74" t="n"/>
      <c r="B215" s="75" t="n"/>
      <c r="C215" s="75" t="n"/>
      <c r="D215" s="75" t="n"/>
      <c r="E215" s="75" t="n"/>
      <c r="F215" s="75" t="n"/>
      <c r="G215" s="76" t="n"/>
      <c r="J215" s="62" t="n"/>
      <c r="K215" s="62" t="n"/>
      <c r="L215" s="62" t="n"/>
      <c r="M215" s="62" t="n"/>
      <c r="N215" s="62" t="n"/>
      <c r="Q215" t="inlineStr">
        <is>
          <t>Предварительная / итоговая причина</t>
        </is>
      </c>
      <c r="R215" t="inlineStr">
        <is>
          <t>3.3 — Бесконтрольная эксплуатация [УШГН]</t>
        </is>
      </c>
      <c r="S215" t="inlineStr">
        <is>
          <t>Код и название; метка группы добавлена</t>
        </is>
      </c>
      <c r="T215" t="inlineStr">
        <is>
          <t>Классификатор по способам 2024 V10, лист УШГН</t>
        </is>
      </c>
      <c r="U215" t="inlineStr">
        <is>
          <t>Лист УШГН; код 3.3</t>
        </is>
      </c>
      <c r="V215" t="inlineStr">
        <is>
          <t>ШГН/ШВН</t>
        </is>
      </c>
      <c r="DB215">
        <f>IF('История отказов'!AH218="","",'История отказов'!AH218)</f>
        <v/>
      </c>
      <c r="DC215">
        <f>IF('История отказов'!AE218="","",IF(AND(COUNTIF($CT$2:$CT$2,'История отказов'!AE218)=0,COUNTIFS('История отказов'!$F$5:F218,"ШГН",'История отказов'!$AE$5:AE218,'История отказов'!AE218)=1,'История отказов'!F218="ШГН"),214,""))</f>
        <v/>
      </c>
      <c r="DD215">
        <f>IF('История отказов'!AE218="","",IF(AND(COUNTIF($CU$2:$CU$3,'История отказов'!AE218)=0,COUNTIFS('История отказов'!$F$5:F218,"ЭЦН",'История отказов'!$AE$5:AE218,'История отказов'!AE218)=1,'История отказов'!F218="ЭЦН"),214,""))</f>
        <v/>
      </c>
      <c r="DE215">
        <f>IF('История отказов'!AE218="","",IF(AND(COUNTIF($CV$2:$CV$3,'История отказов'!AE218)=0,COUNTIFS('История отказов'!$F$5:F218,"ЭВН",'История отказов'!$AE$5:AE218,'История отказов'!AE218)=1,'История отказов'!F218="ЭВН"),214,""))</f>
        <v/>
      </c>
      <c r="DF215">
        <f>IF('История отказов'!AE218="","",IF(AND(COUNTIF($CX$2:$CX$2,'История отказов'!AE218)=0,COUNTIFS('История отказов'!$F$5:F218,"ШВН",'История отказов'!$AE$5:AE218,'История отказов'!AE218)=1,'История отказов'!F218="ШВН"),214,""))</f>
        <v/>
      </c>
      <c r="DG215">
        <f>IF('История отказов'!AE218="","",IF(AND(COUNTIF($CW$2:$CW$2,'История отказов'!AE218)=0,COUNTIFS('История отказов'!$F$5:F218,"НПУ-ВД",'История отказов'!$AE$5:AE218,'История отказов'!AE218)=1,'История отказов'!F218="НПУ-ВД"),214,""))</f>
        <v/>
      </c>
      <c r="DH215">
        <f>IF('История отказов'!AE218="","",IF(AND(COUNTIF($CY$2:$CY$6,'История отказов'!AE218)=0,COUNTIF('История отказов'!$AE$5:AE218,'История отказов'!AE218)=1),214,""))</f>
        <v/>
      </c>
      <c r="DI215">
        <f>IF('История отказов'!AK218="","",IF(AND(COUNTIF($CL$2:$CL$3,'История отказов'!AK218)=0,COUNTIF('История отказов'!$AK$5:AK218,'История отказов'!AK218)=1),214,""))</f>
        <v/>
      </c>
      <c r="DJ215">
        <f>IF('История отказов'!AU218="","",IF(AND(COUNTIF($CP$2:$CP$3,'История отказов'!AU218)=0,COUNTIF('История отказов'!$AU$5:AU218,'История отказов'!AU218)=1),214,""))</f>
        <v/>
      </c>
      <c r="DK215">
        <f>IF('История отказов'!AY218="","",IF(AND(COUNTIF($CR$2:$CR$2,'История отказов'!AY218)=0,COUNTIF('История отказов'!$AY$5:AY218,'История отказов'!AY218)=1),214,""))</f>
        <v/>
      </c>
      <c r="DL215">
        <f>IF(DB215="","",IF(AND(COUNTIF($DA$2:$DA$47,DB215)=0,COUNTIF($DB$2:DB215,DB215)=1),214,""))</f>
        <v/>
      </c>
    </row>
    <row r="216">
      <c r="A216" s="74" t="n"/>
      <c r="B216" s="75" t="n"/>
      <c r="C216" s="75" t="n"/>
      <c r="D216" s="75" t="n"/>
      <c r="E216" s="75" t="n"/>
      <c r="F216" s="75" t="n"/>
      <c r="G216" s="76" t="n"/>
      <c r="J216" s="62" t="n"/>
      <c r="K216" s="62" t="n"/>
      <c r="L216" s="62" t="n"/>
      <c r="M216" s="62" t="n"/>
      <c r="N216" s="62" t="n"/>
      <c r="Q216" t="inlineStr">
        <is>
          <t>Предварительная / итоговая причина</t>
        </is>
      </c>
      <c r="R216" t="inlineStr">
        <is>
          <t>3.4 — Необоснованный подъем ГНО [УШГН]</t>
        </is>
      </c>
      <c r="S216" t="inlineStr">
        <is>
          <t>Код и название; метка группы добавлена</t>
        </is>
      </c>
      <c r="T216" t="inlineStr">
        <is>
          <t>Классификатор по способам 2024 V10, лист УШГН</t>
        </is>
      </c>
      <c r="U216" t="inlineStr">
        <is>
          <t>Лист УШГН; код 3.4</t>
        </is>
      </c>
      <c r="V216" t="inlineStr">
        <is>
          <t>ШГН/ШВН</t>
        </is>
      </c>
      <c r="DB216">
        <f>IF('История отказов'!AH219="","",'История отказов'!AH219)</f>
        <v/>
      </c>
      <c r="DC216">
        <f>IF('История отказов'!AE219="","",IF(AND(COUNTIF($CT$2:$CT$2,'История отказов'!AE219)=0,COUNTIFS('История отказов'!$F$5:F219,"ШГН",'История отказов'!$AE$5:AE219,'История отказов'!AE219)=1,'История отказов'!F219="ШГН"),215,""))</f>
        <v/>
      </c>
      <c r="DD216">
        <f>IF('История отказов'!AE219="","",IF(AND(COUNTIF($CU$2:$CU$3,'История отказов'!AE219)=0,COUNTIFS('История отказов'!$F$5:F219,"ЭЦН",'История отказов'!$AE$5:AE219,'История отказов'!AE219)=1,'История отказов'!F219="ЭЦН"),215,""))</f>
        <v/>
      </c>
      <c r="DE216">
        <f>IF('История отказов'!AE219="","",IF(AND(COUNTIF($CV$2:$CV$3,'История отказов'!AE219)=0,COUNTIFS('История отказов'!$F$5:F219,"ЭВН",'История отказов'!$AE$5:AE219,'История отказов'!AE219)=1,'История отказов'!F219="ЭВН"),215,""))</f>
        <v/>
      </c>
      <c r="DF216">
        <f>IF('История отказов'!AE219="","",IF(AND(COUNTIF($CX$2:$CX$2,'История отказов'!AE219)=0,COUNTIFS('История отказов'!$F$5:F219,"ШВН",'История отказов'!$AE$5:AE219,'История отказов'!AE219)=1,'История отказов'!F219="ШВН"),215,""))</f>
        <v/>
      </c>
      <c r="DG216">
        <f>IF('История отказов'!AE219="","",IF(AND(COUNTIF($CW$2:$CW$2,'История отказов'!AE219)=0,COUNTIFS('История отказов'!$F$5:F219,"НПУ-ВД",'История отказов'!$AE$5:AE219,'История отказов'!AE219)=1,'История отказов'!F219="НПУ-ВД"),215,""))</f>
        <v/>
      </c>
      <c r="DH216">
        <f>IF('История отказов'!AE219="","",IF(AND(COUNTIF($CY$2:$CY$6,'История отказов'!AE219)=0,COUNTIF('История отказов'!$AE$5:AE219,'История отказов'!AE219)=1),215,""))</f>
        <v/>
      </c>
      <c r="DI216">
        <f>IF('История отказов'!AK219="","",IF(AND(COUNTIF($CL$2:$CL$3,'История отказов'!AK219)=0,COUNTIF('История отказов'!$AK$5:AK219,'История отказов'!AK219)=1),215,""))</f>
        <v/>
      </c>
      <c r="DJ216">
        <f>IF('История отказов'!AU219="","",IF(AND(COUNTIF($CP$2:$CP$3,'История отказов'!AU219)=0,COUNTIF('История отказов'!$AU$5:AU219,'История отказов'!AU219)=1),215,""))</f>
        <v/>
      </c>
      <c r="DK216">
        <f>IF('История отказов'!AY219="","",IF(AND(COUNTIF($CR$2:$CR$2,'История отказов'!AY219)=0,COUNTIF('История отказов'!$AY$5:AY219,'История отказов'!AY219)=1),215,""))</f>
        <v/>
      </c>
      <c r="DL216">
        <f>IF(DB216="","",IF(AND(COUNTIF($DA$2:$DA$47,DB216)=0,COUNTIF($DB$2:DB216,DB216)=1),215,""))</f>
        <v/>
      </c>
    </row>
    <row r="217">
      <c r="A217" s="74" t="n"/>
      <c r="B217" s="75" t="n"/>
      <c r="C217" s="75" t="n"/>
      <c r="D217" s="75" t="n"/>
      <c r="E217" s="75" t="n"/>
      <c r="F217" s="75" t="n"/>
      <c r="G217" s="76" t="n"/>
      <c r="J217" s="62" t="n"/>
      <c r="K217" s="62" t="n"/>
      <c r="L217" s="62" t="n"/>
      <c r="M217" s="62" t="n"/>
      <c r="N217" s="62" t="n"/>
      <c r="Q217" t="inlineStr">
        <is>
          <t>Предварительная / итоговая причина</t>
        </is>
      </c>
      <c r="R217" t="inlineStr">
        <is>
          <t>3.5 — Гидратопарафиноотложения [УШГН]</t>
        </is>
      </c>
      <c r="S217" t="inlineStr">
        <is>
          <t>Код и название; метка группы добавлена</t>
        </is>
      </c>
      <c r="T217" t="inlineStr">
        <is>
          <t>Классификатор по способам 2024 V10, лист УШГН</t>
        </is>
      </c>
      <c r="U217" t="inlineStr">
        <is>
          <t>Лист УШГН; код 3.5</t>
        </is>
      </c>
      <c r="V217" t="inlineStr">
        <is>
          <t>ШГН/ШВН</t>
        </is>
      </c>
      <c r="DB217">
        <f>IF('История отказов'!AH220="","",'История отказов'!AH220)</f>
        <v/>
      </c>
      <c r="DC217">
        <f>IF('История отказов'!AE220="","",IF(AND(COUNTIF($CT$2:$CT$2,'История отказов'!AE220)=0,COUNTIFS('История отказов'!$F$5:F220,"ШГН",'История отказов'!$AE$5:AE220,'История отказов'!AE220)=1,'История отказов'!F220="ШГН"),216,""))</f>
        <v/>
      </c>
      <c r="DD217">
        <f>IF('История отказов'!AE220="","",IF(AND(COUNTIF($CU$2:$CU$3,'История отказов'!AE220)=0,COUNTIFS('История отказов'!$F$5:F220,"ЭЦН",'История отказов'!$AE$5:AE220,'История отказов'!AE220)=1,'История отказов'!F220="ЭЦН"),216,""))</f>
        <v/>
      </c>
      <c r="DE217">
        <f>IF('История отказов'!AE220="","",IF(AND(COUNTIF($CV$2:$CV$3,'История отказов'!AE220)=0,COUNTIFS('История отказов'!$F$5:F220,"ЭВН",'История отказов'!$AE$5:AE220,'История отказов'!AE220)=1,'История отказов'!F220="ЭВН"),216,""))</f>
        <v/>
      </c>
      <c r="DF217">
        <f>IF('История отказов'!AE220="","",IF(AND(COUNTIF($CX$2:$CX$2,'История отказов'!AE220)=0,COUNTIFS('История отказов'!$F$5:F220,"ШВН",'История отказов'!$AE$5:AE220,'История отказов'!AE220)=1,'История отказов'!F220="ШВН"),216,""))</f>
        <v/>
      </c>
      <c r="DG217">
        <f>IF('История отказов'!AE220="","",IF(AND(COUNTIF($CW$2:$CW$2,'История отказов'!AE220)=0,COUNTIFS('История отказов'!$F$5:F220,"НПУ-ВД",'История отказов'!$AE$5:AE220,'История отказов'!AE220)=1,'История отказов'!F220="НПУ-ВД"),216,""))</f>
        <v/>
      </c>
      <c r="DH217">
        <f>IF('История отказов'!AE220="","",IF(AND(COUNTIF($CY$2:$CY$6,'История отказов'!AE220)=0,COUNTIF('История отказов'!$AE$5:AE220,'История отказов'!AE220)=1),216,""))</f>
        <v/>
      </c>
      <c r="DI217">
        <f>IF('История отказов'!AK220="","",IF(AND(COUNTIF($CL$2:$CL$3,'История отказов'!AK220)=0,COUNTIF('История отказов'!$AK$5:AK220,'История отказов'!AK220)=1),216,""))</f>
        <v/>
      </c>
      <c r="DJ217">
        <f>IF('История отказов'!AU220="","",IF(AND(COUNTIF($CP$2:$CP$3,'История отказов'!AU220)=0,COUNTIF('История отказов'!$AU$5:AU220,'История отказов'!AU220)=1),216,""))</f>
        <v/>
      </c>
      <c r="DK217">
        <f>IF('История отказов'!AY220="","",IF(AND(COUNTIF($CR$2:$CR$2,'История отказов'!AY220)=0,COUNTIF('История отказов'!$AY$5:AY220,'История отказов'!AY220)=1),216,""))</f>
        <v/>
      </c>
      <c r="DL217">
        <f>IF(DB217="","",IF(AND(COUNTIF($DA$2:$DA$47,DB217)=0,COUNTIF($DB$2:DB217,DB217)=1),216,""))</f>
        <v/>
      </c>
    </row>
    <row r="218">
      <c r="A218" s="74" t="n"/>
      <c r="B218" s="75" t="n"/>
      <c r="C218" s="75" t="n"/>
      <c r="D218" s="75" t="n"/>
      <c r="E218" s="75" t="n"/>
      <c r="F218" s="75" t="n"/>
      <c r="G218" s="76" t="n"/>
      <c r="J218" s="62" t="n"/>
      <c r="K218" s="62" t="n"/>
      <c r="L218" s="62" t="n"/>
      <c r="M218" s="62" t="n"/>
      <c r="N218" s="62" t="n"/>
      <c r="Q218" t="inlineStr">
        <is>
          <t>Предварительная / итоговая причина</t>
        </is>
      </c>
      <c r="R218" t="inlineStr">
        <is>
          <t>3.6 — Солеотложения [УШГН]</t>
        </is>
      </c>
      <c r="S218" t="inlineStr">
        <is>
          <t>Код и название; метка группы добавлена</t>
        </is>
      </c>
      <c r="T218" t="inlineStr">
        <is>
          <t>Классификатор по способам 2024 V10, лист УШГН</t>
        </is>
      </c>
      <c r="U218" t="inlineStr">
        <is>
          <t>Лист УШГН; код 3.6</t>
        </is>
      </c>
      <c r="V218" t="inlineStr">
        <is>
          <t>ШГН/ШВН</t>
        </is>
      </c>
      <c r="DB218">
        <f>IF('История отказов'!AH221="","",'История отказов'!AH221)</f>
        <v/>
      </c>
      <c r="DC218">
        <f>IF('История отказов'!AE221="","",IF(AND(COUNTIF($CT$2:$CT$2,'История отказов'!AE221)=0,COUNTIFS('История отказов'!$F$5:F221,"ШГН",'История отказов'!$AE$5:AE221,'История отказов'!AE221)=1,'История отказов'!F221="ШГН"),217,""))</f>
        <v/>
      </c>
      <c r="DD218">
        <f>IF('История отказов'!AE221="","",IF(AND(COUNTIF($CU$2:$CU$3,'История отказов'!AE221)=0,COUNTIFS('История отказов'!$F$5:F221,"ЭЦН",'История отказов'!$AE$5:AE221,'История отказов'!AE221)=1,'История отказов'!F221="ЭЦН"),217,""))</f>
        <v/>
      </c>
      <c r="DE218">
        <f>IF('История отказов'!AE221="","",IF(AND(COUNTIF($CV$2:$CV$3,'История отказов'!AE221)=0,COUNTIFS('История отказов'!$F$5:F221,"ЭВН",'История отказов'!$AE$5:AE221,'История отказов'!AE221)=1,'История отказов'!F221="ЭВН"),217,""))</f>
        <v/>
      </c>
      <c r="DF218">
        <f>IF('История отказов'!AE221="","",IF(AND(COUNTIF($CX$2:$CX$2,'История отказов'!AE221)=0,COUNTIFS('История отказов'!$F$5:F221,"ШВН",'История отказов'!$AE$5:AE221,'История отказов'!AE221)=1,'История отказов'!F221="ШВН"),217,""))</f>
        <v/>
      </c>
      <c r="DG218">
        <f>IF('История отказов'!AE221="","",IF(AND(COUNTIF($CW$2:$CW$2,'История отказов'!AE221)=0,COUNTIFS('История отказов'!$F$5:F221,"НПУ-ВД",'История отказов'!$AE$5:AE221,'История отказов'!AE221)=1,'История отказов'!F221="НПУ-ВД"),217,""))</f>
        <v/>
      </c>
      <c r="DH218">
        <f>IF('История отказов'!AE221="","",IF(AND(COUNTIF($CY$2:$CY$6,'История отказов'!AE221)=0,COUNTIF('История отказов'!$AE$5:AE221,'История отказов'!AE221)=1),217,""))</f>
        <v/>
      </c>
      <c r="DI218">
        <f>IF('История отказов'!AK221="","",IF(AND(COUNTIF($CL$2:$CL$3,'История отказов'!AK221)=0,COUNTIF('История отказов'!$AK$5:AK221,'История отказов'!AK221)=1),217,""))</f>
        <v/>
      </c>
      <c r="DJ218">
        <f>IF('История отказов'!AU221="","",IF(AND(COUNTIF($CP$2:$CP$3,'История отказов'!AU221)=0,COUNTIF('История отказов'!$AU$5:AU221,'История отказов'!AU221)=1),217,""))</f>
        <v/>
      </c>
      <c r="DK218">
        <f>IF('История отказов'!AY221="","",IF(AND(COUNTIF($CR$2:$CR$2,'История отказов'!AY221)=0,COUNTIF('История отказов'!$AY$5:AY221,'История отказов'!AY221)=1),217,""))</f>
        <v/>
      </c>
      <c r="DL218">
        <f>IF(DB218="","",IF(AND(COUNTIF($DA$2:$DA$47,DB218)=0,COUNTIF($DB$2:DB218,DB218)=1),217,""))</f>
        <v/>
      </c>
    </row>
    <row r="219">
      <c r="A219" s="74" t="n"/>
      <c r="B219" s="75" t="n"/>
      <c r="C219" s="75" t="n"/>
      <c r="D219" s="75" t="n"/>
      <c r="E219" s="75" t="n"/>
      <c r="F219" s="75" t="n"/>
      <c r="G219" s="76" t="n"/>
      <c r="J219" s="62" t="n"/>
      <c r="K219" s="62" t="n"/>
      <c r="L219" s="62" t="n"/>
      <c r="M219" s="62" t="n"/>
      <c r="N219" s="62" t="n"/>
      <c r="Q219" t="inlineStr">
        <is>
          <t>Предварительная / итоговая причина</t>
        </is>
      </c>
      <c r="R219" t="inlineStr">
        <is>
          <t>3.7 — Коррозия насоса и его элементов [УШГН]</t>
        </is>
      </c>
      <c r="S219" t="inlineStr">
        <is>
          <t>Код и название; метка группы добавлена</t>
        </is>
      </c>
      <c r="T219" t="inlineStr">
        <is>
          <t>Классификатор по способам 2024 V10, лист УШГН</t>
        </is>
      </c>
      <c r="U219" t="inlineStr">
        <is>
          <t>Лист УШГН; код 3.7</t>
        </is>
      </c>
      <c r="V219" t="inlineStr">
        <is>
          <t>ШГН/ШВН</t>
        </is>
      </c>
      <c r="DB219">
        <f>IF('История отказов'!AH222="","",'История отказов'!AH222)</f>
        <v/>
      </c>
      <c r="DC219">
        <f>IF('История отказов'!AE222="","",IF(AND(COUNTIF($CT$2:$CT$2,'История отказов'!AE222)=0,COUNTIFS('История отказов'!$F$5:F222,"ШГН",'История отказов'!$AE$5:AE222,'История отказов'!AE222)=1,'История отказов'!F222="ШГН"),218,""))</f>
        <v/>
      </c>
      <c r="DD219">
        <f>IF('История отказов'!AE222="","",IF(AND(COUNTIF($CU$2:$CU$3,'История отказов'!AE222)=0,COUNTIFS('История отказов'!$F$5:F222,"ЭЦН",'История отказов'!$AE$5:AE222,'История отказов'!AE222)=1,'История отказов'!F222="ЭЦН"),218,""))</f>
        <v/>
      </c>
      <c r="DE219">
        <f>IF('История отказов'!AE222="","",IF(AND(COUNTIF($CV$2:$CV$3,'История отказов'!AE222)=0,COUNTIFS('История отказов'!$F$5:F222,"ЭВН",'История отказов'!$AE$5:AE222,'История отказов'!AE222)=1,'История отказов'!F222="ЭВН"),218,""))</f>
        <v/>
      </c>
      <c r="DF219">
        <f>IF('История отказов'!AE222="","",IF(AND(COUNTIF($CX$2:$CX$2,'История отказов'!AE222)=0,COUNTIFS('История отказов'!$F$5:F222,"ШВН",'История отказов'!$AE$5:AE222,'История отказов'!AE222)=1,'История отказов'!F222="ШВН"),218,""))</f>
        <v/>
      </c>
      <c r="DG219">
        <f>IF('История отказов'!AE222="","",IF(AND(COUNTIF($CW$2:$CW$2,'История отказов'!AE222)=0,COUNTIFS('История отказов'!$F$5:F222,"НПУ-ВД",'История отказов'!$AE$5:AE222,'История отказов'!AE222)=1,'История отказов'!F222="НПУ-ВД"),218,""))</f>
        <v/>
      </c>
      <c r="DH219">
        <f>IF('История отказов'!AE222="","",IF(AND(COUNTIF($CY$2:$CY$6,'История отказов'!AE222)=0,COUNTIF('История отказов'!$AE$5:AE222,'История отказов'!AE222)=1),218,""))</f>
        <v/>
      </c>
      <c r="DI219">
        <f>IF('История отказов'!AK222="","",IF(AND(COUNTIF($CL$2:$CL$3,'История отказов'!AK222)=0,COUNTIF('История отказов'!$AK$5:AK222,'История отказов'!AK222)=1),218,""))</f>
        <v/>
      </c>
      <c r="DJ219">
        <f>IF('История отказов'!AU222="","",IF(AND(COUNTIF($CP$2:$CP$3,'История отказов'!AU222)=0,COUNTIF('История отказов'!$AU$5:AU222,'История отказов'!AU222)=1),218,""))</f>
        <v/>
      </c>
      <c r="DK219">
        <f>IF('История отказов'!AY222="","",IF(AND(COUNTIF($CR$2:$CR$2,'История отказов'!AY222)=0,COUNTIF('История отказов'!$AY$5:AY222,'История отказов'!AY222)=1),218,""))</f>
        <v/>
      </c>
      <c r="DL219">
        <f>IF(DB219="","",IF(AND(COUNTIF($DA$2:$DA$47,DB219)=0,COUNTIF($DB$2:DB219,DB219)=1),218,""))</f>
        <v/>
      </c>
    </row>
    <row r="220">
      <c r="A220" s="74" t="n"/>
      <c r="B220" s="75" t="n"/>
      <c r="C220" s="75" t="n"/>
      <c r="D220" s="75" t="n"/>
      <c r="E220" s="75" t="n"/>
      <c r="F220" s="75" t="n"/>
      <c r="G220" s="76" t="n"/>
      <c r="J220" s="62" t="n"/>
      <c r="K220" s="62" t="n"/>
      <c r="L220" s="62" t="n"/>
      <c r="M220" s="62" t="n"/>
      <c r="N220" s="62" t="n"/>
      <c r="Q220" t="inlineStr">
        <is>
          <t>Предварительная / итоговая причина</t>
        </is>
      </c>
      <c r="R220" t="inlineStr">
        <is>
          <t>3.8 — Коррозия НКТ и элементов подвески [УШГН]</t>
        </is>
      </c>
      <c r="S220" t="inlineStr">
        <is>
          <t>Код и название; метка группы добавлена</t>
        </is>
      </c>
      <c r="T220" t="inlineStr">
        <is>
          <t>Классификатор по способам 2024 V10, лист УШГН</t>
        </is>
      </c>
      <c r="U220" t="inlineStr">
        <is>
          <t>Лист УШГН; код 3.8</t>
        </is>
      </c>
      <c r="V220" t="inlineStr">
        <is>
          <t>ШГН/ШВН</t>
        </is>
      </c>
      <c r="DB220">
        <f>IF('История отказов'!AH223="","",'История отказов'!AH223)</f>
        <v/>
      </c>
      <c r="DC220">
        <f>IF('История отказов'!AE223="","",IF(AND(COUNTIF($CT$2:$CT$2,'История отказов'!AE223)=0,COUNTIFS('История отказов'!$F$5:F223,"ШГН",'История отказов'!$AE$5:AE223,'История отказов'!AE223)=1,'История отказов'!F223="ШГН"),219,""))</f>
        <v/>
      </c>
      <c r="DD220">
        <f>IF('История отказов'!AE223="","",IF(AND(COUNTIF($CU$2:$CU$3,'История отказов'!AE223)=0,COUNTIFS('История отказов'!$F$5:F223,"ЭЦН",'История отказов'!$AE$5:AE223,'История отказов'!AE223)=1,'История отказов'!F223="ЭЦН"),219,""))</f>
        <v/>
      </c>
      <c r="DE220">
        <f>IF('История отказов'!AE223="","",IF(AND(COUNTIF($CV$2:$CV$3,'История отказов'!AE223)=0,COUNTIFS('История отказов'!$F$5:F223,"ЭВН",'История отказов'!$AE$5:AE223,'История отказов'!AE223)=1,'История отказов'!F223="ЭВН"),219,""))</f>
        <v/>
      </c>
      <c r="DF220">
        <f>IF('История отказов'!AE223="","",IF(AND(COUNTIF($CX$2:$CX$2,'История отказов'!AE223)=0,COUNTIFS('История отказов'!$F$5:F223,"ШВН",'История отказов'!$AE$5:AE223,'История отказов'!AE223)=1,'История отказов'!F223="ШВН"),219,""))</f>
        <v/>
      </c>
      <c r="DG220">
        <f>IF('История отказов'!AE223="","",IF(AND(COUNTIF($CW$2:$CW$2,'История отказов'!AE223)=0,COUNTIFS('История отказов'!$F$5:F223,"НПУ-ВД",'История отказов'!$AE$5:AE223,'История отказов'!AE223)=1,'История отказов'!F223="НПУ-ВД"),219,""))</f>
        <v/>
      </c>
      <c r="DH220">
        <f>IF('История отказов'!AE223="","",IF(AND(COUNTIF($CY$2:$CY$6,'История отказов'!AE223)=0,COUNTIF('История отказов'!$AE$5:AE223,'История отказов'!AE223)=1),219,""))</f>
        <v/>
      </c>
      <c r="DI220">
        <f>IF('История отказов'!AK223="","",IF(AND(COUNTIF($CL$2:$CL$3,'История отказов'!AK223)=0,COUNTIF('История отказов'!$AK$5:AK223,'История отказов'!AK223)=1),219,""))</f>
        <v/>
      </c>
      <c r="DJ220">
        <f>IF('История отказов'!AU223="","",IF(AND(COUNTIF($CP$2:$CP$3,'История отказов'!AU223)=0,COUNTIF('История отказов'!$AU$5:AU223,'История отказов'!AU223)=1),219,""))</f>
        <v/>
      </c>
      <c r="DK220">
        <f>IF('История отказов'!AY223="","",IF(AND(COUNTIF($CR$2:$CR$2,'История отказов'!AY223)=0,COUNTIF('История отказов'!$AY$5:AY223,'История отказов'!AY223)=1),219,""))</f>
        <v/>
      </c>
      <c r="DL220">
        <f>IF(DB220="","",IF(AND(COUNTIF($DA$2:$DA$47,DB220)=0,COUNTIF($DB$2:DB220,DB220)=1),219,""))</f>
        <v/>
      </c>
    </row>
    <row r="221">
      <c r="A221" s="74" t="n"/>
      <c r="B221" s="75" t="n"/>
      <c r="C221" s="75" t="n"/>
      <c r="D221" s="75" t="n"/>
      <c r="E221" s="75" t="n"/>
      <c r="F221" s="75" t="n"/>
      <c r="G221" s="76" t="n"/>
      <c r="J221" s="62" t="n"/>
      <c r="K221" s="62" t="n"/>
      <c r="L221" s="62" t="n"/>
      <c r="M221" s="62" t="n"/>
      <c r="N221" s="62" t="n"/>
      <c r="Q221" t="inlineStr">
        <is>
          <t>Предварительная / итоговая причина</t>
        </is>
      </c>
      <c r="R221" t="inlineStr">
        <is>
          <t>3.9 — Отворот штанг [УШГН]</t>
        </is>
      </c>
      <c r="S221" t="inlineStr">
        <is>
          <t>Код и название; метка группы добавлена</t>
        </is>
      </c>
      <c r="T221" t="inlineStr">
        <is>
          <t>Классификатор по способам 2024 V10, лист УШГН</t>
        </is>
      </c>
      <c r="U221" t="inlineStr">
        <is>
          <t>Лист УШГН; код 3.9</t>
        </is>
      </c>
      <c r="V221" t="inlineStr">
        <is>
          <t>ШГН/ШВН</t>
        </is>
      </c>
      <c r="DB221">
        <f>IF('История отказов'!AH224="","",'История отказов'!AH224)</f>
        <v/>
      </c>
      <c r="DC221">
        <f>IF('История отказов'!AE224="","",IF(AND(COUNTIF($CT$2:$CT$2,'История отказов'!AE224)=0,COUNTIFS('История отказов'!$F$5:F224,"ШГН",'История отказов'!$AE$5:AE224,'История отказов'!AE224)=1,'История отказов'!F224="ШГН"),220,""))</f>
        <v/>
      </c>
      <c r="DD221">
        <f>IF('История отказов'!AE224="","",IF(AND(COUNTIF($CU$2:$CU$3,'История отказов'!AE224)=0,COUNTIFS('История отказов'!$F$5:F224,"ЭЦН",'История отказов'!$AE$5:AE224,'История отказов'!AE224)=1,'История отказов'!F224="ЭЦН"),220,""))</f>
        <v/>
      </c>
      <c r="DE221">
        <f>IF('История отказов'!AE224="","",IF(AND(COUNTIF($CV$2:$CV$3,'История отказов'!AE224)=0,COUNTIFS('История отказов'!$F$5:F224,"ЭВН",'История отказов'!$AE$5:AE224,'История отказов'!AE224)=1,'История отказов'!F224="ЭВН"),220,""))</f>
        <v/>
      </c>
      <c r="DF221">
        <f>IF('История отказов'!AE224="","",IF(AND(COUNTIF($CX$2:$CX$2,'История отказов'!AE224)=0,COUNTIFS('История отказов'!$F$5:F224,"ШВН",'История отказов'!$AE$5:AE224,'История отказов'!AE224)=1,'История отказов'!F224="ШВН"),220,""))</f>
        <v/>
      </c>
      <c r="DG221">
        <f>IF('История отказов'!AE224="","",IF(AND(COUNTIF($CW$2:$CW$2,'История отказов'!AE224)=0,COUNTIFS('История отказов'!$F$5:F224,"НПУ-ВД",'История отказов'!$AE$5:AE224,'История отказов'!AE224)=1,'История отказов'!F224="НПУ-ВД"),220,""))</f>
        <v/>
      </c>
      <c r="DH221">
        <f>IF('История отказов'!AE224="","",IF(AND(COUNTIF($CY$2:$CY$6,'История отказов'!AE224)=0,COUNTIF('История отказов'!$AE$5:AE224,'История отказов'!AE224)=1),220,""))</f>
        <v/>
      </c>
      <c r="DI221">
        <f>IF('История отказов'!AK224="","",IF(AND(COUNTIF($CL$2:$CL$3,'История отказов'!AK224)=0,COUNTIF('История отказов'!$AK$5:AK224,'История отказов'!AK224)=1),220,""))</f>
        <v/>
      </c>
      <c r="DJ221">
        <f>IF('История отказов'!AU224="","",IF(AND(COUNTIF($CP$2:$CP$3,'История отказов'!AU224)=0,COUNTIF('История отказов'!$AU$5:AU224,'История отказов'!AU224)=1),220,""))</f>
        <v/>
      </c>
      <c r="DK221">
        <f>IF('История отказов'!AY224="","",IF(AND(COUNTIF($CR$2:$CR$2,'История отказов'!AY224)=0,COUNTIF('История отказов'!$AY$5:AY224,'История отказов'!AY224)=1),220,""))</f>
        <v/>
      </c>
      <c r="DL221">
        <f>IF(DB221="","",IF(AND(COUNTIF($DA$2:$DA$47,DB221)=0,COUNTIF($DB$2:DB221,DB221)=1),220,""))</f>
        <v/>
      </c>
    </row>
    <row r="222">
      <c r="A222" s="74" t="n"/>
      <c r="B222" s="75" t="n"/>
      <c r="C222" s="75" t="n"/>
      <c r="D222" s="75" t="n"/>
      <c r="E222" s="75" t="n"/>
      <c r="F222" s="75" t="n"/>
      <c r="G222" s="76" t="n"/>
      <c r="J222" s="62" t="n"/>
      <c r="K222" s="62" t="n"/>
      <c r="L222" s="62" t="n"/>
      <c r="M222" s="62" t="n"/>
      <c r="N222" s="62" t="n"/>
      <c r="Q222" t="inlineStr">
        <is>
          <t>Предварительная / итоговая причина</t>
        </is>
      </c>
      <c r="R222" t="inlineStr">
        <is>
          <t>3.10 — Обрыв штанг [УШГН]</t>
        </is>
      </c>
      <c r="S222" t="inlineStr">
        <is>
          <t>Код и название; метка группы добавлена</t>
        </is>
      </c>
      <c r="T222" t="inlineStr">
        <is>
          <t>Классификатор по способам 2024 V10, лист УШГН</t>
        </is>
      </c>
      <c r="U222" t="inlineStr">
        <is>
          <t>Лист УШГН; код 3.10</t>
        </is>
      </c>
      <c r="V222" t="inlineStr">
        <is>
          <t>ШГН/ШВН</t>
        </is>
      </c>
      <c r="DB222">
        <f>IF('История отказов'!AH225="","",'История отказов'!AH225)</f>
        <v/>
      </c>
      <c r="DC222">
        <f>IF('История отказов'!AE225="","",IF(AND(COUNTIF($CT$2:$CT$2,'История отказов'!AE225)=0,COUNTIFS('История отказов'!$F$5:F225,"ШГН",'История отказов'!$AE$5:AE225,'История отказов'!AE225)=1,'История отказов'!F225="ШГН"),221,""))</f>
        <v/>
      </c>
      <c r="DD222">
        <f>IF('История отказов'!AE225="","",IF(AND(COUNTIF($CU$2:$CU$3,'История отказов'!AE225)=0,COUNTIFS('История отказов'!$F$5:F225,"ЭЦН",'История отказов'!$AE$5:AE225,'История отказов'!AE225)=1,'История отказов'!F225="ЭЦН"),221,""))</f>
        <v/>
      </c>
      <c r="DE222">
        <f>IF('История отказов'!AE225="","",IF(AND(COUNTIF($CV$2:$CV$3,'История отказов'!AE225)=0,COUNTIFS('История отказов'!$F$5:F225,"ЭВН",'История отказов'!$AE$5:AE225,'История отказов'!AE225)=1,'История отказов'!F225="ЭВН"),221,""))</f>
        <v/>
      </c>
      <c r="DF222">
        <f>IF('История отказов'!AE225="","",IF(AND(COUNTIF($CX$2:$CX$2,'История отказов'!AE225)=0,COUNTIFS('История отказов'!$F$5:F225,"ШВН",'История отказов'!$AE$5:AE225,'История отказов'!AE225)=1,'История отказов'!F225="ШВН"),221,""))</f>
        <v/>
      </c>
      <c r="DG222">
        <f>IF('История отказов'!AE225="","",IF(AND(COUNTIF($CW$2:$CW$2,'История отказов'!AE225)=0,COUNTIFS('История отказов'!$F$5:F225,"НПУ-ВД",'История отказов'!$AE$5:AE225,'История отказов'!AE225)=1,'История отказов'!F225="НПУ-ВД"),221,""))</f>
        <v/>
      </c>
      <c r="DH222">
        <f>IF('История отказов'!AE225="","",IF(AND(COUNTIF($CY$2:$CY$6,'История отказов'!AE225)=0,COUNTIF('История отказов'!$AE$5:AE225,'История отказов'!AE225)=1),221,""))</f>
        <v/>
      </c>
      <c r="DI222">
        <f>IF('История отказов'!AK225="","",IF(AND(COUNTIF($CL$2:$CL$3,'История отказов'!AK225)=0,COUNTIF('История отказов'!$AK$5:AK225,'История отказов'!AK225)=1),221,""))</f>
        <v/>
      </c>
      <c r="DJ222">
        <f>IF('История отказов'!AU225="","",IF(AND(COUNTIF($CP$2:$CP$3,'История отказов'!AU225)=0,COUNTIF('История отказов'!$AU$5:AU225,'История отказов'!AU225)=1),221,""))</f>
        <v/>
      </c>
      <c r="DK222">
        <f>IF('История отказов'!AY225="","",IF(AND(COUNTIF($CR$2:$CR$2,'История отказов'!AY225)=0,COUNTIF('История отказов'!$AY$5:AY225,'История отказов'!AY225)=1),221,""))</f>
        <v/>
      </c>
      <c r="DL222">
        <f>IF(DB222="","",IF(AND(COUNTIF($DA$2:$DA$47,DB222)=0,COUNTIF($DB$2:DB222,DB222)=1),221,""))</f>
        <v/>
      </c>
    </row>
    <row r="223">
      <c r="A223" s="74" t="n"/>
      <c r="B223" s="75" t="n"/>
      <c r="C223" s="75" t="n"/>
      <c r="D223" s="75" t="n"/>
      <c r="E223" s="75" t="n"/>
      <c r="F223" s="75" t="n"/>
      <c r="G223" s="76" t="n"/>
      <c r="J223" s="62" t="n"/>
      <c r="K223" s="62" t="n"/>
      <c r="L223" s="62" t="n"/>
      <c r="M223" s="62" t="n"/>
      <c r="N223" s="62" t="n"/>
      <c r="Q223" t="inlineStr">
        <is>
          <t>Предварительная / итоговая причина</t>
        </is>
      </c>
      <c r="R223" t="inlineStr">
        <is>
          <t>3.10.1 — - усталостный (нагрузка, наработка) [УШГН]</t>
        </is>
      </c>
      <c r="S223" t="inlineStr">
        <is>
          <t>Код и название; метка группы добавлена</t>
        </is>
      </c>
      <c r="T223" t="inlineStr">
        <is>
          <t>Классификатор по способам 2024 V10, лист УШГН</t>
        </is>
      </c>
      <c r="U223" t="inlineStr">
        <is>
          <t>Лист УШГН; код 3.10.1</t>
        </is>
      </c>
      <c r="V223" t="inlineStr">
        <is>
          <t>ШГН/ШВН</t>
        </is>
      </c>
      <c r="DB223">
        <f>IF('История отказов'!AH226="","",'История отказов'!AH226)</f>
        <v/>
      </c>
      <c r="DC223">
        <f>IF('История отказов'!AE226="","",IF(AND(COUNTIF($CT$2:$CT$2,'История отказов'!AE226)=0,COUNTIFS('История отказов'!$F$5:F226,"ШГН",'История отказов'!$AE$5:AE226,'История отказов'!AE226)=1,'История отказов'!F226="ШГН"),222,""))</f>
        <v/>
      </c>
      <c r="DD223">
        <f>IF('История отказов'!AE226="","",IF(AND(COUNTIF($CU$2:$CU$3,'История отказов'!AE226)=0,COUNTIFS('История отказов'!$F$5:F226,"ЭЦН",'История отказов'!$AE$5:AE226,'История отказов'!AE226)=1,'История отказов'!F226="ЭЦН"),222,""))</f>
        <v/>
      </c>
      <c r="DE223">
        <f>IF('История отказов'!AE226="","",IF(AND(COUNTIF($CV$2:$CV$3,'История отказов'!AE226)=0,COUNTIFS('История отказов'!$F$5:F226,"ЭВН",'История отказов'!$AE$5:AE226,'История отказов'!AE226)=1,'История отказов'!F226="ЭВН"),222,""))</f>
        <v/>
      </c>
      <c r="DF223">
        <f>IF('История отказов'!AE226="","",IF(AND(COUNTIF($CX$2:$CX$2,'История отказов'!AE226)=0,COUNTIFS('История отказов'!$F$5:F226,"ШВН",'История отказов'!$AE$5:AE226,'История отказов'!AE226)=1,'История отказов'!F226="ШВН"),222,""))</f>
        <v/>
      </c>
      <c r="DG223">
        <f>IF('История отказов'!AE226="","",IF(AND(COUNTIF($CW$2:$CW$2,'История отказов'!AE226)=0,COUNTIFS('История отказов'!$F$5:F226,"НПУ-ВД",'История отказов'!$AE$5:AE226,'История отказов'!AE226)=1,'История отказов'!F226="НПУ-ВД"),222,""))</f>
        <v/>
      </c>
      <c r="DH223">
        <f>IF('История отказов'!AE226="","",IF(AND(COUNTIF($CY$2:$CY$6,'История отказов'!AE226)=0,COUNTIF('История отказов'!$AE$5:AE226,'История отказов'!AE226)=1),222,""))</f>
        <v/>
      </c>
      <c r="DI223">
        <f>IF('История отказов'!AK226="","",IF(AND(COUNTIF($CL$2:$CL$3,'История отказов'!AK226)=0,COUNTIF('История отказов'!$AK$5:AK226,'История отказов'!AK226)=1),222,""))</f>
        <v/>
      </c>
      <c r="DJ223">
        <f>IF('История отказов'!AU226="","",IF(AND(COUNTIF($CP$2:$CP$3,'История отказов'!AU226)=0,COUNTIF('История отказов'!$AU$5:AU226,'История отказов'!AU226)=1),222,""))</f>
        <v/>
      </c>
      <c r="DK223">
        <f>IF('История отказов'!AY226="","",IF(AND(COUNTIF($CR$2:$CR$2,'История отказов'!AY226)=0,COUNTIF('История отказов'!$AY$5:AY226,'История отказов'!AY226)=1),222,""))</f>
        <v/>
      </c>
      <c r="DL223">
        <f>IF(DB223="","",IF(AND(COUNTIF($DA$2:$DA$47,DB223)=0,COUNTIF($DB$2:DB223,DB223)=1),222,""))</f>
        <v/>
      </c>
    </row>
    <row r="224">
      <c r="A224" s="74" t="n"/>
      <c r="B224" s="75" t="n"/>
      <c r="C224" s="75" t="n"/>
      <c r="D224" s="75" t="n"/>
      <c r="E224" s="75" t="n"/>
      <c r="F224" s="75" t="n"/>
      <c r="G224" s="76" t="n"/>
      <c r="J224" s="62" t="n"/>
      <c r="K224" s="62" t="n"/>
      <c r="L224" s="62" t="n"/>
      <c r="M224" s="62" t="n"/>
      <c r="N224" s="62" t="n"/>
      <c r="Q224" t="inlineStr">
        <is>
          <t>Предварительная / итоговая причина</t>
        </is>
      </c>
      <c r="R224" t="inlineStr">
        <is>
          <t>3.10.2 — - истирание муфт [УШГН]</t>
        </is>
      </c>
      <c r="S224" t="inlineStr">
        <is>
          <t>Код и название; метка группы добавлена</t>
        </is>
      </c>
      <c r="T224" t="inlineStr">
        <is>
          <t>Классификатор по способам 2024 V10, лист УШГН</t>
        </is>
      </c>
      <c r="U224" t="inlineStr">
        <is>
          <t>Лист УШГН; код 3.10.2</t>
        </is>
      </c>
      <c r="V224" t="inlineStr">
        <is>
          <t>ШГН/ШВН</t>
        </is>
      </c>
      <c r="DB224">
        <f>IF('История отказов'!AH227="","",'История отказов'!AH227)</f>
        <v/>
      </c>
      <c r="DC224">
        <f>IF('История отказов'!AE227="","",IF(AND(COUNTIF($CT$2:$CT$2,'История отказов'!AE227)=0,COUNTIFS('История отказов'!$F$5:F227,"ШГН",'История отказов'!$AE$5:AE227,'История отказов'!AE227)=1,'История отказов'!F227="ШГН"),223,""))</f>
        <v/>
      </c>
      <c r="DD224">
        <f>IF('История отказов'!AE227="","",IF(AND(COUNTIF($CU$2:$CU$3,'История отказов'!AE227)=0,COUNTIFS('История отказов'!$F$5:F227,"ЭЦН",'История отказов'!$AE$5:AE227,'История отказов'!AE227)=1,'История отказов'!F227="ЭЦН"),223,""))</f>
        <v/>
      </c>
      <c r="DE224">
        <f>IF('История отказов'!AE227="","",IF(AND(COUNTIF($CV$2:$CV$3,'История отказов'!AE227)=0,COUNTIFS('История отказов'!$F$5:F227,"ЭВН",'История отказов'!$AE$5:AE227,'История отказов'!AE227)=1,'История отказов'!F227="ЭВН"),223,""))</f>
        <v/>
      </c>
      <c r="DF224">
        <f>IF('История отказов'!AE227="","",IF(AND(COUNTIF($CX$2:$CX$2,'История отказов'!AE227)=0,COUNTIFS('История отказов'!$F$5:F227,"ШВН",'История отказов'!$AE$5:AE227,'История отказов'!AE227)=1,'История отказов'!F227="ШВН"),223,""))</f>
        <v/>
      </c>
      <c r="DG224">
        <f>IF('История отказов'!AE227="","",IF(AND(COUNTIF($CW$2:$CW$2,'История отказов'!AE227)=0,COUNTIFS('История отказов'!$F$5:F227,"НПУ-ВД",'История отказов'!$AE$5:AE227,'История отказов'!AE227)=1,'История отказов'!F227="НПУ-ВД"),223,""))</f>
        <v/>
      </c>
      <c r="DH224">
        <f>IF('История отказов'!AE227="","",IF(AND(COUNTIF($CY$2:$CY$6,'История отказов'!AE227)=0,COUNTIF('История отказов'!$AE$5:AE227,'История отказов'!AE227)=1),223,""))</f>
        <v/>
      </c>
      <c r="DI224">
        <f>IF('История отказов'!AK227="","",IF(AND(COUNTIF($CL$2:$CL$3,'История отказов'!AK227)=0,COUNTIF('История отказов'!$AK$5:AK227,'История отказов'!AK227)=1),223,""))</f>
        <v/>
      </c>
      <c r="DJ224">
        <f>IF('История отказов'!AU227="","",IF(AND(COUNTIF($CP$2:$CP$3,'История отказов'!AU227)=0,COUNTIF('История отказов'!$AU$5:AU227,'История отказов'!AU227)=1),223,""))</f>
        <v/>
      </c>
      <c r="DK224">
        <f>IF('История отказов'!AY227="","",IF(AND(COUNTIF($CR$2:$CR$2,'История отказов'!AY227)=0,COUNTIF('История отказов'!$AY$5:AY227,'История отказов'!AY227)=1),223,""))</f>
        <v/>
      </c>
      <c r="DL224">
        <f>IF(DB224="","",IF(AND(COUNTIF($DA$2:$DA$47,DB224)=0,COUNTIF($DB$2:DB224,DB224)=1),223,""))</f>
        <v/>
      </c>
    </row>
    <row r="225">
      <c r="A225" s="74" t="n"/>
      <c r="B225" s="75" t="n"/>
      <c r="C225" s="75" t="n"/>
      <c r="D225" s="75" t="n"/>
      <c r="E225" s="75" t="n"/>
      <c r="F225" s="75" t="n"/>
      <c r="G225" s="76" t="n"/>
      <c r="J225" s="62" t="n"/>
      <c r="K225" s="62" t="n"/>
      <c r="L225" s="62" t="n"/>
      <c r="M225" s="62" t="n"/>
      <c r="N225" s="62" t="n"/>
      <c r="Q225" t="inlineStr">
        <is>
          <t>Предварительная / итоговая причина</t>
        </is>
      </c>
      <c r="R225" t="inlineStr">
        <is>
          <t>3.10.3 — - коррозионный [УШГН]</t>
        </is>
      </c>
      <c r="S225" t="inlineStr">
        <is>
          <t>Код и название; метка группы добавлена</t>
        </is>
      </c>
      <c r="T225" t="inlineStr">
        <is>
          <t>Классификатор по способам 2024 V10, лист УШГН</t>
        </is>
      </c>
      <c r="U225" t="inlineStr">
        <is>
          <t>Лист УШГН; код 3.10.3</t>
        </is>
      </c>
      <c r="V225" t="inlineStr">
        <is>
          <t>ШГН/ШВН</t>
        </is>
      </c>
      <c r="DB225">
        <f>IF('История отказов'!AH228="","",'История отказов'!AH228)</f>
        <v/>
      </c>
      <c r="DC225">
        <f>IF('История отказов'!AE228="","",IF(AND(COUNTIF($CT$2:$CT$2,'История отказов'!AE228)=0,COUNTIFS('История отказов'!$F$5:F228,"ШГН",'История отказов'!$AE$5:AE228,'История отказов'!AE228)=1,'История отказов'!F228="ШГН"),224,""))</f>
        <v/>
      </c>
      <c r="DD225">
        <f>IF('История отказов'!AE228="","",IF(AND(COUNTIF($CU$2:$CU$3,'История отказов'!AE228)=0,COUNTIFS('История отказов'!$F$5:F228,"ЭЦН",'История отказов'!$AE$5:AE228,'История отказов'!AE228)=1,'История отказов'!F228="ЭЦН"),224,""))</f>
        <v/>
      </c>
      <c r="DE225">
        <f>IF('История отказов'!AE228="","",IF(AND(COUNTIF($CV$2:$CV$3,'История отказов'!AE228)=0,COUNTIFS('История отказов'!$F$5:F228,"ЭВН",'История отказов'!$AE$5:AE228,'История отказов'!AE228)=1,'История отказов'!F228="ЭВН"),224,""))</f>
        <v/>
      </c>
      <c r="DF225">
        <f>IF('История отказов'!AE228="","",IF(AND(COUNTIF($CX$2:$CX$2,'История отказов'!AE228)=0,COUNTIFS('История отказов'!$F$5:F228,"ШВН",'История отказов'!$AE$5:AE228,'История отказов'!AE228)=1,'История отказов'!F228="ШВН"),224,""))</f>
        <v/>
      </c>
      <c r="DG225">
        <f>IF('История отказов'!AE228="","",IF(AND(COUNTIF($CW$2:$CW$2,'История отказов'!AE228)=0,COUNTIFS('История отказов'!$F$5:F228,"НПУ-ВД",'История отказов'!$AE$5:AE228,'История отказов'!AE228)=1,'История отказов'!F228="НПУ-ВД"),224,""))</f>
        <v/>
      </c>
      <c r="DH225">
        <f>IF('История отказов'!AE228="","",IF(AND(COUNTIF($CY$2:$CY$6,'История отказов'!AE228)=0,COUNTIF('История отказов'!$AE$5:AE228,'История отказов'!AE228)=1),224,""))</f>
        <v/>
      </c>
      <c r="DI225">
        <f>IF('История отказов'!AK228="","",IF(AND(COUNTIF($CL$2:$CL$3,'История отказов'!AK228)=0,COUNTIF('История отказов'!$AK$5:AK228,'История отказов'!AK228)=1),224,""))</f>
        <v/>
      </c>
      <c r="DJ225">
        <f>IF('История отказов'!AU228="","",IF(AND(COUNTIF($CP$2:$CP$3,'История отказов'!AU228)=0,COUNTIF('История отказов'!$AU$5:AU228,'История отказов'!AU228)=1),224,""))</f>
        <v/>
      </c>
      <c r="DK225">
        <f>IF('История отказов'!AY228="","",IF(AND(COUNTIF($CR$2:$CR$2,'История отказов'!AY228)=0,COUNTIF('История отказов'!$AY$5:AY228,'История отказов'!AY228)=1),224,""))</f>
        <v/>
      </c>
      <c r="DL225">
        <f>IF(DB225="","",IF(AND(COUNTIF($DA$2:$DA$47,DB225)=0,COUNTIF($DB$2:DB225,DB225)=1),224,""))</f>
        <v/>
      </c>
    </row>
    <row r="226">
      <c r="A226" s="74" t="n"/>
      <c r="B226" s="75" t="n"/>
      <c r="C226" s="75" t="n"/>
      <c r="D226" s="75" t="n"/>
      <c r="E226" s="75" t="n"/>
      <c r="F226" s="75" t="n"/>
      <c r="G226" s="76" t="n"/>
      <c r="J226" s="62" t="n"/>
      <c r="K226" s="62" t="n"/>
      <c r="L226" s="62" t="n"/>
      <c r="M226" s="62" t="n"/>
      <c r="N226" s="62" t="n"/>
      <c r="Q226" t="inlineStr">
        <is>
          <t>Предварительная / итоговая причина</t>
        </is>
      </c>
      <c r="R226" t="inlineStr">
        <is>
          <t>3.11 — Засорение ГНО механическими примесями [УШГН]</t>
        </is>
      </c>
      <c r="S226" t="inlineStr">
        <is>
          <t>Код и название; метка группы добавлена</t>
        </is>
      </c>
      <c r="T226" t="inlineStr">
        <is>
          <t>Классификатор по способам 2024 V10, лист УШГН</t>
        </is>
      </c>
      <c r="U226" t="inlineStr">
        <is>
          <t>Лист УШГН; код 3.11</t>
        </is>
      </c>
      <c r="V226" t="inlineStr">
        <is>
          <t>ШГН/ШВН</t>
        </is>
      </c>
      <c r="DB226">
        <f>IF('История отказов'!AH229="","",'История отказов'!AH229)</f>
        <v/>
      </c>
      <c r="DC226">
        <f>IF('История отказов'!AE229="","",IF(AND(COUNTIF($CT$2:$CT$2,'История отказов'!AE229)=0,COUNTIFS('История отказов'!$F$5:F229,"ШГН",'История отказов'!$AE$5:AE229,'История отказов'!AE229)=1,'История отказов'!F229="ШГН"),225,""))</f>
        <v/>
      </c>
      <c r="DD226">
        <f>IF('История отказов'!AE229="","",IF(AND(COUNTIF($CU$2:$CU$3,'История отказов'!AE229)=0,COUNTIFS('История отказов'!$F$5:F229,"ЭЦН",'История отказов'!$AE$5:AE229,'История отказов'!AE229)=1,'История отказов'!F229="ЭЦН"),225,""))</f>
        <v/>
      </c>
      <c r="DE226">
        <f>IF('История отказов'!AE229="","",IF(AND(COUNTIF($CV$2:$CV$3,'История отказов'!AE229)=0,COUNTIFS('История отказов'!$F$5:F229,"ЭВН",'История отказов'!$AE$5:AE229,'История отказов'!AE229)=1,'История отказов'!F229="ЭВН"),225,""))</f>
        <v/>
      </c>
      <c r="DF226">
        <f>IF('История отказов'!AE229="","",IF(AND(COUNTIF($CX$2:$CX$2,'История отказов'!AE229)=0,COUNTIFS('История отказов'!$F$5:F229,"ШВН",'История отказов'!$AE$5:AE229,'История отказов'!AE229)=1,'История отказов'!F229="ШВН"),225,""))</f>
        <v/>
      </c>
      <c r="DG226">
        <f>IF('История отказов'!AE229="","",IF(AND(COUNTIF($CW$2:$CW$2,'История отказов'!AE229)=0,COUNTIFS('История отказов'!$F$5:F229,"НПУ-ВД",'История отказов'!$AE$5:AE229,'История отказов'!AE229)=1,'История отказов'!F229="НПУ-ВД"),225,""))</f>
        <v/>
      </c>
      <c r="DH226">
        <f>IF('История отказов'!AE229="","",IF(AND(COUNTIF($CY$2:$CY$6,'История отказов'!AE229)=0,COUNTIF('История отказов'!$AE$5:AE229,'История отказов'!AE229)=1),225,""))</f>
        <v/>
      </c>
      <c r="DI226">
        <f>IF('История отказов'!AK229="","",IF(AND(COUNTIF($CL$2:$CL$3,'История отказов'!AK229)=0,COUNTIF('История отказов'!$AK$5:AK229,'История отказов'!AK229)=1),225,""))</f>
        <v/>
      </c>
      <c r="DJ226">
        <f>IF('История отказов'!AU229="","",IF(AND(COUNTIF($CP$2:$CP$3,'История отказов'!AU229)=0,COUNTIF('История отказов'!$AU$5:AU229,'История отказов'!AU229)=1),225,""))</f>
        <v/>
      </c>
      <c r="DK226">
        <f>IF('История отказов'!AY229="","",IF(AND(COUNTIF($CR$2:$CR$2,'История отказов'!AY229)=0,COUNTIF('История отказов'!$AY$5:AY229,'История отказов'!AY229)=1),225,""))</f>
        <v/>
      </c>
      <c r="DL226">
        <f>IF(DB226="","",IF(AND(COUNTIF($DA$2:$DA$47,DB226)=0,COUNTIF($DB$2:DB226,DB226)=1),225,""))</f>
        <v/>
      </c>
    </row>
    <row r="227">
      <c r="A227" s="74" t="n"/>
      <c r="B227" s="75" t="n"/>
      <c r="C227" s="75" t="n"/>
      <c r="D227" s="75" t="n"/>
      <c r="E227" s="75" t="n"/>
      <c r="F227" s="75" t="n"/>
      <c r="G227" s="76" t="n"/>
      <c r="J227" s="62" t="n"/>
      <c r="K227" s="62" t="n"/>
      <c r="L227" s="62" t="n"/>
      <c r="M227" s="62" t="n"/>
      <c r="N227" s="62" t="n"/>
      <c r="Q227" t="inlineStr">
        <is>
          <t>Предварительная / итоговая причина</t>
        </is>
      </c>
      <c r="R227" t="inlineStr">
        <is>
          <t>3.12 — Некачественная подготовка скважины [УШГН]</t>
        </is>
      </c>
      <c r="S227" t="inlineStr">
        <is>
          <t>Код и название; метка группы добавлена</t>
        </is>
      </c>
      <c r="T227" t="inlineStr">
        <is>
          <t>Классификатор по способам 2024 V10, лист УШГН</t>
        </is>
      </c>
      <c r="U227" t="inlineStr">
        <is>
          <t>Лист УШГН; код 3.12</t>
        </is>
      </c>
      <c r="V227" t="inlineStr">
        <is>
          <t>ШГН/ШВН</t>
        </is>
      </c>
      <c r="DB227">
        <f>IF('История отказов'!AH230="","",'История отказов'!AH230)</f>
        <v/>
      </c>
      <c r="DC227">
        <f>IF('История отказов'!AE230="","",IF(AND(COUNTIF($CT$2:$CT$2,'История отказов'!AE230)=0,COUNTIFS('История отказов'!$F$5:F230,"ШГН",'История отказов'!$AE$5:AE230,'История отказов'!AE230)=1,'История отказов'!F230="ШГН"),226,""))</f>
        <v/>
      </c>
      <c r="DD227">
        <f>IF('История отказов'!AE230="","",IF(AND(COUNTIF($CU$2:$CU$3,'История отказов'!AE230)=0,COUNTIFS('История отказов'!$F$5:F230,"ЭЦН",'История отказов'!$AE$5:AE230,'История отказов'!AE230)=1,'История отказов'!F230="ЭЦН"),226,""))</f>
        <v/>
      </c>
      <c r="DE227">
        <f>IF('История отказов'!AE230="","",IF(AND(COUNTIF($CV$2:$CV$3,'История отказов'!AE230)=0,COUNTIFS('История отказов'!$F$5:F230,"ЭВН",'История отказов'!$AE$5:AE230,'История отказов'!AE230)=1,'История отказов'!F230="ЭВН"),226,""))</f>
        <v/>
      </c>
      <c r="DF227">
        <f>IF('История отказов'!AE230="","",IF(AND(COUNTIF($CX$2:$CX$2,'История отказов'!AE230)=0,COUNTIFS('История отказов'!$F$5:F230,"ШВН",'История отказов'!$AE$5:AE230,'История отказов'!AE230)=1,'История отказов'!F230="ШВН"),226,""))</f>
        <v/>
      </c>
      <c r="DG227">
        <f>IF('История отказов'!AE230="","",IF(AND(COUNTIF($CW$2:$CW$2,'История отказов'!AE230)=0,COUNTIFS('История отказов'!$F$5:F230,"НПУ-ВД",'История отказов'!$AE$5:AE230,'История отказов'!AE230)=1,'История отказов'!F230="НПУ-ВД"),226,""))</f>
        <v/>
      </c>
      <c r="DH227">
        <f>IF('История отказов'!AE230="","",IF(AND(COUNTIF($CY$2:$CY$6,'История отказов'!AE230)=0,COUNTIF('История отказов'!$AE$5:AE230,'История отказов'!AE230)=1),226,""))</f>
        <v/>
      </c>
      <c r="DI227">
        <f>IF('История отказов'!AK230="","",IF(AND(COUNTIF($CL$2:$CL$3,'История отказов'!AK230)=0,COUNTIF('История отказов'!$AK$5:AK230,'История отказов'!AK230)=1),226,""))</f>
        <v/>
      </c>
      <c r="DJ227">
        <f>IF('История отказов'!AU230="","",IF(AND(COUNTIF($CP$2:$CP$3,'История отказов'!AU230)=0,COUNTIF('История отказов'!$AU$5:AU230,'История отказов'!AU230)=1),226,""))</f>
        <v/>
      </c>
      <c r="DK227">
        <f>IF('История отказов'!AY230="","",IF(AND(COUNTIF($CR$2:$CR$2,'История отказов'!AY230)=0,COUNTIF('История отказов'!$AY$5:AY230,'История отказов'!AY230)=1),226,""))</f>
        <v/>
      </c>
      <c r="DL227">
        <f>IF(DB227="","",IF(AND(COUNTIF($DA$2:$DA$47,DB227)=0,COUNTIF($DB$2:DB227,DB227)=1),226,""))</f>
        <v/>
      </c>
    </row>
    <row r="228">
      <c r="A228" s="74" t="n"/>
      <c r="B228" s="75" t="n"/>
      <c r="C228" s="75" t="n"/>
      <c r="D228" s="75" t="n"/>
      <c r="E228" s="75" t="n"/>
      <c r="F228" s="75" t="n"/>
      <c r="G228" s="76" t="n"/>
      <c r="J228" s="62" t="n"/>
      <c r="K228" s="62" t="n"/>
      <c r="L228" s="62" t="n"/>
      <c r="M228" s="62" t="n"/>
      <c r="N228" s="62" t="n"/>
      <c r="Q228" t="inlineStr">
        <is>
          <t>Предварительная / итоговая причина</t>
        </is>
      </c>
      <c r="R228" t="inlineStr">
        <is>
          <t>3.13 — Отсутствие допустимых интервалов размещения ГНО [УШГН]</t>
        </is>
      </c>
      <c r="S228" t="inlineStr">
        <is>
          <t>Код и название; метка группы добавлена</t>
        </is>
      </c>
      <c r="T228" t="inlineStr">
        <is>
          <t>Классификатор по способам 2024 V10, лист УШГН</t>
        </is>
      </c>
      <c r="U228" t="inlineStr">
        <is>
          <t>Лист УШГН; код 3.13</t>
        </is>
      </c>
      <c r="V228" t="inlineStr">
        <is>
          <t>ШГН/ШВН</t>
        </is>
      </c>
      <c r="DB228">
        <f>IF('История отказов'!AH231="","",'История отказов'!AH231)</f>
        <v/>
      </c>
      <c r="DC228">
        <f>IF('История отказов'!AE231="","",IF(AND(COUNTIF($CT$2:$CT$2,'История отказов'!AE231)=0,COUNTIFS('История отказов'!$F$5:F231,"ШГН",'История отказов'!$AE$5:AE231,'История отказов'!AE231)=1,'История отказов'!F231="ШГН"),227,""))</f>
        <v/>
      </c>
      <c r="DD228">
        <f>IF('История отказов'!AE231="","",IF(AND(COUNTIF($CU$2:$CU$3,'История отказов'!AE231)=0,COUNTIFS('История отказов'!$F$5:F231,"ЭЦН",'История отказов'!$AE$5:AE231,'История отказов'!AE231)=1,'История отказов'!F231="ЭЦН"),227,""))</f>
        <v/>
      </c>
      <c r="DE228">
        <f>IF('История отказов'!AE231="","",IF(AND(COUNTIF($CV$2:$CV$3,'История отказов'!AE231)=0,COUNTIFS('История отказов'!$F$5:F231,"ЭВН",'История отказов'!$AE$5:AE231,'История отказов'!AE231)=1,'История отказов'!F231="ЭВН"),227,""))</f>
        <v/>
      </c>
      <c r="DF228">
        <f>IF('История отказов'!AE231="","",IF(AND(COUNTIF($CX$2:$CX$2,'История отказов'!AE231)=0,COUNTIFS('История отказов'!$F$5:F231,"ШВН",'История отказов'!$AE$5:AE231,'История отказов'!AE231)=1,'История отказов'!F231="ШВН"),227,""))</f>
        <v/>
      </c>
      <c r="DG228">
        <f>IF('История отказов'!AE231="","",IF(AND(COUNTIF($CW$2:$CW$2,'История отказов'!AE231)=0,COUNTIFS('История отказов'!$F$5:F231,"НПУ-ВД",'История отказов'!$AE$5:AE231,'История отказов'!AE231)=1,'История отказов'!F231="НПУ-ВД"),227,""))</f>
        <v/>
      </c>
      <c r="DH228">
        <f>IF('История отказов'!AE231="","",IF(AND(COUNTIF($CY$2:$CY$6,'История отказов'!AE231)=0,COUNTIF('История отказов'!$AE$5:AE231,'История отказов'!AE231)=1),227,""))</f>
        <v/>
      </c>
      <c r="DI228">
        <f>IF('История отказов'!AK231="","",IF(AND(COUNTIF($CL$2:$CL$3,'История отказов'!AK231)=0,COUNTIF('История отказов'!$AK$5:AK231,'История отказов'!AK231)=1),227,""))</f>
        <v/>
      </c>
      <c r="DJ228">
        <f>IF('История отказов'!AU231="","",IF(AND(COUNTIF($CP$2:$CP$3,'История отказов'!AU231)=0,COUNTIF('История отказов'!$AU$5:AU231,'История отказов'!AU231)=1),227,""))</f>
        <v/>
      </c>
      <c r="DK228">
        <f>IF('История отказов'!AY231="","",IF(AND(COUNTIF($CR$2:$CR$2,'История отказов'!AY231)=0,COUNTIF('История отказов'!$AY$5:AY231,'История отказов'!AY231)=1),227,""))</f>
        <v/>
      </c>
      <c r="DL228">
        <f>IF(DB228="","",IF(AND(COUNTIF($DA$2:$DA$47,DB228)=0,COUNTIF($DB$2:DB228,DB228)=1),227,""))</f>
        <v/>
      </c>
    </row>
    <row r="229">
      <c r="A229" s="74" t="n"/>
      <c r="B229" s="75" t="n"/>
      <c r="C229" s="75" t="n"/>
      <c r="D229" s="75" t="n"/>
      <c r="E229" s="75" t="n"/>
      <c r="F229" s="75" t="n"/>
      <c r="G229" s="76" t="n"/>
      <c r="J229" s="62" t="n"/>
      <c r="K229" s="62" t="n"/>
      <c r="L229" s="62" t="n"/>
      <c r="M229" s="62" t="n"/>
      <c r="N229" s="62" t="n"/>
      <c r="Q229" t="inlineStr">
        <is>
          <t>Предварительная / итоговая причина</t>
        </is>
      </c>
      <c r="R229" t="inlineStr">
        <is>
          <t>3.14 — Работа ГНО в сложных условиях [УШГН]</t>
        </is>
      </c>
      <c r="S229" t="inlineStr">
        <is>
          <t>Код и название; метка группы добавлена</t>
        </is>
      </c>
      <c r="T229" t="inlineStr">
        <is>
          <t>Классификатор по способам 2024 V10, лист УШГН</t>
        </is>
      </c>
      <c r="U229" t="inlineStr">
        <is>
          <t>Лист УШГН; код 3.14</t>
        </is>
      </c>
      <c r="V229" t="inlineStr">
        <is>
          <t>ШГН/ШВН</t>
        </is>
      </c>
      <c r="DB229">
        <f>IF('История отказов'!AH232="","",'История отказов'!AH232)</f>
        <v/>
      </c>
      <c r="DC229">
        <f>IF('История отказов'!AE232="","",IF(AND(COUNTIF($CT$2:$CT$2,'История отказов'!AE232)=0,COUNTIFS('История отказов'!$F$5:F232,"ШГН",'История отказов'!$AE$5:AE232,'История отказов'!AE232)=1,'История отказов'!F232="ШГН"),228,""))</f>
        <v/>
      </c>
      <c r="DD229">
        <f>IF('История отказов'!AE232="","",IF(AND(COUNTIF($CU$2:$CU$3,'История отказов'!AE232)=0,COUNTIFS('История отказов'!$F$5:F232,"ЭЦН",'История отказов'!$AE$5:AE232,'История отказов'!AE232)=1,'История отказов'!F232="ЭЦН"),228,""))</f>
        <v/>
      </c>
      <c r="DE229">
        <f>IF('История отказов'!AE232="","",IF(AND(COUNTIF($CV$2:$CV$3,'История отказов'!AE232)=0,COUNTIFS('История отказов'!$F$5:F232,"ЭВН",'История отказов'!$AE$5:AE232,'История отказов'!AE232)=1,'История отказов'!F232="ЭВН"),228,""))</f>
        <v/>
      </c>
      <c r="DF229">
        <f>IF('История отказов'!AE232="","",IF(AND(COUNTIF($CX$2:$CX$2,'История отказов'!AE232)=0,COUNTIFS('История отказов'!$F$5:F232,"ШВН",'История отказов'!$AE$5:AE232,'История отказов'!AE232)=1,'История отказов'!F232="ШВН"),228,""))</f>
        <v/>
      </c>
      <c r="DG229">
        <f>IF('История отказов'!AE232="","",IF(AND(COUNTIF($CW$2:$CW$2,'История отказов'!AE232)=0,COUNTIFS('История отказов'!$F$5:F232,"НПУ-ВД",'История отказов'!$AE$5:AE232,'История отказов'!AE232)=1,'История отказов'!F232="НПУ-ВД"),228,""))</f>
        <v/>
      </c>
      <c r="DH229">
        <f>IF('История отказов'!AE232="","",IF(AND(COUNTIF($CY$2:$CY$6,'История отказов'!AE232)=0,COUNTIF('История отказов'!$AE$5:AE232,'История отказов'!AE232)=1),228,""))</f>
        <v/>
      </c>
      <c r="DI229">
        <f>IF('История отказов'!AK232="","",IF(AND(COUNTIF($CL$2:$CL$3,'История отказов'!AK232)=0,COUNTIF('История отказов'!$AK$5:AK232,'История отказов'!AK232)=1),228,""))</f>
        <v/>
      </c>
      <c r="DJ229">
        <f>IF('История отказов'!AU232="","",IF(AND(COUNTIF($CP$2:$CP$3,'История отказов'!AU232)=0,COUNTIF('История отказов'!$AU$5:AU232,'История отказов'!AU232)=1),228,""))</f>
        <v/>
      </c>
      <c r="DK229">
        <f>IF('История отказов'!AY232="","",IF(AND(COUNTIF($CR$2:$CR$2,'История отказов'!AY232)=0,COUNTIF('История отказов'!$AY$5:AY232,'История отказов'!AY232)=1),228,""))</f>
        <v/>
      </c>
      <c r="DL229">
        <f>IF(DB229="","",IF(AND(COUNTIF($DA$2:$DA$47,DB229)=0,COUNTIF($DB$2:DB229,DB229)=1),228,""))</f>
        <v/>
      </c>
    </row>
    <row r="230">
      <c r="A230" s="74" t="n"/>
      <c r="B230" s="75" t="n"/>
      <c r="C230" s="75" t="n"/>
      <c r="D230" s="75" t="n"/>
      <c r="E230" s="75" t="n"/>
      <c r="F230" s="75" t="n"/>
      <c r="G230" s="76" t="n"/>
      <c r="J230" s="62" t="n"/>
      <c r="K230" s="62" t="n"/>
      <c r="L230" s="62" t="n"/>
      <c r="M230" s="62" t="n"/>
      <c r="N230" s="62" t="n"/>
      <c r="Q230" t="inlineStr">
        <is>
          <t>Предварительная / итоговая причина</t>
        </is>
      </c>
      <c r="R230" t="inlineStr">
        <is>
          <t>3.15 — Не герметичность НКТ в результате истирания [УШГН]</t>
        </is>
      </c>
      <c r="S230" t="inlineStr">
        <is>
          <t>Код и название; метка группы добавлена</t>
        </is>
      </c>
      <c r="T230" t="inlineStr">
        <is>
          <t>Классификатор по способам 2024 V10, лист УШГН</t>
        </is>
      </c>
      <c r="U230" t="inlineStr">
        <is>
          <t>Лист УШГН; код 3.15</t>
        </is>
      </c>
      <c r="V230" t="inlineStr">
        <is>
          <t>ШГН/ШВН</t>
        </is>
      </c>
      <c r="DB230">
        <f>IF('История отказов'!AH233="","",'История отказов'!AH233)</f>
        <v/>
      </c>
      <c r="DC230">
        <f>IF('История отказов'!AE233="","",IF(AND(COUNTIF($CT$2:$CT$2,'История отказов'!AE233)=0,COUNTIFS('История отказов'!$F$5:F233,"ШГН",'История отказов'!$AE$5:AE233,'История отказов'!AE233)=1,'История отказов'!F233="ШГН"),229,""))</f>
        <v/>
      </c>
      <c r="DD230">
        <f>IF('История отказов'!AE233="","",IF(AND(COUNTIF($CU$2:$CU$3,'История отказов'!AE233)=0,COUNTIFS('История отказов'!$F$5:F233,"ЭЦН",'История отказов'!$AE$5:AE233,'История отказов'!AE233)=1,'История отказов'!F233="ЭЦН"),229,""))</f>
        <v/>
      </c>
      <c r="DE230">
        <f>IF('История отказов'!AE233="","",IF(AND(COUNTIF($CV$2:$CV$3,'История отказов'!AE233)=0,COUNTIFS('История отказов'!$F$5:F233,"ЭВН",'История отказов'!$AE$5:AE233,'История отказов'!AE233)=1,'История отказов'!F233="ЭВН"),229,""))</f>
        <v/>
      </c>
      <c r="DF230">
        <f>IF('История отказов'!AE233="","",IF(AND(COUNTIF($CX$2:$CX$2,'История отказов'!AE233)=0,COUNTIFS('История отказов'!$F$5:F233,"ШВН",'История отказов'!$AE$5:AE233,'История отказов'!AE233)=1,'История отказов'!F233="ШВН"),229,""))</f>
        <v/>
      </c>
      <c r="DG230">
        <f>IF('История отказов'!AE233="","",IF(AND(COUNTIF($CW$2:$CW$2,'История отказов'!AE233)=0,COUNTIFS('История отказов'!$F$5:F233,"НПУ-ВД",'История отказов'!$AE$5:AE233,'История отказов'!AE233)=1,'История отказов'!F233="НПУ-ВД"),229,""))</f>
        <v/>
      </c>
      <c r="DH230">
        <f>IF('История отказов'!AE233="","",IF(AND(COUNTIF($CY$2:$CY$6,'История отказов'!AE233)=0,COUNTIF('История отказов'!$AE$5:AE233,'История отказов'!AE233)=1),229,""))</f>
        <v/>
      </c>
      <c r="DI230">
        <f>IF('История отказов'!AK233="","",IF(AND(COUNTIF($CL$2:$CL$3,'История отказов'!AK233)=0,COUNTIF('История отказов'!$AK$5:AK233,'История отказов'!AK233)=1),229,""))</f>
        <v/>
      </c>
      <c r="DJ230">
        <f>IF('История отказов'!AU233="","",IF(AND(COUNTIF($CP$2:$CP$3,'История отказов'!AU233)=0,COUNTIF('История отказов'!$AU$5:AU233,'История отказов'!AU233)=1),229,""))</f>
        <v/>
      </c>
      <c r="DK230">
        <f>IF('История отказов'!AY233="","",IF(AND(COUNTIF($CR$2:$CR$2,'История отказов'!AY233)=0,COUNTIF('История отказов'!$AY$5:AY233,'История отказов'!AY233)=1),229,""))</f>
        <v/>
      </c>
      <c r="DL230">
        <f>IF(DB230="","",IF(AND(COUNTIF($DA$2:$DA$47,DB230)=0,COUNTIF($DB$2:DB230,DB230)=1),229,""))</f>
        <v/>
      </c>
    </row>
    <row r="231">
      <c r="A231" s="74" t="n"/>
      <c r="B231" s="75" t="n"/>
      <c r="C231" s="75" t="n"/>
      <c r="D231" s="75" t="n"/>
      <c r="E231" s="75" t="n"/>
      <c r="F231" s="75" t="n"/>
      <c r="G231" s="76" t="n"/>
      <c r="J231" s="62" t="n"/>
      <c r="K231" s="62" t="n"/>
      <c r="L231" s="62" t="n"/>
      <c r="M231" s="62" t="n"/>
      <c r="N231" s="62" t="n"/>
      <c r="Q231" t="inlineStr">
        <is>
          <t>Предварительная / итоговая причина</t>
        </is>
      </c>
      <c r="R231" t="inlineStr">
        <is>
          <t>3.16 — Не герметичность НКТ с большой наработкой [УШГН]</t>
        </is>
      </c>
      <c r="S231" t="inlineStr">
        <is>
          <t>Код и название; метка группы добавлена</t>
        </is>
      </c>
      <c r="T231" t="inlineStr">
        <is>
          <t>Классификатор по способам 2024 V10, лист УШГН</t>
        </is>
      </c>
      <c r="U231" t="inlineStr">
        <is>
          <t>Лист УШГН; код 3.16</t>
        </is>
      </c>
      <c r="V231" t="inlineStr">
        <is>
          <t>ШГН/ШВН</t>
        </is>
      </c>
      <c r="DB231">
        <f>IF('История отказов'!AH234="","",'История отказов'!AH234)</f>
        <v/>
      </c>
      <c r="DC231">
        <f>IF('История отказов'!AE234="","",IF(AND(COUNTIF($CT$2:$CT$2,'История отказов'!AE234)=0,COUNTIFS('История отказов'!$F$5:F234,"ШГН",'История отказов'!$AE$5:AE234,'История отказов'!AE234)=1,'История отказов'!F234="ШГН"),230,""))</f>
        <v/>
      </c>
      <c r="DD231">
        <f>IF('История отказов'!AE234="","",IF(AND(COUNTIF($CU$2:$CU$3,'История отказов'!AE234)=0,COUNTIFS('История отказов'!$F$5:F234,"ЭЦН",'История отказов'!$AE$5:AE234,'История отказов'!AE234)=1,'История отказов'!F234="ЭЦН"),230,""))</f>
        <v/>
      </c>
      <c r="DE231">
        <f>IF('История отказов'!AE234="","",IF(AND(COUNTIF($CV$2:$CV$3,'История отказов'!AE234)=0,COUNTIFS('История отказов'!$F$5:F234,"ЭВН",'История отказов'!$AE$5:AE234,'История отказов'!AE234)=1,'История отказов'!F234="ЭВН"),230,""))</f>
        <v/>
      </c>
      <c r="DF231">
        <f>IF('История отказов'!AE234="","",IF(AND(COUNTIF($CX$2:$CX$2,'История отказов'!AE234)=0,COUNTIFS('История отказов'!$F$5:F234,"ШВН",'История отказов'!$AE$5:AE234,'История отказов'!AE234)=1,'История отказов'!F234="ШВН"),230,""))</f>
        <v/>
      </c>
      <c r="DG231">
        <f>IF('История отказов'!AE234="","",IF(AND(COUNTIF($CW$2:$CW$2,'История отказов'!AE234)=0,COUNTIFS('История отказов'!$F$5:F234,"НПУ-ВД",'История отказов'!$AE$5:AE234,'История отказов'!AE234)=1,'История отказов'!F234="НПУ-ВД"),230,""))</f>
        <v/>
      </c>
      <c r="DH231">
        <f>IF('История отказов'!AE234="","",IF(AND(COUNTIF($CY$2:$CY$6,'История отказов'!AE234)=0,COUNTIF('История отказов'!$AE$5:AE234,'История отказов'!AE234)=1),230,""))</f>
        <v/>
      </c>
      <c r="DI231">
        <f>IF('История отказов'!AK234="","",IF(AND(COUNTIF($CL$2:$CL$3,'История отказов'!AK234)=0,COUNTIF('История отказов'!$AK$5:AK234,'История отказов'!AK234)=1),230,""))</f>
        <v/>
      </c>
      <c r="DJ231">
        <f>IF('История отказов'!AU234="","",IF(AND(COUNTIF($CP$2:$CP$3,'История отказов'!AU234)=0,COUNTIF('История отказов'!$AU$5:AU234,'История отказов'!AU234)=1),230,""))</f>
        <v/>
      </c>
      <c r="DK231">
        <f>IF('История отказов'!AY234="","",IF(AND(COUNTIF($CR$2:$CR$2,'История отказов'!AY234)=0,COUNTIF('История отказов'!$AY$5:AY234,'История отказов'!AY234)=1),230,""))</f>
        <v/>
      </c>
      <c r="DL231">
        <f>IF(DB231="","",IF(AND(COUNTIF($DA$2:$DA$47,DB231)=0,COUNTIF($DB$2:DB231,DB231)=1),230,""))</f>
        <v/>
      </c>
    </row>
    <row r="232">
      <c r="A232" s="74" t="n"/>
      <c r="B232" s="75" t="n"/>
      <c r="C232" s="75" t="n"/>
      <c r="D232" s="75" t="n"/>
      <c r="E232" s="75" t="n"/>
      <c r="F232" s="75" t="n"/>
      <c r="G232" s="76" t="n"/>
      <c r="J232" s="62" t="n"/>
      <c r="K232" s="62" t="n"/>
      <c r="L232" s="62" t="n"/>
      <c r="M232" s="62" t="n"/>
      <c r="N232" s="62" t="n"/>
      <c r="Q232" t="inlineStr">
        <is>
          <t>Предварительная / итоговая причина</t>
        </is>
      </c>
      <c r="R232" t="inlineStr">
        <is>
          <t>3.17 — Влияние ПЦО (ПТВ) при эксплуатации [УШГН]</t>
        </is>
      </c>
      <c r="S232" t="inlineStr">
        <is>
          <t>Код и название; метка группы добавлена</t>
        </is>
      </c>
      <c r="T232" t="inlineStr">
        <is>
          <t>Классификатор по способам 2024 V10, лист УШГН</t>
        </is>
      </c>
      <c r="U232" t="inlineStr">
        <is>
          <t>Лист УШГН; код 3.17</t>
        </is>
      </c>
      <c r="V232" t="inlineStr">
        <is>
          <t>ШГН/ШВН</t>
        </is>
      </c>
      <c r="DB232">
        <f>IF('История отказов'!AH235="","",'История отказов'!AH235)</f>
        <v/>
      </c>
      <c r="DC232">
        <f>IF('История отказов'!AE235="","",IF(AND(COUNTIF($CT$2:$CT$2,'История отказов'!AE235)=0,COUNTIFS('История отказов'!$F$5:F235,"ШГН",'История отказов'!$AE$5:AE235,'История отказов'!AE235)=1,'История отказов'!F235="ШГН"),231,""))</f>
        <v/>
      </c>
      <c r="DD232">
        <f>IF('История отказов'!AE235="","",IF(AND(COUNTIF($CU$2:$CU$3,'История отказов'!AE235)=0,COUNTIFS('История отказов'!$F$5:F235,"ЭЦН",'История отказов'!$AE$5:AE235,'История отказов'!AE235)=1,'История отказов'!F235="ЭЦН"),231,""))</f>
        <v/>
      </c>
      <c r="DE232">
        <f>IF('История отказов'!AE235="","",IF(AND(COUNTIF($CV$2:$CV$3,'История отказов'!AE235)=0,COUNTIFS('История отказов'!$F$5:F235,"ЭВН",'История отказов'!$AE$5:AE235,'История отказов'!AE235)=1,'История отказов'!F235="ЭВН"),231,""))</f>
        <v/>
      </c>
      <c r="DF232">
        <f>IF('История отказов'!AE235="","",IF(AND(COUNTIF($CX$2:$CX$2,'История отказов'!AE235)=0,COUNTIFS('История отказов'!$F$5:F235,"ШВН",'История отказов'!$AE$5:AE235,'История отказов'!AE235)=1,'История отказов'!F235="ШВН"),231,""))</f>
        <v/>
      </c>
      <c r="DG232">
        <f>IF('История отказов'!AE235="","",IF(AND(COUNTIF($CW$2:$CW$2,'История отказов'!AE235)=0,COUNTIFS('История отказов'!$F$5:F235,"НПУ-ВД",'История отказов'!$AE$5:AE235,'История отказов'!AE235)=1,'История отказов'!F235="НПУ-ВД"),231,""))</f>
        <v/>
      </c>
      <c r="DH232">
        <f>IF('История отказов'!AE235="","",IF(AND(COUNTIF($CY$2:$CY$6,'История отказов'!AE235)=0,COUNTIF('История отказов'!$AE$5:AE235,'История отказов'!AE235)=1),231,""))</f>
        <v/>
      </c>
      <c r="DI232">
        <f>IF('История отказов'!AK235="","",IF(AND(COUNTIF($CL$2:$CL$3,'История отказов'!AK235)=0,COUNTIF('История отказов'!$AK$5:AK235,'История отказов'!AK235)=1),231,""))</f>
        <v/>
      </c>
      <c r="DJ232">
        <f>IF('История отказов'!AU235="","",IF(AND(COUNTIF($CP$2:$CP$3,'История отказов'!AU235)=0,COUNTIF('История отказов'!$AU$5:AU235,'История отказов'!AU235)=1),231,""))</f>
        <v/>
      </c>
      <c r="DK232">
        <f>IF('История отказов'!AY235="","",IF(AND(COUNTIF($CR$2:$CR$2,'История отказов'!AY235)=0,COUNTIF('История отказов'!$AY$5:AY235,'История отказов'!AY235)=1),231,""))</f>
        <v/>
      </c>
      <c r="DL232">
        <f>IF(DB232="","",IF(AND(COUNTIF($DA$2:$DA$47,DB232)=0,COUNTIF($DB$2:DB232,DB232)=1),231,""))</f>
        <v/>
      </c>
    </row>
    <row r="233">
      <c r="A233" s="74" t="n"/>
      <c r="B233" s="75" t="n"/>
      <c r="C233" s="75" t="n"/>
      <c r="D233" s="75" t="n"/>
      <c r="E233" s="75" t="n"/>
      <c r="F233" s="75" t="n"/>
      <c r="G233" s="76" t="n"/>
      <c r="J233" s="62" t="n"/>
      <c r="K233" s="62" t="n"/>
      <c r="L233" s="62" t="n"/>
      <c r="M233" s="62" t="n"/>
      <c r="N233" s="62" t="n"/>
      <c r="Q233" t="inlineStr">
        <is>
          <t>Предварительная / итоговая причина</t>
        </is>
      </c>
      <c r="R233" t="inlineStr">
        <is>
          <t>3.18 — Влияние ВВЭ (высоковязкая эмульсия) [УШГН]</t>
        </is>
      </c>
      <c r="S233" t="inlineStr">
        <is>
          <t>Код и название; метка группы добавлена</t>
        </is>
      </c>
      <c r="T233" t="inlineStr">
        <is>
          <t>Классификатор по способам 2024 V10, лист УШГН</t>
        </is>
      </c>
      <c r="U233" t="inlineStr">
        <is>
          <t>Лист УШГН; код 3.18</t>
        </is>
      </c>
      <c r="V233" t="inlineStr">
        <is>
          <t>ШГН/ШВН</t>
        </is>
      </c>
      <c r="DB233">
        <f>IF('История отказов'!AH236="","",'История отказов'!AH236)</f>
        <v/>
      </c>
      <c r="DC233">
        <f>IF('История отказов'!AE236="","",IF(AND(COUNTIF($CT$2:$CT$2,'История отказов'!AE236)=0,COUNTIFS('История отказов'!$F$5:F236,"ШГН",'История отказов'!$AE$5:AE236,'История отказов'!AE236)=1,'История отказов'!F236="ШГН"),232,""))</f>
        <v/>
      </c>
      <c r="DD233">
        <f>IF('История отказов'!AE236="","",IF(AND(COUNTIF($CU$2:$CU$3,'История отказов'!AE236)=0,COUNTIFS('История отказов'!$F$5:F236,"ЭЦН",'История отказов'!$AE$5:AE236,'История отказов'!AE236)=1,'История отказов'!F236="ЭЦН"),232,""))</f>
        <v/>
      </c>
      <c r="DE233">
        <f>IF('История отказов'!AE236="","",IF(AND(COUNTIF($CV$2:$CV$3,'История отказов'!AE236)=0,COUNTIFS('История отказов'!$F$5:F236,"ЭВН",'История отказов'!$AE$5:AE236,'История отказов'!AE236)=1,'История отказов'!F236="ЭВН"),232,""))</f>
        <v/>
      </c>
      <c r="DF233">
        <f>IF('История отказов'!AE236="","",IF(AND(COUNTIF($CX$2:$CX$2,'История отказов'!AE236)=0,COUNTIFS('История отказов'!$F$5:F236,"ШВН",'История отказов'!$AE$5:AE236,'История отказов'!AE236)=1,'История отказов'!F236="ШВН"),232,""))</f>
        <v/>
      </c>
      <c r="DG233">
        <f>IF('История отказов'!AE236="","",IF(AND(COUNTIF($CW$2:$CW$2,'История отказов'!AE236)=0,COUNTIFS('История отказов'!$F$5:F236,"НПУ-ВД",'История отказов'!$AE$5:AE236,'История отказов'!AE236)=1,'История отказов'!F236="НПУ-ВД"),232,""))</f>
        <v/>
      </c>
      <c r="DH233">
        <f>IF('История отказов'!AE236="","",IF(AND(COUNTIF($CY$2:$CY$6,'История отказов'!AE236)=0,COUNTIF('История отказов'!$AE$5:AE236,'История отказов'!AE236)=1),232,""))</f>
        <v/>
      </c>
      <c r="DI233">
        <f>IF('История отказов'!AK236="","",IF(AND(COUNTIF($CL$2:$CL$3,'История отказов'!AK236)=0,COUNTIF('История отказов'!$AK$5:AK236,'История отказов'!AK236)=1),232,""))</f>
        <v/>
      </c>
      <c r="DJ233">
        <f>IF('История отказов'!AU236="","",IF(AND(COUNTIF($CP$2:$CP$3,'История отказов'!AU236)=0,COUNTIF('История отказов'!$AU$5:AU236,'История отказов'!AU236)=1),232,""))</f>
        <v/>
      </c>
      <c r="DK233">
        <f>IF('История отказов'!AY236="","",IF(AND(COUNTIF($CR$2:$CR$2,'История отказов'!AY236)=0,COUNTIF('История отказов'!$AY$5:AY236,'История отказов'!AY236)=1),232,""))</f>
        <v/>
      </c>
      <c r="DL233">
        <f>IF(DB233="","",IF(AND(COUNTIF($DA$2:$DA$47,DB233)=0,COUNTIF($DB$2:DB233,DB233)=1),232,""))</f>
        <v/>
      </c>
    </row>
    <row r="234">
      <c r="A234" s="74" t="n"/>
      <c r="B234" s="75" t="n"/>
      <c r="C234" s="75" t="n"/>
      <c r="D234" s="75" t="n"/>
      <c r="E234" s="75" t="n"/>
      <c r="F234" s="75" t="n"/>
      <c r="G234" s="76" t="n"/>
      <c r="J234" s="62" t="n"/>
      <c r="K234" s="62" t="n"/>
      <c r="L234" s="62" t="n"/>
      <c r="M234" s="62" t="n"/>
      <c r="N234" s="62" t="n"/>
      <c r="Q234" t="inlineStr">
        <is>
          <t>Предварительная / итоговая причина</t>
        </is>
      </c>
      <c r="R234" t="inlineStr">
        <is>
          <t>3.19 — Мехповреждение насоса [УШГН]</t>
        </is>
      </c>
      <c r="S234" t="inlineStr">
        <is>
          <t>Код и название; метка группы добавлена</t>
        </is>
      </c>
      <c r="T234" t="inlineStr">
        <is>
          <t>Классификатор по способам 2024 V10, лист УШГН</t>
        </is>
      </c>
      <c r="U234" t="inlineStr">
        <is>
          <t>Лист УШГН; код 3.19</t>
        </is>
      </c>
      <c r="V234" t="inlineStr">
        <is>
          <t>ШГН/ШВН</t>
        </is>
      </c>
      <c r="DB234">
        <f>IF('История отказов'!AH237="","",'История отказов'!AH237)</f>
        <v/>
      </c>
      <c r="DC234">
        <f>IF('История отказов'!AE237="","",IF(AND(COUNTIF($CT$2:$CT$2,'История отказов'!AE237)=0,COUNTIFS('История отказов'!$F$5:F237,"ШГН",'История отказов'!$AE$5:AE237,'История отказов'!AE237)=1,'История отказов'!F237="ШГН"),233,""))</f>
        <v/>
      </c>
      <c r="DD234">
        <f>IF('История отказов'!AE237="","",IF(AND(COUNTIF($CU$2:$CU$3,'История отказов'!AE237)=0,COUNTIFS('История отказов'!$F$5:F237,"ЭЦН",'История отказов'!$AE$5:AE237,'История отказов'!AE237)=1,'История отказов'!F237="ЭЦН"),233,""))</f>
        <v/>
      </c>
      <c r="DE234">
        <f>IF('История отказов'!AE237="","",IF(AND(COUNTIF($CV$2:$CV$3,'История отказов'!AE237)=0,COUNTIFS('История отказов'!$F$5:F237,"ЭВН",'История отказов'!$AE$5:AE237,'История отказов'!AE237)=1,'История отказов'!F237="ЭВН"),233,""))</f>
        <v/>
      </c>
      <c r="DF234">
        <f>IF('История отказов'!AE237="","",IF(AND(COUNTIF($CX$2:$CX$2,'История отказов'!AE237)=0,COUNTIFS('История отказов'!$F$5:F237,"ШВН",'История отказов'!$AE$5:AE237,'История отказов'!AE237)=1,'История отказов'!F237="ШВН"),233,""))</f>
        <v/>
      </c>
      <c r="DG234">
        <f>IF('История отказов'!AE237="","",IF(AND(COUNTIF($CW$2:$CW$2,'История отказов'!AE237)=0,COUNTIFS('История отказов'!$F$5:F237,"НПУ-ВД",'История отказов'!$AE$5:AE237,'История отказов'!AE237)=1,'История отказов'!F237="НПУ-ВД"),233,""))</f>
        <v/>
      </c>
      <c r="DH234">
        <f>IF('История отказов'!AE237="","",IF(AND(COUNTIF($CY$2:$CY$6,'История отказов'!AE237)=0,COUNTIF('История отказов'!$AE$5:AE237,'История отказов'!AE237)=1),233,""))</f>
        <v/>
      </c>
      <c r="DI234">
        <f>IF('История отказов'!AK237="","",IF(AND(COUNTIF($CL$2:$CL$3,'История отказов'!AK237)=0,COUNTIF('История отказов'!$AK$5:AK237,'История отказов'!AK237)=1),233,""))</f>
        <v/>
      </c>
      <c r="DJ234">
        <f>IF('История отказов'!AU237="","",IF(AND(COUNTIF($CP$2:$CP$3,'История отказов'!AU237)=0,COUNTIF('История отказов'!$AU$5:AU237,'История отказов'!AU237)=1),233,""))</f>
        <v/>
      </c>
      <c r="DK234">
        <f>IF('История отказов'!AY237="","",IF(AND(COUNTIF($CR$2:$CR$2,'История отказов'!AY237)=0,COUNTIF('История отказов'!$AY$5:AY237,'История отказов'!AY237)=1),233,""))</f>
        <v/>
      </c>
      <c r="DL234">
        <f>IF(DB234="","",IF(AND(COUNTIF($DA$2:$DA$47,DB234)=0,COUNTIF($DB$2:DB234,DB234)=1),233,""))</f>
        <v/>
      </c>
    </row>
    <row r="235">
      <c r="A235" s="74" t="n"/>
      <c r="B235" s="75" t="n"/>
      <c r="C235" s="75" t="n"/>
      <c r="D235" s="75" t="n"/>
      <c r="E235" s="75" t="n"/>
      <c r="F235" s="75" t="n"/>
      <c r="G235" s="76" t="n"/>
      <c r="J235" s="62" t="n"/>
      <c r="K235" s="62" t="n"/>
      <c r="L235" s="62" t="n"/>
      <c r="M235" s="62" t="n"/>
      <c r="N235" s="62" t="n"/>
      <c r="Q235" t="inlineStr">
        <is>
          <t>Предварительная / итоговая причина</t>
        </is>
      </c>
      <c r="R235" t="inlineStr">
        <is>
          <t>3.19.1 — плунжера/ротора [УШГН]</t>
        </is>
      </c>
      <c r="S235" t="inlineStr">
        <is>
          <t>Код и название; метка группы добавлена</t>
        </is>
      </c>
      <c r="T235" t="inlineStr">
        <is>
          <t>Классификатор по способам 2024 V10, лист УШГН</t>
        </is>
      </c>
      <c r="U235" t="inlineStr">
        <is>
          <t>Лист УШГН; код 3.19.1</t>
        </is>
      </c>
      <c r="V235" t="inlineStr">
        <is>
          <t>ШГН/ШВН</t>
        </is>
      </c>
      <c r="DB235">
        <f>IF('История отказов'!AH238="","",'История отказов'!AH238)</f>
        <v/>
      </c>
      <c r="DC235">
        <f>IF('История отказов'!AE238="","",IF(AND(COUNTIF($CT$2:$CT$2,'История отказов'!AE238)=0,COUNTIFS('История отказов'!$F$5:F238,"ШГН",'История отказов'!$AE$5:AE238,'История отказов'!AE238)=1,'История отказов'!F238="ШГН"),234,""))</f>
        <v/>
      </c>
      <c r="DD235">
        <f>IF('История отказов'!AE238="","",IF(AND(COUNTIF($CU$2:$CU$3,'История отказов'!AE238)=0,COUNTIFS('История отказов'!$F$5:F238,"ЭЦН",'История отказов'!$AE$5:AE238,'История отказов'!AE238)=1,'История отказов'!F238="ЭЦН"),234,""))</f>
        <v/>
      </c>
      <c r="DE235">
        <f>IF('История отказов'!AE238="","",IF(AND(COUNTIF($CV$2:$CV$3,'История отказов'!AE238)=0,COUNTIFS('История отказов'!$F$5:F238,"ЭВН",'История отказов'!$AE$5:AE238,'История отказов'!AE238)=1,'История отказов'!F238="ЭВН"),234,""))</f>
        <v/>
      </c>
      <c r="DF235">
        <f>IF('История отказов'!AE238="","",IF(AND(COUNTIF($CX$2:$CX$2,'История отказов'!AE238)=0,COUNTIFS('История отказов'!$F$5:F238,"ШВН",'История отказов'!$AE$5:AE238,'История отказов'!AE238)=1,'История отказов'!F238="ШВН"),234,""))</f>
        <v/>
      </c>
      <c r="DG235">
        <f>IF('История отказов'!AE238="","",IF(AND(COUNTIF($CW$2:$CW$2,'История отказов'!AE238)=0,COUNTIFS('История отказов'!$F$5:F238,"НПУ-ВД",'История отказов'!$AE$5:AE238,'История отказов'!AE238)=1,'История отказов'!F238="НПУ-ВД"),234,""))</f>
        <v/>
      </c>
      <c r="DH235">
        <f>IF('История отказов'!AE238="","",IF(AND(COUNTIF($CY$2:$CY$6,'История отказов'!AE238)=0,COUNTIF('История отказов'!$AE$5:AE238,'История отказов'!AE238)=1),234,""))</f>
        <v/>
      </c>
      <c r="DI235">
        <f>IF('История отказов'!AK238="","",IF(AND(COUNTIF($CL$2:$CL$3,'История отказов'!AK238)=0,COUNTIF('История отказов'!$AK$5:AK238,'История отказов'!AK238)=1),234,""))</f>
        <v/>
      </c>
      <c r="DJ235">
        <f>IF('История отказов'!AU238="","",IF(AND(COUNTIF($CP$2:$CP$3,'История отказов'!AU238)=0,COUNTIF('История отказов'!$AU$5:AU238,'История отказов'!AU238)=1),234,""))</f>
        <v/>
      </c>
      <c r="DK235">
        <f>IF('История отказов'!AY238="","",IF(AND(COUNTIF($CR$2:$CR$2,'История отказов'!AY238)=0,COUNTIF('История отказов'!$AY$5:AY238,'История отказов'!AY238)=1),234,""))</f>
        <v/>
      </c>
      <c r="DL235">
        <f>IF(DB235="","",IF(AND(COUNTIF($DA$2:$DA$47,DB235)=0,COUNTIF($DB$2:DB235,DB235)=1),234,""))</f>
        <v/>
      </c>
    </row>
    <row r="236">
      <c r="A236" s="74" t="n"/>
      <c r="B236" s="75" t="n"/>
      <c r="C236" s="75" t="n"/>
      <c r="D236" s="75" t="n"/>
      <c r="E236" s="75" t="n"/>
      <c r="F236" s="75" t="n"/>
      <c r="G236" s="76" t="n"/>
      <c r="J236" s="62" t="n"/>
      <c r="K236" s="62" t="n"/>
      <c r="L236" s="62" t="n"/>
      <c r="M236" s="62" t="n"/>
      <c r="N236" s="62" t="n"/>
      <c r="Q236" t="inlineStr">
        <is>
          <t>Предварительная / итоговая причина</t>
        </is>
      </c>
      <c r="R236" t="inlineStr">
        <is>
          <t>3.19.2 — клапанного узла [УШГН]</t>
        </is>
      </c>
      <c r="S236" t="inlineStr">
        <is>
          <t>Код и название; метка группы добавлена</t>
        </is>
      </c>
      <c r="T236" t="inlineStr">
        <is>
          <t>Классификатор по способам 2024 V10, лист УШГН</t>
        </is>
      </c>
      <c r="U236" t="inlineStr">
        <is>
          <t>Лист УШГН; код 3.19.2</t>
        </is>
      </c>
      <c r="V236" t="inlineStr">
        <is>
          <t>ШГН/ШВН</t>
        </is>
      </c>
      <c r="DB236">
        <f>IF('История отказов'!AH239="","",'История отказов'!AH239)</f>
        <v/>
      </c>
      <c r="DC236">
        <f>IF('История отказов'!AE239="","",IF(AND(COUNTIF($CT$2:$CT$2,'История отказов'!AE239)=0,COUNTIFS('История отказов'!$F$5:F239,"ШГН",'История отказов'!$AE$5:AE239,'История отказов'!AE239)=1,'История отказов'!F239="ШГН"),235,""))</f>
        <v/>
      </c>
      <c r="DD236">
        <f>IF('История отказов'!AE239="","",IF(AND(COUNTIF($CU$2:$CU$3,'История отказов'!AE239)=0,COUNTIFS('История отказов'!$F$5:F239,"ЭЦН",'История отказов'!$AE$5:AE239,'История отказов'!AE239)=1,'История отказов'!F239="ЭЦН"),235,""))</f>
        <v/>
      </c>
      <c r="DE236">
        <f>IF('История отказов'!AE239="","",IF(AND(COUNTIF($CV$2:$CV$3,'История отказов'!AE239)=0,COUNTIFS('История отказов'!$F$5:F239,"ЭВН",'История отказов'!$AE$5:AE239,'История отказов'!AE239)=1,'История отказов'!F239="ЭВН"),235,""))</f>
        <v/>
      </c>
      <c r="DF236">
        <f>IF('История отказов'!AE239="","",IF(AND(COUNTIF($CX$2:$CX$2,'История отказов'!AE239)=0,COUNTIFS('История отказов'!$F$5:F239,"ШВН",'История отказов'!$AE$5:AE239,'История отказов'!AE239)=1,'История отказов'!F239="ШВН"),235,""))</f>
        <v/>
      </c>
      <c r="DG236">
        <f>IF('История отказов'!AE239="","",IF(AND(COUNTIF($CW$2:$CW$2,'История отказов'!AE239)=0,COUNTIFS('История отказов'!$F$5:F239,"НПУ-ВД",'История отказов'!$AE$5:AE239,'История отказов'!AE239)=1,'История отказов'!F239="НПУ-ВД"),235,""))</f>
        <v/>
      </c>
      <c r="DH236">
        <f>IF('История отказов'!AE239="","",IF(AND(COUNTIF($CY$2:$CY$6,'История отказов'!AE239)=0,COUNTIF('История отказов'!$AE$5:AE239,'История отказов'!AE239)=1),235,""))</f>
        <v/>
      </c>
      <c r="DI236">
        <f>IF('История отказов'!AK239="","",IF(AND(COUNTIF($CL$2:$CL$3,'История отказов'!AK239)=0,COUNTIF('История отказов'!$AK$5:AK239,'История отказов'!AK239)=1),235,""))</f>
        <v/>
      </c>
      <c r="DJ236">
        <f>IF('История отказов'!AU239="","",IF(AND(COUNTIF($CP$2:$CP$3,'История отказов'!AU239)=0,COUNTIF('История отказов'!$AU$5:AU239,'История отказов'!AU239)=1),235,""))</f>
        <v/>
      </c>
      <c r="DK236">
        <f>IF('История отказов'!AY239="","",IF(AND(COUNTIF($CR$2:$CR$2,'История отказов'!AY239)=0,COUNTIF('История отказов'!$AY$5:AY239,'История отказов'!AY239)=1),235,""))</f>
        <v/>
      </c>
      <c r="DL236">
        <f>IF(DB236="","",IF(AND(COUNTIF($DA$2:$DA$47,DB236)=0,COUNTIF($DB$2:DB236,DB236)=1),235,""))</f>
        <v/>
      </c>
    </row>
    <row r="237">
      <c r="A237" s="74" t="n"/>
      <c r="B237" s="75" t="n"/>
      <c r="C237" s="75" t="n"/>
      <c r="D237" s="75" t="n"/>
      <c r="E237" s="75" t="n"/>
      <c r="F237" s="75" t="n"/>
      <c r="G237" s="76" t="n"/>
      <c r="J237" s="62" t="n"/>
      <c r="K237" s="62" t="n"/>
      <c r="L237" s="62" t="n"/>
      <c r="M237" s="62" t="n"/>
      <c r="N237" s="62" t="n"/>
      <c r="Q237" t="inlineStr">
        <is>
          <t>Предварительная / итоговая причина</t>
        </is>
      </c>
      <c r="R237" t="inlineStr">
        <is>
          <t>3.19.3 — Нарушение эластомера [УШГН]</t>
        </is>
      </c>
      <c r="S237" t="inlineStr">
        <is>
          <t>Код и название; метка группы добавлена</t>
        </is>
      </c>
      <c r="T237" t="inlineStr">
        <is>
          <t>Классификатор по способам 2024 V10, лист УШГН</t>
        </is>
      </c>
      <c r="U237" t="inlineStr">
        <is>
          <t>Лист УШГН; код 3.19.3</t>
        </is>
      </c>
      <c r="V237" t="inlineStr">
        <is>
          <t>ШГН/ШВН</t>
        </is>
      </c>
      <c r="DB237">
        <f>IF('История отказов'!AH240="","",'История отказов'!AH240)</f>
        <v/>
      </c>
      <c r="DC237">
        <f>IF('История отказов'!AE240="","",IF(AND(COUNTIF($CT$2:$CT$2,'История отказов'!AE240)=0,COUNTIFS('История отказов'!$F$5:F240,"ШГН",'История отказов'!$AE$5:AE240,'История отказов'!AE240)=1,'История отказов'!F240="ШГН"),236,""))</f>
        <v/>
      </c>
      <c r="DD237">
        <f>IF('История отказов'!AE240="","",IF(AND(COUNTIF($CU$2:$CU$3,'История отказов'!AE240)=0,COUNTIFS('История отказов'!$F$5:F240,"ЭЦН",'История отказов'!$AE$5:AE240,'История отказов'!AE240)=1,'История отказов'!F240="ЭЦН"),236,""))</f>
        <v/>
      </c>
      <c r="DE237">
        <f>IF('История отказов'!AE240="","",IF(AND(COUNTIF($CV$2:$CV$3,'История отказов'!AE240)=0,COUNTIFS('История отказов'!$F$5:F240,"ЭВН",'История отказов'!$AE$5:AE240,'История отказов'!AE240)=1,'История отказов'!F240="ЭВН"),236,""))</f>
        <v/>
      </c>
      <c r="DF237">
        <f>IF('История отказов'!AE240="","",IF(AND(COUNTIF($CX$2:$CX$2,'История отказов'!AE240)=0,COUNTIFS('История отказов'!$F$5:F240,"ШВН",'История отказов'!$AE$5:AE240,'История отказов'!AE240)=1,'История отказов'!F240="ШВН"),236,""))</f>
        <v/>
      </c>
      <c r="DG237">
        <f>IF('История отказов'!AE240="","",IF(AND(COUNTIF($CW$2:$CW$2,'История отказов'!AE240)=0,COUNTIFS('История отказов'!$F$5:F240,"НПУ-ВД",'История отказов'!$AE$5:AE240,'История отказов'!AE240)=1,'История отказов'!F240="НПУ-ВД"),236,""))</f>
        <v/>
      </c>
      <c r="DH237">
        <f>IF('История отказов'!AE240="","",IF(AND(COUNTIF($CY$2:$CY$6,'История отказов'!AE240)=0,COUNTIF('История отказов'!$AE$5:AE240,'История отказов'!AE240)=1),236,""))</f>
        <v/>
      </c>
      <c r="DI237">
        <f>IF('История отказов'!AK240="","",IF(AND(COUNTIF($CL$2:$CL$3,'История отказов'!AK240)=0,COUNTIF('История отказов'!$AK$5:AK240,'История отказов'!AK240)=1),236,""))</f>
        <v/>
      </c>
      <c r="DJ237">
        <f>IF('История отказов'!AU240="","",IF(AND(COUNTIF($CP$2:$CP$3,'История отказов'!AU240)=0,COUNTIF('История отказов'!$AU$5:AU240,'История отказов'!AU240)=1),236,""))</f>
        <v/>
      </c>
      <c r="DK237">
        <f>IF('История отказов'!AY240="","",IF(AND(COUNTIF($CR$2:$CR$2,'История отказов'!AY240)=0,COUNTIF('История отказов'!$AY$5:AY240,'История отказов'!AY240)=1),236,""))</f>
        <v/>
      </c>
      <c r="DL237">
        <f>IF(DB237="","",IF(AND(COUNTIF($DA$2:$DA$47,DB237)=0,COUNTIF($DB$2:DB237,DB237)=1),236,""))</f>
        <v/>
      </c>
    </row>
    <row r="238">
      <c r="A238" s="74" t="n"/>
      <c r="B238" s="75" t="n"/>
      <c r="C238" s="75" t="n"/>
      <c r="D238" s="75" t="n"/>
      <c r="E238" s="75" t="n"/>
      <c r="F238" s="75" t="n"/>
      <c r="G238" s="76" t="n"/>
      <c r="J238" s="62" t="n"/>
      <c r="K238" s="62" t="n"/>
      <c r="L238" s="62" t="n"/>
      <c r="M238" s="62" t="n"/>
      <c r="N238" s="62" t="n"/>
      <c r="Q238" t="inlineStr">
        <is>
          <t>Предварительная / итоговая причина</t>
        </is>
      </c>
      <c r="R238" t="inlineStr">
        <is>
          <t>3.20 — Отказ якоря/анкера/пакера [УШГН]</t>
        </is>
      </c>
      <c r="S238" t="inlineStr">
        <is>
          <t>Код и название; метка группы добавлена</t>
        </is>
      </c>
      <c r="T238" t="inlineStr">
        <is>
          <t>Классификатор по способам 2024 V10, лист УШГН</t>
        </is>
      </c>
      <c r="U238" t="inlineStr">
        <is>
          <t>Лист УШГН; код 3.20</t>
        </is>
      </c>
      <c r="V238" t="inlineStr">
        <is>
          <t>ШГН/ШВН</t>
        </is>
      </c>
      <c r="DB238">
        <f>IF('История отказов'!AH241="","",'История отказов'!AH241)</f>
        <v/>
      </c>
      <c r="DC238">
        <f>IF('История отказов'!AE241="","",IF(AND(COUNTIF($CT$2:$CT$2,'История отказов'!AE241)=0,COUNTIFS('История отказов'!$F$5:F241,"ШГН",'История отказов'!$AE$5:AE241,'История отказов'!AE241)=1,'История отказов'!F241="ШГН"),237,""))</f>
        <v/>
      </c>
      <c r="DD238">
        <f>IF('История отказов'!AE241="","",IF(AND(COUNTIF($CU$2:$CU$3,'История отказов'!AE241)=0,COUNTIFS('История отказов'!$F$5:F241,"ЭЦН",'История отказов'!$AE$5:AE241,'История отказов'!AE241)=1,'История отказов'!F241="ЭЦН"),237,""))</f>
        <v/>
      </c>
      <c r="DE238">
        <f>IF('История отказов'!AE241="","",IF(AND(COUNTIF($CV$2:$CV$3,'История отказов'!AE241)=0,COUNTIFS('История отказов'!$F$5:F241,"ЭВН",'История отказов'!$AE$5:AE241,'История отказов'!AE241)=1,'История отказов'!F241="ЭВН"),237,""))</f>
        <v/>
      </c>
      <c r="DF238">
        <f>IF('История отказов'!AE241="","",IF(AND(COUNTIF($CX$2:$CX$2,'История отказов'!AE241)=0,COUNTIFS('История отказов'!$F$5:F241,"ШВН",'История отказов'!$AE$5:AE241,'История отказов'!AE241)=1,'История отказов'!F241="ШВН"),237,""))</f>
        <v/>
      </c>
      <c r="DG238">
        <f>IF('История отказов'!AE241="","",IF(AND(COUNTIF($CW$2:$CW$2,'История отказов'!AE241)=0,COUNTIFS('История отказов'!$F$5:F241,"НПУ-ВД",'История отказов'!$AE$5:AE241,'История отказов'!AE241)=1,'История отказов'!F241="НПУ-ВД"),237,""))</f>
        <v/>
      </c>
      <c r="DH238">
        <f>IF('История отказов'!AE241="","",IF(AND(COUNTIF($CY$2:$CY$6,'История отказов'!AE241)=0,COUNTIF('История отказов'!$AE$5:AE241,'История отказов'!AE241)=1),237,""))</f>
        <v/>
      </c>
      <c r="DI238">
        <f>IF('История отказов'!AK241="","",IF(AND(COUNTIF($CL$2:$CL$3,'История отказов'!AK241)=0,COUNTIF('История отказов'!$AK$5:AK241,'История отказов'!AK241)=1),237,""))</f>
        <v/>
      </c>
      <c r="DJ238">
        <f>IF('История отказов'!AU241="","",IF(AND(COUNTIF($CP$2:$CP$3,'История отказов'!AU241)=0,COUNTIF('История отказов'!$AU$5:AU241,'История отказов'!AU241)=1),237,""))</f>
        <v/>
      </c>
      <c r="DK238">
        <f>IF('История отказов'!AY241="","",IF(AND(COUNTIF($CR$2:$CR$2,'История отказов'!AY241)=0,COUNTIF('История отказов'!$AY$5:AY241,'История отказов'!AY241)=1),237,""))</f>
        <v/>
      </c>
      <c r="DL238">
        <f>IF(DB238="","",IF(AND(COUNTIF($DA$2:$DA$47,DB238)=0,COUNTIF($DB$2:DB238,DB238)=1),237,""))</f>
        <v/>
      </c>
    </row>
    <row r="239">
      <c r="A239" s="74" t="n"/>
      <c r="B239" s="75" t="n"/>
      <c r="C239" s="75" t="n"/>
      <c r="D239" s="75" t="n"/>
      <c r="E239" s="75" t="n"/>
      <c r="F239" s="75" t="n"/>
      <c r="G239" s="76" t="n"/>
      <c r="J239" s="62" t="n"/>
      <c r="K239" s="62" t="n"/>
      <c r="L239" s="62" t="n"/>
      <c r="M239" s="62" t="n"/>
      <c r="N239" s="62" t="n"/>
      <c r="Q239" t="inlineStr">
        <is>
          <t>Предварительная / итоговая причина</t>
        </is>
      </c>
      <c r="R239" t="inlineStr">
        <is>
          <t>3.21 — ГЕОЛОГО-ТЕХНИЧЕСКИЕ МЕРОПРИЯТИЯ (ГТМ) [УШГН]</t>
        </is>
      </c>
      <c r="S239" t="inlineStr">
        <is>
          <t>Код и название; метка группы добавлена</t>
        </is>
      </c>
      <c r="T239" t="inlineStr">
        <is>
          <t>Классификатор по способам 2024 V10, лист УШГН</t>
        </is>
      </c>
      <c r="U239" t="inlineStr">
        <is>
          <t>Лист УШГН; код 3.21</t>
        </is>
      </c>
      <c r="V239" t="inlineStr">
        <is>
          <t>ШГН/ШВН</t>
        </is>
      </c>
      <c r="DB239">
        <f>IF('История отказов'!AH242="","",'История отказов'!AH242)</f>
        <v/>
      </c>
      <c r="DC239">
        <f>IF('История отказов'!AE242="","",IF(AND(COUNTIF($CT$2:$CT$2,'История отказов'!AE242)=0,COUNTIFS('История отказов'!$F$5:F242,"ШГН",'История отказов'!$AE$5:AE242,'История отказов'!AE242)=1,'История отказов'!F242="ШГН"),238,""))</f>
        <v/>
      </c>
      <c r="DD239">
        <f>IF('История отказов'!AE242="","",IF(AND(COUNTIF($CU$2:$CU$3,'История отказов'!AE242)=0,COUNTIFS('История отказов'!$F$5:F242,"ЭЦН",'История отказов'!$AE$5:AE242,'История отказов'!AE242)=1,'История отказов'!F242="ЭЦН"),238,""))</f>
        <v/>
      </c>
      <c r="DE239">
        <f>IF('История отказов'!AE242="","",IF(AND(COUNTIF($CV$2:$CV$3,'История отказов'!AE242)=0,COUNTIFS('История отказов'!$F$5:F242,"ЭВН",'История отказов'!$AE$5:AE242,'История отказов'!AE242)=1,'История отказов'!F242="ЭВН"),238,""))</f>
        <v/>
      </c>
      <c r="DF239">
        <f>IF('История отказов'!AE242="","",IF(AND(COUNTIF($CX$2:$CX$2,'История отказов'!AE242)=0,COUNTIFS('История отказов'!$F$5:F242,"ШВН",'История отказов'!$AE$5:AE242,'История отказов'!AE242)=1,'История отказов'!F242="ШВН"),238,""))</f>
        <v/>
      </c>
      <c r="DG239">
        <f>IF('История отказов'!AE242="","",IF(AND(COUNTIF($CW$2:$CW$2,'История отказов'!AE242)=0,COUNTIFS('История отказов'!$F$5:F242,"НПУ-ВД",'История отказов'!$AE$5:AE242,'История отказов'!AE242)=1,'История отказов'!F242="НПУ-ВД"),238,""))</f>
        <v/>
      </c>
      <c r="DH239">
        <f>IF('История отказов'!AE242="","",IF(AND(COUNTIF($CY$2:$CY$6,'История отказов'!AE242)=0,COUNTIF('История отказов'!$AE$5:AE242,'История отказов'!AE242)=1),238,""))</f>
        <v/>
      </c>
      <c r="DI239">
        <f>IF('История отказов'!AK242="","",IF(AND(COUNTIF($CL$2:$CL$3,'История отказов'!AK242)=0,COUNTIF('История отказов'!$AK$5:AK242,'История отказов'!AK242)=1),238,""))</f>
        <v/>
      </c>
      <c r="DJ239">
        <f>IF('История отказов'!AU242="","",IF(AND(COUNTIF($CP$2:$CP$3,'История отказов'!AU242)=0,COUNTIF('История отказов'!$AU$5:AU242,'История отказов'!AU242)=1),238,""))</f>
        <v/>
      </c>
      <c r="DK239">
        <f>IF('История отказов'!AY242="","",IF(AND(COUNTIF($CR$2:$CR$2,'История отказов'!AY242)=0,COUNTIF('История отказов'!$AY$5:AY242,'История отказов'!AY242)=1),238,""))</f>
        <v/>
      </c>
      <c r="DL239">
        <f>IF(DB239="","",IF(AND(COUNTIF($DA$2:$DA$47,DB239)=0,COUNTIF($DB$2:DB239,DB239)=1),238,""))</f>
        <v/>
      </c>
    </row>
    <row r="240">
      <c r="A240" s="74" t="n"/>
      <c r="B240" s="75" t="n"/>
      <c r="C240" s="75" t="n"/>
      <c r="D240" s="75" t="n"/>
      <c r="E240" s="75" t="n"/>
      <c r="F240" s="75" t="n"/>
      <c r="G240" s="76" t="n"/>
      <c r="J240" s="62" t="n"/>
      <c r="K240" s="62" t="n"/>
      <c r="L240" s="62" t="n"/>
      <c r="M240" s="62" t="n"/>
      <c r="N240" s="62" t="n"/>
      <c r="Q240" t="inlineStr">
        <is>
          <t>Предварительная / итоговая причина</t>
        </is>
      </c>
      <c r="R240" t="inlineStr">
        <is>
          <t>3.22 — Прочие [УШГН]</t>
        </is>
      </c>
      <c r="S240" t="inlineStr">
        <is>
          <t>Код и название; метка группы добавлена</t>
        </is>
      </c>
      <c r="T240" t="inlineStr">
        <is>
          <t>Классификатор по способам 2024 V10, лист УШГН</t>
        </is>
      </c>
      <c r="U240" t="inlineStr">
        <is>
          <t>Лист УШГН; код 3.22</t>
        </is>
      </c>
      <c r="V240" t="inlineStr">
        <is>
          <t>ШГН/ШВН</t>
        </is>
      </c>
      <c r="DB240">
        <f>IF('История отказов'!AH243="","",'История отказов'!AH243)</f>
        <v/>
      </c>
      <c r="DC240">
        <f>IF('История отказов'!AE243="","",IF(AND(COUNTIF($CT$2:$CT$2,'История отказов'!AE243)=0,COUNTIFS('История отказов'!$F$5:F243,"ШГН",'История отказов'!$AE$5:AE243,'История отказов'!AE243)=1,'История отказов'!F243="ШГН"),239,""))</f>
        <v/>
      </c>
      <c r="DD240">
        <f>IF('История отказов'!AE243="","",IF(AND(COUNTIF($CU$2:$CU$3,'История отказов'!AE243)=0,COUNTIFS('История отказов'!$F$5:F243,"ЭЦН",'История отказов'!$AE$5:AE243,'История отказов'!AE243)=1,'История отказов'!F243="ЭЦН"),239,""))</f>
        <v/>
      </c>
      <c r="DE240">
        <f>IF('История отказов'!AE243="","",IF(AND(COUNTIF($CV$2:$CV$3,'История отказов'!AE243)=0,COUNTIFS('История отказов'!$F$5:F243,"ЭВН",'История отказов'!$AE$5:AE243,'История отказов'!AE243)=1,'История отказов'!F243="ЭВН"),239,""))</f>
        <v/>
      </c>
      <c r="DF240">
        <f>IF('История отказов'!AE243="","",IF(AND(COUNTIF($CX$2:$CX$2,'История отказов'!AE243)=0,COUNTIFS('История отказов'!$F$5:F243,"ШВН",'История отказов'!$AE$5:AE243,'История отказов'!AE243)=1,'История отказов'!F243="ШВН"),239,""))</f>
        <v/>
      </c>
      <c r="DG240">
        <f>IF('История отказов'!AE243="","",IF(AND(COUNTIF($CW$2:$CW$2,'История отказов'!AE243)=0,COUNTIFS('История отказов'!$F$5:F243,"НПУ-ВД",'История отказов'!$AE$5:AE243,'История отказов'!AE243)=1,'История отказов'!F243="НПУ-ВД"),239,""))</f>
        <v/>
      </c>
      <c r="DH240">
        <f>IF('История отказов'!AE243="","",IF(AND(COUNTIF($CY$2:$CY$6,'История отказов'!AE243)=0,COUNTIF('История отказов'!$AE$5:AE243,'История отказов'!AE243)=1),239,""))</f>
        <v/>
      </c>
      <c r="DI240">
        <f>IF('История отказов'!AK243="","",IF(AND(COUNTIF($CL$2:$CL$3,'История отказов'!AK243)=0,COUNTIF('История отказов'!$AK$5:AK243,'История отказов'!AK243)=1),239,""))</f>
        <v/>
      </c>
      <c r="DJ240">
        <f>IF('История отказов'!AU243="","",IF(AND(COUNTIF($CP$2:$CP$3,'История отказов'!AU243)=0,COUNTIF('История отказов'!$AU$5:AU243,'История отказов'!AU243)=1),239,""))</f>
        <v/>
      </c>
      <c r="DK240">
        <f>IF('История отказов'!AY243="","",IF(AND(COUNTIF($CR$2:$CR$2,'История отказов'!AY243)=0,COUNTIF('История отказов'!$AY$5:AY243,'История отказов'!AY243)=1),239,""))</f>
        <v/>
      </c>
      <c r="DL240">
        <f>IF(DB240="","",IF(AND(COUNTIF($DA$2:$DA$47,DB240)=0,COUNTIF($DB$2:DB240,DB240)=1),239,""))</f>
        <v/>
      </c>
    </row>
    <row r="241">
      <c r="A241" s="74" t="n"/>
      <c r="B241" s="75" t="n"/>
      <c r="C241" s="75" t="n"/>
      <c r="D241" s="75" t="n"/>
      <c r="E241" s="75" t="n"/>
      <c r="F241" s="75" t="n"/>
      <c r="G241" s="76" t="n"/>
      <c r="J241" s="62" t="n"/>
      <c r="K241" s="62" t="n"/>
      <c r="L241" s="62" t="n"/>
      <c r="M241" s="62" t="n"/>
      <c r="N241" s="62" t="n"/>
      <c r="Q241" t="inlineStr">
        <is>
          <t>Предварительная / итоговая причина</t>
        </is>
      </c>
      <c r="R241" t="inlineStr">
        <is>
          <t>4.1 — Некачественный ремонт и подготовки ШГН, ШВН, штанг, НКТ. [УШГН]</t>
        </is>
      </c>
      <c r="S241" t="inlineStr">
        <is>
          <t>Код и название; метка группы добавлена</t>
        </is>
      </c>
      <c r="T241" t="inlineStr">
        <is>
          <t>Классификатор по способам 2024 V10, лист УШГН</t>
        </is>
      </c>
      <c r="U241" t="inlineStr">
        <is>
          <t>Лист УШГН; код 4.1</t>
        </is>
      </c>
      <c r="V241" t="inlineStr">
        <is>
          <t>ШГН/ШВН</t>
        </is>
      </c>
      <c r="DB241">
        <f>IF('История отказов'!AH244="","",'История отказов'!AH244)</f>
        <v/>
      </c>
      <c r="DC241">
        <f>IF('История отказов'!AE244="","",IF(AND(COUNTIF($CT$2:$CT$2,'История отказов'!AE244)=0,COUNTIFS('История отказов'!$F$5:F244,"ШГН",'История отказов'!$AE$5:AE244,'История отказов'!AE244)=1,'История отказов'!F244="ШГН"),240,""))</f>
        <v/>
      </c>
      <c r="DD241">
        <f>IF('История отказов'!AE244="","",IF(AND(COUNTIF($CU$2:$CU$3,'История отказов'!AE244)=0,COUNTIFS('История отказов'!$F$5:F244,"ЭЦН",'История отказов'!$AE$5:AE244,'История отказов'!AE244)=1,'История отказов'!F244="ЭЦН"),240,""))</f>
        <v/>
      </c>
      <c r="DE241">
        <f>IF('История отказов'!AE244="","",IF(AND(COUNTIF($CV$2:$CV$3,'История отказов'!AE244)=0,COUNTIFS('История отказов'!$F$5:F244,"ЭВН",'История отказов'!$AE$5:AE244,'История отказов'!AE244)=1,'История отказов'!F244="ЭВН"),240,""))</f>
        <v/>
      </c>
      <c r="DF241">
        <f>IF('История отказов'!AE244="","",IF(AND(COUNTIF($CX$2:$CX$2,'История отказов'!AE244)=0,COUNTIFS('История отказов'!$F$5:F244,"ШВН",'История отказов'!$AE$5:AE244,'История отказов'!AE244)=1,'История отказов'!F244="ШВН"),240,""))</f>
        <v/>
      </c>
      <c r="DG241">
        <f>IF('История отказов'!AE244="","",IF(AND(COUNTIF($CW$2:$CW$2,'История отказов'!AE244)=0,COUNTIFS('История отказов'!$F$5:F244,"НПУ-ВД",'История отказов'!$AE$5:AE244,'История отказов'!AE244)=1,'История отказов'!F244="НПУ-ВД"),240,""))</f>
        <v/>
      </c>
      <c r="DH241">
        <f>IF('История отказов'!AE244="","",IF(AND(COUNTIF($CY$2:$CY$6,'История отказов'!AE244)=0,COUNTIF('История отказов'!$AE$5:AE244,'История отказов'!AE244)=1),240,""))</f>
        <v/>
      </c>
      <c r="DI241">
        <f>IF('История отказов'!AK244="","",IF(AND(COUNTIF($CL$2:$CL$3,'История отказов'!AK244)=0,COUNTIF('История отказов'!$AK$5:AK244,'История отказов'!AK244)=1),240,""))</f>
        <v/>
      </c>
      <c r="DJ241">
        <f>IF('История отказов'!AU244="","",IF(AND(COUNTIF($CP$2:$CP$3,'История отказов'!AU244)=0,COUNTIF('История отказов'!$AU$5:AU244,'История отказов'!AU244)=1),240,""))</f>
        <v/>
      </c>
      <c r="DK241">
        <f>IF('История отказов'!AY244="","",IF(AND(COUNTIF($CR$2:$CR$2,'История отказов'!AY244)=0,COUNTIF('История отказов'!$AY$5:AY244,'История отказов'!AY244)=1),240,""))</f>
        <v/>
      </c>
      <c r="DL241">
        <f>IF(DB241="","",IF(AND(COUNTIF($DA$2:$DA$47,DB241)=0,COUNTIF($DB$2:DB241,DB241)=1),240,""))</f>
        <v/>
      </c>
    </row>
    <row r="242">
      <c r="A242" s="74" t="n"/>
      <c r="B242" s="75" t="n"/>
      <c r="C242" s="75" t="n"/>
      <c r="D242" s="75" t="n"/>
      <c r="E242" s="75" t="n"/>
      <c r="F242" s="75" t="n"/>
      <c r="G242" s="76" t="n"/>
      <c r="J242" s="62" t="n"/>
      <c r="K242" s="62" t="n"/>
      <c r="L242" s="62" t="n"/>
      <c r="M242" s="62" t="n"/>
      <c r="N242" s="62" t="n"/>
      <c r="Q242" t="inlineStr">
        <is>
          <t>Предварительная / итоговая причина</t>
        </is>
      </c>
      <c r="R242" t="inlineStr">
        <is>
          <t>4.2 — Некачественный ремонт дополнительного оборудования [УШГН]</t>
        </is>
      </c>
      <c r="S242" t="inlineStr">
        <is>
          <t>Код и название; метка группы добавлена</t>
        </is>
      </c>
      <c r="T242" t="inlineStr">
        <is>
          <t>Классификатор по способам 2024 V10, лист УШГН</t>
        </is>
      </c>
      <c r="U242" t="inlineStr">
        <is>
          <t>Лист УШГН; код 4.2</t>
        </is>
      </c>
      <c r="V242" t="inlineStr">
        <is>
          <t>ШГН/ШВН</t>
        </is>
      </c>
      <c r="DB242">
        <f>IF('История отказов'!AH245="","",'История отказов'!AH245)</f>
        <v/>
      </c>
      <c r="DC242">
        <f>IF('История отказов'!AE245="","",IF(AND(COUNTIF($CT$2:$CT$2,'История отказов'!AE245)=0,COUNTIFS('История отказов'!$F$5:F245,"ШГН",'История отказов'!$AE$5:AE245,'История отказов'!AE245)=1,'История отказов'!F245="ШГН"),241,""))</f>
        <v/>
      </c>
      <c r="DD242">
        <f>IF('История отказов'!AE245="","",IF(AND(COUNTIF($CU$2:$CU$3,'История отказов'!AE245)=0,COUNTIFS('История отказов'!$F$5:F245,"ЭЦН",'История отказов'!$AE$5:AE245,'История отказов'!AE245)=1,'История отказов'!F245="ЭЦН"),241,""))</f>
        <v/>
      </c>
      <c r="DE242">
        <f>IF('История отказов'!AE245="","",IF(AND(COUNTIF($CV$2:$CV$3,'История отказов'!AE245)=0,COUNTIFS('История отказов'!$F$5:F245,"ЭВН",'История отказов'!$AE$5:AE245,'История отказов'!AE245)=1,'История отказов'!F245="ЭВН"),241,""))</f>
        <v/>
      </c>
      <c r="DF242">
        <f>IF('История отказов'!AE245="","",IF(AND(COUNTIF($CX$2:$CX$2,'История отказов'!AE245)=0,COUNTIFS('История отказов'!$F$5:F245,"ШВН",'История отказов'!$AE$5:AE245,'История отказов'!AE245)=1,'История отказов'!F245="ШВН"),241,""))</f>
        <v/>
      </c>
      <c r="DG242">
        <f>IF('История отказов'!AE245="","",IF(AND(COUNTIF($CW$2:$CW$2,'История отказов'!AE245)=0,COUNTIFS('История отказов'!$F$5:F245,"НПУ-ВД",'История отказов'!$AE$5:AE245,'История отказов'!AE245)=1,'История отказов'!F245="НПУ-ВД"),241,""))</f>
        <v/>
      </c>
      <c r="DH242">
        <f>IF('История отказов'!AE245="","",IF(AND(COUNTIF($CY$2:$CY$6,'История отказов'!AE245)=0,COUNTIF('История отказов'!$AE$5:AE245,'История отказов'!AE245)=1),241,""))</f>
        <v/>
      </c>
      <c r="DI242">
        <f>IF('История отказов'!AK245="","",IF(AND(COUNTIF($CL$2:$CL$3,'История отказов'!AK245)=0,COUNTIF('История отказов'!$AK$5:AK245,'История отказов'!AK245)=1),241,""))</f>
        <v/>
      </c>
      <c r="DJ242">
        <f>IF('История отказов'!AU245="","",IF(AND(COUNTIF($CP$2:$CP$3,'История отказов'!AU245)=0,COUNTIF('История отказов'!$AU$5:AU245,'История отказов'!AU245)=1),241,""))</f>
        <v/>
      </c>
      <c r="DK242">
        <f>IF('История отказов'!AY245="","",IF(AND(COUNTIF($CR$2:$CR$2,'История отказов'!AY245)=0,COUNTIF('История отказов'!$AY$5:AY245,'История отказов'!AY245)=1),241,""))</f>
        <v/>
      </c>
      <c r="DL242">
        <f>IF(DB242="","",IF(AND(COUNTIF($DA$2:$DA$47,DB242)=0,COUNTIF($DB$2:DB242,DB242)=1),241,""))</f>
        <v/>
      </c>
    </row>
    <row r="243">
      <c r="A243" s="74" t="n"/>
      <c r="B243" s="75" t="n"/>
      <c r="C243" s="75" t="n"/>
      <c r="D243" s="75" t="n"/>
      <c r="E243" s="75" t="n"/>
      <c r="F243" s="75" t="n"/>
      <c r="G243" s="76" t="n"/>
      <c r="J243" s="62" t="n"/>
      <c r="K243" s="62" t="n"/>
      <c r="L243" s="62" t="n"/>
      <c r="M243" s="62" t="n"/>
      <c r="N243" s="62" t="n"/>
      <c r="Q243" t="inlineStr">
        <is>
          <t>Предварительная / итоговая причина</t>
        </is>
      </c>
      <c r="R243" t="inlineStr">
        <is>
          <t>4.3 — Неправильная комплектация ГНО [УШГН]</t>
        </is>
      </c>
      <c r="S243" t="inlineStr">
        <is>
          <t>Код и название; метка группы добавлена</t>
        </is>
      </c>
      <c r="T243" t="inlineStr">
        <is>
          <t>Классификатор по способам 2024 V10, лист УШГН</t>
        </is>
      </c>
      <c r="U243" t="inlineStr">
        <is>
          <t>Лист УШГН; код 4.3</t>
        </is>
      </c>
      <c r="V243" t="inlineStr">
        <is>
          <t>ШГН/ШВН</t>
        </is>
      </c>
      <c r="DB243">
        <f>IF('История отказов'!AH246="","",'История отказов'!AH246)</f>
        <v/>
      </c>
      <c r="DC243">
        <f>IF('История отказов'!AE246="","",IF(AND(COUNTIF($CT$2:$CT$2,'История отказов'!AE246)=0,COUNTIFS('История отказов'!$F$5:F246,"ШГН",'История отказов'!$AE$5:AE246,'История отказов'!AE246)=1,'История отказов'!F246="ШГН"),242,""))</f>
        <v/>
      </c>
      <c r="DD243">
        <f>IF('История отказов'!AE246="","",IF(AND(COUNTIF($CU$2:$CU$3,'История отказов'!AE246)=0,COUNTIFS('История отказов'!$F$5:F246,"ЭЦН",'История отказов'!$AE$5:AE246,'История отказов'!AE246)=1,'История отказов'!F246="ЭЦН"),242,""))</f>
        <v/>
      </c>
      <c r="DE243">
        <f>IF('История отказов'!AE246="","",IF(AND(COUNTIF($CV$2:$CV$3,'История отказов'!AE246)=0,COUNTIFS('История отказов'!$F$5:F246,"ЭВН",'История отказов'!$AE$5:AE246,'История отказов'!AE246)=1,'История отказов'!F246="ЭВН"),242,""))</f>
        <v/>
      </c>
      <c r="DF243">
        <f>IF('История отказов'!AE246="","",IF(AND(COUNTIF($CX$2:$CX$2,'История отказов'!AE246)=0,COUNTIFS('История отказов'!$F$5:F246,"ШВН",'История отказов'!$AE$5:AE246,'История отказов'!AE246)=1,'История отказов'!F246="ШВН"),242,""))</f>
        <v/>
      </c>
      <c r="DG243">
        <f>IF('История отказов'!AE246="","",IF(AND(COUNTIF($CW$2:$CW$2,'История отказов'!AE246)=0,COUNTIFS('История отказов'!$F$5:F246,"НПУ-ВД",'История отказов'!$AE$5:AE246,'История отказов'!AE246)=1,'История отказов'!F246="НПУ-ВД"),242,""))</f>
        <v/>
      </c>
      <c r="DH243">
        <f>IF('История отказов'!AE246="","",IF(AND(COUNTIF($CY$2:$CY$6,'История отказов'!AE246)=0,COUNTIF('История отказов'!$AE$5:AE246,'История отказов'!AE246)=1),242,""))</f>
        <v/>
      </c>
      <c r="DI243">
        <f>IF('История отказов'!AK246="","",IF(AND(COUNTIF($CL$2:$CL$3,'История отказов'!AK246)=0,COUNTIF('История отказов'!$AK$5:AK246,'История отказов'!AK246)=1),242,""))</f>
        <v/>
      </c>
      <c r="DJ243">
        <f>IF('История отказов'!AU246="","",IF(AND(COUNTIF($CP$2:$CP$3,'История отказов'!AU246)=0,COUNTIF('История отказов'!$AU$5:AU246,'История отказов'!AU246)=1),242,""))</f>
        <v/>
      </c>
      <c r="DK243">
        <f>IF('История отказов'!AY246="","",IF(AND(COUNTIF($CR$2:$CR$2,'История отказов'!AY246)=0,COUNTIF('История отказов'!$AY$5:AY246,'История отказов'!AY246)=1),242,""))</f>
        <v/>
      </c>
      <c r="DL243">
        <f>IF(DB243="","",IF(AND(COUNTIF($DA$2:$DA$47,DB243)=0,COUNTIF($DB$2:DB243,DB243)=1),242,""))</f>
        <v/>
      </c>
    </row>
    <row r="244">
      <c r="A244" s="74" t="n"/>
      <c r="B244" s="75" t="n"/>
      <c r="C244" s="75" t="n"/>
      <c r="D244" s="75" t="n"/>
      <c r="E244" s="75" t="n"/>
      <c r="F244" s="75" t="n"/>
      <c r="G244" s="76" t="n"/>
      <c r="J244" s="62" t="n"/>
      <c r="K244" s="62" t="n"/>
      <c r="L244" s="62" t="n"/>
      <c r="M244" s="62" t="n"/>
      <c r="N244" s="62" t="n"/>
      <c r="Q244" t="inlineStr">
        <is>
          <t>Предварительная / итоговая причина</t>
        </is>
      </c>
      <c r="R244" t="inlineStr">
        <is>
          <t>4.4 — Организационные причины по вине подрядной организации [УШГН]</t>
        </is>
      </c>
      <c r="S244" t="inlineStr">
        <is>
          <t>Код и название; метка группы добавлена</t>
        </is>
      </c>
      <c r="T244" t="inlineStr">
        <is>
          <t>Классификатор по способам 2024 V10, лист УШГН</t>
        </is>
      </c>
      <c r="U244" t="inlineStr">
        <is>
          <t>Лист УШГН; код 4.4</t>
        </is>
      </c>
      <c r="V244" t="inlineStr">
        <is>
          <t>ШГН/ШВН</t>
        </is>
      </c>
      <c r="DB244">
        <f>IF('История отказов'!AH247="","",'История отказов'!AH247)</f>
        <v/>
      </c>
      <c r="DC244">
        <f>IF('История отказов'!AE247="","",IF(AND(COUNTIF($CT$2:$CT$2,'История отказов'!AE247)=0,COUNTIFS('История отказов'!$F$5:F247,"ШГН",'История отказов'!$AE$5:AE247,'История отказов'!AE247)=1,'История отказов'!F247="ШГН"),243,""))</f>
        <v/>
      </c>
      <c r="DD244">
        <f>IF('История отказов'!AE247="","",IF(AND(COUNTIF($CU$2:$CU$3,'История отказов'!AE247)=0,COUNTIFS('История отказов'!$F$5:F247,"ЭЦН",'История отказов'!$AE$5:AE247,'История отказов'!AE247)=1,'История отказов'!F247="ЭЦН"),243,""))</f>
        <v/>
      </c>
      <c r="DE244">
        <f>IF('История отказов'!AE247="","",IF(AND(COUNTIF($CV$2:$CV$3,'История отказов'!AE247)=0,COUNTIFS('История отказов'!$F$5:F247,"ЭВН",'История отказов'!$AE$5:AE247,'История отказов'!AE247)=1,'История отказов'!F247="ЭВН"),243,""))</f>
        <v/>
      </c>
      <c r="DF244">
        <f>IF('История отказов'!AE247="","",IF(AND(COUNTIF($CX$2:$CX$2,'История отказов'!AE247)=0,COUNTIFS('История отказов'!$F$5:F247,"ШВН",'История отказов'!$AE$5:AE247,'История отказов'!AE247)=1,'История отказов'!F247="ШВН"),243,""))</f>
        <v/>
      </c>
      <c r="DG244">
        <f>IF('История отказов'!AE247="","",IF(AND(COUNTIF($CW$2:$CW$2,'История отказов'!AE247)=0,COUNTIFS('История отказов'!$F$5:F247,"НПУ-ВД",'История отказов'!$AE$5:AE247,'История отказов'!AE247)=1,'История отказов'!F247="НПУ-ВД"),243,""))</f>
        <v/>
      </c>
      <c r="DH244">
        <f>IF('История отказов'!AE247="","",IF(AND(COUNTIF($CY$2:$CY$6,'История отказов'!AE247)=0,COUNTIF('История отказов'!$AE$5:AE247,'История отказов'!AE247)=1),243,""))</f>
        <v/>
      </c>
      <c r="DI244">
        <f>IF('История отказов'!AK247="","",IF(AND(COUNTIF($CL$2:$CL$3,'История отказов'!AK247)=0,COUNTIF('История отказов'!$AK$5:AK247,'История отказов'!AK247)=1),243,""))</f>
        <v/>
      </c>
      <c r="DJ244">
        <f>IF('История отказов'!AU247="","",IF(AND(COUNTIF($CP$2:$CP$3,'История отказов'!AU247)=0,COUNTIF('История отказов'!$AU$5:AU247,'История отказов'!AU247)=1),243,""))</f>
        <v/>
      </c>
      <c r="DK244">
        <f>IF('История отказов'!AY247="","",IF(AND(COUNTIF($CR$2:$CR$2,'История отказов'!AY247)=0,COUNTIF('История отказов'!$AY$5:AY247,'История отказов'!AY247)=1),243,""))</f>
        <v/>
      </c>
      <c r="DL244">
        <f>IF(DB244="","",IF(AND(COUNTIF($DA$2:$DA$47,DB244)=0,COUNTIF($DB$2:DB244,DB244)=1),243,""))</f>
        <v/>
      </c>
    </row>
    <row r="245">
      <c r="A245" s="74" t="n"/>
      <c r="B245" s="75" t="n"/>
      <c r="C245" s="75" t="n"/>
      <c r="D245" s="75" t="n"/>
      <c r="E245" s="75" t="n"/>
      <c r="F245" s="75" t="n"/>
      <c r="G245" s="76" t="n"/>
      <c r="J245" s="62" t="n"/>
      <c r="K245" s="62" t="n"/>
      <c r="L245" s="62" t="n"/>
      <c r="M245" s="62" t="n"/>
      <c r="N245" s="62" t="n"/>
      <c r="Q245" t="inlineStr">
        <is>
          <t>Предварительная / итоговая причина</t>
        </is>
      </c>
      <c r="R245" t="inlineStr">
        <is>
          <t>4.5 — Авария [УШГН]</t>
        </is>
      </c>
      <c r="S245" t="inlineStr">
        <is>
          <t>Код и название; метка группы добавлена</t>
        </is>
      </c>
      <c r="T245" t="inlineStr">
        <is>
          <t>Классификатор по способам 2024 V10, лист УШГН</t>
        </is>
      </c>
      <c r="U245" t="inlineStr">
        <is>
          <t>Лист УШГН; код 4.5</t>
        </is>
      </c>
      <c r="V245" t="inlineStr">
        <is>
          <t>ШГН/ШВН</t>
        </is>
      </c>
      <c r="DB245">
        <f>IF('История отказов'!AH248="","",'История отказов'!AH248)</f>
        <v/>
      </c>
      <c r="DC245">
        <f>IF('История отказов'!AE248="","",IF(AND(COUNTIF($CT$2:$CT$2,'История отказов'!AE248)=0,COUNTIFS('История отказов'!$F$5:F248,"ШГН",'История отказов'!$AE$5:AE248,'История отказов'!AE248)=1,'История отказов'!F248="ШГН"),244,""))</f>
        <v/>
      </c>
      <c r="DD245">
        <f>IF('История отказов'!AE248="","",IF(AND(COUNTIF($CU$2:$CU$3,'История отказов'!AE248)=0,COUNTIFS('История отказов'!$F$5:F248,"ЭЦН",'История отказов'!$AE$5:AE248,'История отказов'!AE248)=1,'История отказов'!F248="ЭЦН"),244,""))</f>
        <v/>
      </c>
      <c r="DE245">
        <f>IF('История отказов'!AE248="","",IF(AND(COUNTIF($CV$2:$CV$3,'История отказов'!AE248)=0,COUNTIFS('История отказов'!$F$5:F248,"ЭВН",'История отказов'!$AE$5:AE248,'История отказов'!AE248)=1,'История отказов'!F248="ЭВН"),244,""))</f>
        <v/>
      </c>
      <c r="DF245">
        <f>IF('История отказов'!AE248="","",IF(AND(COUNTIF($CX$2:$CX$2,'История отказов'!AE248)=0,COUNTIFS('История отказов'!$F$5:F248,"ШВН",'История отказов'!$AE$5:AE248,'История отказов'!AE248)=1,'История отказов'!F248="ШВН"),244,""))</f>
        <v/>
      </c>
      <c r="DG245">
        <f>IF('История отказов'!AE248="","",IF(AND(COUNTIF($CW$2:$CW$2,'История отказов'!AE248)=0,COUNTIFS('История отказов'!$F$5:F248,"НПУ-ВД",'История отказов'!$AE$5:AE248,'История отказов'!AE248)=1,'История отказов'!F248="НПУ-ВД"),244,""))</f>
        <v/>
      </c>
      <c r="DH245">
        <f>IF('История отказов'!AE248="","",IF(AND(COUNTIF($CY$2:$CY$6,'История отказов'!AE248)=0,COUNTIF('История отказов'!$AE$5:AE248,'История отказов'!AE248)=1),244,""))</f>
        <v/>
      </c>
      <c r="DI245">
        <f>IF('История отказов'!AK248="","",IF(AND(COUNTIF($CL$2:$CL$3,'История отказов'!AK248)=0,COUNTIF('История отказов'!$AK$5:AK248,'История отказов'!AK248)=1),244,""))</f>
        <v/>
      </c>
      <c r="DJ245">
        <f>IF('История отказов'!AU248="","",IF(AND(COUNTIF($CP$2:$CP$3,'История отказов'!AU248)=0,COUNTIF('История отказов'!$AU$5:AU248,'История отказов'!AU248)=1),244,""))</f>
        <v/>
      </c>
      <c r="DK245">
        <f>IF('История отказов'!AY248="","",IF(AND(COUNTIF($CR$2:$CR$2,'История отказов'!AY248)=0,COUNTIF('История отказов'!$AY$5:AY248,'История отказов'!AY248)=1),244,""))</f>
        <v/>
      </c>
      <c r="DL245">
        <f>IF(DB245="","",IF(AND(COUNTIF($DA$2:$DA$47,DB245)=0,COUNTIF($DB$2:DB245,DB245)=1),244,""))</f>
        <v/>
      </c>
    </row>
    <row r="246">
      <c r="A246" s="74" t="n"/>
      <c r="B246" s="75" t="n"/>
      <c r="C246" s="75" t="n"/>
      <c r="D246" s="75" t="n"/>
      <c r="E246" s="75" t="n"/>
      <c r="F246" s="75" t="n"/>
      <c r="G246" s="76" t="n"/>
      <c r="J246" s="62" t="n"/>
      <c r="K246" s="62" t="n"/>
      <c r="L246" s="62" t="n"/>
      <c r="M246" s="62" t="n"/>
      <c r="N246" s="62" t="n"/>
      <c r="Q246" t="inlineStr">
        <is>
          <t>Предварительная / итоговая причина</t>
        </is>
      </c>
      <c r="R246" t="inlineStr">
        <is>
          <t>5.1 — Некачественный ремонт и сервисное обслуживание Привода [УШГН]</t>
        </is>
      </c>
      <c r="S246" t="inlineStr">
        <is>
          <t>Код и название; метка группы добавлена</t>
        </is>
      </c>
      <c r="T246" t="inlineStr">
        <is>
          <t>Классификатор по способам 2024 V10, лист УШГН</t>
        </is>
      </c>
      <c r="U246" t="inlineStr">
        <is>
          <t>Лист УШГН; код 5.1</t>
        </is>
      </c>
      <c r="V246" t="inlineStr">
        <is>
          <t>ШГН/ШВН</t>
        </is>
      </c>
      <c r="DB246">
        <f>IF('История отказов'!AH249="","",'История отказов'!AH249)</f>
        <v/>
      </c>
      <c r="DC246">
        <f>IF('История отказов'!AE249="","",IF(AND(COUNTIF($CT$2:$CT$2,'История отказов'!AE249)=0,COUNTIFS('История отказов'!$F$5:F249,"ШГН",'История отказов'!$AE$5:AE249,'История отказов'!AE249)=1,'История отказов'!F249="ШГН"),245,""))</f>
        <v/>
      </c>
      <c r="DD246">
        <f>IF('История отказов'!AE249="","",IF(AND(COUNTIF($CU$2:$CU$3,'История отказов'!AE249)=0,COUNTIFS('История отказов'!$F$5:F249,"ЭЦН",'История отказов'!$AE$5:AE249,'История отказов'!AE249)=1,'История отказов'!F249="ЭЦН"),245,""))</f>
        <v/>
      </c>
      <c r="DE246">
        <f>IF('История отказов'!AE249="","",IF(AND(COUNTIF($CV$2:$CV$3,'История отказов'!AE249)=0,COUNTIFS('История отказов'!$F$5:F249,"ЭВН",'История отказов'!$AE$5:AE249,'История отказов'!AE249)=1,'История отказов'!F249="ЭВН"),245,""))</f>
        <v/>
      </c>
      <c r="DF246">
        <f>IF('История отказов'!AE249="","",IF(AND(COUNTIF($CX$2:$CX$2,'История отказов'!AE249)=0,COUNTIFS('История отказов'!$F$5:F249,"ШВН",'История отказов'!$AE$5:AE249,'История отказов'!AE249)=1,'История отказов'!F249="ШВН"),245,""))</f>
        <v/>
      </c>
      <c r="DG246">
        <f>IF('История отказов'!AE249="","",IF(AND(COUNTIF($CW$2:$CW$2,'История отказов'!AE249)=0,COUNTIFS('История отказов'!$F$5:F249,"НПУ-ВД",'История отказов'!$AE$5:AE249,'История отказов'!AE249)=1,'История отказов'!F249="НПУ-ВД"),245,""))</f>
        <v/>
      </c>
      <c r="DH246">
        <f>IF('История отказов'!AE249="","",IF(AND(COUNTIF($CY$2:$CY$6,'История отказов'!AE249)=0,COUNTIF('История отказов'!$AE$5:AE249,'История отказов'!AE249)=1),245,""))</f>
        <v/>
      </c>
      <c r="DI246">
        <f>IF('История отказов'!AK249="","",IF(AND(COUNTIF($CL$2:$CL$3,'История отказов'!AK249)=0,COUNTIF('История отказов'!$AK$5:AK249,'История отказов'!AK249)=1),245,""))</f>
        <v/>
      </c>
      <c r="DJ246">
        <f>IF('История отказов'!AU249="","",IF(AND(COUNTIF($CP$2:$CP$3,'История отказов'!AU249)=0,COUNTIF('История отказов'!$AU$5:AU249,'История отказов'!AU249)=1),245,""))</f>
        <v/>
      </c>
      <c r="DK246">
        <f>IF('История отказов'!AY249="","",IF(AND(COUNTIF($CR$2:$CR$2,'История отказов'!AY249)=0,COUNTIF('История отказов'!$AY$5:AY249,'История отказов'!AY249)=1),245,""))</f>
        <v/>
      </c>
      <c r="DL246">
        <f>IF(DB246="","",IF(AND(COUNTIF($DA$2:$DA$47,DB246)=0,COUNTIF($DB$2:DB246,DB246)=1),245,""))</f>
        <v/>
      </c>
    </row>
    <row r="247">
      <c r="A247" s="74" t="n"/>
      <c r="B247" s="75" t="n"/>
      <c r="C247" s="75" t="n"/>
      <c r="D247" s="75" t="n"/>
      <c r="E247" s="75" t="n"/>
      <c r="F247" s="75" t="n"/>
      <c r="G247" s="76" t="n"/>
      <c r="J247" s="62" t="n"/>
      <c r="K247" s="62" t="n"/>
      <c r="L247" s="62" t="n"/>
      <c r="M247" s="62" t="n"/>
      <c r="N247" s="62" t="n"/>
      <c r="Q247" t="inlineStr">
        <is>
          <t>Предварительная / итоговая причина</t>
        </is>
      </c>
      <c r="R247" t="inlineStr">
        <is>
          <t>5.2 — Организационные причины по вине подрядной организации [УШГН]</t>
        </is>
      </c>
      <c r="S247" t="inlineStr">
        <is>
          <t>Код и название; метка группы добавлена</t>
        </is>
      </c>
      <c r="T247" t="inlineStr">
        <is>
          <t>Классификатор по способам 2024 V10, лист УШГН</t>
        </is>
      </c>
      <c r="U247" t="inlineStr">
        <is>
          <t>Лист УШГН; код 5.2</t>
        </is>
      </c>
      <c r="V247" t="inlineStr">
        <is>
          <t>ШГН/ШВН</t>
        </is>
      </c>
      <c r="DB247">
        <f>IF('История отказов'!AH250="","",'История отказов'!AH250)</f>
        <v/>
      </c>
      <c r="DC247">
        <f>IF('История отказов'!AE250="","",IF(AND(COUNTIF($CT$2:$CT$2,'История отказов'!AE250)=0,COUNTIFS('История отказов'!$F$5:F250,"ШГН",'История отказов'!$AE$5:AE250,'История отказов'!AE250)=1,'История отказов'!F250="ШГН"),246,""))</f>
        <v/>
      </c>
      <c r="DD247">
        <f>IF('История отказов'!AE250="","",IF(AND(COUNTIF($CU$2:$CU$3,'История отказов'!AE250)=0,COUNTIFS('История отказов'!$F$5:F250,"ЭЦН",'История отказов'!$AE$5:AE250,'История отказов'!AE250)=1,'История отказов'!F250="ЭЦН"),246,""))</f>
        <v/>
      </c>
      <c r="DE247">
        <f>IF('История отказов'!AE250="","",IF(AND(COUNTIF($CV$2:$CV$3,'История отказов'!AE250)=0,COUNTIFS('История отказов'!$F$5:F250,"ЭВН",'История отказов'!$AE$5:AE250,'История отказов'!AE250)=1,'История отказов'!F250="ЭВН"),246,""))</f>
        <v/>
      </c>
      <c r="DF247">
        <f>IF('История отказов'!AE250="","",IF(AND(COUNTIF($CX$2:$CX$2,'История отказов'!AE250)=0,COUNTIFS('История отказов'!$F$5:F250,"ШВН",'История отказов'!$AE$5:AE250,'История отказов'!AE250)=1,'История отказов'!F250="ШВН"),246,""))</f>
        <v/>
      </c>
      <c r="DG247">
        <f>IF('История отказов'!AE250="","",IF(AND(COUNTIF($CW$2:$CW$2,'История отказов'!AE250)=0,COUNTIFS('История отказов'!$F$5:F250,"НПУ-ВД",'История отказов'!$AE$5:AE250,'История отказов'!AE250)=1,'История отказов'!F250="НПУ-ВД"),246,""))</f>
        <v/>
      </c>
      <c r="DH247">
        <f>IF('История отказов'!AE250="","",IF(AND(COUNTIF($CY$2:$CY$6,'История отказов'!AE250)=0,COUNTIF('История отказов'!$AE$5:AE250,'История отказов'!AE250)=1),246,""))</f>
        <v/>
      </c>
      <c r="DI247">
        <f>IF('История отказов'!AK250="","",IF(AND(COUNTIF($CL$2:$CL$3,'История отказов'!AK250)=0,COUNTIF('История отказов'!$AK$5:AK250,'История отказов'!AK250)=1),246,""))</f>
        <v/>
      </c>
      <c r="DJ247">
        <f>IF('История отказов'!AU250="","",IF(AND(COUNTIF($CP$2:$CP$3,'История отказов'!AU250)=0,COUNTIF('История отказов'!$AU$5:AU250,'История отказов'!AU250)=1),246,""))</f>
        <v/>
      </c>
      <c r="DK247">
        <f>IF('История отказов'!AY250="","",IF(AND(COUNTIF($CR$2:$CR$2,'История отказов'!AY250)=0,COUNTIF('История отказов'!$AY$5:AY250,'История отказов'!AY250)=1),246,""))</f>
        <v/>
      </c>
      <c r="DL247">
        <f>IF(DB247="","",IF(AND(COUNTIF($DA$2:$DA$47,DB247)=0,COUNTIF($DB$2:DB247,DB247)=1),246,""))</f>
        <v/>
      </c>
    </row>
    <row r="248">
      <c r="A248" s="74" t="n"/>
      <c r="B248" s="75" t="n"/>
      <c r="C248" s="75" t="n"/>
      <c r="D248" s="75" t="n"/>
      <c r="E248" s="75" t="n"/>
      <c r="F248" s="75" t="n"/>
      <c r="G248" s="76" t="n"/>
      <c r="J248" s="62" t="n"/>
      <c r="K248" s="62" t="n"/>
      <c r="L248" s="62" t="n"/>
      <c r="M248" s="62" t="n"/>
      <c r="N248" s="62" t="n"/>
      <c r="Q248" t="inlineStr">
        <is>
          <t>Предварительная / итоговая причина</t>
        </is>
      </c>
      <c r="R248" t="inlineStr">
        <is>
          <t>5.3 — Авария [УШГН]</t>
        </is>
      </c>
      <c r="S248" t="inlineStr">
        <is>
          <t>Код и название; метка группы добавлена</t>
        </is>
      </c>
      <c r="T248" t="inlineStr">
        <is>
          <t>Классификатор по способам 2024 V10, лист УШГН</t>
        </is>
      </c>
      <c r="U248" t="inlineStr">
        <is>
          <t>Лист УШГН; код 5.3</t>
        </is>
      </c>
      <c r="V248" t="inlineStr">
        <is>
          <t>ШГН/ШВН</t>
        </is>
      </c>
      <c r="DB248">
        <f>IF('История отказов'!AH251="","",'История отказов'!AH251)</f>
        <v/>
      </c>
      <c r="DC248">
        <f>IF('История отказов'!AE251="","",IF(AND(COUNTIF($CT$2:$CT$2,'История отказов'!AE251)=0,COUNTIFS('История отказов'!$F$5:F251,"ШГН",'История отказов'!$AE$5:AE251,'История отказов'!AE251)=1,'История отказов'!F251="ШГН"),247,""))</f>
        <v/>
      </c>
      <c r="DD248">
        <f>IF('История отказов'!AE251="","",IF(AND(COUNTIF($CU$2:$CU$3,'История отказов'!AE251)=0,COUNTIFS('История отказов'!$F$5:F251,"ЭЦН",'История отказов'!$AE$5:AE251,'История отказов'!AE251)=1,'История отказов'!F251="ЭЦН"),247,""))</f>
        <v/>
      </c>
      <c r="DE248">
        <f>IF('История отказов'!AE251="","",IF(AND(COUNTIF($CV$2:$CV$3,'История отказов'!AE251)=0,COUNTIFS('История отказов'!$F$5:F251,"ЭВН",'История отказов'!$AE$5:AE251,'История отказов'!AE251)=1,'История отказов'!F251="ЭВН"),247,""))</f>
        <v/>
      </c>
      <c r="DF248">
        <f>IF('История отказов'!AE251="","",IF(AND(COUNTIF($CX$2:$CX$2,'История отказов'!AE251)=0,COUNTIFS('История отказов'!$F$5:F251,"ШВН",'История отказов'!$AE$5:AE251,'История отказов'!AE251)=1,'История отказов'!F251="ШВН"),247,""))</f>
        <v/>
      </c>
      <c r="DG248">
        <f>IF('История отказов'!AE251="","",IF(AND(COUNTIF($CW$2:$CW$2,'История отказов'!AE251)=0,COUNTIFS('История отказов'!$F$5:F251,"НПУ-ВД",'История отказов'!$AE$5:AE251,'История отказов'!AE251)=1,'История отказов'!F251="НПУ-ВД"),247,""))</f>
        <v/>
      </c>
      <c r="DH248">
        <f>IF('История отказов'!AE251="","",IF(AND(COUNTIF($CY$2:$CY$6,'История отказов'!AE251)=0,COUNTIF('История отказов'!$AE$5:AE251,'История отказов'!AE251)=1),247,""))</f>
        <v/>
      </c>
      <c r="DI248">
        <f>IF('История отказов'!AK251="","",IF(AND(COUNTIF($CL$2:$CL$3,'История отказов'!AK251)=0,COUNTIF('История отказов'!$AK$5:AK251,'История отказов'!AK251)=1),247,""))</f>
        <v/>
      </c>
      <c r="DJ248">
        <f>IF('История отказов'!AU251="","",IF(AND(COUNTIF($CP$2:$CP$3,'История отказов'!AU251)=0,COUNTIF('История отказов'!$AU$5:AU251,'История отказов'!AU251)=1),247,""))</f>
        <v/>
      </c>
      <c r="DK248">
        <f>IF('История отказов'!AY251="","",IF(AND(COUNTIF($CR$2:$CR$2,'История отказов'!AY251)=0,COUNTIF('История отказов'!$AY$5:AY251,'История отказов'!AY251)=1),247,""))</f>
        <v/>
      </c>
      <c r="DL248">
        <f>IF(DB248="","",IF(AND(COUNTIF($DA$2:$DA$47,DB248)=0,COUNTIF($DB$2:DB248,DB248)=1),247,""))</f>
        <v/>
      </c>
    </row>
    <row r="249">
      <c r="A249" s="74" t="n"/>
      <c r="B249" s="75" t="n"/>
      <c r="C249" s="75" t="n"/>
      <c r="D249" s="75" t="n"/>
      <c r="E249" s="75" t="n"/>
      <c r="F249" s="75" t="n"/>
      <c r="G249" s="76" t="n"/>
      <c r="J249" s="62" t="n"/>
      <c r="K249" s="62" t="n"/>
      <c r="L249" s="62" t="n"/>
      <c r="M249" s="62" t="n"/>
      <c r="N249" s="62" t="n"/>
      <c r="Q249" t="inlineStr">
        <is>
          <t>Предварительная / итоговая причина</t>
        </is>
      </c>
      <c r="R249" t="inlineStr">
        <is>
          <t>6.1 — Заводской брак НКТ, штанг и элементов подвески [УШГН]</t>
        </is>
      </c>
      <c r="S249" t="inlineStr">
        <is>
          <t>Код и название; метка группы добавлена</t>
        </is>
      </c>
      <c r="T249" t="inlineStr">
        <is>
          <t>Классификатор по способам 2024 V10, лист УШГН</t>
        </is>
      </c>
      <c r="U249" t="inlineStr">
        <is>
          <t>Лист УШГН; код 6.1</t>
        </is>
      </c>
      <c r="V249" t="inlineStr">
        <is>
          <t>ШГН/ШВН</t>
        </is>
      </c>
      <c r="DB249">
        <f>IF('История отказов'!AH252="","",'История отказов'!AH252)</f>
        <v/>
      </c>
      <c r="DC249">
        <f>IF('История отказов'!AE252="","",IF(AND(COUNTIF($CT$2:$CT$2,'История отказов'!AE252)=0,COUNTIFS('История отказов'!$F$5:F252,"ШГН",'История отказов'!$AE$5:AE252,'История отказов'!AE252)=1,'История отказов'!F252="ШГН"),248,""))</f>
        <v/>
      </c>
      <c r="DD249">
        <f>IF('История отказов'!AE252="","",IF(AND(COUNTIF($CU$2:$CU$3,'История отказов'!AE252)=0,COUNTIFS('История отказов'!$F$5:F252,"ЭЦН",'История отказов'!$AE$5:AE252,'История отказов'!AE252)=1,'История отказов'!F252="ЭЦН"),248,""))</f>
        <v/>
      </c>
      <c r="DE249">
        <f>IF('История отказов'!AE252="","",IF(AND(COUNTIF($CV$2:$CV$3,'История отказов'!AE252)=0,COUNTIFS('История отказов'!$F$5:F252,"ЭВН",'История отказов'!$AE$5:AE252,'История отказов'!AE252)=1,'История отказов'!F252="ЭВН"),248,""))</f>
        <v/>
      </c>
      <c r="DF249">
        <f>IF('История отказов'!AE252="","",IF(AND(COUNTIF($CX$2:$CX$2,'История отказов'!AE252)=0,COUNTIFS('История отказов'!$F$5:F252,"ШВН",'История отказов'!$AE$5:AE252,'История отказов'!AE252)=1,'История отказов'!F252="ШВН"),248,""))</f>
        <v/>
      </c>
      <c r="DG249">
        <f>IF('История отказов'!AE252="","",IF(AND(COUNTIF($CW$2:$CW$2,'История отказов'!AE252)=0,COUNTIFS('История отказов'!$F$5:F252,"НПУ-ВД",'История отказов'!$AE$5:AE252,'История отказов'!AE252)=1,'История отказов'!F252="НПУ-ВД"),248,""))</f>
        <v/>
      </c>
      <c r="DH249">
        <f>IF('История отказов'!AE252="","",IF(AND(COUNTIF($CY$2:$CY$6,'История отказов'!AE252)=0,COUNTIF('История отказов'!$AE$5:AE252,'История отказов'!AE252)=1),248,""))</f>
        <v/>
      </c>
      <c r="DI249">
        <f>IF('История отказов'!AK252="","",IF(AND(COUNTIF($CL$2:$CL$3,'История отказов'!AK252)=0,COUNTIF('История отказов'!$AK$5:AK252,'История отказов'!AK252)=1),248,""))</f>
        <v/>
      </c>
      <c r="DJ249">
        <f>IF('История отказов'!AU252="","",IF(AND(COUNTIF($CP$2:$CP$3,'История отказов'!AU252)=0,COUNTIF('История отказов'!$AU$5:AU252,'История отказов'!AU252)=1),248,""))</f>
        <v/>
      </c>
      <c r="DK249">
        <f>IF('История отказов'!AY252="","",IF(AND(COUNTIF($CR$2:$CR$2,'История отказов'!AY252)=0,COUNTIF('История отказов'!$AY$5:AY252,'История отказов'!AY252)=1),248,""))</f>
        <v/>
      </c>
      <c r="DL249">
        <f>IF(DB249="","",IF(AND(COUNTIF($DA$2:$DA$47,DB249)=0,COUNTIF($DB$2:DB249,DB249)=1),248,""))</f>
        <v/>
      </c>
    </row>
    <row r="250">
      <c r="A250" s="74" t="n"/>
      <c r="B250" s="75" t="n"/>
      <c r="C250" s="75" t="n"/>
      <c r="D250" s="75" t="n"/>
      <c r="E250" s="75" t="n"/>
      <c r="F250" s="75" t="n"/>
      <c r="G250" s="76" t="n"/>
      <c r="J250" s="62" t="n"/>
      <c r="K250" s="62" t="n"/>
      <c r="L250" s="62" t="n"/>
      <c r="M250" s="62" t="n"/>
      <c r="N250" s="62" t="n"/>
      <c r="Q250" t="inlineStr">
        <is>
          <t>Предварительная / итоговая причина</t>
        </is>
      </c>
      <c r="R250" t="inlineStr">
        <is>
          <t>6.2 — Заводской брак насоса ШГН/ШВН [УШГН]</t>
        </is>
      </c>
      <c r="S250" t="inlineStr">
        <is>
          <t>Код и название; метка группы добавлена</t>
        </is>
      </c>
      <c r="T250" t="inlineStr">
        <is>
          <t>Классификатор по способам 2024 V10, лист УШГН</t>
        </is>
      </c>
      <c r="U250" t="inlineStr">
        <is>
          <t>Лист УШГН; код 6.2</t>
        </is>
      </c>
      <c r="V250" t="inlineStr">
        <is>
          <t>ШГН/ШВН</t>
        </is>
      </c>
      <c r="DB250">
        <f>IF('История отказов'!AH253="","",'История отказов'!AH253)</f>
        <v/>
      </c>
      <c r="DC250">
        <f>IF('История отказов'!AE253="","",IF(AND(COUNTIF($CT$2:$CT$2,'История отказов'!AE253)=0,COUNTIFS('История отказов'!$F$5:F253,"ШГН",'История отказов'!$AE$5:AE253,'История отказов'!AE253)=1,'История отказов'!F253="ШГН"),249,""))</f>
        <v/>
      </c>
      <c r="DD250">
        <f>IF('История отказов'!AE253="","",IF(AND(COUNTIF($CU$2:$CU$3,'История отказов'!AE253)=0,COUNTIFS('История отказов'!$F$5:F253,"ЭЦН",'История отказов'!$AE$5:AE253,'История отказов'!AE253)=1,'История отказов'!F253="ЭЦН"),249,""))</f>
        <v/>
      </c>
      <c r="DE250">
        <f>IF('История отказов'!AE253="","",IF(AND(COUNTIF($CV$2:$CV$3,'История отказов'!AE253)=0,COUNTIFS('История отказов'!$F$5:F253,"ЭВН",'История отказов'!$AE$5:AE253,'История отказов'!AE253)=1,'История отказов'!F253="ЭВН"),249,""))</f>
        <v/>
      </c>
      <c r="DF250">
        <f>IF('История отказов'!AE253="","",IF(AND(COUNTIF($CX$2:$CX$2,'История отказов'!AE253)=0,COUNTIFS('История отказов'!$F$5:F253,"ШВН",'История отказов'!$AE$5:AE253,'История отказов'!AE253)=1,'История отказов'!F253="ШВН"),249,""))</f>
        <v/>
      </c>
      <c r="DG250">
        <f>IF('История отказов'!AE253="","",IF(AND(COUNTIF($CW$2:$CW$2,'История отказов'!AE253)=0,COUNTIFS('История отказов'!$F$5:F253,"НПУ-ВД",'История отказов'!$AE$5:AE253,'История отказов'!AE253)=1,'История отказов'!F253="НПУ-ВД"),249,""))</f>
        <v/>
      </c>
      <c r="DH250">
        <f>IF('История отказов'!AE253="","",IF(AND(COUNTIF($CY$2:$CY$6,'История отказов'!AE253)=0,COUNTIF('История отказов'!$AE$5:AE253,'История отказов'!AE253)=1),249,""))</f>
        <v/>
      </c>
      <c r="DI250">
        <f>IF('История отказов'!AK253="","",IF(AND(COUNTIF($CL$2:$CL$3,'История отказов'!AK253)=0,COUNTIF('История отказов'!$AK$5:AK253,'История отказов'!AK253)=1),249,""))</f>
        <v/>
      </c>
      <c r="DJ250">
        <f>IF('История отказов'!AU253="","",IF(AND(COUNTIF($CP$2:$CP$3,'История отказов'!AU253)=0,COUNTIF('История отказов'!$AU$5:AU253,'История отказов'!AU253)=1),249,""))</f>
        <v/>
      </c>
      <c r="DK250">
        <f>IF('История отказов'!AY253="","",IF(AND(COUNTIF($CR$2:$CR$2,'История отказов'!AY253)=0,COUNTIF('История отказов'!$AY$5:AY253,'История отказов'!AY253)=1),249,""))</f>
        <v/>
      </c>
      <c r="DL250">
        <f>IF(DB250="","",IF(AND(COUNTIF($DA$2:$DA$47,DB250)=0,COUNTIF($DB$2:DB250,DB250)=1),249,""))</f>
        <v/>
      </c>
    </row>
    <row r="251">
      <c r="A251" s="74" t="n"/>
      <c r="B251" s="75" t="n"/>
      <c r="C251" s="75" t="n"/>
      <c r="D251" s="75" t="n"/>
      <c r="E251" s="75" t="n"/>
      <c r="F251" s="75" t="n"/>
      <c r="G251" s="76" t="n"/>
      <c r="J251" s="62" t="n"/>
      <c r="K251" s="62" t="n"/>
      <c r="L251" s="62" t="n"/>
      <c r="M251" s="62" t="n"/>
      <c r="N251" s="62" t="n"/>
      <c r="Q251" t="inlineStr">
        <is>
          <t>Предварительная / итоговая причина</t>
        </is>
      </c>
      <c r="R251" t="inlineStr">
        <is>
          <t>6.3 — Заводской брак дополнительного оборудования [УШГН]</t>
        </is>
      </c>
      <c r="S251" t="inlineStr">
        <is>
          <t>Код и название; метка группы добавлена</t>
        </is>
      </c>
      <c r="T251" t="inlineStr">
        <is>
          <t>Классификатор по способам 2024 V10, лист УШГН</t>
        </is>
      </c>
      <c r="U251" t="inlineStr">
        <is>
          <t>Лист УШГН; код 6.3</t>
        </is>
      </c>
      <c r="V251" t="inlineStr">
        <is>
          <t>ШГН/ШВН</t>
        </is>
      </c>
      <c r="DB251">
        <f>IF('История отказов'!AH254="","",'История отказов'!AH254)</f>
        <v/>
      </c>
      <c r="DC251">
        <f>IF('История отказов'!AE254="","",IF(AND(COUNTIF($CT$2:$CT$2,'История отказов'!AE254)=0,COUNTIFS('История отказов'!$F$5:F254,"ШГН",'История отказов'!$AE$5:AE254,'История отказов'!AE254)=1,'История отказов'!F254="ШГН"),250,""))</f>
        <v/>
      </c>
      <c r="DD251">
        <f>IF('История отказов'!AE254="","",IF(AND(COUNTIF($CU$2:$CU$3,'История отказов'!AE254)=0,COUNTIFS('История отказов'!$F$5:F254,"ЭЦН",'История отказов'!$AE$5:AE254,'История отказов'!AE254)=1,'История отказов'!F254="ЭЦН"),250,""))</f>
        <v/>
      </c>
      <c r="DE251">
        <f>IF('История отказов'!AE254="","",IF(AND(COUNTIF($CV$2:$CV$3,'История отказов'!AE254)=0,COUNTIFS('История отказов'!$F$5:F254,"ЭВН",'История отказов'!$AE$5:AE254,'История отказов'!AE254)=1,'История отказов'!F254="ЭВН"),250,""))</f>
        <v/>
      </c>
      <c r="DF251">
        <f>IF('История отказов'!AE254="","",IF(AND(COUNTIF($CX$2:$CX$2,'История отказов'!AE254)=0,COUNTIFS('История отказов'!$F$5:F254,"ШВН",'История отказов'!$AE$5:AE254,'История отказов'!AE254)=1,'История отказов'!F254="ШВН"),250,""))</f>
        <v/>
      </c>
      <c r="DG251">
        <f>IF('История отказов'!AE254="","",IF(AND(COUNTIF($CW$2:$CW$2,'История отказов'!AE254)=0,COUNTIFS('История отказов'!$F$5:F254,"НПУ-ВД",'История отказов'!$AE$5:AE254,'История отказов'!AE254)=1,'История отказов'!F254="НПУ-ВД"),250,""))</f>
        <v/>
      </c>
      <c r="DH251">
        <f>IF('История отказов'!AE254="","",IF(AND(COUNTIF($CY$2:$CY$6,'История отказов'!AE254)=0,COUNTIF('История отказов'!$AE$5:AE254,'История отказов'!AE254)=1),250,""))</f>
        <v/>
      </c>
      <c r="DI251">
        <f>IF('История отказов'!AK254="","",IF(AND(COUNTIF($CL$2:$CL$3,'История отказов'!AK254)=0,COUNTIF('История отказов'!$AK$5:AK254,'История отказов'!AK254)=1),250,""))</f>
        <v/>
      </c>
      <c r="DJ251">
        <f>IF('История отказов'!AU254="","",IF(AND(COUNTIF($CP$2:$CP$3,'История отказов'!AU254)=0,COUNTIF('История отказов'!$AU$5:AU254,'История отказов'!AU254)=1),250,""))</f>
        <v/>
      </c>
      <c r="DK251">
        <f>IF('История отказов'!AY254="","",IF(AND(COUNTIF($CR$2:$CR$2,'История отказов'!AY254)=0,COUNTIF('История отказов'!$AY$5:AY254,'История отказов'!AY254)=1),250,""))</f>
        <v/>
      </c>
      <c r="DL251">
        <f>IF(DB251="","",IF(AND(COUNTIF($DA$2:$DA$47,DB251)=0,COUNTIF($DB$2:DB251,DB251)=1),250,""))</f>
        <v/>
      </c>
    </row>
    <row r="252">
      <c r="A252" s="74" t="n"/>
      <c r="B252" s="75" t="n"/>
      <c r="C252" s="75" t="n"/>
      <c r="D252" s="75" t="n"/>
      <c r="E252" s="75" t="n"/>
      <c r="F252" s="75" t="n"/>
      <c r="G252" s="76" t="n"/>
      <c r="J252" s="62" t="n"/>
      <c r="K252" s="62" t="n"/>
      <c r="L252" s="62" t="n"/>
      <c r="M252" s="62" t="n"/>
      <c r="N252" s="62" t="n"/>
      <c r="Q252" t="inlineStr">
        <is>
          <t>Предварительная / итоговая причина</t>
        </is>
      </c>
      <c r="R252" t="inlineStr">
        <is>
          <t>7.1 — Эксперимент [УШГН]</t>
        </is>
      </c>
      <c r="S252" t="inlineStr">
        <is>
          <t>Код и название; метка группы добавлена</t>
        </is>
      </c>
      <c r="T252" t="inlineStr">
        <is>
          <t>Классификатор по способам 2024 V10, лист УШГН</t>
        </is>
      </c>
      <c r="U252" t="inlineStr">
        <is>
          <t>Лист УШГН; код 7.1</t>
        </is>
      </c>
      <c r="V252" t="inlineStr">
        <is>
          <t>ШГН/ШВН</t>
        </is>
      </c>
      <c r="DB252">
        <f>IF('История отказов'!AH255="","",'История отказов'!AH255)</f>
        <v/>
      </c>
      <c r="DC252">
        <f>IF('История отказов'!AE255="","",IF(AND(COUNTIF($CT$2:$CT$2,'История отказов'!AE255)=0,COUNTIFS('История отказов'!$F$5:F255,"ШГН",'История отказов'!$AE$5:AE255,'История отказов'!AE255)=1,'История отказов'!F255="ШГН"),251,""))</f>
        <v/>
      </c>
      <c r="DD252">
        <f>IF('История отказов'!AE255="","",IF(AND(COUNTIF($CU$2:$CU$3,'История отказов'!AE255)=0,COUNTIFS('История отказов'!$F$5:F255,"ЭЦН",'История отказов'!$AE$5:AE255,'История отказов'!AE255)=1,'История отказов'!F255="ЭЦН"),251,""))</f>
        <v/>
      </c>
      <c r="DE252">
        <f>IF('История отказов'!AE255="","",IF(AND(COUNTIF($CV$2:$CV$3,'История отказов'!AE255)=0,COUNTIFS('История отказов'!$F$5:F255,"ЭВН",'История отказов'!$AE$5:AE255,'История отказов'!AE255)=1,'История отказов'!F255="ЭВН"),251,""))</f>
        <v/>
      </c>
      <c r="DF252">
        <f>IF('История отказов'!AE255="","",IF(AND(COUNTIF($CX$2:$CX$2,'История отказов'!AE255)=0,COUNTIFS('История отказов'!$F$5:F255,"ШВН",'История отказов'!$AE$5:AE255,'История отказов'!AE255)=1,'История отказов'!F255="ШВН"),251,""))</f>
        <v/>
      </c>
      <c r="DG252">
        <f>IF('История отказов'!AE255="","",IF(AND(COUNTIF($CW$2:$CW$2,'История отказов'!AE255)=0,COUNTIFS('История отказов'!$F$5:F255,"НПУ-ВД",'История отказов'!$AE$5:AE255,'История отказов'!AE255)=1,'История отказов'!F255="НПУ-ВД"),251,""))</f>
        <v/>
      </c>
      <c r="DH252">
        <f>IF('История отказов'!AE255="","",IF(AND(COUNTIF($CY$2:$CY$6,'История отказов'!AE255)=0,COUNTIF('История отказов'!$AE$5:AE255,'История отказов'!AE255)=1),251,""))</f>
        <v/>
      </c>
      <c r="DI252">
        <f>IF('История отказов'!AK255="","",IF(AND(COUNTIF($CL$2:$CL$3,'История отказов'!AK255)=0,COUNTIF('История отказов'!$AK$5:AK255,'История отказов'!AK255)=1),251,""))</f>
        <v/>
      </c>
      <c r="DJ252">
        <f>IF('История отказов'!AU255="","",IF(AND(COUNTIF($CP$2:$CP$3,'История отказов'!AU255)=0,COUNTIF('История отказов'!$AU$5:AU255,'История отказов'!AU255)=1),251,""))</f>
        <v/>
      </c>
      <c r="DK252">
        <f>IF('История отказов'!AY255="","",IF(AND(COUNTIF($CR$2:$CR$2,'История отказов'!AY255)=0,COUNTIF('История отказов'!$AY$5:AY255,'История отказов'!AY255)=1),251,""))</f>
        <v/>
      </c>
      <c r="DL252">
        <f>IF(DB252="","",IF(AND(COUNTIF($DA$2:$DA$47,DB252)=0,COUNTIF($DB$2:DB252,DB252)=1),251,""))</f>
        <v/>
      </c>
    </row>
    <row r="253">
      <c r="A253" s="74" t="n"/>
      <c r="B253" s="75" t="n"/>
      <c r="C253" s="75" t="n"/>
      <c r="D253" s="75" t="n"/>
      <c r="E253" s="75" t="n"/>
      <c r="F253" s="75" t="n"/>
      <c r="G253" s="76" t="n"/>
      <c r="J253" s="62" t="n"/>
      <c r="K253" s="62" t="n"/>
      <c r="L253" s="62" t="n"/>
      <c r="M253" s="62" t="n"/>
      <c r="N253" s="62" t="n"/>
      <c r="Q253" t="inlineStr">
        <is>
          <t>Предварительная / итоговая причина</t>
        </is>
      </c>
      <c r="R253" t="inlineStr">
        <is>
          <t>7.2 — Отказ, связанный с пакерным (или другим) оборудованием [УШГН]</t>
        </is>
      </c>
      <c r="S253" t="inlineStr">
        <is>
          <t>Код и название; метка группы добавлена</t>
        </is>
      </c>
      <c r="T253" t="inlineStr">
        <is>
          <t>Классификатор по способам 2024 V10, лист УШГН</t>
        </is>
      </c>
      <c r="U253" t="inlineStr">
        <is>
          <t>Лист УШГН; код 7.2</t>
        </is>
      </c>
      <c r="V253" t="inlineStr">
        <is>
          <t>ШГН/ШВН</t>
        </is>
      </c>
      <c r="DB253">
        <f>IF('История отказов'!AH256="","",'История отказов'!AH256)</f>
        <v/>
      </c>
      <c r="DC253">
        <f>IF('История отказов'!AE256="","",IF(AND(COUNTIF($CT$2:$CT$2,'История отказов'!AE256)=0,COUNTIFS('История отказов'!$F$5:F256,"ШГН",'История отказов'!$AE$5:AE256,'История отказов'!AE256)=1,'История отказов'!F256="ШГН"),252,""))</f>
        <v/>
      </c>
      <c r="DD253">
        <f>IF('История отказов'!AE256="","",IF(AND(COUNTIF($CU$2:$CU$3,'История отказов'!AE256)=0,COUNTIFS('История отказов'!$F$5:F256,"ЭЦН",'История отказов'!$AE$5:AE256,'История отказов'!AE256)=1,'История отказов'!F256="ЭЦН"),252,""))</f>
        <v/>
      </c>
      <c r="DE253">
        <f>IF('История отказов'!AE256="","",IF(AND(COUNTIF($CV$2:$CV$3,'История отказов'!AE256)=0,COUNTIFS('История отказов'!$F$5:F256,"ЭВН",'История отказов'!$AE$5:AE256,'История отказов'!AE256)=1,'История отказов'!F256="ЭВН"),252,""))</f>
        <v/>
      </c>
      <c r="DF253">
        <f>IF('История отказов'!AE256="","",IF(AND(COUNTIF($CX$2:$CX$2,'История отказов'!AE256)=0,COUNTIFS('История отказов'!$F$5:F256,"ШВН",'История отказов'!$AE$5:AE256,'История отказов'!AE256)=1,'История отказов'!F256="ШВН"),252,""))</f>
        <v/>
      </c>
      <c r="DG253">
        <f>IF('История отказов'!AE256="","",IF(AND(COUNTIF($CW$2:$CW$2,'История отказов'!AE256)=0,COUNTIFS('История отказов'!$F$5:F256,"НПУ-ВД",'История отказов'!$AE$5:AE256,'История отказов'!AE256)=1,'История отказов'!F256="НПУ-ВД"),252,""))</f>
        <v/>
      </c>
      <c r="DH253">
        <f>IF('История отказов'!AE256="","",IF(AND(COUNTIF($CY$2:$CY$6,'История отказов'!AE256)=0,COUNTIF('История отказов'!$AE$5:AE256,'История отказов'!AE256)=1),252,""))</f>
        <v/>
      </c>
      <c r="DI253">
        <f>IF('История отказов'!AK256="","",IF(AND(COUNTIF($CL$2:$CL$3,'История отказов'!AK256)=0,COUNTIF('История отказов'!$AK$5:AK256,'История отказов'!AK256)=1),252,""))</f>
        <v/>
      </c>
      <c r="DJ253">
        <f>IF('История отказов'!AU256="","",IF(AND(COUNTIF($CP$2:$CP$3,'История отказов'!AU256)=0,COUNTIF('История отказов'!$AU$5:AU256,'История отказов'!AU256)=1),252,""))</f>
        <v/>
      </c>
      <c r="DK253">
        <f>IF('История отказов'!AY256="","",IF(AND(COUNTIF($CR$2:$CR$2,'История отказов'!AY256)=0,COUNTIF('История отказов'!$AY$5:AY256,'История отказов'!AY256)=1),252,""))</f>
        <v/>
      </c>
      <c r="DL253">
        <f>IF(DB253="","",IF(AND(COUNTIF($DA$2:$DA$47,DB253)=0,COUNTIF($DB$2:DB253,DB253)=1),252,""))</f>
        <v/>
      </c>
    </row>
    <row r="254">
      <c r="A254" s="74" t="n"/>
      <c r="B254" s="75" t="n"/>
      <c r="C254" s="75" t="n"/>
      <c r="D254" s="75" t="n"/>
      <c r="E254" s="75" t="n"/>
      <c r="F254" s="75" t="n"/>
      <c r="G254" s="76" t="n"/>
      <c r="J254" s="62" t="n"/>
      <c r="K254" s="62" t="n"/>
      <c r="L254" s="62" t="n"/>
      <c r="M254" s="62" t="n"/>
      <c r="N254" s="62" t="n"/>
      <c r="Q254" t="inlineStr">
        <is>
          <t>Предварительная / итоговая причина</t>
        </is>
      </c>
      <c r="R254" t="inlineStr">
        <is>
          <t>7.3 — Прочие [УШГН]</t>
        </is>
      </c>
      <c r="S254" t="inlineStr">
        <is>
          <t>Код и название; метка группы добавлена</t>
        </is>
      </c>
      <c r="T254" t="inlineStr">
        <is>
          <t>Классификатор по способам 2024 V10, лист УШГН</t>
        </is>
      </c>
      <c r="U254" t="inlineStr">
        <is>
          <t>Лист УШГН; код 7.3</t>
        </is>
      </c>
      <c r="V254" t="inlineStr">
        <is>
          <t>ШГН/ШВН</t>
        </is>
      </c>
      <c r="DB254">
        <f>IF('История отказов'!AH257="","",'История отказов'!AH257)</f>
        <v/>
      </c>
      <c r="DC254">
        <f>IF('История отказов'!AE257="","",IF(AND(COUNTIF($CT$2:$CT$2,'История отказов'!AE257)=0,COUNTIFS('История отказов'!$F$5:F257,"ШГН",'История отказов'!$AE$5:AE257,'История отказов'!AE257)=1,'История отказов'!F257="ШГН"),253,""))</f>
        <v/>
      </c>
      <c r="DD254">
        <f>IF('История отказов'!AE257="","",IF(AND(COUNTIF($CU$2:$CU$3,'История отказов'!AE257)=0,COUNTIFS('История отказов'!$F$5:F257,"ЭЦН",'История отказов'!$AE$5:AE257,'История отказов'!AE257)=1,'История отказов'!F257="ЭЦН"),253,""))</f>
        <v/>
      </c>
      <c r="DE254">
        <f>IF('История отказов'!AE257="","",IF(AND(COUNTIF($CV$2:$CV$3,'История отказов'!AE257)=0,COUNTIFS('История отказов'!$F$5:F257,"ЭВН",'История отказов'!$AE$5:AE257,'История отказов'!AE257)=1,'История отказов'!F257="ЭВН"),253,""))</f>
        <v/>
      </c>
      <c r="DF254">
        <f>IF('История отказов'!AE257="","",IF(AND(COUNTIF($CX$2:$CX$2,'История отказов'!AE257)=0,COUNTIFS('История отказов'!$F$5:F257,"ШВН",'История отказов'!$AE$5:AE257,'История отказов'!AE257)=1,'История отказов'!F257="ШВН"),253,""))</f>
        <v/>
      </c>
      <c r="DG254">
        <f>IF('История отказов'!AE257="","",IF(AND(COUNTIF($CW$2:$CW$2,'История отказов'!AE257)=0,COUNTIFS('История отказов'!$F$5:F257,"НПУ-ВД",'История отказов'!$AE$5:AE257,'История отказов'!AE257)=1,'История отказов'!F257="НПУ-ВД"),253,""))</f>
        <v/>
      </c>
      <c r="DH254">
        <f>IF('История отказов'!AE257="","",IF(AND(COUNTIF($CY$2:$CY$6,'История отказов'!AE257)=0,COUNTIF('История отказов'!$AE$5:AE257,'История отказов'!AE257)=1),253,""))</f>
        <v/>
      </c>
      <c r="DI254">
        <f>IF('История отказов'!AK257="","",IF(AND(COUNTIF($CL$2:$CL$3,'История отказов'!AK257)=0,COUNTIF('История отказов'!$AK$5:AK257,'История отказов'!AK257)=1),253,""))</f>
        <v/>
      </c>
      <c r="DJ254">
        <f>IF('История отказов'!AU257="","",IF(AND(COUNTIF($CP$2:$CP$3,'История отказов'!AU257)=0,COUNTIF('История отказов'!$AU$5:AU257,'История отказов'!AU257)=1),253,""))</f>
        <v/>
      </c>
      <c r="DK254">
        <f>IF('История отказов'!AY257="","",IF(AND(COUNTIF($CR$2:$CR$2,'История отказов'!AY257)=0,COUNTIF('История отказов'!$AY$5:AY257,'История отказов'!AY257)=1),253,""))</f>
        <v/>
      </c>
      <c r="DL254">
        <f>IF(DB254="","",IF(AND(COUNTIF($DA$2:$DA$47,DB254)=0,COUNTIF($DB$2:DB254,DB254)=1),253,""))</f>
        <v/>
      </c>
    </row>
    <row r="255">
      <c r="A255" s="74" t="n"/>
      <c r="B255" s="75" t="n"/>
      <c r="C255" s="75" t="n"/>
      <c r="D255" s="75" t="n"/>
      <c r="E255" s="75" t="n"/>
      <c r="F255" s="75" t="n"/>
      <c r="G255" s="76" t="n"/>
      <c r="J255" s="62" t="n"/>
      <c r="K255" s="62" t="n"/>
      <c r="L255" s="62" t="n"/>
      <c r="M255" s="62" t="n"/>
      <c r="N255" s="62" t="n"/>
      <c r="Q255" t="inlineStr">
        <is>
          <t>Категория осложнения</t>
        </is>
      </c>
      <c r="R255" t="inlineStr">
        <is>
          <t>А1 — АСПО</t>
        </is>
      </c>
      <c r="S255" t="inlineStr">
        <is>
          <t>Класс из МУ</t>
        </is>
      </c>
      <c r="T255" t="inlineStr">
        <is>
          <t>МУ по отнесению скважин к ОФ, таблицы классов</t>
        </is>
      </c>
      <c r="U255" t="inlineStr">
        <is>
          <t>Таблица 1, §5</t>
        </is>
      </c>
      <c r="V255" t="inlineStr">
        <is>
          <t>Все типы</t>
        </is>
      </c>
      <c r="DB255">
        <f>IF('История отказов'!AH258="","",'История отказов'!AH258)</f>
        <v/>
      </c>
      <c r="DC255">
        <f>IF('История отказов'!AE258="","",IF(AND(COUNTIF($CT$2:$CT$2,'История отказов'!AE258)=0,COUNTIFS('История отказов'!$F$5:F258,"ШГН",'История отказов'!$AE$5:AE258,'История отказов'!AE258)=1,'История отказов'!F258="ШГН"),254,""))</f>
        <v/>
      </c>
      <c r="DD255">
        <f>IF('История отказов'!AE258="","",IF(AND(COUNTIF($CU$2:$CU$3,'История отказов'!AE258)=0,COUNTIFS('История отказов'!$F$5:F258,"ЭЦН",'История отказов'!$AE$5:AE258,'История отказов'!AE258)=1,'История отказов'!F258="ЭЦН"),254,""))</f>
        <v/>
      </c>
      <c r="DE255">
        <f>IF('История отказов'!AE258="","",IF(AND(COUNTIF($CV$2:$CV$3,'История отказов'!AE258)=0,COUNTIFS('История отказов'!$F$5:F258,"ЭВН",'История отказов'!$AE$5:AE258,'История отказов'!AE258)=1,'История отказов'!F258="ЭВН"),254,""))</f>
        <v/>
      </c>
      <c r="DF255">
        <f>IF('История отказов'!AE258="","",IF(AND(COUNTIF($CX$2:$CX$2,'История отказов'!AE258)=0,COUNTIFS('История отказов'!$F$5:F258,"ШВН",'История отказов'!$AE$5:AE258,'История отказов'!AE258)=1,'История отказов'!F258="ШВН"),254,""))</f>
        <v/>
      </c>
      <c r="DG255">
        <f>IF('История отказов'!AE258="","",IF(AND(COUNTIF($CW$2:$CW$2,'История отказов'!AE258)=0,COUNTIFS('История отказов'!$F$5:F258,"НПУ-ВД",'История отказов'!$AE$5:AE258,'История отказов'!AE258)=1,'История отказов'!F258="НПУ-ВД"),254,""))</f>
        <v/>
      </c>
      <c r="DH255">
        <f>IF('История отказов'!AE258="","",IF(AND(COUNTIF($CY$2:$CY$6,'История отказов'!AE258)=0,COUNTIF('История отказов'!$AE$5:AE258,'История отказов'!AE258)=1),254,""))</f>
        <v/>
      </c>
      <c r="DI255">
        <f>IF('История отказов'!AK258="","",IF(AND(COUNTIF($CL$2:$CL$3,'История отказов'!AK258)=0,COUNTIF('История отказов'!$AK$5:AK258,'История отказов'!AK258)=1),254,""))</f>
        <v/>
      </c>
      <c r="DJ255">
        <f>IF('История отказов'!AU258="","",IF(AND(COUNTIF($CP$2:$CP$3,'История отказов'!AU258)=0,COUNTIF('История отказов'!$AU$5:AU258,'История отказов'!AU258)=1),254,""))</f>
        <v/>
      </c>
      <c r="DK255">
        <f>IF('История отказов'!AY258="","",IF(AND(COUNTIF($CR$2:$CR$2,'История отказов'!AY258)=0,COUNTIF('История отказов'!$AY$5:AY258,'История отказов'!AY258)=1),254,""))</f>
        <v/>
      </c>
      <c r="DL255">
        <f>IF(DB255="","",IF(AND(COUNTIF($DA$2:$DA$47,DB255)=0,COUNTIF($DB$2:DB255,DB255)=1),254,""))</f>
        <v/>
      </c>
    </row>
    <row r="256">
      <c r="A256" s="74" t="n"/>
      <c r="B256" s="75" t="n"/>
      <c r="C256" s="75" t="n"/>
      <c r="D256" s="75" t="n"/>
      <c r="E256" s="75" t="n"/>
      <c r="F256" s="75" t="n"/>
      <c r="G256" s="76" t="n"/>
      <c r="J256" s="62" t="n"/>
      <c r="K256" s="62" t="n"/>
      <c r="L256" s="62" t="n"/>
      <c r="M256" s="62" t="n"/>
      <c r="N256" s="62" t="n"/>
      <c r="Q256" t="inlineStr">
        <is>
          <t>Категория осложнения</t>
        </is>
      </c>
      <c r="R256" t="inlineStr">
        <is>
          <t>А2 — АСПО</t>
        </is>
      </c>
      <c r="S256" t="inlineStr">
        <is>
          <t>Класс из МУ</t>
        </is>
      </c>
      <c r="T256" t="inlineStr">
        <is>
          <t>МУ по отнесению скважин к ОФ, таблицы классов</t>
        </is>
      </c>
      <c r="U256" t="inlineStr">
        <is>
          <t>Таблица 1, §5</t>
        </is>
      </c>
      <c r="V256" t="inlineStr">
        <is>
          <t>Все типы</t>
        </is>
      </c>
      <c r="DB256">
        <f>IF('История отказов'!AH259="","",'История отказов'!AH259)</f>
        <v/>
      </c>
      <c r="DC256">
        <f>IF('История отказов'!AE259="","",IF(AND(COUNTIF($CT$2:$CT$2,'История отказов'!AE259)=0,COUNTIFS('История отказов'!$F$5:F259,"ШГН",'История отказов'!$AE$5:AE259,'История отказов'!AE259)=1,'История отказов'!F259="ШГН"),255,""))</f>
        <v/>
      </c>
      <c r="DD256">
        <f>IF('История отказов'!AE259="","",IF(AND(COUNTIF($CU$2:$CU$3,'История отказов'!AE259)=0,COUNTIFS('История отказов'!$F$5:F259,"ЭЦН",'История отказов'!$AE$5:AE259,'История отказов'!AE259)=1,'История отказов'!F259="ЭЦН"),255,""))</f>
        <v/>
      </c>
      <c r="DE256">
        <f>IF('История отказов'!AE259="","",IF(AND(COUNTIF($CV$2:$CV$3,'История отказов'!AE259)=0,COUNTIFS('История отказов'!$F$5:F259,"ЭВН",'История отказов'!$AE$5:AE259,'История отказов'!AE259)=1,'История отказов'!F259="ЭВН"),255,""))</f>
        <v/>
      </c>
      <c r="DF256">
        <f>IF('История отказов'!AE259="","",IF(AND(COUNTIF($CX$2:$CX$2,'История отказов'!AE259)=0,COUNTIFS('История отказов'!$F$5:F259,"ШВН",'История отказов'!$AE$5:AE259,'История отказов'!AE259)=1,'История отказов'!F259="ШВН"),255,""))</f>
        <v/>
      </c>
      <c r="DG256">
        <f>IF('История отказов'!AE259="","",IF(AND(COUNTIF($CW$2:$CW$2,'История отказов'!AE259)=0,COUNTIFS('История отказов'!$F$5:F259,"НПУ-ВД",'История отказов'!$AE$5:AE259,'История отказов'!AE259)=1,'История отказов'!F259="НПУ-ВД"),255,""))</f>
        <v/>
      </c>
      <c r="DH256">
        <f>IF('История отказов'!AE259="","",IF(AND(COUNTIF($CY$2:$CY$6,'История отказов'!AE259)=0,COUNTIF('История отказов'!$AE$5:AE259,'История отказов'!AE259)=1),255,""))</f>
        <v/>
      </c>
      <c r="DI256">
        <f>IF('История отказов'!AK259="","",IF(AND(COUNTIF($CL$2:$CL$3,'История отказов'!AK259)=0,COUNTIF('История отказов'!$AK$5:AK259,'История отказов'!AK259)=1),255,""))</f>
        <v/>
      </c>
      <c r="DJ256">
        <f>IF('История отказов'!AU259="","",IF(AND(COUNTIF($CP$2:$CP$3,'История отказов'!AU259)=0,COUNTIF('История отказов'!$AU$5:AU259,'История отказов'!AU259)=1),255,""))</f>
        <v/>
      </c>
      <c r="DK256">
        <f>IF('История отказов'!AY259="","",IF(AND(COUNTIF($CR$2:$CR$2,'История отказов'!AY259)=0,COUNTIF('История отказов'!$AY$5:AY259,'История отказов'!AY259)=1),255,""))</f>
        <v/>
      </c>
      <c r="DL256">
        <f>IF(DB256="","",IF(AND(COUNTIF($DA$2:$DA$47,DB256)=0,COUNTIF($DB$2:DB256,DB256)=1),255,""))</f>
        <v/>
      </c>
    </row>
    <row r="257">
      <c r="A257" s="74" t="n"/>
      <c r="B257" s="75" t="n"/>
      <c r="C257" s="75" t="n"/>
      <c r="D257" s="75" t="n"/>
      <c r="E257" s="75" t="n"/>
      <c r="F257" s="75" t="n"/>
      <c r="G257" s="76" t="n"/>
      <c r="J257" s="62" t="n"/>
      <c r="K257" s="62" t="n"/>
      <c r="L257" s="62" t="n"/>
      <c r="M257" s="62" t="n"/>
      <c r="N257" s="62" t="n"/>
      <c r="Q257" t="inlineStr">
        <is>
          <t>Категория осложнения</t>
        </is>
      </c>
      <c r="R257" t="inlineStr">
        <is>
          <t>А3 — АСПО</t>
        </is>
      </c>
      <c r="S257" t="inlineStr">
        <is>
          <t>Класс из МУ</t>
        </is>
      </c>
      <c r="T257" t="inlineStr">
        <is>
          <t>МУ по отнесению скважин к ОФ, таблицы классов</t>
        </is>
      </c>
      <c r="U257" t="inlineStr">
        <is>
          <t>Таблица 1, §5</t>
        </is>
      </c>
      <c r="V257" t="inlineStr">
        <is>
          <t>Все типы</t>
        </is>
      </c>
      <c r="DB257">
        <f>IF('История отказов'!AH260="","",'История отказов'!AH260)</f>
        <v/>
      </c>
      <c r="DC257">
        <f>IF('История отказов'!AE260="","",IF(AND(COUNTIF($CT$2:$CT$2,'История отказов'!AE260)=0,COUNTIFS('История отказов'!$F$5:F260,"ШГН",'История отказов'!$AE$5:AE260,'История отказов'!AE260)=1,'История отказов'!F260="ШГН"),256,""))</f>
        <v/>
      </c>
      <c r="DD257">
        <f>IF('История отказов'!AE260="","",IF(AND(COUNTIF($CU$2:$CU$3,'История отказов'!AE260)=0,COUNTIFS('История отказов'!$F$5:F260,"ЭЦН",'История отказов'!$AE$5:AE260,'История отказов'!AE260)=1,'История отказов'!F260="ЭЦН"),256,""))</f>
        <v/>
      </c>
      <c r="DE257">
        <f>IF('История отказов'!AE260="","",IF(AND(COUNTIF($CV$2:$CV$3,'История отказов'!AE260)=0,COUNTIFS('История отказов'!$F$5:F260,"ЭВН",'История отказов'!$AE$5:AE260,'История отказов'!AE260)=1,'История отказов'!F260="ЭВН"),256,""))</f>
        <v/>
      </c>
      <c r="DF257">
        <f>IF('История отказов'!AE260="","",IF(AND(COUNTIF($CX$2:$CX$2,'История отказов'!AE260)=0,COUNTIFS('История отказов'!$F$5:F260,"ШВН",'История отказов'!$AE$5:AE260,'История отказов'!AE260)=1,'История отказов'!F260="ШВН"),256,""))</f>
        <v/>
      </c>
      <c r="DG257">
        <f>IF('История отказов'!AE260="","",IF(AND(COUNTIF($CW$2:$CW$2,'История отказов'!AE260)=0,COUNTIFS('История отказов'!$F$5:F260,"НПУ-ВД",'История отказов'!$AE$5:AE260,'История отказов'!AE260)=1,'История отказов'!F260="НПУ-ВД"),256,""))</f>
        <v/>
      </c>
      <c r="DH257">
        <f>IF('История отказов'!AE260="","",IF(AND(COUNTIF($CY$2:$CY$6,'История отказов'!AE260)=0,COUNTIF('История отказов'!$AE$5:AE260,'История отказов'!AE260)=1),256,""))</f>
        <v/>
      </c>
      <c r="DI257">
        <f>IF('История отказов'!AK260="","",IF(AND(COUNTIF($CL$2:$CL$3,'История отказов'!AK260)=0,COUNTIF('История отказов'!$AK$5:AK260,'История отказов'!AK260)=1),256,""))</f>
        <v/>
      </c>
      <c r="DJ257">
        <f>IF('История отказов'!AU260="","",IF(AND(COUNTIF($CP$2:$CP$3,'История отказов'!AU260)=0,COUNTIF('История отказов'!$AU$5:AU260,'История отказов'!AU260)=1),256,""))</f>
        <v/>
      </c>
      <c r="DK257">
        <f>IF('История отказов'!AY260="","",IF(AND(COUNTIF($CR$2:$CR$2,'История отказов'!AY260)=0,COUNTIF('История отказов'!$AY$5:AY260,'История отказов'!AY260)=1),256,""))</f>
        <v/>
      </c>
      <c r="DL257">
        <f>IF(DB257="","",IF(AND(COUNTIF($DA$2:$DA$47,DB257)=0,COUNTIF($DB$2:DB257,DB257)=1),256,""))</f>
        <v/>
      </c>
    </row>
    <row r="258">
      <c r="A258" s="74" t="n"/>
      <c r="B258" s="75" t="n"/>
      <c r="C258" s="75" t="n"/>
      <c r="D258" s="75" t="n"/>
      <c r="E258" s="75" t="n"/>
      <c r="F258" s="75" t="n"/>
      <c r="G258" s="76" t="n"/>
      <c r="J258" s="62" t="n"/>
      <c r="K258" s="62" t="n"/>
      <c r="L258" s="62" t="n"/>
      <c r="M258" s="62" t="n"/>
      <c r="N258" s="62" t="n"/>
      <c r="Q258" t="inlineStr">
        <is>
          <t>Категория осложнения</t>
        </is>
      </c>
      <c r="R258" t="inlineStr">
        <is>
          <t>К1 — Коррозия</t>
        </is>
      </c>
      <c r="S258" t="inlineStr">
        <is>
          <t>Класс из МУ</t>
        </is>
      </c>
      <c r="T258" t="inlineStr">
        <is>
          <t>МУ по отнесению скважин к ОФ, таблицы классов</t>
        </is>
      </c>
      <c r="U258" t="inlineStr">
        <is>
          <t>Таблица 3, §6</t>
        </is>
      </c>
      <c r="V258" t="inlineStr">
        <is>
          <t>Все типы</t>
        </is>
      </c>
      <c r="DB258">
        <f>IF('История отказов'!AH261="","",'История отказов'!AH261)</f>
        <v/>
      </c>
      <c r="DC258">
        <f>IF('История отказов'!AE261="","",IF(AND(COUNTIF($CT$2:$CT$2,'История отказов'!AE261)=0,COUNTIFS('История отказов'!$F$5:F261,"ШГН",'История отказов'!$AE$5:AE261,'История отказов'!AE261)=1,'История отказов'!F261="ШГН"),257,""))</f>
        <v/>
      </c>
      <c r="DD258">
        <f>IF('История отказов'!AE261="","",IF(AND(COUNTIF($CU$2:$CU$3,'История отказов'!AE261)=0,COUNTIFS('История отказов'!$F$5:F261,"ЭЦН",'История отказов'!$AE$5:AE261,'История отказов'!AE261)=1,'История отказов'!F261="ЭЦН"),257,""))</f>
        <v/>
      </c>
      <c r="DE258">
        <f>IF('История отказов'!AE261="","",IF(AND(COUNTIF($CV$2:$CV$3,'История отказов'!AE261)=0,COUNTIFS('История отказов'!$F$5:F261,"ЭВН",'История отказов'!$AE$5:AE261,'История отказов'!AE261)=1,'История отказов'!F261="ЭВН"),257,""))</f>
        <v/>
      </c>
      <c r="DF258">
        <f>IF('История отказов'!AE261="","",IF(AND(COUNTIF($CX$2:$CX$2,'История отказов'!AE261)=0,COUNTIFS('История отказов'!$F$5:F261,"ШВН",'История отказов'!$AE$5:AE261,'История отказов'!AE261)=1,'История отказов'!F261="ШВН"),257,""))</f>
        <v/>
      </c>
      <c r="DG258">
        <f>IF('История отказов'!AE261="","",IF(AND(COUNTIF($CW$2:$CW$2,'История отказов'!AE261)=0,COUNTIFS('История отказов'!$F$5:F261,"НПУ-ВД",'История отказов'!$AE$5:AE261,'История отказов'!AE261)=1,'История отказов'!F261="НПУ-ВД"),257,""))</f>
        <v/>
      </c>
      <c r="DH258">
        <f>IF('История отказов'!AE261="","",IF(AND(COUNTIF($CY$2:$CY$6,'История отказов'!AE261)=0,COUNTIF('История отказов'!$AE$5:AE261,'История отказов'!AE261)=1),257,""))</f>
        <v/>
      </c>
      <c r="DI258">
        <f>IF('История отказов'!AK261="","",IF(AND(COUNTIF($CL$2:$CL$3,'История отказов'!AK261)=0,COUNTIF('История отказов'!$AK$5:AK261,'История отказов'!AK261)=1),257,""))</f>
        <v/>
      </c>
      <c r="DJ258">
        <f>IF('История отказов'!AU261="","",IF(AND(COUNTIF($CP$2:$CP$3,'История отказов'!AU261)=0,COUNTIF('История отказов'!$AU$5:AU261,'История отказов'!AU261)=1),257,""))</f>
        <v/>
      </c>
      <c r="DK258">
        <f>IF('История отказов'!AY261="","",IF(AND(COUNTIF($CR$2:$CR$2,'История отказов'!AY261)=0,COUNTIF('История отказов'!$AY$5:AY261,'История отказов'!AY261)=1),257,""))</f>
        <v/>
      </c>
      <c r="DL258">
        <f>IF(DB258="","",IF(AND(COUNTIF($DA$2:$DA$47,DB258)=0,COUNTIF($DB$2:DB258,DB258)=1),257,""))</f>
        <v/>
      </c>
    </row>
    <row r="259">
      <c r="A259" s="74" t="n"/>
      <c r="B259" s="75" t="n"/>
      <c r="C259" s="75" t="n"/>
      <c r="D259" s="75" t="n"/>
      <c r="E259" s="75" t="n"/>
      <c r="F259" s="75" t="n"/>
      <c r="G259" s="76" t="n"/>
      <c r="J259" s="62" t="n"/>
      <c r="K259" s="62" t="n"/>
      <c r="L259" s="62" t="n"/>
      <c r="M259" s="62" t="n"/>
      <c r="N259" s="62" t="n"/>
      <c r="Q259" t="inlineStr">
        <is>
          <t>Категория осложнения</t>
        </is>
      </c>
      <c r="R259" t="inlineStr">
        <is>
          <t>К2 — Коррозия</t>
        </is>
      </c>
      <c r="S259" t="inlineStr">
        <is>
          <t>Класс из МУ</t>
        </is>
      </c>
      <c r="T259" t="inlineStr">
        <is>
          <t>МУ по отнесению скважин к ОФ, таблицы классов</t>
        </is>
      </c>
      <c r="U259" t="inlineStr">
        <is>
          <t>Таблица 3, §6</t>
        </is>
      </c>
      <c r="V259" t="inlineStr">
        <is>
          <t>Все типы</t>
        </is>
      </c>
      <c r="DB259">
        <f>IF('История отказов'!AH262="","",'История отказов'!AH262)</f>
        <v/>
      </c>
      <c r="DC259">
        <f>IF('История отказов'!AE262="","",IF(AND(COUNTIF($CT$2:$CT$2,'История отказов'!AE262)=0,COUNTIFS('История отказов'!$F$5:F262,"ШГН",'История отказов'!$AE$5:AE262,'История отказов'!AE262)=1,'История отказов'!F262="ШГН"),258,""))</f>
        <v/>
      </c>
      <c r="DD259">
        <f>IF('История отказов'!AE262="","",IF(AND(COUNTIF($CU$2:$CU$3,'История отказов'!AE262)=0,COUNTIFS('История отказов'!$F$5:F262,"ЭЦН",'История отказов'!$AE$5:AE262,'История отказов'!AE262)=1,'История отказов'!F262="ЭЦН"),258,""))</f>
        <v/>
      </c>
      <c r="DE259">
        <f>IF('История отказов'!AE262="","",IF(AND(COUNTIF($CV$2:$CV$3,'История отказов'!AE262)=0,COUNTIFS('История отказов'!$F$5:F262,"ЭВН",'История отказов'!$AE$5:AE262,'История отказов'!AE262)=1,'История отказов'!F262="ЭВН"),258,""))</f>
        <v/>
      </c>
      <c r="DF259">
        <f>IF('История отказов'!AE262="","",IF(AND(COUNTIF($CX$2:$CX$2,'История отказов'!AE262)=0,COUNTIFS('История отказов'!$F$5:F262,"ШВН",'История отказов'!$AE$5:AE262,'История отказов'!AE262)=1,'История отказов'!F262="ШВН"),258,""))</f>
        <v/>
      </c>
      <c r="DG259">
        <f>IF('История отказов'!AE262="","",IF(AND(COUNTIF($CW$2:$CW$2,'История отказов'!AE262)=0,COUNTIFS('История отказов'!$F$5:F262,"НПУ-ВД",'История отказов'!$AE$5:AE262,'История отказов'!AE262)=1,'История отказов'!F262="НПУ-ВД"),258,""))</f>
        <v/>
      </c>
      <c r="DH259">
        <f>IF('История отказов'!AE262="","",IF(AND(COUNTIF($CY$2:$CY$6,'История отказов'!AE262)=0,COUNTIF('История отказов'!$AE$5:AE262,'История отказов'!AE262)=1),258,""))</f>
        <v/>
      </c>
      <c r="DI259">
        <f>IF('История отказов'!AK262="","",IF(AND(COUNTIF($CL$2:$CL$3,'История отказов'!AK262)=0,COUNTIF('История отказов'!$AK$5:AK262,'История отказов'!AK262)=1),258,""))</f>
        <v/>
      </c>
      <c r="DJ259">
        <f>IF('История отказов'!AU262="","",IF(AND(COUNTIF($CP$2:$CP$3,'История отказов'!AU262)=0,COUNTIF('История отказов'!$AU$5:AU262,'История отказов'!AU262)=1),258,""))</f>
        <v/>
      </c>
      <c r="DK259">
        <f>IF('История отказов'!AY262="","",IF(AND(COUNTIF($CR$2:$CR$2,'История отказов'!AY262)=0,COUNTIF('История отказов'!$AY$5:AY262,'История отказов'!AY262)=1),258,""))</f>
        <v/>
      </c>
      <c r="DL259">
        <f>IF(DB259="","",IF(AND(COUNTIF($DA$2:$DA$47,DB259)=0,COUNTIF($DB$2:DB259,DB259)=1),258,""))</f>
        <v/>
      </c>
    </row>
    <row r="260">
      <c r="A260" s="74" t="n"/>
      <c r="B260" s="75" t="n"/>
      <c r="C260" s="75" t="n"/>
      <c r="D260" s="75" t="n"/>
      <c r="E260" s="75" t="n"/>
      <c r="F260" s="75" t="n"/>
      <c r="G260" s="76" t="n"/>
      <c r="J260" s="62" t="n"/>
      <c r="K260" s="62" t="n"/>
      <c r="L260" s="62" t="n"/>
      <c r="M260" s="62" t="n"/>
      <c r="N260" s="62" t="n"/>
      <c r="Q260" t="inlineStr">
        <is>
          <t>Категория осложнения</t>
        </is>
      </c>
      <c r="R260" t="inlineStr">
        <is>
          <t>К3 — Коррозия</t>
        </is>
      </c>
      <c r="S260" t="inlineStr">
        <is>
          <t>Класс из МУ</t>
        </is>
      </c>
      <c r="T260" t="inlineStr">
        <is>
          <t>МУ по отнесению скважин к ОФ, таблицы классов</t>
        </is>
      </c>
      <c r="U260" t="inlineStr">
        <is>
          <t>Таблица 3, §6</t>
        </is>
      </c>
      <c r="V260" t="inlineStr">
        <is>
          <t>Все типы</t>
        </is>
      </c>
      <c r="DB260">
        <f>IF('История отказов'!AH263="","",'История отказов'!AH263)</f>
        <v/>
      </c>
      <c r="DC260">
        <f>IF('История отказов'!AE263="","",IF(AND(COUNTIF($CT$2:$CT$2,'История отказов'!AE263)=0,COUNTIFS('История отказов'!$F$5:F263,"ШГН",'История отказов'!$AE$5:AE263,'История отказов'!AE263)=1,'История отказов'!F263="ШГН"),259,""))</f>
        <v/>
      </c>
      <c r="DD260">
        <f>IF('История отказов'!AE263="","",IF(AND(COUNTIF($CU$2:$CU$3,'История отказов'!AE263)=0,COUNTIFS('История отказов'!$F$5:F263,"ЭЦН",'История отказов'!$AE$5:AE263,'История отказов'!AE263)=1,'История отказов'!F263="ЭЦН"),259,""))</f>
        <v/>
      </c>
      <c r="DE260">
        <f>IF('История отказов'!AE263="","",IF(AND(COUNTIF($CV$2:$CV$3,'История отказов'!AE263)=0,COUNTIFS('История отказов'!$F$5:F263,"ЭВН",'История отказов'!$AE$5:AE263,'История отказов'!AE263)=1,'История отказов'!F263="ЭВН"),259,""))</f>
        <v/>
      </c>
      <c r="DF260">
        <f>IF('История отказов'!AE263="","",IF(AND(COUNTIF($CX$2:$CX$2,'История отказов'!AE263)=0,COUNTIFS('История отказов'!$F$5:F263,"ШВН",'История отказов'!$AE$5:AE263,'История отказов'!AE263)=1,'История отказов'!F263="ШВН"),259,""))</f>
        <v/>
      </c>
      <c r="DG260">
        <f>IF('История отказов'!AE263="","",IF(AND(COUNTIF($CW$2:$CW$2,'История отказов'!AE263)=0,COUNTIFS('История отказов'!$F$5:F263,"НПУ-ВД",'История отказов'!$AE$5:AE263,'История отказов'!AE263)=1,'История отказов'!F263="НПУ-ВД"),259,""))</f>
        <v/>
      </c>
      <c r="DH260">
        <f>IF('История отказов'!AE263="","",IF(AND(COUNTIF($CY$2:$CY$6,'История отказов'!AE263)=0,COUNTIF('История отказов'!$AE$5:AE263,'История отказов'!AE263)=1),259,""))</f>
        <v/>
      </c>
      <c r="DI260">
        <f>IF('История отказов'!AK263="","",IF(AND(COUNTIF($CL$2:$CL$3,'История отказов'!AK263)=0,COUNTIF('История отказов'!$AK$5:AK263,'История отказов'!AK263)=1),259,""))</f>
        <v/>
      </c>
      <c r="DJ260">
        <f>IF('История отказов'!AU263="","",IF(AND(COUNTIF($CP$2:$CP$3,'История отказов'!AU263)=0,COUNTIF('История отказов'!$AU$5:AU263,'История отказов'!AU263)=1),259,""))</f>
        <v/>
      </c>
      <c r="DK260">
        <f>IF('История отказов'!AY263="","",IF(AND(COUNTIF($CR$2:$CR$2,'История отказов'!AY263)=0,COUNTIF('История отказов'!$AY$5:AY263,'История отказов'!AY263)=1),259,""))</f>
        <v/>
      </c>
      <c r="DL260">
        <f>IF(DB260="","",IF(AND(COUNTIF($DA$2:$DA$47,DB260)=0,COUNTIF($DB$2:DB260,DB260)=1),259,""))</f>
        <v/>
      </c>
    </row>
    <row r="261">
      <c r="A261" s="74" t="n"/>
      <c r="B261" s="75" t="n"/>
      <c r="C261" s="75" t="n"/>
      <c r="D261" s="75" t="n"/>
      <c r="E261" s="75" t="n"/>
      <c r="F261" s="75" t="n"/>
      <c r="G261" s="76" t="n"/>
      <c r="J261" s="62" t="n"/>
      <c r="K261" s="62" t="n"/>
      <c r="L261" s="62" t="n"/>
      <c r="M261" s="62" t="n"/>
      <c r="N261" s="62" t="n"/>
      <c r="Q261" t="inlineStr">
        <is>
          <t>Категория осложнения</t>
        </is>
      </c>
      <c r="R261" t="inlineStr">
        <is>
          <t>В1 — Высокая вязкость</t>
        </is>
      </c>
      <c r="S261" t="inlineStr">
        <is>
          <t>Класс из МУ</t>
        </is>
      </c>
      <c r="T261" t="inlineStr">
        <is>
          <t>МУ по отнесению скважин к ОФ, таблицы классов</t>
        </is>
      </c>
      <c r="U261" t="inlineStr">
        <is>
          <t>Таблица 5, §7</t>
        </is>
      </c>
      <c r="V261" t="inlineStr">
        <is>
          <t>Все типы</t>
        </is>
      </c>
      <c r="DB261">
        <f>IF('История отказов'!AH264="","",'История отказов'!AH264)</f>
        <v/>
      </c>
      <c r="DC261">
        <f>IF('История отказов'!AE264="","",IF(AND(COUNTIF($CT$2:$CT$2,'История отказов'!AE264)=0,COUNTIFS('История отказов'!$F$5:F264,"ШГН",'История отказов'!$AE$5:AE264,'История отказов'!AE264)=1,'История отказов'!F264="ШГН"),260,""))</f>
        <v/>
      </c>
      <c r="DD261">
        <f>IF('История отказов'!AE264="","",IF(AND(COUNTIF($CU$2:$CU$3,'История отказов'!AE264)=0,COUNTIFS('История отказов'!$F$5:F264,"ЭЦН",'История отказов'!$AE$5:AE264,'История отказов'!AE264)=1,'История отказов'!F264="ЭЦН"),260,""))</f>
        <v/>
      </c>
      <c r="DE261">
        <f>IF('История отказов'!AE264="","",IF(AND(COUNTIF($CV$2:$CV$3,'История отказов'!AE264)=0,COUNTIFS('История отказов'!$F$5:F264,"ЭВН",'История отказов'!$AE$5:AE264,'История отказов'!AE264)=1,'История отказов'!F264="ЭВН"),260,""))</f>
        <v/>
      </c>
      <c r="DF261">
        <f>IF('История отказов'!AE264="","",IF(AND(COUNTIF($CX$2:$CX$2,'История отказов'!AE264)=0,COUNTIFS('История отказов'!$F$5:F264,"ШВН",'История отказов'!$AE$5:AE264,'История отказов'!AE264)=1,'История отказов'!F264="ШВН"),260,""))</f>
        <v/>
      </c>
      <c r="DG261">
        <f>IF('История отказов'!AE264="","",IF(AND(COUNTIF($CW$2:$CW$2,'История отказов'!AE264)=0,COUNTIFS('История отказов'!$F$5:F264,"НПУ-ВД",'История отказов'!$AE$5:AE264,'История отказов'!AE264)=1,'История отказов'!F264="НПУ-ВД"),260,""))</f>
        <v/>
      </c>
      <c r="DH261">
        <f>IF('История отказов'!AE264="","",IF(AND(COUNTIF($CY$2:$CY$6,'История отказов'!AE264)=0,COUNTIF('История отказов'!$AE$5:AE264,'История отказов'!AE264)=1),260,""))</f>
        <v/>
      </c>
      <c r="DI261">
        <f>IF('История отказов'!AK264="","",IF(AND(COUNTIF($CL$2:$CL$3,'История отказов'!AK264)=0,COUNTIF('История отказов'!$AK$5:AK264,'История отказов'!AK264)=1),260,""))</f>
        <v/>
      </c>
      <c r="DJ261">
        <f>IF('История отказов'!AU264="","",IF(AND(COUNTIF($CP$2:$CP$3,'История отказов'!AU264)=0,COUNTIF('История отказов'!$AU$5:AU264,'История отказов'!AU264)=1),260,""))</f>
        <v/>
      </c>
      <c r="DK261">
        <f>IF('История отказов'!AY264="","",IF(AND(COUNTIF($CR$2:$CR$2,'История отказов'!AY264)=0,COUNTIF('История отказов'!$AY$5:AY264,'История отказов'!AY264)=1),260,""))</f>
        <v/>
      </c>
      <c r="DL261">
        <f>IF(DB261="","",IF(AND(COUNTIF($DA$2:$DA$47,DB261)=0,COUNTIF($DB$2:DB261,DB261)=1),260,""))</f>
        <v/>
      </c>
    </row>
    <row r="262">
      <c r="A262" s="74" t="n"/>
      <c r="B262" s="75" t="n"/>
      <c r="C262" s="75" t="n"/>
      <c r="D262" s="75" t="n"/>
      <c r="E262" s="75" t="n"/>
      <c r="F262" s="75" t="n"/>
      <c r="G262" s="76" t="n"/>
      <c r="J262" s="62" t="n"/>
      <c r="K262" s="62" t="n"/>
      <c r="L262" s="62" t="n"/>
      <c r="M262" s="62" t="n"/>
      <c r="N262" s="62" t="n"/>
      <c r="Q262" t="inlineStr">
        <is>
          <t>Категория осложнения</t>
        </is>
      </c>
      <c r="R262" t="inlineStr">
        <is>
          <t>В2 — Высокая вязкость</t>
        </is>
      </c>
      <c r="S262" t="inlineStr">
        <is>
          <t>Класс из МУ</t>
        </is>
      </c>
      <c r="T262" t="inlineStr">
        <is>
          <t>МУ по отнесению скважин к ОФ, таблицы классов</t>
        </is>
      </c>
      <c r="U262" t="inlineStr">
        <is>
          <t>Таблица 5, §7</t>
        </is>
      </c>
      <c r="V262" t="inlineStr">
        <is>
          <t>Все типы</t>
        </is>
      </c>
      <c r="DB262">
        <f>IF('История отказов'!AH265="","",'История отказов'!AH265)</f>
        <v/>
      </c>
      <c r="DC262">
        <f>IF('История отказов'!AE265="","",IF(AND(COUNTIF($CT$2:$CT$2,'История отказов'!AE265)=0,COUNTIFS('История отказов'!$F$5:F265,"ШГН",'История отказов'!$AE$5:AE265,'История отказов'!AE265)=1,'История отказов'!F265="ШГН"),261,""))</f>
        <v/>
      </c>
      <c r="DD262">
        <f>IF('История отказов'!AE265="","",IF(AND(COUNTIF($CU$2:$CU$3,'История отказов'!AE265)=0,COUNTIFS('История отказов'!$F$5:F265,"ЭЦН",'История отказов'!$AE$5:AE265,'История отказов'!AE265)=1,'История отказов'!F265="ЭЦН"),261,""))</f>
        <v/>
      </c>
      <c r="DE262">
        <f>IF('История отказов'!AE265="","",IF(AND(COUNTIF($CV$2:$CV$3,'История отказов'!AE265)=0,COUNTIFS('История отказов'!$F$5:F265,"ЭВН",'История отказов'!$AE$5:AE265,'История отказов'!AE265)=1,'История отказов'!F265="ЭВН"),261,""))</f>
        <v/>
      </c>
      <c r="DF262">
        <f>IF('История отказов'!AE265="","",IF(AND(COUNTIF($CX$2:$CX$2,'История отказов'!AE265)=0,COUNTIFS('История отказов'!$F$5:F265,"ШВН",'История отказов'!$AE$5:AE265,'История отказов'!AE265)=1,'История отказов'!F265="ШВН"),261,""))</f>
        <v/>
      </c>
      <c r="DG262">
        <f>IF('История отказов'!AE265="","",IF(AND(COUNTIF($CW$2:$CW$2,'История отказов'!AE265)=0,COUNTIFS('История отказов'!$F$5:F265,"НПУ-ВД",'История отказов'!$AE$5:AE265,'История отказов'!AE265)=1,'История отказов'!F265="НПУ-ВД"),261,""))</f>
        <v/>
      </c>
      <c r="DH262">
        <f>IF('История отказов'!AE265="","",IF(AND(COUNTIF($CY$2:$CY$6,'История отказов'!AE265)=0,COUNTIF('История отказов'!$AE$5:AE265,'История отказов'!AE265)=1),261,""))</f>
        <v/>
      </c>
      <c r="DI262">
        <f>IF('История отказов'!AK265="","",IF(AND(COUNTIF($CL$2:$CL$3,'История отказов'!AK265)=0,COUNTIF('История отказов'!$AK$5:AK265,'История отказов'!AK265)=1),261,""))</f>
        <v/>
      </c>
      <c r="DJ262">
        <f>IF('История отказов'!AU265="","",IF(AND(COUNTIF($CP$2:$CP$3,'История отказов'!AU265)=0,COUNTIF('История отказов'!$AU$5:AU265,'История отказов'!AU265)=1),261,""))</f>
        <v/>
      </c>
      <c r="DK262">
        <f>IF('История отказов'!AY265="","",IF(AND(COUNTIF($CR$2:$CR$2,'История отказов'!AY265)=0,COUNTIF('История отказов'!$AY$5:AY265,'История отказов'!AY265)=1),261,""))</f>
        <v/>
      </c>
      <c r="DL262">
        <f>IF(DB262="","",IF(AND(COUNTIF($DA$2:$DA$47,DB262)=0,COUNTIF($DB$2:DB262,DB262)=1),261,""))</f>
        <v/>
      </c>
    </row>
    <row r="263">
      <c r="A263" s="74" t="n"/>
      <c r="B263" s="75" t="n"/>
      <c r="C263" s="75" t="n"/>
      <c r="D263" s="75" t="n"/>
      <c r="E263" s="75" t="n"/>
      <c r="F263" s="75" t="n"/>
      <c r="G263" s="76" t="n"/>
      <c r="J263" s="62" t="n"/>
      <c r="K263" s="62" t="n"/>
      <c r="L263" s="62" t="n"/>
      <c r="M263" s="62" t="n"/>
      <c r="N263" s="62" t="n"/>
      <c r="Q263" t="inlineStr">
        <is>
          <t>Категория осложнения</t>
        </is>
      </c>
      <c r="R263" t="inlineStr">
        <is>
          <t>В3 — Высокая вязкость</t>
        </is>
      </c>
      <c r="S263" t="inlineStr">
        <is>
          <t>Класс из МУ</t>
        </is>
      </c>
      <c r="T263" t="inlineStr">
        <is>
          <t>МУ по отнесению скважин к ОФ, таблицы классов</t>
        </is>
      </c>
      <c r="U263" t="inlineStr">
        <is>
          <t>Таблица 5, §7</t>
        </is>
      </c>
      <c r="V263" t="inlineStr">
        <is>
          <t>Все типы</t>
        </is>
      </c>
      <c r="DB263">
        <f>IF('История отказов'!AH266="","",'История отказов'!AH266)</f>
        <v/>
      </c>
      <c r="DC263">
        <f>IF('История отказов'!AE266="","",IF(AND(COUNTIF($CT$2:$CT$2,'История отказов'!AE266)=0,COUNTIFS('История отказов'!$F$5:F266,"ШГН",'История отказов'!$AE$5:AE266,'История отказов'!AE266)=1,'История отказов'!F266="ШГН"),262,""))</f>
        <v/>
      </c>
      <c r="DD263">
        <f>IF('История отказов'!AE266="","",IF(AND(COUNTIF($CU$2:$CU$3,'История отказов'!AE266)=0,COUNTIFS('История отказов'!$F$5:F266,"ЭЦН",'История отказов'!$AE$5:AE266,'История отказов'!AE266)=1,'История отказов'!F266="ЭЦН"),262,""))</f>
        <v/>
      </c>
      <c r="DE263">
        <f>IF('История отказов'!AE266="","",IF(AND(COUNTIF($CV$2:$CV$3,'История отказов'!AE266)=0,COUNTIFS('История отказов'!$F$5:F266,"ЭВН",'История отказов'!$AE$5:AE266,'История отказов'!AE266)=1,'История отказов'!F266="ЭВН"),262,""))</f>
        <v/>
      </c>
      <c r="DF263">
        <f>IF('История отказов'!AE266="","",IF(AND(COUNTIF($CX$2:$CX$2,'История отказов'!AE266)=0,COUNTIFS('История отказов'!$F$5:F266,"ШВН",'История отказов'!$AE$5:AE266,'История отказов'!AE266)=1,'История отказов'!F266="ШВН"),262,""))</f>
        <v/>
      </c>
      <c r="DG263">
        <f>IF('История отказов'!AE266="","",IF(AND(COUNTIF($CW$2:$CW$2,'История отказов'!AE266)=0,COUNTIFS('История отказов'!$F$5:F266,"НПУ-ВД",'История отказов'!$AE$5:AE266,'История отказов'!AE266)=1,'История отказов'!F266="НПУ-ВД"),262,""))</f>
        <v/>
      </c>
      <c r="DH263">
        <f>IF('История отказов'!AE266="","",IF(AND(COUNTIF($CY$2:$CY$6,'История отказов'!AE266)=0,COUNTIF('История отказов'!$AE$5:AE266,'История отказов'!AE266)=1),262,""))</f>
        <v/>
      </c>
      <c r="DI263">
        <f>IF('История отказов'!AK266="","",IF(AND(COUNTIF($CL$2:$CL$3,'История отказов'!AK266)=0,COUNTIF('История отказов'!$AK$5:AK266,'История отказов'!AK266)=1),262,""))</f>
        <v/>
      </c>
      <c r="DJ263">
        <f>IF('История отказов'!AU266="","",IF(AND(COUNTIF($CP$2:$CP$3,'История отказов'!AU266)=0,COUNTIF('История отказов'!$AU$5:AU266,'История отказов'!AU266)=1),262,""))</f>
        <v/>
      </c>
      <c r="DK263">
        <f>IF('История отказов'!AY266="","",IF(AND(COUNTIF($CR$2:$CR$2,'История отказов'!AY266)=0,COUNTIF('История отказов'!$AY$5:AY266,'История отказов'!AY266)=1),262,""))</f>
        <v/>
      </c>
      <c r="DL263">
        <f>IF(DB263="","",IF(AND(COUNTIF($DA$2:$DA$47,DB263)=0,COUNTIF($DB$2:DB263,DB263)=1),262,""))</f>
        <v/>
      </c>
    </row>
    <row r="264">
      <c r="A264" s="74" t="n"/>
      <c r="B264" s="75" t="n"/>
      <c r="C264" s="75" t="n"/>
      <c r="D264" s="75" t="n"/>
      <c r="E264" s="75" t="n"/>
      <c r="F264" s="75" t="n"/>
      <c r="G264" s="76" t="n"/>
      <c r="J264" s="62" t="n"/>
      <c r="K264" s="62" t="n"/>
      <c r="L264" s="62" t="n"/>
      <c r="M264" s="62" t="n"/>
      <c r="N264" s="62" t="n"/>
      <c r="Q264" t="inlineStr">
        <is>
          <t>Категория осложнения</t>
        </is>
      </c>
      <c r="R264" t="inlineStr">
        <is>
          <t>С1 — Солеотложения</t>
        </is>
      </c>
      <c r="S264" t="inlineStr">
        <is>
          <t>Класс из МУ</t>
        </is>
      </c>
      <c r="T264" t="inlineStr">
        <is>
          <t>МУ по отнесению скважин к ОФ, таблицы классов</t>
        </is>
      </c>
      <c r="U264" t="inlineStr">
        <is>
          <t>Таблица 7, §8</t>
        </is>
      </c>
      <c r="V264" t="inlineStr">
        <is>
          <t>Все типы</t>
        </is>
      </c>
      <c r="DB264">
        <f>IF('История отказов'!AH267="","",'История отказов'!AH267)</f>
        <v/>
      </c>
      <c r="DC264">
        <f>IF('История отказов'!AE267="","",IF(AND(COUNTIF($CT$2:$CT$2,'История отказов'!AE267)=0,COUNTIFS('История отказов'!$F$5:F267,"ШГН",'История отказов'!$AE$5:AE267,'История отказов'!AE267)=1,'История отказов'!F267="ШГН"),263,""))</f>
        <v/>
      </c>
      <c r="DD264">
        <f>IF('История отказов'!AE267="","",IF(AND(COUNTIF($CU$2:$CU$3,'История отказов'!AE267)=0,COUNTIFS('История отказов'!$F$5:F267,"ЭЦН",'История отказов'!$AE$5:AE267,'История отказов'!AE267)=1,'История отказов'!F267="ЭЦН"),263,""))</f>
        <v/>
      </c>
      <c r="DE264">
        <f>IF('История отказов'!AE267="","",IF(AND(COUNTIF($CV$2:$CV$3,'История отказов'!AE267)=0,COUNTIFS('История отказов'!$F$5:F267,"ЭВН",'История отказов'!$AE$5:AE267,'История отказов'!AE267)=1,'История отказов'!F267="ЭВН"),263,""))</f>
        <v/>
      </c>
      <c r="DF264">
        <f>IF('История отказов'!AE267="","",IF(AND(COUNTIF($CX$2:$CX$2,'История отказов'!AE267)=0,COUNTIFS('История отказов'!$F$5:F267,"ШВН",'История отказов'!$AE$5:AE267,'История отказов'!AE267)=1,'История отказов'!F267="ШВН"),263,""))</f>
        <v/>
      </c>
      <c r="DG264">
        <f>IF('История отказов'!AE267="","",IF(AND(COUNTIF($CW$2:$CW$2,'История отказов'!AE267)=0,COUNTIFS('История отказов'!$F$5:F267,"НПУ-ВД",'История отказов'!$AE$5:AE267,'История отказов'!AE267)=1,'История отказов'!F267="НПУ-ВД"),263,""))</f>
        <v/>
      </c>
      <c r="DH264">
        <f>IF('История отказов'!AE267="","",IF(AND(COUNTIF($CY$2:$CY$6,'История отказов'!AE267)=0,COUNTIF('История отказов'!$AE$5:AE267,'История отказов'!AE267)=1),263,""))</f>
        <v/>
      </c>
      <c r="DI264">
        <f>IF('История отказов'!AK267="","",IF(AND(COUNTIF($CL$2:$CL$3,'История отказов'!AK267)=0,COUNTIF('История отказов'!$AK$5:AK267,'История отказов'!AK267)=1),263,""))</f>
        <v/>
      </c>
      <c r="DJ264">
        <f>IF('История отказов'!AU267="","",IF(AND(COUNTIF($CP$2:$CP$3,'История отказов'!AU267)=0,COUNTIF('История отказов'!$AU$5:AU267,'История отказов'!AU267)=1),263,""))</f>
        <v/>
      </c>
      <c r="DK264">
        <f>IF('История отказов'!AY267="","",IF(AND(COUNTIF($CR$2:$CR$2,'История отказов'!AY267)=0,COUNTIF('История отказов'!$AY$5:AY267,'История отказов'!AY267)=1),263,""))</f>
        <v/>
      </c>
      <c r="DL264">
        <f>IF(DB264="","",IF(AND(COUNTIF($DA$2:$DA$47,DB264)=0,COUNTIF($DB$2:DB264,DB264)=1),263,""))</f>
        <v/>
      </c>
    </row>
    <row r="265">
      <c r="A265" s="74" t="n"/>
      <c r="B265" s="75" t="n"/>
      <c r="C265" s="75" t="n"/>
      <c r="D265" s="75" t="n"/>
      <c r="E265" s="75" t="n"/>
      <c r="F265" s="75" t="n"/>
      <c r="G265" s="76" t="n"/>
      <c r="J265" s="62" t="n"/>
      <c r="K265" s="62" t="n"/>
      <c r="L265" s="62" t="n"/>
      <c r="M265" s="62" t="n"/>
      <c r="N265" s="62" t="n"/>
      <c r="Q265" t="inlineStr">
        <is>
          <t>Категория осложнения</t>
        </is>
      </c>
      <c r="R265" t="inlineStr">
        <is>
          <t>С2 — Солеотложения</t>
        </is>
      </c>
      <c r="S265" t="inlineStr">
        <is>
          <t>Класс из МУ</t>
        </is>
      </c>
      <c r="T265" t="inlineStr">
        <is>
          <t>МУ по отнесению скважин к ОФ, таблицы классов</t>
        </is>
      </c>
      <c r="U265" t="inlineStr">
        <is>
          <t>Таблица 7, §8</t>
        </is>
      </c>
      <c r="V265" t="inlineStr">
        <is>
          <t>Все типы</t>
        </is>
      </c>
      <c r="DB265">
        <f>IF('История отказов'!AH268="","",'История отказов'!AH268)</f>
        <v/>
      </c>
      <c r="DC265">
        <f>IF('История отказов'!AE268="","",IF(AND(COUNTIF($CT$2:$CT$2,'История отказов'!AE268)=0,COUNTIFS('История отказов'!$F$5:F268,"ШГН",'История отказов'!$AE$5:AE268,'История отказов'!AE268)=1,'История отказов'!F268="ШГН"),264,""))</f>
        <v/>
      </c>
      <c r="DD265">
        <f>IF('История отказов'!AE268="","",IF(AND(COUNTIF($CU$2:$CU$3,'История отказов'!AE268)=0,COUNTIFS('История отказов'!$F$5:F268,"ЭЦН",'История отказов'!$AE$5:AE268,'История отказов'!AE268)=1,'История отказов'!F268="ЭЦН"),264,""))</f>
        <v/>
      </c>
      <c r="DE265">
        <f>IF('История отказов'!AE268="","",IF(AND(COUNTIF($CV$2:$CV$3,'История отказов'!AE268)=0,COUNTIFS('История отказов'!$F$5:F268,"ЭВН",'История отказов'!$AE$5:AE268,'История отказов'!AE268)=1,'История отказов'!F268="ЭВН"),264,""))</f>
        <v/>
      </c>
      <c r="DF265">
        <f>IF('История отказов'!AE268="","",IF(AND(COUNTIF($CX$2:$CX$2,'История отказов'!AE268)=0,COUNTIFS('История отказов'!$F$5:F268,"ШВН",'История отказов'!$AE$5:AE268,'История отказов'!AE268)=1,'История отказов'!F268="ШВН"),264,""))</f>
        <v/>
      </c>
      <c r="DG265">
        <f>IF('История отказов'!AE268="","",IF(AND(COUNTIF($CW$2:$CW$2,'История отказов'!AE268)=0,COUNTIFS('История отказов'!$F$5:F268,"НПУ-ВД",'История отказов'!$AE$5:AE268,'История отказов'!AE268)=1,'История отказов'!F268="НПУ-ВД"),264,""))</f>
        <v/>
      </c>
      <c r="DH265">
        <f>IF('История отказов'!AE268="","",IF(AND(COUNTIF($CY$2:$CY$6,'История отказов'!AE268)=0,COUNTIF('История отказов'!$AE$5:AE268,'История отказов'!AE268)=1),264,""))</f>
        <v/>
      </c>
      <c r="DI265">
        <f>IF('История отказов'!AK268="","",IF(AND(COUNTIF($CL$2:$CL$3,'История отказов'!AK268)=0,COUNTIF('История отказов'!$AK$5:AK268,'История отказов'!AK268)=1),264,""))</f>
        <v/>
      </c>
      <c r="DJ265">
        <f>IF('История отказов'!AU268="","",IF(AND(COUNTIF($CP$2:$CP$3,'История отказов'!AU268)=0,COUNTIF('История отказов'!$AU$5:AU268,'История отказов'!AU268)=1),264,""))</f>
        <v/>
      </c>
      <c r="DK265">
        <f>IF('История отказов'!AY268="","",IF(AND(COUNTIF($CR$2:$CR$2,'История отказов'!AY268)=0,COUNTIF('История отказов'!$AY$5:AY268,'История отказов'!AY268)=1),264,""))</f>
        <v/>
      </c>
      <c r="DL265">
        <f>IF(DB265="","",IF(AND(COUNTIF($DA$2:$DA$47,DB265)=0,COUNTIF($DB$2:DB265,DB265)=1),264,""))</f>
        <v/>
      </c>
    </row>
    <row r="266">
      <c r="A266" s="74" t="n"/>
      <c r="B266" s="75" t="n"/>
      <c r="C266" s="75" t="n"/>
      <c r="D266" s="75" t="n"/>
      <c r="E266" s="75" t="n"/>
      <c r="F266" s="75" t="n"/>
      <c r="G266" s="76" t="n"/>
      <c r="J266" s="62" t="n"/>
      <c r="K266" s="62" t="n"/>
      <c r="L266" s="62" t="n"/>
      <c r="M266" s="62" t="n"/>
      <c r="N266" s="62" t="n"/>
      <c r="Q266" t="inlineStr">
        <is>
          <t>Категория осложнения</t>
        </is>
      </c>
      <c r="R266" t="inlineStr">
        <is>
          <t>С3 — Солеотложения</t>
        </is>
      </c>
      <c r="S266" t="inlineStr">
        <is>
          <t>Класс из МУ</t>
        </is>
      </c>
      <c r="T266" t="inlineStr">
        <is>
          <t>МУ по отнесению скважин к ОФ, таблицы классов</t>
        </is>
      </c>
      <c r="U266" t="inlineStr">
        <is>
          <t>Таблица 7, §8</t>
        </is>
      </c>
      <c r="V266" t="inlineStr">
        <is>
          <t>Все типы</t>
        </is>
      </c>
      <c r="DB266">
        <f>IF('История отказов'!AH269="","",'История отказов'!AH269)</f>
        <v/>
      </c>
      <c r="DC266">
        <f>IF('История отказов'!AE269="","",IF(AND(COUNTIF($CT$2:$CT$2,'История отказов'!AE269)=0,COUNTIFS('История отказов'!$F$5:F269,"ШГН",'История отказов'!$AE$5:AE269,'История отказов'!AE269)=1,'История отказов'!F269="ШГН"),265,""))</f>
        <v/>
      </c>
      <c r="DD266">
        <f>IF('История отказов'!AE269="","",IF(AND(COUNTIF($CU$2:$CU$3,'История отказов'!AE269)=0,COUNTIFS('История отказов'!$F$5:F269,"ЭЦН",'История отказов'!$AE$5:AE269,'История отказов'!AE269)=1,'История отказов'!F269="ЭЦН"),265,""))</f>
        <v/>
      </c>
      <c r="DE266">
        <f>IF('История отказов'!AE269="","",IF(AND(COUNTIF($CV$2:$CV$3,'История отказов'!AE269)=0,COUNTIFS('История отказов'!$F$5:F269,"ЭВН",'История отказов'!$AE$5:AE269,'История отказов'!AE269)=1,'История отказов'!F269="ЭВН"),265,""))</f>
        <v/>
      </c>
      <c r="DF266">
        <f>IF('История отказов'!AE269="","",IF(AND(COUNTIF($CX$2:$CX$2,'История отказов'!AE269)=0,COUNTIFS('История отказов'!$F$5:F269,"ШВН",'История отказов'!$AE$5:AE269,'История отказов'!AE269)=1,'История отказов'!F269="ШВН"),265,""))</f>
        <v/>
      </c>
      <c r="DG266">
        <f>IF('История отказов'!AE269="","",IF(AND(COUNTIF($CW$2:$CW$2,'История отказов'!AE269)=0,COUNTIFS('История отказов'!$F$5:F269,"НПУ-ВД",'История отказов'!$AE$5:AE269,'История отказов'!AE269)=1,'История отказов'!F269="НПУ-ВД"),265,""))</f>
        <v/>
      </c>
      <c r="DH266">
        <f>IF('История отказов'!AE269="","",IF(AND(COUNTIF($CY$2:$CY$6,'История отказов'!AE269)=0,COUNTIF('История отказов'!$AE$5:AE269,'История отказов'!AE269)=1),265,""))</f>
        <v/>
      </c>
      <c r="DI266">
        <f>IF('История отказов'!AK269="","",IF(AND(COUNTIF($CL$2:$CL$3,'История отказов'!AK269)=0,COUNTIF('История отказов'!$AK$5:AK269,'История отказов'!AK269)=1),265,""))</f>
        <v/>
      </c>
      <c r="DJ266">
        <f>IF('История отказов'!AU269="","",IF(AND(COUNTIF($CP$2:$CP$3,'История отказов'!AU269)=0,COUNTIF('История отказов'!$AU$5:AU269,'История отказов'!AU269)=1),265,""))</f>
        <v/>
      </c>
      <c r="DK266">
        <f>IF('История отказов'!AY269="","",IF(AND(COUNTIF($CR$2:$CR$2,'История отказов'!AY269)=0,COUNTIF('История отказов'!$AY$5:AY269,'История отказов'!AY269)=1),265,""))</f>
        <v/>
      </c>
      <c r="DL266">
        <f>IF(DB266="","",IF(AND(COUNTIF($DA$2:$DA$47,DB266)=0,COUNTIF($DB$2:DB266,DB266)=1),265,""))</f>
        <v/>
      </c>
    </row>
    <row r="267">
      <c r="A267" s="74" t="n"/>
      <c r="B267" s="75" t="n"/>
      <c r="C267" s="75" t="n"/>
      <c r="D267" s="75" t="n"/>
      <c r="E267" s="75" t="n"/>
      <c r="F267" s="75" t="n"/>
      <c r="G267" s="76" t="n"/>
      <c r="J267" s="62" t="n"/>
      <c r="K267" s="62" t="n"/>
      <c r="L267" s="62" t="n"/>
      <c r="M267" s="62" t="n"/>
      <c r="N267" s="62" t="n"/>
      <c r="Q267" t="inlineStr">
        <is>
          <t>Категория осложнения</t>
        </is>
      </c>
      <c r="R267" t="inlineStr">
        <is>
          <t>Г1 — Свободный газ на приёме НУ</t>
        </is>
      </c>
      <c r="S267" t="inlineStr">
        <is>
          <t>Класс из МУ</t>
        </is>
      </c>
      <c r="T267" t="inlineStr">
        <is>
          <t>МУ по отнесению скважин к ОФ, таблицы классов</t>
        </is>
      </c>
      <c r="U267" t="inlineStr">
        <is>
          <t>Таблица 9, §9</t>
        </is>
      </c>
      <c r="V267" t="inlineStr">
        <is>
          <t>Все типы</t>
        </is>
      </c>
      <c r="DB267">
        <f>IF('История отказов'!AH270="","",'История отказов'!AH270)</f>
        <v/>
      </c>
      <c r="DC267">
        <f>IF('История отказов'!AE270="","",IF(AND(COUNTIF($CT$2:$CT$2,'История отказов'!AE270)=0,COUNTIFS('История отказов'!$F$5:F270,"ШГН",'История отказов'!$AE$5:AE270,'История отказов'!AE270)=1,'История отказов'!F270="ШГН"),266,""))</f>
        <v/>
      </c>
      <c r="DD267">
        <f>IF('История отказов'!AE270="","",IF(AND(COUNTIF($CU$2:$CU$3,'История отказов'!AE270)=0,COUNTIFS('История отказов'!$F$5:F270,"ЭЦН",'История отказов'!$AE$5:AE270,'История отказов'!AE270)=1,'История отказов'!F270="ЭЦН"),266,""))</f>
        <v/>
      </c>
      <c r="DE267">
        <f>IF('История отказов'!AE270="","",IF(AND(COUNTIF($CV$2:$CV$3,'История отказов'!AE270)=0,COUNTIFS('История отказов'!$F$5:F270,"ЭВН",'История отказов'!$AE$5:AE270,'История отказов'!AE270)=1,'История отказов'!F270="ЭВН"),266,""))</f>
        <v/>
      </c>
      <c r="DF267">
        <f>IF('История отказов'!AE270="","",IF(AND(COUNTIF($CX$2:$CX$2,'История отказов'!AE270)=0,COUNTIFS('История отказов'!$F$5:F270,"ШВН",'История отказов'!$AE$5:AE270,'История отказов'!AE270)=1,'История отказов'!F270="ШВН"),266,""))</f>
        <v/>
      </c>
      <c r="DG267">
        <f>IF('История отказов'!AE270="","",IF(AND(COUNTIF($CW$2:$CW$2,'История отказов'!AE270)=0,COUNTIFS('История отказов'!$F$5:F270,"НПУ-ВД",'История отказов'!$AE$5:AE270,'История отказов'!AE270)=1,'История отказов'!F270="НПУ-ВД"),266,""))</f>
        <v/>
      </c>
      <c r="DH267">
        <f>IF('История отказов'!AE270="","",IF(AND(COUNTIF($CY$2:$CY$6,'История отказов'!AE270)=0,COUNTIF('История отказов'!$AE$5:AE270,'История отказов'!AE270)=1),266,""))</f>
        <v/>
      </c>
      <c r="DI267">
        <f>IF('История отказов'!AK270="","",IF(AND(COUNTIF($CL$2:$CL$3,'История отказов'!AK270)=0,COUNTIF('История отказов'!$AK$5:AK270,'История отказов'!AK270)=1),266,""))</f>
        <v/>
      </c>
      <c r="DJ267">
        <f>IF('История отказов'!AU270="","",IF(AND(COUNTIF($CP$2:$CP$3,'История отказов'!AU270)=0,COUNTIF('История отказов'!$AU$5:AU270,'История отказов'!AU270)=1),266,""))</f>
        <v/>
      </c>
      <c r="DK267">
        <f>IF('История отказов'!AY270="","",IF(AND(COUNTIF($CR$2:$CR$2,'История отказов'!AY270)=0,COUNTIF('История отказов'!$AY$5:AY270,'История отказов'!AY270)=1),266,""))</f>
        <v/>
      </c>
      <c r="DL267">
        <f>IF(DB267="","",IF(AND(COUNTIF($DA$2:$DA$47,DB267)=0,COUNTIF($DB$2:DB267,DB267)=1),266,""))</f>
        <v/>
      </c>
    </row>
    <row r="268">
      <c r="A268" s="74" t="n"/>
      <c r="B268" s="75" t="n"/>
      <c r="C268" s="75" t="n"/>
      <c r="D268" s="75" t="n"/>
      <c r="E268" s="75" t="n"/>
      <c r="F268" s="75" t="n"/>
      <c r="G268" s="76" t="n"/>
      <c r="J268" s="62" t="n"/>
      <c r="K268" s="62" t="n"/>
      <c r="L268" s="62" t="n"/>
      <c r="M268" s="62" t="n"/>
      <c r="N268" s="62" t="n"/>
      <c r="Q268" t="inlineStr">
        <is>
          <t>Категория осложнения</t>
        </is>
      </c>
      <c r="R268" t="inlineStr">
        <is>
          <t>Г2 — Свободный газ на приёме НУ</t>
        </is>
      </c>
      <c r="S268" t="inlineStr">
        <is>
          <t>Класс из МУ</t>
        </is>
      </c>
      <c r="T268" t="inlineStr">
        <is>
          <t>МУ по отнесению скважин к ОФ, таблицы классов</t>
        </is>
      </c>
      <c r="U268" t="inlineStr">
        <is>
          <t>Таблица 9, §9</t>
        </is>
      </c>
      <c r="V268" t="inlineStr">
        <is>
          <t>Все типы</t>
        </is>
      </c>
      <c r="DB268">
        <f>IF('История отказов'!AH271="","",'История отказов'!AH271)</f>
        <v/>
      </c>
      <c r="DC268">
        <f>IF('История отказов'!AE271="","",IF(AND(COUNTIF($CT$2:$CT$2,'История отказов'!AE271)=0,COUNTIFS('История отказов'!$F$5:F271,"ШГН",'История отказов'!$AE$5:AE271,'История отказов'!AE271)=1,'История отказов'!F271="ШГН"),267,""))</f>
        <v/>
      </c>
      <c r="DD268">
        <f>IF('История отказов'!AE271="","",IF(AND(COUNTIF($CU$2:$CU$3,'История отказов'!AE271)=0,COUNTIFS('История отказов'!$F$5:F271,"ЭЦН",'История отказов'!$AE$5:AE271,'История отказов'!AE271)=1,'История отказов'!F271="ЭЦН"),267,""))</f>
        <v/>
      </c>
      <c r="DE268">
        <f>IF('История отказов'!AE271="","",IF(AND(COUNTIF($CV$2:$CV$3,'История отказов'!AE271)=0,COUNTIFS('История отказов'!$F$5:F271,"ЭВН",'История отказов'!$AE$5:AE271,'История отказов'!AE271)=1,'История отказов'!F271="ЭВН"),267,""))</f>
        <v/>
      </c>
      <c r="DF268">
        <f>IF('История отказов'!AE271="","",IF(AND(COUNTIF($CX$2:$CX$2,'История отказов'!AE271)=0,COUNTIFS('История отказов'!$F$5:F271,"ШВН",'История отказов'!$AE$5:AE271,'История отказов'!AE271)=1,'История отказов'!F271="ШВН"),267,""))</f>
        <v/>
      </c>
      <c r="DG268">
        <f>IF('История отказов'!AE271="","",IF(AND(COUNTIF($CW$2:$CW$2,'История отказов'!AE271)=0,COUNTIFS('История отказов'!$F$5:F271,"НПУ-ВД",'История отказов'!$AE$5:AE271,'История отказов'!AE271)=1,'История отказов'!F271="НПУ-ВД"),267,""))</f>
        <v/>
      </c>
      <c r="DH268">
        <f>IF('История отказов'!AE271="","",IF(AND(COUNTIF($CY$2:$CY$6,'История отказов'!AE271)=0,COUNTIF('История отказов'!$AE$5:AE271,'История отказов'!AE271)=1),267,""))</f>
        <v/>
      </c>
      <c r="DI268">
        <f>IF('История отказов'!AK271="","",IF(AND(COUNTIF($CL$2:$CL$3,'История отказов'!AK271)=0,COUNTIF('История отказов'!$AK$5:AK271,'История отказов'!AK271)=1),267,""))</f>
        <v/>
      </c>
      <c r="DJ268">
        <f>IF('История отказов'!AU271="","",IF(AND(COUNTIF($CP$2:$CP$3,'История отказов'!AU271)=0,COUNTIF('История отказов'!$AU$5:AU271,'История отказов'!AU271)=1),267,""))</f>
        <v/>
      </c>
      <c r="DK268">
        <f>IF('История отказов'!AY271="","",IF(AND(COUNTIF($CR$2:$CR$2,'История отказов'!AY271)=0,COUNTIF('История отказов'!$AY$5:AY271,'История отказов'!AY271)=1),267,""))</f>
        <v/>
      </c>
      <c r="DL268">
        <f>IF(DB268="","",IF(AND(COUNTIF($DA$2:$DA$47,DB268)=0,COUNTIF($DB$2:DB268,DB268)=1),267,""))</f>
        <v/>
      </c>
    </row>
    <row r="269">
      <c r="A269" s="74" t="n"/>
      <c r="B269" s="75" t="n"/>
      <c r="C269" s="75" t="n"/>
      <c r="D269" s="75" t="n"/>
      <c r="E269" s="75" t="n"/>
      <c r="F269" s="75" t="n"/>
      <c r="G269" s="76" t="n"/>
      <c r="J269" s="62" t="n"/>
      <c r="K269" s="62" t="n"/>
      <c r="L269" s="62" t="n"/>
      <c r="M269" s="62" t="n"/>
      <c r="N269" s="62" t="n"/>
      <c r="Q269" t="inlineStr">
        <is>
          <t>Категория осложнения</t>
        </is>
      </c>
      <c r="R269" t="inlineStr">
        <is>
          <t>Г3 — Свободный газ на приёме НУ</t>
        </is>
      </c>
      <c r="S269" t="inlineStr">
        <is>
          <t>Класс из МУ</t>
        </is>
      </c>
      <c r="T269" t="inlineStr">
        <is>
          <t>МУ по отнесению скважин к ОФ, таблицы классов</t>
        </is>
      </c>
      <c r="U269" t="inlineStr">
        <is>
          <t>Таблица 9, §9</t>
        </is>
      </c>
      <c r="V269" t="inlineStr">
        <is>
          <t>Все типы</t>
        </is>
      </c>
      <c r="DB269">
        <f>IF('История отказов'!AH272="","",'История отказов'!AH272)</f>
        <v/>
      </c>
      <c r="DC269">
        <f>IF('История отказов'!AE272="","",IF(AND(COUNTIF($CT$2:$CT$2,'История отказов'!AE272)=0,COUNTIFS('История отказов'!$F$5:F272,"ШГН",'История отказов'!$AE$5:AE272,'История отказов'!AE272)=1,'История отказов'!F272="ШГН"),268,""))</f>
        <v/>
      </c>
      <c r="DD269">
        <f>IF('История отказов'!AE272="","",IF(AND(COUNTIF($CU$2:$CU$3,'История отказов'!AE272)=0,COUNTIFS('История отказов'!$F$5:F272,"ЭЦН",'История отказов'!$AE$5:AE272,'История отказов'!AE272)=1,'История отказов'!F272="ЭЦН"),268,""))</f>
        <v/>
      </c>
      <c r="DE269">
        <f>IF('История отказов'!AE272="","",IF(AND(COUNTIF($CV$2:$CV$3,'История отказов'!AE272)=0,COUNTIFS('История отказов'!$F$5:F272,"ЭВН",'История отказов'!$AE$5:AE272,'История отказов'!AE272)=1,'История отказов'!F272="ЭВН"),268,""))</f>
        <v/>
      </c>
      <c r="DF269">
        <f>IF('История отказов'!AE272="","",IF(AND(COUNTIF($CX$2:$CX$2,'История отказов'!AE272)=0,COUNTIFS('История отказов'!$F$5:F272,"ШВН",'История отказов'!$AE$5:AE272,'История отказов'!AE272)=1,'История отказов'!F272="ШВН"),268,""))</f>
        <v/>
      </c>
      <c r="DG269">
        <f>IF('История отказов'!AE272="","",IF(AND(COUNTIF($CW$2:$CW$2,'История отказов'!AE272)=0,COUNTIFS('История отказов'!$F$5:F272,"НПУ-ВД",'История отказов'!$AE$5:AE272,'История отказов'!AE272)=1,'История отказов'!F272="НПУ-ВД"),268,""))</f>
        <v/>
      </c>
      <c r="DH269">
        <f>IF('История отказов'!AE272="","",IF(AND(COUNTIF($CY$2:$CY$6,'История отказов'!AE272)=0,COUNTIF('История отказов'!$AE$5:AE272,'История отказов'!AE272)=1),268,""))</f>
        <v/>
      </c>
      <c r="DI269">
        <f>IF('История отказов'!AK272="","",IF(AND(COUNTIF($CL$2:$CL$3,'История отказов'!AK272)=0,COUNTIF('История отказов'!$AK$5:AK272,'История отказов'!AK272)=1),268,""))</f>
        <v/>
      </c>
      <c r="DJ269">
        <f>IF('История отказов'!AU272="","",IF(AND(COUNTIF($CP$2:$CP$3,'История отказов'!AU272)=0,COUNTIF('История отказов'!$AU$5:AU272,'История отказов'!AU272)=1),268,""))</f>
        <v/>
      </c>
      <c r="DK269">
        <f>IF('История отказов'!AY272="","",IF(AND(COUNTIF($CR$2:$CR$2,'История отказов'!AY272)=0,COUNTIF('История отказов'!$AY$5:AY272,'История отказов'!AY272)=1),268,""))</f>
        <v/>
      </c>
      <c r="DL269">
        <f>IF(DB269="","",IF(AND(COUNTIF($DA$2:$DA$47,DB269)=0,COUNTIF($DB$2:DB269,DB269)=1),268,""))</f>
        <v/>
      </c>
    </row>
    <row r="270">
      <c r="A270" s="74" t="n"/>
      <c r="B270" s="75" t="n"/>
      <c r="C270" s="75" t="n"/>
      <c r="D270" s="75" t="n"/>
      <c r="E270" s="75" t="n"/>
      <c r="F270" s="75" t="n"/>
      <c r="G270" s="76" t="n"/>
      <c r="J270" s="62" t="n"/>
      <c r="K270" s="62" t="n"/>
      <c r="L270" s="62" t="n"/>
      <c r="M270" s="62" t="n"/>
      <c r="N270" s="62" t="n"/>
      <c r="Q270" t="inlineStr">
        <is>
          <t>Категория осложнения</t>
        </is>
      </c>
      <c r="R270" t="inlineStr">
        <is>
          <t>М1 — Механические примеси</t>
        </is>
      </c>
      <c r="S270" t="inlineStr">
        <is>
          <t>Класс из МУ</t>
        </is>
      </c>
      <c r="T270" t="inlineStr">
        <is>
          <t>МУ по отнесению скважин к ОФ, таблицы классов</t>
        </is>
      </c>
      <c r="U270" t="inlineStr">
        <is>
          <t>Таблица 11, §10</t>
        </is>
      </c>
      <c r="V270" t="inlineStr">
        <is>
          <t>Все типы</t>
        </is>
      </c>
      <c r="DB270">
        <f>IF('История отказов'!AH273="","",'История отказов'!AH273)</f>
        <v/>
      </c>
      <c r="DC270">
        <f>IF('История отказов'!AE273="","",IF(AND(COUNTIF($CT$2:$CT$2,'История отказов'!AE273)=0,COUNTIFS('История отказов'!$F$5:F273,"ШГН",'История отказов'!$AE$5:AE273,'История отказов'!AE273)=1,'История отказов'!F273="ШГН"),269,""))</f>
        <v/>
      </c>
      <c r="DD270">
        <f>IF('История отказов'!AE273="","",IF(AND(COUNTIF($CU$2:$CU$3,'История отказов'!AE273)=0,COUNTIFS('История отказов'!$F$5:F273,"ЭЦН",'История отказов'!$AE$5:AE273,'История отказов'!AE273)=1,'История отказов'!F273="ЭЦН"),269,""))</f>
        <v/>
      </c>
      <c r="DE270">
        <f>IF('История отказов'!AE273="","",IF(AND(COUNTIF($CV$2:$CV$3,'История отказов'!AE273)=0,COUNTIFS('История отказов'!$F$5:F273,"ЭВН",'История отказов'!$AE$5:AE273,'История отказов'!AE273)=1,'История отказов'!F273="ЭВН"),269,""))</f>
        <v/>
      </c>
      <c r="DF270">
        <f>IF('История отказов'!AE273="","",IF(AND(COUNTIF($CX$2:$CX$2,'История отказов'!AE273)=0,COUNTIFS('История отказов'!$F$5:F273,"ШВН",'История отказов'!$AE$5:AE273,'История отказов'!AE273)=1,'История отказов'!F273="ШВН"),269,""))</f>
        <v/>
      </c>
      <c r="DG270">
        <f>IF('История отказов'!AE273="","",IF(AND(COUNTIF($CW$2:$CW$2,'История отказов'!AE273)=0,COUNTIFS('История отказов'!$F$5:F273,"НПУ-ВД",'История отказов'!$AE$5:AE273,'История отказов'!AE273)=1,'История отказов'!F273="НПУ-ВД"),269,""))</f>
        <v/>
      </c>
      <c r="DH270">
        <f>IF('История отказов'!AE273="","",IF(AND(COUNTIF($CY$2:$CY$6,'История отказов'!AE273)=0,COUNTIF('История отказов'!$AE$5:AE273,'История отказов'!AE273)=1),269,""))</f>
        <v/>
      </c>
      <c r="DI270">
        <f>IF('История отказов'!AK273="","",IF(AND(COUNTIF($CL$2:$CL$3,'История отказов'!AK273)=0,COUNTIF('История отказов'!$AK$5:AK273,'История отказов'!AK273)=1),269,""))</f>
        <v/>
      </c>
      <c r="DJ270">
        <f>IF('История отказов'!AU273="","",IF(AND(COUNTIF($CP$2:$CP$3,'История отказов'!AU273)=0,COUNTIF('История отказов'!$AU$5:AU273,'История отказов'!AU273)=1),269,""))</f>
        <v/>
      </c>
      <c r="DK270">
        <f>IF('История отказов'!AY273="","",IF(AND(COUNTIF($CR$2:$CR$2,'История отказов'!AY273)=0,COUNTIF('История отказов'!$AY$5:AY273,'История отказов'!AY273)=1),269,""))</f>
        <v/>
      </c>
      <c r="DL270">
        <f>IF(DB270="","",IF(AND(COUNTIF($DA$2:$DA$47,DB270)=0,COUNTIF($DB$2:DB270,DB270)=1),269,""))</f>
        <v/>
      </c>
    </row>
    <row r="271">
      <c r="A271" s="74" t="n"/>
      <c r="B271" s="75" t="n"/>
      <c r="C271" s="75" t="n"/>
      <c r="D271" s="75" t="n"/>
      <c r="E271" s="75" t="n"/>
      <c r="F271" s="75" t="n"/>
      <c r="G271" s="76" t="n"/>
      <c r="J271" s="62" t="n"/>
      <c r="K271" s="62" t="n"/>
      <c r="L271" s="62" t="n"/>
      <c r="M271" s="62" t="n"/>
      <c r="N271" s="62" t="n"/>
      <c r="Q271" t="inlineStr">
        <is>
          <t>Категория осложнения</t>
        </is>
      </c>
      <c r="R271" t="inlineStr">
        <is>
          <t>М2 — Механические примеси</t>
        </is>
      </c>
      <c r="S271" t="inlineStr">
        <is>
          <t>Класс из МУ</t>
        </is>
      </c>
      <c r="T271" t="inlineStr">
        <is>
          <t>МУ по отнесению скважин к ОФ, таблицы классов</t>
        </is>
      </c>
      <c r="U271" t="inlineStr">
        <is>
          <t>Таблица 11, §10</t>
        </is>
      </c>
      <c r="V271" t="inlineStr">
        <is>
          <t>Все типы</t>
        </is>
      </c>
      <c r="DB271">
        <f>IF('История отказов'!AH274="","",'История отказов'!AH274)</f>
        <v/>
      </c>
      <c r="DC271">
        <f>IF('История отказов'!AE274="","",IF(AND(COUNTIF($CT$2:$CT$2,'История отказов'!AE274)=0,COUNTIFS('История отказов'!$F$5:F274,"ШГН",'История отказов'!$AE$5:AE274,'История отказов'!AE274)=1,'История отказов'!F274="ШГН"),270,""))</f>
        <v/>
      </c>
      <c r="DD271">
        <f>IF('История отказов'!AE274="","",IF(AND(COUNTIF($CU$2:$CU$3,'История отказов'!AE274)=0,COUNTIFS('История отказов'!$F$5:F274,"ЭЦН",'История отказов'!$AE$5:AE274,'История отказов'!AE274)=1,'История отказов'!F274="ЭЦН"),270,""))</f>
        <v/>
      </c>
      <c r="DE271">
        <f>IF('История отказов'!AE274="","",IF(AND(COUNTIF($CV$2:$CV$3,'История отказов'!AE274)=0,COUNTIFS('История отказов'!$F$5:F274,"ЭВН",'История отказов'!$AE$5:AE274,'История отказов'!AE274)=1,'История отказов'!F274="ЭВН"),270,""))</f>
        <v/>
      </c>
      <c r="DF271">
        <f>IF('История отказов'!AE274="","",IF(AND(COUNTIF($CX$2:$CX$2,'История отказов'!AE274)=0,COUNTIFS('История отказов'!$F$5:F274,"ШВН",'История отказов'!$AE$5:AE274,'История отказов'!AE274)=1,'История отказов'!F274="ШВН"),270,""))</f>
        <v/>
      </c>
      <c r="DG271">
        <f>IF('История отказов'!AE274="","",IF(AND(COUNTIF($CW$2:$CW$2,'История отказов'!AE274)=0,COUNTIFS('История отказов'!$F$5:F274,"НПУ-ВД",'История отказов'!$AE$5:AE274,'История отказов'!AE274)=1,'История отказов'!F274="НПУ-ВД"),270,""))</f>
        <v/>
      </c>
      <c r="DH271">
        <f>IF('История отказов'!AE274="","",IF(AND(COUNTIF($CY$2:$CY$6,'История отказов'!AE274)=0,COUNTIF('История отказов'!$AE$5:AE274,'История отказов'!AE274)=1),270,""))</f>
        <v/>
      </c>
      <c r="DI271">
        <f>IF('История отказов'!AK274="","",IF(AND(COUNTIF($CL$2:$CL$3,'История отказов'!AK274)=0,COUNTIF('История отказов'!$AK$5:AK274,'История отказов'!AK274)=1),270,""))</f>
        <v/>
      </c>
      <c r="DJ271">
        <f>IF('История отказов'!AU274="","",IF(AND(COUNTIF($CP$2:$CP$3,'История отказов'!AU274)=0,COUNTIF('История отказов'!$AU$5:AU274,'История отказов'!AU274)=1),270,""))</f>
        <v/>
      </c>
      <c r="DK271">
        <f>IF('История отказов'!AY274="","",IF(AND(COUNTIF($CR$2:$CR$2,'История отказов'!AY274)=0,COUNTIF('История отказов'!$AY$5:AY274,'История отказов'!AY274)=1),270,""))</f>
        <v/>
      </c>
      <c r="DL271">
        <f>IF(DB271="","",IF(AND(COUNTIF($DA$2:$DA$47,DB271)=0,COUNTIF($DB$2:DB271,DB271)=1),270,""))</f>
        <v/>
      </c>
    </row>
    <row r="272">
      <c r="A272" s="74" t="n"/>
      <c r="B272" s="75" t="n"/>
      <c r="C272" s="75" t="n"/>
      <c r="D272" s="75" t="n"/>
      <c r="E272" s="75" t="n"/>
      <c r="F272" s="75" t="n"/>
      <c r="G272" s="76" t="n"/>
      <c r="J272" s="62" t="n"/>
      <c r="K272" s="62" t="n"/>
      <c r="L272" s="62" t="n"/>
      <c r="M272" s="62" t="n"/>
      <c r="N272" s="62" t="n"/>
      <c r="Q272" t="inlineStr">
        <is>
          <t>Категория осложнения</t>
        </is>
      </c>
      <c r="R272" t="inlineStr">
        <is>
          <t>М3 — Механические примеси</t>
        </is>
      </c>
      <c r="S272" t="inlineStr">
        <is>
          <t>Класс из МУ</t>
        </is>
      </c>
      <c r="T272" t="inlineStr">
        <is>
          <t>МУ по отнесению скважин к ОФ, таблицы классов</t>
        </is>
      </c>
      <c r="U272" t="inlineStr">
        <is>
          <t>Таблица 11, §10</t>
        </is>
      </c>
      <c r="V272" t="inlineStr">
        <is>
          <t>Все типы</t>
        </is>
      </c>
      <c r="DB272">
        <f>IF('История отказов'!AH275="","",'История отказов'!AH275)</f>
        <v/>
      </c>
      <c r="DC272">
        <f>IF('История отказов'!AE275="","",IF(AND(COUNTIF($CT$2:$CT$2,'История отказов'!AE275)=0,COUNTIFS('История отказов'!$F$5:F275,"ШГН",'История отказов'!$AE$5:AE275,'История отказов'!AE275)=1,'История отказов'!F275="ШГН"),271,""))</f>
        <v/>
      </c>
      <c r="DD272">
        <f>IF('История отказов'!AE275="","",IF(AND(COUNTIF($CU$2:$CU$3,'История отказов'!AE275)=0,COUNTIFS('История отказов'!$F$5:F275,"ЭЦН",'История отказов'!$AE$5:AE275,'История отказов'!AE275)=1,'История отказов'!F275="ЭЦН"),271,""))</f>
        <v/>
      </c>
      <c r="DE272">
        <f>IF('История отказов'!AE275="","",IF(AND(COUNTIF($CV$2:$CV$3,'История отказов'!AE275)=0,COUNTIFS('История отказов'!$F$5:F275,"ЭВН",'История отказов'!$AE$5:AE275,'История отказов'!AE275)=1,'История отказов'!F275="ЭВН"),271,""))</f>
        <v/>
      </c>
      <c r="DF272">
        <f>IF('История отказов'!AE275="","",IF(AND(COUNTIF($CX$2:$CX$2,'История отказов'!AE275)=0,COUNTIFS('История отказов'!$F$5:F275,"ШВН",'История отказов'!$AE$5:AE275,'История отказов'!AE275)=1,'История отказов'!F275="ШВН"),271,""))</f>
        <v/>
      </c>
      <c r="DG272">
        <f>IF('История отказов'!AE275="","",IF(AND(COUNTIF($CW$2:$CW$2,'История отказов'!AE275)=0,COUNTIFS('История отказов'!$F$5:F275,"НПУ-ВД",'История отказов'!$AE$5:AE275,'История отказов'!AE275)=1,'История отказов'!F275="НПУ-ВД"),271,""))</f>
        <v/>
      </c>
      <c r="DH272">
        <f>IF('История отказов'!AE275="","",IF(AND(COUNTIF($CY$2:$CY$6,'История отказов'!AE275)=0,COUNTIF('История отказов'!$AE$5:AE275,'История отказов'!AE275)=1),271,""))</f>
        <v/>
      </c>
      <c r="DI272">
        <f>IF('История отказов'!AK275="","",IF(AND(COUNTIF($CL$2:$CL$3,'История отказов'!AK275)=0,COUNTIF('История отказов'!$AK$5:AK275,'История отказов'!AK275)=1),271,""))</f>
        <v/>
      </c>
      <c r="DJ272">
        <f>IF('История отказов'!AU275="","",IF(AND(COUNTIF($CP$2:$CP$3,'История отказов'!AU275)=0,COUNTIF('История отказов'!$AU$5:AU275,'История отказов'!AU275)=1),271,""))</f>
        <v/>
      </c>
      <c r="DK272">
        <f>IF('История отказов'!AY275="","",IF(AND(COUNTIF($CR$2:$CR$2,'История отказов'!AY275)=0,COUNTIF('История отказов'!$AY$5:AY275,'История отказов'!AY275)=1),271,""))</f>
        <v/>
      </c>
      <c r="DL272">
        <f>IF(DB272="","",IF(AND(COUNTIF($DA$2:$DA$47,DB272)=0,COUNTIF($DB$2:DB272,DB272)=1),271,""))</f>
        <v/>
      </c>
    </row>
    <row r="273">
      <c r="A273" s="74" t="n"/>
      <c r="B273" s="75" t="n"/>
      <c r="C273" s="75" t="n"/>
      <c r="D273" s="75" t="n"/>
      <c r="E273" s="75" t="n"/>
      <c r="F273" s="75" t="n"/>
      <c r="G273" s="76" t="n"/>
      <c r="J273" s="62" t="n"/>
      <c r="K273" s="62" t="n"/>
      <c r="L273" s="62" t="n"/>
      <c r="M273" s="62" t="n"/>
      <c r="N273" s="62" t="n"/>
      <c r="Q273" t="inlineStr">
        <is>
          <t>Категория осложнения</t>
        </is>
      </c>
      <c r="R273" t="inlineStr">
        <is>
          <t>Гд1 — Гидраты</t>
        </is>
      </c>
      <c r="S273" t="inlineStr">
        <is>
          <t>Класс из МУ</t>
        </is>
      </c>
      <c r="T273" t="inlineStr">
        <is>
          <t>МУ по отнесению скважин к ОФ, таблицы классов</t>
        </is>
      </c>
      <c r="U273" t="inlineStr">
        <is>
          <t>§11, таблица классов</t>
        </is>
      </c>
      <c r="V273" t="inlineStr">
        <is>
          <t>Все типы</t>
        </is>
      </c>
      <c r="DB273">
        <f>IF('История отказов'!AH276="","",'История отказов'!AH276)</f>
        <v/>
      </c>
      <c r="DC273">
        <f>IF('История отказов'!AE276="","",IF(AND(COUNTIF($CT$2:$CT$2,'История отказов'!AE276)=0,COUNTIFS('История отказов'!$F$5:F276,"ШГН",'История отказов'!$AE$5:AE276,'История отказов'!AE276)=1,'История отказов'!F276="ШГН"),272,""))</f>
        <v/>
      </c>
      <c r="DD273">
        <f>IF('История отказов'!AE276="","",IF(AND(COUNTIF($CU$2:$CU$3,'История отказов'!AE276)=0,COUNTIFS('История отказов'!$F$5:F276,"ЭЦН",'История отказов'!$AE$5:AE276,'История отказов'!AE276)=1,'История отказов'!F276="ЭЦН"),272,""))</f>
        <v/>
      </c>
      <c r="DE273">
        <f>IF('История отказов'!AE276="","",IF(AND(COUNTIF($CV$2:$CV$3,'История отказов'!AE276)=0,COUNTIFS('История отказов'!$F$5:F276,"ЭВН",'История отказов'!$AE$5:AE276,'История отказов'!AE276)=1,'История отказов'!F276="ЭВН"),272,""))</f>
        <v/>
      </c>
      <c r="DF273">
        <f>IF('История отказов'!AE276="","",IF(AND(COUNTIF($CX$2:$CX$2,'История отказов'!AE276)=0,COUNTIFS('История отказов'!$F$5:F276,"ШВН",'История отказов'!$AE$5:AE276,'История отказов'!AE276)=1,'История отказов'!F276="ШВН"),272,""))</f>
        <v/>
      </c>
      <c r="DG273">
        <f>IF('История отказов'!AE276="","",IF(AND(COUNTIF($CW$2:$CW$2,'История отказов'!AE276)=0,COUNTIFS('История отказов'!$F$5:F276,"НПУ-ВД",'История отказов'!$AE$5:AE276,'История отказов'!AE276)=1,'История отказов'!F276="НПУ-ВД"),272,""))</f>
        <v/>
      </c>
      <c r="DH273">
        <f>IF('История отказов'!AE276="","",IF(AND(COUNTIF($CY$2:$CY$6,'История отказов'!AE276)=0,COUNTIF('История отказов'!$AE$5:AE276,'История отказов'!AE276)=1),272,""))</f>
        <v/>
      </c>
      <c r="DI273">
        <f>IF('История отказов'!AK276="","",IF(AND(COUNTIF($CL$2:$CL$3,'История отказов'!AK276)=0,COUNTIF('История отказов'!$AK$5:AK276,'История отказов'!AK276)=1),272,""))</f>
        <v/>
      </c>
      <c r="DJ273">
        <f>IF('История отказов'!AU276="","",IF(AND(COUNTIF($CP$2:$CP$3,'История отказов'!AU276)=0,COUNTIF('История отказов'!$AU$5:AU276,'История отказов'!AU276)=1),272,""))</f>
        <v/>
      </c>
      <c r="DK273">
        <f>IF('История отказов'!AY276="","",IF(AND(COUNTIF($CR$2:$CR$2,'История отказов'!AY276)=0,COUNTIF('История отказов'!$AY$5:AY276,'История отказов'!AY276)=1),272,""))</f>
        <v/>
      </c>
      <c r="DL273">
        <f>IF(DB273="","",IF(AND(COUNTIF($DA$2:$DA$47,DB273)=0,COUNTIF($DB$2:DB273,DB273)=1),272,""))</f>
        <v/>
      </c>
    </row>
    <row r="274">
      <c r="A274" s="74" t="n"/>
      <c r="B274" s="75" t="n"/>
      <c r="C274" s="75" t="n"/>
      <c r="D274" s="75" t="n"/>
      <c r="E274" s="75" t="n"/>
      <c r="F274" s="75" t="n"/>
      <c r="G274" s="76" t="n"/>
      <c r="J274" s="62" t="n"/>
      <c r="K274" s="62" t="n"/>
      <c r="L274" s="62" t="n"/>
      <c r="M274" s="62" t="n"/>
      <c r="N274" s="62" t="n"/>
      <c r="Q274" t="inlineStr">
        <is>
          <t>Категория осложнения</t>
        </is>
      </c>
      <c r="R274" t="inlineStr">
        <is>
          <t>Т1 — Высокая температура</t>
        </is>
      </c>
      <c r="S274" t="inlineStr">
        <is>
          <t>Класс из МУ</t>
        </is>
      </c>
      <c r="T274" t="inlineStr">
        <is>
          <t>МУ по отнесению скважин к ОФ, таблицы классов</t>
        </is>
      </c>
      <c r="U274" t="inlineStr">
        <is>
          <t>Таблица 15, §12</t>
        </is>
      </c>
      <c r="V274" t="inlineStr">
        <is>
          <t>Все типы</t>
        </is>
      </c>
      <c r="DB274">
        <f>IF('История отказов'!AH277="","",'История отказов'!AH277)</f>
        <v/>
      </c>
      <c r="DC274">
        <f>IF('История отказов'!AE277="","",IF(AND(COUNTIF($CT$2:$CT$2,'История отказов'!AE277)=0,COUNTIFS('История отказов'!$F$5:F277,"ШГН",'История отказов'!$AE$5:AE277,'История отказов'!AE277)=1,'История отказов'!F277="ШГН"),273,""))</f>
        <v/>
      </c>
      <c r="DD274">
        <f>IF('История отказов'!AE277="","",IF(AND(COUNTIF($CU$2:$CU$3,'История отказов'!AE277)=0,COUNTIFS('История отказов'!$F$5:F277,"ЭЦН",'История отказов'!$AE$5:AE277,'История отказов'!AE277)=1,'История отказов'!F277="ЭЦН"),273,""))</f>
        <v/>
      </c>
      <c r="DE274">
        <f>IF('История отказов'!AE277="","",IF(AND(COUNTIF($CV$2:$CV$3,'История отказов'!AE277)=0,COUNTIFS('История отказов'!$F$5:F277,"ЭВН",'История отказов'!$AE$5:AE277,'История отказов'!AE277)=1,'История отказов'!F277="ЭВН"),273,""))</f>
        <v/>
      </c>
      <c r="DF274">
        <f>IF('История отказов'!AE277="","",IF(AND(COUNTIF($CX$2:$CX$2,'История отказов'!AE277)=0,COUNTIFS('История отказов'!$F$5:F277,"ШВН",'История отказов'!$AE$5:AE277,'История отказов'!AE277)=1,'История отказов'!F277="ШВН"),273,""))</f>
        <v/>
      </c>
      <c r="DG274">
        <f>IF('История отказов'!AE277="","",IF(AND(COUNTIF($CW$2:$CW$2,'История отказов'!AE277)=0,COUNTIFS('История отказов'!$F$5:F277,"НПУ-ВД",'История отказов'!$AE$5:AE277,'История отказов'!AE277)=1,'История отказов'!F277="НПУ-ВД"),273,""))</f>
        <v/>
      </c>
      <c r="DH274">
        <f>IF('История отказов'!AE277="","",IF(AND(COUNTIF($CY$2:$CY$6,'История отказов'!AE277)=0,COUNTIF('История отказов'!$AE$5:AE277,'История отказов'!AE277)=1),273,""))</f>
        <v/>
      </c>
      <c r="DI274">
        <f>IF('История отказов'!AK277="","",IF(AND(COUNTIF($CL$2:$CL$3,'История отказов'!AK277)=0,COUNTIF('История отказов'!$AK$5:AK277,'История отказов'!AK277)=1),273,""))</f>
        <v/>
      </c>
      <c r="DJ274">
        <f>IF('История отказов'!AU277="","",IF(AND(COUNTIF($CP$2:$CP$3,'История отказов'!AU277)=0,COUNTIF('История отказов'!$AU$5:AU277,'История отказов'!AU277)=1),273,""))</f>
        <v/>
      </c>
      <c r="DK274">
        <f>IF('История отказов'!AY277="","",IF(AND(COUNTIF($CR$2:$CR$2,'История отказов'!AY277)=0,COUNTIF('История отказов'!$AY$5:AY277,'История отказов'!AY277)=1),273,""))</f>
        <v/>
      </c>
      <c r="DL274">
        <f>IF(DB274="","",IF(AND(COUNTIF($DA$2:$DA$47,DB274)=0,COUNTIF($DB$2:DB274,DB274)=1),273,""))</f>
        <v/>
      </c>
    </row>
    <row r="275">
      <c r="A275" s="74" t="n"/>
      <c r="B275" s="75" t="n"/>
      <c r="C275" s="75" t="n"/>
      <c r="D275" s="75" t="n"/>
      <c r="E275" s="75" t="n"/>
      <c r="F275" s="75" t="n"/>
      <c r="G275" s="76" t="n"/>
      <c r="J275" s="62" t="n"/>
      <c r="K275" s="62" t="n"/>
      <c r="L275" s="62" t="n"/>
      <c r="M275" s="62" t="n"/>
      <c r="N275" s="62" t="n"/>
      <c r="Q275" t="inlineStr">
        <is>
          <t>Категория осложнения</t>
        </is>
      </c>
      <c r="R275" t="inlineStr">
        <is>
          <t>Т2 — Высокая температура</t>
        </is>
      </c>
      <c r="S275" t="inlineStr">
        <is>
          <t>Класс из МУ</t>
        </is>
      </c>
      <c r="T275" t="inlineStr">
        <is>
          <t>МУ по отнесению скважин к ОФ, таблицы классов</t>
        </is>
      </c>
      <c r="U275" t="inlineStr">
        <is>
          <t>Таблица 15, §12</t>
        </is>
      </c>
      <c r="V275" t="inlineStr">
        <is>
          <t>Все типы</t>
        </is>
      </c>
      <c r="DB275">
        <f>IF('История отказов'!AH278="","",'История отказов'!AH278)</f>
        <v/>
      </c>
      <c r="DC275">
        <f>IF('История отказов'!AE278="","",IF(AND(COUNTIF($CT$2:$CT$2,'История отказов'!AE278)=0,COUNTIFS('История отказов'!$F$5:F278,"ШГН",'История отказов'!$AE$5:AE278,'История отказов'!AE278)=1,'История отказов'!F278="ШГН"),274,""))</f>
        <v/>
      </c>
      <c r="DD275">
        <f>IF('История отказов'!AE278="","",IF(AND(COUNTIF($CU$2:$CU$3,'История отказов'!AE278)=0,COUNTIFS('История отказов'!$F$5:F278,"ЭЦН",'История отказов'!$AE$5:AE278,'История отказов'!AE278)=1,'История отказов'!F278="ЭЦН"),274,""))</f>
        <v/>
      </c>
      <c r="DE275">
        <f>IF('История отказов'!AE278="","",IF(AND(COUNTIF($CV$2:$CV$3,'История отказов'!AE278)=0,COUNTIFS('История отказов'!$F$5:F278,"ЭВН",'История отказов'!$AE$5:AE278,'История отказов'!AE278)=1,'История отказов'!F278="ЭВН"),274,""))</f>
        <v/>
      </c>
      <c r="DF275">
        <f>IF('История отказов'!AE278="","",IF(AND(COUNTIF($CX$2:$CX$2,'История отказов'!AE278)=0,COUNTIFS('История отказов'!$F$5:F278,"ШВН",'История отказов'!$AE$5:AE278,'История отказов'!AE278)=1,'История отказов'!F278="ШВН"),274,""))</f>
        <v/>
      </c>
      <c r="DG275">
        <f>IF('История отказов'!AE278="","",IF(AND(COUNTIF($CW$2:$CW$2,'История отказов'!AE278)=0,COUNTIFS('История отказов'!$F$5:F278,"НПУ-ВД",'История отказов'!$AE$5:AE278,'История отказов'!AE278)=1,'История отказов'!F278="НПУ-ВД"),274,""))</f>
        <v/>
      </c>
      <c r="DH275">
        <f>IF('История отказов'!AE278="","",IF(AND(COUNTIF($CY$2:$CY$6,'История отказов'!AE278)=0,COUNTIF('История отказов'!$AE$5:AE278,'История отказов'!AE278)=1),274,""))</f>
        <v/>
      </c>
      <c r="DI275">
        <f>IF('История отказов'!AK278="","",IF(AND(COUNTIF($CL$2:$CL$3,'История отказов'!AK278)=0,COUNTIF('История отказов'!$AK$5:AK278,'История отказов'!AK278)=1),274,""))</f>
        <v/>
      </c>
      <c r="DJ275">
        <f>IF('История отказов'!AU278="","",IF(AND(COUNTIF($CP$2:$CP$3,'История отказов'!AU278)=0,COUNTIF('История отказов'!$AU$5:AU278,'История отказов'!AU278)=1),274,""))</f>
        <v/>
      </c>
      <c r="DK275">
        <f>IF('История отказов'!AY278="","",IF(AND(COUNTIF($CR$2:$CR$2,'История отказов'!AY278)=0,COUNTIF('История отказов'!$AY$5:AY278,'История отказов'!AY278)=1),274,""))</f>
        <v/>
      </c>
      <c r="DL275">
        <f>IF(DB275="","",IF(AND(COUNTIF($DA$2:$DA$47,DB275)=0,COUNTIF($DB$2:DB275,DB275)=1),274,""))</f>
        <v/>
      </c>
    </row>
    <row r="276">
      <c r="A276" s="74" t="n"/>
      <c r="B276" s="75" t="n"/>
      <c r="C276" s="75" t="n"/>
      <c r="D276" s="75" t="n"/>
      <c r="E276" s="75" t="n"/>
      <c r="F276" s="75" t="n"/>
      <c r="G276" s="76" t="n"/>
      <c r="J276" s="62" t="n"/>
      <c r="K276" s="62" t="n"/>
      <c r="L276" s="62" t="n"/>
      <c r="M276" s="62" t="n"/>
      <c r="N276" s="62" t="n"/>
      <c r="Q276" t="inlineStr">
        <is>
          <t>Категория осложнения</t>
        </is>
      </c>
      <c r="R276" t="inlineStr">
        <is>
          <t>Т3 — Высокая температура</t>
        </is>
      </c>
      <c r="S276" t="inlineStr">
        <is>
          <t>Класс из МУ</t>
        </is>
      </c>
      <c r="T276" t="inlineStr">
        <is>
          <t>МУ по отнесению скважин к ОФ, таблицы классов</t>
        </is>
      </c>
      <c r="U276" t="inlineStr">
        <is>
          <t>Таблица 15, §12</t>
        </is>
      </c>
      <c r="V276" t="inlineStr">
        <is>
          <t>Все типы</t>
        </is>
      </c>
      <c r="DB276">
        <f>IF('История отказов'!AH279="","",'История отказов'!AH279)</f>
        <v/>
      </c>
      <c r="DC276">
        <f>IF('История отказов'!AE279="","",IF(AND(COUNTIF($CT$2:$CT$2,'История отказов'!AE279)=0,COUNTIFS('История отказов'!$F$5:F279,"ШГН",'История отказов'!$AE$5:AE279,'История отказов'!AE279)=1,'История отказов'!F279="ШГН"),275,""))</f>
        <v/>
      </c>
      <c r="DD276">
        <f>IF('История отказов'!AE279="","",IF(AND(COUNTIF($CU$2:$CU$3,'История отказов'!AE279)=0,COUNTIFS('История отказов'!$F$5:F279,"ЭЦН",'История отказов'!$AE$5:AE279,'История отказов'!AE279)=1,'История отказов'!F279="ЭЦН"),275,""))</f>
        <v/>
      </c>
      <c r="DE276">
        <f>IF('История отказов'!AE279="","",IF(AND(COUNTIF($CV$2:$CV$3,'История отказов'!AE279)=0,COUNTIFS('История отказов'!$F$5:F279,"ЭВН",'История отказов'!$AE$5:AE279,'История отказов'!AE279)=1,'История отказов'!F279="ЭВН"),275,""))</f>
        <v/>
      </c>
      <c r="DF276">
        <f>IF('История отказов'!AE279="","",IF(AND(COUNTIF($CX$2:$CX$2,'История отказов'!AE279)=0,COUNTIFS('История отказов'!$F$5:F279,"ШВН",'История отказов'!$AE$5:AE279,'История отказов'!AE279)=1,'История отказов'!F279="ШВН"),275,""))</f>
        <v/>
      </c>
      <c r="DG276">
        <f>IF('История отказов'!AE279="","",IF(AND(COUNTIF($CW$2:$CW$2,'История отказов'!AE279)=0,COUNTIFS('История отказов'!$F$5:F279,"НПУ-ВД",'История отказов'!$AE$5:AE279,'История отказов'!AE279)=1,'История отказов'!F279="НПУ-ВД"),275,""))</f>
        <v/>
      </c>
      <c r="DH276">
        <f>IF('История отказов'!AE279="","",IF(AND(COUNTIF($CY$2:$CY$6,'История отказов'!AE279)=0,COUNTIF('История отказов'!$AE$5:AE279,'История отказов'!AE279)=1),275,""))</f>
        <v/>
      </c>
      <c r="DI276">
        <f>IF('История отказов'!AK279="","",IF(AND(COUNTIF($CL$2:$CL$3,'История отказов'!AK279)=0,COUNTIF('История отказов'!$AK$5:AK279,'История отказов'!AK279)=1),275,""))</f>
        <v/>
      </c>
      <c r="DJ276">
        <f>IF('История отказов'!AU279="","",IF(AND(COUNTIF($CP$2:$CP$3,'История отказов'!AU279)=0,COUNTIF('История отказов'!$AU$5:AU279,'История отказов'!AU279)=1),275,""))</f>
        <v/>
      </c>
      <c r="DK276">
        <f>IF('История отказов'!AY279="","",IF(AND(COUNTIF($CR$2:$CR$2,'История отказов'!AY279)=0,COUNTIF('История отказов'!$AY$5:AY279,'История отказов'!AY279)=1),275,""))</f>
        <v/>
      </c>
      <c r="DL276">
        <f>IF(DB276="","",IF(AND(COUNTIF($DA$2:$DA$47,DB276)=0,COUNTIF($DB$2:DB276,DB276)=1),275,""))</f>
        <v/>
      </c>
    </row>
    <row r="277">
      <c r="A277" s="74" t="n"/>
      <c r="B277" s="75" t="n"/>
      <c r="C277" s="75" t="n"/>
      <c r="D277" s="75" t="n"/>
      <c r="E277" s="75" t="n"/>
      <c r="F277" s="75" t="n"/>
      <c r="G277" s="76" t="n"/>
      <c r="J277" s="62" t="n"/>
      <c r="K277" s="62" t="n"/>
      <c r="L277" s="62" t="n"/>
      <c r="M277" s="62" t="n"/>
      <c r="N277" s="62" t="n"/>
      <c r="Q277" t="inlineStr">
        <is>
          <t>ТКРС</t>
        </is>
      </c>
      <c r="R277" t="inlineStr">
        <is>
          <t>КР1-1 — Отключение отдельных интервалов и пропластков объекта эксплуатации.</t>
        </is>
      </c>
      <c r="S277" t="inlineStr">
        <is>
          <t>Код и наименование из документа</t>
        </is>
      </c>
      <c r="T277" t="inlineStr">
        <is>
          <t>Классификатор ремонтных работ, РД 153-39.0-088-01</t>
        </is>
      </c>
      <c r="U277" t="inlineStr">
        <is>
          <t>Таблица 4.1; код КР1-1</t>
        </is>
      </c>
      <c r="V277" t="inlineStr">
        <is>
          <t>Все типы</t>
        </is>
      </c>
      <c r="DB277">
        <f>IF('История отказов'!AH280="","",'История отказов'!AH280)</f>
        <v/>
      </c>
      <c r="DC277">
        <f>IF('История отказов'!AE280="","",IF(AND(COUNTIF($CT$2:$CT$2,'История отказов'!AE280)=0,COUNTIFS('История отказов'!$F$5:F280,"ШГН",'История отказов'!$AE$5:AE280,'История отказов'!AE280)=1,'История отказов'!F280="ШГН"),276,""))</f>
        <v/>
      </c>
      <c r="DD277">
        <f>IF('История отказов'!AE280="","",IF(AND(COUNTIF($CU$2:$CU$3,'История отказов'!AE280)=0,COUNTIFS('История отказов'!$F$5:F280,"ЭЦН",'История отказов'!$AE$5:AE280,'История отказов'!AE280)=1,'История отказов'!F280="ЭЦН"),276,""))</f>
        <v/>
      </c>
      <c r="DE277">
        <f>IF('История отказов'!AE280="","",IF(AND(COUNTIF($CV$2:$CV$3,'История отказов'!AE280)=0,COUNTIFS('История отказов'!$F$5:F280,"ЭВН",'История отказов'!$AE$5:AE280,'История отказов'!AE280)=1,'История отказов'!F280="ЭВН"),276,""))</f>
        <v/>
      </c>
      <c r="DF277">
        <f>IF('История отказов'!AE280="","",IF(AND(COUNTIF($CX$2:$CX$2,'История отказов'!AE280)=0,COUNTIFS('История отказов'!$F$5:F280,"ШВН",'История отказов'!$AE$5:AE280,'История отказов'!AE280)=1,'История отказов'!F280="ШВН"),276,""))</f>
        <v/>
      </c>
      <c r="DG277">
        <f>IF('История отказов'!AE280="","",IF(AND(COUNTIF($CW$2:$CW$2,'История отказов'!AE280)=0,COUNTIFS('История отказов'!$F$5:F280,"НПУ-ВД",'История отказов'!$AE$5:AE280,'История отказов'!AE280)=1,'История отказов'!F280="НПУ-ВД"),276,""))</f>
        <v/>
      </c>
      <c r="DH277">
        <f>IF('История отказов'!AE280="","",IF(AND(COUNTIF($CY$2:$CY$6,'История отказов'!AE280)=0,COUNTIF('История отказов'!$AE$5:AE280,'История отказов'!AE280)=1),276,""))</f>
        <v/>
      </c>
      <c r="DI277">
        <f>IF('История отказов'!AK280="","",IF(AND(COUNTIF($CL$2:$CL$3,'История отказов'!AK280)=0,COUNTIF('История отказов'!$AK$5:AK280,'История отказов'!AK280)=1),276,""))</f>
        <v/>
      </c>
      <c r="DJ277">
        <f>IF('История отказов'!AU280="","",IF(AND(COUNTIF($CP$2:$CP$3,'История отказов'!AU280)=0,COUNTIF('История отказов'!$AU$5:AU280,'История отказов'!AU280)=1),276,""))</f>
        <v/>
      </c>
      <c r="DK277">
        <f>IF('История отказов'!AY280="","",IF(AND(COUNTIF($CR$2:$CR$2,'История отказов'!AY280)=0,COUNTIF('История отказов'!$AY$5:AY280,'История отказов'!AY280)=1),276,""))</f>
        <v/>
      </c>
      <c r="DL277">
        <f>IF(DB277="","",IF(AND(COUNTIF($DA$2:$DA$47,DB277)=0,COUNTIF($DB$2:DB277,DB277)=1),276,""))</f>
        <v/>
      </c>
    </row>
    <row r="278">
      <c r="A278" s="74" t="n"/>
      <c r="B278" s="75" t="n"/>
      <c r="C278" s="75" t="n"/>
      <c r="D278" s="75" t="n"/>
      <c r="E278" s="75" t="n"/>
      <c r="F278" s="75" t="n"/>
      <c r="G278" s="76" t="n"/>
      <c r="J278" s="62" t="n"/>
      <c r="K278" s="62" t="n"/>
      <c r="L278" s="62" t="n"/>
      <c r="M278" s="62" t="n"/>
      <c r="N278" s="62" t="n"/>
      <c r="Q278" t="inlineStr">
        <is>
          <t>ТКРС</t>
        </is>
      </c>
      <c r="R278" t="inlineStr">
        <is>
          <t>КР1-2 — Отключение отдельных пластов.</t>
        </is>
      </c>
      <c r="S278" t="inlineStr">
        <is>
          <t>Код и наименование из документа</t>
        </is>
      </c>
      <c r="T278" t="inlineStr">
        <is>
          <t>Классификатор ремонтных работ, РД 153-39.0-088-01</t>
        </is>
      </c>
      <c r="U278" t="inlineStr">
        <is>
          <t>Таблица 4.1; код КР1-2</t>
        </is>
      </c>
      <c r="V278" t="inlineStr">
        <is>
          <t>Все типы</t>
        </is>
      </c>
      <c r="DB278">
        <f>IF('История отказов'!AH281="","",'История отказов'!AH281)</f>
        <v/>
      </c>
      <c r="DC278">
        <f>IF('История отказов'!AE281="","",IF(AND(COUNTIF($CT$2:$CT$2,'История отказов'!AE281)=0,COUNTIFS('История отказов'!$F$5:F281,"ШГН",'История отказов'!$AE$5:AE281,'История отказов'!AE281)=1,'История отказов'!F281="ШГН"),277,""))</f>
        <v/>
      </c>
      <c r="DD278">
        <f>IF('История отказов'!AE281="","",IF(AND(COUNTIF($CU$2:$CU$3,'История отказов'!AE281)=0,COUNTIFS('История отказов'!$F$5:F281,"ЭЦН",'История отказов'!$AE$5:AE281,'История отказов'!AE281)=1,'История отказов'!F281="ЭЦН"),277,""))</f>
        <v/>
      </c>
      <c r="DE278">
        <f>IF('История отказов'!AE281="","",IF(AND(COUNTIF($CV$2:$CV$3,'История отказов'!AE281)=0,COUNTIFS('История отказов'!$F$5:F281,"ЭВН",'История отказов'!$AE$5:AE281,'История отказов'!AE281)=1,'История отказов'!F281="ЭВН"),277,""))</f>
        <v/>
      </c>
      <c r="DF278">
        <f>IF('История отказов'!AE281="","",IF(AND(COUNTIF($CX$2:$CX$2,'История отказов'!AE281)=0,COUNTIFS('История отказов'!$F$5:F281,"ШВН",'История отказов'!$AE$5:AE281,'История отказов'!AE281)=1,'История отказов'!F281="ШВН"),277,""))</f>
        <v/>
      </c>
      <c r="DG278">
        <f>IF('История отказов'!AE281="","",IF(AND(COUNTIF($CW$2:$CW$2,'История отказов'!AE281)=0,COUNTIFS('История отказов'!$F$5:F281,"НПУ-ВД",'История отказов'!$AE$5:AE281,'История отказов'!AE281)=1,'История отказов'!F281="НПУ-ВД"),277,""))</f>
        <v/>
      </c>
      <c r="DH278">
        <f>IF('История отказов'!AE281="","",IF(AND(COUNTIF($CY$2:$CY$6,'История отказов'!AE281)=0,COUNTIF('История отказов'!$AE$5:AE281,'История отказов'!AE281)=1),277,""))</f>
        <v/>
      </c>
      <c r="DI278">
        <f>IF('История отказов'!AK281="","",IF(AND(COUNTIF($CL$2:$CL$3,'История отказов'!AK281)=0,COUNTIF('История отказов'!$AK$5:AK281,'История отказов'!AK281)=1),277,""))</f>
        <v/>
      </c>
      <c r="DJ278">
        <f>IF('История отказов'!AU281="","",IF(AND(COUNTIF($CP$2:$CP$3,'История отказов'!AU281)=0,COUNTIF('История отказов'!$AU$5:AU281,'История отказов'!AU281)=1),277,""))</f>
        <v/>
      </c>
      <c r="DK278">
        <f>IF('История отказов'!AY281="","",IF(AND(COUNTIF($CR$2:$CR$2,'История отказов'!AY281)=0,COUNTIF('История отказов'!$AY$5:AY281,'История отказов'!AY281)=1),277,""))</f>
        <v/>
      </c>
      <c r="DL278">
        <f>IF(DB278="","",IF(AND(COUNTIF($DA$2:$DA$47,DB278)=0,COUNTIF($DB$2:DB278,DB278)=1),277,""))</f>
        <v/>
      </c>
    </row>
    <row r="279">
      <c r="A279" s="74" t="n"/>
      <c r="B279" s="75" t="n"/>
      <c r="C279" s="75" t="n"/>
      <c r="D279" s="75" t="n"/>
      <c r="E279" s="75" t="n"/>
      <c r="F279" s="75" t="n"/>
      <c r="G279" s="76" t="n"/>
      <c r="J279" s="62" t="n"/>
      <c r="K279" s="62" t="n"/>
      <c r="L279" s="62" t="n"/>
      <c r="M279" s="62" t="n"/>
      <c r="N279" s="62" t="n"/>
      <c r="Q279" t="inlineStr">
        <is>
          <t>ТКРС</t>
        </is>
      </c>
      <c r="R279" t="inlineStr">
        <is>
          <t>КР1-3 — Восстановление герметичности цементного кольца.</t>
        </is>
      </c>
      <c r="S279" t="inlineStr">
        <is>
          <t>Код и наименование из документа</t>
        </is>
      </c>
      <c r="T279" t="inlineStr">
        <is>
          <t>Классификатор ремонтных работ, РД 153-39.0-088-01</t>
        </is>
      </c>
      <c r="U279" t="inlineStr">
        <is>
          <t>Таблица 4.1; код КР1-3</t>
        </is>
      </c>
      <c r="V279" t="inlineStr">
        <is>
          <t>Все типы</t>
        </is>
      </c>
      <c r="DB279">
        <f>IF('История отказов'!AH282="","",'История отказов'!AH282)</f>
        <v/>
      </c>
      <c r="DC279">
        <f>IF('История отказов'!AE282="","",IF(AND(COUNTIF($CT$2:$CT$2,'История отказов'!AE282)=0,COUNTIFS('История отказов'!$F$5:F282,"ШГН",'История отказов'!$AE$5:AE282,'История отказов'!AE282)=1,'История отказов'!F282="ШГН"),278,""))</f>
        <v/>
      </c>
      <c r="DD279">
        <f>IF('История отказов'!AE282="","",IF(AND(COUNTIF($CU$2:$CU$3,'История отказов'!AE282)=0,COUNTIFS('История отказов'!$F$5:F282,"ЭЦН",'История отказов'!$AE$5:AE282,'История отказов'!AE282)=1,'История отказов'!F282="ЭЦН"),278,""))</f>
        <v/>
      </c>
      <c r="DE279">
        <f>IF('История отказов'!AE282="","",IF(AND(COUNTIF($CV$2:$CV$3,'История отказов'!AE282)=0,COUNTIFS('История отказов'!$F$5:F282,"ЭВН",'История отказов'!$AE$5:AE282,'История отказов'!AE282)=1,'История отказов'!F282="ЭВН"),278,""))</f>
        <v/>
      </c>
      <c r="DF279">
        <f>IF('История отказов'!AE282="","",IF(AND(COUNTIF($CX$2:$CX$2,'История отказов'!AE282)=0,COUNTIFS('История отказов'!$F$5:F282,"ШВН",'История отказов'!$AE$5:AE282,'История отказов'!AE282)=1,'История отказов'!F282="ШВН"),278,""))</f>
        <v/>
      </c>
      <c r="DG279">
        <f>IF('История отказов'!AE282="","",IF(AND(COUNTIF($CW$2:$CW$2,'История отказов'!AE282)=0,COUNTIFS('История отказов'!$F$5:F282,"НПУ-ВД",'История отказов'!$AE$5:AE282,'История отказов'!AE282)=1,'История отказов'!F282="НПУ-ВД"),278,""))</f>
        <v/>
      </c>
      <c r="DH279">
        <f>IF('История отказов'!AE282="","",IF(AND(COUNTIF($CY$2:$CY$6,'История отказов'!AE282)=0,COUNTIF('История отказов'!$AE$5:AE282,'История отказов'!AE282)=1),278,""))</f>
        <v/>
      </c>
      <c r="DI279">
        <f>IF('История отказов'!AK282="","",IF(AND(COUNTIF($CL$2:$CL$3,'История отказов'!AK282)=0,COUNTIF('История отказов'!$AK$5:AK282,'История отказов'!AK282)=1),278,""))</f>
        <v/>
      </c>
      <c r="DJ279">
        <f>IF('История отказов'!AU282="","",IF(AND(COUNTIF($CP$2:$CP$3,'История отказов'!AU282)=0,COUNTIF('История отказов'!$AU$5:AU282,'История отказов'!AU282)=1),278,""))</f>
        <v/>
      </c>
      <c r="DK279">
        <f>IF('История отказов'!AY282="","",IF(AND(COUNTIF($CR$2:$CR$2,'История отказов'!AY282)=0,COUNTIF('История отказов'!$AY$5:AY282,'История отказов'!AY282)=1),278,""))</f>
        <v/>
      </c>
      <c r="DL279">
        <f>IF(DB279="","",IF(AND(COUNTIF($DA$2:$DA$47,DB279)=0,COUNTIF($DB$2:DB279,DB279)=1),278,""))</f>
        <v/>
      </c>
    </row>
    <row r="280">
      <c r="A280" s="74" t="n"/>
      <c r="B280" s="75" t="n"/>
      <c r="C280" s="75" t="n"/>
      <c r="D280" s="75" t="n"/>
      <c r="E280" s="75" t="n"/>
      <c r="F280" s="75" t="n"/>
      <c r="G280" s="76" t="n"/>
      <c r="J280" s="62" t="n"/>
      <c r="K280" s="62" t="n"/>
      <c r="L280" s="62" t="n"/>
      <c r="M280" s="62" t="n"/>
      <c r="N280" s="62" t="n"/>
      <c r="Q280" t="inlineStr">
        <is>
          <t>ТКРС</t>
        </is>
      </c>
      <c r="R280" t="inlineStr">
        <is>
          <t>КР1-4 — Наращивание цементного кольца за эксплуатационной, промежуточной колонной, кондуктором.</t>
        </is>
      </c>
      <c r="S280" t="inlineStr">
        <is>
          <t>Код и наименование из документа</t>
        </is>
      </c>
      <c r="T280" t="inlineStr">
        <is>
          <t>Классификатор ремонтных работ, РД 153-39.0-088-01</t>
        </is>
      </c>
      <c r="U280" t="inlineStr">
        <is>
          <t>Таблица 4.1; код КР1-4</t>
        </is>
      </c>
      <c r="V280" t="inlineStr">
        <is>
          <t>Все типы</t>
        </is>
      </c>
      <c r="DB280">
        <f>IF('История отказов'!AH283="","",'История отказов'!AH283)</f>
        <v/>
      </c>
      <c r="DC280">
        <f>IF('История отказов'!AE283="","",IF(AND(COUNTIF($CT$2:$CT$2,'История отказов'!AE283)=0,COUNTIFS('История отказов'!$F$5:F283,"ШГН",'История отказов'!$AE$5:AE283,'История отказов'!AE283)=1,'История отказов'!F283="ШГН"),279,""))</f>
        <v/>
      </c>
      <c r="DD280">
        <f>IF('История отказов'!AE283="","",IF(AND(COUNTIF($CU$2:$CU$3,'История отказов'!AE283)=0,COUNTIFS('История отказов'!$F$5:F283,"ЭЦН",'История отказов'!$AE$5:AE283,'История отказов'!AE283)=1,'История отказов'!F283="ЭЦН"),279,""))</f>
        <v/>
      </c>
      <c r="DE280">
        <f>IF('История отказов'!AE283="","",IF(AND(COUNTIF($CV$2:$CV$3,'История отказов'!AE283)=0,COUNTIFS('История отказов'!$F$5:F283,"ЭВН",'История отказов'!$AE$5:AE283,'История отказов'!AE283)=1,'История отказов'!F283="ЭВН"),279,""))</f>
        <v/>
      </c>
      <c r="DF280">
        <f>IF('История отказов'!AE283="","",IF(AND(COUNTIF($CX$2:$CX$2,'История отказов'!AE283)=0,COUNTIFS('История отказов'!$F$5:F283,"ШВН",'История отказов'!$AE$5:AE283,'История отказов'!AE283)=1,'История отказов'!F283="ШВН"),279,""))</f>
        <v/>
      </c>
      <c r="DG280">
        <f>IF('История отказов'!AE283="","",IF(AND(COUNTIF($CW$2:$CW$2,'История отказов'!AE283)=0,COUNTIFS('История отказов'!$F$5:F283,"НПУ-ВД",'История отказов'!$AE$5:AE283,'История отказов'!AE283)=1,'История отказов'!F283="НПУ-ВД"),279,""))</f>
        <v/>
      </c>
      <c r="DH280">
        <f>IF('История отказов'!AE283="","",IF(AND(COUNTIF($CY$2:$CY$6,'История отказов'!AE283)=0,COUNTIF('История отказов'!$AE$5:AE283,'История отказов'!AE283)=1),279,""))</f>
        <v/>
      </c>
      <c r="DI280">
        <f>IF('История отказов'!AK283="","",IF(AND(COUNTIF($CL$2:$CL$3,'История отказов'!AK283)=0,COUNTIF('История отказов'!$AK$5:AK283,'История отказов'!AK283)=1),279,""))</f>
        <v/>
      </c>
      <c r="DJ280">
        <f>IF('История отказов'!AU283="","",IF(AND(COUNTIF($CP$2:$CP$3,'История отказов'!AU283)=0,COUNTIF('История отказов'!$AU$5:AU283,'История отказов'!AU283)=1),279,""))</f>
        <v/>
      </c>
      <c r="DK280">
        <f>IF('История отказов'!AY283="","",IF(AND(COUNTIF($CR$2:$CR$2,'История отказов'!AY283)=0,COUNTIF('История отказов'!$AY$5:AY283,'История отказов'!AY283)=1),279,""))</f>
        <v/>
      </c>
      <c r="DL280">
        <f>IF(DB280="","",IF(AND(COUNTIF($DA$2:$DA$47,DB280)=0,COUNTIF($DB$2:DB280,DB280)=1),279,""))</f>
        <v/>
      </c>
    </row>
    <row r="281">
      <c r="A281" s="74" t="n"/>
      <c r="B281" s="75" t="n"/>
      <c r="C281" s="75" t="n"/>
      <c r="D281" s="75" t="n"/>
      <c r="E281" s="75" t="n"/>
      <c r="F281" s="75" t="n"/>
      <c r="G281" s="76" t="n"/>
      <c r="J281" s="62" t="n"/>
      <c r="K281" s="62" t="n"/>
      <c r="L281" s="62" t="n"/>
      <c r="M281" s="62" t="n"/>
      <c r="N281" s="62" t="n"/>
      <c r="Q281" t="inlineStr">
        <is>
          <t>ТКРС</t>
        </is>
      </c>
      <c r="R281" t="inlineStr">
        <is>
          <t>КР2-1 — Устранение не герметичности тампонированием.</t>
        </is>
      </c>
      <c r="S281" t="inlineStr">
        <is>
          <t>Код и наименование из документа</t>
        </is>
      </c>
      <c r="T281" t="inlineStr">
        <is>
          <t>Классификатор ремонтных работ, РД 153-39.0-088-01</t>
        </is>
      </c>
      <c r="U281" t="inlineStr">
        <is>
          <t>Таблица 4.1; код КР2-1</t>
        </is>
      </c>
      <c r="V281" t="inlineStr">
        <is>
          <t>Все типы</t>
        </is>
      </c>
      <c r="DB281">
        <f>IF('История отказов'!AH284="","",'История отказов'!AH284)</f>
        <v/>
      </c>
      <c r="DC281">
        <f>IF('История отказов'!AE284="","",IF(AND(COUNTIF($CT$2:$CT$2,'История отказов'!AE284)=0,COUNTIFS('История отказов'!$F$5:F284,"ШГН",'История отказов'!$AE$5:AE284,'История отказов'!AE284)=1,'История отказов'!F284="ШГН"),280,""))</f>
        <v/>
      </c>
      <c r="DD281">
        <f>IF('История отказов'!AE284="","",IF(AND(COUNTIF($CU$2:$CU$3,'История отказов'!AE284)=0,COUNTIFS('История отказов'!$F$5:F284,"ЭЦН",'История отказов'!$AE$5:AE284,'История отказов'!AE284)=1,'История отказов'!F284="ЭЦН"),280,""))</f>
        <v/>
      </c>
      <c r="DE281">
        <f>IF('История отказов'!AE284="","",IF(AND(COUNTIF($CV$2:$CV$3,'История отказов'!AE284)=0,COUNTIFS('История отказов'!$F$5:F284,"ЭВН",'История отказов'!$AE$5:AE284,'История отказов'!AE284)=1,'История отказов'!F284="ЭВН"),280,""))</f>
        <v/>
      </c>
      <c r="DF281">
        <f>IF('История отказов'!AE284="","",IF(AND(COUNTIF($CX$2:$CX$2,'История отказов'!AE284)=0,COUNTIFS('История отказов'!$F$5:F284,"ШВН",'История отказов'!$AE$5:AE284,'История отказов'!AE284)=1,'История отказов'!F284="ШВН"),280,""))</f>
        <v/>
      </c>
      <c r="DG281">
        <f>IF('История отказов'!AE284="","",IF(AND(COUNTIF($CW$2:$CW$2,'История отказов'!AE284)=0,COUNTIFS('История отказов'!$F$5:F284,"НПУ-ВД",'История отказов'!$AE$5:AE284,'История отказов'!AE284)=1,'История отказов'!F284="НПУ-ВД"),280,""))</f>
        <v/>
      </c>
      <c r="DH281">
        <f>IF('История отказов'!AE284="","",IF(AND(COUNTIF($CY$2:$CY$6,'История отказов'!AE284)=0,COUNTIF('История отказов'!$AE$5:AE284,'История отказов'!AE284)=1),280,""))</f>
        <v/>
      </c>
      <c r="DI281">
        <f>IF('История отказов'!AK284="","",IF(AND(COUNTIF($CL$2:$CL$3,'История отказов'!AK284)=0,COUNTIF('История отказов'!$AK$5:AK284,'История отказов'!AK284)=1),280,""))</f>
        <v/>
      </c>
      <c r="DJ281">
        <f>IF('История отказов'!AU284="","",IF(AND(COUNTIF($CP$2:$CP$3,'История отказов'!AU284)=0,COUNTIF('История отказов'!$AU$5:AU284,'История отказов'!AU284)=1),280,""))</f>
        <v/>
      </c>
      <c r="DK281">
        <f>IF('История отказов'!AY284="","",IF(AND(COUNTIF($CR$2:$CR$2,'История отказов'!AY284)=0,COUNTIF('История отказов'!$AY$5:AY284,'История отказов'!AY284)=1),280,""))</f>
        <v/>
      </c>
      <c r="DL281">
        <f>IF(DB281="","",IF(AND(COUNTIF($DA$2:$DA$47,DB281)=0,COUNTIF($DB$2:DB281,DB281)=1),280,""))</f>
        <v/>
      </c>
    </row>
    <row r="282">
      <c r="A282" s="74" t="n"/>
      <c r="B282" s="75" t="n"/>
      <c r="C282" s="75" t="n"/>
      <c r="D282" s="75" t="n"/>
      <c r="E282" s="75" t="n"/>
      <c r="F282" s="75" t="n"/>
      <c r="G282" s="76" t="n"/>
      <c r="J282" s="62" t="n"/>
      <c r="K282" s="62" t="n"/>
      <c r="L282" s="62" t="n"/>
      <c r="M282" s="62" t="n"/>
      <c r="N282" s="62" t="n"/>
      <c r="Q282" t="inlineStr">
        <is>
          <t>ТКРС</t>
        </is>
      </c>
      <c r="R282" t="inlineStr">
        <is>
          <t>КР2-2 — Устранение установкой пластыря.</t>
        </is>
      </c>
      <c r="S282" t="inlineStr">
        <is>
          <t>Код и наименование из документа</t>
        </is>
      </c>
      <c r="T282" t="inlineStr">
        <is>
          <t>Классификатор ремонтных работ, РД 153-39.0-088-01</t>
        </is>
      </c>
      <c r="U282" t="inlineStr">
        <is>
          <t>Таблица 4.1; код КР2-2</t>
        </is>
      </c>
      <c r="V282" t="inlineStr">
        <is>
          <t>Все типы</t>
        </is>
      </c>
      <c r="DB282">
        <f>IF('История отказов'!AH285="","",'История отказов'!AH285)</f>
        <v/>
      </c>
      <c r="DC282">
        <f>IF('История отказов'!AE285="","",IF(AND(COUNTIF($CT$2:$CT$2,'История отказов'!AE285)=0,COUNTIFS('История отказов'!$F$5:F285,"ШГН",'История отказов'!$AE$5:AE285,'История отказов'!AE285)=1,'История отказов'!F285="ШГН"),281,""))</f>
        <v/>
      </c>
      <c r="DD282">
        <f>IF('История отказов'!AE285="","",IF(AND(COUNTIF($CU$2:$CU$3,'История отказов'!AE285)=0,COUNTIFS('История отказов'!$F$5:F285,"ЭЦН",'История отказов'!$AE$5:AE285,'История отказов'!AE285)=1,'История отказов'!F285="ЭЦН"),281,""))</f>
        <v/>
      </c>
      <c r="DE282">
        <f>IF('История отказов'!AE285="","",IF(AND(COUNTIF($CV$2:$CV$3,'История отказов'!AE285)=0,COUNTIFS('История отказов'!$F$5:F285,"ЭВН",'История отказов'!$AE$5:AE285,'История отказов'!AE285)=1,'История отказов'!F285="ЭВН"),281,""))</f>
        <v/>
      </c>
      <c r="DF282">
        <f>IF('История отказов'!AE285="","",IF(AND(COUNTIF($CX$2:$CX$2,'История отказов'!AE285)=0,COUNTIFS('История отказов'!$F$5:F285,"ШВН",'История отказов'!$AE$5:AE285,'История отказов'!AE285)=1,'История отказов'!F285="ШВН"),281,""))</f>
        <v/>
      </c>
      <c r="DG282">
        <f>IF('История отказов'!AE285="","",IF(AND(COUNTIF($CW$2:$CW$2,'История отказов'!AE285)=0,COUNTIFS('История отказов'!$F$5:F285,"НПУ-ВД",'История отказов'!$AE$5:AE285,'История отказов'!AE285)=1,'История отказов'!F285="НПУ-ВД"),281,""))</f>
        <v/>
      </c>
      <c r="DH282">
        <f>IF('История отказов'!AE285="","",IF(AND(COUNTIF($CY$2:$CY$6,'История отказов'!AE285)=0,COUNTIF('История отказов'!$AE$5:AE285,'История отказов'!AE285)=1),281,""))</f>
        <v/>
      </c>
      <c r="DI282">
        <f>IF('История отказов'!AK285="","",IF(AND(COUNTIF($CL$2:$CL$3,'История отказов'!AK285)=0,COUNTIF('История отказов'!$AK$5:AK285,'История отказов'!AK285)=1),281,""))</f>
        <v/>
      </c>
      <c r="DJ282">
        <f>IF('История отказов'!AU285="","",IF(AND(COUNTIF($CP$2:$CP$3,'История отказов'!AU285)=0,COUNTIF('История отказов'!$AU$5:AU285,'История отказов'!AU285)=1),281,""))</f>
        <v/>
      </c>
      <c r="DK282">
        <f>IF('История отказов'!AY285="","",IF(AND(COUNTIF($CR$2:$CR$2,'История отказов'!AY285)=0,COUNTIF('История отказов'!$AY$5:AY285,'История отказов'!AY285)=1),281,""))</f>
        <v/>
      </c>
      <c r="DL282">
        <f>IF(DB282="","",IF(AND(COUNTIF($DA$2:$DA$47,DB282)=0,COUNTIF($DB$2:DB282,DB282)=1),281,""))</f>
        <v/>
      </c>
    </row>
    <row r="283">
      <c r="A283" s="74" t="n"/>
      <c r="B283" s="75" t="n"/>
      <c r="C283" s="75" t="n"/>
      <c r="D283" s="75" t="n"/>
      <c r="E283" s="75" t="n"/>
      <c r="F283" s="75" t="n"/>
      <c r="G283" s="76" t="n"/>
      <c r="J283" s="62" t="n"/>
      <c r="K283" s="62" t="n"/>
      <c r="L283" s="62" t="n"/>
      <c r="M283" s="62" t="n"/>
      <c r="N283" s="62" t="n"/>
      <c r="Q283" t="inlineStr">
        <is>
          <t>ТКРС</t>
        </is>
      </c>
      <c r="R283" t="inlineStr">
        <is>
          <t>КР2-3 — Устранение не герметичности спуском дополнительной обсадной колонны меньшего диаметра.</t>
        </is>
      </c>
      <c r="S283" t="inlineStr">
        <is>
          <t>Код и наименование из документа</t>
        </is>
      </c>
      <c r="T283" t="inlineStr">
        <is>
          <t>Классификатор ремонтных работ, РД 153-39.0-088-01</t>
        </is>
      </c>
      <c r="U283" t="inlineStr">
        <is>
          <t>Таблица 4.1; код КР2-3</t>
        </is>
      </c>
      <c r="V283" t="inlineStr">
        <is>
          <t>Все типы</t>
        </is>
      </c>
      <c r="DB283">
        <f>IF('История отказов'!AH286="","",'История отказов'!AH286)</f>
        <v/>
      </c>
      <c r="DC283">
        <f>IF('История отказов'!AE286="","",IF(AND(COUNTIF($CT$2:$CT$2,'История отказов'!AE286)=0,COUNTIFS('История отказов'!$F$5:F286,"ШГН",'История отказов'!$AE$5:AE286,'История отказов'!AE286)=1,'История отказов'!F286="ШГН"),282,""))</f>
        <v/>
      </c>
      <c r="DD283">
        <f>IF('История отказов'!AE286="","",IF(AND(COUNTIF($CU$2:$CU$3,'История отказов'!AE286)=0,COUNTIFS('История отказов'!$F$5:F286,"ЭЦН",'История отказов'!$AE$5:AE286,'История отказов'!AE286)=1,'История отказов'!F286="ЭЦН"),282,""))</f>
        <v/>
      </c>
      <c r="DE283">
        <f>IF('История отказов'!AE286="","",IF(AND(COUNTIF($CV$2:$CV$3,'История отказов'!AE286)=0,COUNTIFS('История отказов'!$F$5:F286,"ЭВН",'История отказов'!$AE$5:AE286,'История отказов'!AE286)=1,'История отказов'!F286="ЭВН"),282,""))</f>
        <v/>
      </c>
      <c r="DF283">
        <f>IF('История отказов'!AE286="","",IF(AND(COUNTIF($CX$2:$CX$2,'История отказов'!AE286)=0,COUNTIFS('История отказов'!$F$5:F286,"ШВН",'История отказов'!$AE$5:AE286,'История отказов'!AE286)=1,'История отказов'!F286="ШВН"),282,""))</f>
        <v/>
      </c>
      <c r="DG283">
        <f>IF('История отказов'!AE286="","",IF(AND(COUNTIF($CW$2:$CW$2,'История отказов'!AE286)=0,COUNTIFS('История отказов'!$F$5:F286,"НПУ-ВД",'История отказов'!$AE$5:AE286,'История отказов'!AE286)=1,'История отказов'!F286="НПУ-ВД"),282,""))</f>
        <v/>
      </c>
      <c r="DH283">
        <f>IF('История отказов'!AE286="","",IF(AND(COUNTIF($CY$2:$CY$6,'История отказов'!AE286)=0,COUNTIF('История отказов'!$AE$5:AE286,'История отказов'!AE286)=1),282,""))</f>
        <v/>
      </c>
      <c r="DI283">
        <f>IF('История отказов'!AK286="","",IF(AND(COUNTIF($CL$2:$CL$3,'История отказов'!AK286)=0,COUNTIF('История отказов'!$AK$5:AK286,'История отказов'!AK286)=1),282,""))</f>
        <v/>
      </c>
      <c r="DJ283">
        <f>IF('История отказов'!AU286="","",IF(AND(COUNTIF($CP$2:$CP$3,'История отказов'!AU286)=0,COUNTIF('История отказов'!$AU$5:AU286,'История отказов'!AU286)=1),282,""))</f>
        <v/>
      </c>
      <c r="DK283">
        <f>IF('История отказов'!AY286="","",IF(AND(COUNTIF($CR$2:$CR$2,'История отказов'!AY286)=0,COUNTIF('История отказов'!$AY$5:AY286,'История отказов'!AY286)=1),282,""))</f>
        <v/>
      </c>
      <c r="DL283">
        <f>IF(DB283="","",IF(AND(COUNTIF($DA$2:$DA$47,DB283)=0,COUNTIF($DB$2:DB283,DB283)=1),282,""))</f>
        <v/>
      </c>
    </row>
    <row r="284">
      <c r="A284" s="74" t="n"/>
      <c r="B284" s="75" t="n"/>
      <c r="C284" s="75" t="n"/>
      <c r="D284" s="75" t="n"/>
      <c r="E284" s="75" t="n"/>
      <c r="F284" s="75" t="n"/>
      <c r="G284" s="76" t="n"/>
      <c r="J284" s="62" t="n"/>
      <c r="K284" s="62" t="n"/>
      <c r="L284" s="62" t="n"/>
      <c r="M284" s="62" t="n"/>
      <c r="N284" s="62" t="n"/>
      <c r="Q284" t="inlineStr">
        <is>
          <t>ТКРС</t>
        </is>
      </c>
      <c r="R284" t="inlineStr">
        <is>
          <t>КР2-4 — Устранение не герметичности частичной сменой эксплуатационной колонны.</t>
        </is>
      </c>
      <c r="S284" t="inlineStr">
        <is>
          <t>Код и наименование из документа</t>
        </is>
      </c>
      <c r="T284" t="inlineStr">
        <is>
          <t>Классификатор ремонтных работ, РД 153-39.0-088-01</t>
        </is>
      </c>
      <c r="U284" t="inlineStr">
        <is>
          <t>Таблица 4.1; код КР2-4</t>
        </is>
      </c>
      <c r="V284" t="inlineStr">
        <is>
          <t>Все типы</t>
        </is>
      </c>
      <c r="DB284">
        <f>IF('История отказов'!AH287="","",'История отказов'!AH287)</f>
        <v/>
      </c>
      <c r="DC284">
        <f>IF('История отказов'!AE287="","",IF(AND(COUNTIF($CT$2:$CT$2,'История отказов'!AE287)=0,COUNTIFS('История отказов'!$F$5:F287,"ШГН",'История отказов'!$AE$5:AE287,'История отказов'!AE287)=1,'История отказов'!F287="ШГН"),283,""))</f>
        <v/>
      </c>
      <c r="DD284">
        <f>IF('История отказов'!AE287="","",IF(AND(COUNTIF($CU$2:$CU$3,'История отказов'!AE287)=0,COUNTIFS('История отказов'!$F$5:F287,"ЭЦН",'История отказов'!$AE$5:AE287,'История отказов'!AE287)=1,'История отказов'!F287="ЭЦН"),283,""))</f>
        <v/>
      </c>
      <c r="DE284">
        <f>IF('История отказов'!AE287="","",IF(AND(COUNTIF($CV$2:$CV$3,'История отказов'!AE287)=0,COUNTIFS('История отказов'!$F$5:F287,"ЭВН",'История отказов'!$AE$5:AE287,'История отказов'!AE287)=1,'История отказов'!F287="ЭВН"),283,""))</f>
        <v/>
      </c>
      <c r="DF284">
        <f>IF('История отказов'!AE287="","",IF(AND(COUNTIF($CX$2:$CX$2,'История отказов'!AE287)=0,COUNTIFS('История отказов'!$F$5:F287,"ШВН",'История отказов'!$AE$5:AE287,'История отказов'!AE287)=1,'История отказов'!F287="ШВН"),283,""))</f>
        <v/>
      </c>
      <c r="DG284">
        <f>IF('История отказов'!AE287="","",IF(AND(COUNTIF($CW$2:$CW$2,'История отказов'!AE287)=0,COUNTIFS('История отказов'!$F$5:F287,"НПУ-ВД",'История отказов'!$AE$5:AE287,'История отказов'!AE287)=1,'История отказов'!F287="НПУ-ВД"),283,""))</f>
        <v/>
      </c>
      <c r="DH284">
        <f>IF('История отказов'!AE287="","",IF(AND(COUNTIF($CY$2:$CY$6,'История отказов'!AE287)=0,COUNTIF('История отказов'!$AE$5:AE287,'История отказов'!AE287)=1),283,""))</f>
        <v/>
      </c>
      <c r="DI284">
        <f>IF('История отказов'!AK287="","",IF(AND(COUNTIF($CL$2:$CL$3,'История отказов'!AK287)=0,COUNTIF('История отказов'!$AK$5:AK287,'История отказов'!AK287)=1),283,""))</f>
        <v/>
      </c>
      <c r="DJ284">
        <f>IF('История отказов'!AU287="","",IF(AND(COUNTIF($CP$2:$CP$3,'История отказов'!AU287)=0,COUNTIF('История отказов'!$AU$5:AU287,'История отказов'!AU287)=1),283,""))</f>
        <v/>
      </c>
      <c r="DK284">
        <f>IF('История отказов'!AY287="","",IF(AND(COUNTIF($CR$2:$CR$2,'История отказов'!AY287)=0,COUNTIF('История отказов'!$AY$5:AY287,'История отказов'!AY287)=1),283,""))</f>
        <v/>
      </c>
      <c r="DL284">
        <f>IF(DB284="","",IF(AND(COUNTIF($DA$2:$DA$47,DB284)=0,COUNTIF($DB$2:DB284,DB284)=1),283,""))</f>
        <v/>
      </c>
    </row>
    <row r="285">
      <c r="A285" s="74" t="n"/>
      <c r="B285" s="75" t="n"/>
      <c r="C285" s="75" t="n"/>
      <c r="D285" s="75" t="n"/>
      <c r="E285" s="75" t="n"/>
      <c r="F285" s="75" t="n"/>
      <c r="G285" s="76" t="n"/>
      <c r="J285" s="62" t="n"/>
      <c r="K285" s="62" t="n"/>
      <c r="L285" s="62" t="n"/>
      <c r="M285" s="62" t="n"/>
      <c r="N285" s="62" t="n"/>
      <c r="Q285" t="inlineStr">
        <is>
          <t>ТКРС</t>
        </is>
      </c>
      <c r="R285" t="inlineStr">
        <is>
          <t>КР2-5 — Устранение не герметичности эксплуатационной колонны доворотом.</t>
        </is>
      </c>
      <c r="S285" t="inlineStr">
        <is>
          <t>Код и наименование из документа</t>
        </is>
      </c>
      <c r="T285" t="inlineStr">
        <is>
          <t>Классификатор ремонтных работ, РД 153-39.0-088-01</t>
        </is>
      </c>
      <c r="U285" t="inlineStr">
        <is>
          <t>Таблица 4.1; код КР2-5</t>
        </is>
      </c>
      <c r="V285" t="inlineStr">
        <is>
          <t>Все типы</t>
        </is>
      </c>
      <c r="DB285">
        <f>IF('История отказов'!AH288="","",'История отказов'!AH288)</f>
        <v/>
      </c>
      <c r="DC285">
        <f>IF('История отказов'!AE288="","",IF(AND(COUNTIF($CT$2:$CT$2,'История отказов'!AE288)=0,COUNTIFS('История отказов'!$F$5:F288,"ШГН",'История отказов'!$AE$5:AE288,'История отказов'!AE288)=1,'История отказов'!F288="ШГН"),284,""))</f>
        <v/>
      </c>
      <c r="DD285">
        <f>IF('История отказов'!AE288="","",IF(AND(COUNTIF($CU$2:$CU$3,'История отказов'!AE288)=0,COUNTIFS('История отказов'!$F$5:F288,"ЭЦН",'История отказов'!$AE$5:AE288,'История отказов'!AE288)=1,'История отказов'!F288="ЭЦН"),284,""))</f>
        <v/>
      </c>
      <c r="DE285">
        <f>IF('История отказов'!AE288="","",IF(AND(COUNTIF($CV$2:$CV$3,'История отказов'!AE288)=0,COUNTIFS('История отказов'!$F$5:F288,"ЭВН",'История отказов'!$AE$5:AE288,'История отказов'!AE288)=1,'История отказов'!F288="ЭВН"),284,""))</f>
        <v/>
      </c>
      <c r="DF285">
        <f>IF('История отказов'!AE288="","",IF(AND(COUNTIF($CX$2:$CX$2,'История отказов'!AE288)=0,COUNTIFS('История отказов'!$F$5:F288,"ШВН",'История отказов'!$AE$5:AE288,'История отказов'!AE288)=1,'История отказов'!F288="ШВН"),284,""))</f>
        <v/>
      </c>
      <c r="DG285">
        <f>IF('История отказов'!AE288="","",IF(AND(COUNTIF($CW$2:$CW$2,'История отказов'!AE288)=0,COUNTIFS('История отказов'!$F$5:F288,"НПУ-ВД",'История отказов'!$AE$5:AE288,'История отказов'!AE288)=1,'История отказов'!F288="НПУ-ВД"),284,""))</f>
        <v/>
      </c>
      <c r="DH285">
        <f>IF('История отказов'!AE288="","",IF(AND(COUNTIF($CY$2:$CY$6,'История отказов'!AE288)=0,COUNTIF('История отказов'!$AE$5:AE288,'История отказов'!AE288)=1),284,""))</f>
        <v/>
      </c>
      <c r="DI285">
        <f>IF('История отказов'!AK288="","",IF(AND(COUNTIF($CL$2:$CL$3,'История отказов'!AK288)=0,COUNTIF('История отказов'!$AK$5:AK288,'История отказов'!AK288)=1),284,""))</f>
        <v/>
      </c>
      <c r="DJ285">
        <f>IF('История отказов'!AU288="","",IF(AND(COUNTIF($CP$2:$CP$3,'История отказов'!AU288)=0,COUNTIF('История отказов'!$AU$5:AU288,'История отказов'!AU288)=1),284,""))</f>
        <v/>
      </c>
      <c r="DK285">
        <f>IF('История отказов'!AY288="","",IF(AND(COUNTIF($CR$2:$CR$2,'История отказов'!AY288)=0,COUNTIF('История отказов'!$AY$5:AY288,'История отказов'!AY288)=1),284,""))</f>
        <v/>
      </c>
      <c r="DL285">
        <f>IF(DB285="","",IF(AND(COUNTIF($DA$2:$DA$47,DB285)=0,COUNTIF($DB$2:DB285,DB285)=1),284,""))</f>
        <v/>
      </c>
    </row>
    <row r="286">
      <c r="A286" s="74" t="n"/>
      <c r="B286" s="75" t="n"/>
      <c r="C286" s="75" t="n"/>
      <c r="D286" s="75" t="n"/>
      <c r="E286" s="75" t="n"/>
      <c r="F286" s="75" t="n"/>
      <c r="G286" s="76" t="n"/>
      <c r="J286" s="62" t="n"/>
      <c r="K286" s="62" t="n"/>
      <c r="L286" s="62" t="n"/>
      <c r="M286" s="62" t="n"/>
      <c r="N286" s="62" t="n"/>
      <c r="Q286" t="inlineStr">
        <is>
          <t>ТКРС</t>
        </is>
      </c>
      <c r="R286" t="inlineStr">
        <is>
          <t>КР3-1 — Извлечение оборудования из скважины после аварии, допущенной в процессе эксплуатации.</t>
        </is>
      </c>
      <c r="S286" t="inlineStr">
        <is>
          <t>Код и наименование из документа</t>
        </is>
      </c>
      <c r="T286" t="inlineStr">
        <is>
          <t>Классификатор ремонтных работ, РД 153-39.0-088-01</t>
        </is>
      </c>
      <c r="U286" t="inlineStr">
        <is>
          <t>Таблица 4.1; код КР3-1</t>
        </is>
      </c>
      <c r="V286" t="inlineStr">
        <is>
          <t>Все типы</t>
        </is>
      </c>
      <c r="DB286">
        <f>IF('История отказов'!AH289="","",'История отказов'!AH289)</f>
        <v/>
      </c>
      <c r="DC286">
        <f>IF('История отказов'!AE289="","",IF(AND(COUNTIF($CT$2:$CT$2,'История отказов'!AE289)=0,COUNTIFS('История отказов'!$F$5:F289,"ШГН",'История отказов'!$AE$5:AE289,'История отказов'!AE289)=1,'История отказов'!F289="ШГН"),285,""))</f>
        <v/>
      </c>
      <c r="DD286">
        <f>IF('История отказов'!AE289="","",IF(AND(COUNTIF($CU$2:$CU$3,'История отказов'!AE289)=0,COUNTIFS('История отказов'!$F$5:F289,"ЭЦН",'История отказов'!$AE$5:AE289,'История отказов'!AE289)=1,'История отказов'!F289="ЭЦН"),285,""))</f>
        <v/>
      </c>
      <c r="DE286">
        <f>IF('История отказов'!AE289="","",IF(AND(COUNTIF($CV$2:$CV$3,'История отказов'!AE289)=0,COUNTIFS('История отказов'!$F$5:F289,"ЭВН",'История отказов'!$AE$5:AE289,'История отказов'!AE289)=1,'История отказов'!F289="ЭВН"),285,""))</f>
        <v/>
      </c>
      <c r="DF286">
        <f>IF('История отказов'!AE289="","",IF(AND(COUNTIF($CX$2:$CX$2,'История отказов'!AE289)=0,COUNTIFS('История отказов'!$F$5:F289,"ШВН",'История отказов'!$AE$5:AE289,'История отказов'!AE289)=1,'История отказов'!F289="ШВН"),285,""))</f>
        <v/>
      </c>
      <c r="DG286">
        <f>IF('История отказов'!AE289="","",IF(AND(COUNTIF($CW$2:$CW$2,'История отказов'!AE289)=0,COUNTIFS('История отказов'!$F$5:F289,"НПУ-ВД",'История отказов'!$AE$5:AE289,'История отказов'!AE289)=1,'История отказов'!F289="НПУ-ВД"),285,""))</f>
        <v/>
      </c>
      <c r="DH286">
        <f>IF('История отказов'!AE289="","",IF(AND(COUNTIF($CY$2:$CY$6,'История отказов'!AE289)=0,COUNTIF('История отказов'!$AE$5:AE289,'История отказов'!AE289)=1),285,""))</f>
        <v/>
      </c>
      <c r="DI286">
        <f>IF('История отказов'!AK289="","",IF(AND(COUNTIF($CL$2:$CL$3,'История отказов'!AK289)=0,COUNTIF('История отказов'!$AK$5:AK289,'История отказов'!AK289)=1),285,""))</f>
        <v/>
      </c>
      <c r="DJ286">
        <f>IF('История отказов'!AU289="","",IF(AND(COUNTIF($CP$2:$CP$3,'История отказов'!AU289)=0,COUNTIF('История отказов'!$AU$5:AU289,'История отказов'!AU289)=1),285,""))</f>
        <v/>
      </c>
      <c r="DK286">
        <f>IF('История отказов'!AY289="","",IF(AND(COUNTIF($CR$2:$CR$2,'История отказов'!AY289)=0,COUNTIF('История отказов'!$AY$5:AY289,'История отказов'!AY289)=1),285,""))</f>
        <v/>
      </c>
      <c r="DL286">
        <f>IF(DB286="","",IF(AND(COUNTIF($DA$2:$DA$47,DB286)=0,COUNTIF($DB$2:DB286,DB286)=1),285,""))</f>
        <v/>
      </c>
    </row>
    <row r="287">
      <c r="A287" s="74" t="n"/>
      <c r="B287" s="75" t="n"/>
      <c r="C287" s="75" t="n"/>
      <c r="D287" s="75" t="n"/>
      <c r="E287" s="75" t="n"/>
      <c r="F287" s="75" t="n"/>
      <c r="G287" s="76" t="n"/>
      <c r="J287" s="62" t="n"/>
      <c r="K287" s="62" t="n"/>
      <c r="L287" s="62" t="n"/>
      <c r="M287" s="62" t="n"/>
      <c r="N287" s="62" t="n"/>
      <c r="Q287" t="inlineStr">
        <is>
          <t>ТКРС</t>
        </is>
      </c>
      <c r="R287" t="inlineStr">
        <is>
          <t>КР3-1.1 — Извлечение оборудования УЭЦН из скважины после аварии, допущенной в процессе эксплуатации.</t>
        </is>
      </c>
      <c r="S287" t="inlineStr">
        <is>
          <t>Код и наименование из документа</t>
        </is>
      </c>
      <c r="T287" t="inlineStr">
        <is>
          <t>Классификатор ремонтных работ, РД 153-39.0-088-01</t>
        </is>
      </c>
      <c r="U287" t="inlineStr">
        <is>
          <t>Таблица 4.1; код КР3-1.1</t>
        </is>
      </c>
      <c r="V287" t="inlineStr">
        <is>
          <t>Все типы</t>
        </is>
      </c>
      <c r="DB287">
        <f>IF('История отказов'!AH290="","",'История отказов'!AH290)</f>
        <v/>
      </c>
      <c r="DC287">
        <f>IF('История отказов'!AE290="","",IF(AND(COUNTIF($CT$2:$CT$2,'История отказов'!AE290)=0,COUNTIFS('История отказов'!$F$5:F290,"ШГН",'История отказов'!$AE$5:AE290,'История отказов'!AE290)=1,'История отказов'!F290="ШГН"),286,""))</f>
        <v/>
      </c>
      <c r="DD287">
        <f>IF('История отказов'!AE290="","",IF(AND(COUNTIF($CU$2:$CU$3,'История отказов'!AE290)=0,COUNTIFS('История отказов'!$F$5:F290,"ЭЦН",'История отказов'!$AE$5:AE290,'История отказов'!AE290)=1,'История отказов'!F290="ЭЦН"),286,""))</f>
        <v/>
      </c>
      <c r="DE287">
        <f>IF('История отказов'!AE290="","",IF(AND(COUNTIF($CV$2:$CV$3,'История отказов'!AE290)=0,COUNTIFS('История отказов'!$F$5:F290,"ЭВН",'История отказов'!$AE$5:AE290,'История отказов'!AE290)=1,'История отказов'!F290="ЭВН"),286,""))</f>
        <v/>
      </c>
      <c r="DF287">
        <f>IF('История отказов'!AE290="","",IF(AND(COUNTIF($CX$2:$CX$2,'История отказов'!AE290)=0,COUNTIFS('История отказов'!$F$5:F290,"ШВН",'История отказов'!$AE$5:AE290,'История отказов'!AE290)=1,'История отказов'!F290="ШВН"),286,""))</f>
        <v/>
      </c>
      <c r="DG287">
        <f>IF('История отказов'!AE290="","",IF(AND(COUNTIF($CW$2:$CW$2,'История отказов'!AE290)=0,COUNTIFS('История отказов'!$F$5:F290,"НПУ-ВД",'История отказов'!$AE$5:AE290,'История отказов'!AE290)=1,'История отказов'!F290="НПУ-ВД"),286,""))</f>
        <v/>
      </c>
      <c r="DH287">
        <f>IF('История отказов'!AE290="","",IF(AND(COUNTIF($CY$2:$CY$6,'История отказов'!AE290)=0,COUNTIF('История отказов'!$AE$5:AE290,'История отказов'!AE290)=1),286,""))</f>
        <v/>
      </c>
      <c r="DI287">
        <f>IF('История отказов'!AK290="","",IF(AND(COUNTIF($CL$2:$CL$3,'История отказов'!AK290)=0,COUNTIF('История отказов'!$AK$5:AK290,'История отказов'!AK290)=1),286,""))</f>
        <v/>
      </c>
      <c r="DJ287">
        <f>IF('История отказов'!AU290="","",IF(AND(COUNTIF($CP$2:$CP$3,'История отказов'!AU290)=0,COUNTIF('История отказов'!$AU$5:AU290,'История отказов'!AU290)=1),286,""))</f>
        <v/>
      </c>
      <c r="DK287">
        <f>IF('История отказов'!AY290="","",IF(AND(COUNTIF($CR$2:$CR$2,'История отказов'!AY290)=0,COUNTIF('История отказов'!$AY$5:AY290,'История отказов'!AY290)=1),286,""))</f>
        <v/>
      </c>
      <c r="DL287">
        <f>IF(DB287="","",IF(AND(COUNTIF($DA$2:$DA$47,DB287)=0,COUNTIF($DB$2:DB287,DB287)=1),286,""))</f>
        <v/>
      </c>
    </row>
    <row r="288">
      <c r="A288" s="74" t="n"/>
      <c r="B288" s="75" t="n"/>
      <c r="C288" s="75" t="n"/>
      <c r="D288" s="75" t="n"/>
      <c r="E288" s="75" t="n"/>
      <c r="F288" s="75" t="n"/>
      <c r="G288" s="76" t="n"/>
      <c r="J288" s="62" t="n"/>
      <c r="K288" s="62" t="n"/>
      <c r="L288" s="62" t="n"/>
      <c r="M288" s="62" t="n"/>
      <c r="N288" s="62" t="n"/>
      <c r="Q288" t="inlineStr">
        <is>
          <t>ТКРС</t>
        </is>
      </c>
      <c r="R288" t="inlineStr">
        <is>
          <t>КР3-1.2 — То же УЭДН</t>
        </is>
      </c>
      <c r="S288" t="inlineStr">
        <is>
          <t>Код и наименование из документа</t>
        </is>
      </c>
      <c r="T288" t="inlineStr">
        <is>
          <t>Классификатор ремонтных работ, РД 153-39.0-088-01</t>
        </is>
      </c>
      <c r="U288" t="inlineStr">
        <is>
          <t>Таблица 4.1; код КР3-1.2</t>
        </is>
      </c>
      <c r="V288" t="inlineStr">
        <is>
          <t>Все типы</t>
        </is>
      </c>
      <c r="DB288">
        <f>IF('История отказов'!AH291="","",'История отказов'!AH291)</f>
        <v/>
      </c>
      <c r="DC288">
        <f>IF('История отказов'!AE291="","",IF(AND(COUNTIF($CT$2:$CT$2,'История отказов'!AE291)=0,COUNTIFS('История отказов'!$F$5:F291,"ШГН",'История отказов'!$AE$5:AE291,'История отказов'!AE291)=1,'История отказов'!F291="ШГН"),287,""))</f>
        <v/>
      </c>
      <c r="DD288">
        <f>IF('История отказов'!AE291="","",IF(AND(COUNTIF($CU$2:$CU$3,'История отказов'!AE291)=0,COUNTIFS('История отказов'!$F$5:F291,"ЭЦН",'История отказов'!$AE$5:AE291,'История отказов'!AE291)=1,'История отказов'!F291="ЭЦН"),287,""))</f>
        <v/>
      </c>
      <c r="DE288">
        <f>IF('История отказов'!AE291="","",IF(AND(COUNTIF($CV$2:$CV$3,'История отказов'!AE291)=0,COUNTIFS('История отказов'!$F$5:F291,"ЭВН",'История отказов'!$AE$5:AE291,'История отказов'!AE291)=1,'История отказов'!F291="ЭВН"),287,""))</f>
        <v/>
      </c>
      <c r="DF288">
        <f>IF('История отказов'!AE291="","",IF(AND(COUNTIF($CX$2:$CX$2,'История отказов'!AE291)=0,COUNTIFS('История отказов'!$F$5:F291,"ШВН",'История отказов'!$AE$5:AE291,'История отказов'!AE291)=1,'История отказов'!F291="ШВН"),287,""))</f>
        <v/>
      </c>
      <c r="DG288">
        <f>IF('История отказов'!AE291="","",IF(AND(COUNTIF($CW$2:$CW$2,'История отказов'!AE291)=0,COUNTIFS('История отказов'!$F$5:F291,"НПУ-ВД",'История отказов'!$AE$5:AE291,'История отказов'!AE291)=1,'История отказов'!F291="НПУ-ВД"),287,""))</f>
        <v/>
      </c>
      <c r="DH288">
        <f>IF('История отказов'!AE291="","",IF(AND(COUNTIF($CY$2:$CY$6,'История отказов'!AE291)=0,COUNTIF('История отказов'!$AE$5:AE291,'История отказов'!AE291)=1),287,""))</f>
        <v/>
      </c>
      <c r="DI288">
        <f>IF('История отказов'!AK291="","",IF(AND(COUNTIF($CL$2:$CL$3,'История отказов'!AK291)=0,COUNTIF('История отказов'!$AK$5:AK291,'История отказов'!AK291)=1),287,""))</f>
        <v/>
      </c>
      <c r="DJ288">
        <f>IF('История отказов'!AU291="","",IF(AND(COUNTIF($CP$2:$CP$3,'История отказов'!AU291)=0,COUNTIF('История отказов'!$AU$5:AU291,'История отказов'!AU291)=1),287,""))</f>
        <v/>
      </c>
      <c r="DK288">
        <f>IF('История отказов'!AY291="","",IF(AND(COUNTIF($CR$2:$CR$2,'История отказов'!AY291)=0,COUNTIF('История отказов'!$AY$5:AY291,'История отказов'!AY291)=1),287,""))</f>
        <v/>
      </c>
      <c r="DL288">
        <f>IF(DB288="","",IF(AND(COUNTIF($DA$2:$DA$47,DB288)=0,COUNTIF($DB$2:DB288,DB288)=1),287,""))</f>
        <v/>
      </c>
    </row>
    <row r="289">
      <c r="A289" s="74" t="n"/>
      <c r="B289" s="75" t="n"/>
      <c r="C289" s="75" t="n"/>
      <c r="D289" s="75" t="n"/>
      <c r="E289" s="75" t="n"/>
      <c r="F289" s="75" t="n"/>
      <c r="G289" s="76" t="n"/>
      <c r="J289" s="62" t="n"/>
      <c r="K289" s="62" t="n"/>
      <c r="L289" s="62" t="n"/>
      <c r="M289" s="62" t="n"/>
      <c r="N289" s="62" t="n"/>
      <c r="Q289" t="inlineStr">
        <is>
          <t>ТКРС</t>
        </is>
      </c>
      <c r="R289" t="inlineStr">
        <is>
          <t>КР3-1.3 — То же УЭВН.</t>
        </is>
      </c>
      <c r="S289" t="inlineStr">
        <is>
          <t>Код и наименование из документа</t>
        </is>
      </c>
      <c r="T289" t="inlineStr">
        <is>
          <t>Классификатор ремонтных работ, РД 153-39.0-088-01</t>
        </is>
      </c>
      <c r="U289" t="inlineStr">
        <is>
          <t>Таблица 4.1; код КР3-1.3</t>
        </is>
      </c>
      <c r="V289" t="inlineStr">
        <is>
          <t>Все типы</t>
        </is>
      </c>
      <c r="DB289">
        <f>IF('История отказов'!AH292="","",'История отказов'!AH292)</f>
        <v/>
      </c>
      <c r="DC289">
        <f>IF('История отказов'!AE292="","",IF(AND(COUNTIF($CT$2:$CT$2,'История отказов'!AE292)=0,COUNTIFS('История отказов'!$F$5:F292,"ШГН",'История отказов'!$AE$5:AE292,'История отказов'!AE292)=1,'История отказов'!F292="ШГН"),288,""))</f>
        <v/>
      </c>
      <c r="DD289">
        <f>IF('История отказов'!AE292="","",IF(AND(COUNTIF($CU$2:$CU$3,'История отказов'!AE292)=0,COUNTIFS('История отказов'!$F$5:F292,"ЭЦН",'История отказов'!$AE$5:AE292,'История отказов'!AE292)=1,'История отказов'!F292="ЭЦН"),288,""))</f>
        <v/>
      </c>
      <c r="DE289">
        <f>IF('История отказов'!AE292="","",IF(AND(COUNTIF($CV$2:$CV$3,'История отказов'!AE292)=0,COUNTIFS('История отказов'!$F$5:F292,"ЭВН",'История отказов'!$AE$5:AE292,'История отказов'!AE292)=1,'История отказов'!F292="ЭВН"),288,""))</f>
        <v/>
      </c>
      <c r="DF289">
        <f>IF('История отказов'!AE292="","",IF(AND(COUNTIF($CX$2:$CX$2,'История отказов'!AE292)=0,COUNTIFS('История отказов'!$F$5:F292,"ШВН",'История отказов'!$AE$5:AE292,'История отказов'!AE292)=1,'История отказов'!F292="ШВН"),288,""))</f>
        <v/>
      </c>
      <c r="DG289">
        <f>IF('История отказов'!AE292="","",IF(AND(COUNTIF($CW$2:$CW$2,'История отказов'!AE292)=0,COUNTIFS('История отказов'!$F$5:F292,"НПУ-ВД",'История отказов'!$AE$5:AE292,'История отказов'!AE292)=1,'История отказов'!F292="НПУ-ВД"),288,""))</f>
        <v/>
      </c>
      <c r="DH289">
        <f>IF('История отказов'!AE292="","",IF(AND(COUNTIF($CY$2:$CY$6,'История отказов'!AE292)=0,COUNTIF('История отказов'!$AE$5:AE292,'История отказов'!AE292)=1),288,""))</f>
        <v/>
      </c>
      <c r="DI289">
        <f>IF('История отказов'!AK292="","",IF(AND(COUNTIF($CL$2:$CL$3,'История отказов'!AK292)=0,COUNTIF('История отказов'!$AK$5:AK292,'История отказов'!AK292)=1),288,""))</f>
        <v/>
      </c>
      <c r="DJ289">
        <f>IF('История отказов'!AU292="","",IF(AND(COUNTIF($CP$2:$CP$3,'История отказов'!AU292)=0,COUNTIF('История отказов'!$AU$5:AU292,'История отказов'!AU292)=1),288,""))</f>
        <v/>
      </c>
      <c r="DK289">
        <f>IF('История отказов'!AY292="","",IF(AND(COUNTIF($CR$2:$CR$2,'История отказов'!AY292)=0,COUNTIF('История отказов'!$AY$5:AY292,'История отказов'!AY292)=1),288,""))</f>
        <v/>
      </c>
      <c r="DL289">
        <f>IF(DB289="","",IF(AND(COUNTIF($DA$2:$DA$47,DB289)=0,COUNTIF($DB$2:DB289,DB289)=1),288,""))</f>
        <v/>
      </c>
    </row>
    <row r="290">
      <c r="A290" s="74" t="n"/>
      <c r="B290" s="75" t="n"/>
      <c r="C290" s="75" t="n"/>
      <c r="D290" s="75" t="n"/>
      <c r="E290" s="75" t="n"/>
      <c r="F290" s="75" t="n"/>
      <c r="G290" s="76" t="n"/>
      <c r="J290" s="62" t="n"/>
      <c r="K290" s="62" t="n"/>
      <c r="L290" s="62" t="n"/>
      <c r="M290" s="62" t="n"/>
      <c r="N290" s="62" t="n"/>
      <c r="Q290" t="inlineStr">
        <is>
          <t>ТКРС</t>
        </is>
      </c>
      <c r="R290" t="inlineStr">
        <is>
          <t>КР3-1.4 — То же ШГН.</t>
        </is>
      </c>
      <c r="S290" t="inlineStr">
        <is>
          <t>Код и наименование из документа</t>
        </is>
      </c>
      <c r="T290" t="inlineStr">
        <is>
          <t>Классификатор ремонтных работ, РД 153-39.0-088-01</t>
        </is>
      </c>
      <c r="U290" t="inlineStr">
        <is>
          <t>Таблица 4.1; код КР3-1.4</t>
        </is>
      </c>
      <c r="V290" t="inlineStr">
        <is>
          <t>Все типы</t>
        </is>
      </c>
      <c r="DB290">
        <f>IF('История отказов'!AH293="","",'История отказов'!AH293)</f>
        <v/>
      </c>
      <c r="DC290">
        <f>IF('История отказов'!AE293="","",IF(AND(COUNTIF($CT$2:$CT$2,'История отказов'!AE293)=0,COUNTIFS('История отказов'!$F$5:F293,"ШГН",'История отказов'!$AE$5:AE293,'История отказов'!AE293)=1,'История отказов'!F293="ШГН"),289,""))</f>
        <v/>
      </c>
      <c r="DD290">
        <f>IF('История отказов'!AE293="","",IF(AND(COUNTIF($CU$2:$CU$3,'История отказов'!AE293)=0,COUNTIFS('История отказов'!$F$5:F293,"ЭЦН",'История отказов'!$AE$5:AE293,'История отказов'!AE293)=1,'История отказов'!F293="ЭЦН"),289,""))</f>
        <v/>
      </c>
      <c r="DE290">
        <f>IF('История отказов'!AE293="","",IF(AND(COUNTIF($CV$2:$CV$3,'История отказов'!AE293)=0,COUNTIFS('История отказов'!$F$5:F293,"ЭВН",'История отказов'!$AE$5:AE293,'История отказов'!AE293)=1,'История отказов'!F293="ЭВН"),289,""))</f>
        <v/>
      </c>
      <c r="DF290">
        <f>IF('История отказов'!AE293="","",IF(AND(COUNTIF($CX$2:$CX$2,'История отказов'!AE293)=0,COUNTIFS('История отказов'!$F$5:F293,"ШВН",'История отказов'!$AE$5:AE293,'История отказов'!AE293)=1,'История отказов'!F293="ШВН"),289,""))</f>
        <v/>
      </c>
      <c r="DG290">
        <f>IF('История отказов'!AE293="","",IF(AND(COUNTIF($CW$2:$CW$2,'История отказов'!AE293)=0,COUNTIFS('История отказов'!$F$5:F293,"НПУ-ВД",'История отказов'!$AE$5:AE293,'История отказов'!AE293)=1,'История отказов'!F293="НПУ-ВД"),289,""))</f>
        <v/>
      </c>
      <c r="DH290">
        <f>IF('История отказов'!AE293="","",IF(AND(COUNTIF($CY$2:$CY$6,'История отказов'!AE293)=0,COUNTIF('История отказов'!$AE$5:AE293,'История отказов'!AE293)=1),289,""))</f>
        <v/>
      </c>
      <c r="DI290">
        <f>IF('История отказов'!AK293="","",IF(AND(COUNTIF($CL$2:$CL$3,'История отказов'!AK293)=0,COUNTIF('История отказов'!$AK$5:AK293,'История отказов'!AK293)=1),289,""))</f>
        <v/>
      </c>
      <c r="DJ290">
        <f>IF('История отказов'!AU293="","",IF(AND(COUNTIF($CP$2:$CP$3,'История отказов'!AU293)=0,COUNTIF('История отказов'!$AU$5:AU293,'История отказов'!AU293)=1),289,""))</f>
        <v/>
      </c>
      <c r="DK290">
        <f>IF('История отказов'!AY293="","",IF(AND(COUNTIF($CR$2:$CR$2,'История отказов'!AY293)=0,COUNTIF('История отказов'!$AY$5:AY293,'История отказов'!AY293)=1),289,""))</f>
        <v/>
      </c>
      <c r="DL290">
        <f>IF(DB290="","",IF(AND(COUNTIF($DA$2:$DA$47,DB290)=0,COUNTIF($DB$2:DB290,DB290)=1),289,""))</f>
        <v/>
      </c>
    </row>
    <row r="291">
      <c r="A291" s="74" t="n"/>
      <c r="B291" s="75" t="n"/>
      <c r="C291" s="75" t="n"/>
      <c r="D291" s="75" t="n"/>
      <c r="E291" s="75" t="n"/>
      <c r="F291" s="75" t="n"/>
      <c r="G291" s="76" t="n"/>
      <c r="J291" s="62" t="n"/>
      <c r="K291" s="62" t="n"/>
      <c r="L291" s="62" t="n"/>
      <c r="M291" s="62" t="n"/>
      <c r="N291" s="62" t="n"/>
      <c r="Q291" t="inlineStr">
        <is>
          <t>ТКРС</t>
        </is>
      </c>
      <c r="R291" t="inlineStr">
        <is>
          <t>КР3-1.5 — То же УШВН</t>
        </is>
      </c>
      <c r="S291" t="inlineStr">
        <is>
          <t>Код и наименование из документа</t>
        </is>
      </c>
      <c r="T291" t="inlineStr">
        <is>
          <t>Классификатор ремонтных работ, РД 153-39.0-088-01</t>
        </is>
      </c>
      <c r="U291" t="inlineStr">
        <is>
          <t>Таблица 4.1; код КР3-1.5</t>
        </is>
      </c>
      <c r="V291" t="inlineStr">
        <is>
          <t>Все типы</t>
        </is>
      </c>
      <c r="DB291">
        <f>IF('История отказов'!AH294="","",'История отказов'!AH294)</f>
        <v/>
      </c>
      <c r="DC291">
        <f>IF('История отказов'!AE294="","",IF(AND(COUNTIF($CT$2:$CT$2,'История отказов'!AE294)=0,COUNTIFS('История отказов'!$F$5:F294,"ШГН",'История отказов'!$AE$5:AE294,'История отказов'!AE294)=1,'История отказов'!F294="ШГН"),290,""))</f>
        <v/>
      </c>
      <c r="DD291">
        <f>IF('История отказов'!AE294="","",IF(AND(COUNTIF($CU$2:$CU$3,'История отказов'!AE294)=0,COUNTIFS('История отказов'!$F$5:F294,"ЭЦН",'История отказов'!$AE$5:AE294,'История отказов'!AE294)=1,'История отказов'!F294="ЭЦН"),290,""))</f>
        <v/>
      </c>
      <c r="DE291">
        <f>IF('История отказов'!AE294="","",IF(AND(COUNTIF($CV$2:$CV$3,'История отказов'!AE294)=0,COUNTIFS('История отказов'!$F$5:F294,"ЭВН",'История отказов'!$AE$5:AE294,'История отказов'!AE294)=1,'История отказов'!F294="ЭВН"),290,""))</f>
        <v/>
      </c>
      <c r="DF291">
        <f>IF('История отказов'!AE294="","",IF(AND(COUNTIF($CX$2:$CX$2,'История отказов'!AE294)=0,COUNTIFS('История отказов'!$F$5:F294,"ШВН",'История отказов'!$AE$5:AE294,'История отказов'!AE294)=1,'История отказов'!F294="ШВН"),290,""))</f>
        <v/>
      </c>
      <c r="DG291">
        <f>IF('История отказов'!AE294="","",IF(AND(COUNTIF($CW$2:$CW$2,'История отказов'!AE294)=0,COUNTIFS('История отказов'!$F$5:F294,"НПУ-ВД",'История отказов'!$AE$5:AE294,'История отказов'!AE294)=1,'История отказов'!F294="НПУ-ВД"),290,""))</f>
        <v/>
      </c>
      <c r="DH291">
        <f>IF('История отказов'!AE294="","",IF(AND(COUNTIF($CY$2:$CY$6,'История отказов'!AE294)=0,COUNTIF('История отказов'!$AE$5:AE294,'История отказов'!AE294)=1),290,""))</f>
        <v/>
      </c>
      <c r="DI291">
        <f>IF('История отказов'!AK294="","",IF(AND(COUNTIF($CL$2:$CL$3,'История отказов'!AK294)=0,COUNTIF('История отказов'!$AK$5:AK294,'История отказов'!AK294)=1),290,""))</f>
        <v/>
      </c>
      <c r="DJ291">
        <f>IF('История отказов'!AU294="","",IF(AND(COUNTIF($CP$2:$CP$3,'История отказов'!AU294)=0,COUNTIF('История отказов'!$AU$5:AU294,'История отказов'!AU294)=1),290,""))</f>
        <v/>
      </c>
      <c r="DK291">
        <f>IF('История отказов'!AY294="","",IF(AND(COUNTIF($CR$2:$CR$2,'История отказов'!AY294)=0,COUNTIF('История отказов'!$AY$5:AY294,'История отказов'!AY294)=1),290,""))</f>
        <v/>
      </c>
      <c r="DL291">
        <f>IF(DB291="","",IF(AND(COUNTIF($DA$2:$DA$47,DB291)=0,COUNTIF($DB$2:DB291,DB291)=1),290,""))</f>
        <v/>
      </c>
    </row>
    <row r="292">
      <c r="A292" s="74" t="n"/>
      <c r="B292" s="75" t="n"/>
      <c r="C292" s="75" t="n"/>
      <c r="D292" s="75" t="n"/>
      <c r="E292" s="75" t="n"/>
      <c r="F292" s="75" t="n"/>
      <c r="G292" s="76" t="n"/>
      <c r="J292" s="62" t="n"/>
      <c r="K292" s="62" t="n"/>
      <c r="L292" s="62" t="n"/>
      <c r="M292" s="62" t="n"/>
      <c r="N292" s="62" t="n"/>
      <c r="Q292" t="inlineStr">
        <is>
          <t>ТКРС</t>
        </is>
      </c>
      <c r="R292" t="inlineStr">
        <is>
          <t>КР3-1.6 — То же НКТ</t>
        </is>
      </c>
      <c r="S292" t="inlineStr">
        <is>
          <t>Код и наименование из документа</t>
        </is>
      </c>
      <c r="T292" t="inlineStr">
        <is>
          <t>Классификатор ремонтных работ, РД 153-39.0-088-01</t>
        </is>
      </c>
      <c r="U292" t="inlineStr">
        <is>
          <t>Таблица 4.1; код КР3-1.6</t>
        </is>
      </c>
      <c r="V292" t="inlineStr">
        <is>
          <t>Все типы</t>
        </is>
      </c>
      <c r="DB292">
        <f>IF('История отказов'!AH295="","",'История отказов'!AH295)</f>
        <v/>
      </c>
      <c r="DC292">
        <f>IF('История отказов'!AE295="","",IF(AND(COUNTIF($CT$2:$CT$2,'История отказов'!AE295)=0,COUNTIFS('История отказов'!$F$5:F295,"ШГН",'История отказов'!$AE$5:AE295,'История отказов'!AE295)=1,'История отказов'!F295="ШГН"),291,""))</f>
        <v/>
      </c>
      <c r="DD292">
        <f>IF('История отказов'!AE295="","",IF(AND(COUNTIF($CU$2:$CU$3,'История отказов'!AE295)=0,COUNTIFS('История отказов'!$F$5:F295,"ЭЦН",'История отказов'!$AE$5:AE295,'История отказов'!AE295)=1,'История отказов'!F295="ЭЦН"),291,""))</f>
        <v/>
      </c>
      <c r="DE292">
        <f>IF('История отказов'!AE295="","",IF(AND(COUNTIF($CV$2:$CV$3,'История отказов'!AE295)=0,COUNTIFS('История отказов'!$F$5:F295,"ЭВН",'История отказов'!$AE$5:AE295,'История отказов'!AE295)=1,'История отказов'!F295="ЭВН"),291,""))</f>
        <v/>
      </c>
      <c r="DF292">
        <f>IF('История отказов'!AE295="","",IF(AND(COUNTIF($CX$2:$CX$2,'История отказов'!AE295)=0,COUNTIFS('История отказов'!$F$5:F295,"ШВН",'История отказов'!$AE$5:AE295,'История отказов'!AE295)=1,'История отказов'!F295="ШВН"),291,""))</f>
        <v/>
      </c>
      <c r="DG292">
        <f>IF('История отказов'!AE295="","",IF(AND(COUNTIF($CW$2:$CW$2,'История отказов'!AE295)=0,COUNTIFS('История отказов'!$F$5:F295,"НПУ-ВД",'История отказов'!$AE$5:AE295,'История отказов'!AE295)=1,'История отказов'!F295="НПУ-ВД"),291,""))</f>
        <v/>
      </c>
      <c r="DH292">
        <f>IF('История отказов'!AE295="","",IF(AND(COUNTIF($CY$2:$CY$6,'История отказов'!AE295)=0,COUNTIF('История отказов'!$AE$5:AE295,'История отказов'!AE295)=1),291,""))</f>
        <v/>
      </c>
      <c r="DI292">
        <f>IF('История отказов'!AK295="","",IF(AND(COUNTIF($CL$2:$CL$3,'История отказов'!AK295)=0,COUNTIF('История отказов'!$AK$5:AK295,'История отказов'!AK295)=1),291,""))</f>
        <v/>
      </c>
      <c r="DJ292">
        <f>IF('История отказов'!AU295="","",IF(AND(COUNTIF($CP$2:$CP$3,'История отказов'!AU295)=0,COUNTIF('История отказов'!$AU$5:AU295,'История отказов'!AU295)=1),291,""))</f>
        <v/>
      </c>
      <c r="DK292">
        <f>IF('История отказов'!AY295="","",IF(AND(COUNTIF($CR$2:$CR$2,'История отказов'!AY295)=0,COUNTIF('История отказов'!$AY$5:AY295,'История отказов'!AY295)=1),291,""))</f>
        <v/>
      </c>
      <c r="DL292">
        <f>IF(DB292="","",IF(AND(COUNTIF($DA$2:$DA$47,DB292)=0,COUNTIF($DB$2:DB292,DB292)=1),291,""))</f>
        <v/>
      </c>
    </row>
    <row r="293">
      <c r="A293" s="74" t="n"/>
      <c r="B293" s="75" t="n"/>
      <c r="C293" s="75" t="n"/>
      <c r="D293" s="75" t="n"/>
      <c r="E293" s="75" t="n"/>
      <c r="F293" s="75" t="n"/>
      <c r="G293" s="76" t="n"/>
      <c r="J293" s="62" t="n"/>
      <c r="K293" s="62" t="n"/>
      <c r="L293" s="62" t="n"/>
      <c r="M293" s="62" t="n"/>
      <c r="N293" s="62" t="n"/>
      <c r="Q293" t="inlineStr">
        <is>
          <t>ТКРС</t>
        </is>
      </c>
      <c r="R293" t="inlineStr">
        <is>
          <t>КР3-1.7 — То же пакера.</t>
        </is>
      </c>
      <c r="S293" t="inlineStr">
        <is>
          <t>Код и наименование из документа</t>
        </is>
      </c>
      <c r="T293" t="inlineStr">
        <is>
          <t>Классификатор ремонтных работ, РД 153-39.0-088-01</t>
        </is>
      </c>
      <c r="U293" t="inlineStr">
        <is>
          <t>Таблица 4.1; код КР3-1.7</t>
        </is>
      </c>
      <c r="V293" t="inlineStr">
        <is>
          <t>Все типы</t>
        </is>
      </c>
      <c r="DB293">
        <f>IF('История отказов'!AH296="","",'История отказов'!AH296)</f>
        <v/>
      </c>
      <c r="DC293">
        <f>IF('История отказов'!AE296="","",IF(AND(COUNTIF($CT$2:$CT$2,'История отказов'!AE296)=0,COUNTIFS('История отказов'!$F$5:F296,"ШГН",'История отказов'!$AE$5:AE296,'История отказов'!AE296)=1,'История отказов'!F296="ШГН"),292,""))</f>
        <v/>
      </c>
      <c r="DD293">
        <f>IF('История отказов'!AE296="","",IF(AND(COUNTIF($CU$2:$CU$3,'История отказов'!AE296)=0,COUNTIFS('История отказов'!$F$5:F296,"ЭЦН",'История отказов'!$AE$5:AE296,'История отказов'!AE296)=1,'История отказов'!F296="ЭЦН"),292,""))</f>
        <v/>
      </c>
      <c r="DE293">
        <f>IF('История отказов'!AE296="","",IF(AND(COUNTIF($CV$2:$CV$3,'История отказов'!AE296)=0,COUNTIFS('История отказов'!$F$5:F296,"ЭВН",'История отказов'!$AE$5:AE296,'История отказов'!AE296)=1,'История отказов'!F296="ЭВН"),292,""))</f>
        <v/>
      </c>
      <c r="DF293">
        <f>IF('История отказов'!AE296="","",IF(AND(COUNTIF($CX$2:$CX$2,'История отказов'!AE296)=0,COUNTIFS('История отказов'!$F$5:F296,"ШВН",'История отказов'!$AE$5:AE296,'История отказов'!AE296)=1,'История отказов'!F296="ШВН"),292,""))</f>
        <v/>
      </c>
      <c r="DG293">
        <f>IF('История отказов'!AE296="","",IF(AND(COUNTIF($CW$2:$CW$2,'История отказов'!AE296)=0,COUNTIFS('История отказов'!$F$5:F296,"НПУ-ВД",'История отказов'!$AE$5:AE296,'История отказов'!AE296)=1,'История отказов'!F296="НПУ-ВД"),292,""))</f>
        <v/>
      </c>
      <c r="DH293">
        <f>IF('История отказов'!AE296="","",IF(AND(COUNTIF($CY$2:$CY$6,'История отказов'!AE296)=0,COUNTIF('История отказов'!$AE$5:AE296,'История отказов'!AE296)=1),292,""))</f>
        <v/>
      </c>
      <c r="DI293">
        <f>IF('История отказов'!AK296="","",IF(AND(COUNTIF($CL$2:$CL$3,'История отказов'!AK296)=0,COUNTIF('История отказов'!$AK$5:AK296,'История отказов'!AK296)=1),292,""))</f>
        <v/>
      </c>
      <c r="DJ293">
        <f>IF('История отказов'!AU296="","",IF(AND(COUNTIF($CP$2:$CP$3,'История отказов'!AU296)=0,COUNTIF('История отказов'!$AU$5:AU296,'История отказов'!AU296)=1),292,""))</f>
        <v/>
      </c>
      <c r="DK293">
        <f>IF('История отказов'!AY296="","",IF(AND(COUNTIF($CR$2:$CR$2,'История отказов'!AY296)=0,COUNTIF('История отказов'!$AY$5:AY296,'История отказов'!AY296)=1),292,""))</f>
        <v/>
      </c>
      <c r="DL293">
        <f>IF(DB293="","",IF(AND(COUNTIF($DA$2:$DA$47,DB293)=0,COUNTIF($DB$2:DB293,DB293)=1),292,""))</f>
        <v/>
      </c>
    </row>
    <row r="294">
      <c r="A294" s="74" t="n"/>
      <c r="B294" s="75" t="n"/>
      <c r="C294" s="75" t="n"/>
      <c r="D294" s="75" t="n"/>
      <c r="E294" s="75" t="n"/>
      <c r="F294" s="75" t="n"/>
      <c r="G294" s="76" t="n"/>
      <c r="J294" s="62" t="n"/>
      <c r="K294" s="62" t="n"/>
      <c r="L294" s="62" t="n"/>
      <c r="M294" s="62" t="n"/>
      <c r="N294" s="62" t="n"/>
      <c r="Q294" t="inlineStr">
        <is>
          <t>ТКРС</t>
        </is>
      </c>
      <c r="R294" t="inlineStr">
        <is>
          <t>КР3-1.8 — Ликвидация аварии из-за коррозионного износа НКТ.</t>
        </is>
      </c>
      <c r="S294" t="inlineStr">
        <is>
          <t>Код и наименование из документа</t>
        </is>
      </c>
      <c r="T294" t="inlineStr">
        <is>
          <t>Классификатор ремонтных работ, РД 153-39.0-088-01</t>
        </is>
      </c>
      <c r="U294" t="inlineStr">
        <is>
          <t>Таблица 4.1; код КР3-1.8</t>
        </is>
      </c>
      <c r="V294" t="inlineStr">
        <is>
          <t>Все типы</t>
        </is>
      </c>
      <c r="DB294">
        <f>IF('История отказов'!AH297="","",'История отказов'!AH297)</f>
        <v/>
      </c>
      <c r="DC294">
        <f>IF('История отказов'!AE297="","",IF(AND(COUNTIF($CT$2:$CT$2,'История отказов'!AE297)=0,COUNTIFS('История отказов'!$F$5:F297,"ШГН",'История отказов'!$AE$5:AE297,'История отказов'!AE297)=1,'История отказов'!F297="ШГН"),293,""))</f>
        <v/>
      </c>
      <c r="DD294">
        <f>IF('История отказов'!AE297="","",IF(AND(COUNTIF($CU$2:$CU$3,'История отказов'!AE297)=0,COUNTIFS('История отказов'!$F$5:F297,"ЭЦН",'История отказов'!$AE$5:AE297,'История отказов'!AE297)=1,'История отказов'!F297="ЭЦН"),293,""))</f>
        <v/>
      </c>
      <c r="DE294">
        <f>IF('История отказов'!AE297="","",IF(AND(COUNTIF($CV$2:$CV$3,'История отказов'!AE297)=0,COUNTIFS('История отказов'!$F$5:F297,"ЭВН",'История отказов'!$AE$5:AE297,'История отказов'!AE297)=1,'История отказов'!F297="ЭВН"),293,""))</f>
        <v/>
      </c>
      <c r="DF294">
        <f>IF('История отказов'!AE297="","",IF(AND(COUNTIF($CX$2:$CX$2,'История отказов'!AE297)=0,COUNTIFS('История отказов'!$F$5:F297,"ШВН",'История отказов'!$AE$5:AE297,'История отказов'!AE297)=1,'История отказов'!F297="ШВН"),293,""))</f>
        <v/>
      </c>
      <c r="DG294">
        <f>IF('История отказов'!AE297="","",IF(AND(COUNTIF($CW$2:$CW$2,'История отказов'!AE297)=0,COUNTIFS('История отказов'!$F$5:F297,"НПУ-ВД",'История отказов'!$AE$5:AE297,'История отказов'!AE297)=1,'История отказов'!F297="НПУ-ВД"),293,""))</f>
        <v/>
      </c>
      <c r="DH294">
        <f>IF('История отказов'!AE297="","",IF(AND(COUNTIF($CY$2:$CY$6,'История отказов'!AE297)=0,COUNTIF('История отказов'!$AE$5:AE297,'История отказов'!AE297)=1),293,""))</f>
        <v/>
      </c>
      <c r="DI294">
        <f>IF('История отказов'!AK297="","",IF(AND(COUNTIF($CL$2:$CL$3,'История отказов'!AK297)=0,COUNTIF('История отказов'!$AK$5:AK297,'История отказов'!AK297)=1),293,""))</f>
        <v/>
      </c>
      <c r="DJ294">
        <f>IF('История отказов'!AU297="","",IF(AND(COUNTIF($CP$2:$CP$3,'История отказов'!AU297)=0,COUNTIF('История отказов'!$AU$5:AU297,'История отказов'!AU297)=1),293,""))</f>
        <v/>
      </c>
      <c r="DK294">
        <f>IF('История отказов'!AY297="","",IF(AND(COUNTIF($CR$2:$CR$2,'История отказов'!AY297)=0,COUNTIF('История отказов'!$AY$5:AY297,'История отказов'!AY297)=1),293,""))</f>
        <v/>
      </c>
      <c r="DL294">
        <f>IF(DB294="","",IF(AND(COUNTIF($DA$2:$DA$47,DB294)=0,COUNTIF($DB$2:DB294,DB294)=1),293,""))</f>
        <v/>
      </c>
    </row>
    <row r="295">
      <c r="A295" s="74" t="n"/>
      <c r="B295" s="75" t="n"/>
      <c r="C295" s="75" t="n"/>
      <c r="D295" s="75" t="n"/>
      <c r="E295" s="75" t="n"/>
      <c r="F295" s="75" t="n"/>
      <c r="G295" s="76" t="n"/>
      <c r="J295" s="62" t="n"/>
      <c r="K295" s="62" t="n"/>
      <c r="L295" s="62" t="n"/>
      <c r="M295" s="62" t="n"/>
      <c r="N295" s="62" t="n"/>
      <c r="Q295" t="inlineStr">
        <is>
          <t>ТКРС</t>
        </is>
      </c>
      <c r="R295" t="inlineStr">
        <is>
          <t>КР3-1.9 — Очистка забоя и ствола скважины от посторонних предметов.</t>
        </is>
      </c>
      <c r="S295" t="inlineStr">
        <is>
          <t>Код и наименование из документа</t>
        </is>
      </c>
      <c r="T295" t="inlineStr">
        <is>
          <t>Классификатор ремонтных работ, РД 153-39.0-088-01</t>
        </is>
      </c>
      <c r="U295" t="inlineStr">
        <is>
          <t>Таблица 4.1; код КР3-1.9</t>
        </is>
      </c>
      <c r="V295" t="inlineStr">
        <is>
          <t>Все типы</t>
        </is>
      </c>
      <c r="DB295">
        <f>IF('История отказов'!AH298="","",'История отказов'!AH298)</f>
        <v/>
      </c>
      <c r="DC295">
        <f>IF('История отказов'!AE298="","",IF(AND(COUNTIF($CT$2:$CT$2,'История отказов'!AE298)=0,COUNTIFS('История отказов'!$F$5:F298,"ШГН",'История отказов'!$AE$5:AE298,'История отказов'!AE298)=1,'История отказов'!F298="ШГН"),294,""))</f>
        <v/>
      </c>
      <c r="DD295">
        <f>IF('История отказов'!AE298="","",IF(AND(COUNTIF($CU$2:$CU$3,'История отказов'!AE298)=0,COUNTIFS('История отказов'!$F$5:F298,"ЭЦН",'История отказов'!$AE$5:AE298,'История отказов'!AE298)=1,'История отказов'!F298="ЭЦН"),294,""))</f>
        <v/>
      </c>
      <c r="DE295">
        <f>IF('История отказов'!AE298="","",IF(AND(COUNTIF($CV$2:$CV$3,'История отказов'!AE298)=0,COUNTIFS('История отказов'!$F$5:F298,"ЭВН",'История отказов'!$AE$5:AE298,'История отказов'!AE298)=1,'История отказов'!F298="ЭВН"),294,""))</f>
        <v/>
      </c>
      <c r="DF295">
        <f>IF('История отказов'!AE298="","",IF(AND(COUNTIF($CX$2:$CX$2,'История отказов'!AE298)=0,COUNTIFS('История отказов'!$F$5:F298,"ШВН",'История отказов'!$AE$5:AE298,'История отказов'!AE298)=1,'История отказов'!F298="ШВН"),294,""))</f>
        <v/>
      </c>
      <c r="DG295">
        <f>IF('История отказов'!AE298="","",IF(AND(COUNTIF($CW$2:$CW$2,'История отказов'!AE298)=0,COUNTIFS('История отказов'!$F$5:F298,"НПУ-ВД",'История отказов'!$AE$5:AE298,'История отказов'!AE298)=1,'История отказов'!F298="НПУ-ВД"),294,""))</f>
        <v/>
      </c>
      <c r="DH295">
        <f>IF('История отказов'!AE298="","",IF(AND(COUNTIF($CY$2:$CY$6,'История отказов'!AE298)=0,COUNTIF('История отказов'!$AE$5:AE298,'История отказов'!AE298)=1),294,""))</f>
        <v/>
      </c>
      <c r="DI295">
        <f>IF('История отказов'!AK298="","",IF(AND(COUNTIF($CL$2:$CL$3,'История отказов'!AK298)=0,COUNTIF('История отказов'!$AK$5:AK298,'История отказов'!AK298)=1),294,""))</f>
        <v/>
      </c>
      <c r="DJ295">
        <f>IF('История отказов'!AU298="","",IF(AND(COUNTIF($CP$2:$CP$3,'История отказов'!AU298)=0,COUNTIF('История отказов'!$AU$5:AU298,'История отказов'!AU298)=1),294,""))</f>
        <v/>
      </c>
      <c r="DK295">
        <f>IF('История отказов'!AY298="","",IF(AND(COUNTIF($CR$2:$CR$2,'История отказов'!AY298)=0,COUNTIF('История отказов'!$AY$5:AY298,'История отказов'!AY298)=1),294,""))</f>
        <v/>
      </c>
      <c r="DL295">
        <f>IF(DB295="","",IF(AND(COUNTIF($DA$2:$DA$47,DB295)=0,COUNTIF($DB$2:DB295,DB295)=1),294,""))</f>
        <v/>
      </c>
    </row>
    <row r="296">
      <c r="A296" s="74" t="n"/>
      <c r="B296" s="75" t="n"/>
      <c r="C296" s="75" t="n"/>
      <c r="D296" s="75" t="n"/>
      <c r="E296" s="75" t="n"/>
      <c r="F296" s="75" t="n"/>
      <c r="G296" s="76" t="n"/>
      <c r="J296" s="62" t="n"/>
      <c r="K296" s="62" t="n"/>
      <c r="L296" s="62" t="n"/>
      <c r="M296" s="62" t="n"/>
      <c r="N296" s="62" t="n"/>
      <c r="Q296" t="inlineStr">
        <is>
          <t>ТКРС</t>
        </is>
      </c>
      <c r="R296" t="inlineStr">
        <is>
          <t>КР3-1.10 — Ревизия и замена глубинного оборудования.</t>
        </is>
      </c>
      <c r="S296" t="inlineStr">
        <is>
          <t>Код и наименование из документа</t>
        </is>
      </c>
      <c r="T296" t="inlineStr">
        <is>
          <t>Классификатор ремонтных работ, РД 153-39.0-088-01</t>
        </is>
      </c>
      <c r="U296" t="inlineStr">
        <is>
          <t>Таблица 4.1; код КР3-1.10</t>
        </is>
      </c>
      <c r="V296" t="inlineStr">
        <is>
          <t>Все типы</t>
        </is>
      </c>
      <c r="DB296">
        <f>IF('История отказов'!AH299="","",'История отказов'!AH299)</f>
        <v/>
      </c>
      <c r="DC296">
        <f>IF('История отказов'!AE299="","",IF(AND(COUNTIF($CT$2:$CT$2,'История отказов'!AE299)=0,COUNTIFS('История отказов'!$F$5:F299,"ШГН",'История отказов'!$AE$5:AE299,'История отказов'!AE299)=1,'История отказов'!F299="ШГН"),295,""))</f>
        <v/>
      </c>
      <c r="DD296">
        <f>IF('История отказов'!AE299="","",IF(AND(COUNTIF($CU$2:$CU$3,'История отказов'!AE299)=0,COUNTIFS('История отказов'!$F$5:F299,"ЭЦН",'История отказов'!$AE$5:AE299,'История отказов'!AE299)=1,'История отказов'!F299="ЭЦН"),295,""))</f>
        <v/>
      </c>
      <c r="DE296">
        <f>IF('История отказов'!AE299="","",IF(AND(COUNTIF($CV$2:$CV$3,'История отказов'!AE299)=0,COUNTIFS('История отказов'!$F$5:F299,"ЭВН",'История отказов'!$AE$5:AE299,'История отказов'!AE299)=1,'История отказов'!F299="ЭВН"),295,""))</f>
        <v/>
      </c>
      <c r="DF296">
        <f>IF('История отказов'!AE299="","",IF(AND(COUNTIF($CX$2:$CX$2,'История отказов'!AE299)=0,COUNTIFS('История отказов'!$F$5:F299,"ШВН",'История отказов'!$AE$5:AE299,'История отказов'!AE299)=1,'История отказов'!F299="ШВН"),295,""))</f>
        <v/>
      </c>
      <c r="DG296">
        <f>IF('История отказов'!AE299="","",IF(AND(COUNTIF($CW$2:$CW$2,'История отказов'!AE299)=0,COUNTIFS('История отказов'!$F$5:F299,"НПУ-ВД",'История отказов'!$AE$5:AE299,'История отказов'!AE299)=1,'История отказов'!F299="НПУ-ВД"),295,""))</f>
        <v/>
      </c>
      <c r="DH296">
        <f>IF('История отказов'!AE299="","",IF(AND(COUNTIF($CY$2:$CY$6,'История отказов'!AE299)=0,COUNTIF('История отказов'!$AE$5:AE299,'История отказов'!AE299)=1),295,""))</f>
        <v/>
      </c>
      <c r="DI296">
        <f>IF('История отказов'!AK299="","",IF(AND(COUNTIF($CL$2:$CL$3,'История отказов'!AK299)=0,COUNTIF('История отказов'!$AK$5:AK299,'История отказов'!AK299)=1),295,""))</f>
        <v/>
      </c>
      <c r="DJ296">
        <f>IF('История отказов'!AU299="","",IF(AND(COUNTIF($CP$2:$CP$3,'История отказов'!AU299)=0,COUNTIF('История отказов'!$AU$5:AU299,'История отказов'!AU299)=1),295,""))</f>
        <v/>
      </c>
      <c r="DK296">
        <f>IF('История отказов'!AY299="","",IF(AND(COUNTIF($CR$2:$CR$2,'История отказов'!AY299)=0,COUNTIF('История отказов'!$AY$5:AY299,'История отказов'!AY299)=1),295,""))</f>
        <v/>
      </c>
      <c r="DL296">
        <f>IF(DB296="","",IF(AND(COUNTIF($DA$2:$DA$47,DB296)=0,COUNTIF($DB$2:DB296,DB296)=1),295,""))</f>
        <v/>
      </c>
    </row>
    <row r="297">
      <c r="A297" s="74" t="n"/>
      <c r="B297" s="75" t="n"/>
      <c r="C297" s="75" t="n"/>
      <c r="D297" s="75" t="n"/>
      <c r="E297" s="75" t="n"/>
      <c r="F297" s="75" t="n"/>
      <c r="G297" s="76" t="n"/>
      <c r="J297" s="62" t="n"/>
      <c r="K297" s="62" t="n"/>
      <c r="L297" s="62" t="n"/>
      <c r="M297" s="62" t="n"/>
      <c r="N297" s="62" t="n"/>
      <c r="Q297" t="inlineStr">
        <is>
          <t>ТКРС</t>
        </is>
      </c>
      <c r="R297" t="inlineStr">
        <is>
          <t>КР3-1.11 — Замена устьевого оборудования.</t>
        </is>
      </c>
      <c r="S297" t="inlineStr">
        <is>
          <t>Код и наименование из документа</t>
        </is>
      </c>
      <c r="T297" t="inlineStr">
        <is>
          <t>Классификатор ремонтных работ, РД 153-39.0-088-01</t>
        </is>
      </c>
      <c r="U297" t="inlineStr">
        <is>
          <t>Таблица 4.1; код КР3-1.11</t>
        </is>
      </c>
      <c r="V297" t="inlineStr">
        <is>
          <t>Все типы</t>
        </is>
      </c>
      <c r="DB297">
        <f>IF('История отказов'!AH300="","",'История отказов'!AH300)</f>
        <v/>
      </c>
      <c r="DC297">
        <f>IF('История отказов'!AE300="","",IF(AND(COUNTIF($CT$2:$CT$2,'История отказов'!AE300)=0,COUNTIFS('История отказов'!$F$5:F300,"ШГН",'История отказов'!$AE$5:AE300,'История отказов'!AE300)=1,'История отказов'!F300="ШГН"),296,""))</f>
        <v/>
      </c>
      <c r="DD297">
        <f>IF('История отказов'!AE300="","",IF(AND(COUNTIF($CU$2:$CU$3,'История отказов'!AE300)=0,COUNTIFS('История отказов'!$F$5:F300,"ЭЦН",'История отказов'!$AE$5:AE300,'История отказов'!AE300)=1,'История отказов'!F300="ЭЦН"),296,""))</f>
        <v/>
      </c>
      <c r="DE297">
        <f>IF('История отказов'!AE300="","",IF(AND(COUNTIF($CV$2:$CV$3,'История отказов'!AE300)=0,COUNTIFS('История отказов'!$F$5:F300,"ЭВН",'История отказов'!$AE$5:AE300,'История отказов'!AE300)=1,'История отказов'!F300="ЭВН"),296,""))</f>
        <v/>
      </c>
      <c r="DF297">
        <f>IF('История отказов'!AE300="","",IF(AND(COUNTIF($CX$2:$CX$2,'История отказов'!AE300)=0,COUNTIFS('История отказов'!$F$5:F300,"ШВН",'История отказов'!$AE$5:AE300,'История отказов'!AE300)=1,'История отказов'!F300="ШВН"),296,""))</f>
        <v/>
      </c>
      <c r="DG297">
        <f>IF('История отказов'!AE300="","",IF(AND(COUNTIF($CW$2:$CW$2,'История отказов'!AE300)=0,COUNTIFS('История отказов'!$F$5:F300,"НПУ-ВД",'История отказов'!$AE$5:AE300,'История отказов'!AE300)=1,'История отказов'!F300="НПУ-ВД"),296,""))</f>
        <v/>
      </c>
      <c r="DH297">
        <f>IF('История отказов'!AE300="","",IF(AND(COUNTIF($CY$2:$CY$6,'История отказов'!AE300)=0,COUNTIF('История отказов'!$AE$5:AE300,'История отказов'!AE300)=1),296,""))</f>
        <v/>
      </c>
      <c r="DI297">
        <f>IF('История отказов'!AK300="","",IF(AND(COUNTIF($CL$2:$CL$3,'История отказов'!AK300)=0,COUNTIF('История отказов'!$AK$5:AK300,'История отказов'!AK300)=1),296,""))</f>
        <v/>
      </c>
      <c r="DJ297">
        <f>IF('История отказов'!AU300="","",IF(AND(COUNTIF($CP$2:$CP$3,'История отказов'!AU300)=0,COUNTIF('История отказов'!$AU$5:AU300,'История отказов'!AU300)=1),296,""))</f>
        <v/>
      </c>
      <c r="DK297">
        <f>IF('История отказов'!AY300="","",IF(AND(COUNTIF($CR$2:$CR$2,'История отказов'!AY300)=0,COUNTIF('История отказов'!$AY$5:AY300,'История отказов'!AY300)=1),296,""))</f>
        <v/>
      </c>
      <c r="DL297">
        <f>IF(DB297="","",IF(AND(COUNTIF($DA$2:$DA$47,DB297)=0,COUNTIF($DB$2:DB297,DB297)=1),296,""))</f>
        <v/>
      </c>
    </row>
    <row r="298">
      <c r="A298" s="74" t="n"/>
      <c r="B298" s="75" t="n"/>
      <c r="C298" s="75" t="n"/>
      <c r="D298" s="75" t="n"/>
      <c r="E298" s="75" t="n"/>
      <c r="F298" s="75" t="n"/>
      <c r="G298" s="76" t="n"/>
      <c r="J298" s="62" t="n"/>
      <c r="K298" s="62" t="n"/>
      <c r="L298" s="62" t="n"/>
      <c r="M298" s="62" t="n"/>
      <c r="N298" s="62" t="n"/>
      <c r="Q298" t="inlineStr">
        <is>
          <t>ТКРС</t>
        </is>
      </c>
      <c r="R298" t="inlineStr">
        <is>
          <t>КР3-1.13 — То же ШГН (УШВН).</t>
        </is>
      </c>
      <c r="S298" t="inlineStr">
        <is>
          <t>Код и наименование из документа</t>
        </is>
      </c>
      <c r="T298" t="inlineStr">
        <is>
          <t>Классификатор ремонтных работ, РД 153-39.0-088-01</t>
        </is>
      </c>
      <c r="U298" t="inlineStr">
        <is>
          <t>Таблица 4.1; код КР3-1.13</t>
        </is>
      </c>
      <c r="V298" t="inlineStr">
        <is>
          <t>Все типы</t>
        </is>
      </c>
      <c r="DB298">
        <f>IF('История отказов'!AH301="","",'История отказов'!AH301)</f>
        <v/>
      </c>
      <c r="DC298">
        <f>IF('История отказов'!AE301="","",IF(AND(COUNTIF($CT$2:$CT$2,'История отказов'!AE301)=0,COUNTIFS('История отказов'!$F$5:F301,"ШГН",'История отказов'!$AE$5:AE301,'История отказов'!AE301)=1,'История отказов'!F301="ШГН"),297,""))</f>
        <v/>
      </c>
      <c r="DD298">
        <f>IF('История отказов'!AE301="","",IF(AND(COUNTIF($CU$2:$CU$3,'История отказов'!AE301)=0,COUNTIFS('История отказов'!$F$5:F301,"ЭЦН",'История отказов'!$AE$5:AE301,'История отказов'!AE301)=1,'История отказов'!F301="ЭЦН"),297,""))</f>
        <v/>
      </c>
      <c r="DE298">
        <f>IF('История отказов'!AE301="","",IF(AND(COUNTIF($CV$2:$CV$3,'История отказов'!AE301)=0,COUNTIFS('История отказов'!$F$5:F301,"ЭВН",'История отказов'!$AE$5:AE301,'История отказов'!AE301)=1,'История отказов'!F301="ЭВН"),297,""))</f>
        <v/>
      </c>
      <c r="DF298">
        <f>IF('История отказов'!AE301="","",IF(AND(COUNTIF($CX$2:$CX$2,'История отказов'!AE301)=0,COUNTIFS('История отказов'!$F$5:F301,"ШВН",'История отказов'!$AE$5:AE301,'История отказов'!AE301)=1,'История отказов'!F301="ШВН"),297,""))</f>
        <v/>
      </c>
      <c r="DG298">
        <f>IF('История отказов'!AE301="","",IF(AND(COUNTIF($CW$2:$CW$2,'История отказов'!AE301)=0,COUNTIFS('История отказов'!$F$5:F301,"НПУ-ВД",'История отказов'!$AE$5:AE301,'История отказов'!AE301)=1,'История отказов'!F301="НПУ-ВД"),297,""))</f>
        <v/>
      </c>
      <c r="DH298">
        <f>IF('История отказов'!AE301="","",IF(AND(COUNTIF($CY$2:$CY$6,'История отказов'!AE301)=0,COUNTIF('История отказов'!$AE$5:AE301,'История отказов'!AE301)=1),297,""))</f>
        <v/>
      </c>
      <c r="DI298">
        <f>IF('История отказов'!AK301="","",IF(AND(COUNTIF($CL$2:$CL$3,'История отказов'!AK301)=0,COUNTIF('История отказов'!$AK$5:AK301,'История отказов'!AK301)=1),297,""))</f>
        <v/>
      </c>
      <c r="DJ298">
        <f>IF('История отказов'!AU301="","",IF(AND(COUNTIF($CP$2:$CP$3,'История отказов'!AU301)=0,COUNTIF('История отказов'!$AU$5:AU301,'История отказов'!AU301)=1),297,""))</f>
        <v/>
      </c>
      <c r="DK298">
        <f>IF('История отказов'!AY301="","",IF(AND(COUNTIF($CR$2:$CR$2,'История отказов'!AY301)=0,COUNTIF('История отказов'!$AY$5:AY301,'История отказов'!AY301)=1),297,""))</f>
        <v/>
      </c>
      <c r="DL298">
        <f>IF(DB298="","",IF(AND(COUNTIF($DA$2:$DA$47,DB298)=0,COUNTIF($DB$2:DB298,DB298)=1),297,""))</f>
        <v/>
      </c>
    </row>
    <row r="299">
      <c r="A299" s="74" t="n"/>
      <c r="B299" s="75" t="n"/>
      <c r="C299" s="75" t="n"/>
      <c r="D299" s="75" t="n"/>
      <c r="E299" s="75" t="n"/>
      <c r="F299" s="75" t="n"/>
      <c r="G299" s="76" t="n"/>
      <c r="J299" s="62" t="n"/>
      <c r="K299" s="62" t="n"/>
      <c r="L299" s="62" t="n"/>
      <c r="M299" s="62" t="n"/>
      <c r="N299" s="62" t="n"/>
      <c r="Q299" t="inlineStr">
        <is>
          <t>ТКРС</t>
        </is>
      </c>
      <c r="R299" t="inlineStr">
        <is>
          <t>КР3-1.14 — То же НКТ</t>
        </is>
      </c>
      <c r="S299" t="inlineStr">
        <is>
          <t>Код и наименование из документа</t>
        </is>
      </c>
      <c r="T299" t="inlineStr">
        <is>
          <t>Классификатор ремонтных работ, РД 153-39.0-088-01</t>
        </is>
      </c>
      <c r="U299" t="inlineStr">
        <is>
          <t>Таблица 4.1; код КР3-1.14</t>
        </is>
      </c>
      <c r="V299" t="inlineStr">
        <is>
          <t>Все типы</t>
        </is>
      </c>
      <c r="DB299">
        <f>IF('История отказов'!AH302="","",'История отказов'!AH302)</f>
        <v/>
      </c>
      <c r="DC299">
        <f>IF('История отказов'!AE302="","",IF(AND(COUNTIF($CT$2:$CT$2,'История отказов'!AE302)=0,COUNTIFS('История отказов'!$F$5:F302,"ШГН",'История отказов'!$AE$5:AE302,'История отказов'!AE302)=1,'История отказов'!F302="ШГН"),298,""))</f>
        <v/>
      </c>
      <c r="DD299">
        <f>IF('История отказов'!AE302="","",IF(AND(COUNTIF($CU$2:$CU$3,'История отказов'!AE302)=0,COUNTIFS('История отказов'!$F$5:F302,"ЭЦН",'История отказов'!$AE$5:AE302,'История отказов'!AE302)=1,'История отказов'!F302="ЭЦН"),298,""))</f>
        <v/>
      </c>
      <c r="DE299">
        <f>IF('История отказов'!AE302="","",IF(AND(COUNTIF($CV$2:$CV$3,'История отказов'!AE302)=0,COUNTIFS('История отказов'!$F$5:F302,"ЭВН",'История отказов'!$AE$5:AE302,'История отказов'!AE302)=1,'История отказов'!F302="ЭВН"),298,""))</f>
        <v/>
      </c>
      <c r="DF299">
        <f>IF('История отказов'!AE302="","",IF(AND(COUNTIF($CX$2:$CX$2,'История отказов'!AE302)=0,COUNTIFS('История отказов'!$F$5:F302,"ШВН",'История отказов'!$AE$5:AE302,'История отказов'!AE302)=1,'История отказов'!F302="ШВН"),298,""))</f>
        <v/>
      </c>
      <c r="DG299">
        <f>IF('История отказов'!AE302="","",IF(AND(COUNTIF($CW$2:$CW$2,'История отказов'!AE302)=0,COUNTIFS('История отказов'!$F$5:F302,"НПУ-ВД",'История отказов'!$AE$5:AE302,'История отказов'!AE302)=1,'История отказов'!F302="НПУ-ВД"),298,""))</f>
        <v/>
      </c>
      <c r="DH299">
        <f>IF('История отказов'!AE302="","",IF(AND(COUNTIF($CY$2:$CY$6,'История отказов'!AE302)=0,COUNTIF('История отказов'!$AE$5:AE302,'История отказов'!AE302)=1),298,""))</f>
        <v/>
      </c>
      <c r="DI299">
        <f>IF('История отказов'!AK302="","",IF(AND(COUNTIF($CL$2:$CL$3,'История отказов'!AK302)=0,COUNTIF('История отказов'!$AK$5:AK302,'История отказов'!AK302)=1),298,""))</f>
        <v/>
      </c>
      <c r="DJ299">
        <f>IF('История отказов'!AU302="","",IF(AND(COUNTIF($CP$2:$CP$3,'История отказов'!AU302)=0,COUNTIF('История отказов'!$AU$5:AU302,'История отказов'!AU302)=1),298,""))</f>
        <v/>
      </c>
      <c r="DK299">
        <f>IF('История отказов'!AY302="","",IF(AND(COUNTIF($CR$2:$CR$2,'История отказов'!AY302)=0,COUNTIF('История отказов'!$AY$5:AY302,'История отказов'!AY302)=1),298,""))</f>
        <v/>
      </c>
      <c r="DL299">
        <f>IF(DB299="","",IF(AND(COUNTIF($DA$2:$DA$47,DB299)=0,COUNTIF($DB$2:DB299,DB299)=1),298,""))</f>
        <v/>
      </c>
    </row>
    <row r="300">
      <c r="A300" s="74" t="n"/>
      <c r="B300" s="75" t="n"/>
      <c r="C300" s="75" t="n"/>
      <c r="D300" s="75" t="n"/>
      <c r="E300" s="75" t="n"/>
      <c r="F300" s="75" t="n"/>
      <c r="G300" s="76" t="n"/>
      <c r="J300" s="62" t="n"/>
      <c r="K300" s="62" t="n"/>
      <c r="L300" s="62" t="n"/>
      <c r="M300" s="62" t="n"/>
      <c r="N300" s="62" t="n"/>
      <c r="Q300" t="inlineStr">
        <is>
          <t>ТКРС</t>
        </is>
      </c>
      <c r="R300" t="inlineStr">
        <is>
          <t>КР3-1.15 — Промывка забоя скважины.</t>
        </is>
      </c>
      <c r="S300" t="inlineStr">
        <is>
          <t>Код и наименование из документа</t>
        </is>
      </c>
      <c r="T300" t="inlineStr">
        <is>
          <t>Классификатор ремонтных работ, РД 153-39.0-088-01</t>
        </is>
      </c>
      <c r="U300" t="inlineStr">
        <is>
          <t>Таблица 4.1; код КР3-1.15</t>
        </is>
      </c>
      <c r="V300" t="inlineStr">
        <is>
          <t>Все типы</t>
        </is>
      </c>
      <c r="DB300">
        <f>IF('История отказов'!AH303="","",'История отказов'!AH303)</f>
        <v/>
      </c>
      <c r="DC300">
        <f>IF('История отказов'!AE303="","",IF(AND(COUNTIF($CT$2:$CT$2,'История отказов'!AE303)=0,COUNTIFS('История отказов'!$F$5:F303,"ШГН",'История отказов'!$AE$5:AE303,'История отказов'!AE303)=1,'История отказов'!F303="ШГН"),299,""))</f>
        <v/>
      </c>
      <c r="DD300">
        <f>IF('История отказов'!AE303="","",IF(AND(COUNTIF($CU$2:$CU$3,'История отказов'!AE303)=0,COUNTIFS('История отказов'!$F$5:F303,"ЭЦН",'История отказов'!$AE$5:AE303,'История отказов'!AE303)=1,'История отказов'!F303="ЭЦН"),299,""))</f>
        <v/>
      </c>
      <c r="DE300">
        <f>IF('История отказов'!AE303="","",IF(AND(COUNTIF($CV$2:$CV$3,'История отказов'!AE303)=0,COUNTIFS('История отказов'!$F$5:F303,"ЭВН",'История отказов'!$AE$5:AE303,'История отказов'!AE303)=1,'История отказов'!F303="ЭВН"),299,""))</f>
        <v/>
      </c>
      <c r="DF300">
        <f>IF('История отказов'!AE303="","",IF(AND(COUNTIF($CX$2:$CX$2,'История отказов'!AE303)=0,COUNTIFS('История отказов'!$F$5:F303,"ШВН",'История отказов'!$AE$5:AE303,'История отказов'!AE303)=1,'История отказов'!F303="ШВН"),299,""))</f>
        <v/>
      </c>
      <c r="DG300">
        <f>IF('История отказов'!AE303="","",IF(AND(COUNTIF($CW$2:$CW$2,'История отказов'!AE303)=0,COUNTIFS('История отказов'!$F$5:F303,"НПУ-ВД",'История отказов'!$AE$5:AE303,'История отказов'!AE303)=1,'История отказов'!F303="НПУ-ВД"),299,""))</f>
        <v/>
      </c>
      <c r="DH300">
        <f>IF('История отказов'!AE303="","",IF(AND(COUNTIF($CY$2:$CY$6,'История отказов'!AE303)=0,COUNTIF('История отказов'!$AE$5:AE303,'История отказов'!AE303)=1),299,""))</f>
        <v/>
      </c>
      <c r="DI300">
        <f>IF('История отказов'!AK303="","",IF(AND(COUNTIF($CL$2:$CL$3,'История отказов'!AK303)=0,COUNTIF('История отказов'!$AK$5:AK303,'История отказов'!AK303)=1),299,""))</f>
        <v/>
      </c>
      <c r="DJ300">
        <f>IF('История отказов'!AU303="","",IF(AND(COUNTIF($CP$2:$CP$3,'История отказов'!AU303)=0,COUNTIF('История отказов'!$AU$5:AU303,'История отказов'!AU303)=1),299,""))</f>
        <v/>
      </c>
      <c r="DK300">
        <f>IF('История отказов'!AY303="","",IF(AND(COUNTIF($CR$2:$CR$2,'История отказов'!AY303)=0,COUNTIF('История отказов'!$AY$5:AY303,'История отказов'!AY303)=1),299,""))</f>
        <v/>
      </c>
      <c r="DL300">
        <f>IF(DB300="","",IF(AND(COUNTIF($DA$2:$DA$47,DB300)=0,COUNTIF($DB$2:DB300,DB300)=1),299,""))</f>
        <v/>
      </c>
    </row>
    <row r="301">
      <c r="A301" s="74" t="n"/>
      <c r="B301" s="75" t="n"/>
      <c r="C301" s="75" t="n"/>
      <c r="D301" s="75" t="n"/>
      <c r="E301" s="75" t="n"/>
      <c r="F301" s="75" t="n"/>
      <c r="G301" s="76" t="n"/>
      <c r="J301" s="62" t="n"/>
      <c r="K301" s="62" t="n"/>
      <c r="L301" s="62" t="n"/>
      <c r="M301" s="62" t="n"/>
      <c r="N301" s="62" t="n"/>
      <c r="Q301" t="inlineStr">
        <is>
          <t>ТКРС</t>
        </is>
      </c>
      <c r="R301" t="inlineStr">
        <is>
          <t>КР3-2 — Ликвидация аварий с эксплуатационной колонной.</t>
        </is>
      </c>
      <c r="S301" t="inlineStr">
        <is>
          <t>Код и наименование из документа</t>
        </is>
      </c>
      <c r="T301" t="inlineStr">
        <is>
          <t>Классификатор ремонтных работ, РД 153-39.0-088-01</t>
        </is>
      </c>
      <c r="U301" t="inlineStr">
        <is>
          <t>Таблица 4.1; код КР3-2</t>
        </is>
      </c>
      <c r="V301" t="inlineStr">
        <is>
          <t>Все типы</t>
        </is>
      </c>
      <c r="DB301">
        <f>IF('История отказов'!AH304="","",'История отказов'!AH304)</f>
        <v/>
      </c>
      <c r="DC301">
        <f>IF('История отказов'!AE304="","",IF(AND(COUNTIF($CT$2:$CT$2,'История отказов'!AE304)=0,COUNTIFS('История отказов'!$F$5:F304,"ШГН",'История отказов'!$AE$5:AE304,'История отказов'!AE304)=1,'История отказов'!F304="ШГН"),300,""))</f>
        <v/>
      </c>
      <c r="DD301">
        <f>IF('История отказов'!AE304="","",IF(AND(COUNTIF($CU$2:$CU$3,'История отказов'!AE304)=0,COUNTIFS('История отказов'!$F$5:F304,"ЭЦН",'История отказов'!$AE$5:AE304,'История отказов'!AE304)=1,'История отказов'!F304="ЭЦН"),300,""))</f>
        <v/>
      </c>
      <c r="DE301">
        <f>IF('История отказов'!AE304="","",IF(AND(COUNTIF($CV$2:$CV$3,'История отказов'!AE304)=0,COUNTIFS('История отказов'!$F$5:F304,"ЭВН",'История отказов'!$AE$5:AE304,'История отказов'!AE304)=1,'История отказов'!F304="ЭВН"),300,""))</f>
        <v/>
      </c>
      <c r="DF301">
        <f>IF('История отказов'!AE304="","",IF(AND(COUNTIF($CX$2:$CX$2,'История отказов'!AE304)=0,COUNTIFS('История отказов'!$F$5:F304,"ШВН",'История отказов'!$AE$5:AE304,'История отказов'!AE304)=1,'История отказов'!F304="ШВН"),300,""))</f>
        <v/>
      </c>
      <c r="DG301">
        <f>IF('История отказов'!AE304="","",IF(AND(COUNTIF($CW$2:$CW$2,'История отказов'!AE304)=0,COUNTIFS('История отказов'!$F$5:F304,"НПУ-ВД",'История отказов'!$AE$5:AE304,'История отказов'!AE304)=1,'История отказов'!F304="НПУ-ВД"),300,""))</f>
        <v/>
      </c>
      <c r="DH301">
        <f>IF('История отказов'!AE304="","",IF(AND(COUNTIF($CY$2:$CY$6,'История отказов'!AE304)=0,COUNTIF('История отказов'!$AE$5:AE304,'История отказов'!AE304)=1),300,""))</f>
        <v/>
      </c>
      <c r="DI301">
        <f>IF('История отказов'!AK304="","",IF(AND(COUNTIF($CL$2:$CL$3,'История отказов'!AK304)=0,COUNTIF('История отказов'!$AK$5:AK304,'История отказов'!AK304)=1),300,""))</f>
        <v/>
      </c>
      <c r="DJ301">
        <f>IF('История отказов'!AU304="","",IF(AND(COUNTIF($CP$2:$CP$3,'История отказов'!AU304)=0,COUNTIF('История отказов'!$AU$5:AU304,'История отказов'!AU304)=1),300,""))</f>
        <v/>
      </c>
      <c r="DK301">
        <f>IF('История отказов'!AY304="","",IF(AND(COUNTIF($CR$2:$CR$2,'История отказов'!AY304)=0,COUNTIF('История отказов'!$AY$5:AY304,'История отказов'!AY304)=1),300,""))</f>
        <v/>
      </c>
      <c r="DL301">
        <f>IF(DB301="","",IF(AND(COUNTIF($DA$2:$DA$47,DB301)=0,COUNTIF($DB$2:DB301,DB301)=1),300,""))</f>
        <v/>
      </c>
    </row>
    <row r="302">
      <c r="A302" s="74" t="n"/>
      <c r="B302" s="75" t="n"/>
      <c r="C302" s="75" t="n"/>
      <c r="D302" s="75" t="n"/>
      <c r="E302" s="75" t="n"/>
      <c r="F302" s="75" t="n"/>
      <c r="G302" s="76" t="n"/>
      <c r="J302" s="62" t="n"/>
      <c r="K302" s="62" t="n"/>
      <c r="L302" s="62" t="n"/>
      <c r="M302" s="62" t="n"/>
      <c r="N302" s="62" t="n"/>
      <c r="Q302" t="inlineStr">
        <is>
          <t>ТКРС</t>
        </is>
      </c>
      <c r="R302" t="inlineStr">
        <is>
          <t>КР3-3 — Очистка забоя и ствола скважи-ны от посторонних предметов.</t>
        </is>
      </c>
      <c r="S302" t="inlineStr">
        <is>
          <t>Код и наименование из документа</t>
        </is>
      </c>
      <c r="T302" t="inlineStr">
        <is>
          <t>Классификатор ремонтных работ, РД 153-39.0-088-01</t>
        </is>
      </c>
      <c r="U302" t="inlineStr">
        <is>
          <t>Таблица 4.1; код КР3-3</t>
        </is>
      </c>
      <c r="V302" t="inlineStr">
        <is>
          <t>Все типы</t>
        </is>
      </c>
      <c r="DB302">
        <f>IF('История отказов'!AH305="","",'История отказов'!AH305)</f>
        <v/>
      </c>
      <c r="DC302">
        <f>IF('История отказов'!AE305="","",IF(AND(COUNTIF($CT$2:$CT$2,'История отказов'!AE305)=0,COUNTIFS('История отказов'!$F$5:F305,"ШГН",'История отказов'!$AE$5:AE305,'История отказов'!AE305)=1,'История отказов'!F305="ШГН"),301,""))</f>
        <v/>
      </c>
      <c r="DD302">
        <f>IF('История отказов'!AE305="","",IF(AND(COUNTIF($CU$2:$CU$3,'История отказов'!AE305)=0,COUNTIFS('История отказов'!$F$5:F305,"ЭЦН",'История отказов'!$AE$5:AE305,'История отказов'!AE305)=1,'История отказов'!F305="ЭЦН"),301,""))</f>
        <v/>
      </c>
      <c r="DE302">
        <f>IF('История отказов'!AE305="","",IF(AND(COUNTIF($CV$2:$CV$3,'История отказов'!AE305)=0,COUNTIFS('История отказов'!$F$5:F305,"ЭВН",'История отказов'!$AE$5:AE305,'История отказов'!AE305)=1,'История отказов'!F305="ЭВН"),301,""))</f>
        <v/>
      </c>
      <c r="DF302">
        <f>IF('История отказов'!AE305="","",IF(AND(COUNTIF($CX$2:$CX$2,'История отказов'!AE305)=0,COUNTIFS('История отказов'!$F$5:F305,"ШВН",'История отказов'!$AE$5:AE305,'История отказов'!AE305)=1,'История отказов'!F305="ШВН"),301,""))</f>
        <v/>
      </c>
      <c r="DG302">
        <f>IF('История отказов'!AE305="","",IF(AND(COUNTIF($CW$2:$CW$2,'История отказов'!AE305)=0,COUNTIFS('История отказов'!$F$5:F305,"НПУ-ВД",'История отказов'!$AE$5:AE305,'История отказов'!AE305)=1,'История отказов'!F305="НПУ-ВД"),301,""))</f>
        <v/>
      </c>
      <c r="DH302">
        <f>IF('История отказов'!AE305="","",IF(AND(COUNTIF($CY$2:$CY$6,'История отказов'!AE305)=0,COUNTIF('История отказов'!$AE$5:AE305,'История отказов'!AE305)=1),301,""))</f>
        <v/>
      </c>
      <c r="DI302">
        <f>IF('История отказов'!AK305="","",IF(AND(COUNTIF($CL$2:$CL$3,'История отказов'!AK305)=0,COUNTIF('История отказов'!$AK$5:AK305,'История отказов'!AK305)=1),301,""))</f>
        <v/>
      </c>
      <c r="DJ302">
        <f>IF('История отказов'!AU305="","",IF(AND(COUNTIF($CP$2:$CP$3,'История отказов'!AU305)=0,COUNTIF('История отказов'!$AU$5:AU305,'История отказов'!AU305)=1),301,""))</f>
        <v/>
      </c>
      <c r="DK302">
        <f>IF('История отказов'!AY305="","",IF(AND(COUNTIF($CR$2:$CR$2,'История отказов'!AY305)=0,COUNTIF('История отказов'!$AY$5:AY305,'История отказов'!AY305)=1),301,""))</f>
        <v/>
      </c>
      <c r="DL302">
        <f>IF(DB302="","",IF(AND(COUNTIF($DA$2:$DA$47,DB302)=0,COUNTIF($DB$2:DB302,DB302)=1),301,""))</f>
        <v/>
      </c>
    </row>
    <row r="303">
      <c r="A303" s="74" t="n"/>
      <c r="B303" s="75" t="n"/>
      <c r="C303" s="75" t="n"/>
      <c r="D303" s="75" t="n"/>
      <c r="E303" s="75" t="n"/>
      <c r="F303" s="75" t="n"/>
      <c r="G303" s="76" t="n"/>
      <c r="J303" s="62" t="n"/>
      <c r="K303" s="62" t="n"/>
      <c r="L303" s="62" t="n"/>
      <c r="M303" s="62" t="n"/>
      <c r="N303" s="62" t="n"/>
      <c r="Q303" t="inlineStr">
        <is>
          <t>ТКРС</t>
        </is>
      </c>
      <c r="R303" t="inlineStr">
        <is>
          <t>КР3-4 — Очистка ствола и забоя скважины от парафиногидратных отложений, солей, песчаных и гидратных пробок.</t>
        </is>
      </c>
      <c r="S303" t="inlineStr">
        <is>
          <t>Код и наименование из документа</t>
        </is>
      </c>
      <c r="T303" t="inlineStr">
        <is>
          <t>Классификатор ремонтных работ, РД 153-39.0-088-01</t>
        </is>
      </c>
      <c r="U303" t="inlineStr">
        <is>
          <t>Таблица 4.1; код КР3-4</t>
        </is>
      </c>
      <c r="V303" t="inlineStr">
        <is>
          <t>Все типы</t>
        </is>
      </c>
      <c r="DB303">
        <f>IF('История отказов'!AH306="","",'История отказов'!AH306)</f>
        <v/>
      </c>
      <c r="DC303">
        <f>IF('История отказов'!AE306="","",IF(AND(COUNTIF($CT$2:$CT$2,'История отказов'!AE306)=0,COUNTIFS('История отказов'!$F$5:F306,"ШГН",'История отказов'!$AE$5:AE306,'История отказов'!AE306)=1,'История отказов'!F306="ШГН"),302,""))</f>
        <v/>
      </c>
      <c r="DD303">
        <f>IF('История отказов'!AE306="","",IF(AND(COUNTIF($CU$2:$CU$3,'История отказов'!AE306)=0,COUNTIFS('История отказов'!$F$5:F306,"ЭЦН",'История отказов'!$AE$5:AE306,'История отказов'!AE306)=1,'История отказов'!F306="ЭЦН"),302,""))</f>
        <v/>
      </c>
      <c r="DE303">
        <f>IF('История отказов'!AE306="","",IF(AND(COUNTIF($CV$2:$CV$3,'История отказов'!AE306)=0,COUNTIFS('История отказов'!$F$5:F306,"ЭВН",'История отказов'!$AE$5:AE306,'История отказов'!AE306)=1,'История отказов'!F306="ЭВН"),302,""))</f>
        <v/>
      </c>
      <c r="DF303">
        <f>IF('История отказов'!AE306="","",IF(AND(COUNTIF($CX$2:$CX$2,'История отказов'!AE306)=0,COUNTIFS('История отказов'!$F$5:F306,"ШВН",'История отказов'!$AE$5:AE306,'История отказов'!AE306)=1,'История отказов'!F306="ШВН"),302,""))</f>
        <v/>
      </c>
      <c r="DG303">
        <f>IF('История отказов'!AE306="","",IF(AND(COUNTIF($CW$2:$CW$2,'История отказов'!AE306)=0,COUNTIFS('История отказов'!$F$5:F306,"НПУ-ВД",'История отказов'!$AE$5:AE306,'История отказов'!AE306)=1,'История отказов'!F306="НПУ-ВД"),302,""))</f>
        <v/>
      </c>
      <c r="DH303">
        <f>IF('История отказов'!AE306="","",IF(AND(COUNTIF($CY$2:$CY$6,'История отказов'!AE306)=0,COUNTIF('История отказов'!$AE$5:AE306,'История отказов'!AE306)=1),302,""))</f>
        <v/>
      </c>
      <c r="DI303">
        <f>IF('История отказов'!AK306="","",IF(AND(COUNTIF($CL$2:$CL$3,'История отказов'!AK306)=0,COUNTIF('История отказов'!$AK$5:AK306,'История отказов'!AK306)=1),302,""))</f>
        <v/>
      </c>
      <c r="DJ303">
        <f>IF('История отказов'!AU306="","",IF(AND(COUNTIF($CP$2:$CP$3,'История отказов'!AU306)=0,COUNTIF('История отказов'!$AU$5:AU306,'История отказов'!AU306)=1),302,""))</f>
        <v/>
      </c>
      <c r="DK303">
        <f>IF('История отказов'!AY306="","",IF(AND(COUNTIF($CR$2:$CR$2,'История отказов'!AY306)=0,COUNTIF('История отказов'!$AY$5:AY306,'История отказов'!AY306)=1),302,""))</f>
        <v/>
      </c>
      <c r="DL303">
        <f>IF(DB303="","",IF(AND(COUNTIF($DA$2:$DA$47,DB303)=0,COUNTIF($DB$2:DB303,DB303)=1),302,""))</f>
        <v/>
      </c>
    </row>
    <row r="304">
      <c r="A304" s="74" t="n"/>
      <c r="B304" s="75" t="n"/>
      <c r="C304" s="75" t="n"/>
      <c r="D304" s="75" t="n"/>
      <c r="E304" s="75" t="n"/>
      <c r="F304" s="75" t="n"/>
      <c r="G304" s="76" t="n"/>
      <c r="J304" s="62" t="n"/>
      <c r="K304" s="62" t="n"/>
      <c r="L304" s="62" t="n"/>
      <c r="M304" s="62" t="n"/>
      <c r="N304" s="62" t="n"/>
      <c r="Q304" t="inlineStr">
        <is>
          <t>ТКРС</t>
        </is>
      </c>
      <c r="R304" t="inlineStr">
        <is>
          <t>КР3-5 — Ликвидация аварий, допущенных в процессе ремонта скважин.</t>
        </is>
      </c>
      <c r="S304" t="inlineStr">
        <is>
          <t>Код и наименование из документа</t>
        </is>
      </c>
      <c r="T304" t="inlineStr">
        <is>
          <t>Классификатор ремонтных работ, РД 153-39.0-088-01</t>
        </is>
      </c>
      <c r="U304" t="inlineStr">
        <is>
          <t>Таблица 4.1; код КР3-5</t>
        </is>
      </c>
      <c r="V304" t="inlineStr">
        <is>
          <t>Все типы</t>
        </is>
      </c>
      <c r="DB304">
        <f>IF('История отказов'!AH307="","",'История отказов'!AH307)</f>
        <v/>
      </c>
      <c r="DC304">
        <f>IF('История отказов'!AE307="","",IF(AND(COUNTIF($CT$2:$CT$2,'История отказов'!AE307)=0,COUNTIFS('История отказов'!$F$5:F307,"ШГН",'История отказов'!$AE$5:AE307,'История отказов'!AE307)=1,'История отказов'!F307="ШГН"),303,""))</f>
        <v/>
      </c>
      <c r="DD304">
        <f>IF('История отказов'!AE307="","",IF(AND(COUNTIF($CU$2:$CU$3,'История отказов'!AE307)=0,COUNTIFS('История отказов'!$F$5:F307,"ЭЦН",'История отказов'!$AE$5:AE307,'История отказов'!AE307)=1,'История отказов'!F307="ЭЦН"),303,""))</f>
        <v/>
      </c>
      <c r="DE304">
        <f>IF('История отказов'!AE307="","",IF(AND(COUNTIF($CV$2:$CV$3,'История отказов'!AE307)=0,COUNTIFS('История отказов'!$F$5:F307,"ЭВН",'История отказов'!$AE$5:AE307,'История отказов'!AE307)=1,'История отказов'!F307="ЭВН"),303,""))</f>
        <v/>
      </c>
      <c r="DF304">
        <f>IF('История отказов'!AE307="","",IF(AND(COUNTIF($CX$2:$CX$2,'История отказов'!AE307)=0,COUNTIFS('История отказов'!$F$5:F307,"ШВН",'История отказов'!$AE$5:AE307,'История отказов'!AE307)=1,'История отказов'!F307="ШВН"),303,""))</f>
        <v/>
      </c>
      <c r="DG304">
        <f>IF('История отказов'!AE307="","",IF(AND(COUNTIF($CW$2:$CW$2,'История отказов'!AE307)=0,COUNTIFS('История отказов'!$F$5:F307,"НПУ-ВД",'История отказов'!$AE$5:AE307,'История отказов'!AE307)=1,'История отказов'!F307="НПУ-ВД"),303,""))</f>
        <v/>
      </c>
      <c r="DH304">
        <f>IF('История отказов'!AE307="","",IF(AND(COUNTIF($CY$2:$CY$6,'История отказов'!AE307)=0,COUNTIF('История отказов'!$AE$5:AE307,'История отказов'!AE307)=1),303,""))</f>
        <v/>
      </c>
      <c r="DI304">
        <f>IF('История отказов'!AK307="","",IF(AND(COUNTIF($CL$2:$CL$3,'История отказов'!AK307)=0,COUNTIF('История отказов'!$AK$5:AK307,'История отказов'!AK307)=1),303,""))</f>
        <v/>
      </c>
      <c r="DJ304">
        <f>IF('История отказов'!AU307="","",IF(AND(COUNTIF($CP$2:$CP$3,'История отказов'!AU307)=0,COUNTIF('История отказов'!$AU$5:AU307,'История отказов'!AU307)=1),303,""))</f>
        <v/>
      </c>
      <c r="DK304">
        <f>IF('История отказов'!AY307="","",IF(AND(COUNTIF($CR$2:$CR$2,'История отказов'!AY307)=0,COUNTIF('История отказов'!$AY$5:AY307,'История отказов'!AY307)=1),303,""))</f>
        <v/>
      </c>
      <c r="DL304">
        <f>IF(DB304="","",IF(AND(COUNTIF($DA$2:$DA$47,DB304)=0,COUNTIF($DB$2:DB304,DB304)=1),303,""))</f>
        <v/>
      </c>
    </row>
    <row r="305">
      <c r="A305" s="74" t="n"/>
      <c r="B305" s="75" t="n"/>
      <c r="C305" s="75" t="n"/>
      <c r="D305" s="75" t="n"/>
      <c r="E305" s="75" t="n"/>
      <c r="F305" s="75" t="n"/>
      <c r="G305" s="76" t="n"/>
      <c r="J305" s="62" t="n"/>
      <c r="K305" s="62" t="n"/>
      <c r="L305" s="62" t="n"/>
      <c r="M305" s="62" t="n"/>
      <c r="N305" s="62" t="n"/>
      <c r="Q305" t="inlineStr">
        <is>
          <t>ТКРС</t>
        </is>
      </c>
      <c r="R305" t="inlineStr">
        <is>
          <t>КР3-6 — Восстановление циркуляции (размыв парафиногидратных пробок) в эксплуатационной колонне и НКТ.</t>
        </is>
      </c>
      <c r="S305" t="inlineStr">
        <is>
          <t>Код и наименование из документа</t>
        </is>
      </c>
      <c r="T305" t="inlineStr">
        <is>
          <t>Классификатор ремонтных работ, РД 153-39.0-088-01</t>
        </is>
      </c>
      <c r="U305" t="inlineStr">
        <is>
          <t>Таблица 4.1; код КР3-6</t>
        </is>
      </c>
      <c r="V305" t="inlineStr">
        <is>
          <t>Все типы</t>
        </is>
      </c>
      <c r="DB305">
        <f>IF('История отказов'!AH308="","",'История отказов'!AH308)</f>
        <v/>
      </c>
      <c r="DC305">
        <f>IF('История отказов'!AE308="","",IF(AND(COUNTIF($CT$2:$CT$2,'История отказов'!AE308)=0,COUNTIFS('История отказов'!$F$5:F308,"ШГН",'История отказов'!$AE$5:AE308,'История отказов'!AE308)=1,'История отказов'!F308="ШГН"),304,""))</f>
        <v/>
      </c>
      <c r="DD305">
        <f>IF('История отказов'!AE308="","",IF(AND(COUNTIF($CU$2:$CU$3,'История отказов'!AE308)=0,COUNTIFS('История отказов'!$F$5:F308,"ЭЦН",'История отказов'!$AE$5:AE308,'История отказов'!AE308)=1,'История отказов'!F308="ЭЦН"),304,""))</f>
        <v/>
      </c>
      <c r="DE305">
        <f>IF('История отказов'!AE308="","",IF(AND(COUNTIF($CV$2:$CV$3,'История отказов'!AE308)=0,COUNTIFS('История отказов'!$F$5:F308,"ЭВН",'История отказов'!$AE$5:AE308,'История отказов'!AE308)=1,'История отказов'!F308="ЭВН"),304,""))</f>
        <v/>
      </c>
      <c r="DF305">
        <f>IF('История отказов'!AE308="","",IF(AND(COUNTIF($CX$2:$CX$2,'История отказов'!AE308)=0,COUNTIFS('История отказов'!$F$5:F308,"ШВН",'История отказов'!$AE$5:AE308,'История отказов'!AE308)=1,'История отказов'!F308="ШВН"),304,""))</f>
        <v/>
      </c>
      <c r="DG305">
        <f>IF('История отказов'!AE308="","",IF(AND(COUNTIF($CW$2:$CW$2,'История отказов'!AE308)=0,COUNTIFS('История отказов'!$F$5:F308,"НПУ-ВД",'История отказов'!$AE$5:AE308,'История отказов'!AE308)=1,'История отказов'!F308="НПУ-ВД"),304,""))</f>
        <v/>
      </c>
      <c r="DH305">
        <f>IF('История отказов'!AE308="","",IF(AND(COUNTIF($CY$2:$CY$6,'История отказов'!AE308)=0,COUNTIF('История отказов'!$AE$5:AE308,'История отказов'!AE308)=1),304,""))</f>
        <v/>
      </c>
      <c r="DI305">
        <f>IF('История отказов'!AK308="","",IF(AND(COUNTIF($CL$2:$CL$3,'История отказов'!AK308)=0,COUNTIF('История отказов'!$AK$5:AK308,'История отказов'!AK308)=1),304,""))</f>
        <v/>
      </c>
      <c r="DJ305">
        <f>IF('История отказов'!AU308="","",IF(AND(COUNTIF($CP$2:$CP$3,'История отказов'!AU308)=0,COUNTIF('История отказов'!$AU$5:AU308,'История отказов'!AU308)=1),304,""))</f>
        <v/>
      </c>
      <c r="DK305">
        <f>IF('История отказов'!AY308="","",IF(AND(COUNTIF($CR$2:$CR$2,'История отказов'!AY308)=0,COUNTIF('История отказов'!$AY$5:AY308,'История отказов'!AY308)=1),304,""))</f>
        <v/>
      </c>
      <c r="DL305">
        <f>IF(DB305="","",IF(AND(COUNTIF($DA$2:$DA$47,DB305)=0,COUNTIF($DB$2:DB305,DB305)=1),304,""))</f>
        <v/>
      </c>
    </row>
    <row r="306">
      <c r="A306" s="74" t="n"/>
      <c r="B306" s="75" t="n"/>
      <c r="C306" s="75" t="n"/>
      <c r="D306" s="75" t="n"/>
      <c r="E306" s="75" t="n"/>
      <c r="F306" s="75" t="n"/>
      <c r="G306" s="76" t="n"/>
      <c r="J306" s="62" t="n"/>
      <c r="K306" s="62" t="n"/>
      <c r="L306" s="62" t="n"/>
      <c r="M306" s="62" t="n"/>
      <c r="N306" s="62" t="n"/>
      <c r="Q306" t="inlineStr">
        <is>
          <t>ТКРС</t>
        </is>
      </c>
      <c r="R306" t="inlineStr">
        <is>
          <t>КР3-7 — Прочие работы по ликвидации аварий, допущенных в процессе ремонта скважины.</t>
        </is>
      </c>
      <c r="S306" t="inlineStr">
        <is>
          <t>Код и наименование из документа</t>
        </is>
      </c>
      <c r="T306" t="inlineStr">
        <is>
          <t>Классификатор ремонтных работ, РД 153-39.0-088-01</t>
        </is>
      </c>
      <c r="U306" t="inlineStr">
        <is>
          <t>Таблица 4.1; код КР3-7</t>
        </is>
      </c>
      <c r="V306" t="inlineStr">
        <is>
          <t>Все типы</t>
        </is>
      </c>
      <c r="DB306">
        <f>IF('История отказов'!AH309="","",'История отказов'!AH309)</f>
        <v/>
      </c>
      <c r="DC306">
        <f>IF('История отказов'!AE309="","",IF(AND(COUNTIF($CT$2:$CT$2,'История отказов'!AE309)=0,COUNTIFS('История отказов'!$F$5:F309,"ШГН",'История отказов'!$AE$5:AE309,'История отказов'!AE309)=1,'История отказов'!F309="ШГН"),305,""))</f>
        <v/>
      </c>
      <c r="DD306">
        <f>IF('История отказов'!AE309="","",IF(AND(COUNTIF($CU$2:$CU$3,'История отказов'!AE309)=0,COUNTIFS('История отказов'!$F$5:F309,"ЭЦН",'История отказов'!$AE$5:AE309,'История отказов'!AE309)=1,'История отказов'!F309="ЭЦН"),305,""))</f>
        <v/>
      </c>
      <c r="DE306">
        <f>IF('История отказов'!AE309="","",IF(AND(COUNTIF($CV$2:$CV$3,'История отказов'!AE309)=0,COUNTIFS('История отказов'!$F$5:F309,"ЭВН",'История отказов'!$AE$5:AE309,'История отказов'!AE309)=1,'История отказов'!F309="ЭВН"),305,""))</f>
        <v/>
      </c>
      <c r="DF306">
        <f>IF('История отказов'!AE309="","",IF(AND(COUNTIF($CX$2:$CX$2,'История отказов'!AE309)=0,COUNTIFS('История отказов'!$F$5:F309,"ШВН",'История отказов'!$AE$5:AE309,'История отказов'!AE309)=1,'История отказов'!F309="ШВН"),305,""))</f>
        <v/>
      </c>
      <c r="DG306">
        <f>IF('История отказов'!AE309="","",IF(AND(COUNTIF($CW$2:$CW$2,'История отказов'!AE309)=0,COUNTIFS('История отказов'!$F$5:F309,"НПУ-ВД",'История отказов'!$AE$5:AE309,'История отказов'!AE309)=1,'История отказов'!F309="НПУ-ВД"),305,""))</f>
        <v/>
      </c>
      <c r="DH306">
        <f>IF('История отказов'!AE309="","",IF(AND(COUNTIF($CY$2:$CY$6,'История отказов'!AE309)=0,COUNTIF('История отказов'!$AE$5:AE309,'История отказов'!AE309)=1),305,""))</f>
        <v/>
      </c>
      <c r="DI306">
        <f>IF('История отказов'!AK309="","",IF(AND(COUNTIF($CL$2:$CL$3,'История отказов'!AK309)=0,COUNTIF('История отказов'!$AK$5:AK309,'История отказов'!AK309)=1),305,""))</f>
        <v/>
      </c>
      <c r="DJ306">
        <f>IF('История отказов'!AU309="","",IF(AND(COUNTIF($CP$2:$CP$3,'История отказов'!AU309)=0,COUNTIF('История отказов'!$AU$5:AU309,'История отказов'!AU309)=1),305,""))</f>
        <v/>
      </c>
      <c r="DK306">
        <f>IF('История отказов'!AY309="","",IF(AND(COUNTIF($CR$2:$CR$2,'История отказов'!AY309)=0,COUNTIF('История отказов'!$AY$5:AY309,'История отказов'!AY309)=1),305,""))</f>
        <v/>
      </c>
      <c r="DL306">
        <f>IF(DB306="","",IF(AND(COUNTIF($DA$2:$DA$47,DB306)=0,COUNTIF($DB$2:DB306,DB306)=1),305,""))</f>
        <v/>
      </c>
    </row>
    <row r="307">
      <c r="A307" s="74" t="n"/>
      <c r="B307" s="75" t="n"/>
      <c r="C307" s="75" t="n"/>
      <c r="D307" s="75" t="n"/>
      <c r="E307" s="75" t="n"/>
      <c r="F307" s="75" t="n"/>
      <c r="G307" s="76" t="n"/>
      <c r="J307" s="62" t="n"/>
      <c r="K307" s="62" t="n"/>
      <c r="L307" s="62" t="n"/>
      <c r="M307" s="62" t="n"/>
      <c r="N307" s="62" t="n"/>
      <c r="Q307" t="inlineStr">
        <is>
          <t>ТКРС</t>
        </is>
      </c>
      <c r="R307" t="inlineStr">
        <is>
          <t>КР3-7.1 — Извлечение оборудования УЭЦН из скважины после аварии, допущенной в процессе ремонта скважины.</t>
        </is>
      </c>
      <c r="S307" t="inlineStr">
        <is>
          <t>Код и наименование из документа</t>
        </is>
      </c>
      <c r="T307" t="inlineStr">
        <is>
          <t>Классификатор ремонтных работ, РД 153-39.0-088-01</t>
        </is>
      </c>
      <c r="U307" t="inlineStr">
        <is>
          <t>Таблица 4.1; код КР3-7.1</t>
        </is>
      </c>
      <c r="V307" t="inlineStr">
        <is>
          <t>Все типы</t>
        </is>
      </c>
      <c r="DB307">
        <f>IF('История отказов'!AH310="","",'История отказов'!AH310)</f>
        <v/>
      </c>
      <c r="DC307">
        <f>IF('История отказов'!AE310="","",IF(AND(COUNTIF($CT$2:$CT$2,'История отказов'!AE310)=0,COUNTIFS('История отказов'!$F$5:F310,"ШГН",'История отказов'!$AE$5:AE310,'История отказов'!AE310)=1,'История отказов'!F310="ШГН"),306,""))</f>
        <v/>
      </c>
      <c r="DD307">
        <f>IF('История отказов'!AE310="","",IF(AND(COUNTIF($CU$2:$CU$3,'История отказов'!AE310)=0,COUNTIFS('История отказов'!$F$5:F310,"ЭЦН",'История отказов'!$AE$5:AE310,'История отказов'!AE310)=1,'История отказов'!F310="ЭЦН"),306,""))</f>
        <v/>
      </c>
      <c r="DE307">
        <f>IF('История отказов'!AE310="","",IF(AND(COUNTIF($CV$2:$CV$3,'История отказов'!AE310)=0,COUNTIFS('История отказов'!$F$5:F310,"ЭВН",'История отказов'!$AE$5:AE310,'История отказов'!AE310)=1,'История отказов'!F310="ЭВН"),306,""))</f>
        <v/>
      </c>
      <c r="DF307">
        <f>IF('История отказов'!AE310="","",IF(AND(COUNTIF($CX$2:$CX$2,'История отказов'!AE310)=0,COUNTIFS('История отказов'!$F$5:F310,"ШВН",'История отказов'!$AE$5:AE310,'История отказов'!AE310)=1,'История отказов'!F310="ШВН"),306,""))</f>
        <v/>
      </c>
      <c r="DG307">
        <f>IF('История отказов'!AE310="","",IF(AND(COUNTIF($CW$2:$CW$2,'История отказов'!AE310)=0,COUNTIFS('История отказов'!$F$5:F310,"НПУ-ВД",'История отказов'!$AE$5:AE310,'История отказов'!AE310)=1,'История отказов'!F310="НПУ-ВД"),306,""))</f>
        <v/>
      </c>
      <c r="DH307">
        <f>IF('История отказов'!AE310="","",IF(AND(COUNTIF($CY$2:$CY$6,'История отказов'!AE310)=0,COUNTIF('История отказов'!$AE$5:AE310,'История отказов'!AE310)=1),306,""))</f>
        <v/>
      </c>
      <c r="DI307">
        <f>IF('История отказов'!AK310="","",IF(AND(COUNTIF($CL$2:$CL$3,'История отказов'!AK310)=0,COUNTIF('История отказов'!$AK$5:AK310,'История отказов'!AK310)=1),306,""))</f>
        <v/>
      </c>
      <c r="DJ307">
        <f>IF('История отказов'!AU310="","",IF(AND(COUNTIF($CP$2:$CP$3,'История отказов'!AU310)=0,COUNTIF('История отказов'!$AU$5:AU310,'История отказов'!AU310)=1),306,""))</f>
        <v/>
      </c>
      <c r="DK307">
        <f>IF('История отказов'!AY310="","",IF(AND(COUNTIF($CR$2:$CR$2,'История отказов'!AY310)=0,COUNTIF('История отказов'!$AY$5:AY310,'История отказов'!AY310)=1),306,""))</f>
        <v/>
      </c>
      <c r="DL307">
        <f>IF(DB307="","",IF(AND(COUNTIF($DA$2:$DA$47,DB307)=0,COUNTIF($DB$2:DB307,DB307)=1),306,""))</f>
        <v/>
      </c>
    </row>
    <row r="308">
      <c r="A308" s="74" t="n"/>
      <c r="B308" s="75" t="n"/>
      <c r="C308" s="75" t="n"/>
      <c r="D308" s="75" t="n"/>
      <c r="E308" s="75" t="n"/>
      <c r="F308" s="75" t="n"/>
      <c r="G308" s="76" t="n"/>
      <c r="J308" s="62" t="n"/>
      <c r="K308" s="62" t="n"/>
      <c r="L308" s="62" t="n"/>
      <c r="M308" s="62" t="n"/>
      <c r="N308" s="62" t="n"/>
      <c r="Q308" t="inlineStr">
        <is>
          <t>ТКРС</t>
        </is>
      </c>
      <c r="R308" t="inlineStr">
        <is>
          <t>КР3-7.2 — То же УЭДН.</t>
        </is>
      </c>
      <c r="S308" t="inlineStr">
        <is>
          <t>Код и наименование из документа</t>
        </is>
      </c>
      <c r="T308" t="inlineStr">
        <is>
          <t>Классификатор ремонтных работ, РД 153-39.0-088-01</t>
        </is>
      </c>
      <c r="U308" t="inlineStr">
        <is>
          <t>Таблица 4.1; код КР3-7.2</t>
        </is>
      </c>
      <c r="V308" t="inlineStr">
        <is>
          <t>Все типы</t>
        </is>
      </c>
      <c r="DB308">
        <f>IF('История отказов'!AH311="","",'История отказов'!AH311)</f>
        <v/>
      </c>
      <c r="DC308">
        <f>IF('История отказов'!AE311="","",IF(AND(COUNTIF($CT$2:$CT$2,'История отказов'!AE311)=0,COUNTIFS('История отказов'!$F$5:F311,"ШГН",'История отказов'!$AE$5:AE311,'История отказов'!AE311)=1,'История отказов'!F311="ШГН"),307,""))</f>
        <v/>
      </c>
      <c r="DD308">
        <f>IF('История отказов'!AE311="","",IF(AND(COUNTIF($CU$2:$CU$3,'История отказов'!AE311)=0,COUNTIFS('История отказов'!$F$5:F311,"ЭЦН",'История отказов'!$AE$5:AE311,'История отказов'!AE311)=1,'История отказов'!F311="ЭЦН"),307,""))</f>
        <v/>
      </c>
      <c r="DE308">
        <f>IF('История отказов'!AE311="","",IF(AND(COUNTIF($CV$2:$CV$3,'История отказов'!AE311)=0,COUNTIFS('История отказов'!$F$5:F311,"ЭВН",'История отказов'!$AE$5:AE311,'История отказов'!AE311)=1,'История отказов'!F311="ЭВН"),307,""))</f>
        <v/>
      </c>
      <c r="DF308">
        <f>IF('История отказов'!AE311="","",IF(AND(COUNTIF($CX$2:$CX$2,'История отказов'!AE311)=0,COUNTIFS('История отказов'!$F$5:F311,"ШВН",'История отказов'!$AE$5:AE311,'История отказов'!AE311)=1,'История отказов'!F311="ШВН"),307,""))</f>
        <v/>
      </c>
      <c r="DG308">
        <f>IF('История отказов'!AE311="","",IF(AND(COUNTIF($CW$2:$CW$2,'История отказов'!AE311)=0,COUNTIFS('История отказов'!$F$5:F311,"НПУ-ВД",'История отказов'!$AE$5:AE311,'История отказов'!AE311)=1,'История отказов'!F311="НПУ-ВД"),307,""))</f>
        <v/>
      </c>
      <c r="DH308">
        <f>IF('История отказов'!AE311="","",IF(AND(COUNTIF($CY$2:$CY$6,'История отказов'!AE311)=0,COUNTIF('История отказов'!$AE$5:AE311,'История отказов'!AE311)=1),307,""))</f>
        <v/>
      </c>
      <c r="DI308">
        <f>IF('История отказов'!AK311="","",IF(AND(COUNTIF($CL$2:$CL$3,'История отказов'!AK311)=0,COUNTIF('История отказов'!$AK$5:AK311,'История отказов'!AK311)=1),307,""))</f>
        <v/>
      </c>
      <c r="DJ308">
        <f>IF('История отказов'!AU311="","",IF(AND(COUNTIF($CP$2:$CP$3,'История отказов'!AU311)=0,COUNTIF('История отказов'!$AU$5:AU311,'История отказов'!AU311)=1),307,""))</f>
        <v/>
      </c>
      <c r="DK308">
        <f>IF('История отказов'!AY311="","",IF(AND(COUNTIF($CR$2:$CR$2,'История отказов'!AY311)=0,COUNTIF('История отказов'!$AY$5:AY311,'История отказов'!AY311)=1),307,""))</f>
        <v/>
      </c>
      <c r="DL308">
        <f>IF(DB308="","",IF(AND(COUNTIF($DA$2:$DA$47,DB308)=0,COUNTIF($DB$2:DB308,DB308)=1),307,""))</f>
        <v/>
      </c>
    </row>
    <row r="309">
      <c r="A309" s="74" t="n"/>
      <c r="B309" s="75" t="n"/>
      <c r="C309" s="75" t="n"/>
      <c r="D309" s="75" t="n"/>
      <c r="E309" s="75" t="n"/>
      <c r="F309" s="75" t="n"/>
      <c r="G309" s="76" t="n"/>
      <c r="J309" s="62" t="n"/>
      <c r="K309" s="62" t="n"/>
      <c r="L309" s="62" t="n"/>
      <c r="M309" s="62" t="n"/>
      <c r="N309" s="62" t="n"/>
      <c r="Q309" t="inlineStr">
        <is>
          <t>ТКРС</t>
        </is>
      </c>
      <c r="R309" t="inlineStr">
        <is>
          <t>КР3-7.3 — То же УЭВН.</t>
        </is>
      </c>
      <c r="S309" t="inlineStr">
        <is>
          <t>Код и наименование из документа</t>
        </is>
      </c>
      <c r="T309" t="inlineStr">
        <is>
          <t>Классификатор ремонтных работ, РД 153-39.0-088-01</t>
        </is>
      </c>
      <c r="U309" t="inlineStr">
        <is>
          <t>Таблица 4.1; код КР3-7.3</t>
        </is>
      </c>
      <c r="V309" t="inlineStr">
        <is>
          <t>Все типы</t>
        </is>
      </c>
      <c r="DB309">
        <f>IF('История отказов'!AH312="","",'История отказов'!AH312)</f>
        <v/>
      </c>
      <c r="DC309">
        <f>IF('История отказов'!AE312="","",IF(AND(COUNTIF($CT$2:$CT$2,'История отказов'!AE312)=0,COUNTIFS('История отказов'!$F$5:F312,"ШГН",'История отказов'!$AE$5:AE312,'История отказов'!AE312)=1,'История отказов'!F312="ШГН"),308,""))</f>
        <v/>
      </c>
      <c r="DD309">
        <f>IF('История отказов'!AE312="","",IF(AND(COUNTIF($CU$2:$CU$3,'История отказов'!AE312)=0,COUNTIFS('История отказов'!$F$5:F312,"ЭЦН",'История отказов'!$AE$5:AE312,'История отказов'!AE312)=1,'История отказов'!F312="ЭЦН"),308,""))</f>
        <v/>
      </c>
      <c r="DE309">
        <f>IF('История отказов'!AE312="","",IF(AND(COUNTIF($CV$2:$CV$3,'История отказов'!AE312)=0,COUNTIFS('История отказов'!$F$5:F312,"ЭВН",'История отказов'!$AE$5:AE312,'История отказов'!AE312)=1,'История отказов'!F312="ЭВН"),308,""))</f>
        <v/>
      </c>
      <c r="DF309">
        <f>IF('История отказов'!AE312="","",IF(AND(COUNTIF($CX$2:$CX$2,'История отказов'!AE312)=0,COUNTIFS('История отказов'!$F$5:F312,"ШВН",'История отказов'!$AE$5:AE312,'История отказов'!AE312)=1,'История отказов'!F312="ШВН"),308,""))</f>
        <v/>
      </c>
      <c r="DG309">
        <f>IF('История отказов'!AE312="","",IF(AND(COUNTIF($CW$2:$CW$2,'История отказов'!AE312)=0,COUNTIFS('История отказов'!$F$5:F312,"НПУ-ВД",'История отказов'!$AE$5:AE312,'История отказов'!AE312)=1,'История отказов'!F312="НПУ-ВД"),308,""))</f>
        <v/>
      </c>
      <c r="DH309">
        <f>IF('История отказов'!AE312="","",IF(AND(COUNTIF($CY$2:$CY$6,'История отказов'!AE312)=0,COUNTIF('История отказов'!$AE$5:AE312,'История отказов'!AE312)=1),308,""))</f>
        <v/>
      </c>
      <c r="DI309">
        <f>IF('История отказов'!AK312="","",IF(AND(COUNTIF($CL$2:$CL$3,'История отказов'!AK312)=0,COUNTIF('История отказов'!$AK$5:AK312,'История отказов'!AK312)=1),308,""))</f>
        <v/>
      </c>
      <c r="DJ309">
        <f>IF('История отказов'!AU312="","",IF(AND(COUNTIF($CP$2:$CP$3,'История отказов'!AU312)=0,COUNTIF('История отказов'!$AU$5:AU312,'История отказов'!AU312)=1),308,""))</f>
        <v/>
      </c>
      <c r="DK309">
        <f>IF('История отказов'!AY312="","",IF(AND(COUNTIF($CR$2:$CR$2,'История отказов'!AY312)=0,COUNTIF('История отказов'!$AY$5:AY312,'История отказов'!AY312)=1),308,""))</f>
        <v/>
      </c>
      <c r="DL309">
        <f>IF(DB309="","",IF(AND(COUNTIF($DA$2:$DA$47,DB309)=0,COUNTIF($DB$2:DB309,DB309)=1),308,""))</f>
        <v/>
      </c>
    </row>
    <row r="310">
      <c r="A310" s="74" t="n"/>
      <c r="B310" s="75" t="n"/>
      <c r="C310" s="75" t="n"/>
      <c r="D310" s="75" t="n"/>
      <c r="E310" s="75" t="n"/>
      <c r="F310" s="75" t="n"/>
      <c r="G310" s="76" t="n"/>
      <c r="J310" s="62" t="n"/>
      <c r="K310" s="62" t="n"/>
      <c r="L310" s="62" t="n"/>
      <c r="M310" s="62" t="n"/>
      <c r="N310" s="62" t="n"/>
      <c r="Q310" t="inlineStr">
        <is>
          <t>ТКРС</t>
        </is>
      </c>
      <c r="R310" t="inlineStr">
        <is>
          <t>КР3-7.4 — То же ШГН.</t>
        </is>
      </c>
      <c r="S310" t="inlineStr">
        <is>
          <t>Код и наименование из документа</t>
        </is>
      </c>
      <c r="T310" t="inlineStr">
        <is>
          <t>Классификатор ремонтных работ, РД 153-39.0-088-01</t>
        </is>
      </c>
      <c r="U310" t="inlineStr">
        <is>
          <t>Таблица 4.1; код КР3-7.4</t>
        </is>
      </c>
      <c r="V310" t="inlineStr">
        <is>
          <t>Все типы</t>
        </is>
      </c>
      <c r="DB310">
        <f>IF('История отказов'!AH313="","",'История отказов'!AH313)</f>
        <v/>
      </c>
      <c r="DC310">
        <f>IF('История отказов'!AE313="","",IF(AND(COUNTIF($CT$2:$CT$2,'История отказов'!AE313)=0,COUNTIFS('История отказов'!$F$5:F313,"ШГН",'История отказов'!$AE$5:AE313,'История отказов'!AE313)=1,'История отказов'!F313="ШГН"),309,""))</f>
        <v/>
      </c>
      <c r="DD310">
        <f>IF('История отказов'!AE313="","",IF(AND(COUNTIF($CU$2:$CU$3,'История отказов'!AE313)=0,COUNTIFS('История отказов'!$F$5:F313,"ЭЦН",'История отказов'!$AE$5:AE313,'История отказов'!AE313)=1,'История отказов'!F313="ЭЦН"),309,""))</f>
        <v/>
      </c>
      <c r="DE310">
        <f>IF('История отказов'!AE313="","",IF(AND(COUNTIF($CV$2:$CV$3,'История отказов'!AE313)=0,COUNTIFS('История отказов'!$F$5:F313,"ЭВН",'История отказов'!$AE$5:AE313,'История отказов'!AE313)=1,'История отказов'!F313="ЭВН"),309,""))</f>
        <v/>
      </c>
      <c r="DF310">
        <f>IF('История отказов'!AE313="","",IF(AND(COUNTIF($CX$2:$CX$2,'История отказов'!AE313)=0,COUNTIFS('История отказов'!$F$5:F313,"ШВН",'История отказов'!$AE$5:AE313,'История отказов'!AE313)=1,'История отказов'!F313="ШВН"),309,""))</f>
        <v/>
      </c>
      <c r="DG310">
        <f>IF('История отказов'!AE313="","",IF(AND(COUNTIF($CW$2:$CW$2,'История отказов'!AE313)=0,COUNTIFS('История отказов'!$F$5:F313,"НПУ-ВД",'История отказов'!$AE$5:AE313,'История отказов'!AE313)=1,'История отказов'!F313="НПУ-ВД"),309,""))</f>
        <v/>
      </c>
      <c r="DH310">
        <f>IF('История отказов'!AE313="","",IF(AND(COUNTIF($CY$2:$CY$6,'История отказов'!AE313)=0,COUNTIF('История отказов'!$AE$5:AE313,'История отказов'!AE313)=1),309,""))</f>
        <v/>
      </c>
      <c r="DI310">
        <f>IF('История отказов'!AK313="","",IF(AND(COUNTIF($CL$2:$CL$3,'История отказов'!AK313)=0,COUNTIF('История отказов'!$AK$5:AK313,'История отказов'!AK313)=1),309,""))</f>
        <v/>
      </c>
      <c r="DJ310">
        <f>IF('История отказов'!AU313="","",IF(AND(COUNTIF($CP$2:$CP$3,'История отказов'!AU313)=0,COUNTIF('История отказов'!$AU$5:AU313,'История отказов'!AU313)=1),309,""))</f>
        <v/>
      </c>
      <c r="DK310">
        <f>IF('История отказов'!AY313="","",IF(AND(COUNTIF($CR$2:$CR$2,'История отказов'!AY313)=0,COUNTIF('История отказов'!$AY$5:AY313,'История отказов'!AY313)=1),309,""))</f>
        <v/>
      </c>
      <c r="DL310">
        <f>IF(DB310="","",IF(AND(COUNTIF($DA$2:$DA$47,DB310)=0,COUNTIF($DB$2:DB310,DB310)=1),309,""))</f>
        <v/>
      </c>
    </row>
    <row r="311">
      <c r="A311" s="74" t="n"/>
      <c r="B311" s="75" t="n"/>
      <c r="C311" s="75" t="n"/>
      <c r="D311" s="75" t="n"/>
      <c r="E311" s="75" t="n"/>
      <c r="F311" s="75" t="n"/>
      <c r="G311" s="76" t="n"/>
      <c r="J311" s="62" t="n"/>
      <c r="K311" s="62" t="n"/>
      <c r="L311" s="62" t="n"/>
      <c r="M311" s="62" t="n"/>
      <c r="N311" s="62" t="n"/>
      <c r="Q311" t="inlineStr">
        <is>
          <t>ТКРС</t>
        </is>
      </c>
      <c r="R311" t="inlineStr">
        <is>
          <t>КР3-7.5 — То же УШВН.</t>
        </is>
      </c>
      <c r="S311" t="inlineStr">
        <is>
          <t>Код и наименование из документа</t>
        </is>
      </c>
      <c r="T311" t="inlineStr">
        <is>
          <t>Классификатор ремонтных работ, РД 153-39.0-088-01</t>
        </is>
      </c>
      <c r="U311" t="inlineStr">
        <is>
          <t>Таблица 4.1; код КР3-7.5</t>
        </is>
      </c>
      <c r="V311" t="inlineStr">
        <is>
          <t>Все типы</t>
        </is>
      </c>
      <c r="DB311">
        <f>IF('История отказов'!AH314="","",'История отказов'!AH314)</f>
        <v/>
      </c>
      <c r="DC311">
        <f>IF('История отказов'!AE314="","",IF(AND(COUNTIF($CT$2:$CT$2,'История отказов'!AE314)=0,COUNTIFS('История отказов'!$F$5:F314,"ШГН",'История отказов'!$AE$5:AE314,'История отказов'!AE314)=1,'История отказов'!F314="ШГН"),310,""))</f>
        <v/>
      </c>
      <c r="DD311">
        <f>IF('История отказов'!AE314="","",IF(AND(COUNTIF($CU$2:$CU$3,'История отказов'!AE314)=0,COUNTIFS('История отказов'!$F$5:F314,"ЭЦН",'История отказов'!$AE$5:AE314,'История отказов'!AE314)=1,'История отказов'!F314="ЭЦН"),310,""))</f>
        <v/>
      </c>
      <c r="DE311">
        <f>IF('История отказов'!AE314="","",IF(AND(COUNTIF($CV$2:$CV$3,'История отказов'!AE314)=0,COUNTIFS('История отказов'!$F$5:F314,"ЭВН",'История отказов'!$AE$5:AE314,'История отказов'!AE314)=1,'История отказов'!F314="ЭВН"),310,""))</f>
        <v/>
      </c>
      <c r="DF311">
        <f>IF('История отказов'!AE314="","",IF(AND(COUNTIF($CX$2:$CX$2,'История отказов'!AE314)=0,COUNTIFS('История отказов'!$F$5:F314,"ШВН",'История отказов'!$AE$5:AE314,'История отказов'!AE314)=1,'История отказов'!F314="ШВН"),310,""))</f>
        <v/>
      </c>
      <c r="DG311">
        <f>IF('История отказов'!AE314="","",IF(AND(COUNTIF($CW$2:$CW$2,'История отказов'!AE314)=0,COUNTIFS('История отказов'!$F$5:F314,"НПУ-ВД",'История отказов'!$AE$5:AE314,'История отказов'!AE314)=1,'История отказов'!F314="НПУ-ВД"),310,""))</f>
        <v/>
      </c>
      <c r="DH311">
        <f>IF('История отказов'!AE314="","",IF(AND(COUNTIF($CY$2:$CY$6,'История отказов'!AE314)=0,COUNTIF('История отказов'!$AE$5:AE314,'История отказов'!AE314)=1),310,""))</f>
        <v/>
      </c>
      <c r="DI311">
        <f>IF('История отказов'!AK314="","",IF(AND(COUNTIF($CL$2:$CL$3,'История отказов'!AK314)=0,COUNTIF('История отказов'!$AK$5:AK314,'История отказов'!AK314)=1),310,""))</f>
        <v/>
      </c>
      <c r="DJ311">
        <f>IF('История отказов'!AU314="","",IF(AND(COUNTIF($CP$2:$CP$3,'История отказов'!AU314)=0,COUNTIF('История отказов'!$AU$5:AU314,'История отказов'!AU314)=1),310,""))</f>
        <v/>
      </c>
      <c r="DK311">
        <f>IF('История отказов'!AY314="","",IF(AND(COUNTIF($CR$2:$CR$2,'История отказов'!AY314)=0,COUNTIF('История отказов'!$AY$5:AY314,'История отказов'!AY314)=1),310,""))</f>
        <v/>
      </c>
      <c r="DL311">
        <f>IF(DB311="","",IF(AND(COUNTIF($DA$2:$DA$47,DB311)=0,COUNTIF($DB$2:DB311,DB311)=1),310,""))</f>
        <v/>
      </c>
    </row>
    <row r="312">
      <c r="A312" s="74" t="n"/>
      <c r="B312" s="75" t="n"/>
      <c r="C312" s="75" t="n"/>
      <c r="D312" s="75" t="n"/>
      <c r="E312" s="75" t="n"/>
      <c r="F312" s="75" t="n"/>
      <c r="G312" s="76" t="n"/>
      <c r="J312" s="62" t="n"/>
      <c r="K312" s="62" t="n"/>
      <c r="L312" s="62" t="n"/>
      <c r="M312" s="62" t="n"/>
      <c r="N312" s="62" t="n"/>
      <c r="Q312" t="inlineStr">
        <is>
          <t>ТКРС</t>
        </is>
      </c>
      <c r="R312" t="inlineStr">
        <is>
          <t>КР3-7.6 — То же НКТ.</t>
        </is>
      </c>
      <c r="S312" t="inlineStr">
        <is>
          <t>Код и наименование из документа</t>
        </is>
      </c>
      <c r="T312" t="inlineStr">
        <is>
          <t>Классификатор ремонтных работ, РД 153-39.0-088-01</t>
        </is>
      </c>
      <c r="U312" t="inlineStr">
        <is>
          <t>Таблица 4.1; код КР3-7.6</t>
        </is>
      </c>
      <c r="V312" t="inlineStr">
        <is>
          <t>Все типы</t>
        </is>
      </c>
      <c r="DB312">
        <f>IF('История отказов'!AH315="","",'История отказов'!AH315)</f>
        <v/>
      </c>
      <c r="DC312">
        <f>IF('История отказов'!AE315="","",IF(AND(COUNTIF($CT$2:$CT$2,'История отказов'!AE315)=0,COUNTIFS('История отказов'!$F$5:F315,"ШГН",'История отказов'!$AE$5:AE315,'История отказов'!AE315)=1,'История отказов'!F315="ШГН"),311,""))</f>
        <v/>
      </c>
      <c r="DD312">
        <f>IF('История отказов'!AE315="","",IF(AND(COUNTIF($CU$2:$CU$3,'История отказов'!AE315)=0,COUNTIFS('История отказов'!$F$5:F315,"ЭЦН",'История отказов'!$AE$5:AE315,'История отказов'!AE315)=1,'История отказов'!F315="ЭЦН"),311,""))</f>
        <v/>
      </c>
      <c r="DE312">
        <f>IF('История отказов'!AE315="","",IF(AND(COUNTIF($CV$2:$CV$3,'История отказов'!AE315)=0,COUNTIFS('История отказов'!$F$5:F315,"ЭВН",'История отказов'!$AE$5:AE315,'История отказов'!AE315)=1,'История отказов'!F315="ЭВН"),311,""))</f>
        <v/>
      </c>
      <c r="DF312">
        <f>IF('История отказов'!AE315="","",IF(AND(COUNTIF($CX$2:$CX$2,'История отказов'!AE315)=0,COUNTIFS('История отказов'!$F$5:F315,"ШВН",'История отказов'!$AE$5:AE315,'История отказов'!AE315)=1,'История отказов'!F315="ШВН"),311,""))</f>
        <v/>
      </c>
      <c r="DG312">
        <f>IF('История отказов'!AE315="","",IF(AND(COUNTIF($CW$2:$CW$2,'История отказов'!AE315)=0,COUNTIFS('История отказов'!$F$5:F315,"НПУ-ВД",'История отказов'!$AE$5:AE315,'История отказов'!AE315)=1,'История отказов'!F315="НПУ-ВД"),311,""))</f>
        <v/>
      </c>
      <c r="DH312">
        <f>IF('История отказов'!AE315="","",IF(AND(COUNTIF($CY$2:$CY$6,'История отказов'!AE315)=0,COUNTIF('История отказов'!$AE$5:AE315,'История отказов'!AE315)=1),311,""))</f>
        <v/>
      </c>
      <c r="DI312">
        <f>IF('История отказов'!AK315="","",IF(AND(COUNTIF($CL$2:$CL$3,'История отказов'!AK315)=0,COUNTIF('История отказов'!$AK$5:AK315,'История отказов'!AK315)=1),311,""))</f>
        <v/>
      </c>
      <c r="DJ312">
        <f>IF('История отказов'!AU315="","",IF(AND(COUNTIF($CP$2:$CP$3,'История отказов'!AU315)=0,COUNTIF('История отказов'!$AU$5:AU315,'История отказов'!AU315)=1),311,""))</f>
        <v/>
      </c>
      <c r="DK312">
        <f>IF('История отказов'!AY315="","",IF(AND(COUNTIF($CR$2:$CR$2,'История отказов'!AY315)=0,COUNTIF('История отказов'!$AY$5:AY315,'История отказов'!AY315)=1),311,""))</f>
        <v/>
      </c>
      <c r="DL312">
        <f>IF(DB312="","",IF(AND(COUNTIF($DA$2:$DA$47,DB312)=0,COUNTIF($DB$2:DB312,DB312)=1),311,""))</f>
        <v/>
      </c>
    </row>
    <row r="313">
      <c r="A313" s="74" t="n"/>
      <c r="B313" s="75" t="n"/>
      <c r="C313" s="75" t="n"/>
      <c r="D313" s="75" t="n"/>
      <c r="E313" s="75" t="n"/>
      <c r="F313" s="75" t="n"/>
      <c r="G313" s="76" t="n"/>
      <c r="J313" s="62" t="n"/>
      <c r="K313" s="62" t="n"/>
      <c r="L313" s="62" t="n"/>
      <c r="M313" s="62" t="n"/>
      <c r="N313" s="62" t="n"/>
      <c r="Q313" t="inlineStr">
        <is>
          <t>ТКРС</t>
        </is>
      </c>
      <c r="R313" t="inlineStr">
        <is>
          <t>КР3-7.7 — То же пакера</t>
        </is>
      </c>
      <c r="S313" t="inlineStr">
        <is>
          <t>Код и наименование из документа</t>
        </is>
      </c>
      <c r="T313" t="inlineStr">
        <is>
          <t>Классификатор ремонтных работ, РД 153-39.0-088-01</t>
        </is>
      </c>
      <c r="U313" t="inlineStr">
        <is>
          <t>Таблица 4.1; код КР3-7.7</t>
        </is>
      </c>
      <c r="V313" t="inlineStr">
        <is>
          <t>Все типы</t>
        </is>
      </c>
      <c r="DB313">
        <f>IF('История отказов'!AH316="","",'История отказов'!AH316)</f>
        <v/>
      </c>
      <c r="DC313">
        <f>IF('История отказов'!AE316="","",IF(AND(COUNTIF($CT$2:$CT$2,'История отказов'!AE316)=0,COUNTIFS('История отказов'!$F$5:F316,"ШГН",'История отказов'!$AE$5:AE316,'История отказов'!AE316)=1,'История отказов'!F316="ШГН"),312,""))</f>
        <v/>
      </c>
      <c r="DD313">
        <f>IF('История отказов'!AE316="","",IF(AND(COUNTIF($CU$2:$CU$3,'История отказов'!AE316)=0,COUNTIFS('История отказов'!$F$5:F316,"ЭЦН",'История отказов'!$AE$5:AE316,'История отказов'!AE316)=1,'История отказов'!F316="ЭЦН"),312,""))</f>
        <v/>
      </c>
      <c r="DE313">
        <f>IF('История отказов'!AE316="","",IF(AND(COUNTIF($CV$2:$CV$3,'История отказов'!AE316)=0,COUNTIFS('История отказов'!$F$5:F316,"ЭВН",'История отказов'!$AE$5:AE316,'История отказов'!AE316)=1,'История отказов'!F316="ЭВН"),312,""))</f>
        <v/>
      </c>
      <c r="DF313">
        <f>IF('История отказов'!AE316="","",IF(AND(COUNTIF($CX$2:$CX$2,'История отказов'!AE316)=0,COUNTIFS('История отказов'!$F$5:F316,"ШВН",'История отказов'!$AE$5:AE316,'История отказов'!AE316)=1,'История отказов'!F316="ШВН"),312,""))</f>
        <v/>
      </c>
      <c r="DG313">
        <f>IF('История отказов'!AE316="","",IF(AND(COUNTIF($CW$2:$CW$2,'История отказов'!AE316)=0,COUNTIFS('История отказов'!$F$5:F316,"НПУ-ВД",'История отказов'!$AE$5:AE316,'История отказов'!AE316)=1,'История отказов'!F316="НПУ-ВД"),312,""))</f>
        <v/>
      </c>
      <c r="DH313">
        <f>IF('История отказов'!AE316="","",IF(AND(COUNTIF($CY$2:$CY$6,'История отказов'!AE316)=0,COUNTIF('История отказов'!$AE$5:AE316,'История отказов'!AE316)=1),312,""))</f>
        <v/>
      </c>
      <c r="DI313">
        <f>IF('История отказов'!AK316="","",IF(AND(COUNTIF($CL$2:$CL$3,'История отказов'!AK316)=0,COUNTIF('История отказов'!$AK$5:AK316,'История отказов'!AK316)=1),312,""))</f>
        <v/>
      </c>
      <c r="DJ313">
        <f>IF('История отказов'!AU316="","",IF(AND(COUNTIF($CP$2:$CP$3,'История отказов'!AU316)=0,COUNTIF('История отказов'!$AU$5:AU316,'История отказов'!AU316)=1),312,""))</f>
        <v/>
      </c>
      <c r="DK313">
        <f>IF('История отказов'!AY316="","",IF(AND(COUNTIF($CR$2:$CR$2,'История отказов'!AY316)=0,COUNTIF('История отказов'!$AY$5:AY316,'История отказов'!AY316)=1),312,""))</f>
        <v/>
      </c>
      <c r="DL313">
        <f>IF(DB313="","",IF(AND(COUNTIF($DA$2:$DA$47,DB313)=0,COUNTIF($DB$2:DB313,DB313)=1),312,""))</f>
        <v/>
      </c>
    </row>
    <row r="314">
      <c r="A314" s="74" t="n"/>
      <c r="B314" s="75" t="n"/>
      <c r="C314" s="75" t="n"/>
      <c r="D314" s="75" t="n"/>
      <c r="E314" s="75" t="n"/>
      <c r="F314" s="75" t="n"/>
      <c r="G314" s="76" t="n"/>
      <c r="J314" s="62" t="n"/>
      <c r="K314" s="62" t="n"/>
      <c r="L314" s="62" t="n"/>
      <c r="M314" s="62" t="n"/>
      <c r="N314" s="62" t="n"/>
      <c r="Q314" t="inlineStr">
        <is>
          <t>ТКРС</t>
        </is>
      </c>
      <c r="R314" t="inlineStr">
        <is>
          <t>КР4-1 — Переход на другие вышележащие и нижележащие горизонты.</t>
        </is>
      </c>
      <c r="S314" t="inlineStr">
        <is>
          <t>Код и наименование из документа</t>
        </is>
      </c>
      <c r="T314" t="inlineStr">
        <is>
          <t>Классификатор ремонтных работ, РД 153-39.0-088-01</t>
        </is>
      </c>
      <c r="U314" t="inlineStr">
        <is>
          <t>Таблица 4.1; код КР4-1</t>
        </is>
      </c>
      <c r="V314" t="inlineStr">
        <is>
          <t>Все типы</t>
        </is>
      </c>
      <c r="DB314">
        <f>IF('История отказов'!AH317="","",'История отказов'!AH317)</f>
        <v/>
      </c>
      <c r="DC314">
        <f>IF('История отказов'!AE317="","",IF(AND(COUNTIF($CT$2:$CT$2,'История отказов'!AE317)=0,COUNTIFS('История отказов'!$F$5:F317,"ШГН",'История отказов'!$AE$5:AE317,'История отказов'!AE317)=1,'История отказов'!F317="ШГН"),313,""))</f>
        <v/>
      </c>
      <c r="DD314">
        <f>IF('История отказов'!AE317="","",IF(AND(COUNTIF($CU$2:$CU$3,'История отказов'!AE317)=0,COUNTIFS('История отказов'!$F$5:F317,"ЭЦН",'История отказов'!$AE$5:AE317,'История отказов'!AE317)=1,'История отказов'!F317="ЭЦН"),313,""))</f>
        <v/>
      </c>
      <c r="DE314">
        <f>IF('История отказов'!AE317="","",IF(AND(COUNTIF($CV$2:$CV$3,'История отказов'!AE317)=0,COUNTIFS('История отказов'!$F$5:F317,"ЭВН",'История отказов'!$AE$5:AE317,'История отказов'!AE317)=1,'История отказов'!F317="ЭВН"),313,""))</f>
        <v/>
      </c>
      <c r="DF314">
        <f>IF('История отказов'!AE317="","",IF(AND(COUNTIF($CX$2:$CX$2,'История отказов'!AE317)=0,COUNTIFS('История отказов'!$F$5:F317,"ШВН",'История отказов'!$AE$5:AE317,'История отказов'!AE317)=1,'История отказов'!F317="ШВН"),313,""))</f>
        <v/>
      </c>
      <c r="DG314">
        <f>IF('История отказов'!AE317="","",IF(AND(COUNTIF($CW$2:$CW$2,'История отказов'!AE317)=0,COUNTIFS('История отказов'!$F$5:F317,"НПУ-ВД",'История отказов'!$AE$5:AE317,'История отказов'!AE317)=1,'История отказов'!F317="НПУ-ВД"),313,""))</f>
        <v/>
      </c>
      <c r="DH314">
        <f>IF('История отказов'!AE317="","",IF(AND(COUNTIF($CY$2:$CY$6,'История отказов'!AE317)=0,COUNTIF('История отказов'!$AE$5:AE317,'История отказов'!AE317)=1),313,""))</f>
        <v/>
      </c>
      <c r="DI314">
        <f>IF('История отказов'!AK317="","",IF(AND(COUNTIF($CL$2:$CL$3,'История отказов'!AK317)=0,COUNTIF('История отказов'!$AK$5:AK317,'История отказов'!AK317)=1),313,""))</f>
        <v/>
      </c>
      <c r="DJ314">
        <f>IF('История отказов'!AU317="","",IF(AND(COUNTIF($CP$2:$CP$3,'История отказов'!AU317)=0,COUNTIF('История отказов'!$AU$5:AU317,'История отказов'!AU317)=1),313,""))</f>
        <v/>
      </c>
      <c r="DK314">
        <f>IF('История отказов'!AY317="","",IF(AND(COUNTIF($CR$2:$CR$2,'История отказов'!AY317)=0,COUNTIF('История отказов'!$AY$5:AY317,'История отказов'!AY317)=1),313,""))</f>
        <v/>
      </c>
      <c r="DL314">
        <f>IF(DB314="","",IF(AND(COUNTIF($DA$2:$DA$47,DB314)=0,COUNTIF($DB$2:DB314,DB314)=1),313,""))</f>
        <v/>
      </c>
    </row>
    <row r="315">
      <c r="A315" s="74" t="n"/>
      <c r="B315" s="75" t="n"/>
      <c r="C315" s="75" t="n"/>
      <c r="D315" s="75" t="n"/>
      <c r="E315" s="75" t="n"/>
      <c r="F315" s="75" t="n"/>
      <c r="G315" s="76" t="n"/>
      <c r="J315" s="62" t="n"/>
      <c r="K315" s="62" t="n"/>
      <c r="L315" s="62" t="n"/>
      <c r="M315" s="62" t="n"/>
      <c r="N315" s="62" t="n"/>
      <c r="Q315" t="inlineStr">
        <is>
          <t>ТКРС</t>
        </is>
      </c>
      <c r="R315" t="inlineStr">
        <is>
          <t>КР4-2 — Приобщение пластов для совместной эксплуатации дострелом, с увеличением диаметра или глубины скважины.</t>
        </is>
      </c>
      <c r="S315" t="inlineStr">
        <is>
          <t>Код и наименование из документа</t>
        </is>
      </c>
      <c r="T315" t="inlineStr">
        <is>
          <t>Классификатор ремонтных работ, РД 153-39.0-088-01</t>
        </is>
      </c>
      <c r="U315" t="inlineStr">
        <is>
          <t>Таблица 4.1; код КР4-2</t>
        </is>
      </c>
      <c r="V315" t="inlineStr">
        <is>
          <t>Все типы</t>
        </is>
      </c>
      <c r="DB315">
        <f>IF('История отказов'!AH318="","",'История отказов'!AH318)</f>
        <v/>
      </c>
      <c r="DC315">
        <f>IF('История отказов'!AE318="","",IF(AND(COUNTIF($CT$2:$CT$2,'История отказов'!AE318)=0,COUNTIFS('История отказов'!$F$5:F318,"ШГН",'История отказов'!$AE$5:AE318,'История отказов'!AE318)=1,'История отказов'!F318="ШГН"),314,""))</f>
        <v/>
      </c>
      <c r="DD315">
        <f>IF('История отказов'!AE318="","",IF(AND(COUNTIF($CU$2:$CU$3,'История отказов'!AE318)=0,COUNTIFS('История отказов'!$F$5:F318,"ЭЦН",'История отказов'!$AE$5:AE318,'История отказов'!AE318)=1,'История отказов'!F318="ЭЦН"),314,""))</f>
        <v/>
      </c>
      <c r="DE315">
        <f>IF('История отказов'!AE318="","",IF(AND(COUNTIF($CV$2:$CV$3,'История отказов'!AE318)=0,COUNTIFS('История отказов'!$F$5:F318,"ЭВН",'История отказов'!$AE$5:AE318,'История отказов'!AE318)=1,'История отказов'!F318="ЭВН"),314,""))</f>
        <v/>
      </c>
      <c r="DF315">
        <f>IF('История отказов'!AE318="","",IF(AND(COUNTIF($CX$2:$CX$2,'История отказов'!AE318)=0,COUNTIFS('История отказов'!$F$5:F318,"ШВН",'История отказов'!$AE$5:AE318,'История отказов'!AE318)=1,'История отказов'!F318="ШВН"),314,""))</f>
        <v/>
      </c>
      <c r="DG315">
        <f>IF('История отказов'!AE318="","",IF(AND(COUNTIF($CW$2:$CW$2,'История отказов'!AE318)=0,COUNTIFS('История отказов'!$F$5:F318,"НПУ-ВД",'История отказов'!$AE$5:AE318,'История отказов'!AE318)=1,'История отказов'!F318="НПУ-ВД"),314,""))</f>
        <v/>
      </c>
      <c r="DH315">
        <f>IF('История отказов'!AE318="","",IF(AND(COUNTIF($CY$2:$CY$6,'История отказов'!AE318)=0,COUNTIF('История отказов'!$AE$5:AE318,'История отказов'!AE318)=1),314,""))</f>
        <v/>
      </c>
      <c r="DI315">
        <f>IF('История отказов'!AK318="","",IF(AND(COUNTIF($CL$2:$CL$3,'История отказов'!AK318)=0,COUNTIF('История отказов'!$AK$5:AK318,'История отказов'!AK318)=1),314,""))</f>
        <v/>
      </c>
      <c r="DJ315">
        <f>IF('История отказов'!AU318="","",IF(AND(COUNTIF($CP$2:$CP$3,'История отказов'!AU318)=0,COUNTIF('История отказов'!$AU$5:AU318,'История отказов'!AU318)=1),314,""))</f>
        <v/>
      </c>
      <c r="DK315">
        <f>IF('История отказов'!AY318="","",IF(AND(COUNTIF($CR$2:$CR$2,'История отказов'!AY318)=0,COUNTIF('История отказов'!$AY$5:AY318,'История отказов'!AY318)=1),314,""))</f>
        <v/>
      </c>
      <c r="DL315">
        <f>IF(DB315="","",IF(AND(COUNTIF($DA$2:$DA$47,DB315)=0,COUNTIF($DB$2:DB315,DB315)=1),314,""))</f>
        <v/>
      </c>
    </row>
    <row r="316">
      <c r="A316" s="74" t="n"/>
      <c r="B316" s="75" t="n"/>
      <c r="C316" s="75" t="n"/>
      <c r="D316" s="75" t="n"/>
      <c r="E316" s="75" t="n"/>
      <c r="F316" s="75" t="n"/>
      <c r="G316" s="76" t="n"/>
      <c r="J316" s="62" t="n"/>
      <c r="K316" s="62" t="n"/>
      <c r="L316" s="62" t="n"/>
      <c r="M316" s="62" t="n"/>
      <c r="N316" s="62" t="n"/>
      <c r="Q316" t="inlineStr">
        <is>
          <t>ТКРС</t>
        </is>
      </c>
      <c r="R316" t="inlineStr">
        <is>
          <t>КР4-3 — Приобщение дополнительного количества пластов дострелом для совместной эксплуатации.</t>
        </is>
      </c>
      <c r="S316" t="inlineStr">
        <is>
          <t>Код и наименование из документа</t>
        </is>
      </c>
      <c r="T316" t="inlineStr">
        <is>
          <t>Классификатор ремонтных работ, РД 153-39.0-088-01</t>
        </is>
      </c>
      <c r="U316" t="inlineStr">
        <is>
          <t>Таблица 4.1; код КР4-3</t>
        </is>
      </c>
      <c r="V316" t="inlineStr">
        <is>
          <t>Все типы</t>
        </is>
      </c>
      <c r="DB316">
        <f>IF('История отказов'!AH319="","",'История отказов'!AH319)</f>
        <v/>
      </c>
      <c r="DC316">
        <f>IF('История отказов'!AE319="","",IF(AND(COUNTIF($CT$2:$CT$2,'История отказов'!AE319)=0,COUNTIFS('История отказов'!$F$5:F319,"ШГН",'История отказов'!$AE$5:AE319,'История отказов'!AE319)=1,'История отказов'!F319="ШГН"),315,""))</f>
        <v/>
      </c>
      <c r="DD316">
        <f>IF('История отказов'!AE319="","",IF(AND(COUNTIF($CU$2:$CU$3,'История отказов'!AE319)=0,COUNTIFS('История отказов'!$F$5:F319,"ЭЦН",'История отказов'!$AE$5:AE319,'История отказов'!AE319)=1,'История отказов'!F319="ЭЦН"),315,""))</f>
        <v/>
      </c>
      <c r="DE316">
        <f>IF('История отказов'!AE319="","",IF(AND(COUNTIF($CV$2:$CV$3,'История отказов'!AE319)=0,COUNTIFS('История отказов'!$F$5:F319,"ЭВН",'История отказов'!$AE$5:AE319,'История отказов'!AE319)=1,'История отказов'!F319="ЭВН"),315,""))</f>
        <v/>
      </c>
      <c r="DF316">
        <f>IF('История отказов'!AE319="","",IF(AND(COUNTIF($CX$2:$CX$2,'История отказов'!AE319)=0,COUNTIFS('История отказов'!$F$5:F319,"ШВН",'История отказов'!$AE$5:AE319,'История отказов'!AE319)=1,'История отказов'!F319="ШВН"),315,""))</f>
        <v/>
      </c>
      <c r="DG316">
        <f>IF('История отказов'!AE319="","",IF(AND(COUNTIF($CW$2:$CW$2,'История отказов'!AE319)=0,COUNTIFS('История отказов'!$F$5:F319,"НПУ-ВД",'История отказов'!$AE$5:AE319,'История отказов'!AE319)=1,'История отказов'!F319="НПУ-ВД"),315,""))</f>
        <v/>
      </c>
      <c r="DH316">
        <f>IF('История отказов'!AE319="","",IF(AND(COUNTIF($CY$2:$CY$6,'История отказов'!AE319)=0,COUNTIF('История отказов'!$AE$5:AE319,'История отказов'!AE319)=1),315,""))</f>
        <v/>
      </c>
      <c r="DI316">
        <f>IF('История отказов'!AK319="","",IF(AND(COUNTIF($CL$2:$CL$3,'История отказов'!AK319)=0,COUNTIF('История отказов'!$AK$5:AK319,'История отказов'!AK319)=1),315,""))</f>
        <v/>
      </c>
      <c r="DJ316">
        <f>IF('История отказов'!AU319="","",IF(AND(COUNTIF($CP$2:$CP$3,'История отказов'!AU319)=0,COUNTIF('История отказов'!$AU$5:AU319,'История отказов'!AU319)=1),315,""))</f>
        <v/>
      </c>
      <c r="DK316">
        <f>IF('История отказов'!AY319="","",IF(AND(COUNTIF($CR$2:$CR$2,'История отказов'!AY319)=0,COUNTIF('История отказов'!$AY$5:AY319,'История отказов'!AY319)=1),315,""))</f>
        <v/>
      </c>
      <c r="DL316">
        <f>IF(DB316="","",IF(AND(COUNTIF($DA$2:$DA$47,DB316)=0,COUNTIF($DB$2:DB316,DB316)=1),315,""))</f>
        <v/>
      </c>
    </row>
    <row r="317">
      <c r="A317" s="74" t="n"/>
      <c r="B317" s="75" t="n"/>
      <c r="C317" s="75" t="n"/>
      <c r="D317" s="75" t="n"/>
      <c r="E317" s="75" t="n"/>
      <c r="F317" s="75" t="n"/>
      <c r="G317" s="76" t="n"/>
      <c r="J317" s="62" t="n"/>
      <c r="K317" s="62" t="n"/>
      <c r="L317" s="62" t="n"/>
      <c r="M317" s="62" t="n"/>
      <c r="N317" s="62" t="n"/>
      <c r="Q317" t="inlineStr">
        <is>
          <t>ТКРС</t>
        </is>
      </c>
      <c r="R317" t="inlineStr">
        <is>
          <t>КР5-1 — Внедрение и ремонт установок типа ОРЭ, ОРЗ, пакеров-отсекателей.</t>
        </is>
      </c>
      <c r="S317" t="inlineStr">
        <is>
          <t>Код и наименование из документа</t>
        </is>
      </c>
      <c r="T317" t="inlineStr">
        <is>
          <t>Классификатор ремонтных работ, РД 153-39.0-088-01</t>
        </is>
      </c>
      <c r="U317" t="inlineStr">
        <is>
          <t>Таблица 4.1; код КР5-1</t>
        </is>
      </c>
      <c r="V317" t="inlineStr">
        <is>
          <t>Все типы</t>
        </is>
      </c>
      <c r="DB317">
        <f>IF('История отказов'!AH320="","",'История отказов'!AH320)</f>
        <v/>
      </c>
      <c r="DC317">
        <f>IF('История отказов'!AE320="","",IF(AND(COUNTIF($CT$2:$CT$2,'История отказов'!AE320)=0,COUNTIFS('История отказов'!$F$5:F320,"ШГН",'История отказов'!$AE$5:AE320,'История отказов'!AE320)=1,'История отказов'!F320="ШГН"),316,""))</f>
        <v/>
      </c>
      <c r="DD317">
        <f>IF('История отказов'!AE320="","",IF(AND(COUNTIF($CU$2:$CU$3,'История отказов'!AE320)=0,COUNTIFS('История отказов'!$F$5:F320,"ЭЦН",'История отказов'!$AE$5:AE320,'История отказов'!AE320)=1,'История отказов'!F320="ЭЦН"),316,""))</f>
        <v/>
      </c>
      <c r="DE317">
        <f>IF('История отказов'!AE320="","",IF(AND(COUNTIF($CV$2:$CV$3,'История отказов'!AE320)=0,COUNTIFS('История отказов'!$F$5:F320,"ЭВН",'История отказов'!$AE$5:AE320,'История отказов'!AE320)=1,'История отказов'!F320="ЭВН"),316,""))</f>
        <v/>
      </c>
      <c r="DF317">
        <f>IF('История отказов'!AE320="","",IF(AND(COUNTIF($CX$2:$CX$2,'История отказов'!AE320)=0,COUNTIFS('История отказов'!$F$5:F320,"ШВН",'История отказов'!$AE$5:AE320,'История отказов'!AE320)=1,'История отказов'!F320="ШВН"),316,""))</f>
        <v/>
      </c>
      <c r="DG317">
        <f>IF('История отказов'!AE320="","",IF(AND(COUNTIF($CW$2:$CW$2,'История отказов'!AE320)=0,COUNTIFS('История отказов'!$F$5:F320,"НПУ-ВД",'История отказов'!$AE$5:AE320,'История отказов'!AE320)=1,'История отказов'!F320="НПУ-ВД"),316,""))</f>
        <v/>
      </c>
      <c r="DH317">
        <f>IF('История отказов'!AE320="","",IF(AND(COUNTIF($CY$2:$CY$6,'История отказов'!AE320)=0,COUNTIF('История отказов'!$AE$5:AE320,'История отказов'!AE320)=1),316,""))</f>
        <v/>
      </c>
      <c r="DI317">
        <f>IF('История отказов'!AK320="","",IF(AND(COUNTIF($CL$2:$CL$3,'История отказов'!AK320)=0,COUNTIF('История отказов'!$AK$5:AK320,'История отказов'!AK320)=1),316,""))</f>
        <v/>
      </c>
      <c r="DJ317">
        <f>IF('История отказов'!AU320="","",IF(AND(COUNTIF($CP$2:$CP$3,'История отказов'!AU320)=0,COUNTIF('История отказов'!$AU$5:AU320,'История отказов'!AU320)=1),316,""))</f>
        <v/>
      </c>
      <c r="DK317">
        <f>IF('История отказов'!AY320="","",IF(AND(COUNTIF($CR$2:$CR$2,'История отказов'!AY320)=0,COUNTIF('История отказов'!$AY$5:AY320,'История отказов'!AY320)=1),316,""))</f>
        <v/>
      </c>
      <c r="DL317">
        <f>IF(DB317="","",IF(AND(COUNTIF($DA$2:$DA$47,DB317)=0,COUNTIF($DB$2:DB317,DB317)=1),316,""))</f>
        <v/>
      </c>
    </row>
    <row r="318">
      <c r="A318" s="74" t="n"/>
      <c r="B318" s="75" t="n"/>
      <c r="C318" s="75" t="n"/>
      <c r="D318" s="75" t="n"/>
      <c r="E318" s="75" t="n"/>
      <c r="F318" s="75" t="n"/>
      <c r="G318" s="76" t="n"/>
      <c r="J318" s="62" t="n"/>
      <c r="K318" s="62" t="n"/>
      <c r="L318" s="62" t="n"/>
      <c r="M318" s="62" t="n"/>
      <c r="N318" s="62" t="n"/>
      <c r="Q318" t="inlineStr">
        <is>
          <t>ТКРС</t>
        </is>
      </c>
      <c r="R318" t="inlineStr">
        <is>
          <t>КР5-2 — Внедрение и ремонт установок систем комплексов защиты пласта типа КЗП-140, КЗП-146, КЗП-168 и др.</t>
        </is>
      </c>
      <c r="S318" t="inlineStr">
        <is>
          <t>Код и наименование из документа</t>
        </is>
      </c>
      <c r="T318" t="inlineStr">
        <is>
          <t>Классификатор ремонтных работ, РД 153-39.0-088-01</t>
        </is>
      </c>
      <c r="U318" t="inlineStr">
        <is>
          <t>Таблица 4.1; код КР5-2</t>
        </is>
      </c>
      <c r="V318" t="inlineStr">
        <is>
          <t>Все типы</t>
        </is>
      </c>
      <c r="DB318">
        <f>IF('История отказов'!AH321="","",'История отказов'!AH321)</f>
        <v/>
      </c>
      <c r="DC318">
        <f>IF('История отказов'!AE321="","",IF(AND(COUNTIF($CT$2:$CT$2,'История отказов'!AE321)=0,COUNTIFS('История отказов'!$F$5:F321,"ШГН",'История отказов'!$AE$5:AE321,'История отказов'!AE321)=1,'История отказов'!F321="ШГН"),317,""))</f>
        <v/>
      </c>
      <c r="DD318">
        <f>IF('История отказов'!AE321="","",IF(AND(COUNTIF($CU$2:$CU$3,'История отказов'!AE321)=0,COUNTIFS('История отказов'!$F$5:F321,"ЭЦН",'История отказов'!$AE$5:AE321,'История отказов'!AE321)=1,'История отказов'!F321="ЭЦН"),317,""))</f>
        <v/>
      </c>
      <c r="DE318">
        <f>IF('История отказов'!AE321="","",IF(AND(COUNTIF($CV$2:$CV$3,'История отказов'!AE321)=0,COUNTIFS('История отказов'!$F$5:F321,"ЭВН",'История отказов'!$AE$5:AE321,'История отказов'!AE321)=1,'История отказов'!F321="ЭВН"),317,""))</f>
        <v/>
      </c>
      <c r="DF318">
        <f>IF('История отказов'!AE321="","",IF(AND(COUNTIF($CX$2:$CX$2,'История отказов'!AE321)=0,COUNTIFS('История отказов'!$F$5:F321,"ШВН",'История отказов'!$AE$5:AE321,'История отказов'!AE321)=1,'История отказов'!F321="ШВН"),317,""))</f>
        <v/>
      </c>
      <c r="DG318">
        <f>IF('История отказов'!AE321="","",IF(AND(COUNTIF($CW$2:$CW$2,'История отказов'!AE321)=0,COUNTIFS('История отказов'!$F$5:F321,"НПУ-ВД",'История отказов'!$AE$5:AE321,'История отказов'!AE321)=1,'История отказов'!F321="НПУ-ВД"),317,""))</f>
        <v/>
      </c>
      <c r="DH318">
        <f>IF('История отказов'!AE321="","",IF(AND(COUNTIF($CY$2:$CY$6,'История отказов'!AE321)=0,COUNTIF('История отказов'!$AE$5:AE321,'История отказов'!AE321)=1),317,""))</f>
        <v/>
      </c>
      <c r="DI318">
        <f>IF('История отказов'!AK321="","",IF(AND(COUNTIF($CL$2:$CL$3,'История отказов'!AK321)=0,COUNTIF('История отказов'!$AK$5:AK321,'История отказов'!AK321)=1),317,""))</f>
        <v/>
      </c>
      <c r="DJ318">
        <f>IF('История отказов'!AU321="","",IF(AND(COUNTIF($CP$2:$CP$3,'История отказов'!AU321)=0,COUNTIF('История отказов'!$AU$5:AU321,'История отказов'!AU321)=1),317,""))</f>
        <v/>
      </c>
      <c r="DK318">
        <f>IF('История отказов'!AY321="","",IF(AND(COUNTIF($CR$2:$CR$2,'История отказов'!AY321)=0,COUNTIF('История отказов'!$AY$5:AY321,'История отказов'!AY321)=1),317,""))</f>
        <v/>
      </c>
      <c r="DL318">
        <f>IF(DB318="","",IF(AND(COUNTIF($DA$2:$DA$47,DB318)=0,COUNTIF($DB$2:DB318,DB318)=1),317,""))</f>
        <v/>
      </c>
    </row>
    <row r="319">
      <c r="A319" s="74" t="n"/>
      <c r="B319" s="75" t="n"/>
      <c r="C319" s="75" t="n"/>
      <c r="D319" s="75" t="n"/>
      <c r="E319" s="75" t="n"/>
      <c r="F319" s="75" t="n"/>
      <c r="G319" s="76" t="n"/>
      <c r="J319" s="62" t="n"/>
      <c r="K319" s="62" t="n"/>
      <c r="L319" s="62" t="n"/>
      <c r="M319" s="62" t="n"/>
      <c r="N319" s="62" t="n"/>
      <c r="Q319" t="inlineStr">
        <is>
          <t>ТКРС</t>
        </is>
      </c>
      <c r="R319" t="inlineStr">
        <is>
          <t>КР6-1 — Зарезка и бурение бокового (ых) ствола (ов) в аварийной скважине.</t>
        </is>
      </c>
      <c r="S319" t="inlineStr">
        <is>
          <t>Код и наименование из документа</t>
        </is>
      </c>
      <c r="T319" t="inlineStr">
        <is>
          <t>Классификатор ремонтных работ, РД 153-39.0-088-01</t>
        </is>
      </c>
      <c r="U319" t="inlineStr">
        <is>
          <t>Таблица 4.1; код КР6-1</t>
        </is>
      </c>
      <c r="V319" t="inlineStr">
        <is>
          <t>Все типы</t>
        </is>
      </c>
      <c r="DB319">
        <f>IF('История отказов'!AH322="","",'История отказов'!AH322)</f>
        <v/>
      </c>
      <c r="DC319">
        <f>IF('История отказов'!AE322="","",IF(AND(COUNTIF($CT$2:$CT$2,'История отказов'!AE322)=0,COUNTIFS('История отказов'!$F$5:F322,"ШГН",'История отказов'!$AE$5:AE322,'История отказов'!AE322)=1,'История отказов'!F322="ШГН"),318,""))</f>
        <v/>
      </c>
      <c r="DD319">
        <f>IF('История отказов'!AE322="","",IF(AND(COUNTIF($CU$2:$CU$3,'История отказов'!AE322)=0,COUNTIFS('История отказов'!$F$5:F322,"ЭЦН",'История отказов'!$AE$5:AE322,'История отказов'!AE322)=1,'История отказов'!F322="ЭЦН"),318,""))</f>
        <v/>
      </c>
      <c r="DE319">
        <f>IF('История отказов'!AE322="","",IF(AND(COUNTIF($CV$2:$CV$3,'История отказов'!AE322)=0,COUNTIFS('История отказов'!$F$5:F322,"ЭВН",'История отказов'!$AE$5:AE322,'История отказов'!AE322)=1,'История отказов'!F322="ЭВН"),318,""))</f>
        <v/>
      </c>
      <c r="DF319">
        <f>IF('История отказов'!AE322="","",IF(AND(COUNTIF($CX$2:$CX$2,'История отказов'!AE322)=0,COUNTIFS('История отказов'!$F$5:F322,"ШВН",'История отказов'!$AE$5:AE322,'История отказов'!AE322)=1,'История отказов'!F322="ШВН"),318,""))</f>
        <v/>
      </c>
      <c r="DG319">
        <f>IF('История отказов'!AE322="","",IF(AND(COUNTIF($CW$2:$CW$2,'История отказов'!AE322)=0,COUNTIFS('История отказов'!$F$5:F322,"НПУ-ВД",'История отказов'!$AE$5:AE322,'История отказов'!AE322)=1,'История отказов'!F322="НПУ-ВД"),318,""))</f>
        <v/>
      </c>
      <c r="DH319">
        <f>IF('История отказов'!AE322="","",IF(AND(COUNTIF($CY$2:$CY$6,'История отказов'!AE322)=0,COUNTIF('История отказов'!$AE$5:AE322,'История отказов'!AE322)=1),318,""))</f>
        <v/>
      </c>
      <c r="DI319">
        <f>IF('История отказов'!AK322="","",IF(AND(COUNTIF($CL$2:$CL$3,'История отказов'!AK322)=0,COUNTIF('История отказов'!$AK$5:AK322,'История отказов'!AK322)=1),318,""))</f>
        <v/>
      </c>
      <c r="DJ319">
        <f>IF('История отказов'!AU322="","",IF(AND(COUNTIF($CP$2:$CP$3,'История отказов'!AU322)=0,COUNTIF('История отказов'!$AU$5:AU322,'История отказов'!AU322)=1),318,""))</f>
        <v/>
      </c>
      <c r="DK319">
        <f>IF('История отказов'!AY322="","",IF(AND(COUNTIF($CR$2:$CR$2,'История отказов'!AY322)=0,COUNTIF('История отказов'!$AY$5:AY322,'История отказов'!AY322)=1),318,""))</f>
        <v/>
      </c>
      <c r="DL319">
        <f>IF(DB319="","",IF(AND(COUNTIF($DA$2:$DA$47,DB319)=0,COUNTIF($DB$2:DB319,DB319)=1),318,""))</f>
        <v/>
      </c>
    </row>
    <row r="320">
      <c r="A320" s="74" t="n"/>
      <c r="B320" s="75" t="n"/>
      <c r="C320" s="75" t="n"/>
      <c r="D320" s="75" t="n"/>
      <c r="E320" s="75" t="n"/>
      <c r="F320" s="75" t="n"/>
      <c r="G320" s="76" t="n"/>
      <c r="J320" s="62" t="n"/>
      <c r="K320" s="62" t="n"/>
      <c r="L320" s="62" t="n"/>
      <c r="M320" s="62" t="n"/>
      <c r="N320" s="62" t="n"/>
      <c r="Q320" t="inlineStr">
        <is>
          <t>ТКРС</t>
        </is>
      </c>
      <c r="R320" t="inlineStr">
        <is>
          <t>КР6-2 — Зарезка и бурение бокового (ых) ствола (ов) в преждевременно обводненной или низкопродуктивной скважинах.</t>
        </is>
      </c>
      <c r="S320" t="inlineStr">
        <is>
          <t>Код и наименование из документа</t>
        </is>
      </c>
      <c r="T320" t="inlineStr">
        <is>
          <t>Классификатор ремонтных работ, РД 153-39.0-088-01</t>
        </is>
      </c>
      <c r="U320" t="inlineStr">
        <is>
          <t>Таблица 4.1; код КР6-2</t>
        </is>
      </c>
      <c r="V320" t="inlineStr">
        <is>
          <t>Все типы</t>
        </is>
      </c>
      <c r="DB320">
        <f>IF('История отказов'!AH323="","",'История отказов'!AH323)</f>
        <v/>
      </c>
      <c r="DC320">
        <f>IF('История отказов'!AE323="","",IF(AND(COUNTIF($CT$2:$CT$2,'История отказов'!AE323)=0,COUNTIFS('История отказов'!$F$5:F323,"ШГН",'История отказов'!$AE$5:AE323,'История отказов'!AE323)=1,'История отказов'!F323="ШГН"),319,""))</f>
        <v/>
      </c>
      <c r="DD320">
        <f>IF('История отказов'!AE323="","",IF(AND(COUNTIF($CU$2:$CU$3,'История отказов'!AE323)=0,COUNTIFS('История отказов'!$F$5:F323,"ЭЦН",'История отказов'!$AE$5:AE323,'История отказов'!AE323)=1,'История отказов'!F323="ЭЦН"),319,""))</f>
        <v/>
      </c>
      <c r="DE320">
        <f>IF('История отказов'!AE323="","",IF(AND(COUNTIF($CV$2:$CV$3,'История отказов'!AE323)=0,COUNTIFS('История отказов'!$F$5:F323,"ЭВН",'История отказов'!$AE$5:AE323,'История отказов'!AE323)=1,'История отказов'!F323="ЭВН"),319,""))</f>
        <v/>
      </c>
      <c r="DF320">
        <f>IF('История отказов'!AE323="","",IF(AND(COUNTIF($CX$2:$CX$2,'История отказов'!AE323)=0,COUNTIFS('История отказов'!$F$5:F323,"ШВН",'История отказов'!$AE$5:AE323,'История отказов'!AE323)=1,'История отказов'!F323="ШВН"),319,""))</f>
        <v/>
      </c>
      <c r="DG320">
        <f>IF('История отказов'!AE323="","",IF(AND(COUNTIF($CW$2:$CW$2,'История отказов'!AE323)=0,COUNTIFS('История отказов'!$F$5:F323,"НПУ-ВД",'История отказов'!$AE$5:AE323,'История отказов'!AE323)=1,'История отказов'!F323="НПУ-ВД"),319,""))</f>
        <v/>
      </c>
      <c r="DH320">
        <f>IF('История отказов'!AE323="","",IF(AND(COUNTIF($CY$2:$CY$6,'История отказов'!AE323)=0,COUNTIF('История отказов'!$AE$5:AE323,'История отказов'!AE323)=1),319,""))</f>
        <v/>
      </c>
      <c r="DI320">
        <f>IF('История отказов'!AK323="","",IF(AND(COUNTIF($CL$2:$CL$3,'История отказов'!AK323)=0,COUNTIF('История отказов'!$AK$5:AK323,'История отказов'!AK323)=1),319,""))</f>
        <v/>
      </c>
      <c r="DJ320">
        <f>IF('История отказов'!AU323="","",IF(AND(COUNTIF($CP$2:$CP$3,'История отказов'!AU323)=0,COUNTIF('История отказов'!$AU$5:AU323,'История отказов'!AU323)=1),319,""))</f>
        <v/>
      </c>
      <c r="DK320">
        <f>IF('История отказов'!AY323="","",IF(AND(COUNTIF($CR$2:$CR$2,'История отказов'!AY323)=0,COUNTIF('История отказов'!$AY$5:AY323,'История отказов'!AY323)=1),319,""))</f>
        <v/>
      </c>
      <c r="DL320">
        <f>IF(DB320="","",IF(AND(COUNTIF($DA$2:$DA$47,DB320)=0,COUNTIF($DB$2:DB320,DB320)=1),319,""))</f>
        <v/>
      </c>
    </row>
    <row r="321">
      <c r="A321" s="74" t="n"/>
      <c r="B321" s="75" t="n"/>
      <c r="C321" s="75" t="n"/>
      <c r="D321" s="75" t="n"/>
      <c r="E321" s="75" t="n"/>
      <c r="F321" s="75" t="n"/>
      <c r="G321" s="76" t="n"/>
      <c r="J321" s="62" t="n"/>
      <c r="K321" s="62" t="n"/>
      <c r="L321" s="62" t="n"/>
      <c r="M321" s="62" t="n"/>
      <c r="N321" s="62" t="n"/>
      <c r="Q321" t="inlineStr">
        <is>
          <t>ТКРС</t>
        </is>
      </c>
      <c r="R321" t="inlineStr">
        <is>
          <t>КР6-3 — Зарезка бокового или продолжение ствола скважины с переходом на горизонтальный участок в преждевременно обводненной или в низкопродуктивной скважинах.</t>
        </is>
      </c>
      <c r="S321" t="inlineStr">
        <is>
          <t>Код и наименование из документа</t>
        </is>
      </c>
      <c r="T321" t="inlineStr">
        <is>
          <t>Классификатор ремонтных работ, РД 153-39.0-088-01</t>
        </is>
      </c>
      <c r="U321" t="inlineStr">
        <is>
          <t>Таблица 4.1; код КР6-3</t>
        </is>
      </c>
      <c r="V321" t="inlineStr">
        <is>
          <t>Все типы</t>
        </is>
      </c>
      <c r="DB321">
        <f>IF('История отказов'!AH324="","",'История отказов'!AH324)</f>
        <v/>
      </c>
      <c r="DC321">
        <f>IF('История отказов'!AE324="","",IF(AND(COUNTIF($CT$2:$CT$2,'История отказов'!AE324)=0,COUNTIFS('История отказов'!$F$5:F324,"ШГН",'История отказов'!$AE$5:AE324,'История отказов'!AE324)=1,'История отказов'!F324="ШГН"),320,""))</f>
        <v/>
      </c>
      <c r="DD321">
        <f>IF('История отказов'!AE324="","",IF(AND(COUNTIF($CU$2:$CU$3,'История отказов'!AE324)=0,COUNTIFS('История отказов'!$F$5:F324,"ЭЦН",'История отказов'!$AE$5:AE324,'История отказов'!AE324)=1,'История отказов'!F324="ЭЦН"),320,""))</f>
        <v/>
      </c>
      <c r="DE321">
        <f>IF('История отказов'!AE324="","",IF(AND(COUNTIF($CV$2:$CV$3,'История отказов'!AE324)=0,COUNTIFS('История отказов'!$F$5:F324,"ЭВН",'История отказов'!$AE$5:AE324,'История отказов'!AE324)=1,'История отказов'!F324="ЭВН"),320,""))</f>
        <v/>
      </c>
      <c r="DF321">
        <f>IF('История отказов'!AE324="","",IF(AND(COUNTIF($CX$2:$CX$2,'История отказов'!AE324)=0,COUNTIFS('История отказов'!$F$5:F324,"ШВН",'История отказов'!$AE$5:AE324,'История отказов'!AE324)=1,'История отказов'!F324="ШВН"),320,""))</f>
        <v/>
      </c>
      <c r="DG321">
        <f>IF('История отказов'!AE324="","",IF(AND(COUNTIF($CW$2:$CW$2,'История отказов'!AE324)=0,COUNTIFS('История отказов'!$F$5:F324,"НПУ-ВД",'История отказов'!$AE$5:AE324,'История отказов'!AE324)=1,'История отказов'!F324="НПУ-ВД"),320,""))</f>
        <v/>
      </c>
      <c r="DH321">
        <f>IF('История отказов'!AE324="","",IF(AND(COUNTIF($CY$2:$CY$6,'История отказов'!AE324)=0,COUNTIF('История отказов'!$AE$5:AE324,'История отказов'!AE324)=1),320,""))</f>
        <v/>
      </c>
      <c r="DI321">
        <f>IF('История отказов'!AK324="","",IF(AND(COUNTIF($CL$2:$CL$3,'История отказов'!AK324)=0,COUNTIF('История отказов'!$AK$5:AK324,'История отказов'!AK324)=1),320,""))</f>
        <v/>
      </c>
      <c r="DJ321">
        <f>IF('История отказов'!AU324="","",IF(AND(COUNTIF($CP$2:$CP$3,'История отказов'!AU324)=0,COUNTIF('История отказов'!$AU$5:AU324,'История отказов'!AU324)=1),320,""))</f>
        <v/>
      </c>
      <c r="DK321">
        <f>IF('История отказов'!AY324="","",IF(AND(COUNTIF($CR$2:$CR$2,'История отказов'!AY324)=0,COUNTIF('История отказов'!$AY$5:AY324,'История отказов'!AY324)=1),320,""))</f>
        <v/>
      </c>
      <c r="DL321">
        <f>IF(DB321="","",IF(AND(COUNTIF($DA$2:$DA$47,DB321)=0,COUNTIF($DB$2:DB321,DB321)=1),320,""))</f>
        <v/>
      </c>
    </row>
    <row r="322">
      <c r="A322" s="74" t="n"/>
      <c r="B322" s="75" t="n"/>
      <c r="C322" s="75" t="n"/>
      <c r="D322" s="75" t="n"/>
      <c r="E322" s="75" t="n"/>
      <c r="F322" s="75" t="n"/>
      <c r="G322" s="76" t="n"/>
      <c r="J322" s="62" t="n"/>
      <c r="K322" s="62" t="n"/>
      <c r="L322" s="62" t="n"/>
      <c r="M322" s="62" t="n"/>
      <c r="N322" s="62" t="n"/>
      <c r="Q322" t="inlineStr">
        <is>
          <t>ТКРС</t>
        </is>
      </c>
      <c r="R322" t="inlineStr">
        <is>
          <t>КР6-4 — Проводка горизонтального участка скважины с целью повышения нефтеотдачи пласта.</t>
        </is>
      </c>
      <c r="S322" t="inlineStr">
        <is>
          <t>Код и наименование из документа</t>
        </is>
      </c>
      <c r="T322" t="inlineStr">
        <is>
          <t>Классификатор ремонтных работ, РД 153-39.0-088-01</t>
        </is>
      </c>
      <c r="U322" t="inlineStr">
        <is>
          <t>Таблица 4.1; код КР6-4</t>
        </is>
      </c>
      <c r="V322" t="inlineStr">
        <is>
          <t>Все типы</t>
        </is>
      </c>
      <c r="DB322">
        <f>IF('История отказов'!AH325="","",'История отказов'!AH325)</f>
        <v/>
      </c>
      <c r="DC322">
        <f>IF('История отказов'!AE325="","",IF(AND(COUNTIF($CT$2:$CT$2,'История отказов'!AE325)=0,COUNTIFS('История отказов'!$F$5:F325,"ШГН",'История отказов'!$AE$5:AE325,'История отказов'!AE325)=1,'История отказов'!F325="ШГН"),321,""))</f>
        <v/>
      </c>
      <c r="DD322">
        <f>IF('История отказов'!AE325="","",IF(AND(COUNTIF($CU$2:$CU$3,'История отказов'!AE325)=0,COUNTIFS('История отказов'!$F$5:F325,"ЭЦН",'История отказов'!$AE$5:AE325,'История отказов'!AE325)=1,'История отказов'!F325="ЭЦН"),321,""))</f>
        <v/>
      </c>
      <c r="DE322">
        <f>IF('История отказов'!AE325="","",IF(AND(COUNTIF($CV$2:$CV$3,'История отказов'!AE325)=0,COUNTIFS('История отказов'!$F$5:F325,"ЭВН",'История отказов'!$AE$5:AE325,'История отказов'!AE325)=1,'История отказов'!F325="ЭВН"),321,""))</f>
        <v/>
      </c>
      <c r="DF322">
        <f>IF('История отказов'!AE325="","",IF(AND(COUNTIF($CX$2:$CX$2,'История отказов'!AE325)=0,COUNTIFS('История отказов'!$F$5:F325,"ШВН",'История отказов'!$AE$5:AE325,'История отказов'!AE325)=1,'История отказов'!F325="ШВН"),321,""))</f>
        <v/>
      </c>
      <c r="DG322">
        <f>IF('История отказов'!AE325="","",IF(AND(COUNTIF($CW$2:$CW$2,'История отказов'!AE325)=0,COUNTIFS('История отказов'!$F$5:F325,"НПУ-ВД",'История отказов'!$AE$5:AE325,'История отказов'!AE325)=1,'История отказов'!F325="НПУ-ВД"),321,""))</f>
        <v/>
      </c>
      <c r="DH322">
        <f>IF('История отказов'!AE325="","",IF(AND(COUNTIF($CY$2:$CY$6,'История отказов'!AE325)=0,COUNTIF('История отказов'!$AE$5:AE325,'История отказов'!AE325)=1),321,""))</f>
        <v/>
      </c>
      <c r="DI322">
        <f>IF('История отказов'!AK325="","",IF(AND(COUNTIF($CL$2:$CL$3,'История отказов'!AK325)=0,COUNTIF('История отказов'!$AK$5:AK325,'История отказов'!AK325)=1),321,""))</f>
        <v/>
      </c>
      <c r="DJ322">
        <f>IF('История отказов'!AU325="","",IF(AND(COUNTIF($CP$2:$CP$3,'История отказов'!AU325)=0,COUNTIF('История отказов'!$AU$5:AU325,'История отказов'!AU325)=1),321,""))</f>
        <v/>
      </c>
      <c r="DK322">
        <f>IF('История отказов'!AY325="","",IF(AND(COUNTIF($CR$2:$CR$2,'История отказов'!AY325)=0,COUNTIF('История отказов'!$AY$5:AY325,'История отказов'!AY325)=1),321,""))</f>
        <v/>
      </c>
      <c r="DL322">
        <f>IF(DB322="","",IF(AND(COUNTIF($DA$2:$DA$47,DB322)=0,COUNTIF($DB$2:DB322,DB322)=1),321,""))</f>
        <v/>
      </c>
    </row>
    <row r="323">
      <c r="A323" s="74" t="n"/>
      <c r="B323" s="75" t="n"/>
      <c r="C323" s="75" t="n"/>
      <c r="D323" s="75" t="n"/>
      <c r="E323" s="75" t="n"/>
      <c r="F323" s="75" t="n"/>
      <c r="G323" s="76" t="n"/>
      <c r="J323" s="62" t="n"/>
      <c r="K323" s="62" t="n"/>
      <c r="L323" s="62" t="n"/>
      <c r="M323" s="62" t="n"/>
      <c r="N323" s="62" t="n"/>
      <c r="Q323" t="inlineStr">
        <is>
          <t>ТКРС</t>
        </is>
      </c>
      <c r="R323" t="inlineStr">
        <is>
          <t>КР6-5 — Бурение цементного стакана.</t>
        </is>
      </c>
      <c r="S323" t="inlineStr">
        <is>
          <t>Код и наименование из документа</t>
        </is>
      </c>
      <c r="T323" t="inlineStr">
        <is>
          <t>Классификатор ремонтных работ, РД 153-39.0-088-01</t>
        </is>
      </c>
      <c r="U323" t="inlineStr">
        <is>
          <t>Таблица 4.1; код КР6-5</t>
        </is>
      </c>
      <c r="V323" t="inlineStr">
        <is>
          <t>Все типы</t>
        </is>
      </c>
      <c r="DB323">
        <f>IF('История отказов'!AH326="","",'История отказов'!AH326)</f>
        <v/>
      </c>
      <c r="DC323">
        <f>IF('История отказов'!AE326="","",IF(AND(COUNTIF($CT$2:$CT$2,'История отказов'!AE326)=0,COUNTIFS('История отказов'!$F$5:F326,"ШГН",'История отказов'!$AE$5:AE326,'История отказов'!AE326)=1,'История отказов'!F326="ШГН"),322,""))</f>
        <v/>
      </c>
      <c r="DD323">
        <f>IF('История отказов'!AE326="","",IF(AND(COUNTIF($CU$2:$CU$3,'История отказов'!AE326)=0,COUNTIFS('История отказов'!$F$5:F326,"ЭЦН",'История отказов'!$AE$5:AE326,'История отказов'!AE326)=1,'История отказов'!F326="ЭЦН"),322,""))</f>
        <v/>
      </c>
      <c r="DE323">
        <f>IF('История отказов'!AE326="","",IF(AND(COUNTIF($CV$2:$CV$3,'История отказов'!AE326)=0,COUNTIFS('История отказов'!$F$5:F326,"ЭВН",'История отказов'!$AE$5:AE326,'История отказов'!AE326)=1,'История отказов'!F326="ЭВН"),322,""))</f>
        <v/>
      </c>
      <c r="DF323">
        <f>IF('История отказов'!AE326="","",IF(AND(COUNTIF($CX$2:$CX$2,'История отказов'!AE326)=0,COUNTIFS('История отказов'!$F$5:F326,"ШВН",'История отказов'!$AE$5:AE326,'История отказов'!AE326)=1,'История отказов'!F326="ШВН"),322,""))</f>
        <v/>
      </c>
      <c r="DG323">
        <f>IF('История отказов'!AE326="","",IF(AND(COUNTIF($CW$2:$CW$2,'История отказов'!AE326)=0,COUNTIFS('История отказов'!$F$5:F326,"НПУ-ВД",'История отказов'!$AE$5:AE326,'История отказов'!AE326)=1,'История отказов'!F326="НПУ-ВД"),322,""))</f>
        <v/>
      </c>
      <c r="DH323">
        <f>IF('История отказов'!AE326="","",IF(AND(COUNTIF($CY$2:$CY$6,'История отказов'!AE326)=0,COUNTIF('История отказов'!$AE$5:AE326,'История отказов'!AE326)=1),322,""))</f>
        <v/>
      </c>
      <c r="DI323">
        <f>IF('История отказов'!AK326="","",IF(AND(COUNTIF($CL$2:$CL$3,'История отказов'!AK326)=0,COUNTIF('История отказов'!$AK$5:AK326,'История отказов'!AK326)=1),322,""))</f>
        <v/>
      </c>
      <c r="DJ323">
        <f>IF('История отказов'!AU326="","",IF(AND(COUNTIF($CP$2:$CP$3,'История отказов'!AU326)=0,COUNTIF('История отказов'!$AU$5:AU326,'История отказов'!AU326)=1),322,""))</f>
        <v/>
      </c>
      <c r="DK323">
        <f>IF('История отказов'!AY326="","",IF(AND(COUNTIF($CR$2:$CR$2,'История отказов'!AY326)=0,COUNTIF('История отказов'!$AY$5:AY326,'История отказов'!AY326)=1),322,""))</f>
        <v/>
      </c>
      <c r="DL323">
        <f>IF(DB323="","",IF(AND(COUNTIF($DA$2:$DA$47,DB323)=0,COUNTIF($DB$2:DB323,DB323)=1),322,""))</f>
        <v/>
      </c>
    </row>
    <row r="324">
      <c r="A324" s="74" t="n"/>
      <c r="B324" s="75" t="n"/>
      <c r="C324" s="75" t="n"/>
      <c r="D324" s="75" t="n"/>
      <c r="E324" s="75" t="n"/>
      <c r="F324" s="75" t="n"/>
      <c r="G324" s="76" t="n"/>
      <c r="J324" s="62" t="n"/>
      <c r="K324" s="62" t="n"/>
      <c r="L324" s="62" t="n"/>
      <c r="M324" s="62" t="n"/>
      <c r="N324" s="62" t="n"/>
      <c r="Q324" t="inlineStr">
        <is>
          <t>ТКРС</t>
        </is>
      </c>
      <c r="R324" t="inlineStr">
        <is>
          <t>КР6-6 — Фрезирование башмака колонны с углублением ствола в горной породе.</t>
        </is>
      </c>
      <c r="S324" t="inlineStr">
        <is>
          <t>Код и наименование из документа</t>
        </is>
      </c>
      <c r="T324" t="inlineStr">
        <is>
          <t>Классификатор ремонтных работ, РД 153-39.0-088-01</t>
        </is>
      </c>
      <c r="U324" t="inlineStr">
        <is>
          <t>Таблица 4.1; код КР6-6</t>
        </is>
      </c>
      <c r="V324" t="inlineStr">
        <is>
          <t>Все типы</t>
        </is>
      </c>
      <c r="DB324">
        <f>IF('История отказов'!AH327="","",'История отказов'!AH327)</f>
        <v/>
      </c>
      <c r="DC324">
        <f>IF('История отказов'!AE327="","",IF(AND(COUNTIF($CT$2:$CT$2,'История отказов'!AE327)=0,COUNTIFS('История отказов'!$F$5:F327,"ШГН",'История отказов'!$AE$5:AE327,'История отказов'!AE327)=1,'История отказов'!F327="ШГН"),323,""))</f>
        <v/>
      </c>
      <c r="DD324">
        <f>IF('История отказов'!AE327="","",IF(AND(COUNTIF($CU$2:$CU$3,'История отказов'!AE327)=0,COUNTIFS('История отказов'!$F$5:F327,"ЭЦН",'История отказов'!$AE$5:AE327,'История отказов'!AE327)=1,'История отказов'!F327="ЭЦН"),323,""))</f>
        <v/>
      </c>
      <c r="DE324">
        <f>IF('История отказов'!AE327="","",IF(AND(COUNTIF($CV$2:$CV$3,'История отказов'!AE327)=0,COUNTIFS('История отказов'!$F$5:F327,"ЭВН",'История отказов'!$AE$5:AE327,'История отказов'!AE327)=1,'История отказов'!F327="ЭВН"),323,""))</f>
        <v/>
      </c>
      <c r="DF324">
        <f>IF('История отказов'!AE327="","",IF(AND(COUNTIF($CX$2:$CX$2,'История отказов'!AE327)=0,COUNTIFS('История отказов'!$F$5:F327,"ШВН",'История отказов'!$AE$5:AE327,'История отказов'!AE327)=1,'История отказов'!F327="ШВН"),323,""))</f>
        <v/>
      </c>
      <c r="DG324">
        <f>IF('История отказов'!AE327="","",IF(AND(COUNTIF($CW$2:$CW$2,'История отказов'!AE327)=0,COUNTIFS('История отказов'!$F$5:F327,"НПУ-ВД",'История отказов'!$AE$5:AE327,'История отказов'!AE327)=1,'История отказов'!F327="НПУ-ВД"),323,""))</f>
        <v/>
      </c>
      <c r="DH324">
        <f>IF('История отказов'!AE327="","",IF(AND(COUNTIF($CY$2:$CY$6,'История отказов'!AE327)=0,COUNTIF('История отказов'!$AE$5:AE327,'История отказов'!AE327)=1),323,""))</f>
        <v/>
      </c>
      <c r="DI324">
        <f>IF('История отказов'!AK327="","",IF(AND(COUNTIF($CL$2:$CL$3,'История отказов'!AK327)=0,COUNTIF('История отказов'!$AK$5:AK327,'История отказов'!AK327)=1),323,""))</f>
        <v/>
      </c>
      <c r="DJ324">
        <f>IF('История отказов'!AU327="","",IF(AND(COUNTIF($CP$2:$CP$3,'История отказов'!AU327)=0,COUNTIF('История отказов'!$AU$5:AU327,'История отказов'!AU327)=1),323,""))</f>
        <v/>
      </c>
      <c r="DK324">
        <f>IF('История отказов'!AY327="","",IF(AND(COUNTIF($CR$2:$CR$2,'История отказов'!AY327)=0,COUNTIF('История отказов'!$AY$5:AY327,'История отказов'!AY327)=1),323,""))</f>
        <v/>
      </c>
      <c r="DL324">
        <f>IF(DB324="","",IF(AND(COUNTIF($DA$2:$DA$47,DB324)=0,COUNTIF($DB$2:DB324,DB324)=1),323,""))</f>
        <v/>
      </c>
    </row>
    <row r="325">
      <c r="A325" s="74" t="n"/>
      <c r="B325" s="75" t="n"/>
      <c r="C325" s="75" t="n"/>
      <c r="D325" s="75" t="n"/>
      <c r="E325" s="75" t="n"/>
      <c r="F325" s="75" t="n"/>
      <c r="G325" s="76" t="n"/>
      <c r="J325" s="62" t="n"/>
      <c r="K325" s="62" t="n"/>
      <c r="L325" s="62" t="n"/>
      <c r="M325" s="62" t="n"/>
      <c r="N325" s="62" t="n"/>
      <c r="Q325" t="inlineStr">
        <is>
          <t>ТКРС</t>
        </is>
      </c>
      <c r="R325" t="inlineStr">
        <is>
          <t>КР6-8 — Зарезка и бурение бокового (ых) ствола (ов) в скважине с многоствольным заканчиванием и с проводкой горизонтального (ых) участка (ов) в продуктивном пласте.</t>
        </is>
      </c>
      <c r="S325" t="inlineStr">
        <is>
          <t>Код и наименование из документа</t>
        </is>
      </c>
      <c r="T325" t="inlineStr">
        <is>
          <t>Классификатор ремонтных работ, РД 153-39.0-088-01</t>
        </is>
      </c>
      <c r="U325" t="inlineStr">
        <is>
          <t>Таблица 4.1; код КР6-8</t>
        </is>
      </c>
      <c r="V325" t="inlineStr">
        <is>
          <t>Все типы</t>
        </is>
      </c>
      <c r="DB325">
        <f>IF('История отказов'!AH328="","",'История отказов'!AH328)</f>
        <v/>
      </c>
      <c r="DC325">
        <f>IF('История отказов'!AE328="","",IF(AND(COUNTIF($CT$2:$CT$2,'История отказов'!AE328)=0,COUNTIFS('История отказов'!$F$5:F328,"ШГН",'История отказов'!$AE$5:AE328,'История отказов'!AE328)=1,'История отказов'!F328="ШГН"),324,""))</f>
        <v/>
      </c>
      <c r="DD325">
        <f>IF('История отказов'!AE328="","",IF(AND(COUNTIF($CU$2:$CU$3,'История отказов'!AE328)=0,COUNTIFS('История отказов'!$F$5:F328,"ЭЦН",'История отказов'!$AE$5:AE328,'История отказов'!AE328)=1,'История отказов'!F328="ЭЦН"),324,""))</f>
        <v/>
      </c>
      <c r="DE325">
        <f>IF('История отказов'!AE328="","",IF(AND(COUNTIF($CV$2:$CV$3,'История отказов'!AE328)=0,COUNTIFS('История отказов'!$F$5:F328,"ЭВН",'История отказов'!$AE$5:AE328,'История отказов'!AE328)=1,'История отказов'!F328="ЭВН"),324,""))</f>
        <v/>
      </c>
      <c r="DF325">
        <f>IF('История отказов'!AE328="","",IF(AND(COUNTIF($CX$2:$CX$2,'История отказов'!AE328)=0,COUNTIFS('История отказов'!$F$5:F328,"ШВН",'История отказов'!$AE$5:AE328,'История отказов'!AE328)=1,'История отказов'!F328="ШВН"),324,""))</f>
        <v/>
      </c>
      <c r="DG325">
        <f>IF('История отказов'!AE328="","",IF(AND(COUNTIF($CW$2:$CW$2,'История отказов'!AE328)=0,COUNTIFS('История отказов'!$F$5:F328,"НПУ-ВД",'История отказов'!$AE$5:AE328,'История отказов'!AE328)=1,'История отказов'!F328="НПУ-ВД"),324,""))</f>
        <v/>
      </c>
      <c r="DH325">
        <f>IF('История отказов'!AE328="","",IF(AND(COUNTIF($CY$2:$CY$6,'История отказов'!AE328)=0,COUNTIF('История отказов'!$AE$5:AE328,'История отказов'!AE328)=1),324,""))</f>
        <v/>
      </c>
      <c r="DI325">
        <f>IF('История отказов'!AK328="","",IF(AND(COUNTIF($CL$2:$CL$3,'История отказов'!AK328)=0,COUNTIF('История отказов'!$AK$5:AK328,'История отказов'!AK328)=1),324,""))</f>
        <v/>
      </c>
      <c r="DJ325">
        <f>IF('История отказов'!AU328="","",IF(AND(COUNTIF($CP$2:$CP$3,'История отказов'!AU328)=0,COUNTIF('История отказов'!$AU$5:AU328,'История отказов'!AU328)=1),324,""))</f>
        <v/>
      </c>
      <c r="DK325">
        <f>IF('История отказов'!AY328="","",IF(AND(COUNTIF($CR$2:$CR$2,'История отказов'!AY328)=0,COUNTIF('История отказов'!$AY$5:AY328,'История отказов'!AY328)=1),324,""))</f>
        <v/>
      </c>
      <c r="DL325">
        <f>IF(DB325="","",IF(AND(COUNTIF($DA$2:$DA$47,DB325)=0,COUNTIF($DB$2:DB325,DB325)=1),324,""))</f>
        <v/>
      </c>
    </row>
    <row r="326">
      <c r="A326" s="74" t="n"/>
      <c r="B326" s="75" t="n"/>
      <c r="C326" s="75" t="n"/>
      <c r="D326" s="75" t="n"/>
      <c r="E326" s="75" t="n"/>
      <c r="F326" s="75" t="n"/>
      <c r="G326" s="76" t="n"/>
      <c r="J326" s="62" t="n"/>
      <c r="K326" s="62" t="n"/>
      <c r="L326" s="62" t="n"/>
      <c r="M326" s="62" t="n"/>
      <c r="N326" s="62" t="n"/>
      <c r="Q326" t="inlineStr">
        <is>
          <t>ТКРС</t>
        </is>
      </c>
      <c r="R326" t="inlineStr">
        <is>
          <t>КР6-9 — Зарезка и бурение бокового (ых) горизонтального (ых) ствола (ов) в аварийной скважине.</t>
        </is>
      </c>
      <c r="S326" t="inlineStr">
        <is>
          <t>Код и наименование из документа</t>
        </is>
      </c>
      <c r="T326" t="inlineStr">
        <is>
          <t>Классификатор ремонтных работ, РД 153-39.0-088-01</t>
        </is>
      </c>
      <c r="U326" t="inlineStr">
        <is>
          <t>Таблица 4.1; код КР6-9</t>
        </is>
      </c>
      <c r="V326" t="inlineStr">
        <is>
          <t>Все типы</t>
        </is>
      </c>
      <c r="DB326">
        <f>IF('История отказов'!AH329="","",'История отказов'!AH329)</f>
        <v/>
      </c>
      <c r="DC326">
        <f>IF('История отказов'!AE329="","",IF(AND(COUNTIF($CT$2:$CT$2,'История отказов'!AE329)=0,COUNTIFS('История отказов'!$F$5:F329,"ШГН",'История отказов'!$AE$5:AE329,'История отказов'!AE329)=1,'История отказов'!F329="ШГН"),325,""))</f>
        <v/>
      </c>
      <c r="DD326">
        <f>IF('История отказов'!AE329="","",IF(AND(COUNTIF($CU$2:$CU$3,'История отказов'!AE329)=0,COUNTIFS('История отказов'!$F$5:F329,"ЭЦН",'История отказов'!$AE$5:AE329,'История отказов'!AE329)=1,'История отказов'!F329="ЭЦН"),325,""))</f>
        <v/>
      </c>
      <c r="DE326">
        <f>IF('История отказов'!AE329="","",IF(AND(COUNTIF($CV$2:$CV$3,'История отказов'!AE329)=0,COUNTIFS('История отказов'!$F$5:F329,"ЭВН",'История отказов'!$AE$5:AE329,'История отказов'!AE329)=1,'История отказов'!F329="ЭВН"),325,""))</f>
        <v/>
      </c>
      <c r="DF326">
        <f>IF('История отказов'!AE329="","",IF(AND(COUNTIF($CX$2:$CX$2,'История отказов'!AE329)=0,COUNTIFS('История отказов'!$F$5:F329,"ШВН",'История отказов'!$AE$5:AE329,'История отказов'!AE329)=1,'История отказов'!F329="ШВН"),325,""))</f>
        <v/>
      </c>
      <c r="DG326">
        <f>IF('История отказов'!AE329="","",IF(AND(COUNTIF($CW$2:$CW$2,'История отказов'!AE329)=0,COUNTIFS('История отказов'!$F$5:F329,"НПУ-ВД",'История отказов'!$AE$5:AE329,'История отказов'!AE329)=1,'История отказов'!F329="НПУ-ВД"),325,""))</f>
        <v/>
      </c>
      <c r="DH326">
        <f>IF('История отказов'!AE329="","",IF(AND(COUNTIF($CY$2:$CY$6,'История отказов'!AE329)=0,COUNTIF('История отказов'!$AE$5:AE329,'История отказов'!AE329)=1),325,""))</f>
        <v/>
      </c>
      <c r="DI326">
        <f>IF('История отказов'!AK329="","",IF(AND(COUNTIF($CL$2:$CL$3,'История отказов'!AK329)=0,COUNTIF('История отказов'!$AK$5:AK329,'История отказов'!AK329)=1),325,""))</f>
        <v/>
      </c>
      <c r="DJ326">
        <f>IF('История отказов'!AU329="","",IF(AND(COUNTIF($CP$2:$CP$3,'История отказов'!AU329)=0,COUNTIF('История отказов'!$AU$5:AU329,'История отказов'!AU329)=1),325,""))</f>
        <v/>
      </c>
      <c r="DK326">
        <f>IF('История отказов'!AY329="","",IF(AND(COUNTIF($CR$2:$CR$2,'История отказов'!AY329)=0,COUNTIF('История отказов'!$AY$5:AY329,'История отказов'!AY329)=1),325,""))</f>
        <v/>
      </c>
      <c r="DL326">
        <f>IF(DB326="","",IF(AND(COUNTIF($DA$2:$DA$47,DB326)=0,COUNTIF($DB$2:DB326,DB326)=1),325,""))</f>
        <v/>
      </c>
    </row>
    <row r="327">
      <c r="A327" s="74" t="n"/>
      <c r="B327" s="75" t="n"/>
      <c r="C327" s="75" t="n"/>
      <c r="D327" s="75" t="n"/>
      <c r="E327" s="75" t="n"/>
      <c r="F327" s="75" t="n"/>
      <c r="G327" s="76" t="n"/>
      <c r="J327" s="62" t="n"/>
      <c r="K327" s="62" t="n"/>
      <c r="L327" s="62" t="n"/>
      <c r="M327" s="62" t="n"/>
      <c r="N327" s="62" t="n"/>
      <c r="Q327" t="inlineStr">
        <is>
          <t>ТКРС</t>
        </is>
      </c>
      <c r="R327" t="inlineStr">
        <is>
          <t>КР7-1 — Проведение кислотной обработки.</t>
        </is>
      </c>
      <c r="S327" t="inlineStr">
        <is>
          <t>Код и наименование из документа</t>
        </is>
      </c>
      <c r="T327" t="inlineStr">
        <is>
          <t>Классификатор ремонтных работ, РД 153-39.0-088-01</t>
        </is>
      </c>
      <c r="U327" t="inlineStr">
        <is>
          <t>Таблица 4.1; код КР7-1</t>
        </is>
      </c>
      <c r="V327" t="inlineStr">
        <is>
          <t>Все типы</t>
        </is>
      </c>
      <c r="DB327">
        <f>IF('История отказов'!AH330="","",'История отказов'!AH330)</f>
        <v/>
      </c>
      <c r="DC327">
        <f>IF('История отказов'!AE330="","",IF(AND(COUNTIF($CT$2:$CT$2,'История отказов'!AE330)=0,COUNTIFS('История отказов'!$F$5:F330,"ШГН",'История отказов'!$AE$5:AE330,'История отказов'!AE330)=1,'История отказов'!F330="ШГН"),326,""))</f>
        <v/>
      </c>
      <c r="DD327">
        <f>IF('История отказов'!AE330="","",IF(AND(COUNTIF($CU$2:$CU$3,'История отказов'!AE330)=0,COUNTIFS('История отказов'!$F$5:F330,"ЭЦН",'История отказов'!$AE$5:AE330,'История отказов'!AE330)=1,'История отказов'!F330="ЭЦН"),326,""))</f>
        <v/>
      </c>
      <c r="DE327">
        <f>IF('История отказов'!AE330="","",IF(AND(COUNTIF($CV$2:$CV$3,'История отказов'!AE330)=0,COUNTIFS('История отказов'!$F$5:F330,"ЭВН",'История отказов'!$AE$5:AE330,'История отказов'!AE330)=1,'История отказов'!F330="ЭВН"),326,""))</f>
        <v/>
      </c>
      <c r="DF327">
        <f>IF('История отказов'!AE330="","",IF(AND(COUNTIF($CX$2:$CX$2,'История отказов'!AE330)=0,COUNTIFS('История отказов'!$F$5:F330,"ШВН",'История отказов'!$AE$5:AE330,'История отказов'!AE330)=1,'История отказов'!F330="ШВН"),326,""))</f>
        <v/>
      </c>
      <c r="DG327">
        <f>IF('История отказов'!AE330="","",IF(AND(COUNTIF($CW$2:$CW$2,'История отказов'!AE330)=0,COUNTIFS('История отказов'!$F$5:F330,"НПУ-ВД",'История отказов'!$AE$5:AE330,'История отказов'!AE330)=1,'История отказов'!F330="НПУ-ВД"),326,""))</f>
        <v/>
      </c>
      <c r="DH327">
        <f>IF('История отказов'!AE330="","",IF(AND(COUNTIF($CY$2:$CY$6,'История отказов'!AE330)=0,COUNTIF('История отказов'!$AE$5:AE330,'История отказов'!AE330)=1),326,""))</f>
        <v/>
      </c>
      <c r="DI327">
        <f>IF('История отказов'!AK330="","",IF(AND(COUNTIF($CL$2:$CL$3,'История отказов'!AK330)=0,COUNTIF('История отказов'!$AK$5:AK330,'История отказов'!AK330)=1),326,""))</f>
        <v/>
      </c>
      <c r="DJ327">
        <f>IF('История отказов'!AU330="","",IF(AND(COUNTIF($CP$2:$CP$3,'История отказов'!AU330)=0,COUNTIF('История отказов'!$AU$5:AU330,'История отказов'!AU330)=1),326,""))</f>
        <v/>
      </c>
      <c r="DK327">
        <f>IF('История отказов'!AY330="","",IF(AND(COUNTIF($CR$2:$CR$2,'История отказов'!AY330)=0,COUNTIF('История отказов'!$AY$5:AY330,'История отказов'!AY330)=1),326,""))</f>
        <v/>
      </c>
      <c r="DL327">
        <f>IF(DB327="","",IF(AND(COUNTIF($DA$2:$DA$47,DB327)=0,COUNTIF($DB$2:DB327,DB327)=1),326,""))</f>
        <v/>
      </c>
    </row>
    <row r="328">
      <c r="A328" s="74" t="n"/>
      <c r="B328" s="75" t="n"/>
      <c r="C328" s="75" t="n"/>
      <c r="D328" s="75" t="n"/>
      <c r="E328" s="75" t="n"/>
      <c r="F328" s="75" t="n"/>
      <c r="G328" s="76" t="n"/>
      <c r="J328" s="62" t="n"/>
      <c r="K328" s="62" t="n"/>
      <c r="L328" s="62" t="n"/>
      <c r="M328" s="62" t="n"/>
      <c r="N328" s="62" t="n"/>
      <c r="Q328" t="inlineStr">
        <is>
          <t>ТКРС</t>
        </is>
      </c>
      <c r="R328" t="inlineStr">
        <is>
          <t>КР7-2 — Проведение ГРП.</t>
        </is>
      </c>
      <c r="S328" t="inlineStr">
        <is>
          <t>Код и наименование из документа</t>
        </is>
      </c>
      <c r="T328" t="inlineStr">
        <is>
          <t>Классификатор ремонтных работ, РД 153-39.0-088-01</t>
        </is>
      </c>
      <c r="U328" t="inlineStr">
        <is>
          <t>Таблица 4.1; код КР7-2</t>
        </is>
      </c>
      <c r="V328" t="inlineStr">
        <is>
          <t>Все типы</t>
        </is>
      </c>
      <c r="DB328">
        <f>IF('История отказов'!AH331="","",'История отказов'!AH331)</f>
        <v/>
      </c>
      <c r="DC328">
        <f>IF('История отказов'!AE331="","",IF(AND(COUNTIF($CT$2:$CT$2,'История отказов'!AE331)=0,COUNTIFS('История отказов'!$F$5:F331,"ШГН",'История отказов'!$AE$5:AE331,'История отказов'!AE331)=1,'История отказов'!F331="ШГН"),327,""))</f>
        <v/>
      </c>
      <c r="DD328">
        <f>IF('История отказов'!AE331="","",IF(AND(COUNTIF($CU$2:$CU$3,'История отказов'!AE331)=0,COUNTIFS('История отказов'!$F$5:F331,"ЭЦН",'История отказов'!$AE$5:AE331,'История отказов'!AE331)=1,'История отказов'!F331="ЭЦН"),327,""))</f>
        <v/>
      </c>
      <c r="DE328">
        <f>IF('История отказов'!AE331="","",IF(AND(COUNTIF($CV$2:$CV$3,'История отказов'!AE331)=0,COUNTIFS('История отказов'!$F$5:F331,"ЭВН",'История отказов'!$AE$5:AE331,'История отказов'!AE331)=1,'История отказов'!F331="ЭВН"),327,""))</f>
        <v/>
      </c>
      <c r="DF328">
        <f>IF('История отказов'!AE331="","",IF(AND(COUNTIF($CX$2:$CX$2,'История отказов'!AE331)=0,COUNTIFS('История отказов'!$F$5:F331,"ШВН",'История отказов'!$AE$5:AE331,'История отказов'!AE331)=1,'История отказов'!F331="ШВН"),327,""))</f>
        <v/>
      </c>
      <c r="DG328">
        <f>IF('История отказов'!AE331="","",IF(AND(COUNTIF($CW$2:$CW$2,'История отказов'!AE331)=0,COUNTIFS('История отказов'!$F$5:F331,"НПУ-ВД",'История отказов'!$AE$5:AE331,'История отказов'!AE331)=1,'История отказов'!F331="НПУ-ВД"),327,""))</f>
        <v/>
      </c>
      <c r="DH328">
        <f>IF('История отказов'!AE331="","",IF(AND(COUNTIF($CY$2:$CY$6,'История отказов'!AE331)=0,COUNTIF('История отказов'!$AE$5:AE331,'История отказов'!AE331)=1),327,""))</f>
        <v/>
      </c>
      <c r="DI328">
        <f>IF('История отказов'!AK331="","",IF(AND(COUNTIF($CL$2:$CL$3,'История отказов'!AK331)=0,COUNTIF('История отказов'!$AK$5:AK331,'История отказов'!AK331)=1),327,""))</f>
        <v/>
      </c>
      <c r="DJ328">
        <f>IF('История отказов'!AU331="","",IF(AND(COUNTIF($CP$2:$CP$3,'История отказов'!AU331)=0,COUNTIF('История отказов'!$AU$5:AU331,'История отказов'!AU331)=1),327,""))</f>
        <v/>
      </c>
      <c r="DK328">
        <f>IF('История отказов'!AY331="","",IF(AND(COUNTIF($CR$2:$CR$2,'История отказов'!AY331)=0,COUNTIF('История отказов'!$AY$5:AY331,'История отказов'!AY331)=1),327,""))</f>
        <v/>
      </c>
      <c r="DL328">
        <f>IF(DB328="","",IF(AND(COUNTIF($DA$2:$DA$47,DB328)=0,COUNTIF($DB$2:DB328,DB328)=1),327,""))</f>
        <v/>
      </c>
    </row>
    <row r="329">
      <c r="A329" s="74" t="n"/>
      <c r="B329" s="75" t="n"/>
      <c r="C329" s="75" t="n"/>
      <c r="D329" s="75" t="n"/>
      <c r="E329" s="75" t="n"/>
      <c r="F329" s="75" t="n"/>
      <c r="G329" s="76" t="n"/>
      <c r="J329" s="62" t="n"/>
      <c r="K329" s="62" t="n"/>
      <c r="L329" s="62" t="n"/>
      <c r="M329" s="62" t="n"/>
      <c r="N329" s="62" t="n"/>
      <c r="Q329" t="inlineStr">
        <is>
          <t>ТКРС</t>
        </is>
      </c>
      <c r="R329" t="inlineStr">
        <is>
          <t>КР7-3 — Проведение ГГРП.</t>
        </is>
      </c>
      <c r="S329" t="inlineStr">
        <is>
          <t>Код и наименование из документа</t>
        </is>
      </c>
      <c r="T329" t="inlineStr">
        <is>
          <t>Классификатор ремонтных работ, РД 153-39.0-088-01</t>
        </is>
      </c>
      <c r="U329" t="inlineStr">
        <is>
          <t>Таблица 4.1; код КР7-3</t>
        </is>
      </c>
      <c r="V329" t="inlineStr">
        <is>
          <t>Все типы</t>
        </is>
      </c>
      <c r="DB329">
        <f>IF('История отказов'!AH332="","",'История отказов'!AH332)</f>
        <v/>
      </c>
      <c r="DC329">
        <f>IF('История отказов'!AE332="","",IF(AND(COUNTIF($CT$2:$CT$2,'История отказов'!AE332)=0,COUNTIFS('История отказов'!$F$5:F332,"ШГН",'История отказов'!$AE$5:AE332,'История отказов'!AE332)=1,'История отказов'!F332="ШГН"),328,""))</f>
        <v/>
      </c>
      <c r="DD329">
        <f>IF('История отказов'!AE332="","",IF(AND(COUNTIF($CU$2:$CU$3,'История отказов'!AE332)=0,COUNTIFS('История отказов'!$F$5:F332,"ЭЦН",'История отказов'!$AE$5:AE332,'История отказов'!AE332)=1,'История отказов'!F332="ЭЦН"),328,""))</f>
        <v/>
      </c>
      <c r="DE329">
        <f>IF('История отказов'!AE332="","",IF(AND(COUNTIF($CV$2:$CV$3,'История отказов'!AE332)=0,COUNTIFS('История отказов'!$F$5:F332,"ЭВН",'История отказов'!$AE$5:AE332,'История отказов'!AE332)=1,'История отказов'!F332="ЭВН"),328,""))</f>
        <v/>
      </c>
      <c r="DF329">
        <f>IF('История отказов'!AE332="","",IF(AND(COUNTIF($CX$2:$CX$2,'История отказов'!AE332)=0,COUNTIFS('История отказов'!$F$5:F332,"ШВН",'История отказов'!$AE$5:AE332,'История отказов'!AE332)=1,'История отказов'!F332="ШВН"),328,""))</f>
        <v/>
      </c>
      <c r="DG329">
        <f>IF('История отказов'!AE332="","",IF(AND(COUNTIF($CW$2:$CW$2,'История отказов'!AE332)=0,COUNTIFS('История отказов'!$F$5:F332,"НПУ-ВД",'История отказов'!$AE$5:AE332,'История отказов'!AE332)=1,'История отказов'!F332="НПУ-ВД"),328,""))</f>
        <v/>
      </c>
      <c r="DH329">
        <f>IF('История отказов'!AE332="","",IF(AND(COUNTIF($CY$2:$CY$6,'История отказов'!AE332)=0,COUNTIF('История отказов'!$AE$5:AE332,'История отказов'!AE332)=1),328,""))</f>
        <v/>
      </c>
      <c r="DI329">
        <f>IF('История отказов'!AK332="","",IF(AND(COUNTIF($CL$2:$CL$3,'История отказов'!AK332)=0,COUNTIF('История отказов'!$AK$5:AK332,'История отказов'!AK332)=1),328,""))</f>
        <v/>
      </c>
      <c r="DJ329">
        <f>IF('История отказов'!AU332="","",IF(AND(COUNTIF($CP$2:$CP$3,'История отказов'!AU332)=0,COUNTIF('История отказов'!$AU$5:AU332,'История отказов'!AU332)=1),328,""))</f>
        <v/>
      </c>
      <c r="DK329">
        <f>IF('История отказов'!AY332="","",IF(AND(COUNTIF($CR$2:$CR$2,'История отказов'!AY332)=0,COUNTIF('История отказов'!$AY$5:AY332,'История отказов'!AY332)=1),328,""))</f>
        <v/>
      </c>
      <c r="DL329">
        <f>IF(DB329="","",IF(AND(COUNTIF($DA$2:$DA$47,DB329)=0,COUNTIF($DB$2:DB329,DB329)=1),328,""))</f>
        <v/>
      </c>
    </row>
    <row r="330">
      <c r="A330" s="74" t="n"/>
      <c r="B330" s="75" t="n"/>
      <c r="C330" s="75" t="n"/>
      <c r="D330" s="75" t="n"/>
      <c r="E330" s="75" t="n"/>
      <c r="F330" s="75" t="n"/>
      <c r="G330" s="76" t="n"/>
      <c r="J330" s="62" t="n"/>
      <c r="K330" s="62" t="n"/>
      <c r="L330" s="62" t="n"/>
      <c r="M330" s="62" t="n"/>
      <c r="N330" s="62" t="n"/>
      <c r="Q330" t="inlineStr">
        <is>
          <t>ТКРС</t>
        </is>
      </c>
      <c r="R330" t="inlineStr">
        <is>
          <t>КР7-4 — Проведение ГПП.</t>
        </is>
      </c>
      <c r="S330" t="inlineStr">
        <is>
          <t>Код и наименование из документа</t>
        </is>
      </c>
      <c r="T330" t="inlineStr">
        <is>
          <t>Классификатор ремонтных работ, РД 153-39.0-088-01</t>
        </is>
      </c>
      <c r="U330" t="inlineStr">
        <is>
          <t>Таблица 4.1; код КР7-4</t>
        </is>
      </c>
      <c r="V330" t="inlineStr">
        <is>
          <t>Все типы</t>
        </is>
      </c>
      <c r="DB330">
        <f>IF('История отказов'!AH333="","",'История отказов'!AH333)</f>
        <v/>
      </c>
      <c r="DC330">
        <f>IF('История отказов'!AE333="","",IF(AND(COUNTIF($CT$2:$CT$2,'История отказов'!AE333)=0,COUNTIFS('История отказов'!$F$5:F333,"ШГН",'История отказов'!$AE$5:AE333,'История отказов'!AE333)=1,'История отказов'!F333="ШГН"),329,""))</f>
        <v/>
      </c>
      <c r="DD330">
        <f>IF('История отказов'!AE333="","",IF(AND(COUNTIF($CU$2:$CU$3,'История отказов'!AE333)=0,COUNTIFS('История отказов'!$F$5:F333,"ЭЦН",'История отказов'!$AE$5:AE333,'История отказов'!AE333)=1,'История отказов'!F333="ЭЦН"),329,""))</f>
        <v/>
      </c>
      <c r="DE330">
        <f>IF('История отказов'!AE333="","",IF(AND(COUNTIF($CV$2:$CV$3,'История отказов'!AE333)=0,COUNTIFS('История отказов'!$F$5:F333,"ЭВН",'История отказов'!$AE$5:AE333,'История отказов'!AE333)=1,'История отказов'!F333="ЭВН"),329,""))</f>
        <v/>
      </c>
      <c r="DF330">
        <f>IF('История отказов'!AE333="","",IF(AND(COUNTIF($CX$2:$CX$2,'История отказов'!AE333)=0,COUNTIFS('История отказов'!$F$5:F333,"ШВН",'История отказов'!$AE$5:AE333,'История отказов'!AE333)=1,'История отказов'!F333="ШВН"),329,""))</f>
        <v/>
      </c>
      <c r="DG330">
        <f>IF('История отказов'!AE333="","",IF(AND(COUNTIF($CW$2:$CW$2,'История отказов'!AE333)=0,COUNTIFS('История отказов'!$F$5:F333,"НПУ-ВД",'История отказов'!$AE$5:AE333,'История отказов'!AE333)=1,'История отказов'!F333="НПУ-ВД"),329,""))</f>
        <v/>
      </c>
      <c r="DH330">
        <f>IF('История отказов'!AE333="","",IF(AND(COUNTIF($CY$2:$CY$6,'История отказов'!AE333)=0,COUNTIF('История отказов'!$AE$5:AE333,'История отказов'!AE333)=1),329,""))</f>
        <v/>
      </c>
      <c r="DI330">
        <f>IF('История отказов'!AK333="","",IF(AND(COUNTIF($CL$2:$CL$3,'История отказов'!AK333)=0,COUNTIF('История отказов'!$AK$5:AK333,'История отказов'!AK333)=1),329,""))</f>
        <v/>
      </c>
      <c r="DJ330">
        <f>IF('История отказов'!AU333="","",IF(AND(COUNTIF($CP$2:$CP$3,'История отказов'!AU333)=0,COUNTIF('История отказов'!$AU$5:AU333,'История отказов'!AU333)=1),329,""))</f>
        <v/>
      </c>
      <c r="DK330">
        <f>IF('История отказов'!AY333="","",IF(AND(COUNTIF($CR$2:$CR$2,'История отказов'!AY333)=0,COUNTIF('История отказов'!$AY$5:AY333,'История отказов'!AY333)=1),329,""))</f>
        <v/>
      </c>
      <c r="DL330">
        <f>IF(DB330="","",IF(AND(COUNTIF($DA$2:$DA$47,DB330)=0,COUNTIF($DB$2:DB330,DB330)=1),329,""))</f>
        <v/>
      </c>
    </row>
    <row r="331">
      <c r="A331" s="74" t="n"/>
      <c r="B331" s="75" t="n"/>
      <c r="C331" s="75" t="n"/>
      <c r="D331" s="75" t="n"/>
      <c r="E331" s="75" t="n"/>
      <c r="F331" s="75" t="n"/>
      <c r="G331" s="76" t="n"/>
      <c r="J331" s="62" t="n"/>
      <c r="K331" s="62" t="n"/>
      <c r="L331" s="62" t="n"/>
      <c r="M331" s="62" t="n"/>
      <c r="N331" s="62" t="n"/>
      <c r="Q331" t="inlineStr">
        <is>
          <t>ТКРС</t>
        </is>
      </c>
      <c r="R331" t="inlineStr">
        <is>
          <t>КР7-5 — Виброобработка призабойной зоны пласта.</t>
        </is>
      </c>
      <c r="S331" t="inlineStr">
        <is>
          <t>Код и наименование из документа</t>
        </is>
      </c>
      <c r="T331" t="inlineStr">
        <is>
          <t>Классификатор ремонтных работ, РД 153-39.0-088-01</t>
        </is>
      </c>
      <c r="U331" t="inlineStr">
        <is>
          <t>Таблица 4.1; код КР7-5</t>
        </is>
      </c>
      <c r="V331" t="inlineStr">
        <is>
          <t>Все типы</t>
        </is>
      </c>
      <c r="DB331">
        <f>IF('История отказов'!AH334="","",'История отказов'!AH334)</f>
        <v/>
      </c>
      <c r="DC331">
        <f>IF('История отказов'!AE334="","",IF(AND(COUNTIF($CT$2:$CT$2,'История отказов'!AE334)=0,COUNTIFS('История отказов'!$F$5:F334,"ШГН",'История отказов'!$AE$5:AE334,'История отказов'!AE334)=1,'История отказов'!F334="ШГН"),330,""))</f>
        <v/>
      </c>
      <c r="DD331">
        <f>IF('История отказов'!AE334="","",IF(AND(COUNTIF($CU$2:$CU$3,'История отказов'!AE334)=0,COUNTIFS('История отказов'!$F$5:F334,"ЭЦН",'История отказов'!$AE$5:AE334,'История отказов'!AE334)=1,'История отказов'!F334="ЭЦН"),330,""))</f>
        <v/>
      </c>
      <c r="DE331">
        <f>IF('История отказов'!AE334="","",IF(AND(COUNTIF($CV$2:$CV$3,'История отказов'!AE334)=0,COUNTIFS('История отказов'!$F$5:F334,"ЭВН",'История отказов'!$AE$5:AE334,'История отказов'!AE334)=1,'История отказов'!F334="ЭВН"),330,""))</f>
        <v/>
      </c>
      <c r="DF331">
        <f>IF('История отказов'!AE334="","",IF(AND(COUNTIF($CX$2:$CX$2,'История отказов'!AE334)=0,COUNTIFS('История отказов'!$F$5:F334,"ШВН",'История отказов'!$AE$5:AE334,'История отказов'!AE334)=1,'История отказов'!F334="ШВН"),330,""))</f>
        <v/>
      </c>
      <c r="DG331">
        <f>IF('История отказов'!AE334="","",IF(AND(COUNTIF($CW$2:$CW$2,'История отказов'!AE334)=0,COUNTIFS('История отказов'!$F$5:F334,"НПУ-ВД",'История отказов'!$AE$5:AE334,'История отказов'!AE334)=1,'История отказов'!F334="НПУ-ВД"),330,""))</f>
        <v/>
      </c>
      <c r="DH331">
        <f>IF('История отказов'!AE334="","",IF(AND(COUNTIF($CY$2:$CY$6,'История отказов'!AE334)=0,COUNTIF('История отказов'!$AE$5:AE334,'История отказов'!AE334)=1),330,""))</f>
        <v/>
      </c>
      <c r="DI331">
        <f>IF('История отказов'!AK334="","",IF(AND(COUNTIF($CL$2:$CL$3,'История отказов'!AK334)=0,COUNTIF('История отказов'!$AK$5:AK334,'История отказов'!AK334)=1),330,""))</f>
        <v/>
      </c>
      <c r="DJ331">
        <f>IF('История отказов'!AU334="","",IF(AND(COUNTIF($CP$2:$CP$3,'История отказов'!AU334)=0,COUNTIF('История отказов'!$AU$5:AU334,'История отказов'!AU334)=1),330,""))</f>
        <v/>
      </c>
      <c r="DK331">
        <f>IF('История отказов'!AY334="","",IF(AND(COUNTIF($CR$2:$CR$2,'История отказов'!AY334)=0,COUNTIF('История отказов'!$AY$5:AY334,'История отказов'!AY334)=1),330,""))</f>
        <v/>
      </c>
      <c r="DL331">
        <f>IF(DB331="","",IF(AND(COUNTIF($DA$2:$DA$47,DB331)=0,COUNTIF($DB$2:DB331,DB331)=1),330,""))</f>
        <v/>
      </c>
    </row>
    <row r="332">
      <c r="A332" s="74" t="n"/>
      <c r="B332" s="75" t="n"/>
      <c r="C332" s="75" t="n"/>
      <c r="D332" s="75" t="n"/>
      <c r="E332" s="75" t="n"/>
      <c r="F332" s="75" t="n"/>
      <c r="G332" s="76" t="n"/>
      <c r="J332" s="62" t="n"/>
      <c r="K332" s="62" t="n"/>
      <c r="L332" s="62" t="n"/>
      <c r="M332" s="62" t="n"/>
      <c r="N332" s="62" t="n"/>
      <c r="Q332" t="inlineStr">
        <is>
          <t>ТКРС</t>
        </is>
      </c>
      <c r="R332" t="inlineStr">
        <is>
          <t>КР7-6 — Термообработка призабойной зоны пласта.</t>
        </is>
      </c>
      <c r="S332" t="inlineStr">
        <is>
          <t>Код и наименование из документа</t>
        </is>
      </c>
      <c r="T332" t="inlineStr">
        <is>
          <t>Классификатор ремонтных работ, РД 153-39.0-088-01</t>
        </is>
      </c>
      <c r="U332" t="inlineStr">
        <is>
          <t>Таблица 4.1; код КР7-6</t>
        </is>
      </c>
      <c r="V332" t="inlineStr">
        <is>
          <t>Все типы</t>
        </is>
      </c>
      <c r="DB332">
        <f>IF('История отказов'!AH335="","",'История отказов'!AH335)</f>
        <v/>
      </c>
      <c r="DC332">
        <f>IF('История отказов'!AE335="","",IF(AND(COUNTIF($CT$2:$CT$2,'История отказов'!AE335)=0,COUNTIFS('История отказов'!$F$5:F335,"ШГН",'История отказов'!$AE$5:AE335,'История отказов'!AE335)=1,'История отказов'!F335="ШГН"),331,""))</f>
        <v/>
      </c>
      <c r="DD332">
        <f>IF('История отказов'!AE335="","",IF(AND(COUNTIF($CU$2:$CU$3,'История отказов'!AE335)=0,COUNTIFS('История отказов'!$F$5:F335,"ЭЦН",'История отказов'!$AE$5:AE335,'История отказов'!AE335)=1,'История отказов'!F335="ЭЦН"),331,""))</f>
        <v/>
      </c>
      <c r="DE332">
        <f>IF('История отказов'!AE335="","",IF(AND(COUNTIF($CV$2:$CV$3,'История отказов'!AE335)=0,COUNTIFS('История отказов'!$F$5:F335,"ЭВН",'История отказов'!$AE$5:AE335,'История отказов'!AE335)=1,'История отказов'!F335="ЭВН"),331,""))</f>
        <v/>
      </c>
      <c r="DF332">
        <f>IF('История отказов'!AE335="","",IF(AND(COUNTIF($CX$2:$CX$2,'История отказов'!AE335)=0,COUNTIFS('История отказов'!$F$5:F335,"ШВН",'История отказов'!$AE$5:AE335,'История отказов'!AE335)=1,'История отказов'!F335="ШВН"),331,""))</f>
        <v/>
      </c>
      <c r="DG332">
        <f>IF('История отказов'!AE335="","",IF(AND(COUNTIF($CW$2:$CW$2,'История отказов'!AE335)=0,COUNTIFS('История отказов'!$F$5:F335,"НПУ-ВД",'История отказов'!$AE$5:AE335,'История отказов'!AE335)=1,'История отказов'!F335="НПУ-ВД"),331,""))</f>
        <v/>
      </c>
      <c r="DH332">
        <f>IF('История отказов'!AE335="","",IF(AND(COUNTIF($CY$2:$CY$6,'История отказов'!AE335)=0,COUNTIF('История отказов'!$AE$5:AE335,'История отказов'!AE335)=1),331,""))</f>
        <v/>
      </c>
      <c r="DI332">
        <f>IF('История отказов'!AK335="","",IF(AND(COUNTIF($CL$2:$CL$3,'История отказов'!AK335)=0,COUNTIF('История отказов'!$AK$5:AK335,'История отказов'!AK335)=1),331,""))</f>
        <v/>
      </c>
      <c r="DJ332">
        <f>IF('История отказов'!AU335="","",IF(AND(COUNTIF($CP$2:$CP$3,'История отказов'!AU335)=0,COUNTIF('История отказов'!$AU$5:AU335,'История отказов'!AU335)=1),331,""))</f>
        <v/>
      </c>
      <c r="DK332">
        <f>IF('История отказов'!AY335="","",IF(AND(COUNTIF($CR$2:$CR$2,'История отказов'!AY335)=0,COUNTIF('История отказов'!$AY$5:AY335,'История отказов'!AY335)=1),331,""))</f>
        <v/>
      </c>
      <c r="DL332">
        <f>IF(DB332="","",IF(AND(COUNTIF($DA$2:$DA$47,DB332)=0,COUNTIF($DB$2:DB332,DB332)=1),331,""))</f>
        <v/>
      </c>
    </row>
    <row r="333">
      <c r="A333" s="74" t="n"/>
      <c r="B333" s="75" t="n"/>
      <c r="C333" s="75" t="n"/>
      <c r="D333" s="75" t="n"/>
      <c r="E333" s="75" t="n"/>
      <c r="F333" s="75" t="n"/>
      <c r="G333" s="76" t="n"/>
      <c r="J333" s="62" t="n"/>
      <c r="K333" s="62" t="n"/>
      <c r="L333" s="62" t="n"/>
      <c r="M333" s="62" t="n"/>
      <c r="N333" s="62" t="n"/>
      <c r="Q333" t="inlineStr">
        <is>
          <t>ТКРС</t>
        </is>
      </c>
      <c r="R333" t="inlineStr">
        <is>
          <t>КР7-7 — Промывка призабойной зоны.</t>
        </is>
      </c>
      <c r="S333" t="inlineStr">
        <is>
          <t>Код и наименование из документа</t>
        </is>
      </c>
      <c r="T333" t="inlineStr">
        <is>
          <t>Классификатор ремонтных работ, РД 153-39.0-088-01</t>
        </is>
      </c>
      <c r="U333" t="inlineStr">
        <is>
          <t>Таблица 4.1; код КР7-7</t>
        </is>
      </c>
      <c r="V333" t="inlineStr">
        <is>
          <t>Все типы</t>
        </is>
      </c>
      <c r="DB333">
        <f>IF('История отказов'!AH336="","",'История отказов'!AH336)</f>
        <v/>
      </c>
      <c r="DC333">
        <f>IF('История отказов'!AE336="","",IF(AND(COUNTIF($CT$2:$CT$2,'История отказов'!AE336)=0,COUNTIFS('История отказов'!$F$5:F336,"ШГН",'История отказов'!$AE$5:AE336,'История отказов'!AE336)=1,'История отказов'!F336="ШГН"),332,""))</f>
        <v/>
      </c>
      <c r="DD333">
        <f>IF('История отказов'!AE336="","",IF(AND(COUNTIF($CU$2:$CU$3,'История отказов'!AE336)=0,COUNTIFS('История отказов'!$F$5:F336,"ЭЦН",'История отказов'!$AE$5:AE336,'История отказов'!AE336)=1,'История отказов'!F336="ЭЦН"),332,""))</f>
        <v/>
      </c>
      <c r="DE333">
        <f>IF('История отказов'!AE336="","",IF(AND(COUNTIF($CV$2:$CV$3,'История отказов'!AE336)=0,COUNTIFS('История отказов'!$F$5:F336,"ЭВН",'История отказов'!$AE$5:AE336,'История отказов'!AE336)=1,'История отказов'!F336="ЭВН"),332,""))</f>
        <v/>
      </c>
      <c r="DF333">
        <f>IF('История отказов'!AE336="","",IF(AND(COUNTIF($CX$2:$CX$2,'История отказов'!AE336)=0,COUNTIFS('История отказов'!$F$5:F336,"ШВН",'История отказов'!$AE$5:AE336,'История отказов'!AE336)=1,'История отказов'!F336="ШВН"),332,""))</f>
        <v/>
      </c>
      <c r="DG333">
        <f>IF('История отказов'!AE336="","",IF(AND(COUNTIF($CW$2:$CW$2,'История отказов'!AE336)=0,COUNTIFS('История отказов'!$F$5:F336,"НПУ-ВД",'История отказов'!$AE$5:AE336,'История отказов'!AE336)=1,'История отказов'!F336="НПУ-ВД"),332,""))</f>
        <v/>
      </c>
      <c r="DH333">
        <f>IF('История отказов'!AE336="","",IF(AND(COUNTIF($CY$2:$CY$6,'История отказов'!AE336)=0,COUNTIF('История отказов'!$AE$5:AE336,'История отказов'!AE336)=1),332,""))</f>
        <v/>
      </c>
      <c r="DI333">
        <f>IF('История отказов'!AK336="","",IF(AND(COUNTIF($CL$2:$CL$3,'История отказов'!AK336)=0,COUNTIF('История отказов'!$AK$5:AK336,'История отказов'!AK336)=1),332,""))</f>
        <v/>
      </c>
      <c r="DJ333">
        <f>IF('История отказов'!AU336="","",IF(AND(COUNTIF($CP$2:$CP$3,'История отказов'!AU336)=0,COUNTIF('История отказов'!$AU$5:AU336,'История отказов'!AU336)=1),332,""))</f>
        <v/>
      </c>
      <c r="DK333">
        <f>IF('История отказов'!AY336="","",IF(AND(COUNTIF($CR$2:$CR$2,'История отказов'!AY336)=0,COUNTIF('История отказов'!$AY$5:AY336,'История отказов'!AY336)=1),332,""))</f>
        <v/>
      </c>
      <c r="DL333">
        <f>IF(DB333="","",IF(AND(COUNTIF($DA$2:$DA$47,DB333)=0,COUNTIF($DB$2:DB333,DB333)=1),332,""))</f>
        <v/>
      </c>
    </row>
    <row r="334">
      <c r="A334" s="74" t="n"/>
      <c r="B334" s="75" t="n"/>
      <c r="C334" s="75" t="n"/>
      <c r="D334" s="75" t="n"/>
      <c r="E334" s="75" t="n"/>
      <c r="F334" s="75" t="n"/>
      <c r="G334" s="76" t="n"/>
      <c r="J334" s="62" t="n"/>
      <c r="K334" s="62" t="n"/>
      <c r="L334" s="62" t="n"/>
      <c r="M334" s="62" t="n"/>
      <c r="N334" s="62" t="n"/>
      <c r="Q334" t="inlineStr">
        <is>
          <t>ТКРС</t>
        </is>
      </c>
      <c r="R334" t="inlineStr">
        <is>
          <t>КР7-8 — Промывка и пропитка призабойной зоны плата растворами ПАВ.</t>
        </is>
      </c>
      <c r="S334" t="inlineStr">
        <is>
          <t>Код и наименование из документа</t>
        </is>
      </c>
      <c r="T334" t="inlineStr">
        <is>
          <t>Классификатор ремонтных работ, РД 153-39.0-088-01</t>
        </is>
      </c>
      <c r="U334" t="inlineStr">
        <is>
          <t>Таблица 4.1; код КР7-8</t>
        </is>
      </c>
      <c r="V334" t="inlineStr">
        <is>
          <t>Все типы</t>
        </is>
      </c>
      <c r="DB334">
        <f>IF('История отказов'!AH337="","",'История отказов'!AH337)</f>
        <v/>
      </c>
      <c r="DC334">
        <f>IF('История отказов'!AE337="","",IF(AND(COUNTIF($CT$2:$CT$2,'История отказов'!AE337)=0,COUNTIFS('История отказов'!$F$5:F337,"ШГН",'История отказов'!$AE$5:AE337,'История отказов'!AE337)=1,'История отказов'!F337="ШГН"),333,""))</f>
        <v/>
      </c>
      <c r="DD334">
        <f>IF('История отказов'!AE337="","",IF(AND(COUNTIF($CU$2:$CU$3,'История отказов'!AE337)=0,COUNTIFS('История отказов'!$F$5:F337,"ЭЦН",'История отказов'!$AE$5:AE337,'История отказов'!AE337)=1,'История отказов'!F337="ЭЦН"),333,""))</f>
        <v/>
      </c>
      <c r="DE334">
        <f>IF('История отказов'!AE337="","",IF(AND(COUNTIF($CV$2:$CV$3,'История отказов'!AE337)=0,COUNTIFS('История отказов'!$F$5:F337,"ЭВН",'История отказов'!$AE$5:AE337,'История отказов'!AE337)=1,'История отказов'!F337="ЭВН"),333,""))</f>
        <v/>
      </c>
      <c r="DF334">
        <f>IF('История отказов'!AE337="","",IF(AND(COUNTIF($CX$2:$CX$2,'История отказов'!AE337)=0,COUNTIFS('История отказов'!$F$5:F337,"ШВН",'История отказов'!$AE$5:AE337,'История отказов'!AE337)=1,'История отказов'!F337="ШВН"),333,""))</f>
        <v/>
      </c>
      <c r="DG334">
        <f>IF('История отказов'!AE337="","",IF(AND(COUNTIF($CW$2:$CW$2,'История отказов'!AE337)=0,COUNTIFS('История отказов'!$F$5:F337,"НПУ-ВД",'История отказов'!$AE$5:AE337,'История отказов'!AE337)=1,'История отказов'!F337="НПУ-ВД"),333,""))</f>
        <v/>
      </c>
      <c r="DH334">
        <f>IF('История отказов'!AE337="","",IF(AND(COUNTIF($CY$2:$CY$6,'История отказов'!AE337)=0,COUNTIF('История отказов'!$AE$5:AE337,'История отказов'!AE337)=1),333,""))</f>
        <v/>
      </c>
      <c r="DI334">
        <f>IF('История отказов'!AK337="","",IF(AND(COUNTIF($CL$2:$CL$3,'История отказов'!AK337)=0,COUNTIF('История отказов'!$AK$5:AK337,'История отказов'!AK337)=1),333,""))</f>
        <v/>
      </c>
      <c r="DJ334">
        <f>IF('История отказов'!AU337="","",IF(AND(COUNTIF($CP$2:$CP$3,'История отказов'!AU337)=0,COUNTIF('История отказов'!$AU$5:AU337,'История отказов'!AU337)=1),333,""))</f>
        <v/>
      </c>
      <c r="DK334">
        <f>IF('История отказов'!AY337="","",IF(AND(COUNTIF($CR$2:$CR$2,'История отказов'!AY337)=0,COUNTIF('История отказов'!$AY$5:AY337,'История отказов'!AY337)=1),333,""))</f>
        <v/>
      </c>
      <c r="DL334">
        <f>IF(DB334="","",IF(AND(COUNTIF($DA$2:$DA$47,DB334)=0,COUNTIF($DB$2:DB334,DB334)=1),333,""))</f>
        <v/>
      </c>
    </row>
    <row r="335">
      <c r="A335" s="74" t="n"/>
      <c r="B335" s="75" t="n"/>
      <c r="C335" s="75" t="n"/>
      <c r="D335" s="75" t="n"/>
      <c r="E335" s="75" t="n"/>
      <c r="F335" s="75" t="n"/>
      <c r="G335" s="76" t="n"/>
      <c r="J335" s="62" t="n"/>
      <c r="K335" s="62" t="n"/>
      <c r="L335" s="62" t="n"/>
      <c r="M335" s="62" t="n"/>
      <c r="N335" s="62" t="n"/>
      <c r="Q335" t="inlineStr">
        <is>
          <t>ТКРС</t>
        </is>
      </c>
      <c r="R335" t="inlineStr">
        <is>
          <t>КР7-9 — Обработка скважин термогазохимическими методами (ТГХВ, ПГД, СКО, ГКО, ПГО и т.д.).</t>
        </is>
      </c>
      <c r="S335" t="inlineStr">
        <is>
          <t>Код и наименование из документа</t>
        </is>
      </c>
      <c r="T335" t="inlineStr">
        <is>
          <t>Классификатор ремонтных работ, РД 153-39.0-088-01</t>
        </is>
      </c>
      <c r="U335" t="inlineStr">
        <is>
          <t>Таблица 4.1; код КР7-9</t>
        </is>
      </c>
      <c r="V335" t="inlineStr">
        <is>
          <t>Все типы</t>
        </is>
      </c>
      <c r="DB335">
        <f>IF('История отказов'!AH338="","",'История отказов'!AH338)</f>
        <v/>
      </c>
      <c r="DC335">
        <f>IF('История отказов'!AE338="","",IF(AND(COUNTIF($CT$2:$CT$2,'История отказов'!AE338)=0,COUNTIFS('История отказов'!$F$5:F338,"ШГН",'История отказов'!$AE$5:AE338,'История отказов'!AE338)=1,'История отказов'!F338="ШГН"),334,""))</f>
        <v/>
      </c>
      <c r="DD335">
        <f>IF('История отказов'!AE338="","",IF(AND(COUNTIF($CU$2:$CU$3,'История отказов'!AE338)=0,COUNTIFS('История отказов'!$F$5:F338,"ЭЦН",'История отказов'!$AE$5:AE338,'История отказов'!AE338)=1,'История отказов'!F338="ЭЦН"),334,""))</f>
        <v/>
      </c>
      <c r="DE335">
        <f>IF('История отказов'!AE338="","",IF(AND(COUNTIF($CV$2:$CV$3,'История отказов'!AE338)=0,COUNTIFS('История отказов'!$F$5:F338,"ЭВН",'История отказов'!$AE$5:AE338,'История отказов'!AE338)=1,'История отказов'!F338="ЭВН"),334,""))</f>
        <v/>
      </c>
      <c r="DF335">
        <f>IF('История отказов'!AE338="","",IF(AND(COUNTIF($CX$2:$CX$2,'История отказов'!AE338)=0,COUNTIFS('История отказов'!$F$5:F338,"ШВН",'История отказов'!$AE$5:AE338,'История отказов'!AE338)=1,'История отказов'!F338="ШВН"),334,""))</f>
        <v/>
      </c>
      <c r="DG335">
        <f>IF('История отказов'!AE338="","",IF(AND(COUNTIF($CW$2:$CW$2,'История отказов'!AE338)=0,COUNTIFS('История отказов'!$F$5:F338,"НПУ-ВД",'История отказов'!$AE$5:AE338,'История отказов'!AE338)=1,'История отказов'!F338="НПУ-ВД"),334,""))</f>
        <v/>
      </c>
      <c r="DH335">
        <f>IF('История отказов'!AE338="","",IF(AND(COUNTIF($CY$2:$CY$6,'История отказов'!AE338)=0,COUNTIF('История отказов'!$AE$5:AE338,'История отказов'!AE338)=1),334,""))</f>
        <v/>
      </c>
      <c r="DI335">
        <f>IF('История отказов'!AK338="","",IF(AND(COUNTIF($CL$2:$CL$3,'История отказов'!AK338)=0,COUNTIF('История отказов'!$AK$5:AK338,'История отказов'!AK338)=1),334,""))</f>
        <v/>
      </c>
      <c r="DJ335">
        <f>IF('История отказов'!AU338="","",IF(AND(COUNTIF($CP$2:$CP$3,'История отказов'!AU338)=0,COUNTIF('История отказов'!$AU$5:AU338,'История отказов'!AU338)=1),334,""))</f>
        <v/>
      </c>
      <c r="DK335">
        <f>IF('История отказов'!AY338="","",IF(AND(COUNTIF($CR$2:$CR$2,'История отказов'!AY338)=0,COUNTIF('История отказов'!$AY$5:AY338,'История отказов'!AY338)=1),334,""))</f>
        <v/>
      </c>
      <c r="DL335">
        <f>IF(DB335="","",IF(AND(COUNTIF($DA$2:$DA$47,DB335)=0,COUNTIF($DB$2:DB335,DB335)=1),334,""))</f>
        <v/>
      </c>
    </row>
    <row r="336">
      <c r="A336" s="74" t="n"/>
      <c r="B336" s="75" t="n"/>
      <c r="C336" s="75" t="n"/>
      <c r="D336" s="75" t="n"/>
      <c r="E336" s="75" t="n"/>
      <c r="F336" s="75" t="n"/>
      <c r="G336" s="76" t="n"/>
      <c r="J336" s="62" t="n"/>
      <c r="K336" s="62" t="n"/>
      <c r="L336" s="62" t="n"/>
      <c r="M336" s="62" t="n"/>
      <c r="N336" s="62" t="n"/>
      <c r="Q336" t="inlineStr">
        <is>
          <t>ТКРС</t>
        </is>
      </c>
      <c r="R336" t="inlineStr">
        <is>
          <t>КР7-10 — Проведение УОС и его модефикаций.</t>
        </is>
      </c>
      <c r="S336" t="inlineStr">
        <is>
          <t>Код и наименование из документа</t>
        </is>
      </c>
      <c r="T336" t="inlineStr">
        <is>
          <t>Классификатор ремонтных работ, РД 153-39.0-088-01</t>
        </is>
      </c>
      <c r="U336" t="inlineStr">
        <is>
          <t>Таблица 4.1; код КР7-10</t>
        </is>
      </c>
      <c r="V336" t="inlineStr">
        <is>
          <t>Все типы</t>
        </is>
      </c>
      <c r="DB336">
        <f>IF('История отказов'!AH339="","",'История отказов'!AH339)</f>
        <v/>
      </c>
      <c r="DC336">
        <f>IF('История отказов'!AE339="","",IF(AND(COUNTIF($CT$2:$CT$2,'История отказов'!AE339)=0,COUNTIFS('История отказов'!$F$5:F339,"ШГН",'История отказов'!$AE$5:AE339,'История отказов'!AE339)=1,'История отказов'!F339="ШГН"),335,""))</f>
        <v/>
      </c>
      <c r="DD336">
        <f>IF('История отказов'!AE339="","",IF(AND(COUNTIF($CU$2:$CU$3,'История отказов'!AE339)=0,COUNTIFS('История отказов'!$F$5:F339,"ЭЦН",'История отказов'!$AE$5:AE339,'История отказов'!AE339)=1,'История отказов'!F339="ЭЦН"),335,""))</f>
        <v/>
      </c>
      <c r="DE336">
        <f>IF('История отказов'!AE339="","",IF(AND(COUNTIF($CV$2:$CV$3,'История отказов'!AE339)=0,COUNTIFS('История отказов'!$F$5:F339,"ЭВН",'История отказов'!$AE$5:AE339,'История отказов'!AE339)=1,'История отказов'!F339="ЭВН"),335,""))</f>
        <v/>
      </c>
      <c r="DF336">
        <f>IF('История отказов'!AE339="","",IF(AND(COUNTIF($CX$2:$CX$2,'История отказов'!AE339)=0,COUNTIFS('История отказов'!$F$5:F339,"ШВН",'История отказов'!$AE$5:AE339,'История отказов'!AE339)=1,'История отказов'!F339="ШВН"),335,""))</f>
        <v/>
      </c>
      <c r="DG336">
        <f>IF('История отказов'!AE339="","",IF(AND(COUNTIF($CW$2:$CW$2,'История отказов'!AE339)=0,COUNTIFS('История отказов'!$F$5:F339,"НПУ-ВД",'История отказов'!$AE$5:AE339,'История отказов'!AE339)=1,'История отказов'!F339="НПУ-ВД"),335,""))</f>
        <v/>
      </c>
      <c r="DH336">
        <f>IF('История отказов'!AE339="","",IF(AND(COUNTIF($CY$2:$CY$6,'История отказов'!AE339)=0,COUNTIF('История отказов'!$AE$5:AE339,'История отказов'!AE339)=1),335,""))</f>
        <v/>
      </c>
      <c r="DI336">
        <f>IF('История отказов'!AK339="","",IF(AND(COUNTIF($CL$2:$CL$3,'История отказов'!AK339)=0,COUNTIF('История отказов'!$AK$5:AK339,'История отказов'!AK339)=1),335,""))</f>
        <v/>
      </c>
      <c r="DJ336">
        <f>IF('История отказов'!AU339="","",IF(AND(COUNTIF($CP$2:$CP$3,'История отказов'!AU339)=0,COUNTIF('История отказов'!$AU$5:AU339,'История отказов'!AU339)=1),335,""))</f>
        <v/>
      </c>
      <c r="DK336">
        <f>IF('История отказов'!AY339="","",IF(AND(COUNTIF($CR$2:$CR$2,'История отказов'!AY339)=0,COUNTIF('История отказов'!$AY$5:AY339,'История отказов'!AY339)=1),335,""))</f>
        <v/>
      </c>
      <c r="DL336">
        <f>IF(DB336="","",IF(AND(COUNTIF($DA$2:$DA$47,DB336)=0,COUNTIF($DB$2:DB336,DB336)=1),335,""))</f>
        <v/>
      </c>
    </row>
    <row r="337">
      <c r="A337" s="74" t="n"/>
      <c r="B337" s="75" t="n"/>
      <c r="C337" s="75" t="n"/>
      <c r="D337" s="75" t="n"/>
      <c r="E337" s="75" t="n"/>
      <c r="F337" s="75" t="n"/>
      <c r="G337" s="76" t="n"/>
      <c r="J337" s="62" t="n"/>
      <c r="K337" s="62" t="n"/>
      <c r="L337" s="62" t="n"/>
      <c r="M337" s="62" t="n"/>
      <c r="N337" s="62" t="n"/>
      <c r="Q337" t="inlineStr">
        <is>
          <t>ТКРС</t>
        </is>
      </c>
      <c r="R337" t="inlineStr">
        <is>
          <t>КР7-11 — Проведение КИИ—95 (ИПТ и др.)</t>
        </is>
      </c>
      <c r="S337" t="inlineStr">
        <is>
          <t>Код и наименование из документа</t>
        </is>
      </c>
      <c r="T337" t="inlineStr">
        <is>
          <t>Классификатор ремонтных работ, РД 153-39.0-088-01</t>
        </is>
      </c>
      <c r="U337" t="inlineStr">
        <is>
          <t>Таблица 4.1; код КР7-11</t>
        </is>
      </c>
      <c r="V337" t="inlineStr">
        <is>
          <t>Все типы</t>
        </is>
      </c>
      <c r="DB337">
        <f>IF('История отказов'!AH340="","",'История отказов'!AH340)</f>
        <v/>
      </c>
      <c r="DC337">
        <f>IF('История отказов'!AE340="","",IF(AND(COUNTIF($CT$2:$CT$2,'История отказов'!AE340)=0,COUNTIFS('История отказов'!$F$5:F340,"ШГН",'История отказов'!$AE$5:AE340,'История отказов'!AE340)=1,'История отказов'!F340="ШГН"),336,""))</f>
        <v/>
      </c>
      <c r="DD337">
        <f>IF('История отказов'!AE340="","",IF(AND(COUNTIF($CU$2:$CU$3,'История отказов'!AE340)=0,COUNTIFS('История отказов'!$F$5:F340,"ЭЦН",'История отказов'!$AE$5:AE340,'История отказов'!AE340)=1,'История отказов'!F340="ЭЦН"),336,""))</f>
        <v/>
      </c>
      <c r="DE337">
        <f>IF('История отказов'!AE340="","",IF(AND(COUNTIF($CV$2:$CV$3,'История отказов'!AE340)=0,COUNTIFS('История отказов'!$F$5:F340,"ЭВН",'История отказов'!$AE$5:AE340,'История отказов'!AE340)=1,'История отказов'!F340="ЭВН"),336,""))</f>
        <v/>
      </c>
      <c r="DF337">
        <f>IF('История отказов'!AE340="","",IF(AND(COUNTIF($CX$2:$CX$2,'История отказов'!AE340)=0,COUNTIFS('История отказов'!$F$5:F340,"ШВН",'История отказов'!$AE$5:AE340,'История отказов'!AE340)=1,'История отказов'!F340="ШВН"),336,""))</f>
        <v/>
      </c>
      <c r="DG337">
        <f>IF('История отказов'!AE340="","",IF(AND(COUNTIF($CW$2:$CW$2,'История отказов'!AE340)=0,COUNTIFS('История отказов'!$F$5:F340,"НПУ-ВД",'История отказов'!$AE$5:AE340,'История отказов'!AE340)=1,'История отказов'!F340="НПУ-ВД"),336,""))</f>
        <v/>
      </c>
      <c r="DH337">
        <f>IF('История отказов'!AE340="","",IF(AND(COUNTIF($CY$2:$CY$6,'История отказов'!AE340)=0,COUNTIF('История отказов'!$AE$5:AE340,'История отказов'!AE340)=1),336,""))</f>
        <v/>
      </c>
      <c r="DI337">
        <f>IF('История отказов'!AK340="","",IF(AND(COUNTIF($CL$2:$CL$3,'История отказов'!AK340)=0,COUNTIF('История отказов'!$AK$5:AK340,'История отказов'!AK340)=1),336,""))</f>
        <v/>
      </c>
      <c r="DJ337">
        <f>IF('История отказов'!AU340="","",IF(AND(COUNTIF($CP$2:$CP$3,'История отказов'!AU340)=0,COUNTIF('История отказов'!$AU$5:AU340,'История отказов'!AU340)=1),336,""))</f>
        <v/>
      </c>
      <c r="DK337">
        <f>IF('История отказов'!AY340="","",IF(AND(COUNTIF($CR$2:$CR$2,'История отказов'!AY340)=0,COUNTIF('История отказов'!$AY$5:AY340,'История отказов'!AY340)=1),336,""))</f>
        <v/>
      </c>
      <c r="DL337">
        <f>IF(DB337="","",IF(AND(COUNTIF($DA$2:$DA$47,DB337)=0,COUNTIF($DB$2:DB337,DB337)=1),336,""))</f>
        <v/>
      </c>
    </row>
    <row r="338">
      <c r="A338" s="74" t="n"/>
      <c r="B338" s="75" t="n"/>
      <c r="C338" s="75" t="n"/>
      <c r="D338" s="75" t="n"/>
      <c r="E338" s="75" t="n"/>
      <c r="F338" s="75" t="n"/>
      <c r="G338" s="76" t="n"/>
      <c r="J338" s="62" t="n"/>
      <c r="K338" s="62" t="n"/>
      <c r="L338" s="62" t="n"/>
      <c r="M338" s="62" t="n"/>
      <c r="N338" s="62" t="n"/>
      <c r="Q338" t="inlineStr">
        <is>
          <t>ТКРС</t>
        </is>
      </c>
      <c r="R338" t="inlineStr">
        <is>
          <t>КР7-12 — Вызов притока свабированием, желонкой, заменой жидкости, компримированием.</t>
        </is>
      </c>
      <c r="S338" t="inlineStr">
        <is>
          <t>Код и наименование из документа</t>
        </is>
      </c>
      <c r="T338" t="inlineStr">
        <is>
          <t>Классификатор ремонтных работ, РД 153-39.0-088-01</t>
        </is>
      </c>
      <c r="U338" t="inlineStr">
        <is>
          <t>Таблица 4.1; код КР7-12</t>
        </is>
      </c>
      <c r="V338" t="inlineStr">
        <is>
          <t>Все типы</t>
        </is>
      </c>
      <c r="DB338">
        <f>IF('История отказов'!AH341="","",'История отказов'!AH341)</f>
        <v/>
      </c>
      <c r="DC338">
        <f>IF('История отказов'!AE341="","",IF(AND(COUNTIF($CT$2:$CT$2,'История отказов'!AE341)=0,COUNTIFS('История отказов'!$F$5:F341,"ШГН",'История отказов'!$AE$5:AE341,'История отказов'!AE341)=1,'История отказов'!F341="ШГН"),337,""))</f>
        <v/>
      </c>
      <c r="DD338">
        <f>IF('История отказов'!AE341="","",IF(AND(COUNTIF($CU$2:$CU$3,'История отказов'!AE341)=0,COUNTIFS('История отказов'!$F$5:F341,"ЭЦН",'История отказов'!$AE$5:AE341,'История отказов'!AE341)=1,'История отказов'!F341="ЭЦН"),337,""))</f>
        <v/>
      </c>
      <c r="DE338">
        <f>IF('История отказов'!AE341="","",IF(AND(COUNTIF($CV$2:$CV$3,'История отказов'!AE341)=0,COUNTIFS('История отказов'!$F$5:F341,"ЭВН",'История отказов'!$AE$5:AE341,'История отказов'!AE341)=1,'История отказов'!F341="ЭВН"),337,""))</f>
        <v/>
      </c>
      <c r="DF338">
        <f>IF('История отказов'!AE341="","",IF(AND(COUNTIF($CX$2:$CX$2,'История отказов'!AE341)=0,COUNTIFS('История отказов'!$F$5:F341,"ШВН",'История отказов'!$AE$5:AE341,'История отказов'!AE341)=1,'История отказов'!F341="ШВН"),337,""))</f>
        <v/>
      </c>
      <c r="DG338">
        <f>IF('История отказов'!AE341="","",IF(AND(COUNTIF($CW$2:$CW$2,'История отказов'!AE341)=0,COUNTIFS('История отказов'!$F$5:F341,"НПУ-ВД",'История отказов'!$AE$5:AE341,'История отказов'!AE341)=1,'История отказов'!F341="НПУ-ВД"),337,""))</f>
        <v/>
      </c>
      <c r="DH338">
        <f>IF('История отказов'!AE341="","",IF(AND(COUNTIF($CY$2:$CY$6,'История отказов'!AE341)=0,COUNTIF('История отказов'!$AE$5:AE341,'История отказов'!AE341)=1),337,""))</f>
        <v/>
      </c>
      <c r="DI338">
        <f>IF('История отказов'!AK341="","",IF(AND(COUNTIF($CL$2:$CL$3,'История отказов'!AK341)=0,COUNTIF('История отказов'!$AK$5:AK341,'История отказов'!AK341)=1),337,""))</f>
        <v/>
      </c>
      <c r="DJ338">
        <f>IF('История отказов'!AU341="","",IF(AND(COUNTIF($CP$2:$CP$3,'История отказов'!AU341)=0,COUNTIF('История отказов'!$AU$5:AU341,'История отказов'!AU341)=1),337,""))</f>
        <v/>
      </c>
      <c r="DK338">
        <f>IF('История отказов'!AY341="","",IF(AND(COUNTIF($CR$2:$CR$2,'История отказов'!AY341)=0,COUNTIF('История отказов'!$AY$5:AY341,'История отказов'!AY341)=1),337,""))</f>
        <v/>
      </c>
      <c r="DL338">
        <f>IF(DB338="","",IF(AND(COUNTIF($DA$2:$DA$47,DB338)=0,COUNTIF($DB$2:DB338,DB338)=1),337,""))</f>
        <v/>
      </c>
    </row>
    <row r="339">
      <c r="A339" s="74" t="n"/>
      <c r="B339" s="75" t="n"/>
      <c r="C339" s="75" t="n"/>
      <c r="D339" s="75" t="n"/>
      <c r="E339" s="75" t="n"/>
      <c r="F339" s="75" t="n"/>
      <c r="G339" s="76" t="n"/>
      <c r="J339" s="62" t="n"/>
      <c r="K339" s="62" t="n"/>
      <c r="L339" s="62" t="n"/>
      <c r="M339" s="62" t="n"/>
      <c r="N339" s="62" t="n"/>
      <c r="Q339" t="inlineStr">
        <is>
          <t>ТКРС</t>
        </is>
      </c>
      <c r="R339" t="inlineStr">
        <is>
          <t>КР7-13 — Выравнивание профиля или восстановление приемистости нагнетательной скважины.</t>
        </is>
      </c>
      <c r="S339" t="inlineStr">
        <is>
          <t>Код и наименование из документа</t>
        </is>
      </c>
      <c r="T339" t="inlineStr">
        <is>
          <t>Классификатор ремонтных работ, РД 153-39.0-088-01</t>
        </is>
      </c>
      <c r="U339" t="inlineStr">
        <is>
          <t>Таблица 4.1; код КР7-13</t>
        </is>
      </c>
      <c r="V339" t="inlineStr">
        <is>
          <t>Все типы</t>
        </is>
      </c>
      <c r="DB339">
        <f>IF('История отказов'!AH342="","",'История отказов'!AH342)</f>
        <v/>
      </c>
      <c r="DC339">
        <f>IF('История отказов'!AE342="","",IF(AND(COUNTIF($CT$2:$CT$2,'История отказов'!AE342)=0,COUNTIFS('История отказов'!$F$5:F342,"ШГН",'История отказов'!$AE$5:AE342,'История отказов'!AE342)=1,'История отказов'!F342="ШГН"),338,""))</f>
        <v/>
      </c>
      <c r="DD339">
        <f>IF('История отказов'!AE342="","",IF(AND(COUNTIF($CU$2:$CU$3,'История отказов'!AE342)=0,COUNTIFS('История отказов'!$F$5:F342,"ЭЦН",'История отказов'!$AE$5:AE342,'История отказов'!AE342)=1,'История отказов'!F342="ЭЦН"),338,""))</f>
        <v/>
      </c>
      <c r="DE339">
        <f>IF('История отказов'!AE342="","",IF(AND(COUNTIF($CV$2:$CV$3,'История отказов'!AE342)=0,COUNTIFS('История отказов'!$F$5:F342,"ЭВН",'История отказов'!$AE$5:AE342,'История отказов'!AE342)=1,'История отказов'!F342="ЭВН"),338,""))</f>
        <v/>
      </c>
      <c r="DF339">
        <f>IF('История отказов'!AE342="","",IF(AND(COUNTIF($CX$2:$CX$2,'История отказов'!AE342)=0,COUNTIFS('История отказов'!$F$5:F342,"ШВН",'История отказов'!$AE$5:AE342,'История отказов'!AE342)=1,'История отказов'!F342="ШВН"),338,""))</f>
        <v/>
      </c>
      <c r="DG339">
        <f>IF('История отказов'!AE342="","",IF(AND(COUNTIF($CW$2:$CW$2,'История отказов'!AE342)=0,COUNTIFS('История отказов'!$F$5:F342,"НПУ-ВД",'История отказов'!$AE$5:AE342,'История отказов'!AE342)=1,'История отказов'!F342="НПУ-ВД"),338,""))</f>
        <v/>
      </c>
      <c r="DH339">
        <f>IF('История отказов'!AE342="","",IF(AND(COUNTIF($CY$2:$CY$6,'История отказов'!AE342)=0,COUNTIF('История отказов'!$AE$5:AE342,'История отказов'!AE342)=1),338,""))</f>
        <v/>
      </c>
      <c r="DI339">
        <f>IF('История отказов'!AK342="","",IF(AND(COUNTIF($CL$2:$CL$3,'История отказов'!AK342)=0,COUNTIF('История отказов'!$AK$5:AK342,'История отказов'!AK342)=1),338,""))</f>
        <v/>
      </c>
      <c r="DJ339">
        <f>IF('История отказов'!AU342="","",IF(AND(COUNTIF($CP$2:$CP$3,'История отказов'!AU342)=0,COUNTIF('История отказов'!$AU$5:AU342,'История отказов'!AU342)=1),338,""))</f>
        <v/>
      </c>
      <c r="DK339">
        <f>IF('История отказов'!AY342="","",IF(AND(COUNTIF($CR$2:$CR$2,'История отказов'!AY342)=0,COUNTIF('История отказов'!$AY$5:AY342,'История отказов'!AY342)=1),338,""))</f>
        <v/>
      </c>
      <c r="DL339">
        <f>IF(DB339="","",IF(AND(COUNTIF($DA$2:$DA$47,DB339)=0,COUNTIF($DB$2:DB339,DB339)=1),338,""))</f>
        <v/>
      </c>
    </row>
    <row r="340">
      <c r="A340" s="74" t="n"/>
      <c r="B340" s="75" t="n"/>
      <c r="C340" s="75" t="n"/>
      <c r="D340" s="75" t="n"/>
      <c r="E340" s="75" t="n"/>
      <c r="F340" s="75" t="n"/>
      <c r="G340" s="76" t="n"/>
      <c r="J340" s="62" t="n"/>
      <c r="K340" s="62" t="n"/>
      <c r="L340" s="62" t="n"/>
      <c r="M340" s="62" t="n"/>
      <c r="N340" s="62" t="n"/>
      <c r="Q340" t="inlineStr">
        <is>
          <t>ТКРС</t>
        </is>
      </c>
      <c r="R340" t="inlineStr">
        <is>
          <t>КР7-14 — Проведение прострелочных и взрывных работ (перфорация и торпедирование и т. д.).</t>
        </is>
      </c>
      <c r="S340" t="inlineStr">
        <is>
          <t>Код и наименование из документа</t>
        </is>
      </c>
      <c r="T340" t="inlineStr">
        <is>
          <t>Классификатор ремонтных работ, РД 153-39.0-088-01</t>
        </is>
      </c>
      <c r="U340" t="inlineStr">
        <is>
          <t>Таблица 4.1; код КР7-14</t>
        </is>
      </c>
      <c r="V340" t="inlineStr">
        <is>
          <t>Все типы</t>
        </is>
      </c>
      <c r="DB340">
        <f>IF('История отказов'!AH343="","",'История отказов'!AH343)</f>
        <v/>
      </c>
      <c r="DC340">
        <f>IF('История отказов'!AE343="","",IF(AND(COUNTIF($CT$2:$CT$2,'История отказов'!AE343)=0,COUNTIFS('История отказов'!$F$5:F343,"ШГН",'История отказов'!$AE$5:AE343,'История отказов'!AE343)=1,'История отказов'!F343="ШГН"),339,""))</f>
        <v/>
      </c>
      <c r="DD340">
        <f>IF('История отказов'!AE343="","",IF(AND(COUNTIF($CU$2:$CU$3,'История отказов'!AE343)=0,COUNTIFS('История отказов'!$F$5:F343,"ЭЦН",'История отказов'!$AE$5:AE343,'История отказов'!AE343)=1,'История отказов'!F343="ЭЦН"),339,""))</f>
        <v/>
      </c>
      <c r="DE340">
        <f>IF('История отказов'!AE343="","",IF(AND(COUNTIF($CV$2:$CV$3,'История отказов'!AE343)=0,COUNTIFS('История отказов'!$F$5:F343,"ЭВН",'История отказов'!$AE$5:AE343,'История отказов'!AE343)=1,'История отказов'!F343="ЭВН"),339,""))</f>
        <v/>
      </c>
      <c r="DF340">
        <f>IF('История отказов'!AE343="","",IF(AND(COUNTIF($CX$2:$CX$2,'История отказов'!AE343)=0,COUNTIFS('История отказов'!$F$5:F343,"ШВН",'История отказов'!$AE$5:AE343,'История отказов'!AE343)=1,'История отказов'!F343="ШВН"),339,""))</f>
        <v/>
      </c>
      <c r="DG340">
        <f>IF('История отказов'!AE343="","",IF(AND(COUNTIF($CW$2:$CW$2,'История отказов'!AE343)=0,COUNTIFS('История отказов'!$F$5:F343,"НПУ-ВД",'История отказов'!$AE$5:AE343,'История отказов'!AE343)=1,'История отказов'!F343="НПУ-ВД"),339,""))</f>
        <v/>
      </c>
      <c r="DH340">
        <f>IF('История отказов'!AE343="","",IF(AND(COUNTIF($CY$2:$CY$6,'История отказов'!AE343)=0,COUNTIF('История отказов'!$AE$5:AE343,'История отказов'!AE343)=1),339,""))</f>
        <v/>
      </c>
      <c r="DI340">
        <f>IF('История отказов'!AK343="","",IF(AND(COUNTIF($CL$2:$CL$3,'История отказов'!AK343)=0,COUNTIF('История отказов'!$AK$5:AK343,'История отказов'!AK343)=1),339,""))</f>
        <v/>
      </c>
      <c r="DJ340">
        <f>IF('История отказов'!AU343="","",IF(AND(COUNTIF($CP$2:$CP$3,'История отказов'!AU343)=0,COUNTIF('История отказов'!$AU$5:AU343,'История отказов'!AU343)=1),339,""))</f>
        <v/>
      </c>
      <c r="DK340">
        <f>IF('История отказов'!AY343="","",IF(AND(COUNTIF($CR$2:$CR$2,'История отказов'!AY343)=0,COUNTIF('История отказов'!$AY$5:AY343,'История отказов'!AY343)=1),339,""))</f>
        <v/>
      </c>
      <c r="DL340">
        <f>IF(DB340="","",IF(AND(COUNTIF($DA$2:$DA$47,DB340)=0,COUNTIF($DB$2:DB340,DB340)=1),339,""))</f>
        <v/>
      </c>
    </row>
    <row r="341">
      <c r="A341" s="74" t="n"/>
      <c r="B341" s="75" t="n"/>
      <c r="C341" s="75" t="n"/>
      <c r="D341" s="75" t="n"/>
      <c r="E341" s="75" t="n"/>
      <c r="F341" s="75" t="n"/>
      <c r="G341" s="76" t="n"/>
      <c r="J341" s="62" t="n"/>
      <c r="K341" s="62" t="n"/>
      <c r="L341" s="62" t="n"/>
      <c r="M341" s="62" t="n"/>
      <c r="N341" s="62" t="n"/>
      <c r="Q341" t="inlineStr">
        <is>
          <t>ТКРС</t>
        </is>
      </c>
      <c r="R341" t="inlineStr">
        <is>
          <t>КР7-15 — Опытные работы по испытанию новых видов скважинного оборудования.</t>
        </is>
      </c>
      <c r="S341" t="inlineStr">
        <is>
          <t>Код и наименование из документа</t>
        </is>
      </c>
      <c r="T341" t="inlineStr">
        <is>
          <t>Классификатор ремонтных работ, РД 153-39.0-088-01</t>
        </is>
      </c>
      <c r="U341" t="inlineStr">
        <is>
          <t>Таблица 4.1; код КР7-15</t>
        </is>
      </c>
      <c r="V341" t="inlineStr">
        <is>
          <t>Все типы</t>
        </is>
      </c>
      <c r="DB341">
        <f>IF('История отказов'!AH344="","",'История отказов'!AH344)</f>
        <v/>
      </c>
      <c r="DC341">
        <f>IF('История отказов'!AE344="","",IF(AND(COUNTIF($CT$2:$CT$2,'История отказов'!AE344)=0,COUNTIFS('История отказов'!$F$5:F344,"ШГН",'История отказов'!$AE$5:AE344,'История отказов'!AE344)=1,'История отказов'!F344="ШГН"),340,""))</f>
        <v/>
      </c>
      <c r="DD341">
        <f>IF('История отказов'!AE344="","",IF(AND(COUNTIF($CU$2:$CU$3,'История отказов'!AE344)=0,COUNTIFS('История отказов'!$F$5:F344,"ЭЦН",'История отказов'!$AE$5:AE344,'История отказов'!AE344)=1,'История отказов'!F344="ЭЦН"),340,""))</f>
        <v/>
      </c>
      <c r="DE341">
        <f>IF('История отказов'!AE344="","",IF(AND(COUNTIF($CV$2:$CV$3,'История отказов'!AE344)=0,COUNTIFS('История отказов'!$F$5:F344,"ЭВН",'История отказов'!$AE$5:AE344,'История отказов'!AE344)=1,'История отказов'!F344="ЭВН"),340,""))</f>
        <v/>
      </c>
      <c r="DF341">
        <f>IF('История отказов'!AE344="","",IF(AND(COUNTIF($CX$2:$CX$2,'История отказов'!AE344)=0,COUNTIFS('История отказов'!$F$5:F344,"ШВН",'История отказов'!$AE$5:AE344,'История отказов'!AE344)=1,'История отказов'!F344="ШВН"),340,""))</f>
        <v/>
      </c>
      <c r="DG341">
        <f>IF('История отказов'!AE344="","",IF(AND(COUNTIF($CW$2:$CW$2,'История отказов'!AE344)=0,COUNTIFS('История отказов'!$F$5:F344,"НПУ-ВД",'История отказов'!$AE$5:AE344,'История отказов'!AE344)=1,'История отказов'!F344="НПУ-ВД"),340,""))</f>
        <v/>
      </c>
      <c r="DH341">
        <f>IF('История отказов'!AE344="","",IF(AND(COUNTIF($CY$2:$CY$6,'История отказов'!AE344)=0,COUNTIF('История отказов'!$AE$5:AE344,'История отказов'!AE344)=1),340,""))</f>
        <v/>
      </c>
      <c r="DI341">
        <f>IF('История отказов'!AK344="","",IF(AND(COUNTIF($CL$2:$CL$3,'История отказов'!AK344)=0,COUNTIF('История отказов'!$AK$5:AK344,'История отказов'!AK344)=1),340,""))</f>
        <v/>
      </c>
      <c r="DJ341">
        <f>IF('История отказов'!AU344="","",IF(AND(COUNTIF($CP$2:$CP$3,'История отказов'!AU344)=0,COUNTIF('История отказов'!$AU$5:AU344,'История отказов'!AU344)=1),340,""))</f>
        <v/>
      </c>
      <c r="DK341">
        <f>IF('История отказов'!AY344="","",IF(AND(COUNTIF($CR$2:$CR$2,'История отказов'!AY344)=0,COUNTIF('История отказов'!$AY$5:AY344,'История отказов'!AY344)=1),340,""))</f>
        <v/>
      </c>
      <c r="DL341">
        <f>IF(DB341="","",IF(AND(COUNTIF($DA$2:$DA$47,DB341)=0,COUNTIF($DB$2:DB341,DB341)=1),340,""))</f>
        <v/>
      </c>
    </row>
    <row r="342">
      <c r="A342" s="74" t="n"/>
      <c r="B342" s="75" t="n"/>
      <c r="C342" s="75" t="n"/>
      <c r="D342" s="75" t="n"/>
      <c r="E342" s="75" t="n"/>
      <c r="F342" s="75" t="n"/>
      <c r="G342" s="76" t="n"/>
      <c r="J342" s="62" t="n"/>
      <c r="K342" s="62" t="n"/>
      <c r="L342" s="62" t="n"/>
      <c r="M342" s="62" t="n"/>
      <c r="N342" s="62" t="n"/>
      <c r="Q342" t="inlineStr">
        <is>
          <t>ТКРС</t>
        </is>
      </c>
      <c r="R342" t="inlineStr">
        <is>
          <t>КР7-16 — Прочие виды обработки призабойной зоны пласта.</t>
        </is>
      </c>
      <c r="S342" t="inlineStr">
        <is>
          <t>Код и наименование из документа</t>
        </is>
      </c>
      <c r="T342" t="inlineStr">
        <is>
          <t>Классификатор ремонтных работ, РД 153-39.0-088-01</t>
        </is>
      </c>
      <c r="U342" t="inlineStr">
        <is>
          <t>Таблица 4.1; код КР7-16</t>
        </is>
      </c>
      <c r="V342" t="inlineStr">
        <is>
          <t>Все типы</t>
        </is>
      </c>
      <c r="DB342">
        <f>IF('История отказов'!AH345="","",'История отказов'!AH345)</f>
        <v/>
      </c>
      <c r="DC342">
        <f>IF('История отказов'!AE345="","",IF(AND(COUNTIF($CT$2:$CT$2,'История отказов'!AE345)=0,COUNTIFS('История отказов'!$F$5:F345,"ШГН",'История отказов'!$AE$5:AE345,'История отказов'!AE345)=1,'История отказов'!F345="ШГН"),341,""))</f>
        <v/>
      </c>
      <c r="DD342">
        <f>IF('История отказов'!AE345="","",IF(AND(COUNTIF($CU$2:$CU$3,'История отказов'!AE345)=0,COUNTIFS('История отказов'!$F$5:F345,"ЭЦН",'История отказов'!$AE$5:AE345,'История отказов'!AE345)=1,'История отказов'!F345="ЭЦН"),341,""))</f>
        <v/>
      </c>
      <c r="DE342">
        <f>IF('История отказов'!AE345="","",IF(AND(COUNTIF($CV$2:$CV$3,'История отказов'!AE345)=0,COUNTIFS('История отказов'!$F$5:F345,"ЭВН",'История отказов'!$AE$5:AE345,'История отказов'!AE345)=1,'История отказов'!F345="ЭВН"),341,""))</f>
        <v/>
      </c>
      <c r="DF342">
        <f>IF('История отказов'!AE345="","",IF(AND(COUNTIF($CX$2:$CX$2,'История отказов'!AE345)=0,COUNTIFS('История отказов'!$F$5:F345,"ШВН",'История отказов'!$AE$5:AE345,'История отказов'!AE345)=1,'История отказов'!F345="ШВН"),341,""))</f>
        <v/>
      </c>
      <c r="DG342">
        <f>IF('История отказов'!AE345="","",IF(AND(COUNTIF($CW$2:$CW$2,'История отказов'!AE345)=0,COUNTIFS('История отказов'!$F$5:F345,"НПУ-ВД",'История отказов'!$AE$5:AE345,'История отказов'!AE345)=1,'История отказов'!F345="НПУ-ВД"),341,""))</f>
        <v/>
      </c>
      <c r="DH342">
        <f>IF('История отказов'!AE345="","",IF(AND(COUNTIF($CY$2:$CY$6,'История отказов'!AE345)=0,COUNTIF('История отказов'!$AE$5:AE345,'История отказов'!AE345)=1),341,""))</f>
        <v/>
      </c>
      <c r="DI342">
        <f>IF('История отказов'!AK345="","",IF(AND(COUNTIF($CL$2:$CL$3,'История отказов'!AK345)=0,COUNTIF('История отказов'!$AK$5:AK345,'История отказов'!AK345)=1),341,""))</f>
        <v/>
      </c>
      <c r="DJ342">
        <f>IF('История отказов'!AU345="","",IF(AND(COUNTIF($CP$2:$CP$3,'История отказов'!AU345)=0,COUNTIF('История отказов'!$AU$5:AU345,'История отказов'!AU345)=1),341,""))</f>
        <v/>
      </c>
      <c r="DK342">
        <f>IF('История отказов'!AY345="","",IF(AND(COUNTIF($CR$2:$CR$2,'История отказов'!AY345)=0,COUNTIF('История отказов'!$AY$5:AY345,'История отказов'!AY345)=1),341,""))</f>
        <v/>
      </c>
      <c r="DL342">
        <f>IF(DB342="","",IF(AND(COUNTIF($DA$2:$DA$47,DB342)=0,COUNTIF($DB$2:DB342,DB342)=1),341,""))</f>
        <v/>
      </c>
    </row>
    <row r="343">
      <c r="A343" s="77" t="n"/>
      <c r="B343" s="78" t="n"/>
      <c r="C343" s="78" t="n"/>
      <c r="D343" s="78" t="n"/>
      <c r="E343" s="78" t="n"/>
      <c r="F343" s="78" t="n"/>
      <c r="G343" s="79" t="n"/>
      <c r="J343" s="62" t="n"/>
      <c r="K343" s="62" t="n"/>
      <c r="L343" s="62" t="n"/>
      <c r="M343" s="62" t="n"/>
      <c r="N343" s="62" t="n"/>
      <c r="Q343" t="inlineStr">
        <is>
          <t>ТКРС</t>
        </is>
      </c>
      <c r="R343" t="inlineStr">
        <is>
          <t>КР7-16.2 — Проведение реагентной разглинизации призабойной зоны пласта.</t>
        </is>
      </c>
      <c r="S343" t="inlineStr">
        <is>
          <t>Код и наименование из документа</t>
        </is>
      </c>
      <c r="T343" t="inlineStr">
        <is>
          <t>Классификатор ремонтных работ, РД 153-39.0-088-01</t>
        </is>
      </c>
      <c r="U343" t="inlineStr">
        <is>
          <t>Таблица 4.1; код КР7-16.2</t>
        </is>
      </c>
      <c r="V343" t="inlineStr">
        <is>
          <t>Все типы</t>
        </is>
      </c>
      <c r="DB343">
        <f>IF('История отказов'!AH346="","",'История отказов'!AH346)</f>
        <v/>
      </c>
      <c r="DC343">
        <f>IF('История отказов'!AE346="","",IF(AND(COUNTIF($CT$2:$CT$2,'История отказов'!AE346)=0,COUNTIFS('История отказов'!$F$5:F346,"ШГН",'История отказов'!$AE$5:AE346,'История отказов'!AE346)=1,'История отказов'!F346="ШГН"),342,""))</f>
        <v/>
      </c>
      <c r="DD343">
        <f>IF('История отказов'!AE346="","",IF(AND(COUNTIF($CU$2:$CU$3,'История отказов'!AE346)=0,COUNTIFS('История отказов'!$F$5:F346,"ЭЦН",'История отказов'!$AE$5:AE346,'История отказов'!AE346)=1,'История отказов'!F346="ЭЦН"),342,""))</f>
        <v/>
      </c>
      <c r="DE343">
        <f>IF('История отказов'!AE346="","",IF(AND(COUNTIF($CV$2:$CV$3,'История отказов'!AE346)=0,COUNTIFS('История отказов'!$F$5:F346,"ЭВН",'История отказов'!$AE$5:AE346,'История отказов'!AE346)=1,'История отказов'!F346="ЭВН"),342,""))</f>
        <v/>
      </c>
      <c r="DF343">
        <f>IF('История отказов'!AE346="","",IF(AND(COUNTIF($CX$2:$CX$2,'История отказов'!AE346)=0,COUNTIFS('История отказов'!$F$5:F346,"ШВН",'История отказов'!$AE$5:AE346,'История отказов'!AE346)=1,'История отказов'!F346="ШВН"),342,""))</f>
        <v/>
      </c>
      <c r="DG343">
        <f>IF('История отказов'!AE346="","",IF(AND(COUNTIF($CW$2:$CW$2,'История отказов'!AE346)=0,COUNTIFS('История отказов'!$F$5:F346,"НПУ-ВД",'История отказов'!$AE$5:AE346,'История отказов'!AE346)=1,'История отказов'!F346="НПУ-ВД"),342,""))</f>
        <v/>
      </c>
      <c r="DH343">
        <f>IF('История отказов'!AE346="","",IF(AND(COUNTIF($CY$2:$CY$6,'История отказов'!AE346)=0,COUNTIF('История отказов'!$AE$5:AE346,'История отказов'!AE346)=1),342,""))</f>
        <v/>
      </c>
      <c r="DI343">
        <f>IF('История отказов'!AK346="","",IF(AND(COUNTIF($CL$2:$CL$3,'История отказов'!AK346)=0,COUNTIF('История отказов'!$AK$5:AK346,'История отказов'!AK346)=1),342,""))</f>
        <v/>
      </c>
      <c r="DJ343">
        <f>IF('История отказов'!AU346="","",IF(AND(COUNTIF($CP$2:$CP$3,'История отказов'!AU346)=0,COUNTIF('История отказов'!$AU$5:AU346,'История отказов'!AU346)=1),342,""))</f>
        <v/>
      </c>
      <c r="DK343">
        <f>IF('История отказов'!AY346="","",IF(AND(COUNTIF($CR$2:$CR$2,'История отказов'!AY346)=0,COUNTIF('История отказов'!$AY$5:AY346,'История отказов'!AY346)=1),342,""))</f>
        <v/>
      </c>
      <c r="DL343">
        <f>IF(DB343="","",IF(AND(COUNTIF($DA$2:$DA$47,DB343)=0,COUNTIF($DB$2:DB343,DB343)=1),342,""))</f>
        <v/>
      </c>
    </row>
    <row r="344">
      <c r="J344" s="62" t="n"/>
      <c r="K344" s="62" t="n"/>
      <c r="L344" s="62" t="n"/>
      <c r="M344" s="62" t="n"/>
      <c r="N344" s="62" t="n"/>
      <c r="Q344" t="inlineStr">
        <is>
          <t>ТКРС</t>
        </is>
      </c>
      <c r="R344" t="inlineStr">
        <is>
          <t>КР7-16.3 — Проведение повторной перфорации на кислых растворах.</t>
        </is>
      </c>
      <c r="S344" t="inlineStr">
        <is>
          <t>Код и наименование из документа</t>
        </is>
      </c>
      <c r="T344" t="inlineStr">
        <is>
          <t>Классификатор ремонтных работ, РД 153-39.0-088-01</t>
        </is>
      </c>
      <c r="U344" t="inlineStr">
        <is>
          <t>Таблица 4.1; код КР7-16.3</t>
        </is>
      </c>
      <c r="V344" t="inlineStr">
        <is>
          <t>Все типы</t>
        </is>
      </c>
      <c r="DB344">
        <f>IF('История отказов'!AH347="","",'История отказов'!AH347)</f>
        <v/>
      </c>
      <c r="DC344">
        <f>IF('История отказов'!AE347="","",IF(AND(COUNTIF($CT$2:$CT$2,'История отказов'!AE347)=0,COUNTIFS('История отказов'!$F$5:F347,"ШГН",'История отказов'!$AE$5:AE347,'История отказов'!AE347)=1,'История отказов'!F347="ШГН"),343,""))</f>
        <v/>
      </c>
      <c r="DD344">
        <f>IF('История отказов'!AE347="","",IF(AND(COUNTIF($CU$2:$CU$3,'История отказов'!AE347)=0,COUNTIFS('История отказов'!$F$5:F347,"ЭЦН",'История отказов'!$AE$5:AE347,'История отказов'!AE347)=1,'История отказов'!F347="ЭЦН"),343,""))</f>
        <v/>
      </c>
      <c r="DE344">
        <f>IF('История отказов'!AE347="","",IF(AND(COUNTIF($CV$2:$CV$3,'История отказов'!AE347)=0,COUNTIFS('История отказов'!$F$5:F347,"ЭВН",'История отказов'!$AE$5:AE347,'История отказов'!AE347)=1,'История отказов'!F347="ЭВН"),343,""))</f>
        <v/>
      </c>
      <c r="DF344">
        <f>IF('История отказов'!AE347="","",IF(AND(COUNTIF($CX$2:$CX$2,'История отказов'!AE347)=0,COUNTIFS('История отказов'!$F$5:F347,"ШВН",'История отказов'!$AE$5:AE347,'История отказов'!AE347)=1,'История отказов'!F347="ШВН"),343,""))</f>
        <v/>
      </c>
      <c r="DG344">
        <f>IF('История отказов'!AE347="","",IF(AND(COUNTIF($CW$2:$CW$2,'История отказов'!AE347)=0,COUNTIFS('История отказов'!$F$5:F347,"НПУ-ВД",'История отказов'!$AE$5:AE347,'История отказов'!AE347)=1,'История отказов'!F347="НПУ-ВД"),343,""))</f>
        <v/>
      </c>
      <c r="DH344">
        <f>IF('История отказов'!AE347="","",IF(AND(COUNTIF($CY$2:$CY$6,'История отказов'!AE347)=0,COUNTIF('История отказов'!$AE$5:AE347,'История отказов'!AE347)=1),343,""))</f>
        <v/>
      </c>
      <c r="DI344">
        <f>IF('История отказов'!AK347="","",IF(AND(COUNTIF($CL$2:$CL$3,'История отказов'!AK347)=0,COUNTIF('История отказов'!$AK$5:AK347,'История отказов'!AK347)=1),343,""))</f>
        <v/>
      </c>
      <c r="DJ344">
        <f>IF('История отказов'!AU347="","",IF(AND(COUNTIF($CP$2:$CP$3,'История отказов'!AU347)=0,COUNTIF('История отказов'!$AU$5:AU347,'История отказов'!AU347)=1),343,""))</f>
        <v/>
      </c>
      <c r="DK344">
        <f>IF('История отказов'!AY347="","",IF(AND(COUNTIF($CR$2:$CR$2,'История отказов'!AY347)=0,COUNTIF('История отказов'!$AY$5:AY347,'История отказов'!AY347)=1),343,""))</f>
        <v/>
      </c>
      <c r="DL344">
        <f>IF(DB344="","",IF(AND(COUNTIF($DA$2:$DA$47,DB344)=0,COUNTIF($DB$2:DB344,DB344)=1),343,""))</f>
        <v/>
      </c>
    </row>
    <row r="345">
      <c r="J345" s="62" t="n"/>
      <c r="K345" s="62" t="n"/>
      <c r="L345" s="62" t="n"/>
      <c r="M345" s="62" t="n"/>
      <c r="N345" s="62" t="n"/>
      <c r="Q345" t="inlineStr">
        <is>
          <t>ТКРС</t>
        </is>
      </c>
      <c r="R345" t="inlineStr">
        <is>
          <t>КР7-16.4 — Проведение депрессионной перфорации пласта.</t>
        </is>
      </c>
      <c r="S345" t="inlineStr">
        <is>
          <t>Код и наименование из документа</t>
        </is>
      </c>
      <c r="T345" t="inlineStr">
        <is>
          <t>Классификатор ремонтных работ, РД 153-39.0-088-01</t>
        </is>
      </c>
      <c r="U345" t="inlineStr">
        <is>
          <t>Таблица 4.1; код КР7-16.4</t>
        </is>
      </c>
      <c r="V345" t="inlineStr">
        <is>
          <t>Все типы</t>
        </is>
      </c>
      <c r="DB345">
        <f>IF('История отказов'!AH348="","",'История отказов'!AH348)</f>
        <v/>
      </c>
      <c r="DC345">
        <f>IF('История отказов'!AE348="","",IF(AND(COUNTIF($CT$2:$CT$2,'История отказов'!AE348)=0,COUNTIFS('История отказов'!$F$5:F348,"ШГН",'История отказов'!$AE$5:AE348,'История отказов'!AE348)=1,'История отказов'!F348="ШГН"),344,""))</f>
        <v/>
      </c>
      <c r="DD345">
        <f>IF('История отказов'!AE348="","",IF(AND(COUNTIF($CU$2:$CU$3,'История отказов'!AE348)=0,COUNTIFS('История отказов'!$F$5:F348,"ЭЦН",'История отказов'!$AE$5:AE348,'История отказов'!AE348)=1,'История отказов'!F348="ЭЦН"),344,""))</f>
        <v/>
      </c>
      <c r="DE345">
        <f>IF('История отказов'!AE348="","",IF(AND(COUNTIF($CV$2:$CV$3,'История отказов'!AE348)=0,COUNTIFS('История отказов'!$F$5:F348,"ЭВН",'История отказов'!$AE$5:AE348,'История отказов'!AE348)=1,'История отказов'!F348="ЭВН"),344,""))</f>
        <v/>
      </c>
      <c r="DF345">
        <f>IF('История отказов'!AE348="","",IF(AND(COUNTIF($CX$2:$CX$2,'История отказов'!AE348)=0,COUNTIFS('История отказов'!$F$5:F348,"ШВН",'История отказов'!$AE$5:AE348,'История отказов'!AE348)=1,'История отказов'!F348="ШВН"),344,""))</f>
        <v/>
      </c>
      <c r="DG345">
        <f>IF('История отказов'!AE348="","",IF(AND(COUNTIF($CW$2:$CW$2,'История отказов'!AE348)=0,COUNTIFS('История отказов'!$F$5:F348,"НПУ-ВД",'История отказов'!$AE$5:AE348,'История отказов'!AE348)=1,'История отказов'!F348="НПУ-ВД"),344,""))</f>
        <v/>
      </c>
      <c r="DH345">
        <f>IF('История отказов'!AE348="","",IF(AND(COUNTIF($CY$2:$CY$6,'История отказов'!AE348)=0,COUNTIF('История отказов'!$AE$5:AE348,'История отказов'!AE348)=1),344,""))</f>
        <v/>
      </c>
      <c r="DI345">
        <f>IF('История отказов'!AK348="","",IF(AND(COUNTIF($CL$2:$CL$3,'История отказов'!AK348)=0,COUNTIF('История отказов'!$AK$5:AK348,'История отказов'!AK348)=1),344,""))</f>
        <v/>
      </c>
      <c r="DJ345">
        <f>IF('История отказов'!AU348="","",IF(AND(COUNTIF($CP$2:$CP$3,'История отказов'!AU348)=0,COUNTIF('История отказов'!$AU$5:AU348,'История отказов'!AU348)=1),344,""))</f>
        <v/>
      </c>
      <c r="DK345">
        <f>IF('История отказов'!AY348="","",IF(AND(COUNTIF($CR$2:$CR$2,'История отказов'!AY348)=0,COUNTIF('История отказов'!$AY$5:AY348,'История отказов'!AY348)=1),344,""))</f>
        <v/>
      </c>
      <c r="DL345">
        <f>IF(DB345="","",IF(AND(COUNTIF($DA$2:$DA$47,DB345)=0,COUNTIF($DB$2:DB345,DB345)=1),344,""))</f>
        <v/>
      </c>
    </row>
    <row r="346">
      <c r="A346" s="33" t="n"/>
      <c r="B346" s="34" t="n"/>
      <c r="C346" s="34" t="n"/>
      <c r="D346" s="34" t="n"/>
      <c r="E346" s="34" t="n"/>
      <c r="F346" s="34" t="n"/>
      <c r="G346" s="34" t="n"/>
      <c r="H346" s="35" t="n"/>
      <c r="J346" s="62" t="n"/>
      <c r="K346" s="62" t="n"/>
      <c r="L346" s="62" t="n"/>
      <c r="M346" s="62" t="n"/>
      <c r="N346" s="62" t="n"/>
      <c r="Q346" t="inlineStr">
        <is>
          <t>ТКРС</t>
        </is>
      </c>
      <c r="R346" t="inlineStr">
        <is>
          <t>КР7-16.5 — Проведение МГД</t>
        </is>
      </c>
      <c r="S346" t="inlineStr">
        <is>
          <t>Код и наименование из документа</t>
        </is>
      </c>
      <c r="T346" t="inlineStr">
        <is>
          <t>Классификатор ремонтных работ, РД 153-39.0-088-01</t>
        </is>
      </c>
      <c r="U346" t="inlineStr">
        <is>
          <t>Таблица 4.1; код КР7-16.5</t>
        </is>
      </c>
      <c r="V346" t="inlineStr">
        <is>
          <t>Все типы</t>
        </is>
      </c>
      <c r="DB346">
        <f>IF('История отказов'!AH349="","",'История отказов'!AH349)</f>
        <v/>
      </c>
      <c r="DC346">
        <f>IF('История отказов'!AE349="","",IF(AND(COUNTIF($CT$2:$CT$2,'История отказов'!AE349)=0,COUNTIFS('История отказов'!$F$5:F349,"ШГН",'История отказов'!$AE$5:AE349,'История отказов'!AE349)=1,'История отказов'!F349="ШГН"),345,""))</f>
        <v/>
      </c>
      <c r="DD346">
        <f>IF('История отказов'!AE349="","",IF(AND(COUNTIF($CU$2:$CU$3,'История отказов'!AE349)=0,COUNTIFS('История отказов'!$F$5:F349,"ЭЦН",'История отказов'!$AE$5:AE349,'История отказов'!AE349)=1,'История отказов'!F349="ЭЦН"),345,""))</f>
        <v/>
      </c>
      <c r="DE346">
        <f>IF('История отказов'!AE349="","",IF(AND(COUNTIF($CV$2:$CV$3,'История отказов'!AE349)=0,COUNTIFS('История отказов'!$F$5:F349,"ЭВН",'История отказов'!$AE$5:AE349,'История отказов'!AE349)=1,'История отказов'!F349="ЭВН"),345,""))</f>
        <v/>
      </c>
      <c r="DF346">
        <f>IF('История отказов'!AE349="","",IF(AND(COUNTIF($CX$2:$CX$2,'История отказов'!AE349)=0,COUNTIFS('История отказов'!$F$5:F349,"ШВН",'История отказов'!$AE$5:AE349,'История отказов'!AE349)=1,'История отказов'!F349="ШВН"),345,""))</f>
        <v/>
      </c>
      <c r="DG346">
        <f>IF('История отказов'!AE349="","",IF(AND(COUNTIF($CW$2:$CW$2,'История отказов'!AE349)=0,COUNTIFS('История отказов'!$F$5:F349,"НПУ-ВД",'История отказов'!$AE$5:AE349,'История отказов'!AE349)=1,'История отказов'!F349="НПУ-ВД"),345,""))</f>
        <v/>
      </c>
      <c r="DH346">
        <f>IF('История отказов'!AE349="","",IF(AND(COUNTIF($CY$2:$CY$6,'История отказов'!AE349)=0,COUNTIF('История отказов'!$AE$5:AE349,'История отказов'!AE349)=1),345,""))</f>
        <v/>
      </c>
      <c r="DI346">
        <f>IF('История отказов'!AK349="","",IF(AND(COUNTIF($CL$2:$CL$3,'История отказов'!AK349)=0,COUNTIF('История отказов'!$AK$5:AK349,'История отказов'!AK349)=1),345,""))</f>
        <v/>
      </c>
      <c r="DJ346">
        <f>IF('История отказов'!AU349="","",IF(AND(COUNTIF($CP$2:$CP$3,'История отказов'!AU349)=0,COUNTIF('История отказов'!$AU$5:AU349,'История отказов'!AU349)=1),345,""))</f>
        <v/>
      </c>
      <c r="DK346">
        <f>IF('История отказов'!AY349="","",IF(AND(COUNTIF($CR$2:$CR$2,'История отказов'!AY349)=0,COUNTIF('История отказов'!$AY$5:AY349,'История отказов'!AY349)=1),345,""))</f>
        <v/>
      </c>
      <c r="DL346">
        <f>IF(DB346="","",IF(AND(COUNTIF($DA$2:$DA$47,DB346)=0,COUNTIF($DB$2:DB346,DB346)=1),345,""))</f>
        <v/>
      </c>
    </row>
    <row r="347">
      <c r="A347" s="48" t="n"/>
      <c r="B347" s="49" t="n"/>
      <c r="C347" s="49" t="n"/>
      <c r="D347" s="49" t="n"/>
      <c r="E347" s="49" t="n"/>
      <c r="F347" s="49" t="n"/>
      <c r="G347" s="49" t="n"/>
      <c r="H347" s="50" t="n"/>
      <c r="J347" s="62" t="n"/>
      <c r="K347" s="62" t="n"/>
      <c r="L347" s="62" t="n"/>
      <c r="M347" s="62" t="n"/>
      <c r="N347" s="62" t="n"/>
      <c r="Q347" t="inlineStr">
        <is>
          <t>ТКРС</t>
        </is>
      </c>
      <c r="R347" t="inlineStr">
        <is>
          <t>КР8-1 — Исследование характера насыщенности и выработки продуктивных пластов, уточнение геологического разреза в скважине.</t>
        </is>
      </c>
      <c r="S347" t="inlineStr">
        <is>
          <t>Код и наименование из документа</t>
        </is>
      </c>
      <c r="T347" t="inlineStr">
        <is>
          <t>Классификатор ремонтных работ, РД 153-39.0-088-01</t>
        </is>
      </c>
      <c r="U347" t="inlineStr">
        <is>
          <t>Таблица 4.1; код КР8-1</t>
        </is>
      </c>
      <c r="V347" t="inlineStr">
        <is>
          <t>Все типы</t>
        </is>
      </c>
      <c r="DB347">
        <f>IF('История отказов'!AH350="","",'История отказов'!AH350)</f>
        <v/>
      </c>
      <c r="DC347">
        <f>IF('История отказов'!AE350="","",IF(AND(COUNTIF($CT$2:$CT$2,'История отказов'!AE350)=0,COUNTIFS('История отказов'!$F$5:F350,"ШГН",'История отказов'!$AE$5:AE350,'История отказов'!AE350)=1,'История отказов'!F350="ШГН"),346,""))</f>
        <v/>
      </c>
      <c r="DD347">
        <f>IF('История отказов'!AE350="","",IF(AND(COUNTIF($CU$2:$CU$3,'История отказов'!AE350)=0,COUNTIFS('История отказов'!$F$5:F350,"ЭЦН",'История отказов'!$AE$5:AE350,'История отказов'!AE350)=1,'История отказов'!F350="ЭЦН"),346,""))</f>
        <v/>
      </c>
      <c r="DE347">
        <f>IF('История отказов'!AE350="","",IF(AND(COUNTIF($CV$2:$CV$3,'История отказов'!AE350)=0,COUNTIFS('История отказов'!$F$5:F350,"ЭВН",'История отказов'!$AE$5:AE350,'История отказов'!AE350)=1,'История отказов'!F350="ЭВН"),346,""))</f>
        <v/>
      </c>
      <c r="DF347">
        <f>IF('История отказов'!AE350="","",IF(AND(COUNTIF($CX$2:$CX$2,'История отказов'!AE350)=0,COUNTIFS('История отказов'!$F$5:F350,"ШВН",'История отказов'!$AE$5:AE350,'История отказов'!AE350)=1,'История отказов'!F350="ШВН"),346,""))</f>
        <v/>
      </c>
      <c r="DG347">
        <f>IF('История отказов'!AE350="","",IF(AND(COUNTIF($CW$2:$CW$2,'История отказов'!AE350)=0,COUNTIFS('История отказов'!$F$5:F350,"НПУ-ВД",'История отказов'!$AE$5:AE350,'История отказов'!AE350)=1,'История отказов'!F350="НПУ-ВД"),346,""))</f>
        <v/>
      </c>
      <c r="DH347">
        <f>IF('История отказов'!AE350="","",IF(AND(COUNTIF($CY$2:$CY$6,'История отказов'!AE350)=0,COUNTIF('История отказов'!$AE$5:AE350,'История отказов'!AE350)=1),346,""))</f>
        <v/>
      </c>
      <c r="DI347">
        <f>IF('История отказов'!AK350="","",IF(AND(COUNTIF($CL$2:$CL$3,'История отказов'!AK350)=0,COUNTIF('История отказов'!$AK$5:AK350,'История отказов'!AK350)=1),346,""))</f>
        <v/>
      </c>
      <c r="DJ347">
        <f>IF('История отказов'!AU350="","",IF(AND(COUNTIF($CP$2:$CP$3,'История отказов'!AU350)=0,COUNTIF('История отказов'!$AU$5:AU350,'История отказов'!AU350)=1),346,""))</f>
        <v/>
      </c>
      <c r="DK347">
        <f>IF('История отказов'!AY350="","",IF(AND(COUNTIF($CR$2:$CR$2,'История отказов'!AY350)=0,COUNTIF('История отказов'!$AY$5:AY350,'История отказов'!AY350)=1),346,""))</f>
        <v/>
      </c>
      <c r="DL347">
        <f>IF(DB347="","",IF(AND(COUNTIF($DA$2:$DA$47,DB347)=0,COUNTIF($DB$2:DB347,DB347)=1),346,""))</f>
        <v/>
      </c>
    </row>
    <row r="348">
      <c r="A348" s="71" t="n"/>
      <c r="B348" s="72" t="n"/>
      <c r="C348" s="72" t="n"/>
      <c r="D348" s="72" t="n"/>
      <c r="E348" s="72" t="n"/>
      <c r="F348" s="72" t="n"/>
      <c r="G348" s="72" t="n"/>
      <c r="H348" s="73" t="n"/>
      <c r="J348" s="62" t="n"/>
      <c r="K348" s="62" t="n"/>
      <c r="L348" s="62" t="n"/>
      <c r="M348" s="62" t="n"/>
      <c r="N348" s="62" t="n"/>
      <c r="Q348" t="inlineStr">
        <is>
          <t>ТКРС</t>
        </is>
      </c>
      <c r="R348" t="inlineStr">
        <is>
          <t>КР8-2 — Оценка технического состояния скважины (обследование скважины).</t>
        </is>
      </c>
      <c r="S348" t="inlineStr">
        <is>
          <t>Код и наименование из документа</t>
        </is>
      </c>
      <c r="T348" t="inlineStr">
        <is>
          <t>Классификатор ремонтных работ, РД 153-39.0-088-01</t>
        </is>
      </c>
      <c r="U348" t="inlineStr">
        <is>
          <t>Таблица 4.1; код КР8-2</t>
        </is>
      </c>
      <c r="V348" t="inlineStr">
        <is>
          <t>Все типы</t>
        </is>
      </c>
      <c r="DB348">
        <f>IF('История отказов'!AH351="","",'История отказов'!AH351)</f>
        <v/>
      </c>
      <c r="DC348">
        <f>IF('История отказов'!AE351="","",IF(AND(COUNTIF($CT$2:$CT$2,'История отказов'!AE351)=0,COUNTIFS('История отказов'!$F$5:F351,"ШГН",'История отказов'!$AE$5:AE351,'История отказов'!AE351)=1,'История отказов'!F351="ШГН"),347,""))</f>
        <v/>
      </c>
      <c r="DD348">
        <f>IF('История отказов'!AE351="","",IF(AND(COUNTIF($CU$2:$CU$3,'История отказов'!AE351)=0,COUNTIFS('История отказов'!$F$5:F351,"ЭЦН",'История отказов'!$AE$5:AE351,'История отказов'!AE351)=1,'История отказов'!F351="ЭЦН"),347,""))</f>
        <v/>
      </c>
      <c r="DE348">
        <f>IF('История отказов'!AE351="","",IF(AND(COUNTIF($CV$2:$CV$3,'История отказов'!AE351)=0,COUNTIFS('История отказов'!$F$5:F351,"ЭВН",'История отказов'!$AE$5:AE351,'История отказов'!AE351)=1,'История отказов'!F351="ЭВН"),347,""))</f>
        <v/>
      </c>
      <c r="DF348">
        <f>IF('История отказов'!AE351="","",IF(AND(COUNTIF($CX$2:$CX$2,'История отказов'!AE351)=0,COUNTIFS('История отказов'!$F$5:F351,"ШВН",'История отказов'!$AE$5:AE351,'История отказов'!AE351)=1,'История отказов'!F351="ШВН"),347,""))</f>
        <v/>
      </c>
      <c r="DG348">
        <f>IF('История отказов'!AE351="","",IF(AND(COUNTIF($CW$2:$CW$2,'История отказов'!AE351)=0,COUNTIFS('История отказов'!$F$5:F351,"НПУ-ВД",'История отказов'!$AE$5:AE351,'История отказов'!AE351)=1,'История отказов'!F351="НПУ-ВД"),347,""))</f>
        <v/>
      </c>
      <c r="DH348">
        <f>IF('История отказов'!AE351="","",IF(AND(COUNTIF($CY$2:$CY$6,'История отказов'!AE351)=0,COUNTIF('История отказов'!$AE$5:AE351,'История отказов'!AE351)=1),347,""))</f>
        <v/>
      </c>
      <c r="DI348">
        <f>IF('История отказов'!AK351="","",IF(AND(COUNTIF($CL$2:$CL$3,'История отказов'!AK351)=0,COUNTIF('История отказов'!$AK$5:AK351,'История отказов'!AK351)=1),347,""))</f>
        <v/>
      </c>
      <c r="DJ348">
        <f>IF('История отказов'!AU351="","",IF(AND(COUNTIF($CP$2:$CP$3,'История отказов'!AU351)=0,COUNTIF('История отказов'!$AU$5:AU351,'История отказов'!AU351)=1),347,""))</f>
        <v/>
      </c>
      <c r="DK348">
        <f>IF('История отказов'!AY351="","",IF(AND(COUNTIF($CR$2:$CR$2,'История отказов'!AY351)=0,COUNTIF('История отказов'!$AY$5:AY351,'История отказов'!AY351)=1),347,""))</f>
        <v/>
      </c>
      <c r="DL348">
        <f>IF(DB348="","",IF(AND(COUNTIF($DA$2:$DA$47,DB348)=0,COUNTIF($DB$2:DB348,DB348)=1),347,""))</f>
        <v/>
      </c>
    </row>
    <row r="349">
      <c r="A349" s="74" t="n"/>
      <c r="B349" s="75" t="n"/>
      <c r="C349" s="75" t="n"/>
      <c r="D349" s="75" t="n"/>
      <c r="E349" s="75" t="n"/>
      <c r="F349" s="75" t="n"/>
      <c r="G349" s="75" t="n"/>
      <c r="H349" s="76" t="n"/>
      <c r="J349" s="62" t="n"/>
      <c r="K349" s="62" t="n"/>
      <c r="L349" s="62" t="n"/>
      <c r="M349" s="62" t="n"/>
      <c r="N349" s="62" t="n"/>
      <c r="Q349" t="inlineStr">
        <is>
          <t>ТКРС</t>
        </is>
      </c>
      <c r="R349" t="inlineStr">
        <is>
          <t>КР9-1 — Освоение скважины под нагнетание.</t>
        </is>
      </c>
      <c r="S349" t="inlineStr">
        <is>
          <t>Код и наименование из документа</t>
        </is>
      </c>
      <c r="T349" t="inlineStr">
        <is>
          <t>Классификатор ремонтных работ, РД 153-39.0-088-01</t>
        </is>
      </c>
      <c r="U349" t="inlineStr">
        <is>
          <t>Таблица 4.1; код КР9-1</t>
        </is>
      </c>
      <c r="V349" t="inlineStr">
        <is>
          <t>Все типы</t>
        </is>
      </c>
      <c r="DB349">
        <f>IF('История отказов'!AH352="","",'История отказов'!AH352)</f>
        <v/>
      </c>
      <c r="DC349">
        <f>IF('История отказов'!AE352="","",IF(AND(COUNTIF($CT$2:$CT$2,'История отказов'!AE352)=0,COUNTIFS('История отказов'!$F$5:F352,"ШГН",'История отказов'!$AE$5:AE352,'История отказов'!AE352)=1,'История отказов'!F352="ШГН"),348,""))</f>
        <v/>
      </c>
      <c r="DD349">
        <f>IF('История отказов'!AE352="","",IF(AND(COUNTIF($CU$2:$CU$3,'История отказов'!AE352)=0,COUNTIFS('История отказов'!$F$5:F352,"ЭЦН",'История отказов'!$AE$5:AE352,'История отказов'!AE352)=1,'История отказов'!F352="ЭЦН"),348,""))</f>
        <v/>
      </c>
      <c r="DE349">
        <f>IF('История отказов'!AE352="","",IF(AND(COUNTIF($CV$2:$CV$3,'История отказов'!AE352)=0,COUNTIFS('История отказов'!$F$5:F352,"ЭВН",'История отказов'!$AE$5:AE352,'История отказов'!AE352)=1,'История отказов'!F352="ЭВН"),348,""))</f>
        <v/>
      </c>
      <c r="DF349">
        <f>IF('История отказов'!AE352="","",IF(AND(COUNTIF($CX$2:$CX$2,'История отказов'!AE352)=0,COUNTIFS('История отказов'!$F$5:F352,"ШВН",'История отказов'!$AE$5:AE352,'История отказов'!AE352)=1,'История отказов'!F352="ШВН"),348,""))</f>
        <v/>
      </c>
      <c r="DG349">
        <f>IF('История отказов'!AE352="","",IF(AND(COUNTIF($CW$2:$CW$2,'История отказов'!AE352)=0,COUNTIFS('История отказов'!$F$5:F352,"НПУ-ВД",'История отказов'!$AE$5:AE352,'История отказов'!AE352)=1,'История отказов'!F352="НПУ-ВД"),348,""))</f>
        <v/>
      </c>
      <c r="DH349">
        <f>IF('История отказов'!AE352="","",IF(AND(COUNTIF($CY$2:$CY$6,'История отказов'!AE352)=0,COUNTIF('История отказов'!$AE$5:AE352,'История отказов'!AE352)=1),348,""))</f>
        <v/>
      </c>
      <c r="DI349">
        <f>IF('История отказов'!AK352="","",IF(AND(COUNTIF($CL$2:$CL$3,'История отказов'!AK352)=0,COUNTIF('История отказов'!$AK$5:AK352,'История отказов'!AK352)=1),348,""))</f>
        <v/>
      </c>
      <c r="DJ349">
        <f>IF('История отказов'!AU352="","",IF(AND(COUNTIF($CP$2:$CP$3,'История отказов'!AU352)=0,COUNTIF('История отказов'!$AU$5:AU352,'История отказов'!AU352)=1),348,""))</f>
        <v/>
      </c>
      <c r="DK349">
        <f>IF('История отказов'!AY352="","",IF(AND(COUNTIF($CR$2:$CR$2,'История отказов'!AY352)=0,COUNTIF('История отказов'!$AY$5:AY352,'История отказов'!AY352)=1),348,""))</f>
        <v/>
      </c>
      <c r="DL349">
        <f>IF(DB349="","",IF(AND(COUNTIF($DA$2:$DA$47,DB349)=0,COUNTIF($DB$2:DB349,DB349)=1),348,""))</f>
        <v/>
      </c>
    </row>
    <row r="350">
      <c r="A350" s="74" t="n"/>
      <c r="B350" s="75" t="n"/>
      <c r="C350" s="75" t="n"/>
      <c r="D350" s="75" t="n"/>
      <c r="E350" s="75" t="n"/>
      <c r="F350" s="75" t="n"/>
      <c r="G350" s="75" t="n"/>
      <c r="H350" s="76" t="n"/>
      <c r="J350" s="62" t="n"/>
      <c r="K350" s="62" t="n"/>
      <c r="L350" s="62" t="n"/>
      <c r="M350" s="62" t="n"/>
      <c r="N350" s="62" t="n"/>
      <c r="Q350" t="inlineStr">
        <is>
          <t>ТКРС</t>
        </is>
      </c>
      <c r="R350" t="inlineStr">
        <is>
          <t>КР9-2 — Перевод скважины под отбор технической воды.</t>
        </is>
      </c>
      <c r="S350" t="inlineStr">
        <is>
          <t>Код и наименование из документа</t>
        </is>
      </c>
      <c r="T350" t="inlineStr">
        <is>
          <t>Классификатор ремонтных работ, РД 153-39.0-088-01</t>
        </is>
      </c>
      <c r="U350" t="inlineStr">
        <is>
          <t>Таблица 4.1; код КР9-2</t>
        </is>
      </c>
      <c r="V350" t="inlineStr">
        <is>
          <t>Все типы</t>
        </is>
      </c>
      <c r="DB350">
        <f>IF('История отказов'!AH353="","",'История отказов'!AH353)</f>
        <v/>
      </c>
      <c r="DC350">
        <f>IF('История отказов'!AE353="","",IF(AND(COUNTIF($CT$2:$CT$2,'История отказов'!AE353)=0,COUNTIFS('История отказов'!$F$5:F353,"ШГН",'История отказов'!$AE$5:AE353,'История отказов'!AE353)=1,'История отказов'!F353="ШГН"),349,""))</f>
        <v/>
      </c>
      <c r="DD350">
        <f>IF('История отказов'!AE353="","",IF(AND(COUNTIF($CU$2:$CU$3,'История отказов'!AE353)=0,COUNTIFS('История отказов'!$F$5:F353,"ЭЦН",'История отказов'!$AE$5:AE353,'История отказов'!AE353)=1,'История отказов'!F353="ЭЦН"),349,""))</f>
        <v/>
      </c>
      <c r="DE350">
        <f>IF('История отказов'!AE353="","",IF(AND(COUNTIF($CV$2:$CV$3,'История отказов'!AE353)=0,COUNTIFS('История отказов'!$F$5:F353,"ЭВН",'История отказов'!$AE$5:AE353,'История отказов'!AE353)=1,'История отказов'!F353="ЭВН"),349,""))</f>
        <v/>
      </c>
      <c r="DF350">
        <f>IF('История отказов'!AE353="","",IF(AND(COUNTIF($CX$2:$CX$2,'История отказов'!AE353)=0,COUNTIFS('История отказов'!$F$5:F353,"ШВН",'История отказов'!$AE$5:AE353,'История отказов'!AE353)=1,'История отказов'!F353="ШВН"),349,""))</f>
        <v/>
      </c>
      <c r="DG350">
        <f>IF('История отказов'!AE353="","",IF(AND(COUNTIF($CW$2:$CW$2,'История отказов'!AE353)=0,COUNTIFS('История отказов'!$F$5:F353,"НПУ-ВД",'История отказов'!$AE$5:AE353,'История отказов'!AE353)=1,'История отказов'!F353="НПУ-ВД"),349,""))</f>
        <v/>
      </c>
      <c r="DH350">
        <f>IF('История отказов'!AE353="","",IF(AND(COUNTIF($CY$2:$CY$6,'История отказов'!AE353)=0,COUNTIF('История отказов'!$AE$5:AE353,'История отказов'!AE353)=1),349,""))</f>
        <v/>
      </c>
      <c r="DI350">
        <f>IF('История отказов'!AK353="","",IF(AND(COUNTIF($CL$2:$CL$3,'История отказов'!AK353)=0,COUNTIF('История отказов'!$AK$5:AK353,'История отказов'!AK353)=1),349,""))</f>
        <v/>
      </c>
      <c r="DJ350">
        <f>IF('История отказов'!AU353="","",IF(AND(COUNTIF($CP$2:$CP$3,'История отказов'!AU353)=0,COUNTIF('История отказов'!$AU$5:AU353,'История отказов'!AU353)=1),349,""))</f>
        <v/>
      </c>
      <c r="DK350">
        <f>IF('История отказов'!AY353="","",IF(AND(COUNTIF($CR$2:$CR$2,'История отказов'!AY353)=0,COUNTIF('История отказов'!$AY$5:AY353,'История отказов'!AY353)=1),349,""))</f>
        <v/>
      </c>
      <c r="DL350">
        <f>IF(DB350="","",IF(AND(COUNTIF($DA$2:$DA$47,DB350)=0,COUNTIF($DB$2:DB350,DB350)=1),349,""))</f>
        <v/>
      </c>
    </row>
    <row r="351">
      <c r="A351" s="74" t="n"/>
      <c r="B351" s="75" t="n"/>
      <c r="C351" s="75" t="n"/>
      <c r="D351" s="75" t="n"/>
      <c r="E351" s="75" t="n"/>
      <c r="F351" s="75" t="n"/>
      <c r="G351" s="75" t="n"/>
      <c r="H351" s="76" t="n"/>
      <c r="J351" s="62" t="n"/>
      <c r="K351" s="62" t="n"/>
      <c r="L351" s="62" t="n"/>
      <c r="M351" s="62" t="n"/>
      <c r="N351" s="62" t="n"/>
      <c r="Q351" t="inlineStr">
        <is>
          <t>ТКРС</t>
        </is>
      </c>
      <c r="R351" t="inlineStr">
        <is>
          <t>КР9-3 — Перевод скважины в наблюдательную, пьезометрическую, контрольную.</t>
        </is>
      </c>
      <c r="S351" t="inlineStr">
        <is>
          <t>Код и наименование из документа</t>
        </is>
      </c>
      <c r="T351" t="inlineStr">
        <is>
          <t>Классификатор ремонтных работ, РД 153-39.0-088-01</t>
        </is>
      </c>
      <c r="U351" t="inlineStr">
        <is>
          <t>Таблица 4.1; код КР9-3</t>
        </is>
      </c>
      <c r="V351" t="inlineStr">
        <is>
          <t>Все типы</t>
        </is>
      </c>
      <c r="DB351">
        <f>IF('История отказов'!AH354="","",'История отказов'!AH354)</f>
        <v/>
      </c>
      <c r="DC351">
        <f>IF('История отказов'!AE354="","",IF(AND(COUNTIF($CT$2:$CT$2,'История отказов'!AE354)=0,COUNTIFS('История отказов'!$F$5:F354,"ШГН",'История отказов'!$AE$5:AE354,'История отказов'!AE354)=1,'История отказов'!F354="ШГН"),350,""))</f>
        <v/>
      </c>
      <c r="DD351">
        <f>IF('История отказов'!AE354="","",IF(AND(COUNTIF($CU$2:$CU$3,'История отказов'!AE354)=0,COUNTIFS('История отказов'!$F$5:F354,"ЭЦН",'История отказов'!$AE$5:AE354,'История отказов'!AE354)=1,'История отказов'!F354="ЭЦН"),350,""))</f>
        <v/>
      </c>
      <c r="DE351">
        <f>IF('История отказов'!AE354="","",IF(AND(COUNTIF($CV$2:$CV$3,'История отказов'!AE354)=0,COUNTIFS('История отказов'!$F$5:F354,"ЭВН",'История отказов'!$AE$5:AE354,'История отказов'!AE354)=1,'История отказов'!F354="ЭВН"),350,""))</f>
        <v/>
      </c>
      <c r="DF351">
        <f>IF('История отказов'!AE354="","",IF(AND(COUNTIF($CX$2:$CX$2,'История отказов'!AE354)=0,COUNTIFS('История отказов'!$F$5:F354,"ШВН",'История отказов'!$AE$5:AE354,'История отказов'!AE354)=1,'История отказов'!F354="ШВН"),350,""))</f>
        <v/>
      </c>
      <c r="DG351">
        <f>IF('История отказов'!AE354="","",IF(AND(COUNTIF($CW$2:$CW$2,'История отказов'!AE354)=0,COUNTIFS('История отказов'!$F$5:F354,"НПУ-ВД",'История отказов'!$AE$5:AE354,'История отказов'!AE354)=1,'История отказов'!F354="НПУ-ВД"),350,""))</f>
        <v/>
      </c>
      <c r="DH351">
        <f>IF('История отказов'!AE354="","",IF(AND(COUNTIF($CY$2:$CY$6,'История отказов'!AE354)=0,COUNTIF('История отказов'!$AE$5:AE354,'История отказов'!AE354)=1),350,""))</f>
        <v/>
      </c>
      <c r="DI351">
        <f>IF('История отказов'!AK354="","",IF(AND(COUNTIF($CL$2:$CL$3,'История отказов'!AK354)=0,COUNTIF('История отказов'!$AK$5:AK354,'История отказов'!AK354)=1),350,""))</f>
        <v/>
      </c>
      <c r="DJ351">
        <f>IF('История отказов'!AU354="","",IF(AND(COUNTIF($CP$2:$CP$3,'История отказов'!AU354)=0,COUNTIF('История отказов'!$AU$5:AU354,'История отказов'!AU354)=1),350,""))</f>
        <v/>
      </c>
      <c r="DK351">
        <f>IF('История отказов'!AY354="","",IF(AND(COUNTIF($CR$2:$CR$2,'История отказов'!AY354)=0,COUNTIF('История отказов'!$AY$5:AY354,'История отказов'!AY354)=1),350,""))</f>
        <v/>
      </c>
      <c r="DL351">
        <f>IF(DB351="","",IF(AND(COUNTIF($DA$2:$DA$47,DB351)=0,COUNTIF($DB$2:DB351,DB351)=1),350,""))</f>
        <v/>
      </c>
    </row>
    <row r="352">
      <c r="A352" s="74" t="n"/>
      <c r="B352" s="75" t="n"/>
      <c r="C352" s="75" t="n"/>
      <c r="D352" s="75" t="n"/>
      <c r="E352" s="75" t="n"/>
      <c r="F352" s="75" t="n"/>
      <c r="G352" s="75" t="n"/>
      <c r="H352" s="76" t="n"/>
      <c r="J352" s="62" t="n"/>
      <c r="K352" s="62" t="n"/>
      <c r="L352" s="62" t="n"/>
      <c r="M352" s="62" t="n"/>
      <c r="N352" s="62" t="n"/>
      <c r="Q352" t="inlineStr">
        <is>
          <t>ТКРС</t>
        </is>
      </c>
      <c r="R352" t="inlineStr">
        <is>
          <t>КР9-4 — Перевод скважин под нагнетание теплоносителя, воздуха или газа.</t>
        </is>
      </c>
      <c r="S352" t="inlineStr">
        <is>
          <t>Код и наименование из документа</t>
        </is>
      </c>
      <c r="T352" t="inlineStr">
        <is>
          <t>Классификатор ремонтных работ, РД 153-39.0-088-01</t>
        </is>
      </c>
      <c r="U352" t="inlineStr">
        <is>
          <t>Таблица 4.1; код КР9-4</t>
        </is>
      </c>
      <c r="V352" t="inlineStr">
        <is>
          <t>Все типы</t>
        </is>
      </c>
      <c r="DB352">
        <f>IF('История отказов'!AH355="","",'История отказов'!AH355)</f>
        <v/>
      </c>
      <c r="DC352">
        <f>IF('История отказов'!AE355="","",IF(AND(COUNTIF($CT$2:$CT$2,'История отказов'!AE355)=0,COUNTIFS('История отказов'!$F$5:F355,"ШГН",'История отказов'!$AE$5:AE355,'История отказов'!AE355)=1,'История отказов'!F355="ШГН"),351,""))</f>
        <v/>
      </c>
      <c r="DD352">
        <f>IF('История отказов'!AE355="","",IF(AND(COUNTIF($CU$2:$CU$3,'История отказов'!AE355)=0,COUNTIFS('История отказов'!$F$5:F355,"ЭЦН",'История отказов'!$AE$5:AE355,'История отказов'!AE355)=1,'История отказов'!F355="ЭЦН"),351,""))</f>
        <v/>
      </c>
      <c r="DE352">
        <f>IF('История отказов'!AE355="","",IF(AND(COUNTIF($CV$2:$CV$3,'История отказов'!AE355)=0,COUNTIFS('История отказов'!$F$5:F355,"ЭВН",'История отказов'!$AE$5:AE355,'История отказов'!AE355)=1,'История отказов'!F355="ЭВН"),351,""))</f>
        <v/>
      </c>
      <c r="DF352">
        <f>IF('История отказов'!AE355="","",IF(AND(COUNTIF($CX$2:$CX$2,'История отказов'!AE355)=0,COUNTIFS('История отказов'!$F$5:F355,"ШВН",'История отказов'!$AE$5:AE355,'История отказов'!AE355)=1,'История отказов'!F355="ШВН"),351,""))</f>
        <v/>
      </c>
      <c r="DG352">
        <f>IF('История отказов'!AE355="","",IF(AND(COUNTIF($CW$2:$CW$2,'История отказов'!AE355)=0,COUNTIFS('История отказов'!$F$5:F355,"НПУ-ВД",'История отказов'!$AE$5:AE355,'История отказов'!AE355)=1,'История отказов'!F355="НПУ-ВД"),351,""))</f>
        <v/>
      </c>
      <c r="DH352">
        <f>IF('История отказов'!AE355="","",IF(AND(COUNTIF($CY$2:$CY$6,'История отказов'!AE355)=0,COUNTIF('История отказов'!$AE$5:AE355,'История отказов'!AE355)=1),351,""))</f>
        <v/>
      </c>
      <c r="DI352">
        <f>IF('История отказов'!AK355="","",IF(AND(COUNTIF($CL$2:$CL$3,'История отказов'!AK355)=0,COUNTIF('История отказов'!$AK$5:AK355,'История отказов'!AK355)=1),351,""))</f>
        <v/>
      </c>
      <c r="DJ352">
        <f>IF('История отказов'!AU355="","",IF(AND(COUNTIF($CP$2:$CP$3,'История отказов'!AU355)=0,COUNTIF('История отказов'!$AU$5:AU355,'История отказов'!AU355)=1),351,""))</f>
        <v/>
      </c>
      <c r="DK352">
        <f>IF('История отказов'!AY355="","",IF(AND(COUNTIF($CR$2:$CR$2,'История отказов'!AY355)=0,COUNTIF('История отказов'!$AY$5:AY355,'История отказов'!AY355)=1),351,""))</f>
        <v/>
      </c>
      <c r="DL352">
        <f>IF(DB352="","",IF(AND(COUNTIF($DA$2:$DA$47,DB352)=0,COUNTIF($DB$2:DB352,DB352)=1),351,""))</f>
        <v/>
      </c>
    </row>
    <row r="353">
      <c r="A353" s="74" t="n"/>
      <c r="B353" s="75" t="n"/>
      <c r="C353" s="75" t="n"/>
      <c r="D353" s="75" t="n"/>
      <c r="E353" s="75" t="n"/>
      <c r="F353" s="75" t="n"/>
      <c r="G353" s="75" t="n"/>
      <c r="H353" s="76" t="n"/>
      <c r="J353" s="62" t="n"/>
      <c r="K353" s="62" t="n"/>
      <c r="L353" s="62" t="n"/>
      <c r="M353" s="62" t="n"/>
      <c r="N353" s="62" t="n"/>
      <c r="Q353" t="inlineStr">
        <is>
          <t>ТКРС</t>
        </is>
      </c>
      <c r="R353" t="inlineStr">
        <is>
          <t>КР9-5 — Перевод скважин в добывающие.</t>
        </is>
      </c>
      <c r="S353" t="inlineStr">
        <is>
          <t>Код и наименование из документа</t>
        </is>
      </c>
      <c r="T353" t="inlineStr">
        <is>
          <t>Классификатор ремонтных работ, РД 153-39.0-088-01</t>
        </is>
      </c>
      <c r="U353" t="inlineStr">
        <is>
          <t>Таблица 4.1; код КР9-5</t>
        </is>
      </c>
      <c r="V353" t="inlineStr">
        <is>
          <t>Все типы</t>
        </is>
      </c>
      <c r="DB353">
        <f>IF('История отказов'!AH356="","",'История отказов'!AH356)</f>
        <v/>
      </c>
      <c r="DC353">
        <f>IF('История отказов'!AE356="","",IF(AND(COUNTIF($CT$2:$CT$2,'История отказов'!AE356)=0,COUNTIFS('История отказов'!$F$5:F356,"ШГН",'История отказов'!$AE$5:AE356,'История отказов'!AE356)=1,'История отказов'!F356="ШГН"),352,""))</f>
        <v/>
      </c>
      <c r="DD353">
        <f>IF('История отказов'!AE356="","",IF(AND(COUNTIF($CU$2:$CU$3,'История отказов'!AE356)=0,COUNTIFS('История отказов'!$F$5:F356,"ЭЦН",'История отказов'!$AE$5:AE356,'История отказов'!AE356)=1,'История отказов'!F356="ЭЦН"),352,""))</f>
        <v/>
      </c>
      <c r="DE353">
        <f>IF('История отказов'!AE356="","",IF(AND(COUNTIF($CV$2:$CV$3,'История отказов'!AE356)=0,COUNTIFS('История отказов'!$F$5:F356,"ЭВН",'История отказов'!$AE$5:AE356,'История отказов'!AE356)=1,'История отказов'!F356="ЭВН"),352,""))</f>
        <v/>
      </c>
      <c r="DF353">
        <f>IF('История отказов'!AE356="","",IF(AND(COUNTIF($CX$2:$CX$2,'История отказов'!AE356)=0,COUNTIFS('История отказов'!$F$5:F356,"ШВН",'История отказов'!$AE$5:AE356,'История отказов'!AE356)=1,'История отказов'!F356="ШВН"),352,""))</f>
        <v/>
      </c>
      <c r="DG353">
        <f>IF('История отказов'!AE356="","",IF(AND(COUNTIF($CW$2:$CW$2,'История отказов'!AE356)=0,COUNTIFS('История отказов'!$F$5:F356,"НПУ-ВД",'История отказов'!$AE$5:AE356,'История отказов'!AE356)=1,'История отказов'!F356="НПУ-ВД"),352,""))</f>
        <v/>
      </c>
      <c r="DH353">
        <f>IF('История отказов'!AE356="","",IF(AND(COUNTIF($CY$2:$CY$6,'История отказов'!AE356)=0,COUNTIF('История отказов'!$AE$5:AE356,'История отказов'!AE356)=1),352,""))</f>
        <v/>
      </c>
      <c r="DI353">
        <f>IF('История отказов'!AK356="","",IF(AND(COUNTIF($CL$2:$CL$3,'История отказов'!AK356)=0,COUNTIF('История отказов'!$AK$5:AK356,'История отказов'!AK356)=1),352,""))</f>
        <v/>
      </c>
      <c r="DJ353">
        <f>IF('История отказов'!AU356="","",IF(AND(COUNTIF($CP$2:$CP$3,'История отказов'!AU356)=0,COUNTIF('История отказов'!$AU$5:AU356,'История отказов'!AU356)=1),352,""))</f>
        <v/>
      </c>
      <c r="DK353">
        <f>IF('История отказов'!AY356="","",IF(AND(COUNTIF($CR$2:$CR$2,'История отказов'!AY356)=0,COUNTIF('История отказов'!$AY$5:AY356,'История отказов'!AY356)=1),352,""))</f>
        <v/>
      </c>
      <c r="DL353">
        <f>IF(DB353="","",IF(AND(COUNTIF($DA$2:$DA$47,DB353)=0,COUNTIF($DB$2:DB353,DB353)=1),352,""))</f>
        <v/>
      </c>
    </row>
    <row r="354">
      <c r="A354" s="74" t="n"/>
      <c r="B354" s="75" t="n"/>
      <c r="C354" s="75" t="n"/>
      <c r="D354" s="75" t="n"/>
      <c r="E354" s="75" t="n"/>
      <c r="F354" s="75" t="n"/>
      <c r="G354" s="75" t="n"/>
      <c r="H354" s="76" t="n"/>
      <c r="J354" s="62" t="n"/>
      <c r="K354" s="62" t="n"/>
      <c r="L354" s="62" t="n"/>
      <c r="M354" s="62" t="n"/>
      <c r="N354" s="62" t="n"/>
      <c r="Q354" t="inlineStr">
        <is>
          <t>ТКРС</t>
        </is>
      </c>
      <c r="R354" t="inlineStr">
        <is>
          <t>КР9-6 — Перевод скважин в газодобывающие из других категорий.</t>
        </is>
      </c>
      <c r="S354" t="inlineStr">
        <is>
          <t>Код и наименование из документа</t>
        </is>
      </c>
      <c r="T354" t="inlineStr">
        <is>
          <t>Классификатор ремонтных работ, РД 153-39.0-088-01</t>
        </is>
      </c>
      <c r="U354" t="inlineStr">
        <is>
          <t>Таблица 4.1; код КР9-6</t>
        </is>
      </c>
      <c r="V354" t="inlineStr">
        <is>
          <t>Все типы</t>
        </is>
      </c>
      <c r="DB354">
        <f>IF('История отказов'!AH357="","",'История отказов'!AH357)</f>
        <v/>
      </c>
      <c r="DC354">
        <f>IF('История отказов'!AE357="","",IF(AND(COUNTIF($CT$2:$CT$2,'История отказов'!AE357)=0,COUNTIFS('История отказов'!$F$5:F357,"ШГН",'История отказов'!$AE$5:AE357,'История отказов'!AE357)=1,'История отказов'!F357="ШГН"),353,""))</f>
        <v/>
      </c>
      <c r="DD354">
        <f>IF('История отказов'!AE357="","",IF(AND(COUNTIF($CU$2:$CU$3,'История отказов'!AE357)=0,COUNTIFS('История отказов'!$F$5:F357,"ЭЦН",'История отказов'!$AE$5:AE357,'История отказов'!AE357)=1,'История отказов'!F357="ЭЦН"),353,""))</f>
        <v/>
      </c>
      <c r="DE354">
        <f>IF('История отказов'!AE357="","",IF(AND(COUNTIF($CV$2:$CV$3,'История отказов'!AE357)=0,COUNTIFS('История отказов'!$F$5:F357,"ЭВН",'История отказов'!$AE$5:AE357,'История отказов'!AE357)=1,'История отказов'!F357="ЭВН"),353,""))</f>
        <v/>
      </c>
      <c r="DF354">
        <f>IF('История отказов'!AE357="","",IF(AND(COUNTIF($CX$2:$CX$2,'История отказов'!AE357)=0,COUNTIFS('История отказов'!$F$5:F357,"ШВН",'История отказов'!$AE$5:AE357,'История отказов'!AE357)=1,'История отказов'!F357="ШВН"),353,""))</f>
        <v/>
      </c>
      <c r="DG354">
        <f>IF('История отказов'!AE357="","",IF(AND(COUNTIF($CW$2:$CW$2,'История отказов'!AE357)=0,COUNTIFS('История отказов'!$F$5:F357,"НПУ-ВД",'История отказов'!$AE$5:AE357,'История отказов'!AE357)=1,'История отказов'!F357="НПУ-ВД"),353,""))</f>
        <v/>
      </c>
      <c r="DH354">
        <f>IF('История отказов'!AE357="","",IF(AND(COUNTIF($CY$2:$CY$6,'История отказов'!AE357)=0,COUNTIF('История отказов'!$AE$5:AE357,'История отказов'!AE357)=1),353,""))</f>
        <v/>
      </c>
      <c r="DI354">
        <f>IF('История отказов'!AK357="","",IF(AND(COUNTIF($CL$2:$CL$3,'История отказов'!AK357)=0,COUNTIF('История отказов'!$AK$5:AK357,'История отказов'!AK357)=1),353,""))</f>
        <v/>
      </c>
      <c r="DJ354">
        <f>IF('История отказов'!AU357="","",IF(AND(COUNTIF($CP$2:$CP$3,'История отказов'!AU357)=0,COUNTIF('История отказов'!$AU$5:AU357,'История отказов'!AU357)=1),353,""))</f>
        <v/>
      </c>
      <c r="DK354">
        <f>IF('История отказов'!AY357="","",IF(AND(COUNTIF($CR$2:$CR$2,'История отказов'!AY357)=0,COUNTIF('История отказов'!$AY$5:AY357,'История отказов'!AY357)=1),353,""))</f>
        <v/>
      </c>
      <c r="DL354">
        <f>IF(DB354="","",IF(AND(COUNTIF($DA$2:$DA$47,DB354)=0,COUNTIF($DB$2:DB354,DB354)=1),353,""))</f>
        <v/>
      </c>
    </row>
    <row r="355">
      <c r="A355" s="74" t="n"/>
      <c r="B355" s="75" t="n"/>
      <c r="C355" s="75" t="n"/>
      <c r="D355" s="75" t="n"/>
      <c r="E355" s="75" t="n"/>
      <c r="F355" s="75" t="n"/>
      <c r="G355" s="75" t="n"/>
      <c r="H355" s="76" t="n"/>
      <c r="J355" s="62" t="n"/>
      <c r="K355" s="62" t="n"/>
      <c r="L355" s="62" t="n"/>
      <c r="M355" s="62" t="n"/>
      <c r="N355" s="62" t="n"/>
      <c r="Q355" t="inlineStr">
        <is>
          <t>ТКРС</t>
        </is>
      </c>
      <c r="R355" t="inlineStr">
        <is>
          <t>КР10-1 — Восстановление приемистости нагнетательной скважины</t>
        </is>
      </c>
      <c r="S355" t="inlineStr">
        <is>
          <t>Код и наименование из документа</t>
        </is>
      </c>
      <c r="T355" t="inlineStr">
        <is>
          <t>Классификатор ремонтных работ, РД 153-39.0-088-01</t>
        </is>
      </c>
      <c r="U355" t="inlineStr">
        <is>
          <t>Таблица 4.1; код КР10-1</t>
        </is>
      </c>
      <c r="V355" t="inlineStr">
        <is>
          <t>Все типы</t>
        </is>
      </c>
      <c r="DB355">
        <f>IF('История отказов'!AH358="","",'История отказов'!AH358)</f>
        <v/>
      </c>
      <c r="DC355">
        <f>IF('История отказов'!AE358="","",IF(AND(COUNTIF($CT$2:$CT$2,'История отказов'!AE358)=0,COUNTIFS('История отказов'!$F$5:F358,"ШГН",'История отказов'!$AE$5:AE358,'История отказов'!AE358)=1,'История отказов'!F358="ШГН"),354,""))</f>
        <v/>
      </c>
      <c r="DD355">
        <f>IF('История отказов'!AE358="","",IF(AND(COUNTIF($CU$2:$CU$3,'История отказов'!AE358)=0,COUNTIFS('История отказов'!$F$5:F358,"ЭЦН",'История отказов'!$AE$5:AE358,'История отказов'!AE358)=1,'История отказов'!F358="ЭЦН"),354,""))</f>
        <v/>
      </c>
      <c r="DE355">
        <f>IF('История отказов'!AE358="","",IF(AND(COUNTIF($CV$2:$CV$3,'История отказов'!AE358)=0,COUNTIFS('История отказов'!$F$5:F358,"ЭВН",'История отказов'!$AE$5:AE358,'История отказов'!AE358)=1,'История отказов'!F358="ЭВН"),354,""))</f>
        <v/>
      </c>
      <c r="DF355">
        <f>IF('История отказов'!AE358="","",IF(AND(COUNTIF($CX$2:$CX$2,'История отказов'!AE358)=0,COUNTIFS('История отказов'!$F$5:F358,"ШВН",'История отказов'!$AE$5:AE358,'История отказов'!AE358)=1,'История отказов'!F358="ШВН"),354,""))</f>
        <v/>
      </c>
      <c r="DG355">
        <f>IF('История отказов'!AE358="","",IF(AND(COUNTIF($CW$2:$CW$2,'История отказов'!AE358)=0,COUNTIFS('История отказов'!$F$5:F358,"НПУ-ВД",'История отказов'!$AE$5:AE358,'История отказов'!AE358)=1,'История отказов'!F358="НПУ-ВД"),354,""))</f>
        <v/>
      </c>
      <c r="DH355">
        <f>IF('История отказов'!AE358="","",IF(AND(COUNTIF($CY$2:$CY$6,'История отказов'!AE358)=0,COUNTIF('История отказов'!$AE$5:AE358,'История отказов'!AE358)=1),354,""))</f>
        <v/>
      </c>
      <c r="DI355">
        <f>IF('История отказов'!AK358="","",IF(AND(COUNTIF($CL$2:$CL$3,'История отказов'!AK358)=0,COUNTIF('История отказов'!$AK$5:AK358,'История отказов'!AK358)=1),354,""))</f>
        <v/>
      </c>
      <c r="DJ355">
        <f>IF('История отказов'!AU358="","",IF(AND(COUNTIF($CP$2:$CP$3,'История отказов'!AU358)=0,COUNTIF('История отказов'!$AU$5:AU358,'История отказов'!AU358)=1),354,""))</f>
        <v/>
      </c>
      <c r="DK355">
        <f>IF('История отказов'!AY358="","",IF(AND(COUNTIF($CR$2:$CR$2,'История отказов'!AY358)=0,COUNTIF('История отказов'!$AY$5:AY358,'История отказов'!AY358)=1),354,""))</f>
        <v/>
      </c>
      <c r="DL355">
        <f>IF(DB355="","",IF(AND(COUNTIF($DA$2:$DA$47,DB355)=0,COUNTIF($DB$2:DB355,DB355)=1),354,""))</f>
        <v/>
      </c>
    </row>
    <row r="356">
      <c r="A356" s="74" t="n"/>
      <c r="B356" s="75" t="n"/>
      <c r="C356" s="75" t="n"/>
      <c r="D356" s="75" t="n"/>
      <c r="E356" s="75" t="n"/>
      <c r="F356" s="75" t="n"/>
      <c r="G356" s="75" t="n"/>
      <c r="H356" s="76" t="n"/>
      <c r="J356" s="62" t="n"/>
      <c r="K356" s="62" t="n"/>
      <c r="L356" s="62" t="n"/>
      <c r="M356" s="62" t="n"/>
      <c r="N356" s="62" t="n"/>
      <c r="Q356" t="inlineStr">
        <is>
          <t>ТКРС</t>
        </is>
      </c>
      <c r="R356" t="inlineStr">
        <is>
          <t>КР10-3 — Оснащение паро- и воздухонагнететельных скважин противопесочным оборудованием.</t>
        </is>
      </c>
      <c r="S356" t="inlineStr">
        <is>
          <t>Код и наименование из документа</t>
        </is>
      </c>
      <c r="T356" t="inlineStr">
        <is>
          <t>Классификатор ремонтных работ, РД 153-39.0-088-01</t>
        </is>
      </c>
      <c r="U356" t="inlineStr">
        <is>
          <t>Таблица 4.1; код КР10-3</t>
        </is>
      </c>
      <c r="V356" t="inlineStr">
        <is>
          <t>Все типы</t>
        </is>
      </c>
      <c r="DB356">
        <f>IF('История отказов'!AH359="","",'История отказов'!AH359)</f>
        <v/>
      </c>
      <c r="DC356">
        <f>IF('История отказов'!AE359="","",IF(AND(COUNTIF($CT$2:$CT$2,'История отказов'!AE359)=0,COUNTIFS('История отказов'!$F$5:F359,"ШГН",'История отказов'!$AE$5:AE359,'История отказов'!AE359)=1,'История отказов'!F359="ШГН"),355,""))</f>
        <v/>
      </c>
      <c r="DD356">
        <f>IF('История отказов'!AE359="","",IF(AND(COUNTIF($CU$2:$CU$3,'История отказов'!AE359)=0,COUNTIFS('История отказов'!$F$5:F359,"ЭЦН",'История отказов'!$AE$5:AE359,'История отказов'!AE359)=1,'История отказов'!F359="ЭЦН"),355,""))</f>
        <v/>
      </c>
      <c r="DE356">
        <f>IF('История отказов'!AE359="","",IF(AND(COUNTIF($CV$2:$CV$3,'История отказов'!AE359)=0,COUNTIFS('История отказов'!$F$5:F359,"ЭВН",'История отказов'!$AE$5:AE359,'История отказов'!AE359)=1,'История отказов'!F359="ЭВН"),355,""))</f>
        <v/>
      </c>
      <c r="DF356">
        <f>IF('История отказов'!AE359="","",IF(AND(COUNTIF($CX$2:$CX$2,'История отказов'!AE359)=0,COUNTIFS('История отказов'!$F$5:F359,"ШВН",'История отказов'!$AE$5:AE359,'История отказов'!AE359)=1,'История отказов'!F359="ШВН"),355,""))</f>
        <v/>
      </c>
      <c r="DG356">
        <f>IF('История отказов'!AE359="","",IF(AND(COUNTIF($CW$2:$CW$2,'История отказов'!AE359)=0,COUNTIFS('История отказов'!$F$5:F359,"НПУ-ВД",'История отказов'!$AE$5:AE359,'История отказов'!AE359)=1,'История отказов'!F359="НПУ-ВД"),355,""))</f>
        <v/>
      </c>
      <c r="DH356">
        <f>IF('История отказов'!AE359="","",IF(AND(COUNTIF($CY$2:$CY$6,'История отказов'!AE359)=0,COUNTIF('История отказов'!$AE$5:AE359,'История отказов'!AE359)=1),355,""))</f>
        <v/>
      </c>
      <c r="DI356">
        <f>IF('История отказов'!AK359="","",IF(AND(COUNTIF($CL$2:$CL$3,'История отказов'!AK359)=0,COUNTIF('История отказов'!$AK$5:AK359,'История отказов'!AK359)=1),355,""))</f>
        <v/>
      </c>
      <c r="DJ356">
        <f>IF('История отказов'!AU359="","",IF(AND(COUNTIF($CP$2:$CP$3,'История отказов'!AU359)=0,COUNTIF('История отказов'!$AU$5:AU359,'История отказов'!AU359)=1),355,""))</f>
        <v/>
      </c>
      <c r="DK356">
        <f>IF('История отказов'!AY359="","",IF(AND(COUNTIF($CR$2:$CR$2,'История отказов'!AY359)=0,COUNTIF('История отказов'!$AY$5:AY359,'История отказов'!AY359)=1),355,""))</f>
        <v/>
      </c>
      <c r="DL356">
        <f>IF(DB356="","",IF(AND(COUNTIF($DA$2:$DA$47,DB356)=0,COUNTIF($DB$2:DB356,DB356)=1),355,""))</f>
        <v/>
      </c>
    </row>
    <row r="357">
      <c r="A357" s="74" t="n"/>
      <c r="B357" s="75" t="n"/>
      <c r="C357" s="75" t="n"/>
      <c r="D357" s="75" t="n"/>
      <c r="E357" s="75" t="n"/>
      <c r="F357" s="75" t="n"/>
      <c r="G357" s="75" t="n"/>
      <c r="H357" s="76" t="n"/>
      <c r="J357" s="62" t="n"/>
      <c r="K357" s="62" t="n"/>
      <c r="L357" s="62" t="n"/>
      <c r="M357" s="62" t="n"/>
      <c r="N357" s="62" t="n"/>
      <c r="Q357" t="inlineStr">
        <is>
          <t>ТКРС</t>
        </is>
      </c>
      <c r="R357" t="inlineStr">
        <is>
          <t>КР10-4 — Промывка в паро- и</t>
        </is>
      </c>
      <c r="S357" t="inlineStr">
        <is>
          <t>Код и наименование из документа</t>
        </is>
      </c>
      <c r="T357" t="inlineStr">
        <is>
          <t>Классификатор ремонтных работ, РД 153-39.0-088-01</t>
        </is>
      </c>
      <c r="U357" t="inlineStr">
        <is>
          <t>Таблица 4.1; код КР10-4</t>
        </is>
      </c>
      <c r="V357" t="inlineStr">
        <is>
          <t>Все типы</t>
        </is>
      </c>
      <c r="DB357">
        <f>IF('История отказов'!AH360="","",'История отказов'!AH360)</f>
        <v/>
      </c>
      <c r="DC357">
        <f>IF('История отказов'!AE360="","",IF(AND(COUNTIF($CT$2:$CT$2,'История отказов'!AE360)=0,COUNTIFS('История отказов'!$F$5:F360,"ШГН",'История отказов'!$AE$5:AE360,'История отказов'!AE360)=1,'История отказов'!F360="ШГН"),356,""))</f>
        <v/>
      </c>
      <c r="DD357">
        <f>IF('История отказов'!AE360="","",IF(AND(COUNTIF($CU$2:$CU$3,'История отказов'!AE360)=0,COUNTIFS('История отказов'!$F$5:F360,"ЭЦН",'История отказов'!$AE$5:AE360,'История отказов'!AE360)=1,'История отказов'!F360="ЭЦН"),356,""))</f>
        <v/>
      </c>
      <c r="DE357">
        <f>IF('История отказов'!AE360="","",IF(AND(COUNTIF($CV$2:$CV$3,'История отказов'!AE360)=0,COUNTIFS('История отказов'!$F$5:F360,"ЭВН",'История отказов'!$AE$5:AE360,'История отказов'!AE360)=1,'История отказов'!F360="ЭВН"),356,""))</f>
        <v/>
      </c>
      <c r="DF357">
        <f>IF('История отказов'!AE360="","",IF(AND(COUNTIF($CX$2:$CX$2,'История отказов'!AE360)=0,COUNTIFS('История отказов'!$F$5:F360,"ШВН",'История отказов'!$AE$5:AE360,'История отказов'!AE360)=1,'История отказов'!F360="ШВН"),356,""))</f>
        <v/>
      </c>
      <c r="DG357">
        <f>IF('История отказов'!AE360="","",IF(AND(COUNTIF($CW$2:$CW$2,'История отказов'!AE360)=0,COUNTIFS('История отказов'!$F$5:F360,"НПУ-ВД",'История отказов'!$AE$5:AE360,'История отказов'!AE360)=1,'История отказов'!F360="НПУ-ВД"),356,""))</f>
        <v/>
      </c>
      <c r="DH357">
        <f>IF('История отказов'!AE360="","",IF(AND(COUNTIF($CY$2:$CY$6,'История отказов'!AE360)=0,COUNTIF('История отказов'!$AE$5:AE360,'История отказов'!AE360)=1),356,""))</f>
        <v/>
      </c>
      <c r="DI357">
        <f>IF('История отказов'!AK360="","",IF(AND(COUNTIF($CL$2:$CL$3,'История отказов'!AK360)=0,COUNTIF('История отказов'!$AK$5:AK360,'История отказов'!AK360)=1),356,""))</f>
        <v/>
      </c>
      <c r="DJ357">
        <f>IF('История отказов'!AU360="","",IF(AND(COUNTIF($CP$2:$CP$3,'История отказов'!AU360)=0,COUNTIF('История отказов'!$AU$5:AU360,'История отказов'!AU360)=1),356,""))</f>
        <v/>
      </c>
      <c r="DK357">
        <f>IF('История отказов'!AY360="","",IF(AND(COUNTIF($CR$2:$CR$2,'История отказов'!AY360)=0,COUNTIF('История отказов'!$AY$5:AY360,'История отказов'!AY360)=1),356,""))</f>
        <v/>
      </c>
      <c r="DL357">
        <f>IF(DB357="","",IF(AND(COUNTIF($DA$2:$DA$47,DB357)=0,COUNTIF($DB$2:DB357,DB357)=1),356,""))</f>
        <v/>
      </c>
    </row>
    <row r="358">
      <c r="A358" s="74" t="n"/>
      <c r="B358" s="75" t="n"/>
      <c r="C358" s="75" t="n"/>
      <c r="D358" s="75" t="n"/>
      <c r="E358" s="75" t="n"/>
      <c r="F358" s="75" t="n"/>
      <c r="G358" s="75" t="n"/>
      <c r="H358" s="76" t="n"/>
      <c r="J358" s="62" t="n"/>
      <c r="K358" s="62" t="n"/>
      <c r="L358" s="62" t="n"/>
      <c r="M358" s="62" t="n"/>
      <c r="N358" s="62" t="n"/>
      <c r="Q358" t="inlineStr">
        <is>
          <t>ТКРС</t>
        </is>
      </c>
      <c r="R358" t="inlineStr">
        <is>
          <t>КР10-5 — Прочие виды работ по восстановлению приемистости нагнетательной скважины.</t>
        </is>
      </c>
      <c r="S358" t="inlineStr">
        <is>
          <t>Код и наименование из документа</t>
        </is>
      </c>
      <c r="T358" t="inlineStr">
        <is>
          <t>Классификатор ремонтных работ, РД 153-39.0-088-01</t>
        </is>
      </c>
      <c r="U358" t="inlineStr">
        <is>
          <t>Таблица 4.1; код КР10-5</t>
        </is>
      </c>
      <c r="V358" t="inlineStr">
        <is>
          <t>Все типы</t>
        </is>
      </c>
      <c r="DB358">
        <f>IF('История отказов'!AH361="","",'История отказов'!AH361)</f>
        <v/>
      </c>
      <c r="DC358">
        <f>IF('История отказов'!AE361="","",IF(AND(COUNTIF($CT$2:$CT$2,'История отказов'!AE361)=0,COUNTIFS('История отказов'!$F$5:F361,"ШГН",'История отказов'!$AE$5:AE361,'История отказов'!AE361)=1,'История отказов'!F361="ШГН"),357,""))</f>
        <v/>
      </c>
      <c r="DD358">
        <f>IF('История отказов'!AE361="","",IF(AND(COUNTIF($CU$2:$CU$3,'История отказов'!AE361)=0,COUNTIFS('История отказов'!$F$5:F361,"ЭЦН",'История отказов'!$AE$5:AE361,'История отказов'!AE361)=1,'История отказов'!F361="ЭЦН"),357,""))</f>
        <v/>
      </c>
      <c r="DE358">
        <f>IF('История отказов'!AE361="","",IF(AND(COUNTIF($CV$2:$CV$3,'История отказов'!AE361)=0,COUNTIFS('История отказов'!$F$5:F361,"ЭВН",'История отказов'!$AE$5:AE361,'История отказов'!AE361)=1,'История отказов'!F361="ЭВН"),357,""))</f>
        <v/>
      </c>
      <c r="DF358">
        <f>IF('История отказов'!AE361="","",IF(AND(COUNTIF($CX$2:$CX$2,'История отказов'!AE361)=0,COUNTIFS('История отказов'!$F$5:F361,"ШВН",'История отказов'!$AE$5:AE361,'История отказов'!AE361)=1,'История отказов'!F361="ШВН"),357,""))</f>
        <v/>
      </c>
      <c r="DG358">
        <f>IF('История отказов'!AE361="","",IF(AND(COUNTIF($CW$2:$CW$2,'История отказов'!AE361)=0,COUNTIFS('История отказов'!$F$5:F361,"НПУ-ВД",'История отказов'!$AE$5:AE361,'История отказов'!AE361)=1,'История отказов'!F361="НПУ-ВД"),357,""))</f>
        <v/>
      </c>
      <c r="DH358">
        <f>IF('История отказов'!AE361="","",IF(AND(COUNTIF($CY$2:$CY$6,'История отказов'!AE361)=0,COUNTIF('История отказов'!$AE$5:AE361,'История отказов'!AE361)=1),357,""))</f>
        <v/>
      </c>
      <c r="DI358">
        <f>IF('История отказов'!AK361="","",IF(AND(COUNTIF($CL$2:$CL$3,'История отказов'!AK361)=0,COUNTIF('История отказов'!$AK$5:AK361,'История отказов'!AK361)=1),357,""))</f>
        <v/>
      </c>
      <c r="DJ358">
        <f>IF('История отказов'!AU361="","",IF(AND(COUNTIF($CP$2:$CP$3,'История отказов'!AU361)=0,COUNTIF('История отказов'!$AU$5:AU361,'История отказов'!AU361)=1),357,""))</f>
        <v/>
      </c>
      <c r="DK358">
        <f>IF('История отказов'!AY361="","",IF(AND(COUNTIF($CR$2:$CR$2,'История отказов'!AY361)=0,COUNTIF('История отказов'!$AY$5:AY361,'История отказов'!AY361)=1),357,""))</f>
        <v/>
      </c>
      <c r="DL358">
        <f>IF(DB358="","",IF(AND(COUNTIF($DA$2:$DA$47,DB358)=0,COUNTIF($DB$2:DB358,DB358)=1),357,""))</f>
        <v/>
      </c>
    </row>
    <row r="359">
      <c r="A359" s="74" t="n"/>
      <c r="B359" s="75" t="n"/>
      <c r="C359" s="75" t="n"/>
      <c r="D359" s="75" t="n"/>
      <c r="E359" s="75" t="n"/>
      <c r="F359" s="75" t="n"/>
      <c r="G359" s="75" t="n"/>
      <c r="H359" s="76" t="n"/>
      <c r="J359" s="62" t="n"/>
      <c r="K359" s="62" t="n"/>
      <c r="L359" s="62" t="n"/>
      <c r="M359" s="62" t="n"/>
      <c r="N359" s="62" t="n"/>
      <c r="Q359" t="inlineStr">
        <is>
          <t>ТКРС</t>
        </is>
      </c>
      <c r="R359" t="inlineStr">
        <is>
          <t>КР11-1 — Консервация скважины.</t>
        </is>
      </c>
      <c r="S359" t="inlineStr">
        <is>
          <t>Код и наименование из документа</t>
        </is>
      </c>
      <c r="T359" t="inlineStr">
        <is>
          <t>Классификатор ремонтных работ, РД 153-39.0-088-01</t>
        </is>
      </c>
      <c r="U359" t="inlineStr">
        <is>
          <t>Таблица 4.1; код КР11-1</t>
        </is>
      </c>
      <c r="V359" t="inlineStr">
        <is>
          <t>Все типы</t>
        </is>
      </c>
      <c r="DB359">
        <f>IF('История отказов'!AH362="","",'История отказов'!AH362)</f>
        <v/>
      </c>
      <c r="DC359">
        <f>IF('История отказов'!AE362="","",IF(AND(COUNTIF($CT$2:$CT$2,'История отказов'!AE362)=0,COUNTIFS('История отказов'!$F$5:F362,"ШГН",'История отказов'!$AE$5:AE362,'История отказов'!AE362)=1,'История отказов'!F362="ШГН"),358,""))</f>
        <v/>
      </c>
      <c r="DD359">
        <f>IF('История отказов'!AE362="","",IF(AND(COUNTIF($CU$2:$CU$3,'История отказов'!AE362)=0,COUNTIFS('История отказов'!$F$5:F362,"ЭЦН",'История отказов'!$AE$5:AE362,'История отказов'!AE362)=1,'История отказов'!F362="ЭЦН"),358,""))</f>
        <v/>
      </c>
      <c r="DE359">
        <f>IF('История отказов'!AE362="","",IF(AND(COUNTIF($CV$2:$CV$3,'История отказов'!AE362)=0,COUNTIFS('История отказов'!$F$5:F362,"ЭВН",'История отказов'!$AE$5:AE362,'История отказов'!AE362)=1,'История отказов'!F362="ЭВН"),358,""))</f>
        <v/>
      </c>
      <c r="DF359">
        <f>IF('История отказов'!AE362="","",IF(AND(COUNTIF($CX$2:$CX$2,'История отказов'!AE362)=0,COUNTIFS('История отказов'!$F$5:F362,"ШВН",'История отказов'!$AE$5:AE362,'История отказов'!AE362)=1,'История отказов'!F362="ШВН"),358,""))</f>
        <v/>
      </c>
      <c r="DG359">
        <f>IF('История отказов'!AE362="","",IF(AND(COUNTIF($CW$2:$CW$2,'История отказов'!AE362)=0,COUNTIFS('История отказов'!$F$5:F362,"НПУ-ВД",'История отказов'!$AE$5:AE362,'История отказов'!AE362)=1,'История отказов'!F362="НПУ-ВД"),358,""))</f>
        <v/>
      </c>
      <c r="DH359">
        <f>IF('История отказов'!AE362="","",IF(AND(COUNTIF($CY$2:$CY$6,'История отказов'!AE362)=0,COUNTIF('История отказов'!$AE$5:AE362,'История отказов'!AE362)=1),358,""))</f>
        <v/>
      </c>
      <c r="DI359">
        <f>IF('История отказов'!AK362="","",IF(AND(COUNTIF($CL$2:$CL$3,'История отказов'!AK362)=0,COUNTIF('История отказов'!$AK$5:AK362,'История отказов'!AK362)=1),358,""))</f>
        <v/>
      </c>
      <c r="DJ359">
        <f>IF('История отказов'!AU362="","",IF(AND(COUNTIF($CP$2:$CP$3,'История отказов'!AU362)=0,COUNTIF('История отказов'!$AU$5:AU362,'История отказов'!AU362)=1),358,""))</f>
        <v/>
      </c>
      <c r="DK359">
        <f>IF('История отказов'!AY362="","",IF(AND(COUNTIF($CR$2:$CR$2,'История отказов'!AY362)=0,COUNTIF('История отказов'!$AY$5:AY362,'История отказов'!AY362)=1),358,""))</f>
        <v/>
      </c>
      <c r="DL359">
        <f>IF(DB359="","",IF(AND(COUNTIF($DA$2:$DA$47,DB359)=0,COUNTIF($DB$2:DB359,DB359)=1),358,""))</f>
        <v/>
      </c>
    </row>
    <row r="360">
      <c r="A360" s="74" t="n"/>
      <c r="B360" s="75" t="n"/>
      <c r="C360" s="75" t="n"/>
      <c r="D360" s="75" t="n"/>
      <c r="E360" s="75" t="n"/>
      <c r="F360" s="75" t="n"/>
      <c r="G360" s="75" t="n"/>
      <c r="H360" s="76" t="n"/>
      <c r="J360" s="62" t="n"/>
      <c r="K360" s="62" t="n"/>
      <c r="L360" s="62" t="n"/>
      <c r="M360" s="62" t="n"/>
      <c r="N360" s="62" t="n"/>
      <c r="Q360" t="inlineStr">
        <is>
          <t>ТКРС</t>
        </is>
      </c>
      <c r="R360" t="inlineStr">
        <is>
          <t>КР11-2 — Расконсервация скважины.</t>
        </is>
      </c>
      <c r="S360" t="inlineStr">
        <is>
          <t>Код и наименование из документа</t>
        </is>
      </c>
      <c r="T360" t="inlineStr">
        <is>
          <t>Классификатор ремонтных работ, РД 153-39.0-088-01</t>
        </is>
      </c>
      <c r="U360" t="inlineStr">
        <is>
          <t>Таблица 4.1; код КР11-2</t>
        </is>
      </c>
      <c r="V360" t="inlineStr">
        <is>
          <t>Все типы</t>
        </is>
      </c>
      <c r="DB360">
        <f>IF('История отказов'!AH363="","",'История отказов'!AH363)</f>
        <v/>
      </c>
      <c r="DC360">
        <f>IF('История отказов'!AE363="","",IF(AND(COUNTIF($CT$2:$CT$2,'История отказов'!AE363)=0,COUNTIFS('История отказов'!$F$5:F363,"ШГН",'История отказов'!$AE$5:AE363,'История отказов'!AE363)=1,'История отказов'!F363="ШГН"),359,""))</f>
        <v/>
      </c>
      <c r="DD360">
        <f>IF('История отказов'!AE363="","",IF(AND(COUNTIF($CU$2:$CU$3,'История отказов'!AE363)=0,COUNTIFS('История отказов'!$F$5:F363,"ЭЦН",'История отказов'!$AE$5:AE363,'История отказов'!AE363)=1,'История отказов'!F363="ЭЦН"),359,""))</f>
        <v/>
      </c>
      <c r="DE360">
        <f>IF('История отказов'!AE363="","",IF(AND(COUNTIF($CV$2:$CV$3,'История отказов'!AE363)=0,COUNTIFS('История отказов'!$F$5:F363,"ЭВН",'История отказов'!$AE$5:AE363,'История отказов'!AE363)=1,'История отказов'!F363="ЭВН"),359,""))</f>
        <v/>
      </c>
      <c r="DF360">
        <f>IF('История отказов'!AE363="","",IF(AND(COUNTIF($CX$2:$CX$2,'История отказов'!AE363)=0,COUNTIFS('История отказов'!$F$5:F363,"ШВН",'История отказов'!$AE$5:AE363,'История отказов'!AE363)=1,'История отказов'!F363="ШВН"),359,""))</f>
        <v/>
      </c>
      <c r="DG360">
        <f>IF('История отказов'!AE363="","",IF(AND(COUNTIF($CW$2:$CW$2,'История отказов'!AE363)=0,COUNTIFS('История отказов'!$F$5:F363,"НПУ-ВД",'История отказов'!$AE$5:AE363,'История отказов'!AE363)=1,'История отказов'!F363="НПУ-ВД"),359,""))</f>
        <v/>
      </c>
      <c r="DH360">
        <f>IF('История отказов'!AE363="","",IF(AND(COUNTIF($CY$2:$CY$6,'История отказов'!AE363)=0,COUNTIF('История отказов'!$AE$5:AE363,'История отказов'!AE363)=1),359,""))</f>
        <v/>
      </c>
      <c r="DI360">
        <f>IF('История отказов'!AK363="","",IF(AND(COUNTIF($CL$2:$CL$3,'История отказов'!AK363)=0,COUNTIF('История отказов'!$AK$5:AK363,'История отказов'!AK363)=1),359,""))</f>
        <v/>
      </c>
      <c r="DJ360">
        <f>IF('История отказов'!AU363="","",IF(AND(COUNTIF($CP$2:$CP$3,'История отказов'!AU363)=0,COUNTIF('История отказов'!$AU$5:AU363,'История отказов'!AU363)=1),359,""))</f>
        <v/>
      </c>
      <c r="DK360">
        <f>IF('История отказов'!AY363="","",IF(AND(COUNTIF($CR$2:$CR$2,'История отказов'!AY363)=0,COUNTIF('История отказов'!$AY$5:AY363,'История отказов'!AY363)=1),359,""))</f>
        <v/>
      </c>
      <c r="DL360">
        <f>IF(DB360="","",IF(AND(COUNTIF($DA$2:$DA$47,DB360)=0,COUNTIF($DB$2:DB360,DB360)=1),359,""))</f>
        <v/>
      </c>
    </row>
    <row r="361">
      <c r="A361" s="74" t="n"/>
      <c r="B361" s="75" t="n"/>
      <c r="C361" s="75" t="n"/>
      <c r="D361" s="75" t="n"/>
      <c r="E361" s="75" t="n"/>
      <c r="F361" s="75" t="n"/>
      <c r="G361" s="75" t="n"/>
      <c r="H361" s="76" t="n"/>
      <c r="J361" s="62" t="n"/>
      <c r="K361" s="62" t="n"/>
      <c r="L361" s="62" t="n"/>
      <c r="M361" s="62" t="n"/>
      <c r="N361" s="62" t="n"/>
      <c r="Q361" t="inlineStr">
        <is>
          <t>ТКРС</t>
        </is>
      </c>
      <c r="R361" t="inlineStr">
        <is>
          <t>КР12-1 — Ликвидация скважины без наращивания цементного кольца за эксплуатационной колонной.</t>
        </is>
      </c>
      <c r="S361" t="inlineStr">
        <is>
          <t>Код и наименование из документа</t>
        </is>
      </c>
      <c r="T361" t="inlineStr">
        <is>
          <t>Классификатор ремонтных работ, РД 153-39.0-088-01</t>
        </is>
      </c>
      <c r="U361" t="inlineStr">
        <is>
          <t>Таблица 4.1; код КР12-1</t>
        </is>
      </c>
      <c r="V361" t="inlineStr">
        <is>
          <t>Все типы</t>
        </is>
      </c>
      <c r="DB361">
        <f>IF('История отказов'!AH364="","",'История отказов'!AH364)</f>
        <v/>
      </c>
      <c r="DC361">
        <f>IF('История отказов'!AE364="","",IF(AND(COUNTIF($CT$2:$CT$2,'История отказов'!AE364)=0,COUNTIFS('История отказов'!$F$5:F364,"ШГН",'История отказов'!$AE$5:AE364,'История отказов'!AE364)=1,'История отказов'!F364="ШГН"),360,""))</f>
        <v/>
      </c>
      <c r="DD361">
        <f>IF('История отказов'!AE364="","",IF(AND(COUNTIF($CU$2:$CU$3,'История отказов'!AE364)=0,COUNTIFS('История отказов'!$F$5:F364,"ЭЦН",'История отказов'!$AE$5:AE364,'История отказов'!AE364)=1,'История отказов'!F364="ЭЦН"),360,""))</f>
        <v/>
      </c>
      <c r="DE361">
        <f>IF('История отказов'!AE364="","",IF(AND(COUNTIF($CV$2:$CV$3,'История отказов'!AE364)=0,COUNTIFS('История отказов'!$F$5:F364,"ЭВН",'История отказов'!$AE$5:AE364,'История отказов'!AE364)=1,'История отказов'!F364="ЭВН"),360,""))</f>
        <v/>
      </c>
      <c r="DF361">
        <f>IF('История отказов'!AE364="","",IF(AND(COUNTIF($CX$2:$CX$2,'История отказов'!AE364)=0,COUNTIFS('История отказов'!$F$5:F364,"ШВН",'История отказов'!$AE$5:AE364,'История отказов'!AE364)=1,'История отказов'!F364="ШВН"),360,""))</f>
        <v/>
      </c>
      <c r="DG361">
        <f>IF('История отказов'!AE364="","",IF(AND(COUNTIF($CW$2:$CW$2,'История отказов'!AE364)=0,COUNTIFS('История отказов'!$F$5:F364,"НПУ-ВД",'История отказов'!$AE$5:AE364,'История отказов'!AE364)=1,'История отказов'!F364="НПУ-ВД"),360,""))</f>
        <v/>
      </c>
      <c r="DH361">
        <f>IF('История отказов'!AE364="","",IF(AND(COUNTIF($CY$2:$CY$6,'История отказов'!AE364)=0,COUNTIF('История отказов'!$AE$5:AE364,'История отказов'!AE364)=1),360,""))</f>
        <v/>
      </c>
      <c r="DI361">
        <f>IF('История отказов'!AK364="","",IF(AND(COUNTIF($CL$2:$CL$3,'История отказов'!AK364)=0,COUNTIF('История отказов'!$AK$5:AK364,'История отказов'!AK364)=1),360,""))</f>
        <v/>
      </c>
      <c r="DJ361">
        <f>IF('История отказов'!AU364="","",IF(AND(COUNTIF($CP$2:$CP$3,'История отказов'!AU364)=0,COUNTIF('История отказов'!$AU$5:AU364,'История отказов'!AU364)=1),360,""))</f>
        <v/>
      </c>
      <c r="DK361">
        <f>IF('История отказов'!AY364="","",IF(AND(COUNTIF($CR$2:$CR$2,'История отказов'!AY364)=0,COUNTIF('История отказов'!$AY$5:AY364,'История отказов'!AY364)=1),360,""))</f>
        <v/>
      </c>
      <c r="DL361">
        <f>IF(DB361="","",IF(AND(COUNTIF($DA$2:$DA$47,DB361)=0,COUNTIF($DB$2:DB361,DB361)=1),360,""))</f>
        <v/>
      </c>
    </row>
    <row r="362">
      <c r="A362" s="74" t="n"/>
      <c r="B362" s="75" t="n"/>
      <c r="C362" s="75" t="n"/>
      <c r="D362" s="75" t="n"/>
      <c r="E362" s="75" t="n"/>
      <c r="F362" s="75" t="n"/>
      <c r="G362" s="75" t="n"/>
      <c r="H362" s="76" t="n"/>
      <c r="J362" s="62" t="n"/>
      <c r="K362" s="62" t="n"/>
      <c r="L362" s="62" t="n"/>
      <c r="M362" s="62" t="n"/>
      <c r="N362" s="62" t="n"/>
      <c r="Q362" t="inlineStr">
        <is>
          <t>ТКРС</t>
        </is>
      </c>
      <c r="R362" t="inlineStr">
        <is>
          <t>КР13-1 — Подготовительные работы к ГРП (ПР).</t>
        </is>
      </c>
      <c r="S362" t="inlineStr">
        <is>
          <t>Код и наименование из документа</t>
        </is>
      </c>
      <c r="T362" t="inlineStr">
        <is>
          <t>Классификатор ремонтных работ, РД 153-39.0-088-01</t>
        </is>
      </c>
      <c r="U362" t="inlineStr">
        <is>
          <t>Таблица 4.1; код КР13-1</t>
        </is>
      </c>
      <c r="V362" t="inlineStr">
        <is>
          <t>Все типы</t>
        </is>
      </c>
      <c r="DB362">
        <f>IF('История отказов'!AH365="","",'История отказов'!AH365)</f>
        <v/>
      </c>
      <c r="DC362">
        <f>IF('История отказов'!AE365="","",IF(AND(COUNTIF($CT$2:$CT$2,'История отказов'!AE365)=0,COUNTIFS('История отказов'!$F$5:F365,"ШГН",'История отказов'!$AE$5:AE365,'История отказов'!AE365)=1,'История отказов'!F365="ШГН"),361,""))</f>
        <v/>
      </c>
      <c r="DD362">
        <f>IF('История отказов'!AE365="","",IF(AND(COUNTIF($CU$2:$CU$3,'История отказов'!AE365)=0,COUNTIFS('История отказов'!$F$5:F365,"ЭЦН",'История отказов'!$AE$5:AE365,'История отказов'!AE365)=1,'История отказов'!F365="ЭЦН"),361,""))</f>
        <v/>
      </c>
      <c r="DE362">
        <f>IF('История отказов'!AE365="","",IF(AND(COUNTIF($CV$2:$CV$3,'История отказов'!AE365)=0,COUNTIFS('История отказов'!$F$5:F365,"ЭВН",'История отказов'!$AE$5:AE365,'История отказов'!AE365)=1,'История отказов'!F365="ЭВН"),361,""))</f>
        <v/>
      </c>
      <c r="DF362">
        <f>IF('История отказов'!AE365="","",IF(AND(COUNTIF($CX$2:$CX$2,'История отказов'!AE365)=0,COUNTIFS('История отказов'!$F$5:F365,"ШВН",'История отказов'!$AE$5:AE365,'История отказов'!AE365)=1,'История отказов'!F365="ШВН"),361,""))</f>
        <v/>
      </c>
      <c r="DG362">
        <f>IF('История отказов'!AE365="","",IF(AND(COUNTIF($CW$2:$CW$2,'История отказов'!AE365)=0,COUNTIFS('История отказов'!$F$5:F365,"НПУ-ВД",'История отказов'!$AE$5:AE365,'История отказов'!AE365)=1,'История отказов'!F365="НПУ-ВД"),361,""))</f>
        <v/>
      </c>
      <c r="DH362">
        <f>IF('История отказов'!AE365="","",IF(AND(COUNTIF($CY$2:$CY$6,'История отказов'!AE365)=0,COUNTIF('История отказов'!$AE$5:AE365,'История отказов'!AE365)=1),361,""))</f>
        <v/>
      </c>
      <c r="DI362">
        <f>IF('История отказов'!AK365="","",IF(AND(COUNTIF($CL$2:$CL$3,'История отказов'!AK365)=0,COUNTIF('История отказов'!$AK$5:AK365,'История отказов'!AK365)=1),361,""))</f>
        <v/>
      </c>
      <c r="DJ362">
        <f>IF('История отказов'!AU365="","",IF(AND(COUNTIF($CP$2:$CP$3,'История отказов'!AU365)=0,COUNTIF('История отказов'!$AU$5:AU365,'История отказов'!AU365)=1),361,""))</f>
        <v/>
      </c>
      <c r="DK362">
        <f>IF('История отказов'!AY365="","",IF(AND(COUNTIF($CR$2:$CR$2,'История отказов'!AY365)=0,COUNTIF('История отказов'!$AY$5:AY365,'История отказов'!AY365)=1),361,""))</f>
        <v/>
      </c>
      <c r="DL362">
        <f>IF(DB362="","",IF(AND(COUNTIF($DA$2:$DA$47,DB362)=0,COUNTIF($DB$2:DB362,DB362)=1),361,""))</f>
        <v/>
      </c>
    </row>
    <row r="363">
      <c r="A363" s="74" t="n"/>
      <c r="B363" s="75" t="n"/>
      <c r="C363" s="75" t="n"/>
      <c r="D363" s="75" t="n"/>
      <c r="E363" s="75" t="n"/>
      <c r="F363" s="75" t="n"/>
      <c r="G363" s="75" t="n"/>
      <c r="H363" s="76" t="n"/>
      <c r="J363" s="62" t="n"/>
      <c r="K363" s="62" t="n"/>
      <c r="L363" s="62" t="n"/>
      <c r="M363" s="62" t="n"/>
      <c r="N363" s="62" t="n"/>
      <c r="Q363" t="inlineStr">
        <is>
          <t>ТКРС</t>
        </is>
      </c>
      <c r="R363" t="inlineStr">
        <is>
          <t>КР13-2 — Освоение скважины после ГРП (ЗР).</t>
        </is>
      </c>
      <c r="S363" t="inlineStr">
        <is>
          <t>Код и наименование из документа</t>
        </is>
      </c>
      <c r="T363" t="inlineStr">
        <is>
          <t>Классификатор ремонтных работ, РД 153-39.0-088-01</t>
        </is>
      </c>
      <c r="U363" t="inlineStr">
        <is>
          <t>Таблица 4.1; код КР13-2</t>
        </is>
      </c>
      <c r="V363" t="inlineStr">
        <is>
          <t>Все типы</t>
        </is>
      </c>
      <c r="DB363">
        <f>IF('История отказов'!AH366="","",'История отказов'!AH366)</f>
        <v/>
      </c>
      <c r="DC363">
        <f>IF('История отказов'!AE366="","",IF(AND(COUNTIF($CT$2:$CT$2,'История отказов'!AE366)=0,COUNTIFS('История отказов'!$F$5:F366,"ШГН",'История отказов'!$AE$5:AE366,'История отказов'!AE366)=1,'История отказов'!F366="ШГН"),362,""))</f>
        <v/>
      </c>
      <c r="DD363">
        <f>IF('История отказов'!AE366="","",IF(AND(COUNTIF($CU$2:$CU$3,'История отказов'!AE366)=0,COUNTIFS('История отказов'!$F$5:F366,"ЭЦН",'История отказов'!$AE$5:AE366,'История отказов'!AE366)=1,'История отказов'!F366="ЭЦН"),362,""))</f>
        <v/>
      </c>
      <c r="DE363">
        <f>IF('История отказов'!AE366="","",IF(AND(COUNTIF($CV$2:$CV$3,'История отказов'!AE366)=0,COUNTIFS('История отказов'!$F$5:F366,"ЭВН",'История отказов'!$AE$5:AE366,'История отказов'!AE366)=1,'История отказов'!F366="ЭВН"),362,""))</f>
        <v/>
      </c>
      <c r="DF363">
        <f>IF('История отказов'!AE366="","",IF(AND(COUNTIF($CX$2:$CX$2,'История отказов'!AE366)=0,COUNTIFS('История отказов'!$F$5:F366,"ШВН",'История отказов'!$AE$5:AE366,'История отказов'!AE366)=1,'История отказов'!F366="ШВН"),362,""))</f>
        <v/>
      </c>
      <c r="DG363">
        <f>IF('История отказов'!AE366="","",IF(AND(COUNTIF($CW$2:$CW$2,'История отказов'!AE366)=0,COUNTIFS('История отказов'!$F$5:F366,"НПУ-ВД",'История отказов'!$AE$5:AE366,'История отказов'!AE366)=1,'История отказов'!F366="НПУ-ВД"),362,""))</f>
        <v/>
      </c>
      <c r="DH363">
        <f>IF('История отказов'!AE366="","",IF(AND(COUNTIF($CY$2:$CY$6,'История отказов'!AE366)=0,COUNTIF('История отказов'!$AE$5:AE366,'История отказов'!AE366)=1),362,""))</f>
        <v/>
      </c>
      <c r="DI363">
        <f>IF('История отказов'!AK366="","",IF(AND(COUNTIF($CL$2:$CL$3,'История отказов'!AK366)=0,COUNTIF('История отказов'!$AK$5:AK366,'История отказов'!AK366)=1),362,""))</f>
        <v/>
      </c>
      <c r="DJ363">
        <f>IF('История отказов'!AU366="","",IF(AND(COUNTIF($CP$2:$CP$3,'История отказов'!AU366)=0,COUNTIF('История отказов'!$AU$5:AU366,'История отказов'!AU366)=1),362,""))</f>
        <v/>
      </c>
      <c r="DK363">
        <f>IF('История отказов'!AY366="","",IF(AND(COUNTIF($CR$2:$CR$2,'История отказов'!AY366)=0,COUNTIF('История отказов'!$AY$5:AY366,'История отказов'!AY366)=1),362,""))</f>
        <v/>
      </c>
      <c r="DL363">
        <f>IF(DB363="","",IF(AND(COUNTIF($DA$2:$DA$47,DB363)=0,COUNTIF($DB$2:DB363,DB363)=1),362,""))</f>
        <v/>
      </c>
    </row>
    <row r="364">
      <c r="A364" s="74" t="n"/>
      <c r="B364" s="75" t="n"/>
      <c r="C364" s="75" t="n"/>
      <c r="D364" s="75" t="n"/>
      <c r="E364" s="75" t="n"/>
      <c r="F364" s="75" t="n"/>
      <c r="G364" s="75" t="n"/>
      <c r="H364" s="76" t="n"/>
      <c r="J364" s="62" t="n"/>
      <c r="K364" s="62" t="n"/>
      <c r="L364" s="62" t="n"/>
      <c r="M364" s="62" t="n"/>
      <c r="N364" s="62" t="n"/>
      <c r="Q364" t="inlineStr">
        <is>
          <t>ТКРС</t>
        </is>
      </c>
      <c r="R364" t="inlineStr">
        <is>
          <t>КР13-3 — Подготовка скважины к забуриванию дополнительного (ых) ствола (ов).</t>
        </is>
      </c>
      <c r="S364" t="inlineStr">
        <is>
          <t>Код и наименование из документа</t>
        </is>
      </c>
      <c r="T364" t="inlineStr">
        <is>
          <t>Классификатор ремонтных работ, РД 153-39.0-088-01</t>
        </is>
      </c>
      <c r="U364" t="inlineStr">
        <is>
          <t>Таблица 4.1; код КР13-3</t>
        </is>
      </c>
      <c r="V364" t="inlineStr">
        <is>
          <t>Все типы</t>
        </is>
      </c>
      <c r="DB364">
        <f>IF('История отказов'!AH367="","",'История отказов'!AH367)</f>
        <v/>
      </c>
      <c r="DC364">
        <f>IF('История отказов'!AE367="","",IF(AND(COUNTIF($CT$2:$CT$2,'История отказов'!AE367)=0,COUNTIFS('История отказов'!$F$5:F367,"ШГН",'История отказов'!$AE$5:AE367,'История отказов'!AE367)=1,'История отказов'!F367="ШГН"),363,""))</f>
        <v/>
      </c>
      <c r="DD364">
        <f>IF('История отказов'!AE367="","",IF(AND(COUNTIF($CU$2:$CU$3,'История отказов'!AE367)=0,COUNTIFS('История отказов'!$F$5:F367,"ЭЦН",'История отказов'!$AE$5:AE367,'История отказов'!AE367)=1,'История отказов'!F367="ЭЦН"),363,""))</f>
        <v/>
      </c>
      <c r="DE364">
        <f>IF('История отказов'!AE367="","",IF(AND(COUNTIF($CV$2:$CV$3,'История отказов'!AE367)=0,COUNTIFS('История отказов'!$F$5:F367,"ЭВН",'История отказов'!$AE$5:AE367,'История отказов'!AE367)=1,'История отказов'!F367="ЭВН"),363,""))</f>
        <v/>
      </c>
      <c r="DF364">
        <f>IF('История отказов'!AE367="","",IF(AND(COUNTIF($CX$2:$CX$2,'История отказов'!AE367)=0,COUNTIFS('История отказов'!$F$5:F367,"ШВН",'История отказов'!$AE$5:AE367,'История отказов'!AE367)=1,'История отказов'!F367="ШВН"),363,""))</f>
        <v/>
      </c>
      <c r="DG364">
        <f>IF('История отказов'!AE367="","",IF(AND(COUNTIF($CW$2:$CW$2,'История отказов'!AE367)=0,COUNTIFS('История отказов'!$F$5:F367,"НПУ-ВД",'История отказов'!$AE$5:AE367,'История отказов'!AE367)=1,'История отказов'!F367="НПУ-ВД"),363,""))</f>
        <v/>
      </c>
      <c r="DH364">
        <f>IF('История отказов'!AE367="","",IF(AND(COUNTIF($CY$2:$CY$6,'История отказов'!AE367)=0,COUNTIF('История отказов'!$AE$5:AE367,'История отказов'!AE367)=1),363,""))</f>
        <v/>
      </c>
      <c r="DI364">
        <f>IF('История отказов'!AK367="","",IF(AND(COUNTIF($CL$2:$CL$3,'История отказов'!AK367)=0,COUNTIF('История отказов'!$AK$5:AK367,'История отказов'!AK367)=1),363,""))</f>
        <v/>
      </c>
      <c r="DJ364">
        <f>IF('История отказов'!AU367="","",IF(AND(COUNTIF($CP$2:$CP$3,'История отказов'!AU367)=0,COUNTIF('История отказов'!$AU$5:AU367,'История отказов'!AU367)=1),363,""))</f>
        <v/>
      </c>
      <c r="DK364">
        <f>IF('История отказов'!AY367="","",IF(AND(COUNTIF($CR$2:$CR$2,'История отказов'!AY367)=0,COUNTIF('История отказов'!$AY$5:AY367,'История отказов'!AY367)=1),363,""))</f>
        <v/>
      </c>
      <c r="DL364">
        <f>IF(DB364="","",IF(AND(COUNTIF($DA$2:$DA$47,DB364)=0,COUNTIF($DB$2:DB364,DB364)=1),363,""))</f>
        <v/>
      </c>
    </row>
    <row r="365">
      <c r="A365" s="74" t="n"/>
      <c r="B365" s="75" t="n"/>
      <c r="C365" s="75" t="n"/>
      <c r="D365" s="75" t="n"/>
      <c r="E365" s="75" t="n"/>
      <c r="F365" s="75" t="n"/>
      <c r="G365" s="75" t="n"/>
      <c r="H365" s="76" t="n"/>
      <c r="J365" s="62" t="n"/>
      <c r="K365" s="62" t="n"/>
      <c r="L365" s="62" t="n"/>
      <c r="M365" s="62" t="n"/>
      <c r="N365" s="62" t="n"/>
      <c r="Q365" t="inlineStr">
        <is>
          <t>ТКРС</t>
        </is>
      </c>
      <c r="R365" t="inlineStr">
        <is>
          <t>КР13-4 — Освоение скважины после забуривания дополнительного (ых) ствола (ов).</t>
        </is>
      </c>
      <c r="S365" t="inlineStr">
        <is>
          <t>Код и наименование из документа</t>
        </is>
      </c>
      <c r="T365" t="inlineStr">
        <is>
          <t>Классификатор ремонтных работ, РД 153-39.0-088-01</t>
        </is>
      </c>
      <c r="U365" t="inlineStr">
        <is>
          <t>Таблица 4.1; код КР13-4</t>
        </is>
      </c>
      <c r="V365" t="inlineStr">
        <is>
          <t>Все типы</t>
        </is>
      </c>
      <c r="DB365">
        <f>IF('История отказов'!AH368="","",'История отказов'!AH368)</f>
        <v/>
      </c>
      <c r="DC365">
        <f>IF('История отказов'!AE368="","",IF(AND(COUNTIF($CT$2:$CT$2,'История отказов'!AE368)=0,COUNTIFS('История отказов'!$F$5:F368,"ШГН",'История отказов'!$AE$5:AE368,'История отказов'!AE368)=1,'История отказов'!F368="ШГН"),364,""))</f>
        <v/>
      </c>
      <c r="DD365">
        <f>IF('История отказов'!AE368="","",IF(AND(COUNTIF($CU$2:$CU$3,'История отказов'!AE368)=0,COUNTIFS('История отказов'!$F$5:F368,"ЭЦН",'История отказов'!$AE$5:AE368,'История отказов'!AE368)=1,'История отказов'!F368="ЭЦН"),364,""))</f>
        <v/>
      </c>
      <c r="DE365">
        <f>IF('История отказов'!AE368="","",IF(AND(COUNTIF($CV$2:$CV$3,'История отказов'!AE368)=0,COUNTIFS('История отказов'!$F$5:F368,"ЭВН",'История отказов'!$AE$5:AE368,'История отказов'!AE368)=1,'История отказов'!F368="ЭВН"),364,""))</f>
        <v/>
      </c>
      <c r="DF365">
        <f>IF('История отказов'!AE368="","",IF(AND(COUNTIF($CX$2:$CX$2,'История отказов'!AE368)=0,COUNTIFS('История отказов'!$F$5:F368,"ШВН",'История отказов'!$AE$5:AE368,'История отказов'!AE368)=1,'История отказов'!F368="ШВН"),364,""))</f>
        <v/>
      </c>
      <c r="DG365">
        <f>IF('История отказов'!AE368="","",IF(AND(COUNTIF($CW$2:$CW$2,'История отказов'!AE368)=0,COUNTIFS('История отказов'!$F$5:F368,"НПУ-ВД",'История отказов'!$AE$5:AE368,'История отказов'!AE368)=1,'История отказов'!F368="НПУ-ВД"),364,""))</f>
        <v/>
      </c>
      <c r="DH365">
        <f>IF('История отказов'!AE368="","",IF(AND(COUNTIF($CY$2:$CY$6,'История отказов'!AE368)=0,COUNTIF('История отказов'!$AE$5:AE368,'История отказов'!AE368)=1),364,""))</f>
        <v/>
      </c>
      <c r="DI365">
        <f>IF('История отказов'!AK368="","",IF(AND(COUNTIF($CL$2:$CL$3,'История отказов'!AK368)=0,COUNTIF('История отказов'!$AK$5:AK368,'История отказов'!AK368)=1),364,""))</f>
        <v/>
      </c>
      <c r="DJ365">
        <f>IF('История отказов'!AU368="","",IF(AND(COUNTIF($CP$2:$CP$3,'История отказов'!AU368)=0,COUNTIF('История отказов'!$AU$5:AU368,'История отказов'!AU368)=1),364,""))</f>
        <v/>
      </c>
      <c r="DK365">
        <f>IF('История отказов'!AY368="","",IF(AND(COUNTIF($CR$2:$CR$2,'История отказов'!AY368)=0,COUNTIF('История отказов'!$AY$5:AY368,'История отказов'!AY368)=1),364,""))</f>
        <v/>
      </c>
      <c r="DL365">
        <f>IF(DB365="","",IF(AND(COUNTIF($DA$2:$DA$47,DB365)=0,COUNTIF($DB$2:DB365,DB365)=1),364,""))</f>
        <v/>
      </c>
    </row>
    <row r="366">
      <c r="A366" s="74" t="n"/>
      <c r="B366" s="75" t="n"/>
      <c r="C366" s="75" t="n"/>
      <c r="D366" s="75" t="n"/>
      <c r="E366" s="75" t="n"/>
      <c r="F366" s="75" t="n"/>
      <c r="G366" s="75" t="n"/>
      <c r="H366" s="76" t="n"/>
      <c r="J366" s="62" t="n"/>
      <c r="K366" s="62" t="n"/>
      <c r="L366" s="62" t="n"/>
      <c r="M366" s="62" t="n"/>
      <c r="N366" s="62" t="n"/>
      <c r="Q366" t="inlineStr">
        <is>
          <t>ТКРС</t>
        </is>
      </c>
      <c r="R366" t="inlineStr">
        <is>
          <t>КР13-5 — Подготовка скважины к проведению работ по повышению нефтеотдачи пластов.</t>
        </is>
      </c>
      <c r="S366" t="inlineStr">
        <is>
          <t>Код и наименование из документа</t>
        </is>
      </c>
      <c r="T366" t="inlineStr">
        <is>
          <t>Классификатор ремонтных работ, РД 153-39.0-088-01</t>
        </is>
      </c>
      <c r="U366" t="inlineStr">
        <is>
          <t>Таблица 4.1; код КР13-5</t>
        </is>
      </c>
      <c r="V366" t="inlineStr">
        <is>
          <t>Все типы</t>
        </is>
      </c>
      <c r="DB366">
        <f>IF('История отказов'!AH369="","",'История отказов'!AH369)</f>
        <v/>
      </c>
      <c r="DC366">
        <f>IF('История отказов'!AE369="","",IF(AND(COUNTIF($CT$2:$CT$2,'История отказов'!AE369)=0,COUNTIFS('История отказов'!$F$5:F369,"ШГН",'История отказов'!$AE$5:AE369,'История отказов'!AE369)=1,'История отказов'!F369="ШГН"),365,""))</f>
        <v/>
      </c>
      <c r="DD366">
        <f>IF('История отказов'!AE369="","",IF(AND(COUNTIF($CU$2:$CU$3,'История отказов'!AE369)=0,COUNTIFS('История отказов'!$F$5:F369,"ЭЦН",'История отказов'!$AE$5:AE369,'История отказов'!AE369)=1,'История отказов'!F369="ЭЦН"),365,""))</f>
        <v/>
      </c>
      <c r="DE366">
        <f>IF('История отказов'!AE369="","",IF(AND(COUNTIF($CV$2:$CV$3,'История отказов'!AE369)=0,COUNTIFS('История отказов'!$F$5:F369,"ЭВН",'История отказов'!$AE$5:AE369,'История отказов'!AE369)=1,'История отказов'!F369="ЭВН"),365,""))</f>
        <v/>
      </c>
      <c r="DF366">
        <f>IF('История отказов'!AE369="","",IF(AND(COUNTIF($CX$2:$CX$2,'История отказов'!AE369)=0,COUNTIFS('История отказов'!$F$5:F369,"ШВН",'История отказов'!$AE$5:AE369,'История отказов'!AE369)=1,'История отказов'!F369="ШВН"),365,""))</f>
        <v/>
      </c>
      <c r="DG366">
        <f>IF('История отказов'!AE369="","",IF(AND(COUNTIF($CW$2:$CW$2,'История отказов'!AE369)=0,COUNTIFS('История отказов'!$F$5:F369,"НПУ-ВД",'История отказов'!$AE$5:AE369,'История отказов'!AE369)=1,'История отказов'!F369="НПУ-ВД"),365,""))</f>
        <v/>
      </c>
      <c r="DH366">
        <f>IF('История отказов'!AE369="","",IF(AND(COUNTIF($CY$2:$CY$6,'История отказов'!AE369)=0,COUNTIF('История отказов'!$AE$5:AE369,'История отказов'!AE369)=1),365,""))</f>
        <v/>
      </c>
      <c r="DI366">
        <f>IF('История отказов'!AK369="","",IF(AND(COUNTIF($CL$2:$CL$3,'История отказов'!AK369)=0,COUNTIF('История отказов'!$AK$5:AK369,'История отказов'!AK369)=1),365,""))</f>
        <v/>
      </c>
      <c r="DJ366">
        <f>IF('История отказов'!AU369="","",IF(AND(COUNTIF($CP$2:$CP$3,'История отказов'!AU369)=0,COUNTIF('История отказов'!$AU$5:AU369,'История отказов'!AU369)=1),365,""))</f>
        <v/>
      </c>
      <c r="DK366">
        <f>IF('История отказов'!AY369="","",IF(AND(COUNTIF($CR$2:$CR$2,'История отказов'!AY369)=0,COUNTIF('История отказов'!$AY$5:AY369,'История отказов'!AY369)=1),365,""))</f>
        <v/>
      </c>
      <c r="DL366">
        <f>IF(DB366="","",IF(AND(COUNTIF($DA$2:$DA$47,DB366)=0,COUNTIF($DB$2:DB366,DB366)=1),365,""))</f>
        <v/>
      </c>
    </row>
    <row r="367">
      <c r="A367" s="74" t="n"/>
      <c r="B367" s="75" t="n"/>
      <c r="C367" s="75" t="n"/>
      <c r="D367" s="75" t="n"/>
      <c r="E367" s="75" t="n"/>
      <c r="F367" s="75" t="n"/>
      <c r="G367" s="75" t="n"/>
      <c r="H367" s="76" t="n"/>
      <c r="J367" s="62" t="n"/>
      <c r="K367" s="62" t="n"/>
      <c r="L367" s="62" t="n"/>
      <c r="M367" s="62" t="n"/>
      <c r="N367" s="62" t="n"/>
      <c r="Q367" t="inlineStr">
        <is>
          <t>ТКРС</t>
        </is>
      </c>
      <c r="R367" t="inlineStr">
        <is>
          <t>КР13-6 — Подготовительные работы к ГГРП (ПР)</t>
        </is>
      </c>
      <c r="S367" t="inlineStr">
        <is>
          <t>Код и наименование из документа</t>
        </is>
      </c>
      <c r="T367" t="inlineStr">
        <is>
          <t>Классификатор ремонтных работ, РД 153-39.0-088-01</t>
        </is>
      </c>
      <c r="U367" t="inlineStr">
        <is>
          <t>Таблица 4.1; код КР13-6</t>
        </is>
      </c>
      <c r="V367" t="inlineStr">
        <is>
          <t>Все типы</t>
        </is>
      </c>
      <c r="DB367">
        <f>IF('История отказов'!AH370="","",'История отказов'!AH370)</f>
        <v/>
      </c>
      <c r="DC367">
        <f>IF('История отказов'!AE370="","",IF(AND(COUNTIF($CT$2:$CT$2,'История отказов'!AE370)=0,COUNTIFS('История отказов'!$F$5:F370,"ШГН",'История отказов'!$AE$5:AE370,'История отказов'!AE370)=1,'История отказов'!F370="ШГН"),366,""))</f>
        <v/>
      </c>
      <c r="DD367">
        <f>IF('История отказов'!AE370="","",IF(AND(COUNTIF($CU$2:$CU$3,'История отказов'!AE370)=0,COUNTIFS('История отказов'!$F$5:F370,"ЭЦН",'История отказов'!$AE$5:AE370,'История отказов'!AE370)=1,'История отказов'!F370="ЭЦН"),366,""))</f>
        <v/>
      </c>
      <c r="DE367">
        <f>IF('История отказов'!AE370="","",IF(AND(COUNTIF($CV$2:$CV$3,'История отказов'!AE370)=0,COUNTIFS('История отказов'!$F$5:F370,"ЭВН",'История отказов'!$AE$5:AE370,'История отказов'!AE370)=1,'История отказов'!F370="ЭВН"),366,""))</f>
        <v/>
      </c>
      <c r="DF367">
        <f>IF('История отказов'!AE370="","",IF(AND(COUNTIF($CX$2:$CX$2,'История отказов'!AE370)=0,COUNTIFS('История отказов'!$F$5:F370,"ШВН",'История отказов'!$AE$5:AE370,'История отказов'!AE370)=1,'История отказов'!F370="ШВН"),366,""))</f>
        <v/>
      </c>
      <c r="DG367">
        <f>IF('История отказов'!AE370="","",IF(AND(COUNTIF($CW$2:$CW$2,'История отказов'!AE370)=0,COUNTIFS('История отказов'!$F$5:F370,"НПУ-ВД",'История отказов'!$AE$5:AE370,'История отказов'!AE370)=1,'История отказов'!F370="НПУ-ВД"),366,""))</f>
        <v/>
      </c>
      <c r="DH367">
        <f>IF('История отказов'!AE370="","",IF(AND(COUNTIF($CY$2:$CY$6,'История отказов'!AE370)=0,COUNTIF('История отказов'!$AE$5:AE370,'История отказов'!AE370)=1),366,""))</f>
        <v/>
      </c>
      <c r="DI367">
        <f>IF('История отказов'!AK370="","",IF(AND(COUNTIF($CL$2:$CL$3,'История отказов'!AK370)=0,COUNTIF('История отказов'!$AK$5:AK370,'История отказов'!AK370)=1),366,""))</f>
        <v/>
      </c>
      <c r="DJ367">
        <f>IF('История отказов'!AU370="","",IF(AND(COUNTIF($CP$2:$CP$3,'История отказов'!AU370)=0,COUNTIF('История отказов'!$AU$5:AU370,'История отказов'!AU370)=1),366,""))</f>
        <v/>
      </c>
      <c r="DK367">
        <f>IF('История отказов'!AY370="","",IF(AND(COUNTIF($CR$2:$CR$2,'История отказов'!AY370)=0,COUNTIF('История отказов'!$AY$5:AY370,'История отказов'!AY370)=1),366,""))</f>
        <v/>
      </c>
      <c r="DL367">
        <f>IF(DB367="","",IF(AND(COUNTIF($DA$2:$DA$47,DB367)=0,COUNTIF($DB$2:DB367,DB367)=1),366,""))</f>
        <v/>
      </c>
    </row>
    <row r="368">
      <c r="A368" s="74" t="n"/>
      <c r="B368" s="75" t="n"/>
      <c r="C368" s="75" t="n"/>
      <c r="D368" s="75" t="n"/>
      <c r="E368" s="75" t="n"/>
      <c r="F368" s="75" t="n"/>
      <c r="G368" s="75" t="n"/>
      <c r="H368" s="76" t="n"/>
      <c r="J368" s="62" t="n"/>
      <c r="K368" s="62" t="n"/>
      <c r="L368" s="62" t="n"/>
      <c r="M368" s="62" t="n"/>
      <c r="N368" s="62" t="n"/>
      <c r="Q368" t="inlineStr">
        <is>
          <t>ТКРС</t>
        </is>
      </c>
      <c r="R368" t="inlineStr">
        <is>
          <t>КР13-9 — Ремонт водозаборных скважин со спуском дополнительной колонны и промывкой.</t>
        </is>
      </c>
      <c r="S368" t="inlineStr">
        <is>
          <t>Код и наименование из документа</t>
        </is>
      </c>
      <c r="T368" t="inlineStr">
        <is>
          <t>Классификатор ремонтных работ, РД 153-39.0-088-01</t>
        </is>
      </c>
      <c r="U368" t="inlineStr">
        <is>
          <t>Таблица 4.1; код КР13-9</t>
        </is>
      </c>
      <c r="V368" t="inlineStr">
        <is>
          <t>Все типы</t>
        </is>
      </c>
      <c r="DB368">
        <f>IF('История отказов'!AH371="","",'История отказов'!AH371)</f>
        <v/>
      </c>
      <c r="DC368">
        <f>IF('История отказов'!AE371="","",IF(AND(COUNTIF($CT$2:$CT$2,'История отказов'!AE371)=0,COUNTIFS('История отказов'!$F$5:F371,"ШГН",'История отказов'!$AE$5:AE371,'История отказов'!AE371)=1,'История отказов'!F371="ШГН"),367,""))</f>
        <v/>
      </c>
      <c r="DD368">
        <f>IF('История отказов'!AE371="","",IF(AND(COUNTIF($CU$2:$CU$3,'История отказов'!AE371)=0,COUNTIFS('История отказов'!$F$5:F371,"ЭЦН",'История отказов'!$AE$5:AE371,'История отказов'!AE371)=1,'История отказов'!F371="ЭЦН"),367,""))</f>
        <v/>
      </c>
      <c r="DE368">
        <f>IF('История отказов'!AE371="","",IF(AND(COUNTIF($CV$2:$CV$3,'История отказов'!AE371)=0,COUNTIFS('История отказов'!$F$5:F371,"ЭВН",'История отказов'!$AE$5:AE371,'История отказов'!AE371)=1,'История отказов'!F371="ЭВН"),367,""))</f>
        <v/>
      </c>
      <c r="DF368">
        <f>IF('История отказов'!AE371="","",IF(AND(COUNTIF($CX$2:$CX$2,'История отказов'!AE371)=0,COUNTIFS('История отказов'!$F$5:F371,"ШВН",'История отказов'!$AE$5:AE371,'История отказов'!AE371)=1,'История отказов'!F371="ШВН"),367,""))</f>
        <v/>
      </c>
      <c r="DG368">
        <f>IF('История отказов'!AE371="","",IF(AND(COUNTIF($CW$2:$CW$2,'История отказов'!AE371)=0,COUNTIFS('История отказов'!$F$5:F371,"НПУ-ВД",'История отказов'!$AE$5:AE371,'История отказов'!AE371)=1,'История отказов'!F371="НПУ-ВД"),367,""))</f>
        <v/>
      </c>
      <c r="DH368">
        <f>IF('История отказов'!AE371="","",IF(AND(COUNTIF($CY$2:$CY$6,'История отказов'!AE371)=0,COUNTIF('История отказов'!$AE$5:AE371,'История отказов'!AE371)=1),367,""))</f>
        <v/>
      </c>
      <c r="DI368">
        <f>IF('История отказов'!AK371="","",IF(AND(COUNTIF($CL$2:$CL$3,'История отказов'!AK371)=0,COUNTIF('История отказов'!$AK$5:AK371,'История отказов'!AK371)=1),367,""))</f>
        <v/>
      </c>
      <c r="DJ368">
        <f>IF('История отказов'!AU371="","",IF(AND(COUNTIF($CP$2:$CP$3,'История отказов'!AU371)=0,COUNTIF('История отказов'!$AU$5:AU371,'История отказов'!AU371)=1),367,""))</f>
        <v/>
      </c>
      <c r="DK368">
        <f>IF('История отказов'!AY371="","",IF(AND(COUNTIF($CR$2:$CR$2,'История отказов'!AY371)=0,COUNTIF('История отказов'!$AY$5:AY371,'История отказов'!AY371)=1),367,""))</f>
        <v/>
      </c>
      <c r="DL368">
        <f>IF(DB368="","",IF(AND(COUNTIF($DA$2:$DA$47,DB368)=0,COUNTIF($DB$2:DB368,DB368)=1),367,""))</f>
        <v/>
      </c>
    </row>
    <row r="369">
      <c r="A369" s="77" t="n"/>
      <c r="B369" s="78" t="n"/>
      <c r="C369" s="78" t="n"/>
      <c r="D369" s="78" t="n"/>
      <c r="E369" s="78" t="n"/>
      <c r="F369" s="78" t="n"/>
      <c r="G369" s="78" t="n"/>
      <c r="H369" s="79" t="n"/>
      <c r="J369" s="62" t="n"/>
      <c r="K369" s="62" t="n"/>
      <c r="L369" s="62" t="n"/>
      <c r="M369" s="62" t="n"/>
      <c r="N369" s="62" t="n"/>
      <c r="Q369" t="inlineStr">
        <is>
          <t>ТКРС</t>
        </is>
      </c>
      <c r="R369" t="inlineStr">
        <is>
          <t>КР13-10 — Ремонт поглощающей скважины.</t>
        </is>
      </c>
      <c r="S369" t="inlineStr">
        <is>
          <t>Код и наименование из документа</t>
        </is>
      </c>
      <c r="T369" t="inlineStr">
        <is>
          <t>Классификатор ремонтных работ, РД 153-39.0-088-01</t>
        </is>
      </c>
      <c r="U369" t="inlineStr">
        <is>
          <t>Таблица 4.1; код КР13-10</t>
        </is>
      </c>
      <c r="V369" t="inlineStr">
        <is>
          <t>Все типы</t>
        </is>
      </c>
      <c r="DB369">
        <f>IF('История отказов'!AH372="","",'История отказов'!AH372)</f>
        <v/>
      </c>
      <c r="DC369">
        <f>IF('История отказов'!AE372="","",IF(AND(COUNTIF($CT$2:$CT$2,'История отказов'!AE372)=0,COUNTIFS('История отказов'!$F$5:F372,"ШГН",'История отказов'!$AE$5:AE372,'История отказов'!AE372)=1,'История отказов'!F372="ШГН"),368,""))</f>
        <v/>
      </c>
      <c r="DD369">
        <f>IF('История отказов'!AE372="","",IF(AND(COUNTIF($CU$2:$CU$3,'История отказов'!AE372)=0,COUNTIFS('История отказов'!$F$5:F372,"ЭЦН",'История отказов'!$AE$5:AE372,'История отказов'!AE372)=1,'История отказов'!F372="ЭЦН"),368,""))</f>
        <v/>
      </c>
      <c r="DE369">
        <f>IF('История отказов'!AE372="","",IF(AND(COUNTIF($CV$2:$CV$3,'История отказов'!AE372)=0,COUNTIFS('История отказов'!$F$5:F372,"ЭВН",'История отказов'!$AE$5:AE372,'История отказов'!AE372)=1,'История отказов'!F372="ЭВН"),368,""))</f>
        <v/>
      </c>
      <c r="DF369">
        <f>IF('История отказов'!AE372="","",IF(AND(COUNTIF($CX$2:$CX$2,'История отказов'!AE372)=0,COUNTIFS('История отказов'!$F$5:F372,"ШВН",'История отказов'!$AE$5:AE372,'История отказов'!AE372)=1,'История отказов'!F372="ШВН"),368,""))</f>
        <v/>
      </c>
      <c r="DG369">
        <f>IF('История отказов'!AE372="","",IF(AND(COUNTIF($CW$2:$CW$2,'История отказов'!AE372)=0,COUNTIFS('История отказов'!$F$5:F372,"НПУ-ВД",'История отказов'!$AE$5:AE372,'История отказов'!AE372)=1,'История отказов'!F372="НПУ-ВД"),368,""))</f>
        <v/>
      </c>
      <c r="DH369">
        <f>IF('История отказов'!AE372="","",IF(AND(COUNTIF($CY$2:$CY$6,'История отказов'!AE372)=0,COUNTIF('История отказов'!$AE$5:AE372,'История отказов'!AE372)=1),368,""))</f>
        <v/>
      </c>
      <c r="DI369">
        <f>IF('История отказов'!AK372="","",IF(AND(COUNTIF($CL$2:$CL$3,'История отказов'!AK372)=0,COUNTIF('История отказов'!$AK$5:AK372,'История отказов'!AK372)=1),368,""))</f>
        <v/>
      </c>
      <c r="DJ369">
        <f>IF('История отказов'!AU372="","",IF(AND(COUNTIF($CP$2:$CP$3,'История отказов'!AU372)=0,COUNTIF('История отказов'!$AU$5:AU372,'История отказов'!AU372)=1),368,""))</f>
        <v/>
      </c>
      <c r="DK369">
        <f>IF('История отказов'!AY372="","",IF(AND(COUNTIF($CR$2:$CR$2,'История отказов'!AY372)=0,COUNTIF('История отказов'!$AY$5:AY372,'История отказов'!AY372)=1),368,""))</f>
        <v/>
      </c>
      <c r="DL369">
        <f>IF(DB369="","",IF(AND(COUNTIF($DA$2:$DA$47,DB369)=0,COUNTIF($DB$2:DB369,DB369)=1),368,""))</f>
        <v/>
      </c>
    </row>
    <row r="370">
      <c r="J370" s="62" t="n"/>
      <c r="K370" s="62" t="n"/>
      <c r="L370" s="62" t="n"/>
      <c r="M370" s="62" t="n"/>
      <c r="N370" s="62" t="n"/>
      <c r="Q370" t="inlineStr">
        <is>
          <t>ТКРС</t>
        </is>
      </c>
      <c r="R370" t="inlineStr">
        <is>
          <t>ТР1-7 — Ввод скважин, оборудованных другими типами насосов или установок.</t>
        </is>
      </c>
      <c r="S370" t="inlineStr">
        <is>
          <t>Код и наименование из документа</t>
        </is>
      </c>
      <c r="T370" t="inlineStr">
        <is>
          <t>Классификатор ремонтных работ, РД 153-39.0-088-01</t>
        </is>
      </c>
      <c r="U370" t="inlineStr">
        <is>
          <t>Таблица 4.1; код ТР1-7</t>
        </is>
      </c>
      <c r="V370" t="inlineStr">
        <is>
          <t>Все типы</t>
        </is>
      </c>
      <c r="DB370">
        <f>IF('История отказов'!AH373="","",'История отказов'!AH373)</f>
        <v/>
      </c>
      <c r="DC370">
        <f>IF('История отказов'!AE373="","",IF(AND(COUNTIF($CT$2:$CT$2,'История отказов'!AE373)=0,COUNTIFS('История отказов'!$F$5:F373,"ШГН",'История отказов'!$AE$5:AE373,'История отказов'!AE373)=1,'История отказов'!F373="ШГН"),369,""))</f>
        <v/>
      </c>
      <c r="DD370">
        <f>IF('История отказов'!AE373="","",IF(AND(COUNTIF($CU$2:$CU$3,'История отказов'!AE373)=0,COUNTIFS('История отказов'!$F$5:F373,"ЭЦН",'История отказов'!$AE$5:AE373,'История отказов'!AE373)=1,'История отказов'!F373="ЭЦН"),369,""))</f>
        <v/>
      </c>
      <c r="DE370">
        <f>IF('История отказов'!AE373="","",IF(AND(COUNTIF($CV$2:$CV$3,'История отказов'!AE373)=0,COUNTIFS('История отказов'!$F$5:F373,"ЭВН",'История отказов'!$AE$5:AE373,'История отказов'!AE373)=1,'История отказов'!F373="ЭВН"),369,""))</f>
        <v/>
      </c>
      <c r="DF370">
        <f>IF('История отказов'!AE373="","",IF(AND(COUNTIF($CX$2:$CX$2,'История отказов'!AE373)=0,COUNTIFS('История отказов'!$F$5:F373,"ШВН",'История отказов'!$AE$5:AE373,'История отказов'!AE373)=1,'История отказов'!F373="ШВН"),369,""))</f>
        <v/>
      </c>
      <c r="DG370">
        <f>IF('История отказов'!AE373="","",IF(AND(COUNTIF($CW$2:$CW$2,'История отказов'!AE373)=0,COUNTIFS('История отказов'!$F$5:F373,"НПУ-ВД",'История отказов'!$AE$5:AE373,'История отказов'!AE373)=1,'История отказов'!F373="НПУ-ВД"),369,""))</f>
        <v/>
      </c>
      <c r="DH370">
        <f>IF('История отказов'!AE373="","",IF(AND(COUNTIF($CY$2:$CY$6,'История отказов'!AE373)=0,COUNTIF('История отказов'!$AE$5:AE373,'История отказов'!AE373)=1),369,""))</f>
        <v/>
      </c>
      <c r="DI370">
        <f>IF('История отказов'!AK373="","",IF(AND(COUNTIF($CL$2:$CL$3,'История отказов'!AK373)=0,COUNTIF('История отказов'!$AK$5:AK373,'История отказов'!AK373)=1),369,""))</f>
        <v/>
      </c>
      <c r="DJ370">
        <f>IF('История отказов'!AU373="","",IF(AND(COUNTIF($CP$2:$CP$3,'История отказов'!AU373)=0,COUNTIF('История отказов'!$AU$5:AU373,'История отказов'!AU373)=1),369,""))</f>
        <v/>
      </c>
      <c r="DK370">
        <f>IF('История отказов'!AY373="","",IF(AND(COUNTIF($CR$2:$CR$2,'История отказов'!AY373)=0,COUNTIF('История отказов'!$AY$5:AY373,'История отказов'!AY373)=1),369,""))</f>
        <v/>
      </c>
      <c r="DL370">
        <f>IF(DB370="","",IF(AND(COUNTIF($DA$2:$DA$47,DB370)=0,COUNTIF($DB$2:DB370,DB370)=1),369,""))</f>
        <v/>
      </c>
    </row>
    <row r="371">
      <c r="J371" s="62" t="n"/>
      <c r="K371" s="62" t="n"/>
      <c r="L371" s="62" t="n"/>
      <c r="M371" s="62" t="n"/>
      <c r="N371" s="62" t="n"/>
      <c r="Q371" t="inlineStr">
        <is>
          <t>ТКРС</t>
        </is>
      </c>
      <c r="R371" t="inlineStr">
        <is>
          <t>ТР2-2 — Фонтанный – ШГН.</t>
        </is>
      </c>
      <c r="S371" t="inlineStr">
        <is>
          <t>Код и наименование из документа</t>
        </is>
      </c>
      <c r="T371" t="inlineStr">
        <is>
          <t>Классификатор ремонтных работ, РД 153-39.0-088-01</t>
        </is>
      </c>
      <c r="U371" t="inlineStr">
        <is>
          <t>Таблица 4.1; код ТР2-2</t>
        </is>
      </c>
      <c r="V371" t="inlineStr">
        <is>
          <t>Все типы</t>
        </is>
      </c>
      <c r="DB371">
        <f>IF('История отказов'!AH374="","",'История отказов'!AH374)</f>
        <v/>
      </c>
      <c r="DC371">
        <f>IF('История отказов'!AE374="","",IF(AND(COUNTIF($CT$2:$CT$2,'История отказов'!AE374)=0,COUNTIFS('История отказов'!$F$5:F374,"ШГН",'История отказов'!$AE$5:AE374,'История отказов'!AE374)=1,'История отказов'!F374="ШГН"),370,""))</f>
        <v/>
      </c>
      <c r="DD371">
        <f>IF('История отказов'!AE374="","",IF(AND(COUNTIF($CU$2:$CU$3,'История отказов'!AE374)=0,COUNTIFS('История отказов'!$F$5:F374,"ЭЦН",'История отказов'!$AE$5:AE374,'История отказов'!AE374)=1,'История отказов'!F374="ЭЦН"),370,""))</f>
        <v/>
      </c>
      <c r="DE371">
        <f>IF('История отказов'!AE374="","",IF(AND(COUNTIF($CV$2:$CV$3,'История отказов'!AE374)=0,COUNTIFS('История отказов'!$F$5:F374,"ЭВН",'История отказов'!$AE$5:AE374,'История отказов'!AE374)=1,'История отказов'!F374="ЭВН"),370,""))</f>
        <v/>
      </c>
      <c r="DF371">
        <f>IF('История отказов'!AE374="","",IF(AND(COUNTIF($CX$2:$CX$2,'История отказов'!AE374)=0,COUNTIFS('История отказов'!$F$5:F374,"ШВН",'История отказов'!$AE$5:AE374,'История отказов'!AE374)=1,'История отказов'!F374="ШВН"),370,""))</f>
        <v/>
      </c>
      <c r="DG371">
        <f>IF('История отказов'!AE374="","",IF(AND(COUNTIF($CW$2:$CW$2,'История отказов'!AE374)=0,COUNTIFS('История отказов'!$F$5:F374,"НПУ-ВД",'История отказов'!$AE$5:AE374,'История отказов'!AE374)=1,'История отказов'!F374="НПУ-ВД"),370,""))</f>
        <v/>
      </c>
      <c r="DH371">
        <f>IF('История отказов'!AE374="","",IF(AND(COUNTIF($CY$2:$CY$6,'История отказов'!AE374)=0,COUNTIF('История отказов'!$AE$5:AE374,'История отказов'!AE374)=1),370,""))</f>
        <v/>
      </c>
      <c r="DI371">
        <f>IF('История отказов'!AK374="","",IF(AND(COUNTIF($CL$2:$CL$3,'История отказов'!AK374)=0,COUNTIF('История отказов'!$AK$5:AK374,'История отказов'!AK374)=1),370,""))</f>
        <v/>
      </c>
      <c r="DJ371">
        <f>IF('История отказов'!AU374="","",IF(AND(COUNTIF($CP$2:$CP$3,'История отказов'!AU374)=0,COUNTIF('История отказов'!$AU$5:AU374,'История отказов'!AU374)=1),370,""))</f>
        <v/>
      </c>
      <c r="DK371">
        <f>IF('История отказов'!AY374="","",IF(AND(COUNTIF($CR$2:$CR$2,'История отказов'!AY374)=0,COUNTIF('История отказов'!$AY$5:AY374,'История отказов'!AY374)=1),370,""))</f>
        <v/>
      </c>
      <c r="DL371">
        <f>IF(DB371="","",IF(AND(COUNTIF($DA$2:$DA$47,DB371)=0,COUNTIF($DB$2:DB371,DB371)=1),370,""))</f>
        <v/>
      </c>
    </row>
    <row r="372">
      <c r="A372" s="33" t="n"/>
      <c r="B372" s="34" t="n"/>
      <c r="C372" s="35" t="n"/>
      <c r="J372" s="62" t="n"/>
      <c r="K372" s="62" t="n"/>
      <c r="L372" s="62" t="n"/>
      <c r="M372" s="62" t="n"/>
      <c r="N372" s="62" t="n"/>
      <c r="Q372" t="inlineStr">
        <is>
          <t>ТКРС</t>
        </is>
      </c>
      <c r="R372" t="inlineStr">
        <is>
          <t>ТР2-4 — Фонтанный – УЭВН</t>
        </is>
      </c>
      <c r="S372" t="inlineStr">
        <is>
          <t>Код и наименование из документа</t>
        </is>
      </c>
      <c r="T372" t="inlineStr">
        <is>
          <t>Классификатор ремонтных работ, РД 153-39.0-088-01</t>
        </is>
      </c>
      <c r="U372" t="inlineStr">
        <is>
          <t>Таблица 4.1; код ТР2-4</t>
        </is>
      </c>
      <c r="V372" t="inlineStr">
        <is>
          <t>Все типы</t>
        </is>
      </c>
      <c r="DB372">
        <f>IF('История отказов'!AH375="","",'История отказов'!AH375)</f>
        <v/>
      </c>
      <c r="DC372">
        <f>IF('История отказов'!AE375="","",IF(AND(COUNTIF($CT$2:$CT$2,'История отказов'!AE375)=0,COUNTIFS('История отказов'!$F$5:F375,"ШГН",'История отказов'!$AE$5:AE375,'История отказов'!AE375)=1,'История отказов'!F375="ШГН"),371,""))</f>
        <v/>
      </c>
      <c r="DD372">
        <f>IF('История отказов'!AE375="","",IF(AND(COUNTIF($CU$2:$CU$3,'История отказов'!AE375)=0,COUNTIFS('История отказов'!$F$5:F375,"ЭЦН",'История отказов'!$AE$5:AE375,'История отказов'!AE375)=1,'История отказов'!F375="ЭЦН"),371,""))</f>
        <v/>
      </c>
      <c r="DE372">
        <f>IF('История отказов'!AE375="","",IF(AND(COUNTIF($CV$2:$CV$3,'История отказов'!AE375)=0,COUNTIFS('История отказов'!$F$5:F375,"ЭВН",'История отказов'!$AE$5:AE375,'История отказов'!AE375)=1,'История отказов'!F375="ЭВН"),371,""))</f>
        <v/>
      </c>
      <c r="DF372">
        <f>IF('История отказов'!AE375="","",IF(AND(COUNTIF($CX$2:$CX$2,'История отказов'!AE375)=0,COUNTIFS('История отказов'!$F$5:F375,"ШВН",'История отказов'!$AE$5:AE375,'История отказов'!AE375)=1,'История отказов'!F375="ШВН"),371,""))</f>
        <v/>
      </c>
      <c r="DG372">
        <f>IF('История отказов'!AE375="","",IF(AND(COUNTIF($CW$2:$CW$2,'История отказов'!AE375)=0,COUNTIFS('История отказов'!$F$5:F375,"НПУ-ВД",'История отказов'!$AE$5:AE375,'История отказов'!AE375)=1,'История отказов'!F375="НПУ-ВД"),371,""))</f>
        <v/>
      </c>
      <c r="DH372">
        <f>IF('История отказов'!AE375="","",IF(AND(COUNTIF($CY$2:$CY$6,'История отказов'!AE375)=0,COUNTIF('История отказов'!$AE$5:AE375,'История отказов'!AE375)=1),371,""))</f>
        <v/>
      </c>
      <c r="DI372">
        <f>IF('История отказов'!AK375="","",IF(AND(COUNTIF($CL$2:$CL$3,'История отказов'!AK375)=0,COUNTIF('История отказов'!$AK$5:AK375,'История отказов'!AK375)=1),371,""))</f>
        <v/>
      </c>
      <c r="DJ372">
        <f>IF('История отказов'!AU375="","",IF(AND(COUNTIF($CP$2:$CP$3,'История отказов'!AU375)=0,COUNTIF('История отказов'!$AU$5:AU375,'История отказов'!AU375)=1),371,""))</f>
        <v/>
      </c>
      <c r="DK372">
        <f>IF('История отказов'!AY375="","",IF(AND(COUNTIF($CR$2:$CR$2,'История отказов'!AY375)=0,COUNTIF('История отказов'!$AY$5:AY375,'История отказов'!AY375)=1),371,""))</f>
        <v/>
      </c>
      <c r="DL372">
        <f>IF(DB372="","",IF(AND(COUNTIF($DA$2:$DA$47,DB372)=0,COUNTIF($DB$2:DB372,DB372)=1),371,""))</f>
        <v/>
      </c>
    </row>
    <row r="373">
      <c r="A373" s="48" t="n"/>
      <c r="B373" s="49" t="n"/>
      <c r="C373" s="50" t="n"/>
      <c r="J373" s="62" t="n"/>
      <c r="K373" s="62" t="n"/>
      <c r="L373" s="62" t="n"/>
      <c r="M373" s="62" t="n"/>
      <c r="N373" s="62" t="n"/>
      <c r="Q373" t="inlineStr">
        <is>
          <t>ТКРС</t>
        </is>
      </c>
      <c r="R373" t="inlineStr">
        <is>
          <t>ТР2-5 — Фонтанный – УШВН</t>
        </is>
      </c>
      <c r="S373" t="inlineStr">
        <is>
          <t>Код и наименование из документа</t>
        </is>
      </c>
      <c r="T373" t="inlineStr">
        <is>
          <t>Классификатор ремонтных работ, РД 153-39.0-088-01</t>
        </is>
      </c>
      <c r="U373" t="inlineStr">
        <is>
          <t>Таблица 4.1; код ТР2-5</t>
        </is>
      </c>
      <c r="V373" t="inlineStr">
        <is>
          <t>Все типы</t>
        </is>
      </c>
      <c r="DB373">
        <f>IF('История отказов'!AH376="","",'История отказов'!AH376)</f>
        <v/>
      </c>
      <c r="DC373">
        <f>IF('История отказов'!AE376="","",IF(AND(COUNTIF($CT$2:$CT$2,'История отказов'!AE376)=0,COUNTIFS('История отказов'!$F$5:F376,"ШГН",'История отказов'!$AE$5:AE376,'История отказов'!AE376)=1,'История отказов'!F376="ШГН"),372,""))</f>
        <v/>
      </c>
      <c r="DD373">
        <f>IF('История отказов'!AE376="","",IF(AND(COUNTIF($CU$2:$CU$3,'История отказов'!AE376)=0,COUNTIFS('История отказов'!$F$5:F376,"ЭЦН",'История отказов'!$AE$5:AE376,'История отказов'!AE376)=1,'История отказов'!F376="ЭЦН"),372,""))</f>
        <v/>
      </c>
      <c r="DE373">
        <f>IF('История отказов'!AE376="","",IF(AND(COUNTIF($CV$2:$CV$3,'История отказов'!AE376)=0,COUNTIFS('История отказов'!$F$5:F376,"ЭВН",'История отказов'!$AE$5:AE376,'История отказов'!AE376)=1,'История отказов'!F376="ЭВН"),372,""))</f>
        <v/>
      </c>
      <c r="DF373">
        <f>IF('История отказов'!AE376="","",IF(AND(COUNTIF($CX$2:$CX$2,'История отказов'!AE376)=0,COUNTIFS('История отказов'!$F$5:F376,"ШВН",'История отказов'!$AE$5:AE376,'История отказов'!AE376)=1,'История отказов'!F376="ШВН"),372,""))</f>
        <v/>
      </c>
      <c r="DG373">
        <f>IF('История отказов'!AE376="","",IF(AND(COUNTIF($CW$2:$CW$2,'История отказов'!AE376)=0,COUNTIFS('История отказов'!$F$5:F376,"НПУ-ВД",'История отказов'!$AE$5:AE376,'История отказов'!AE376)=1,'История отказов'!F376="НПУ-ВД"),372,""))</f>
        <v/>
      </c>
      <c r="DH373">
        <f>IF('История отказов'!AE376="","",IF(AND(COUNTIF($CY$2:$CY$6,'История отказов'!AE376)=0,COUNTIF('История отказов'!$AE$5:AE376,'История отказов'!AE376)=1),372,""))</f>
        <v/>
      </c>
      <c r="DI373">
        <f>IF('История отказов'!AK376="","",IF(AND(COUNTIF($CL$2:$CL$3,'История отказов'!AK376)=0,COUNTIF('История отказов'!$AK$5:AK376,'История отказов'!AK376)=1),372,""))</f>
        <v/>
      </c>
      <c r="DJ373">
        <f>IF('История отказов'!AU376="","",IF(AND(COUNTIF($CP$2:$CP$3,'История отказов'!AU376)=0,COUNTIF('История отказов'!$AU$5:AU376,'История отказов'!AU376)=1),372,""))</f>
        <v/>
      </c>
      <c r="DK373">
        <f>IF('История отказов'!AY376="","",IF(AND(COUNTIF($CR$2:$CR$2,'История отказов'!AY376)=0,COUNTIF('История отказов'!$AY$5:AY376,'История отказов'!AY376)=1),372,""))</f>
        <v/>
      </c>
      <c r="DL373">
        <f>IF(DB373="","",IF(AND(COUNTIF($DA$2:$DA$47,DB373)=0,COUNTIF($DB$2:DB373,DB373)=1),372,""))</f>
        <v/>
      </c>
    </row>
    <row r="374">
      <c r="A374" s="71" t="n"/>
      <c r="B374" s="72" t="n"/>
      <c r="C374" s="73" t="n"/>
      <c r="J374" s="62" t="n"/>
      <c r="K374" s="62" t="n"/>
      <c r="L374" s="62" t="n"/>
      <c r="M374" s="62" t="n"/>
      <c r="N374" s="62" t="n"/>
      <c r="Q374" t="inlineStr">
        <is>
          <t>ТКРС</t>
        </is>
      </c>
      <c r="R374" t="inlineStr">
        <is>
          <t>ТР2-6 — Газлифт – ШГН.</t>
        </is>
      </c>
      <c r="S374" t="inlineStr">
        <is>
          <t>Код и наименование из документа</t>
        </is>
      </c>
      <c r="T374" t="inlineStr">
        <is>
          <t>Классификатор ремонтных работ, РД 153-39.0-088-01</t>
        </is>
      </c>
      <c r="U374" t="inlineStr">
        <is>
          <t>Таблица 4.1; код ТР2-6</t>
        </is>
      </c>
      <c r="V374" t="inlineStr">
        <is>
          <t>Все типы</t>
        </is>
      </c>
      <c r="DB374">
        <f>IF('История отказов'!AH377="","",'История отказов'!AH377)</f>
        <v/>
      </c>
      <c r="DC374">
        <f>IF('История отказов'!AE377="","",IF(AND(COUNTIF($CT$2:$CT$2,'История отказов'!AE377)=0,COUNTIFS('История отказов'!$F$5:F377,"ШГН",'История отказов'!$AE$5:AE377,'История отказов'!AE377)=1,'История отказов'!F377="ШГН"),373,""))</f>
        <v/>
      </c>
      <c r="DD374">
        <f>IF('История отказов'!AE377="","",IF(AND(COUNTIF($CU$2:$CU$3,'История отказов'!AE377)=0,COUNTIFS('История отказов'!$F$5:F377,"ЭЦН",'История отказов'!$AE$5:AE377,'История отказов'!AE377)=1,'История отказов'!F377="ЭЦН"),373,""))</f>
        <v/>
      </c>
      <c r="DE374">
        <f>IF('История отказов'!AE377="","",IF(AND(COUNTIF($CV$2:$CV$3,'История отказов'!AE377)=0,COUNTIFS('История отказов'!$F$5:F377,"ЭВН",'История отказов'!$AE$5:AE377,'История отказов'!AE377)=1,'История отказов'!F377="ЭВН"),373,""))</f>
        <v/>
      </c>
      <c r="DF374">
        <f>IF('История отказов'!AE377="","",IF(AND(COUNTIF($CX$2:$CX$2,'История отказов'!AE377)=0,COUNTIFS('История отказов'!$F$5:F377,"ШВН",'История отказов'!$AE$5:AE377,'История отказов'!AE377)=1,'История отказов'!F377="ШВН"),373,""))</f>
        <v/>
      </c>
      <c r="DG374">
        <f>IF('История отказов'!AE377="","",IF(AND(COUNTIF($CW$2:$CW$2,'История отказов'!AE377)=0,COUNTIFS('История отказов'!$F$5:F377,"НПУ-ВД",'История отказов'!$AE$5:AE377,'История отказов'!AE377)=1,'История отказов'!F377="НПУ-ВД"),373,""))</f>
        <v/>
      </c>
      <c r="DH374">
        <f>IF('История отказов'!AE377="","",IF(AND(COUNTIF($CY$2:$CY$6,'История отказов'!AE377)=0,COUNTIF('История отказов'!$AE$5:AE377,'История отказов'!AE377)=1),373,""))</f>
        <v/>
      </c>
      <c r="DI374">
        <f>IF('История отказов'!AK377="","",IF(AND(COUNTIF($CL$2:$CL$3,'История отказов'!AK377)=0,COUNTIF('История отказов'!$AK$5:AK377,'История отказов'!AK377)=1),373,""))</f>
        <v/>
      </c>
      <c r="DJ374">
        <f>IF('История отказов'!AU377="","",IF(AND(COUNTIF($CP$2:$CP$3,'История отказов'!AU377)=0,COUNTIF('История отказов'!$AU$5:AU377,'История отказов'!AU377)=1),373,""))</f>
        <v/>
      </c>
      <c r="DK374">
        <f>IF('История отказов'!AY377="","",IF(AND(COUNTIF($CR$2:$CR$2,'История отказов'!AY377)=0,COUNTIF('История отказов'!$AY$5:AY377,'История отказов'!AY377)=1),373,""))</f>
        <v/>
      </c>
      <c r="DL374">
        <f>IF(DB374="","",IF(AND(COUNTIF($DA$2:$DA$47,DB374)=0,COUNTIF($DB$2:DB374,DB374)=1),373,""))</f>
        <v/>
      </c>
    </row>
    <row r="375">
      <c r="A375" s="74" t="n"/>
      <c r="B375" s="75" t="n"/>
      <c r="C375" s="76" t="n"/>
      <c r="J375" s="62" t="n"/>
      <c r="K375" s="62" t="n"/>
      <c r="L375" s="62" t="n"/>
      <c r="M375" s="62" t="n"/>
      <c r="N375" s="62" t="n"/>
      <c r="Q375" t="inlineStr">
        <is>
          <t>ТКРС</t>
        </is>
      </c>
      <c r="R375" t="inlineStr">
        <is>
          <t>ТР2-7 — Газлифт – УЭЦН.</t>
        </is>
      </c>
      <c r="S375" t="inlineStr">
        <is>
          <t>Код и наименование из документа</t>
        </is>
      </c>
      <c r="T375" t="inlineStr">
        <is>
          <t>Классификатор ремонтных работ, РД 153-39.0-088-01</t>
        </is>
      </c>
      <c r="U375" t="inlineStr">
        <is>
          <t>Таблица 4.1; код ТР2-7</t>
        </is>
      </c>
      <c r="V375" t="inlineStr">
        <is>
          <t>Все типы</t>
        </is>
      </c>
      <c r="DB375">
        <f>IF('История отказов'!AH378="","",'История отказов'!AH378)</f>
        <v/>
      </c>
      <c r="DC375">
        <f>IF('История отказов'!AE378="","",IF(AND(COUNTIF($CT$2:$CT$2,'История отказов'!AE378)=0,COUNTIFS('История отказов'!$F$5:F378,"ШГН",'История отказов'!$AE$5:AE378,'История отказов'!AE378)=1,'История отказов'!F378="ШГН"),374,""))</f>
        <v/>
      </c>
      <c r="DD375">
        <f>IF('История отказов'!AE378="","",IF(AND(COUNTIF($CU$2:$CU$3,'История отказов'!AE378)=0,COUNTIFS('История отказов'!$F$5:F378,"ЭЦН",'История отказов'!$AE$5:AE378,'История отказов'!AE378)=1,'История отказов'!F378="ЭЦН"),374,""))</f>
        <v/>
      </c>
      <c r="DE375">
        <f>IF('История отказов'!AE378="","",IF(AND(COUNTIF($CV$2:$CV$3,'История отказов'!AE378)=0,COUNTIFS('История отказов'!$F$5:F378,"ЭВН",'История отказов'!$AE$5:AE378,'История отказов'!AE378)=1,'История отказов'!F378="ЭВН"),374,""))</f>
        <v/>
      </c>
      <c r="DF375">
        <f>IF('История отказов'!AE378="","",IF(AND(COUNTIF($CX$2:$CX$2,'История отказов'!AE378)=0,COUNTIFS('История отказов'!$F$5:F378,"ШВН",'История отказов'!$AE$5:AE378,'История отказов'!AE378)=1,'История отказов'!F378="ШВН"),374,""))</f>
        <v/>
      </c>
      <c r="DG375">
        <f>IF('История отказов'!AE378="","",IF(AND(COUNTIF($CW$2:$CW$2,'История отказов'!AE378)=0,COUNTIFS('История отказов'!$F$5:F378,"НПУ-ВД",'История отказов'!$AE$5:AE378,'История отказов'!AE378)=1,'История отказов'!F378="НПУ-ВД"),374,""))</f>
        <v/>
      </c>
      <c r="DH375">
        <f>IF('История отказов'!AE378="","",IF(AND(COUNTIF($CY$2:$CY$6,'История отказов'!AE378)=0,COUNTIF('История отказов'!$AE$5:AE378,'История отказов'!AE378)=1),374,""))</f>
        <v/>
      </c>
      <c r="DI375">
        <f>IF('История отказов'!AK378="","",IF(AND(COUNTIF($CL$2:$CL$3,'История отказов'!AK378)=0,COUNTIF('История отказов'!$AK$5:AK378,'История отказов'!AK378)=1),374,""))</f>
        <v/>
      </c>
      <c r="DJ375">
        <f>IF('История отказов'!AU378="","",IF(AND(COUNTIF($CP$2:$CP$3,'История отказов'!AU378)=0,COUNTIF('История отказов'!$AU$5:AU378,'История отказов'!AU378)=1),374,""))</f>
        <v/>
      </c>
      <c r="DK375">
        <f>IF('История отказов'!AY378="","",IF(AND(COUNTIF($CR$2:$CR$2,'История отказов'!AY378)=0,COUNTIF('История отказов'!$AY$5:AY378,'История отказов'!AY378)=1),374,""))</f>
        <v/>
      </c>
      <c r="DL375">
        <f>IF(DB375="","",IF(AND(COUNTIF($DA$2:$DA$47,DB375)=0,COUNTIF($DB$2:DB375,DB375)=1),374,""))</f>
        <v/>
      </c>
    </row>
    <row r="376">
      <c r="A376" s="74" t="n"/>
      <c r="B376" s="75" t="n"/>
      <c r="C376" s="76" t="n"/>
      <c r="J376" s="62" t="n"/>
      <c r="K376" s="62" t="n"/>
      <c r="L376" s="62" t="n"/>
      <c r="M376" s="62" t="n"/>
      <c r="N376" s="62" t="n"/>
      <c r="Q376" t="inlineStr">
        <is>
          <t>ТКРС</t>
        </is>
      </c>
      <c r="R376" t="inlineStr">
        <is>
          <t>ТР2-8 — Газлифт – УЭВН</t>
        </is>
      </c>
      <c r="S376" t="inlineStr">
        <is>
          <t>Код и наименование из документа</t>
        </is>
      </c>
      <c r="T376" t="inlineStr">
        <is>
          <t>Классификатор ремонтных работ, РД 153-39.0-088-01</t>
        </is>
      </c>
      <c r="U376" t="inlineStr">
        <is>
          <t>Таблица 4.1; код ТР2-8</t>
        </is>
      </c>
      <c r="V376" t="inlineStr">
        <is>
          <t>Все типы</t>
        </is>
      </c>
      <c r="DB376">
        <f>IF('История отказов'!AH379="","",'История отказов'!AH379)</f>
        <v/>
      </c>
      <c r="DC376">
        <f>IF('История отказов'!AE379="","",IF(AND(COUNTIF($CT$2:$CT$2,'История отказов'!AE379)=0,COUNTIFS('История отказов'!$F$5:F379,"ШГН",'История отказов'!$AE$5:AE379,'История отказов'!AE379)=1,'История отказов'!F379="ШГН"),375,""))</f>
        <v/>
      </c>
      <c r="DD376">
        <f>IF('История отказов'!AE379="","",IF(AND(COUNTIF($CU$2:$CU$3,'История отказов'!AE379)=0,COUNTIFS('История отказов'!$F$5:F379,"ЭЦН",'История отказов'!$AE$5:AE379,'История отказов'!AE379)=1,'История отказов'!F379="ЭЦН"),375,""))</f>
        <v/>
      </c>
      <c r="DE376">
        <f>IF('История отказов'!AE379="","",IF(AND(COUNTIF($CV$2:$CV$3,'История отказов'!AE379)=0,COUNTIFS('История отказов'!$F$5:F379,"ЭВН",'История отказов'!$AE$5:AE379,'История отказов'!AE379)=1,'История отказов'!F379="ЭВН"),375,""))</f>
        <v/>
      </c>
      <c r="DF376">
        <f>IF('История отказов'!AE379="","",IF(AND(COUNTIF($CX$2:$CX$2,'История отказов'!AE379)=0,COUNTIFS('История отказов'!$F$5:F379,"ШВН",'История отказов'!$AE$5:AE379,'История отказов'!AE379)=1,'История отказов'!F379="ШВН"),375,""))</f>
        <v/>
      </c>
      <c r="DG376">
        <f>IF('История отказов'!AE379="","",IF(AND(COUNTIF($CW$2:$CW$2,'История отказов'!AE379)=0,COUNTIFS('История отказов'!$F$5:F379,"НПУ-ВД",'История отказов'!$AE$5:AE379,'История отказов'!AE379)=1,'История отказов'!F379="НПУ-ВД"),375,""))</f>
        <v/>
      </c>
      <c r="DH376">
        <f>IF('История отказов'!AE379="","",IF(AND(COUNTIF($CY$2:$CY$6,'История отказов'!AE379)=0,COUNTIF('История отказов'!$AE$5:AE379,'История отказов'!AE379)=1),375,""))</f>
        <v/>
      </c>
      <c r="DI376">
        <f>IF('История отказов'!AK379="","",IF(AND(COUNTIF($CL$2:$CL$3,'История отказов'!AK379)=0,COUNTIF('История отказов'!$AK$5:AK379,'История отказов'!AK379)=1),375,""))</f>
        <v/>
      </c>
      <c r="DJ376">
        <f>IF('История отказов'!AU379="","",IF(AND(COUNTIF($CP$2:$CP$3,'История отказов'!AU379)=0,COUNTIF('История отказов'!$AU$5:AU379,'История отказов'!AU379)=1),375,""))</f>
        <v/>
      </c>
      <c r="DK376">
        <f>IF('История отказов'!AY379="","",IF(AND(COUNTIF($CR$2:$CR$2,'История отказов'!AY379)=0,COUNTIF('История отказов'!$AY$5:AY379,'История отказов'!AY379)=1),375,""))</f>
        <v/>
      </c>
      <c r="DL376">
        <f>IF(DB376="","",IF(AND(COUNTIF($DA$2:$DA$47,DB376)=0,COUNTIF($DB$2:DB376,DB376)=1),375,""))</f>
        <v/>
      </c>
    </row>
    <row r="377">
      <c r="A377" s="74" t="n"/>
      <c r="B377" s="75" t="n"/>
      <c r="C377" s="76" t="n"/>
      <c r="J377" s="62" t="n"/>
      <c r="K377" s="62" t="n"/>
      <c r="L377" s="62" t="n"/>
      <c r="M377" s="62" t="n"/>
      <c r="N377" s="62" t="n"/>
      <c r="Q377" t="inlineStr">
        <is>
          <t>ТКРС</t>
        </is>
      </c>
      <c r="R377" t="inlineStr">
        <is>
          <t>ТР2-9 — Газлифт – УШВН.</t>
        </is>
      </c>
      <c r="S377" t="inlineStr">
        <is>
          <t>Код и наименование из документа</t>
        </is>
      </c>
      <c r="T377" t="inlineStr">
        <is>
          <t>Классификатор ремонтных работ, РД 153-39.0-088-01</t>
        </is>
      </c>
      <c r="U377" t="inlineStr">
        <is>
          <t>Таблица 4.1; код ТР2-9</t>
        </is>
      </c>
      <c r="V377" t="inlineStr">
        <is>
          <t>Все типы</t>
        </is>
      </c>
      <c r="DB377">
        <f>IF('История отказов'!AH380="","",'История отказов'!AH380)</f>
        <v/>
      </c>
      <c r="DC377">
        <f>IF('История отказов'!AE380="","",IF(AND(COUNTIF($CT$2:$CT$2,'История отказов'!AE380)=0,COUNTIFS('История отказов'!$F$5:F380,"ШГН",'История отказов'!$AE$5:AE380,'История отказов'!AE380)=1,'История отказов'!F380="ШГН"),376,""))</f>
        <v/>
      </c>
      <c r="DD377">
        <f>IF('История отказов'!AE380="","",IF(AND(COUNTIF($CU$2:$CU$3,'История отказов'!AE380)=0,COUNTIFS('История отказов'!$F$5:F380,"ЭЦН",'История отказов'!$AE$5:AE380,'История отказов'!AE380)=1,'История отказов'!F380="ЭЦН"),376,""))</f>
        <v/>
      </c>
      <c r="DE377">
        <f>IF('История отказов'!AE380="","",IF(AND(COUNTIF($CV$2:$CV$3,'История отказов'!AE380)=0,COUNTIFS('История отказов'!$F$5:F380,"ЭВН",'История отказов'!$AE$5:AE380,'История отказов'!AE380)=1,'История отказов'!F380="ЭВН"),376,""))</f>
        <v/>
      </c>
      <c r="DF377">
        <f>IF('История отказов'!AE380="","",IF(AND(COUNTIF($CX$2:$CX$2,'История отказов'!AE380)=0,COUNTIFS('История отказов'!$F$5:F380,"ШВН",'История отказов'!$AE$5:AE380,'История отказов'!AE380)=1,'История отказов'!F380="ШВН"),376,""))</f>
        <v/>
      </c>
      <c r="DG377">
        <f>IF('История отказов'!AE380="","",IF(AND(COUNTIF($CW$2:$CW$2,'История отказов'!AE380)=0,COUNTIFS('История отказов'!$F$5:F380,"НПУ-ВД",'История отказов'!$AE$5:AE380,'История отказов'!AE380)=1,'История отказов'!F380="НПУ-ВД"),376,""))</f>
        <v/>
      </c>
      <c r="DH377">
        <f>IF('История отказов'!AE380="","",IF(AND(COUNTIF($CY$2:$CY$6,'История отказов'!AE380)=0,COUNTIF('История отказов'!$AE$5:AE380,'История отказов'!AE380)=1),376,""))</f>
        <v/>
      </c>
      <c r="DI377">
        <f>IF('История отказов'!AK380="","",IF(AND(COUNTIF($CL$2:$CL$3,'История отказов'!AK380)=0,COUNTIF('История отказов'!$AK$5:AK380,'История отказов'!AK380)=1),376,""))</f>
        <v/>
      </c>
      <c r="DJ377">
        <f>IF('История отказов'!AU380="","",IF(AND(COUNTIF($CP$2:$CP$3,'История отказов'!AU380)=0,COUNTIF('История отказов'!$AU$5:AU380,'История отказов'!AU380)=1),376,""))</f>
        <v/>
      </c>
      <c r="DK377">
        <f>IF('История отказов'!AY380="","",IF(AND(COUNTIF($CR$2:$CR$2,'История отказов'!AY380)=0,COUNTIF('История отказов'!$AY$5:AY380,'История отказов'!AY380)=1),376,""))</f>
        <v/>
      </c>
      <c r="DL377">
        <f>IF(DB377="","",IF(AND(COUNTIF($DA$2:$DA$47,DB377)=0,COUNTIF($DB$2:DB377,DB377)=1),376,""))</f>
        <v/>
      </c>
    </row>
    <row r="378">
      <c r="A378" s="74" t="n"/>
      <c r="B378" s="75" t="n"/>
      <c r="C378" s="76" t="n"/>
      <c r="J378" s="62" t="n"/>
      <c r="K378" s="62" t="n"/>
      <c r="L378" s="62" t="n"/>
      <c r="M378" s="62" t="n"/>
      <c r="N378" s="62" t="n"/>
      <c r="Q378" t="inlineStr">
        <is>
          <t>ТКРС</t>
        </is>
      </c>
      <c r="R378" t="inlineStr">
        <is>
          <t>ТР2-10 — ШГН – УЭЦН.</t>
        </is>
      </c>
      <c r="S378" t="inlineStr">
        <is>
          <t>Код и наименование из документа</t>
        </is>
      </c>
      <c r="T378" t="inlineStr">
        <is>
          <t>Классификатор ремонтных работ, РД 153-39.0-088-01</t>
        </is>
      </c>
      <c r="U378" t="inlineStr">
        <is>
          <t>Таблица 4.1; код ТР2-10</t>
        </is>
      </c>
      <c r="V378" t="inlineStr">
        <is>
          <t>Все типы</t>
        </is>
      </c>
      <c r="DB378">
        <f>IF('История отказов'!AH381="","",'История отказов'!AH381)</f>
        <v/>
      </c>
      <c r="DC378">
        <f>IF('История отказов'!AE381="","",IF(AND(COUNTIF($CT$2:$CT$2,'История отказов'!AE381)=0,COUNTIFS('История отказов'!$F$5:F381,"ШГН",'История отказов'!$AE$5:AE381,'История отказов'!AE381)=1,'История отказов'!F381="ШГН"),377,""))</f>
        <v/>
      </c>
      <c r="DD378">
        <f>IF('История отказов'!AE381="","",IF(AND(COUNTIF($CU$2:$CU$3,'История отказов'!AE381)=0,COUNTIFS('История отказов'!$F$5:F381,"ЭЦН",'История отказов'!$AE$5:AE381,'История отказов'!AE381)=1,'История отказов'!F381="ЭЦН"),377,""))</f>
        <v/>
      </c>
      <c r="DE378">
        <f>IF('История отказов'!AE381="","",IF(AND(COUNTIF($CV$2:$CV$3,'История отказов'!AE381)=0,COUNTIFS('История отказов'!$F$5:F381,"ЭВН",'История отказов'!$AE$5:AE381,'История отказов'!AE381)=1,'История отказов'!F381="ЭВН"),377,""))</f>
        <v/>
      </c>
      <c r="DF378">
        <f>IF('История отказов'!AE381="","",IF(AND(COUNTIF($CX$2:$CX$2,'История отказов'!AE381)=0,COUNTIFS('История отказов'!$F$5:F381,"ШВН",'История отказов'!$AE$5:AE381,'История отказов'!AE381)=1,'История отказов'!F381="ШВН"),377,""))</f>
        <v/>
      </c>
      <c r="DG378">
        <f>IF('История отказов'!AE381="","",IF(AND(COUNTIF($CW$2:$CW$2,'История отказов'!AE381)=0,COUNTIFS('История отказов'!$F$5:F381,"НПУ-ВД",'История отказов'!$AE$5:AE381,'История отказов'!AE381)=1,'История отказов'!F381="НПУ-ВД"),377,""))</f>
        <v/>
      </c>
      <c r="DH378">
        <f>IF('История отказов'!AE381="","",IF(AND(COUNTIF($CY$2:$CY$6,'История отказов'!AE381)=0,COUNTIF('История отказов'!$AE$5:AE381,'История отказов'!AE381)=1),377,""))</f>
        <v/>
      </c>
      <c r="DI378">
        <f>IF('История отказов'!AK381="","",IF(AND(COUNTIF($CL$2:$CL$3,'История отказов'!AK381)=0,COUNTIF('История отказов'!$AK$5:AK381,'История отказов'!AK381)=1),377,""))</f>
        <v/>
      </c>
      <c r="DJ378">
        <f>IF('История отказов'!AU381="","",IF(AND(COUNTIF($CP$2:$CP$3,'История отказов'!AU381)=0,COUNTIF('История отказов'!$AU$5:AU381,'История отказов'!AU381)=1),377,""))</f>
        <v/>
      </c>
      <c r="DK378">
        <f>IF('История отказов'!AY381="","",IF(AND(COUNTIF($CR$2:$CR$2,'История отказов'!AY381)=0,COUNTIF('История отказов'!$AY$5:AY381,'История отказов'!AY381)=1),377,""))</f>
        <v/>
      </c>
      <c r="DL378">
        <f>IF(DB378="","",IF(AND(COUNTIF($DA$2:$DA$47,DB378)=0,COUNTIF($DB$2:DB378,DB378)=1),377,""))</f>
        <v/>
      </c>
    </row>
    <row r="379">
      <c r="A379" s="74" t="n"/>
      <c r="B379" s="75" t="n"/>
      <c r="C379" s="76" t="n"/>
      <c r="J379" s="62" t="n"/>
      <c r="K379" s="62" t="n"/>
      <c r="L379" s="62" t="n"/>
      <c r="M379" s="62" t="n"/>
      <c r="N379" s="62" t="n"/>
      <c r="Q379" t="inlineStr">
        <is>
          <t>ТКРС</t>
        </is>
      </c>
      <c r="R379" t="inlineStr">
        <is>
          <t>ТР2-11 — ШГН – УЭВН.</t>
        </is>
      </c>
      <c r="S379" t="inlineStr">
        <is>
          <t>Код и наименование из документа</t>
        </is>
      </c>
      <c r="T379" t="inlineStr">
        <is>
          <t>Классификатор ремонтных работ, РД 153-39.0-088-01</t>
        </is>
      </c>
      <c r="U379" t="inlineStr">
        <is>
          <t>Таблица 4.1; код ТР2-11</t>
        </is>
      </c>
      <c r="V379" t="inlineStr">
        <is>
          <t>Все типы</t>
        </is>
      </c>
      <c r="DB379">
        <f>IF('История отказов'!AH382="","",'История отказов'!AH382)</f>
        <v/>
      </c>
      <c r="DC379">
        <f>IF('История отказов'!AE382="","",IF(AND(COUNTIF($CT$2:$CT$2,'История отказов'!AE382)=0,COUNTIFS('История отказов'!$F$5:F382,"ШГН",'История отказов'!$AE$5:AE382,'История отказов'!AE382)=1,'История отказов'!F382="ШГН"),378,""))</f>
        <v/>
      </c>
      <c r="DD379">
        <f>IF('История отказов'!AE382="","",IF(AND(COUNTIF($CU$2:$CU$3,'История отказов'!AE382)=0,COUNTIFS('История отказов'!$F$5:F382,"ЭЦН",'История отказов'!$AE$5:AE382,'История отказов'!AE382)=1,'История отказов'!F382="ЭЦН"),378,""))</f>
        <v/>
      </c>
      <c r="DE379">
        <f>IF('История отказов'!AE382="","",IF(AND(COUNTIF($CV$2:$CV$3,'История отказов'!AE382)=0,COUNTIFS('История отказов'!$F$5:F382,"ЭВН",'История отказов'!$AE$5:AE382,'История отказов'!AE382)=1,'История отказов'!F382="ЭВН"),378,""))</f>
        <v/>
      </c>
      <c r="DF379">
        <f>IF('История отказов'!AE382="","",IF(AND(COUNTIF($CX$2:$CX$2,'История отказов'!AE382)=0,COUNTIFS('История отказов'!$F$5:F382,"ШВН",'История отказов'!$AE$5:AE382,'История отказов'!AE382)=1,'История отказов'!F382="ШВН"),378,""))</f>
        <v/>
      </c>
      <c r="DG379">
        <f>IF('История отказов'!AE382="","",IF(AND(COUNTIF($CW$2:$CW$2,'История отказов'!AE382)=0,COUNTIFS('История отказов'!$F$5:F382,"НПУ-ВД",'История отказов'!$AE$5:AE382,'История отказов'!AE382)=1,'История отказов'!F382="НПУ-ВД"),378,""))</f>
        <v/>
      </c>
      <c r="DH379">
        <f>IF('История отказов'!AE382="","",IF(AND(COUNTIF($CY$2:$CY$6,'История отказов'!AE382)=0,COUNTIF('История отказов'!$AE$5:AE382,'История отказов'!AE382)=1),378,""))</f>
        <v/>
      </c>
      <c r="DI379">
        <f>IF('История отказов'!AK382="","",IF(AND(COUNTIF($CL$2:$CL$3,'История отказов'!AK382)=0,COUNTIF('История отказов'!$AK$5:AK382,'История отказов'!AK382)=1),378,""))</f>
        <v/>
      </c>
      <c r="DJ379">
        <f>IF('История отказов'!AU382="","",IF(AND(COUNTIF($CP$2:$CP$3,'История отказов'!AU382)=0,COUNTIF('История отказов'!$AU$5:AU382,'История отказов'!AU382)=1),378,""))</f>
        <v/>
      </c>
      <c r="DK379">
        <f>IF('История отказов'!AY382="","",IF(AND(COUNTIF($CR$2:$CR$2,'История отказов'!AY382)=0,COUNTIF('История отказов'!$AY$5:AY382,'История отказов'!AY382)=1),378,""))</f>
        <v/>
      </c>
      <c r="DL379">
        <f>IF(DB379="","",IF(AND(COUNTIF($DA$2:$DA$47,DB379)=0,COUNTIF($DB$2:DB379,DB379)=1),378,""))</f>
        <v/>
      </c>
    </row>
    <row r="380">
      <c r="A380" s="74" t="n"/>
      <c r="B380" s="75" t="n"/>
      <c r="C380" s="76" t="n"/>
      <c r="J380" s="62" t="n"/>
      <c r="K380" s="62" t="n"/>
      <c r="L380" s="62" t="n"/>
      <c r="M380" s="62" t="n"/>
      <c r="N380" s="62" t="n"/>
      <c r="Q380" t="inlineStr">
        <is>
          <t>ТКРС</t>
        </is>
      </c>
      <c r="R380" t="inlineStr">
        <is>
          <t>ТР2-12 — ШГН – УШВН.</t>
        </is>
      </c>
      <c r="S380" t="inlineStr">
        <is>
          <t>Код и наименование из документа</t>
        </is>
      </c>
      <c r="T380" t="inlineStr">
        <is>
          <t>Классификатор ремонтных работ, РД 153-39.0-088-01</t>
        </is>
      </c>
      <c r="U380" t="inlineStr">
        <is>
          <t>Таблица 4.1; код ТР2-12</t>
        </is>
      </c>
      <c r="V380" t="inlineStr">
        <is>
          <t>Все типы</t>
        </is>
      </c>
      <c r="DB380">
        <f>IF('История отказов'!AH383="","",'История отказов'!AH383)</f>
        <v/>
      </c>
      <c r="DC380">
        <f>IF('История отказов'!AE383="","",IF(AND(COUNTIF($CT$2:$CT$2,'История отказов'!AE383)=0,COUNTIFS('История отказов'!$F$5:F383,"ШГН",'История отказов'!$AE$5:AE383,'История отказов'!AE383)=1,'История отказов'!F383="ШГН"),379,""))</f>
        <v/>
      </c>
      <c r="DD380">
        <f>IF('История отказов'!AE383="","",IF(AND(COUNTIF($CU$2:$CU$3,'История отказов'!AE383)=0,COUNTIFS('История отказов'!$F$5:F383,"ЭЦН",'История отказов'!$AE$5:AE383,'История отказов'!AE383)=1,'История отказов'!F383="ЭЦН"),379,""))</f>
        <v/>
      </c>
      <c r="DE380">
        <f>IF('История отказов'!AE383="","",IF(AND(COUNTIF($CV$2:$CV$3,'История отказов'!AE383)=0,COUNTIFS('История отказов'!$F$5:F383,"ЭВН",'История отказов'!$AE$5:AE383,'История отказов'!AE383)=1,'История отказов'!F383="ЭВН"),379,""))</f>
        <v/>
      </c>
      <c r="DF380">
        <f>IF('История отказов'!AE383="","",IF(AND(COUNTIF($CX$2:$CX$2,'История отказов'!AE383)=0,COUNTIFS('История отказов'!$F$5:F383,"ШВН",'История отказов'!$AE$5:AE383,'История отказов'!AE383)=1,'История отказов'!F383="ШВН"),379,""))</f>
        <v/>
      </c>
      <c r="DG380">
        <f>IF('История отказов'!AE383="","",IF(AND(COUNTIF($CW$2:$CW$2,'История отказов'!AE383)=0,COUNTIFS('История отказов'!$F$5:F383,"НПУ-ВД",'История отказов'!$AE$5:AE383,'История отказов'!AE383)=1,'История отказов'!F383="НПУ-ВД"),379,""))</f>
        <v/>
      </c>
      <c r="DH380">
        <f>IF('История отказов'!AE383="","",IF(AND(COUNTIF($CY$2:$CY$6,'История отказов'!AE383)=0,COUNTIF('История отказов'!$AE$5:AE383,'История отказов'!AE383)=1),379,""))</f>
        <v/>
      </c>
      <c r="DI380">
        <f>IF('История отказов'!AK383="","",IF(AND(COUNTIF($CL$2:$CL$3,'История отказов'!AK383)=0,COUNTIF('История отказов'!$AK$5:AK383,'История отказов'!AK383)=1),379,""))</f>
        <v/>
      </c>
      <c r="DJ380">
        <f>IF('История отказов'!AU383="","",IF(AND(COUNTIF($CP$2:$CP$3,'История отказов'!AU383)=0,COUNTIF('История отказов'!$AU$5:AU383,'История отказов'!AU383)=1),379,""))</f>
        <v/>
      </c>
      <c r="DK380">
        <f>IF('История отказов'!AY383="","",IF(AND(COUNTIF($CR$2:$CR$2,'История отказов'!AY383)=0,COUNTIF('История отказов'!$AY$5:AY383,'История отказов'!AY383)=1),379,""))</f>
        <v/>
      </c>
      <c r="DL380">
        <f>IF(DB380="","",IF(AND(COUNTIF($DA$2:$DA$47,DB380)=0,COUNTIF($DB$2:DB380,DB380)=1),379,""))</f>
        <v/>
      </c>
    </row>
    <row r="381">
      <c r="A381" s="74" t="n"/>
      <c r="B381" s="75" t="n"/>
      <c r="C381" s="76" t="n"/>
      <c r="J381" s="62" t="n"/>
      <c r="K381" s="62" t="n"/>
      <c r="L381" s="62" t="n"/>
      <c r="M381" s="62" t="n"/>
      <c r="N381" s="62" t="n"/>
      <c r="Q381" t="inlineStr">
        <is>
          <t>ТКРС</t>
        </is>
      </c>
      <c r="R381" t="inlineStr">
        <is>
          <t>ТР2-13 — УЭЦН – ШГН.</t>
        </is>
      </c>
      <c r="S381" t="inlineStr">
        <is>
          <t>Код и наименование из документа</t>
        </is>
      </c>
      <c r="T381" t="inlineStr">
        <is>
          <t>Классификатор ремонтных работ, РД 153-39.0-088-01</t>
        </is>
      </c>
      <c r="U381" t="inlineStr">
        <is>
          <t>Таблица 4.1; код ТР2-13</t>
        </is>
      </c>
      <c r="V381" t="inlineStr">
        <is>
          <t>Все типы</t>
        </is>
      </c>
      <c r="DB381">
        <f>IF('История отказов'!AH384="","",'История отказов'!AH384)</f>
        <v/>
      </c>
      <c r="DC381">
        <f>IF('История отказов'!AE384="","",IF(AND(COUNTIF($CT$2:$CT$2,'История отказов'!AE384)=0,COUNTIFS('История отказов'!$F$5:F384,"ШГН",'История отказов'!$AE$5:AE384,'История отказов'!AE384)=1,'История отказов'!F384="ШГН"),380,""))</f>
        <v/>
      </c>
      <c r="DD381">
        <f>IF('История отказов'!AE384="","",IF(AND(COUNTIF($CU$2:$CU$3,'История отказов'!AE384)=0,COUNTIFS('История отказов'!$F$5:F384,"ЭЦН",'История отказов'!$AE$5:AE384,'История отказов'!AE384)=1,'История отказов'!F384="ЭЦН"),380,""))</f>
        <v/>
      </c>
      <c r="DE381">
        <f>IF('История отказов'!AE384="","",IF(AND(COUNTIF($CV$2:$CV$3,'История отказов'!AE384)=0,COUNTIFS('История отказов'!$F$5:F384,"ЭВН",'История отказов'!$AE$5:AE384,'История отказов'!AE384)=1,'История отказов'!F384="ЭВН"),380,""))</f>
        <v/>
      </c>
      <c r="DF381">
        <f>IF('История отказов'!AE384="","",IF(AND(COUNTIF($CX$2:$CX$2,'История отказов'!AE384)=0,COUNTIFS('История отказов'!$F$5:F384,"ШВН",'История отказов'!$AE$5:AE384,'История отказов'!AE384)=1,'История отказов'!F384="ШВН"),380,""))</f>
        <v/>
      </c>
      <c r="DG381">
        <f>IF('История отказов'!AE384="","",IF(AND(COUNTIF($CW$2:$CW$2,'История отказов'!AE384)=0,COUNTIFS('История отказов'!$F$5:F384,"НПУ-ВД",'История отказов'!$AE$5:AE384,'История отказов'!AE384)=1,'История отказов'!F384="НПУ-ВД"),380,""))</f>
        <v/>
      </c>
      <c r="DH381">
        <f>IF('История отказов'!AE384="","",IF(AND(COUNTIF($CY$2:$CY$6,'История отказов'!AE384)=0,COUNTIF('История отказов'!$AE$5:AE384,'История отказов'!AE384)=1),380,""))</f>
        <v/>
      </c>
      <c r="DI381">
        <f>IF('История отказов'!AK384="","",IF(AND(COUNTIF($CL$2:$CL$3,'История отказов'!AK384)=0,COUNTIF('История отказов'!$AK$5:AK384,'История отказов'!AK384)=1),380,""))</f>
        <v/>
      </c>
      <c r="DJ381">
        <f>IF('История отказов'!AU384="","",IF(AND(COUNTIF($CP$2:$CP$3,'История отказов'!AU384)=0,COUNTIF('История отказов'!$AU$5:AU384,'История отказов'!AU384)=1),380,""))</f>
        <v/>
      </c>
      <c r="DK381">
        <f>IF('История отказов'!AY384="","",IF(AND(COUNTIF($CR$2:$CR$2,'История отказов'!AY384)=0,COUNTIF('История отказов'!$AY$5:AY384,'История отказов'!AY384)=1),380,""))</f>
        <v/>
      </c>
      <c r="DL381">
        <f>IF(DB381="","",IF(AND(COUNTIF($DA$2:$DA$47,DB381)=0,COUNTIF($DB$2:DB381,DB381)=1),380,""))</f>
        <v/>
      </c>
    </row>
    <row r="382">
      <c r="A382" s="74" t="n"/>
      <c r="B382" s="75" t="n"/>
      <c r="C382" s="76" t="n"/>
      <c r="J382" s="62" t="n"/>
      <c r="K382" s="62" t="n"/>
      <c r="L382" s="62" t="n"/>
      <c r="M382" s="62" t="n"/>
      <c r="N382" s="62" t="n"/>
      <c r="Q382" t="inlineStr">
        <is>
          <t>ТКРС</t>
        </is>
      </c>
      <c r="R382" t="inlineStr">
        <is>
          <t>ТР2-14 — УЭЦН – УШВН.</t>
        </is>
      </c>
      <c r="S382" t="inlineStr">
        <is>
          <t>Код и наименование из документа</t>
        </is>
      </c>
      <c r="T382" t="inlineStr">
        <is>
          <t>Классификатор ремонтных работ, РД 153-39.0-088-01</t>
        </is>
      </c>
      <c r="U382" t="inlineStr">
        <is>
          <t>Таблица 4.1; код ТР2-14</t>
        </is>
      </c>
      <c r="V382" t="inlineStr">
        <is>
          <t>Все типы</t>
        </is>
      </c>
      <c r="DB382">
        <f>IF('История отказов'!AH385="","",'История отказов'!AH385)</f>
        <v/>
      </c>
      <c r="DC382">
        <f>IF('История отказов'!AE385="","",IF(AND(COUNTIF($CT$2:$CT$2,'История отказов'!AE385)=0,COUNTIFS('История отказов'!$F$5:F385,"ШГН",'История отказов'!$AE$5:AE385,'История отказов'!AE385)=1,'История отказов'!F385="ШГН"),381,""))</f>
        <v/>
      </c>
      <c r="DD382">
        <f>IF('История отказов'!AE385="","",IF(AND(COUNTIF($CU$2:$CU$3,'История отказов'!AE385)=0,COUNTIFS('История отказов'!$F$5:F385,"ЭЦН",'История отказов'!$AE$5:AE385,'История отказов'!AE385)=1,'История отказов'!F385="ЭЦН"),381,""))</f>
        <v/>
      </c>
      <c r="DE382">
        <f>IF('История отказов'!AE385="","",IF(AND(COUNTIF($CV$2:$CV$3,'История отказов'!AE385)=0,COUNTIFS('История отказов'!$F$5:F385,"ЭВН",'История отказов'!$AE$5:AE385,'История отказов'!AE385)=1,'История отказов'!F385="ЭВН"),381,""))</f>
        <v/>
      </c>
      <c r="DF382">
        <f>IF('История отказов'!AE385="","",IF(AND(COUNTIF($CX$2:$CX$2,'История отказов'!AE385)=0,COUNTIFS('История отказов'!$F$5:F385,"ШВН",'История отказов'!$AE$5:AE385,'История отказов'!AE385)=1,'История отказов'!F385="ШВН"),381,""))</f>
        <v/>
      </c>
      <c r="DG382">
        <f>IF('История отказов'!AE385="","",IF(AND(COUNTIF($CW$2:$CW$2,'История отказов'!AE385)=0,COUNTIFS('История отказов'!$F$5:F385,"НПУ-ВД",'История отказов'!$AE$5:AE385,'История отказов'!AE385)=1,'История отказов'!F385="НПУ-ВД"),381,""))</f>
        <v/>
      </c>
      <c r="DH382">
        <f>IF('История отказов'!AE385="","",IF(AND(COUNTIF($CY$2:$CY$6,'История отказов'!AE385)=0,COUNTIF('История отказов'!$AE$5:AE385,'История отказов'!AE385)=1),381,""))</f>
        <v/>
      </c>
      <c r="DI382">
        <f>IF('История отказов'!AK385="","",IF(AND(COUNTIF($CL$2:$CL$3,'История отказов'!AK385)=0,COUNTIF('История отказов'!$AK$5:AK385,'История отказов'!AK385)=1),381,""))</f>
        <v/>
      </c>
      <c r="DJ382">
        <f>IF('История отказов'!AU385="","",IF(AND(COUNTIF($CP$2:$CP$3,'История отказов'!AU385)=0,COUNTIF('История отказов'!$AU$5:AU385,'История отказов'!AU385)=1),381,""))</f>
        <v/>
      </c>
      <c r="DK382">
        <f>IF('История отказов'!AY385="","",IF(AND(COUNTIF($CR$2:$CR$2,'История отказов'!AY385)=0,COUNTIF('История отказов'!$AY$5:AY385,'История отказов'!AY385)=1),381,""))</f>
        <v/>
      </c>
      <c r="DL382">
        <f>IF(DB382="","",IF(AND(COUNTIF($DA$2:$DA$47,DB382)=0,COUNTIF($DB$2:DB382,DB382)=1),381,""))</f>
        <v/>
      </c>
    </row>
    <row r="383">
      <c r="A383" s="74" t="n"/>
      <c r="B383" s="75" t="n"/>
      <c r="C383" s="76" t="n"/>
      <c r="J383" s="62" t="n"/>
      <c r="K383" s="62" t="n"/>
      <c r="L383" s="62" t="n"/>
      <c r="M383" s="62" t="n"/>
      <c r="N383" s="62" t="n"/>
      <c r="Q383" t="inlineStr">
        <is>
          <t>ТКРС</t>
        </is>
      </c>
      <c r="R383" t="inlineStr">
        <is>
          <t>ТР2-15 — УЭЦН – УЭВН.</t>
        </is>
      </c>
      <c r="S383" t="inlineStr">
        <is>
          <t>Код и наименование из документа</t>
        </is>
      </c>
      <c r="T383" t="inlineStr">
        <is>
          <t>Классификатор ремонтных работ, РД 153-39.0-088-01</t>
        </is>
      </c>
      <c r="U383" t="inlineStr">
        <is>
          <t>Таблица 4.1; код ТР2-15</t>
        </is>
      </c>
      <c r="V383" t="inlineStr">
        <is>
          <t>Все типы</t>
        </is>
      </c>
      <c r="DB383">
        <f>IF('История отказов'!AH386="","",'История отказов'!AH386)</f>
        <v/>
      </c>
      <c r="DC383">
        <f>IF('История отказов'!AE386="","",IF(AND(COUNTIF($CT$2:$CT$2,'История отказов'!AE386)=0,COUNTIFS('История отказов'!$F$5:F386,"ШГН",'История отказов'!$AE$5:AE386,'История отказов'!AE386)=1,'История отказов'!F386="ШГН"),382,""))</f>
        <v/>
      </c>
      <c r="DD383">
        <f>IF('История отказов'!AE386="","",IF(AND(COUNTIF($CU$2:$CU$3,'История отказов'!AE386)=0,COUNTIFS('История отказов'!$F$5:F386,"ЭЦН",'История отказов'!$AE$5:AE386,'История отказов'!AE386)=1,'История отказов'!F386="ЭЦН"),382,""))</f>
        <v/>
      </c>
      <c r="DE383">
        <f>IF('История отказов'!AE386="","",IF(AND(COUNTIF($CV$2:$CV$3,'История отказов'!AE386)=0,COUNTIFS('История отказов'!$F$5:F386,"ЭВН",'История отказов'!$AE$5:AE386,'История отказов'!AE386)=1,'История отказов'!F386="ЭВН"),382,""))</f>
        <v/>
      </c>
      <c r="DF383">
        <f>IF('История отказов'!AE386="","",IF(AND(COUNTIF($CX$2:$CX$2,'История отказов'!AE386)=0,COUNTIFS('История отказов'!$F$5:F386,"ШВН",'История отказов'!$AE$5:AE386,'История отказов'!AE386)=1,'История отказов'!F386="ШВН"),382,""))</f>
        <v/>
      </c>
      <c r="DG383">
        <f>IF('История отказов'!AE386="","",IF(AND(COUNTIF($CW$2:$CW$2,'История отказов'!AE386)=0,COUNTIFS('История отказов'!$F$5:F386,"НПУ-ВД",'История отказов'!$AE$5:AE386,'История отказов'!AE386)=1,'История отказов'!F386="НПУ-ВД"),382,""))</f>
        <v/>
      </c>
      <c r="DH383">
        <f>IF('История отказов'!AE386="","",IF(AND(COUNTIF($CY$2:$CY$6,'История отказов'!AE386)=0,COUNTIF('История отказов'!$AE$5:AE386,'История отказов'!AE386)=1),382,""))</f>
        <v/>
      </c>
      <c r="DI383">
        <f>IF('История отказов'!AK386="","",IF(AND(COUNTIF($CL$2:$CL$3,'История отказов'!AK386)=0,COUNTIF('История отказов'!$AK$5:AK386,'История отказов'!AK386)=1),382,""))</f>
        <v/>
      </c>
      <c r="DJ383">
        <f>IF('История отказов'!AU386="","",IF(AND(COUNTIF($CP$2:$CP$3,'История отказов'!AU386)=0,COUNTIF('История отказов'!$AU$5:AU386,'История отказов'!AU386)=1),382,""))</f>
        <v/>
      </c>
      <c r="DK383">
        <f>IF('История отказов'!AY386="","",IF(AND(COUNTIF($CR$2:$CR$2,'История отказов'!AY386)=0,COUNTIF('История отказов'!$AY$5:AY386,'История отказов'!AY386)=1),382,""))</f>
        <v/>
      </c>
      <c r="DL383">
        <f>IF(DB383="","",IF(AND(COUNTIF($DA$2:$DA$47,DB383)=0,COUNTIF($DB$2:DB383,DB383)=1),382,""))</f>
        <v/>
      </c>
    </row>
    <row r="384">
      <c r="A384" s="74" t="n"/>
      <c r="B384" s="75" t="n"/>
      <c r="C384" s="76" t="n"/>
      <c r="J384" s="62" t="n"/>
      <c r="K384" s="62" t="n"/>
      <c r="L384" s="62" t="n"/>
      <c r="M384" s="62" t="n"/>
      <c r="N384" s="62" t="n"/>
      <c r="Q384" t="inlineStr">
        <is>
          <t>ТКРС</t>
        </is>
      </c>
      <c r="R384" t="inlineStr">
        <is>
          <t>ТР2-16 — УШВН –УЭЦН.</t>
        </is>
      </c>
      <c r="S384" t="inlineStr">
        <is>
          <t>Код и наименование из документа</t>
        </is>
      </c>
      <c r="T384" t="inlineStr">
        <is>
          <t>Классификатор ремонтных работ, РД 153-39.0-088-01</t>
        </is>
      </c>
      <c r="U384" t="inlineStr">
        <is>
          <t>Таблица 4.1; код ТР2-16</t>
        </is>
      </c>
      <c r="V384" t="inlineStr">
        <is>
          <t>Все типы</t>
        </is>
      </c>
      <c r="DB384">
        <f>IF('История отказов'!AH387="","",'История отказов'!AH387)</f>
        <v/>
      </c>
      <c r="DC384">
        <f>IF('История отказов'!AE387="","",IF(AND(COUNTIF($CT$2:$CT$2,'История отказов'!AE387)=0,COUNTIFS('История отказов'!$F$5:F387,"ШГН",'История отказов'!$AE$5:AE387,'История отказов'!AE387)=1,'История отказов'!F387="ШГН"),383,""))</f>
        <v/>
      </c>
      <c r="DD384">
        <f>IF('История отказов'!AE387="","",IF(AND(COUNTIF($CU$2:$CU$3,'История отказов'!AE387)=0,COUNTIFS('История отказов'!$F$5:F387,"ЭЦН",'История отказов'!$AE$5:AE387,'История отказов'!AE387)=1,'История отказов'!F387="ЭЦН"),383,""))</f>
        <v/>
      </c>
      <c r="DE384">
        <f>IF('История отказов'!AE387="","",IF(AND(COUNTIF($CV$2:$CV$3,'История отказов'!AE387)=0,COUNTIFS('История отказов'!$F$5:F387,"ЭВН",'История отказов'!$AE$5:AE387,'История отказов'!AE387)=1,'История отказов'!F387="ЭВН"),383,""))</f>
        <v/>
      </c>
      <c r="DF384">
        <f>IF('История отказов'!AE387="","",IF(AND(COUNTIF($CX$2:$CX$2,'История отказов'!AE387)=0,COUNTIFS('История отказов'!$F$5:F387,"ШВН",'История отказов'!$AE$5:AE387,'История отказов'!AE387)=1,'История отказов'!F387="ШВН"),383,""))</f>
        <v/>
      </c>
      <c r="DG384">
        <f>IF('История отказов'!AE387="","",IF(AND(COUNTIF($CW$2:$CW$2,'История отказов'!AE387)=0,COUNTIFS('История отказов'!$F$5:F387,"НПУ-ВД",'История отказов'!$AE$5:AE387,'История отказов'!AE387)=1,'История отказов'!F387="НПУ-ВД"),383,""))</f>
        <v/>
      </c>
      <c r="DH384">
        <f>IF('История отказов'!AE387="","",IF(AND(COUNTIF($CY$2:$CY$6,'История отказов'!AE387)=0,COUNTIF('История отказов'!$AE$5:AE387,'История отказов'!AE387)=1),383,""))</f>
        <v/>
      </c>
      <c r="DI384">
        <f>IF('История отказов'!AK387="","",IF(AND(COUNTIF($CL$2:$CL$3,'История отказов'!AK387)=0,COUNTIF('История отказов'!$AK$5:AK387,'История отказов'!AK387)=1),383,""))</f>
        <v/>
      </c>
      <c r="DJ384">
        <f>IF('История отказов'!AU387="","",IF(AND(COUNTIF($CP$2:$CP$3,'История отказов'!AU387)=0,COUNTIF('История отказов'!$AU$5:AU387,'История отказов'!AU387)=1),383,""))</f>
        <v/>
      </c>
      <c r="DK384">
        <f>IF('История отказов'!AY387="","",IF(AND(COUNTIF($CR$2:$CR$2,'История отказов'!AY387)=0,COUNTIF('История отказов'!$AY$5:AY387,'История отказов'!AY387)=1),383,""))</f>
        <v/>
      </c>
      <c r="DL384">
        <f>IF(DB384="","",IF(AND(COUNTIF($DA$2:$DA$47,DB384)=0,COUNTIF($DB$2:DB384,DB384)=1),383,""))</f>
        <v/>
      </c>
    </row>
    <row r="385">
      <c r="A385" s="74" t="n"/>
      <c r="B385" s="75" t="n"/>
      <c r="C385" s="76" t="n"/>
      <c r="J385" s="62" t="n"/>
      <c r="K385" s="62" t="n"/>
      <c r="L385" s="62" t="n"/>
      <c r="M385" s="62" t="n"/>
      <c r="N385" s="62" t="n"/>
      <c r="Q385" t="inlineStr">
        <is>
          <t>ТКРС</t>
        </is>
      </c>
      <c r="R385" t="inlineStr">
        <is>
          <t>ТР2-17 — УШВН – ШГН.</t>
        </is>
      </c>
      <c r="S385" t="inlineStr">
        <is>
          <t>Код и наименование из документа</t>
        </is>
      </c>
      <c r="T385" t="inlineStr">
        <is>
          <t>Классификатор ремонтных работ, РД 153-39.0-088-01</t>
        </is>
      </c>
      <c r="U385" t="inlineStr">
        <is>
          <t>Таблица 4.1; код ТР2-17</t>
        </is>
      </c>
      <c r="V385" t="inlineStr">
        <is>
          <t>Все типы</t>
        </is>
      </c>
      <c r="DB385">
        <f>IF('История отказов'!AH388="","",'История отказов'!AH388)</f>
        <v/>
      </c>
      <c r="DC385">
        <f>IF('История отказов'!AE388="","",IF(AND(COUNTIF($CT$2:$CT$2,'История отказов'!AE388)=0,COUNTIFS('История отказов'!$F$5:F388,"ШГН",'История отказов'!$AE$5:AE388,'История отказов'!AE388)=1,'История отказов'!F388="ШГН"),384,""))</f>
        <v/>
      </c>
      <c r="DD385">
        <f>IF('История отказов'!AE388="","",IF(AND(COUNTIF($CU$2:$CU$3,'История отказов'!AE388)=0,COUNTIFS('История отказов'!$F$5:F388,"ЭЦН",'История отказов'!$AE$5:AE388,'История отказов'!AE388)=1,'История отказов'!F388="ЭЦН"),384,""))</f>
        <v/>
      </c>
      <c r="DE385">
        <f>IF('История отказов'!AE388="","",IF(AND(COUNTIF($CV$2:$CV$3,'История отказов'!AE388)=0,COUNTIFS('История отказов'!$F$5:F388,"ЭВН",'История отказов'!$AE$5:AE388,'История отказов'!AE388)=1,'История отказов'!F388="ЭВН"),384,""))</f>
        <v/>
      </c>
      <c r="DF385">
        <f>IF('История отказов'!AE388="","",IF(AND(COUNTIF($CX$2:$CX$2,'История отказов'!AE388)=0,COUNTIFS('История отказов'!$F$5:F388,"ШВН",'История отказов'!$AE$5:AE388,'История отказов'!AE388)=1,'История отказов'!F388="ШВН"),384,""))</f>
        <v/>
      </c>
      <c r="DG385">
        <f>IF('История отказов'!AE388="","",IF(AND(COUNTIF($CW$2:$CW$2,'История отказов'!AE388)=0,COUNTIFS('История отказов'!$F$5:F388,"НПУ-ВД",'История отказов'!$AE$5:AE388,'История отказов'!AE388)=1,'История отказов'!F388="НПУ-ВД"),384,""))</f>
        <v/>
      </c>
      <c r="DH385">
        <f>IF('История отказов'!AE388="","",IF(AND(COUNTIF($CY$2:$CY$6,'История отказов'!AE388)=0,COUNTIF('История отказов'!$AE$5:AE388,'История отказов'!AE388)=1),384,""))</f>
        <v/>
      </c>
      <c r="DI385">
        <f>IF('История отказов'!AK388="","",IF(AND(COUNTIF($CL$2:$CL$3,'История отказов'!AK388)=0,COUNTIF('История отказов'!$AK$5:AK388,'История отказов'!AK388)=1),384,""))</f>
        <v/>
      </c>
      <c r="DJ385">
        <f>IF('История отказов'!AU388="","",IF(AND(COUNTIF($CP$2:$CP$3,'История отказов'!AU388)=0,COUNTIF('История отказов'!$AU$5:AU388,'История отказов'!AU388)=1),384,""))</f>
        <v/>
      </c>
      <c r="DK385">
        <f>IF('История отказов'!AY388="","",IF(AND(COUNTIF($CR$2:$CR$2,'История отказов'!AY388)=0,COUNTIF('История отказов'!$AY$5:AY388,'История отказов'!AY388)=1),384,""))</f>
        <v/>
      </c>
      <c r="DL385">
        <f>IF(DB385="","",IF(AND(COUNTIF($DA$2:$DA$47,DB385)=0,COUNTIF($DB$2:DB385,DB385)=1),384,""))</f>
        <v/>
      </c>
    </row>
    <row r="386">
      <c r="A386" s="74" t="n"/>
      <c r="B386" s="75" t="n"/>
      <c r="C386" s="76" t="n"/>
      <c r="J386" s="62" t="n"/>
      <c r="K386" s="62" t="n"/>
      <c r="L386" s="62" t="n"/>
      <c r="M386" s="62" t="n"/>
      <c r="N386" s="62" t="n"/>
      <c r="Q386" t="inlineStr">
        <is>
          <t>ТКРС</t>
        </is>
      </c>
      <c r="R386" t="inlineStr">
        <is>
          <t>ТР2-18.1 — ШГН – ОРЭ.</t>
        </is>
      </c>
      <c r="S386" t="inlineStr">
        <is>
          <t>Код и наименование из документа</t>
        </is>
      </c>
      <c r="T386" t="inlineStr">
        <is>
          <t>Классификатор ремонтных работ, РД 153-39.0-088-01</t>
        </is>
      </c>
      <c r="U386" t="inlineStr">
        <is>
          <t>Таблица 4.1; код ТР2-18.1</t>
        </is>
      </c>
      <c r="V386" t="inlineStr">
        <is>
          <t>Все типы</t>
        </is>
      </c>
      <c r="DB386">
        <f>IF('История отказов'!AH389="","",'История отказов'!AH389)</f>
        <v/>
      </c>
      <c r="DC386">
        <f>IF('История отказов'!AE389="","",IF(AND(COUNTIF($CT$2:$CT$2,'История отказов'!AE389)=0,COUNTIFS('История отказов'!$F$5:F389,"ШГН",'История отказов'!$AE$5:AE389,'История отказов'!AE389)=1,'История отказов'!F389="ШГН"),385,""))</f>
        <v/>
      </c>
      <c r="DD386">
        <f>IF('История отказов'!AE389="","",IF(AND(COUNTIF($CU$2:$CU$3,'История отказов'!AE389)=0,COUNTIFS('История отказов'!$F$5:F389,"ЭЦН",'История отказов'!$AE$5:AE389,'История отказов'!AE389)=1,'История отказов'!F389="ЭЦН"),385,""))</f>
        <v/>
      </c>
      <c r="DE386">
        <f>IF('История отказов'!AE389="","",IF(AND(COUNTIF($CV$2:$CV$3,'История отказов'!AE389)=0,COUNTIFS('История отказов'!$F$5:F389,"ЭВН",'История отказов'!$AE$5:AE389,'История отказов'!AE389)=1,'История отказов'!F389="ЭВН"),385,""))</f>
        <v/>
      </c>
      <c r="DF386">
        <f>IF('История отказов'!AE389="","",IF(AND(COUNTIF($CX$2:$CX$2,'История отказов'!AE389)=0,COUNTIFS('История отказов'!$F$5:F389,"ШВН",'История отказов'!$AE$5:AE389,'История отказов'!AE389)=1,'История отказов'!F389="ШВН"),385,""))</f>
        <v/>
      </c>
      <c r="DG386">
        <f>IF('История отказов'!AE389="","",IF(AND(COUNTIF($CW$2:$CW$2,'История отказов'!AE389)=0,COUNTIFS('История отказов'!$F$5:F389,"НПУ-ВД",'История отказов'!$AE$5:AE389,'История отказов'!AE389)=1,'История отказов'!F389="НПУ-ВД"),385,""))</f>
        <v/>
      </c>
      <c r="DH386">
        <f>IF('История отказов'!AE389="","",IF(AND(COUNTIF($CY$2:$CY$6,'История отказов'!AE389)=0,COUNTIF('История отказов'!$AE$5:AE389,'История отказов'!AE389)=1),385,""))</f>
        <v/>
      </c>
      <c r="DI386">
        <f>IF('История отказов'!AK389="","",IF(AND(COUNTIF($CL$2:$CL$3,'История отказов'!AK389)=0,COUNTIF('История отказов'!$AK$5:AK389,'История отказов'!AK389)=1),385,""))</f>
        <v/>
      </c>
      <c r="DJ386">
        <f>IF('История отказов'!AU389="","",IF(AND(COUNTIF($CP$2:$CP$3,'История отказов'!AU389)=0,COUNTIF('История отказов'!$AU$5:AU389,'История отказов'!AU389)=1),385,""))</f>
        <v/>
      </c>
      <c r="DK386">
        <f>IF('История отказов'!AY389="","",IF(AND(COUNTIF($CR$2:$CR$2,'История отказов'!AY389)=0,COUNTIF('История отказов'!$AY$5:AY389,'История отказов'!AY389)=1),385,""))</f>
        <v/>
      </c>
      <c r="DL386">
        <f>IF(DB386="","",IF(AND(COUNTIF($DA$2:$DA$47,DB386)=0,COUNTIF($DB$2:DB386,DB386)=1),385,""))</f>
        <v/>
      </c>
    </row>
    <row r="387">
      <c r="A387" s="74" t="n"/>
      <c r="B387" s="75" t="n"/>
      <c r="C387" s="76" t="n"/>
      <c r="J387" s="62" t="n"/>
      <c r="K387" s="62" t="n"/>
      <c r="L387" s="62" t="n"/>
      <c r="M387" s="62" t="n"/>
      <c r="N387" s="62" t="n"/>
      <c r="Q387" t="inlineStr">
        <is>
          <t>ТКРС</t>
        </is>
      </c>
      <c r="R387" t="inlineStr">
        <is>
          <t>ТР2-18.2 — УЭЦН – ОРЭ и т. д.</t>
        </is>
      </c>
      <c r="S387" t="inlineStr">
        <is>
          <t>Код и наименование из документа</t>
        </is>
      </c>
      <c r="T387" t="inlineStr">
        <is>
          <t>Классификатор ремонтных работ, РД 153-39.0-088-01</t>
        </is>
      </c>
      <c r="U387" t="inlineStr">
        <is>
          <t>Таблица 4.1; код ТР2-18.2</t>
        </is>
      </c>
      <c r="V387" t="inlineStr">
        <is>
          <t>Все типы</t>
        </is>
      </c>
      <c r="DB387">
        <f>IF('История отказов'!AH390="","",'История отказов'!AH390)</f>
        <v/>
      </c>
      <c r="DC387">
        <f>IF('История отказов'!AE390="","",IF(AND(COUNTIF($CT$2:$CT$2,'История отказов'!AE390)=0,COUNTIFS('История отказов'!$F$5:F390,"ШГН",'История отказов'!$AE$5:AE390,'История отказов'!AE390)=1,'История отказов'!F390="ШГН"),386,""))</f>
        <v/>
      </c>
      <c r="DD387">
        <f>IF('История отказов'!AE390="","",IF(AND(COUNTIF($CU$2:$CU$3,'История отказов'!AE390)=0,COUNTIFS('История отказов'!$F$5:F390,"ЭЦН",'История отказов'!$AE$5:AE390,'История отказов'!AE390)=1,'История отказов'!F390="ЭЦН"),386,""))</f>
        <v/>
      </c>
      <c r="DE387">
        <f>IF('История отказов'!AE390="","",IF(AND(COUNTIF($CV$2:$CV$3,'История отказов'!AE390)=0,COUNTIFS('История отказов'!$F$5:F390,"ЭВН",'История отказов'!$AE$5:AE390,'История отказов'!AE390)=1,'История отказов'!F390="ЭВН"),386,""))</f>
        <v/>
      </c>
      <c r="DF387">
        <f>IF('История отказов'!AE390="","",IF(AND(COUNTIF($CX$2:$CX$2,'История отказов'!AE390)=0,COUNTIFS('История отказов'!$F$5:F390,"ШВН",'История отказов'!$AE$5:AE390,'История отказов'!AE390)=1,'История отказов'!F390="ШВН"),386,""))</f>
        <v/>
      </c>
      <c r="DG387">
        <f>IF('История отказов'!AE390="","",IF(AND(COUNTIF($CW$2:$CW$2,'История отказов'!AE390)=0,COUNTIFS('История отказов'!$F$5:F390,"НПУ-ВД",'История отказов'!$AE$5:AE390,'История отказов'!AE390)=1,'История отказов'!F390="НПУ-ВД"),386,""))</f>
        <v/>
      </c>
      <c r="DH387">
        <f>IF('История отказов'!AE390="","",IF(AND(COUNTIF($CY$2:$CY$6,'История отказов'!AE390)=0,COUNTIF('История отказов'!$AE$5:AE390,'История отказов'!AE390)=1),386,""))</f>
        <v/>
      </c>
      <c r="DI387">
        <f>IF('История отказов'!AK390="","",IF(AND(COUNTIF($CL$2:$CL$3,'История отказов'!AK390)=0,COUNTIF('История отказов'!$AK$5:AK390,'История отказов'!AK390)=1),386,""))</f>
        <v/>
      </c>
      <c r="DJ387">
        <f>IF('История отказов'!AU390="","",IF(AND(COUNTIF($CP$2:$CP$3,'История отказов'!AU390)=0,COUNTIF('История отказов'!$AU$5:AU390,'История отказов'!AU390)=1),386,""))</f>
        <v/>
      </c>
      <c r="DK387">
        <f>IF('История отказов'!AY390="","",IF(AND(COUNTIF($CR$2:$CR$2,'История отказов'!AY390)=0,COUNTIF('История отказов'!$AY$5:AY390,'История отказов'!AY390)=1),386,""))</f>
        <v/>
      </c>
      <c r="DL387">
        <f>IF(DB387="","",IF(AND(COUNTIF($DA$2:$DA$47,DB387)=0,COUNTIF($DB$2:DB387,DB387)=1),386,""))</f>
        <v/>
      </c>
    </row>
    <row r="388">
      <c r="A388" s="74" t="n"/>
      <c r="B388" s="75" t="n"/>
      <c r="C388" s="76" t="n"/>
      <c r="J388" s="62" t="n"/>
      <c r="K388" s="62" t="n"/>
      <c r="L388" s="62" t="n"/>
      <c r="M388" s="62" t="n"/>
      <c r="N388" s="62" t="n"/>
      <c r="Q388" t="inlineStr">
        <is>
          <t>ТКРС</t>
        </is>
      </c>
      <c r="R388" t="inlineStr">
        <is>
          <t>ТР3-2 — То же УЭЦН.</t>
        </is>
      </c>
      <c r="S388" t="inlineStr">
        <is>
          <t>Код и наименование из документа</t>
        </is>
      </c>
      <c r="T388" t="inlineStr">
        <is>
          <t>Классификатор ремонтных работ, РД 153-39.0-088-01</t>
        </is>
      </c>
      <c r="U388" t="inlineStr">
        <is>
          <t>Таблица 4.1; код ТР3-2</t>
        </is>
      </c>
      <c r="V388" t="inlineStr">
        <is>
          <t>Все типы</t>
        </is>
      </c>
      <c r="DB388">
        <f>IF('История отказов'!AH391="","",'История отказов'!AH391)</f>
        <v/>
      </c>
      <c r="DC388">
        <f>IF('История отказов'!AE391="","",IF(AND(COUNTIF($CT$2:$CT$2,'История отказов'!AE391)=0,COUNTIFS('История отказов'!$F$5:F391,"ШГН",'История отказов'!$AE$5:AE391,'История отказов'!AE391)=1,'История отказов'!F391="ШГН"),387,""))</f>
        <v/>
      </c>
      <c r="DD388">
        <f>IF('История отказов'!AE391="","",IF(AND(COUNTIF($CU$2:$CU$3,'История отказов'!AE391)=0,COUNTIFS('История отказов'!$F$5:F391,"ЭЦН",'История отказов'!$AE$5:AE391,'История отказов'!AE391)=1,'История отказов'!F391="ЭЦН"),387,""))</f>
        <v/>
      </c>
      <c r="DE388">
        <f>IF('История отказов'!AE391="","",IF(AND(COUNTIF($CV$2:$CV$3,'История отказов'!AE391)=0,COUNTIFS('История отказов'!$F$5:F391,"ЭВН",'История отказов'!$AE$5:AE391,'История отказов'!AE391)=1,'История отказов'!F391="ЭВН"),387,""))</f>
        <v/>
      </c>
      <c r="DF388">
        <f>IF('История отказов'!AE391="","",IF(AND(COUNTIF($CX$2:$CX$2,'История отказов'!AE391)=0,COUNTIFS('История отказов'!$F$5:F391,"ШВН",'История отказов'!$AE$5:AE391,'История отказов'!AE391)=1,'История отказов'!F391="ШВН"),387,""))</f>
        <v/>
      </c>
      <c r="DG388">
        <f>IF('История отказов'!AE391="","",IF(AND(COUNTIF($CW$2:$CW$2,'История отказов'!AE391)=0,COUNTIFS('История отказов'!$F$5:F391,"НПУ-ВД",'История отказов'!$AE$5:AE391,'История отказов'!AE391)=1,'История отказов'!F391="НПУ-ВД"),387,""))</f>
        <v/>
      </c>
      <c r="DH388">
        <f>IF('История отказов'!AE391="","",IF(AND(COUNTIF($CY$2:$CY$6,'История отказов'!AE391)=0,COUNTIF('История отказов'!$AE$5:AE391,'История отказов'!AE391)=1),387,""))</f>
        <v/>
      </c>
      <c r="DI388">
        <f>IF('История отказов'!AK391="","",IF(AND(COUNTIF($CL$2:$CL$3,'История отказов'!AK391)=0,COUNTIF('История отказов'!$AK$5:AK391,'История отказов'!AK391)=1),387,""))</f>
        <v/>
      </c>
      <c r="DJ388">
        <f>IF('История отказов'!AU391="","",IF(AND(COUNTIF($CP$2:$CP$3,'История отказов'!AU391)=0,COUNTIF('История отказов'!$AU$5:AU391,'История отказов'!AU391)=1),387,""))</f>
        <v/>
      </c>
      <c r="DK388">
        <f>IF('История отказов'!AY391="","",IF(AND(COUNTIF($CR$2:$CR$2,'История отказов'!AY391)=0,COUNTIF('История отказов'!$AY$5:AY391,'История отказов'!AY391)=1),387,""))</f>
        <v/>
      </c>
      <c r="DL388">
        <f>IF(DB388="","",IF(AND(COUNTIF($DA$2:$DA$47,DB388)=0,COUNTIF($DB$2:DB388,DB388)=1),387,""))</f>
        <v/>
      </c>
    </row>
    <row r="389">
      <c r="A389" s="74" t="n"/>
      <c r="B389" s="75" t="n"/>
      <c r="C389" s="76" t="n"/>
      <c r="J389" s="62" t="n"/>
      <c r="K389" s="62" t="n"/>
      <c r="L389" s="62" t="n"/>
      <c r="M389" s="62" t="n"/>
      <c r="N389" s="62" t="n"/>
      <c r="Q389" t="inlineStr">
        <is>
          <t>ТКРС</t>
        </is>
      </c>
      <c r="R389" t="inlineStr">
        <is>
          <t>ТР3-3 — То же УЭВН.</t>
        </is>
      </c>
      <c r="S389" t="inlineStr">
        <is>
          <t>Код и наименование из документа</t>
        </is>
      </c>
      <c r="T389" t="inlineStr">
        <is>
          <t>Классификатор ремонтных работ, РД 153-39.0-088-01</t>
        </is>
      </c>
      <c r="U389" t="inlineStr">
        <is>
          <t>Таблица 4.1; код ТР3-3</t>
        </is>
      </c>
      <c r="V389" t="inlineStr">
        <is>
          <t>Все типы</t>
        </is>
      </c>
      <c r="DB389">
        <f>IF('История отказов'!AH392="","",'История отказов'!AH392)</f>
        <v/>
      </c>
      <c r="DC389">
        <f>IF('История отказов'!AE392="","",IF(AND(COUNTIF($CT$2:$CT$2,'История отказов'!AE392)=0,COUNTIFS('История отказов'!$F$5:F392,"ШГН",'История отказов'!$AE$5:AE392,'История отказов'!AE392)=1,'История отказов'!F392="ШГН"),388,""))</f>
        <v/>
      </c>
      <c r="DD389">
        <f>IF('История отказов'!AE392="","",IF(AND(COUNTIF($CU$2:$CU$3,'История отказов'!AE392)=0,COUNTIFS('История отказов'!$F$5:F392,"ЭЦН",'История отказов'!$AE$5:AE392,'История отказов'!AE392)=1,'История отказов'!F392="ЭЦН"),388,""))</f>
        <v/>
      </c>
      <c r="DE389">
        <f>IF('История отказов'!AE392="","",IF(AND(COUNTIF($CV$2:$CV$3,'История отказов'!AE392)=0,COUNTIFS('История отказов'!$F$5:F392,"ЭВН",'История отказов'!$AE$5:AE392,'История отказов'!AE392)=1,'История отказов'!F392="ЭВН"),388,""))</f>
        <v/>
      </c>
      <c r="DF389">
        <f>IF('История отказов'!AE392="","",IF(AND(COUNTIF($CX$2:$CX$2,'История отказов'!AE392)=0,COUNTIFS('История отказов'!$F$5:F392,"ШВН",'История отказов'!$AE$5:AE392,'История отказов'!AE392)=1,'История отказов'!F392="ШВН"),388,""))</f>
        <v/>
      </c>
      <c r="DG389">
        <f>IF('История отказов'!AE392="","",IF(AND(COUNTIF($CW$2:$CW$2,'История отказов'!AE392)=0,COUNTIFS('История отказов'!$F$5:F392,"НПУ-ВД",'История отказов'!$AE$5:AE392,'История отказов'!AE392)=1,'История отказов'!F392="НПУ-ВД"),388,""))</f>
        <v/>
      </c>
      <c r="DH389">
        <f>IF('История отказов'!AE392="","",IF(AND(COUNTIF($CY$2:$CY$6,'История отказов'!AE392)=0,COUNTIF('История отказов'!$AE$5:AE392,'История отказов'!AE392)=1),388,""))</f>
        <v/>
      </c>
      <c r="DI389">
        <f>IF('История отказов'!AK392="","",IF(AND(COUNTIF($CL$2:$CL$3,'История отказов'!AK392)=0,COUNTIF('История отказов'!$AK$5:AK392,'История отказов'!AK392)=1),388,""))</f>
        <v/>
      </c>
      <c r="DJ389">
        <f>IF('История отказов'!AU392="","",IF(AND(COUNTIF($CP$2:$CP$3,'История отказов'!AU392)=0,COUNTIF('История отказов'!$AU$5:AU392,'История отказов'!AU392)=1),388,""))</f>
        <v/>
      </c>
      <c r="DK389">
        <f>IF('История отказов'!AY392="","",IF(AND(COUNTIF($CR$2:$CR$2,'История отказов'!AY392)=0,COUNTIF('История отказов'!$AY$5:AY392,'История отказов'!AY392)=1),388,""))</f>
        <v/>
      </c>
      <c r="DL389">
        <f>IF(DB389="","",IF(AND(COUNTIF($DA$2:$DA$47,DB389)=0,COUNTIF($DB$2:DB389,DB389)=1),388,""))</f>
        <v/>
      </c>
    </row>
    <row r="390">
      <c r="A390" s="74" t="n"/>
      <c r="B390" s="75" t="n"/>
      <c r="C390" s="76" t="n"/>
      <c r="J390" s="62" t="n"/>
      <c r="K390" s="62" t="n"/>
      <c r="L390" s="62" t="n"/>
      <c r="M390" s="62" t="n"/>
      <c r="N390" s="62" t="n"/>
      <c r="Q390" t="inlineStr">
        <is>
          <t>ТКРС</t>
        </is>
      </c>
      <c r="R390" t="inlineStr">
        <is>
          <t>ТР3-4 — То же УШВН.</t>
        </is>
      </c>
      <c r="S390" t="inlineStr">
        <is>
          <t>Код и наименование из документа</t>
        </is>
      </c>
      <c r="T390" t="inlineStr">
        <is>
          <t>Классификатор ремонтных работ, РД 153-39.0-088-01</t>
        </is>
      </c>
      <c r="U390" t="inlineStr">
        <is>
          <t>Таблица 4.1; код ТР3-4</t>
        </is>
      </c>
      <c r="V390" t="inlineStr">
        <is>
          <t>Все типы</t>
        </is>
      </c>
      <c r="DB390">
        <f>IF('История отказов'!AH393="","",'История отказов'!AH393)</f>
        <v/>
      </c>
      <c r="DC390">
        <f>IF('История отказов'!AE393="","",IF(AND(COUNTIF($CT$2:$CT$2,'История отказов'!AE393)=0,COUNTIFS('История отказов'!$F$5:F393,"ШГН",'История отказов'!$AE$5:AE393,'История отказов'!AE393)=1,'История отказов'!F393="ШГН"),389,""))</f>
        <v/>
      </c>
      <c r="DD390">
        <f>IF('История отказов'!AE393="","",IF(AND(COUNTIF($CU$2:$CU$3,'История отказов'!AE393)=0,COUNTIFS('История отказов'!$F$5:F393,"ЭЦН",'История отказов'!$AE$5:AE393,'История отказов'!AE393)=1,'История отказов'!F393="ЭЦН"),389,""))</f>
        <v/>
      </c>
      <c r="DE390">
        <f>IF('История отказов'!AE393="","",IF(AND(COUNTIF($CV$2:$CV$3,'История отказов'!AE393)=0,COUNTIFS('История отказов'!$F$5:F393,"ЭВН",'История отказов'!$AE$5:AE393,'История отказов'!AE393)=1,'История отказов'!F393="ЭВН"),389,""))</f>
        <v/>
      </c>
      <c r="DF390">
        <f>IF('История отказов'!AE393="","",IF(AND(COUNTIF($CX$2:$CX$2,'История отказов'!AE393)=0,COUNTIFS('История отказов'!$F$5:F393,"ШВН",'История отказов'!$AE$5:AE393,'История отказов'!AE393)=1,'История отказов'!F393="ШВН"),389,""))</f>
        <v/>
      </c>
      <c r="DG390">
        <f>IF('История отказов'!AE393="","",IF(AND(COUNTIF($CW$2:$CW$2,'История отказов'!AE393)=0,COUNTIFS('История отказов'!$F$5:F393,"НПУ-ВД",'История отказов'!$AE$5:AE393,'История отказов'!AE393)=1,'История отказов'!F393="НПУ-ВД"),389,""))</f>
        <v/>
      </c>
      <c r="DH390">
        <f>IF('История отказов'!AE393="","",IF(AND(COUNTIF($CY$2:$CY$6,'История отказов'!AE393)=0,COUNTIF('История отказов'!$AE$5:AE393,'История отказов'!AE393)=1),389,""))</f>
        <v/>
      </c>
      <c r="DI390">
        <f>IF('История отказов'!AK393="","",IF(AND(COUNTIF($CL$2:$CL$3,'История отказов'!AK393)=0,COUNTIF('История отказов'!$AK$5:AK393,'История отказов'!AK393)=1),389,""))</f>
        <v/>
      </c>
      <c r="DJ390">
        <f>IF('История отказов'!AU393="","",IF(AND(COUNTIF($CP$2:$CP$3,'История отказов'!AU393)=0,COUNTIF('История отказов'!$AU$5:AU393,'История отказов'!AU393)=1),389,""))</f>
        <v/>
      </c>
      <c r="DK390">
        <f>IF('История отказов'!AY393="","",IF(AND(COUNTIF($CR$2:$CR$2,'История отказов'!AY393)=0,COUNTIF('История отказов'!$AY$5:AY393,'История отказов'!AY393)=1),389,""))</f>
        <v/>
      </c>
      <c r="DL390">
        <f>IF(DB390="","",IF(AND(COUNTIF($DA$2:$DA$47,DB390)=0,COUNTIF($DB$2:DB390,DB390)=1),389,""))</f>
        <v/>
      </c>
    </row>
    <row r="391">
      <c r="A391" s="74" t="n"/>
      <c r="B391" s="75" t="n"/>
      <c r="C391" s="76" t="n"/>
      <c r="J391" s="62" t="n"/>
      <c r="K391" s="62" t="n"/>
      <c r="L391" s="62" t="n"/>
      <c r="M391" s="62" t="n"/>
      <c r="N391" s="62" t="n"/>
      <c r="Q391" t="inlineStr">
        <is>
          <t>ТКРС</t>
        </is>
      </c>
      <c r="R391" t="inlineStr">
        <is>
          <t>ТР3-5 — То же других типов насосов.</t>
        </is>
      </c>
      <c r="S391" t="inlineStr">
        <is>
          <t>Код и наименование из документа</t>
        </is>
      </c>
      <c r="T391" t="inlineStr">
        <is>
          <t>Классификатор ремонтных работ, РД 153-39.0-088-01</t>
        </is>
      </c>
      <c r="U391" t="inlineStr">
        <is>
          <t>Таблица 4.1; код ТР3-5</t>
        </is>
      </c>
      <c r="V391" t="inlineStr">
        <is>
          <t>Все типы</t>
        </is>
      </c>
      <c r="DB391">
        <f>IF('История отказов'!AH394="","",'История отказов'!AH394)</f>
        <v/>
      </c>
      <c r="DC391">
        <f>IF('История отказов'!AE394="","",IF(AND(COUNTIF($CT$2:$CT$2,'История отказов'!AE394)=0,COUNTIFS('История отказов'!$F$5:F394,"ШГН",'История отказов'!$AE$5:AE394,'История отказов'!AE394)=1,'История отказов'!F394="ШГН"),390,""))</f>
        <v/>
      </c>
      <c r="DD391">
        <f>IF('История отказов'!AE394="","",IF(AND(COUNTIF($CU$2:$CU$3,'История отказов'!AE394)=0,COUNTIFS('История отказов'!$F$5:F394,"ЭЦН",'История отказов'!$AE$5:AE394,'История отказов'!AE394)=1,'История отказов'!F394="ЭЦН"),390,""))</f>
        <v/>
      </c>
      <c r="DE391">
        <f>IF('История отказов'!AE394="","",IF(AND(COUNTIF($CV$2:$CV$3,'История отказов'!AE394)=0,COUNTIFS('История отказов'!$F$5:F394,"ЭВН",'История отказов'!$AE$5:AE394,'История отказов'!AE394)=1,'История отказов'!F394="ЭВН"),390,""))</f>
        <v/>
      </c>
      <c r="DF391">
        <f>IF('История отказов'!AE394="","",IF(AND(COUNTIF($CX$2:$CX$2,'История отказов'!AE394)=0,COUNTIFS('История отказов'!$F$5:F394,"ШВН",'История отказов'!$AE$5:AE394,'История отказов'!AE394)=1,'История отказов'!F394="ШВН"),390,""))</f>
        <v/>
      </c>
      <c r="DG391">
        <f>IF('История отказов'!AE394="","",IF(AND(COUNTIF($CW$2:$CW$2,'История отказов'!AE394)=0,COUNTIFS('История отказов'!$F$5:F394,"НПУ-ВД",'История отказов'!$AE$5:AE394,'История отказов'!AE394)=1,'История отказов'!F394="НПУ-ВД"),390,""))</f>
        <v/>
      </c>
      <c r="DH391">
        <f>IF('История отказов'!AE394="","",IF(AND(COUNTIF($CY$2:$CY$6,'История отказов'!AE394)=0,COUNTIF('История отказов'!$AE$5:AE394,'История отказов'!AE394)=1),390,""))</f>
        <v/>
      </c>
      <c r="DI391">
        <f>IF('История отказов'!AK394="","",IF(AND(COUNTIF($CL$2:$CL$3,'История отказов'!AK394)=0,COUNTIF('История отказов'!$AK$5:AK394,'История отказов'!AK394)=1),390,""))</f>
        <v/>
      </c>
      <c r="DJ391">
        <f>IF('История отказов'!AU394="","",IF(AND(COUNTIF($CP$2:$CP$3,'История отказов'!AU394)=0,COUNTIF('История отказов'!$AU$5:AU394,'История отказов'!AU394)=1),390,""))</f>
        <v/>
      </c>
      <c r="DK391">
        <f>IF('История отказов'!AY394="","",IF(AND(COUNTIF($CR$2:$CR$2,'История отказов'!AY394)=0,COUNTIF('История отказов'!$AY$5:AY394,'История отказов'!AY394)=1),390,""))</f>
        <v/>
      </c>
      <c r="DL391">
        <f>IF(DB391="","",IF(AND(COUNTIF($DA$2:$DA$47,DB391)=0,COUNTIF($DB$2:DB391,DB391)=1),390,""))</f>
        <v/>
      </c>
    </row>
    <row r="392">
      <c r="A392" s="74" t="n"/>
      <c r="B392" s="75" t="n"/>
      <c r="C392" s="76" t="n"/>
      <c r="J392" s="62" t="n"/>
      <c r="K392" s="62" t="n"/>
      <c r="L392" s="62" t="n"/>
      <c r="M392" s="62" t="n"/>
      <c r="N392" s="62" t="n"/>
      <c r="Q392" t="inlineStr">
        <is>
          <t>ТКРС</t>
        </is>
      </c>
      <c r="R392" t="inlineStr">
        <is>
          <t>ТР4-1 — Ревизия и смена насоса.</t>
        </is>
      </c>
      <c r="S392" t="inlineStr">
        <is>
          <t>Код и наименование из документа</t>
        </is>
      </c>
      <c r="T392" t="inlineStr">
        <is>
          <t>Классификатор ремонтных работ, РД 153-39.0-088-01</t>
        </is>
      </c>
      <c r="U392" t="inlineStr">
        <is>
          <t>Таблица 4.1; код ТР4-1</t>
        </is>
      </c>
      <c r="V392" t="inlineStr">
        <is>
          <t>Все типы</t>
        </is>
      </c>
      <c r="DB392">
        <f>IF('История отказов'!AH395="","",'История отказов'!AH395)</f>
        <v/>
      </c>
      <c r="DC392">
        <f>IF('История отказов'!AE395="","",IF(AND(COUNTIF($CT$2:$CT$2,'История отказов'!AE395)=0,COUNTIFS('История отказов'!$F$5:F395,"ШГН",'История отказов'!$AE$5:AE395,'История отказов'!AE395)=1,'История отказов'!F395="ШГН"),391,""))</f>
        <v/>
      </c>
      <c r="DD392">
        <f>IF('История отказов'!AE395="","",IF(AND(COUNTIF($CU$2:$CU$3,'История отказов'!AE395)=0,COUNTIFS('История отказов'!$F$5:F395,"ЭЦН",'История отказов'!$AE$5:AE395,'История отказов'!AE395)=1,'История отказов'!F395="ЭЦН"),391,""))</f>
        <v/>
      </c>
      <c r="DE392">
        <f>IF('История отказов'!AE395="","",IF(AND(COUNTIF($CV$2:$CV$3,'История отказов'!AE395)=0,COUNTIFS('История отказов'!$F$5:F395,"ЭВН",'История отказов'!$AE$5:AE395,'История отказов'!AE395)=1,'История отказов'!F395="ЭВН"),391,""))</f>
        <v/>
      </c>
      <c r="DF392">
        <f>IF('История отказов'!AE395="","",IF(AND(COUNTIF($CX$2:$CX$2,'История отказов'!AE395)=0,COUNTIFS('История отказов'!$F$5:F395,"ШВН",'История отказов'!$AE$5:AE395,'История отказов'!AE395)=1,'История отказов'!F395="ШВН"),391,""))</f>
        <v/>
      </c>
      <c r="DG392">
        <f>IF('История отказов'!AE395="","",IF(AND(COUNTIF($CW$2:$CW$2,'История отказов'!AE395)=0,COUNTIFS('История отказов'!$F$5:F395,"НПУ-ВД",'История отказов'!$AE$5:AE395,'История отказов'!AE395)=1,'История отказов'!F395="НПУ-ВД"),391,""))</f>
        <v/>
      </c>
      <c r="DH392">
        <f>IF('История отказов'!AE395="","",IF(AND(COUNTIF($CY$2:$CY$6,'История отказов'!AE395)=0,COUNTIF('История отказов'!$AE$5:AE395,'История отказов'!AE395)=1),391,""))</f>
        <v/>
      </c>
      <c r="DI392">
        <f>IF('История отказов'!AK395="","",IF(AND(COUNTIF($CL$2:$CL$3,'История отказов'!AK395)=0,COUNTIF('История отказов'!$AK$5:AK395,'История отказов'!AK395)=1),391,""))</f>
        <v/>
      </c>
      <c r="DJ392">
        <f>IF('История отказов'!AU395="","",IF(AND(COUNTIF($CP$2:$CP$3,'История отказов'!AU395)=0,COUNTIF('История отказов'!$AU$5:AU395,'История отказов'!AU395)=1),391,""))</f>
        <v/>
      </c>
      <c r="DK392">
        <f>IF('История отказов'!AY395="","",IF(AND(COUNTIF($CR$2:$CR$2,'История отказов'!AY395)=0,COUNTIF('История отказов'!$AY$5:AY395,'История отказов'!AY395)=1),391,""))</f>
        <v/>
      </c>
      <c r="DL392">
        <f>IF(DB392="","",IF(AND(COUNTIF($DA$2:$DA$47,DB392)=0,COUNTIF($DB$2:DB392,DB392)=1),391,""))</f>
        <v/>
      </c>
    </row>
    <row r="393">
      <c r="A393" s="74" t="n"/>
      <c r="B393" s="75" t="n"/>
      <c r="C393" s="76" t="n"/>
      <c r="J393" s="62" t="n"/>
      <c r="K393" s="62" t="n"/>
      <c r="L393" s="62" t="n"/>
      <c r="M393" s="62" t="n"/>
      <c r="N393" s="62" t="n"/>
      <c r="Q393" t="inlineStr">
        <is>
          <t>ТКРС</t>
        </is>
      </c>
      <c r="R393" t="inlineStr">
        <is>
          <t>ТР4-2 — Устранение обрыва штанг.</t>
        </is>
      </c>
      <c r="S393" t="inlineStr">
        <is>
          <t>Код и наименование из документа</t>
        </is>
      </c>
      <c r="T393" t="inlineStr">
        <is>
          <t>Классификатор ремонтных работ, РД 153-39.0-088-01</t>
        </is>
      </c>
      <c r="U393" t="inlineStr">
        <is>
          <t>Таблица 4.1; код ТР4-2</t>
        </is>
      </c>
      <c r="V393" t="inlineStr">
        <is>
          <t>Все типы</t>
        </is>
      </c>
      <c r="DB393">
        <f>IF('История отказов'!AH396="","",'История отказов'!AH396)</f>
        <v/>
      </c>
      <c r="DC393">
        <f>IF('История отказов'!AE396="","",IF(AND(COUNTIF($CT$2:$CT$2,'История отказов'!AE396)=0,COUNTIFS('История отказов'!$F$5:F396,"ШГН",'История отказов'!$AE$5:AE396,'История отказов'!AE396)=1,'История отказов'!F396="ШГН"),392,""))</f>
        <v/>
      </c>
      <c r="DD393">
        <f>IF('История отказов'!AE396="","",IF(AND(COUNTIF($CU$2:$CU$3,'История отказов'!AE396)=0,COUNTIFS('История отказов'!$F$5:F396,"ЭЦН",'История отказов'!$AE$5:AE396,'История отказов'!AE396)=1,'История отказов'!F396="ЭЦН"),392,""))</f>
        <v/>
      </c>
      <c r="DE393">
        <f>IF('История отказов'!AE396="","",IF(AND(COUNTIF($CV$2:$CV$3,'История отказов'!AE396)=0,COUNTIFS('История отказов'!$F$5:F396,"ЭВН",'История отказов'!$AE$5:AE396,'История отказов'!AE396)=1,'История отказов'!F396="ЭВН"),392,""))</f>
        <v/>
      </c>
      <c r="DF393">
        <f>IF('История отказов'!AE396="","",IF(AND(COUNTIF($CX$2:$CX$2,'История отказов'!AE396)=0,COUNTIFS('История отказов'!$F$5:F396,"ШВН",'История отказов'!$AE$5:AE396,'История отказов'!AE396)=1,'История отказов'!F396="ШВН"),392,""))</f>
        <v/>
      </c>
      <c r="DG393">
        <f>IF('История отказов'!AE396="","",IF(AND(COUNTIF($CW$2:$CW$2,'История отказов'!AE396)=0,COUNTIFS('История отказов'!$F$5:F396,"НПУ-ВД",'История отказов'!$AE$5:AE396,'История отказов'!AE396)=1,'История отказов'!F396="НПУ-ВД"),392,""))</f>
        <v/>
      </c>
      <c r="DH393">
        <f>IF('История отказов'!AE396="","",IF(AND(COUNTIF($CY$2:$CY$6,'История отказов'!AE396)=0,COUNTIF('История отказов'!$AE$5:AE396,'История отказов'!AE396)=1),392,""))</f>
        <v/>
      </c>
      <c r="DI393">
        <f>IF('История отказов'!AK396="","",IF(AND(COUNTIF($CL$2:$CL$3,'История отказов'!AK396)=0,COUNTIF('История отказов'!$AK$5:AK396,'История отказов'!AK396)=1),392,""))</f>
        <v/>
      </c>
      <c r="DJ393">
        <f>IF('История отказов'!AU396="","",IF(AND(COUNTIF($CP$2:$CP$3,'История отказов'!AU396)=0,COUNTIF('История отказов'!$AU$5:AU396,'История отказов'!AU396)=1),392,""))</f>
        <v/>
      </c>
      <c r="DK393">
        <f>IF('История отказов'!AY396="","",IF(AND(COUNTIF($CR$2:$CR$2,'История отказов'!AY396)=0,COUNTIF('История отказов'!$AY$5:AY396,'История отказов'!AY396)=1),392,""))</f>
        <v/>
      </c>
      <c r="DL393">
        <f>IF(DB393="","",IF(AND(COUNTIF($DA$2:$DA$47,DB393)=0,COUNTIF($DB$2:DB393,DB393)=1),392,""))</f>
        <v/>
      </c>
    </row>
    <row r="394">
      <c r="A394" s="74" t="n"/>
      <c r="B394" s="75" t="n"/>
      <c r="C394" s="76" t="n"/>
      <c r="J394" s="62" t="n"/>
      <c r="K394" s="62" t="n"/>
      <c r="L394" s="62" t="n"/>
      <c r="M394" s="62" t="n"/>
      <c r="N394" s="62" t="n"/>
      <c r="Q394" t="inlineStr">
        <is>
          <t>ТКРС</t>
        </is>
      </c>
      <c r="R394" t="inlineStr">
        <is>
          <t>ТР4-3 — Устранение отворота штанг.</t>
        </is>
      </c>
      <c r="S394" t="inlineStr">
        <is>
          <t>Код и наименование из документа</t>
        </is>
      </c>
      <c r="T394" t="inlineStr">
        <is>
          <t>Классификатор ремонтных работ, РД 153-39.0-088-01</t>
        </is>
      </c>
      <c r="U394" t="inlineStr">
        <is>
          <t>Таблица 4.1; код ТР4-3</t>
        </is>
      </c>
      <c r="V394" t="inlineStr">
        <is>
          <t>Все типы</t>
        </is>
      </c>
      <c r="DB394">
        <f>IF('История отказов'!AH397="","",'История отказов'!AH397)</f>
        <v/>
      </c>
      <c r="DC394">
        <f>IF('История отказов'!AE397="","",IF(AND(COUNTIF($CT$2:$CT$2,'История отказов'!AE397)=0,COUNTIFS('История отказов'!$F$5:F397,"ШГН",'История отказов'!$AE$5:AE397,'История отказов'!AE397)=1,'История отказов'!F397="ШГН"),393,""))</f>
        <v/>
      </c>
      <c r="DD394">
        <f>IF('История отказов'!AE397="","",IF(AND(COUNTIF($CU$2:$CU$3,'История отказов'!AE397)=0,COUNTIFS('История отказов'!$F$5:F397,"ЭЦН",'История отказов'!$AE$5:AE397,'История отказов'!AE397)=1,'История отказов'!F397="ЭЦН"),393,""))</f>
        <v/>
      </c>
      <c r="DE394">
        <f>IF('История отказов'!AE397="","",IF(AND(COUNTIF($CV$2:$CV$3,'История отказов'!AE397)=0,COUNTIFS('История отказов'!$F$5:F397,"ЭВН",'История отказов'!$AE$5:AE397,'История отказов'!AE397)=1,'История отказов'!F397="ЭВН"),393,""))</f>
        <v/>
      </c>
      <c r="DF394">
        <f>IF('История отказов'!AE397="","",IF(AND(COUNTIF($CX$2:$CX$2,'История отказов'!AE397)=0,COUNTIFS('История отказов'!$F$5:F397,"ШВН",'История отказов'!$AE$5:AE397,'История отказов'!AE397)=1,'История отказов'!F397="ШВН"),393,""))</f>
        <v/>
      </c>
      <c r="DG394">
        <f>IF('История отказов'!AE397="","",IF(AND(COUNTIF($CW$2:$CW$2,'История отказов'!AE397)=0,COUNTIFS('История отказов'!$F$5:F397,"НПУ-ВД",'История отказов'!$AE$5:AE397,'История отказов'!AE397)=1,'История отказов'!F397="НПУ-ВД"),393,""))</f>
        <v/>
      </c>
      <c r="DH394">
        <f>IF('История отказов'!AE397="","",IF(AND(COUNTIF($CY$2:$CY$6,'История отказов'!AE397)=0,COUNTIF('История отказов'!$AE$5:AE397,'История отказов'!AE397)=1),393,""))</f>
        <v/>
      </c>
      <c r="DI394">
        <f>IF('История отказов'!AK397="","",IF(AND(COUNTIF($CL$2:$CL$3,'История отказов'!AK397)=0,COUNTIF('История отказов'!$AK$5:AK397,'История отказов'!AK397)=1),393,""))</f>
        <v/>
      </c>
      <c r="DJ394">
        <f>IF('История отказов'!AU397="","",IF(AND(COUNTIF($CP$2:$CP$3,'История отказов'!AU397)=0,COUNTIF('История отказов'!$AU$5:AU397,'История отказов'!AU397)=1),393,""))</f>
        <v/>
      </c>
      <c r="DK394">
        <f>IF('История отказов'!AY397="","",IF(AND(COUNTIF($CR$2:$CR$2,'История отказов'!AY397)=0,COUNTIF('История отказов'!$AY$5:AY397,'История отказов'!AY397)=1),393,""))</f>
        <v/>
      </c>
      <c r="DL394">
        <f>IF(DB394="","",IF(AND(COUNTIF($DA$2:$DA$47,DB394)=0,COUNTIF($DB$2:DB394,DB394)=1),393,""))</f>
        <v/>
      </c>
    </row>
    <row r="395">
      <c r="A395" s="74" t="n"/>
      <c r="B395" s="75" t="n"/>
      <c r="C395" s="76" t="n"/>
      <c r="J395" s="62" t="n"/>
      <c r="K395" s="62" t="n"/>
      <c r="L395" s="62" t="n"/>
      <c r="M395" s="62" t="n"/>
      <c r="N395" s="62" t="n"/>
      <c r="Q395" t="inlineStr">
        <is>
          <t>ТКРС</t>
        </is>
      </c>
      <c r="R395" t="inlineStr">
        <is>
          <t>ТР4-4 — Замена штанг.</t>
        </is>
      </c>
      <c r="S395" t="inlineStr">
        <is>
          <t>Код и наименование из документа</t>
        </is>
      </c>
      <c r="T395" t="inlineStr">
        <is>
          <t>Классификатор ремонтных работ, РД 153-39.0-088-01</t>
        </is>
      </c>
      <c r="U395" t="inlineStr">
        <is>
          <t>Таблица 4.1; код ТР4-4</t>
        </is>
      </c>
      <c r="V395" t="inlineStr">
        <is>
          <t>Все типы</t>
        </is>
      </c>
      <c r="DB395">
        <f>IF('История отказов'!AH398="","",'История отказов'!AH398)</f>
        <v/>
      </c>
      <c r="DC395">
        <f>IF('История отказов'!AE398="","",IF(AND(COUNTIF($CT$2:$CT$2,'История отказов'!AE398)=0,COUNTIFS('История отказов'!$F$5:F398,"ШГН",'История отказов'!$AE$5:AE398,'История отказов'!AE398)=1,'История отказов'!F398="ШГН"),394,""))</f>
        <v/>
      </c>
      <c r="DD395">
        <f>IF('История отказов'!AE398="","",IF(AND(COUNTIF($CU$2:$CU$3,'История отказов'!AE398)=0,COUNTIFS('История отказов'!$F$5:F398,"ЭЦН",'История отказов'!$AE$5:AE398,'История отказов'!AE398)=1,'История отказов'!F398="ЭЦН"),394,""))</f>
        <v/>
      </c>
      <c r="DE395">
        <f>IF('История отказов'!AE398="","",IF(AND(COUNTIF($CV$2:$CV$3,'История отказов'!AE398)=0,COUNTIFS('История отказов'!$F$5:F398,"ЭВН",'История отказов'!$AE$5:AE398,'История отказов'!AE398)=1,'История отказов'!F398="ЭВН"),394,""))</f>
        <v/>
      </c>
      <c r="DF395">
        <f>IF('История отказов'!AE398="","",IF(AND(COUNTIF($CX$2:$CX$2,'История отказов'!AE398)=0,COUNTIFS('История отказов'!$F$5:F398,"ШВН",'История отказов'!$AE$5:AE398,'История отказов'!AE398)=1,'История отказов'!F398="ШВН"),394,""))</f>
        <v/>
      </c>
      <c r="DG395">
        <f>IF('История отказов'!AE398="","",IF(AND(COUNTIF($CW$2:$CW$2,'История отказов'!AE398)=0,COUNTIFS('История отказов'!$F$5:F398,"НПУ-ВД",'История отказов'!$AE$5:AE398,'История отказов'!AE398)=1,'История отказов'!F398="НПУ-ВД"),394,""))</f>
        <v/>
      </c>
      <c r="DH395">
        <f>IF('История отказов'!AE398="","",IF(AND(COUNTIF($CY$2:$CY$6,'История отказов'!AE398)=0,COUNTIF('История отказов'!$AE$5:AE398,'История отказов'!AE398)=1),394,""))</f>
        <v/>
      </c>
      <c r="DI395">
        <f>IF('История отказов'!AK398="","",IF(AND(COUNTIF($CL$2:$CL$3,'История отказов'!AK398)=0,COUNTIF('История отказов'!$AK$5:AK398,'История отказов'!AK398)=1),394,""))</f>
        <v/>
      </c>
      <c r="DJ395">
        <f>IF('История отказов'!AU398="","",IF(AND(COUNTIF($CP$2:$CP$3,'История отказов'!AU398)=0,COUNTIF('История отказов'!$AU$5:AU398,'История отказов'!AU398)=1),394,""))</f>
        <v/>
      </c>
      <c r="DK395">
        <f>IF('История отказов'!AY398="","",IF(AND(COUNTIF($CR$2:$CR$2,'История отказов'!AY398)=0,COUNTIF('История отказов'!$AY$5:AY398,'История отказов'!AY398)=1),394,""))</f>
        <v/>
      </c>
      <c r="DL395">
        <f>IF(DB395="","",IF(AND(COUNTIF($DA$2:$DA$47,DB395)=0,COUNTIF($DB$2:DB395,DB395)=1),394,""))</f>
        <v/>
      </c>
    </row>
    <row r="396">
      <c r="A396" s="74" t="n"/>
      <c r="B396" s="75" t="n"/>
      <c r="C396" s="76" t="n"/>
      <c r="J396" s="62" t="n"/>
      <c r="K396" s="62" t="n"/>
      <c r="L396" s="62" t="n"/>
      <c r="M396" s="62" t="n"/>
      <c r="N396" s="62" t="n"/>
      <c r="Q396" t="inlineStr">
        <is>
          <t>ТКРС</t>
        </is>
      </c>
      <c r="R396" t="inlineStr">
        <is>
          <t>ТР4-5 — Замена полированного штока.</t>
        </is>
      </c>
      <c r="S396" t="inlineStr">
        <is>
          <t>Код и наименование из документа</t>
        </is>
      </c>
      <c r="T396" t="inlineStr">
        <is>
          <t>Классификатор ремонтных работ, РД 153-39.0-088-01</t>
        </is>
      </c>
      <c r="U396" t="inlineStr">
        <is>
          <t>Таблица 4.1; код ТР4-5</t>
        </is>
      </c>
      <c r="V396" t="inlineStr">
        <is>
          <t>Все типы</t>
        </is>
      </c>
      <c r="DB396">
        <f>IF('История отказов'!AH399="","",'История отказов'!AH399)</f>
        <v/>
      </c>
      <c r="DC396">
        <f>IF('История отказов'!AE399="","",IF(AND(COUNTIF($CT$2:$CT$2,'История отказов'!AE399)=0,COUNTIFS('История отказов'!$F$5:F399,"ШГН",'История отказов'!$AE$5:AE399,'История отказов'!AE399)=1,'История отказов'!F399="ШГН"),395,""))</f>
        <v/>
      </c>
      <c r="DD396">
        <f>IF('История отказов'!AE399="","",IF(AND(COUNTIF($CU$2:$CU$3,'История отказов'!AE399)=0,COUNTIFS('История отказов'!$F$5:F399,"ЭЦН",'История отказов'!$AE$5:AE399,'История отказов'!AE399)=1,'История отказов'!F399="ЭЦН"),395,""))</f>
        <v/>
      </c>
      <c r="DE396">
        <f>IF('История отказов'!AE399="","",IF(AND(COUNTIF($CV$2:$CV$3,'История отказов'!AE399)=0,COUNTIFS('История отказов'!$F$5:F399,"ЭВН",'История отказов'!$AE$5:AE399,'История отказов'!AE399)=1,'История отказов'!F399="ЭВН"),395,""))</f>
        <v/>
      </c>
      <c r="DF396">
        <f>IF('История отказов'!AE399="","",IF(AND(COUNTIF($CX$2:$CX$2,'История отказов'!AE399)=0,COUNTIFS('История отказов'!$F$5:F399,"ШВН",'История отказов'!$AE$5:AE399,'История отказов'!AE399)=1,'История отказов'!F399="ШВН"),395,""))</f>
        <v/>
      </c>
      <c r="DG396">
        <f>IF('История отказов'!AE399="","",IF(AND(COUNTIF($CW$2:$CW$2,'История отказов'!AE399)=0,COUNTIFS('История отказов'!$F$5:F399,"НПУ-ВД",'История отказов'!$AE$5:AE399,'История отказов'!AE399)=1,'История отказов'!F399="НПУ-ВД"),395,""))</f>
        <v/>
      </c>
      <c r="DH396">
        <f>IF('История отказов'!AE399="","",IF(AND(COUNTIF($CY$2:$CY$6,'История отказов'!AE399)=0,COUNTIF('История отказов'!$AE$5:AE399,'История отказов'!AE399)=1),395,""))</f>
        <v/>
      </c>
      <c r="DI396">
        <f>IF('История отказов'!AK399="","",IF(AND(COUNTIF($CL$2:$CL$3,'История отказов'!AK399)=0,COUNTIF('История отказов'!$AK$5:AK399,'История отказов'!AK399)=1),395,""))</f>
        <v/>
      </c>
      <c r="DJ396">
        <f>IF('История отказов'!AU399="","",IF(AND(COUNTIF($CP$2:$CP$3,'История отказов'!AU399)=0,COUNTIF('История отказов'!$AU$5:AU399,'История отказов'!AU399)=1),395,""))</f>
        <v/>
      </c>
      <c r="DK396">
        <f>IF('История отказов'!AY399="","",IF(AND(COUNTIF($CR$2:$CR$2,'История отказов'!AY399)=0,COUNTIF('История отказов'!$AY$5:AY399,'История отказов'!AY399)=1),395,""))</f>
        <v/>
      </c>
      <c r="DL396">
        <f>IF(DB396="","",IF(AND(COUNTIF($DA$2:$DA$47,DB396)=0,COUNTIF($DB$2:DB396,DB396)=1),395,""))</f>
        <v/>
      </c>
    </row>
    <row r="397">
      <c r="A397" s="74" t="n"/>
      <c r="B397" s="75" t="n"/>
      <c r="C397" s="76" t="n"/>
      <c r="J397" s="62" t="n"/>
      <c r="K397" s="62" t="n"/>
      <c r="L397" s="62" t="n"/>
      <c r="M397" s="62" t="n"/>
      <c r="N397" s="62" t="n"/>
      <c r="Q397" t="inlineStr">
        <is>
          <t>ТКРС</t>
        </is>
      </c>
      <c r="R397" t="inlineStr">
        <is>
          <t>ТР4-6 — Замена, опрессовка и устранение негерметичности НКТ.</t>
        </is>
      </c>
      <c r="S397" t="inlineStr">
        <is>
          <t>Код и наименование из документа</t>
        </is>
      </c>
      <c r="T397" t="inlineStr">
        <is>
          <t>Классификатор ремонтных работ, РД 153-39.0-088-01</t>
        </is>
      </c>
      <c r="U397" t="inlineStr">
        <is>
          <t>Таблица 4.1; код ТР4-6</t>
        </is>
      </c>
      <c r="V397" t="inlineStr">
        <is>
          <t>Все типы</t>
        </is>
      </c>
      <c r="DB397">
        <f>IF('История отказов'!AH400="","",'История отказов'!AH400)</f>
        <v/>
      </c>
      <c r="DC397">
        <f>IF('История отказов'!AE400="","",IF(AND(COUNTIF($CT$2:$CT$2,'История отказов'!AE400)=0,COUNTIFS('История отказов'!$F$5:F400,"ШГН",'История отказов'!$AE$5:AE400,'История отказов'!AE400)=1,'История отказов'!F400="ШГН"),396,""))</f>
        <v/>
      </c>
      <c r="DD397">
        <f>IF('История отказов'!AE400="","",IF(AND(COUNTIF($CU$2:$CU$3,'История отказов'!AE400)=0,COUNTIFS('История отказов'!$F$5:F400,"ЭЦН",'История отказов'!$AE$5:AE400,'История отказов'!AE400)=1,'История отказов'!F400="ЭЦН"),396,""))</f>
        <v/>
      </c>
      <c r="DE397">
        <f>IF('История отказов'!AE400="","",IF(AND(COUNTIF($CV$2:$CV$3,'История отказов'!AE400)=0,COUNTIFS('История отказов'!$F$5:F400,"ЭВН",'История отказов'!$AE$5:AE400,'История отказов'!AE400)=1,'История отказов'!F400="ЭВН"),396,""))</f>
        <v/>
      </c>
      <c r="DF397">
        <f>IF('История отказов'!AE400="","",IF(AND(COUNTIF($CX$2:$CX$2,'История отказов'!AE400)=0,COUNTIFS('История отказов'!$F$5:F400,"ШВН",'История отказов'!$AE$5:AE400,'История отказов'!AE400)=1,'История отказов'!F400="ШВН"),396,""))</f>
        <v/>
      </c>
      <c r="DG397">
        <f>IF('История отказов'!AE400="","",IF(AND(COUNTIF($CW$2:$CW$2,'История отказов'!AE400)=0,COUNTIFS('История отказов'!$F$5:F400,"НПУ-ВД",'История отказов'!$AE$5:AE400,'История отказов'!AE400)=1,'История отказов'!F400="НПУ-ВД"),396,""))</f>
        <v/>
      </c>
      <c r="DH397">
        <f>IF('История отказов'!AE400="","",IF(AND(COUNTIF($CY$2:$CY$6,'История отказов'!AE400)=0,COUNTIF('История отказов'!$AE$5:AE400,'История отказов'!AE400)=1),396,""))</f>
        <v/>
      </c>
      <c r="DI397">
        <f>IF('История отказов'!AK400="","",IF(AND(COUNTIF($CL$2:$CL$3,'История отказов'!AK400)=0,COUNTIF('История отказов'!$AK$5:AK400,'История отказов'!AK400)=1),396,""))</f>
        <v/>
      </c>
      <c r="DJ397">
        <f>IF('История отказов'!AU400="","",IF(AND(COUNTIF($CP$2:$CP$3,'История отказов'!AU400)=0,COUNTIF('История отказов'!$AU$5:AU400,'История отказов'!AU400)=1),396,""))</f>
        <v/>
      </c>
      <c r="DK397">
        <f>IF('История отказов'!AY400="","",IF(AND(COUNTIF($CR$2:$CR$2,'История отказов'!AY400)=0,COUNTIF('История отказов'!$AY$5:AY400,'История отказов'!AY400)=1),396,""))</f>
        <v/>
      </c>
      <c r="DL397">
        <f>IF(DB397="","",IF(AND(COUNTIF($DA$2:$DA$47,DB397)=0,COUNTIF($DB$2:DB397,DB397)=1),396,""))</f>
        <v/>
      </c>
    </row>
    <row r="398">
      <c r="A398" s="74" t="n"/>
      <c r="B398" s="75" t="n"/>
      <c r="C398" s="76" t="n"/>
      <c r="J398" s="62" t="n"/>
      <c r="K398" s="62" t="n"/>
      <c r="L398" s="62" t="n"/>
      <c r="M398" s="62" t="n"/>
      <c r="N398" s="62" t="n"/>
      <c r="Q398" t="inlineStr">
        <is>
          <t>ТКРС</t>
        </is>
      </c>
      <c r="R398" t="inlineStr">
        <is>
          <t>ТР4-7 — Очистка и пропарка HKT и штанг.</t>
        </is>
      </c>
      <c r="S398" t="inlineStr">
        <is>
          <t>Код и наименование из документа</t>
        </is>
      </c>
      <c r="T398" t="inlineStr">
        <is>
          <t>Классификатор ремонтных работ, РД 153-39.0-088-01</t>
        </is>
      </c>
      <c r="U398" t="inlineStr">
        <is>
          <t>Таблица 4.1; код ТР4-7</t>
        </is>
      </c>
      <c r="V398" t="inlineStr">
        <is>
          <t>Все типы</t>
        </is>
      </c>
      <c r="DB398">
        <f>IF('История отказов'!AH401="","",'История отказов'!AH401)</f>
        <v/>
      </c>
      <c r="DC398">
        <f>IF('История отказов'!AE401="","",IF(AND(COUNTIF($CT$2:$CT$2,'История отказов'!AE401)=0,COUNTIFS('История отказов'!$F$5:F401,"ШГН",'История отказов'!$AE$5:AE401,'История отказов'!AE401)=1,'История отказов'!F401="ШГН"),397,""))</f>
        <v/>
      </c>
      <c r="DD398">
        <f>IF('История отказов'!AE401="","",IF(AND(COUNTIF($CU$2:$CU$3,'История отказов'!AE401)=0,COUNTIFS('История отказов'!$F$5:F401,"ЭЦН",'История отказов'!$AE$5:AE401,'История отказов'!AE401)=1,'История отказов'!F401="ЭЦН"),397,""))</f>
        <v/>
      </c>
      <c r="DE398">
        <f>IF('История отказов'!AE401="","",IF(AND(COUNTIF($CV$2:$CV$3,'История отказов'!AE401)=0,COUNTIFS('История отказов'!$F$5:F401,"ЭВН",'История отказов'!$AE$5:AE401,'История отказов'!AE401)=1,'История отказов'!F401="ЭВН"),397,""))</f>
        <v/>
      </c>
      <c r="DF398">
        <f>IF('История отказов'!AE401="","",IF(AND(COUNTIF($CX$2:$CX$2,'История отказов'!AE401)=0,COUNTIFS('История отказов'!$F$5:F401,"ШВН",'История отказов'!$AE$5:AE401,'История отказов'!AE401)=1,'История отказов'!F401="ШВН"),397,""))</f>
        <v/>
      </c>
      <c r="DG398">
        <f>IF('История отказов'!AE401="","",IF(AND(COUNTIF($CW$2:$CW$2,'История отказов'!AE401)=0,COUNTIFS('История отказов'!$F$5:F401,"НПУ-ВД",'История отказов'!$AE$5:AE401,'История отказов'!AE401)=1,'История отказов'!F401="НПУ-ВД"),397,""))</f>
        <v/>
      </c>
      <c r="DH398">
        <f>IF('История отказов'!AE401="","",IF(AND(COUNTIF($CY$2:$CY$6,'История отказов'!AE401)=0,COUNTIF('История отказов'!$AE$5:AE401,'История отказов'!AE401)=1),397,""))</f>
        <v/>
      </c>
      <c r="DI398">
        <f>IF('История отказов'!AK401="","",IF(AND(COUNTIF($CL$2:$CL$3,'История отказов'!AK401)=0,COUNTIF('История отказов'!$AK$5:AK401,'История отказов'!AK401)=1),397,""))</f>
        <v/>
      </c>
      <c r="DJ398">
        <f>IF('История отказов'!AU401="","",IF(AND(COUNTIF($CP$2:$CP$3,'История отказов'!AU401)=0,COUNTIF('История отказов'!$AU$5:AU401,'История отказов'!AU401)=1),397,""))</f>
        <v/>
      </c>
      <c r="DK398">
        <f>IF('История отказов'!AY401="","",IF(AND(COUNTIF($CR$2:$CR$2,'История отказов'!AY401)=0,COUNTIF('История отказов'!$AY$5:AY401,'История отказов'!AY401)=1),397,""))</f>
        <v/>
      </c>
      <c r="DL398">
        <f>IF(DB398="","",IF(AND(COUNTIF($DA$2:$DA$47,DB398)=0,COUNTIF($DB$2:DB398,DB398)=1),397,""))</f>
        <v/>
      </c>
    </row>
    <row r="399">
      <c r="A399" s="74" t="n"/>
      <c r="B399" s="75" t="n"/>
      <c r="C399" s="76" t="n"/>
      <c r="J399" s="62" t="n"/>
      <c r="K399" s="62" t="n"/>
      <c r="L399" s="62" t="n"/>
      <c r="M399" s="62" t="n"/>
      <c r="N399" s="62" t="n"/>
      <c r="Q399" t="inlineStr">
        <is>
          <t>ТКРС</t>
        </is>
      </c>
      <c r="R399" t="inlineStr">
        <is>
          <t>ТР4-8 — Ревизия, смена устьевого оборудования.</t>
        </is>
      </c>
      <c r="S399" t="inlineStr">
        <is>
          <t>Код и наименование из документа</t>
        </is>
      </c>
      <c r="T399" t="inlineStr">
        <is>
          <t>Классификатор ремонтных работ, РД 153-39.0-088-01</t>
        </is>
      </c>
      <c r="U399" t="inlineStr">
        <is>
          <t>Таблица 4.1; код ТР4-8</t>
        </is>
      </c>
      <c r="V399" t="inlineStr">
        <is>
          <t>Все типы</t>
        </is>
      </c>
      <c r="DB399">
        <f>IF('История отказов'!AH402="","",'История отказов'!AH402)</f>
        <v/>
      </c>
      <c r="DC399">
        <f>IF('История отказов'!AE402="","",IF(AND(COUNTIF($CT$2:$CT$2,'История отказов'!AE402)=0,COUNTIFS('История отказов'!$F$5:F402,"ШГН",'История отказов'!$AE$5:AE402,'История отказов'!AE402)=1,'История отказов'!F402="ШГН"),398,""))</f>
        <v/>
      </c>
      <c r="DD399">
        <f>IF('История отказов'!AE402="","",IF(AND(COUNTIF($CU$2:$CU$3,'История отказов'!AE402)=0,COUNTIFS('История отказов'!$F$5:F402,"ЭЦН",'История отказов'!$AE$5:AE402,'История отказов'!AE402)=1,'История отказов'!F402="ЭЦН"),398,""))</f>
        <v/>
      </c>
      <c r="DE399">
        <f>IF('История отказов'!AE402="","",IF(AND(COUNTIF($CV$2:$CV$3,'История отказов'!AE402)=0,COUNTIFS('История отказов'!$F$5:F402,"ЭВН",'История отказов'!$AE$5:AE402,'История отказов'!AE402)=1,'История отказов'!F402="ЭВН"),398,""))</f>
        <v/>
      </c>
      <c r="DF399">
        <f>IF('История отказов'!AE402="","",IF(AND(COUNTIF($CX$2:$CX$2,'История отказов'!AE402)=0,COUNTIFS('История отказов'!$F$5:F402,"ШВН",'История отказов'!$AE$5:AE402,'История отказов'!AE402)=1,'История отказов'!F402="ШВН"),398,""))</f>
        <v/>
      </c>
      <c r="DG399">
        <f>IF('История отказов'!AE402="","",IF(AND(COUNTIF($CW$2:$CW$2,'История отказов'!AE402)=0,COUNTIFS('История отказов'!$F$5:F402,"НПУ-ВД",'История отказов'!$AE$5:AE402,'История отказов'!AE402)=1,'История отказов'!F402="НПУ-ВД"),398,""))</f>
        <v/>
      </c>
      <c r="DH399">
        <f>IF('История отказов'!AE402="","",IF(AND(COUNTIF($CY$2:$CY$6,'История отказов'!AE402)=0,COUNTIF('История отказов'!$AE$5:AE402,'История отказов'!AE402)=1),398,""))</f>
        <v/>
      </c>
      <c r="DI399">
        <f>IF('История отказов'!AK402="","",IF(AND(COUNTIF($CL$2:$CL$3,'История отказов'!AK402)=0,COUNTIF('История отказов'!$AK$5:AK402,'История отказов'!AK402)=1),398,""))</f>
        <v/>
      </c>
      <c r="DJ399">
        <f>IF('История отказов'!AU402="","",IF(AND(COUNTIF($CP$2:$CP$3,'История отказов'!AU402)=0,COUNTIF('История отказов'!$AU$5:AU402,'История отказов'!AU402)=1),398,""))</f>
        <v/>
      </c>
      <c r="DK399">
        <f>IF('История отказов'!AY402="","",IF(AND(COUNTIF($CR$2:$CR$2,'История отказов'!AY402)=0,COUNTIF('История отказов'!$AY$5:AY402,'История отказов'!AY402)=1),398,""))</f>
        <v/>
      </c>
      <c r="DL399">
        <f>IF(DB399="","",IF(AND(COUNTIF($DA$2:$DA$47,DB399)=0,COUNTIF($DB$2:DB399,DB399)=1),398,""))</f>
        <v/>
      </c>
    </row>
    <row r="400">
      <c r="A400" s="74" t="n"/>
      <c r="B400" s="75" t="n"/>
      <c r="C400" s="76" t="n"/>
      <c r="J400" s="62" t="n"/>
      <c r="K400" s="62" t="n"/>
      <c r="L400" s="62" t="n"/>
      <c r="M400" s="62" t="n"/>
      <c r="N400" s="62" t="n"/>
      <c r="Q400" t="inlineStr">
        <is>
          <t>ТКРС</t>
        </is>
      </c>
      <c r="R400" t="inlineStr">
        <is>
          <t>ТР4-9 — Прочие виды ремонтов по ШГН.</t>
        </is>
      </c>
      <c r="S400" t="inlineStr">
        <is>
          <t>Код и наименование из документа</t>
        </is>
      </c>
      <c r="T400" t="inlineStr">
        <is>
          <t>Классификатор ремонтных работ, РД 153-39.0-088-01</t>
        </is>
      </c>
      <c r="U400" t="inlineStr">
        <is>
          <t>Таблица 4.1; код ТР4-9</t>
        </is>
      </c>
      <c r="V400" t="inlineStr">
        <is>
          <t>Все типы</t>
        </is>
      </c>
      <c r="DB400">
        <f>IF('История отказов'!AH403="","",'История отказов'!AH403)</f>
        <v/>
      </c>
      <c r="DC400">
        <f>IF('История отказов'!AE403="","",IF(AND(COUNTIF($CT$2:$CT$2,'История отказов'!AE403)=0,COUNTIFS('История отказов'!$F$5:F403,"ШГН",'История отказов'!$AE$5:AE403,'История отказов'!AE403)=1,'История отказов'!F403="ШГН"),399,""))</f>
        <v/>
      </c>
      <c r="DD400">
        <f>IF('История отказов'!AE403="","",IF(AND(COUNTIF($CU$2:$CU$3,'История отказов'!AE403)=0,COUNTIFS('История отказов'!$F$5:F403,"ЭЦН",'История отказов'!$AE$5:AE403,'История отказов'!AE403)=1,'История отказов'!F403="ЭЦН"),399,""))</f>
        <v/>
      </c>
      <c r="DE400">
        <f>IF('История отказов'!AE403="","",IF(AND(COUNTIF($CV$2:$CV$3,'История отказов'!AE403)=0,COUNTIFS('История отказов'!$F$5:F403,"ЭВН",'История отказов'!$AE$5:AE403,'История отказов'!AE403)=1,'История отказов'!F403="ЭВН"),399,""))</f>
        <v/>
      </c>
      <c r="DF400">
        <f>IF('История отказов'!AE403="","",IF(AND(COUNTIF($CX$2:$CX$2,'История отказов'!AE403)=0,COUNTIFS('История отказов'!$F$5:F403,"ШВН",'История отказов'!$AE$5:AE403,'История отказов'!AE403)=1,'История отказов'!F403="ШВН"),399,""))</f>
        <v/>
      </c>
      <c r="DG400">
        <f>IF('История отказов'!AE403="","",IF(AND(COUNTIF($CW$2:$CW$2,'История отказов'!AE403)=0,COUNTIFS('История отказов'!$F$5:F403,"НПУ-ВД",'История отказов'!$AE$5:AE403,'История отказов'!AE403)=1,'История отказов'!F403="НПУ-ВД"),399,""))</f>
        <v/>
      </c>
      <c r="DH400">
        <f>IF('История отказов'!AE403="","",IF(AND(COUNTIF($CY$2:$CY$6,'История отказов'!AE403)=0,COUNTIF('История отказов'!$AE$5:AE403,'История отказов'!AE403)=1),399,""))</f>
        <v/>
      </c>
      <c r="DI400">
        <f>IF('История отказов'!AK403="","",IF(AND(COUNTIF($CL$2:$CL$3,'История отказов'!AK403)=0,COUNTIF('История отказов'!$AK$5:AK403,'История отказов'!AK403)=1),399,""))</f>
        <v/>
      </c>
      <c r="DJ400">
        <f>IF('История отказов'!AU403="","",IF(AND(COUNTIF($CP$2:$CP$3,'История отказов'!AU403)=0,COUNTIF('История отказов'!$AU$5:AU403,'История отказов'!AU403)=1),399,""))</f>
        <v/>
      </c>
      <c r="DK400">
        <f>IF('История отказов'!AY403="","",IF(AND(COUNTIF($CR$2:$CR$2,'История отказов'!AY403)=0,COUNTIF('История отказов'!$AY$5:AY403,'История отказов'!AY403)=1),399,""))</f>
        <v/>
      </c>
      <c r="DL400">
        <f>IF(DB400="","",IF(AND(COUNTIF($DA$2:$DA$47,DB400)=0,COUNTIF($DB$2:DB400,DB400)=1),399,""))</f>
        <v/>
      </c>
    </row>
    <row r="401">
      <c r="A401" s="74" t="n"/>
      <c r="B401" s="75" t="n"/>
      <c r="C401" s="76" t="n"/>
      <c r="J401" s="62" t="n"/>
      <c r="K401" s="62" t="n"/>
      <c r="L401" s="62" t="n"/>
      <c r="M401" s="62" t="n"/>
      <c r="N401" s="62" t="n"/>
      <c r="Q401" t="inlineStr">
        <is>
          <t>ТКРС</t>
        </is>
      </c>
      <c r="R401" t="inlineStr">
        <is>
          <t>ТР5-1 — Ревизия и смена насоса.</t>
        </is>
      </c>
      <c r="S401" t="inlineStr">
        <is>
          <t>Код и наименование из документа</t>
        </is>
      </c>
      <c r="T401" t="inlineStr">
        <is>
          <t>Классификатор ремонтных работ, РД 153-39.0-088-01</t>
        </is>
      </c>
      <c r="U401" t="inlineStr">
        <is>
          <t>Таблица 4.1; код ТР5-1</t>
        </is>
      </c>
      <c r="V401" t="inlineStr">
        <is>
          <t>Все типы</t>
        </is>
      </c>
      <c r="DB401">
        <f>IF('История отказов'!AH404="","",'История отказов'!AH404)</f>
        <v/>
      </c>
      <c r="DC401">
        <f>IF('История отказов'!AE404="","",IF(AND(COUNTIF($CT$2:$CT$2,'История отказов'!AE404)=0,COUNTIFS('История отказов'!$F$5:F404,"ШГН",'История отказов'!$AE$5:AE404,'История отказов'!AE404)=1,'История отказов'!F404="ШГН"),400,""))</f>
        <v/>
      </c>
      <c r="DD401">
        <f>IF('История отказов'!AE404="","",IF(AND(COUNTIF($CU$2:$CU$3,'История отказов'!AE404)=0,COUNTIFS('История отказов'!$F$5:F404,"ЭЦН",'История отказов'!$AE$5:AE404,'История отказов'!AE404)=1,'История отказов'!F404="ЭЦН"),400,""))</f>
        <v/>
      </c>
      <c r="DE401">
        <f>IF('История отказов'!AE404="","",IF(AND(COUNTIF($CV$2:$CV$3,'История отказов'!AE404)=0,COUNTIFS('История отказов'!$F$5:F404,"ЭВН",'История отказов'!$AE$5:AE404,'История отказов'!AE404)=1,'История отказов'!F404="ЭВН"),400,""))</f>
        <v/>
      </c>
      <c r="DF401">
        <f>IF('История отказов'!AE404="","",IF(AND(COUNTIF($CX$2:$CX$2,'История отказов'!AE404)=0,COUNTIFS('История отказов'!$F$5:F404,"ШВН",'История отказов'!$AE$5:AE404,'История отказов'!AE404)=1,'История отказов'!F404="ШВН"),400,""))</f>
        <v/>
      </c>
      <c r="DG401">
        <f>IF('История отказов'!AE404="","",IF(AND(COUNTIF($CW$2:$CW$2,'История отказов'!AE404)=0,COUNTIFS('История отказов'!$F$5:F404,"НПУ-ВД",'История отказов'!$AE$5:AE404,'История отказов'!AE404)=1,'История отказов'!F404="НПУ-ВД"),400,""))</f>
        <v/>
      </c>
      <c r="DH401">
        <f>IF('История отказов'!AE404="","",IF(AND(COUNTIF($CY$2:$CY$6,'История отказов'!AE404)=0,COUNTIF('История отказов'!$AE$5:AE404,'История отказов'!AE404)=1),400,""))</f>
        <v/>
      </c>
      <c r="DI401">
        <f>IF('История отказов'!AK404="","",IF(AND(COUNTIF($CL$2:$CL$3,'История отказов'!AK404)=0,COUNTIF('История отказов'!$AK$5:AK404,'История отказов'!AK404)=1),400,""))</f>
        <v/>
      </c>
      <c r="DJ401">
        <f>IF('История отказов'!AU404="","",IF(AND(COUNTIF($CP$2:$CP$3,'История отказов'!AU404)=0,COUNTIF('История отказов'!$AU$5:AU404,'История отказов'!AU404)=1),400,""))</f>
        <v/>
      </c>
      <c r="DK401">
        <f>IF('История отказов'!AY404="","",IF(AND(COUNTIF($CR$2:$CR$2,'История отказов'!AY404)=0,COUNTIF('История отказов'!$AY$5:AY404,'История отказов'!AY404)=1),400,""))</f>
        <v/>
      </c>
      <c r="DL401">
        <f>IF(DB401="","",IF(AND(COUNTIF($DA$2:$DA$47,DB401)=0,COUNTIF($DB$2:DB401,DB401)=1),400,""))</f>
        <v/>
      </c>
    </row>
    <row r="402">
      <c r="A402" s="74" t="n"/>
      <c r="B402" s="75" t="n"/>
      <c r="C402" s="76" t="n"/>
      <c r="J402" s="62" t="n"/>
      <c r="K402" s="62" t="n"/>
      <c r="L402" s="62" t="n"/>
      <c r="M402" s="62" t="n"/>
      <c r="N402" s="62" t="n"/>
      <c r="Q402" t="inlineStr">
        <is>
          <t>ТКРС</t>
        </is>
      </c>
      <c r="R402" t="inlineStr">
        <is>
          <t>ТР5-2 — Смена электродвигателя.</t>
        </is>
      </c>
      <c r="S402" t="inlineStr">
        <is>
          <t>Код и наименование из документа</t>
        </is>
      </c>
      <c r="T402" t="inlineStr">
        <is>
          <t>Классификатор ремонтных работ, РД 153-39.0-088-01</t>
        </is>
      </c>
      <c r="U402" t="inlineStr">
        <is>
          <t>Таблица 4.1; код ТР5-2</t>
        </is>
      </c>
      <c r="V402" t="inlineStr">
        <is>
          <t>Все типы</t>
        </is>
      </c>
      <c r="DB402">
        <f>IF('История отказов'!AH405="","",'История отказов'!AH405)</f>
        <v/>
      </c>
      <c r="DC402">
        <f>IF('История отказов'!AE405="","",IF(AND(COUNTIF($CT$2:$CT$2,'История отказов'!AE405)=0,COUNTIFS('История отказов'!$F$5:F405,"ШГН",'История отказов'!$AE$5:AE405,'История отказов'!AE405)=1,'История отказов'!F405="ШГН"),401,""))</f>
        <v/>
      </c>
      <c r="DD402">
        <f>IF('История отказов'!AE405="","",IF(AND(COUNTIF($CU$2:$CU$3,'История отказов'!AE405)=0,COUNTIFS('История отказов'!$F$5:F405,"ЭЦН",'История отказов'!$AE$5:AE405,'История отказов'!AE405)=1,'История отказов'!F405="ЭЦН"),401,""))</f>
        <v/>
      </c>
      <c r="DE402">
        <f>IF('История отказов'!AE405="","",IF(AND(COUNTIF($CV$2:$CV$3,'История отказов'!AE405)=0,COUNTIFS('История отказов'!$F$5:F405,"ЭВН",'История отказов'!$AE$5:AE405,'История отказов'!AE405)=1,'История отказов'!F405="ЭВН"),401,""))</f>
        <v/>
      </c>
      <c r="DF402">
        <f>IF('История отказов'!AE405="","",IF(AND(COUNTIF($CX$2:$CX$2,'История отказов'!AE405)=0,COUNTIFS('История отказов'!$F$5:F405,"ШВН",'История отказов'!$AE$5:AE405,'История отказов'!AE405)=1,'История отказов'!F405="ШВН"),401,""))</f>
        <v/>
      </c>
      <c r="DG402">
        <f>IF('История отказов'!AE405="","",IF(AND(COUNTIF($CW$2:$CW$2,'История отказов'!AE405)=0,COUNTIFS('История отказов'!$F$5:F405,"НПУ-ВД",'История отказов'!$AE$5:AE405,'История отказов'!AE405)=1,'История отказов'!F405="НПУ-ВД"),401,""))</f>
        <v/>
      </c>
      <c r="DH402">
        <f>IF('История отказов'!AE405="","",IF(AND(COUNTIF($CY$2:$CY$6,'История отказов'!AE405)=0,COUNTIF('История отказов'!$AE$5:AE405,'История отказов'!AE405)=1),401,""))</f>
        <v/>
      </c>
      <c r="DI402">
        <f>IF('История отказов'!AK405="","",IF(AND(COUNTIF($CL$2:$CL$3,'История отказов'!AK405)=0,COUNTIF('История отказов'!$AK$5:AK405,'История отказов'!AK405)=1),401,""))</f>
        <v/>
      </c>
      <c r="DJ402">
        <f>IF('История отказов'!AU405="","",IF(AND(COUNTIF($CP$2:$CP$3,'История отказов'!AU405)=0,COUNTIF('История отказов'!$AU$5:AU405,'История отказов'!AU405)=1),401,""))</f>
        <v/>
      </c>
      <c r="DK402">
        <f>IF('История отказов'!AY405="","",IF(AND(COUNTIF($CR$2:$CR$2,'История отказов'!AY405)=0,COUNTIF('История отказов'!$AY$5:AY405,'История отказов'!AY405)=1),401,""))</f>
        <v/>
      </c>
      <c r="DL402">
        <f>IF(DB402="","",IF(AND(COUNTIF($DA$2:$DA$47,DB402)=0,COUNTIF($DB$2:DB402,DB402)=1),401,""))</f>
        <v/>
      </c>
    </row>
    <row r="403">
      <c r="A403" s="74" t="n"/>
      <c r="B403" s="75" t="n"/>
      <c r="C403" s="76" t="n"/>
      <c r="J403" s="62" t="n"/>
      <c r="K403" s="62" t="n"/>
      <c r="L403" s="62" t="n"/>
      <c r="M403" s="62" t="n"/>
      <c r="N403" s="62" t="n"/>
      <c r="Q403" t="inlineStr">
        <is>
          <t>ТКРС</t>
        </is>
      </c>
      <c r="R403" t="inlineStr">
        <is>
          <t>ТР5-3 — Устранение повреждения кабеля.</t>
        </is>
      </c>
      <c r="S403" t="inlineStr">
        <is>
          <t>Код и наименование из документа</t>
        </is>
      </c>
      <c r="T403" t="inlineStr">
        <is>
          <t>Классификатор ремонтных работ, РД 153-39.0-088-01</t>
        </is>
      </c>
      <c r="U403" t="inlineStr">
        <is>
          <t>Таблица 4.1; код ТР5-3</t>
        </is>
      </c>
      <c r="V403" t="inlineStr">
        <is>
          <t>Все типы</t>
        </is>
      </c>
      <c r="DB403">
        <f>IF('История отказов'!AH406="","",'История отказов'!AH406)</f>
        <v/>
      </c>
      <c r="DC403">
        <f>IF('История отказов'!AE406="","",IF(AND(COUNTIF($CT$2:$CT$2,'История отказов'!AE406)=0,COUNTIFS('История отказов'!$F$5:F406,"ШГН",'История отказов'!$AE$5:AE406,'История отказов'!AE406)=1,'История отказов'!F406="ШГН"),402,""))</f>
        <v/>
      </c>
      <c r="DD403">
        <f>IF('История отказов'!AE406="","",IF(AND(COUNTIF($CU$2:$CU$3,'История отказов'!AE406)=0,COUNTIFS('История отказов'!$F$5:F406,"ЭЦН",'История отказов'!$AE$5:AE406,'История отказов'!AE406)=1,'История отказов'!F406="ЭЦН"),402,""))</f>
        <v/>
      </c>
      <c r="DE403">
        <f>IF('История отказов'!AE406="","",IF(AND(COUNTIF($CV$2:$CV$3,'История отказов'!AE406)=0,COUNTIFS('История отказов'!$F$5:F406,"ЭВН",'История отказов'!$AE$5:AE406,'История отказов'!AE406)=1,'История отказов'!F406="ЭВН"),402,""))</f>
        <v/>
      </c>
      <c r="DF403">
        <f>IF('История отказов'!AE406="","",IF(AND(COUNTIF($CX$2:$CX$2,'История отказов'!AE406)=0,COUNTIFS('История отказов'!$F$5:F406,"ШВН",'История отказов'!$AE$5:AE406,'История отказов'!AE406)=1,'История отказов'!F406="ШВН"),402,""))</f>
        <v/>
      </c>
      <c r="DG403">
        <f>IF('История отказов'!AE406="","",IF(AND(COUNTIF($CW$2:$CW$2,'История отказов'!AE406)=0,COUNTIFS('История отказов'!$F$5:F406,"НПУ-ВД",'История отказов'!$AE$5:AE406,'История отказов'!AE406)=1,'История отказов'!F406="НПУ-ВД"),402,""))</f>
        <v/>
      </c>
      <c r="DH403">
        <f>IF('История отказов'!AE406="","",IF(AND(COUNTIF($CY$2:$CY$6,'История отказов'!AE406)=0,COUNTIF('История отказов'!$AE$5:AE406,'История отказов'!AE406)=1),402,""))</f>
        <v/>
      </c>
      <c r="DI403">
        <f>IF('История отказов'!AK406="","",IF(AND(COUNTIF($CL$2:$CL$3,'История отказов'!AK406)=0,COUNTIF('История отказов'!$AK$5:AK406,'История отказов'!AK406)=1),402,""))</f>
        <v/>
      </c>
      <c r="DJ403">
        <f>IF('История отказов'!AU406="","",IF(AND(COUNTIF($CP$2:$CP$3,'История отказов'!AU406)=0,COUNTIF('История отказов'!$AU$5:AU406,'История отказов'!AU406)=1),402,""))</f>
        <v/>
      </c>
      <c r="DK403">
        <f>IF('История отказов'!AY406="","",IF(AND(COUNTIF($CR$2:$CR$2,'История отказов'!AY406)=0,COUNTIF('История отказов'!$AY$5:AY406,'История отказов'!AY406)=1),402,""))</f>
        <v/>
      </c>
      <c r="DL403">
        <f>IF(DB403="","",IF(AND(COUNTIF($DA$2:$DA$47,DB403)=0,COUNTIF($DB$2:DB403,DB403)=1),402,""))</f>
        <v/>
      </c>
    </row>
    <row r="404">
      <c r="A404" s="74" t="n"/>
      <c r="B404" s="75" t="n"/>
      <c r="C404" s="76" t="n"/>
      <c r="J404" s="62" t="n"/>
      <c r="K404" s="62" t="n"/>
      <c r="L404" s="62" t="n"/>
      <c r="M404" s="62" t="n"/>
      <c r="N404" s="62" t="n"/>
      <c r="Q404" t="inlineStr">
        <is>
          <t>ТКРС</t>
        </is>
      </c>
      <c r="R404" t="inlineStr">
        <is>
          <t>ТР5-4 — Ревизия, смена, устранение негерметичности НКТ.</t>
        </is>
      </c>
      <c r="S404" t="inlineStr">
        <is>
          <t>Код и наименование из документа</t>
        </is>
      </c>
      <c r="T404" t="inlineStr">
        <is>
          <t>Классификатор ремонтных работ, РД 153-39.0-088-01</t>
        </is>
      </c>
      <c r="U404" t="inlineStr">
        <is>
          <t>Таблица 4.1; код ТР5-4</t>
        </is>
      </c>
      <c r="V404" t="inlineStr">
        <is>
          <t>Все типы</t>
        </is>
      </c>
      <c r="DB404">
        <f>IF('История отказов'!AH407="","",'История отказов'!AH407)</f>
        <v/>
      </c>
      <c r="DC404">
        <f>IF('История отказов'!AE407="","",IF(AND(COUNTIF($CT$2:$CT$2,'История отказов'!AE407)=0,COUNTIFS('История отказов'!$F$5:F407,"ШГН",'История отказов'!$AE$5:AE407,'История отказов'!AE407)=1,'История отказов'!F407="ШГН"),403,""))</f>
        <v/>
      </c>
      <c r="DD404">
        <f>IF('История отказов'!AE407="","",IF(AND(COUNTIF($CU$2:$CU$3,'История отказов'!AE407)=0,COUNTIFS('История отказов'!$F$5:F407,"ЭЦН",'История отказов'!$AE$5:AE407,'История отказов'!AE407)=1,'История отказов'!F407="ЭЦН"),403,""))</f>
        <v/>
      </c>
      <c r="DE404">
        <f>IF('История отказов'!AE407="","",IF(AND(COUNTIF($CV$2:$CV$3,'История отказов'!AE407)=0,COUNTIFS('История отказов'!$F$5:F407,"ЭВН",'История отказов'!$AE$5:AE407,'История отказов'!AE407)=1,'История отказов'!F407="ЭВН"),403,""))</f>
        <v/>
      </c>
      <c r="DF404">
        <f>IF('История отказов'!AE407="","",IF(AND(COUNTIF($CX$2:$CX$2,'История отказов'!AE407)=0,COUNTIFS('История отказов'!$F$5:F407,"ШВН",'История отказов'!$AE$5:AE407,'История отказов'!AE407)=1,'История отказов'!F407="ШВН"),403,""))</f>
        <v/>
      </c>
      <c r="DG404">
        <f>IF('История отказов'!AE407="","",IF(AND(COUNTIF($CW$2:$CW$2,'История отказов'!AE407)=0,COUNTIFS('История отказов'!$F$5:F407,"НПУ-ВД",'История отказов'!$AE$5:AE407,'История отказов'!AE407)=1,'История отказов'!F407="НПУ-ВД"),403,""))</f>
        <v/>
      </c>
      <c r="DH404">
        <f>IF('История отказов'!AE407="","",IF(AND(COUNTIF($CY$2:$CY$6,'История отказов'!AE407)=0,COUNTIF('История отказов'!$AE$5:AE407,'История отказов'!AE407)=1),403,""))</f>
        <v/>
      </c>
      <c r="DI404">
        <f>IF('История отказов'!AK407="","",IF(AND(COUNTIF($CL$2:$CL$3,'История отказов'!AK407)=0,COUNTIF('История отказов'!$AK$5:AK407,'История отказов'!AK407)=1),403,""))</f>
        <v/>
      </c>
      <c r="DJ404">
        <f>IF('История отказов'!AU407="","",IF(AND(COUNTIF($CP$2:$CP$3,'История отказов'!AU407)=0,COUNTIF('История отказов'!$AU$5:AU407,'История отказов'!AU407)=1),403,""))</f>
        <v/>
      </c>
      <c r="DK404">
        <f>IF('История отказов'!AY407="","",IF(AND(COUNTIF($CR$2:$CR$2,'История отказов'!AY407)=0,COUNTIF('История отказов'!$AY$5:AY407,'История отказов'!AY407)=1),403,""))</f>
        <v/>
      </c>
      <c r="DL404">
        <f>IF(DB404="","",IF(AND(COUNTIF($DA$2:$DA$47,DB404)=0,COUNTIF($DB$2:DB404,DB404)=1),403,""))</f>
        <v/>
      </c>
    </row>
    <row r="405">
      <c r="A405" s="74" t="n"/>
      <c r="B405" s="75" t="n"/>
      <c r="C405" s="76" t="n"/>
      <c r="J405" s="62" t="n"/>
      <c r="K405" s="62" t="n"/>
      <c r="L405" s="62" t="n"/>
      <c r="M405" s="62" t="n"/>
      <c r="N405" s="62" t="n"/>
      <c r="Q405" t="inlineStr">
        <is>
          <t>ТКРС</t>
        </is>
      </c>
      <c r="R405" t="inlineStr">
        <is>
          <t>ТР5-5 — Очистка и пропарка НКТ.</t>
        </is>
      </c>
      <c r="S405" t="inlineStr">
        <is>
          <t>Код и наименование из документа</t>
        </is>
      </c>
      <c r="T405" t="inlineStr">
        <is>
          <t>Классификатор ремонтных работ, РД 153-39.0-088-01</t>
        </is>
      </c>
      <c r="U405" t="inlineStr">
        <is>
          <t>Таблица 4.1; код ТР5-5</t>
        </is>
      </c>
      <c r="V405" t="inlineStr">
        <is>
          <t>Все типы</t>
        </is>
      </c>
      <c r="DB405">
        <f>IF('История отказов'!AH408="","",'История отказов'!AH408)</f>
        <v/>
      </c>
      <c r="DC405">
        <f>IF('История отказов'!AE408="","",IF(AND(COUNTIF($CT$2:$CT$2,'История отказов'!AE408)=0,COUNTIFS('История отказов'!$F$5:F408,"ШГН",'История отказов'!$AE$5:AE408,'История отказов'!AE408)=1,'История отказов'!F408="ШГН"),404,""))</f>
        <v/>
      </c>
      <c r="DD405">
        <f>IF('История отказов'!AE408="","",IF(AND(COUNTIF($CU$2:$CU$3,'История отказов'!AE408)=0,COUNTIFS('История отказов'!$F$5:F408,"ЭЦН",'История отказов'!$AE$5:AE408,'История отказов'!AE408)=1,'История отказов'!F408="ЭЦН"),404,""))</f>
        <v/>
      </c>
      <c r="DE405">
        <f>IF('История отказов'!AE408="","",IF(AND(COUNTIF($CV$2:$CV$3,'История отказов'!AE408)=0,COUNTIFS('История отказов'!$F$5:F408,"ЭВН",'История отказов'!$AE$5:AE408,'История отказов'!AE408)=1,'История отказов'!F408="ЭВН"),404,""))</f>
        <v/>
      </c>
      <c r="DF405">
        <f>IF('История отказов'!AE408="","",IF(AND(COUNTIF($CX$2:$CX$2,'История отказов'!AE408)=0,COUNTIFS('История отказов'!$F$5:F408,"ШВН",'История отказов'!$AE$5:AE408,'История отказов'!AE408)=1,'История отказов'!F408="ШВН"),404,""))</f>
        <v/>
      </c>
      <c r="DG405">
        <f>IF('История отказов'!AE408="","",IF(AND(COUNTIF($CW$2:$CW$2,'История отказов'!AE408)=0,COUNTIFS('История отказов'!$F$5:F408,"НПУ-ВД",'История отказов'!$AE$5:AE408,'История отказов'!AE408)=1,'История отказов'!F408="НПУ-ВД"),404,""))</f>
        <v/>
      </c>
      <c r="DH405">
        <f>IF('История отказов'!AE408="","",IF(AND(COUNTIF($CY$2:$CY$6,'История отказов'!AE408)=0,COUNTIF('История отказов'!$AE$5:AE408,'История отказов'!AE408)=1),404,""))</f>
        <v/>
      </c>
      <c r="DI405">
        <f>IF('История отказов'!AK408="","",IF(AND(COUNTIF($CL$2:$CL$3,'История отказов'!AK408)=0,COUNTIF('История отказов'!$AK$5:AK408,'История отказов'!AK408)=1),404,""))</f>
        <v/>
      </c>
      <c r="DJ405">
        <f>IF('История отказов'!AU408="","",IF(AND(COUNTIF($CP$2:$CP$3,'История отказов'!AU408)=0,COUNTIF('История отказов'!$AU$5:AU408,'История отказов'!AU408)=1),404,""))</f>
        <v/>
      </c>
      <c r="DK405">
        <f>IF('История отказов'!AY408="","",IF(AND(COUNTIF($CR$2:$CR$2,'История отказов'!AY408)=0,COUNTIF('История отказов'!$AY$5:AY408,'История отказов'!AY408)=1),404,""))</f>
        <v/>
      </c>
      <c r="DL405">
        <f>IF(DB405="","",IF(AND(COUNTIF($DA$2:$DA$47,DB405)=0,COUNTIF($DB$2:DB405,DB405)=1),404,""))</f>
        <v/>
      </c>
    </row>
    <row r="406">
      <c r="A406" s="74" t="n"/>
      <c r="B406" s="75" t="n"/>
      <c r="C406" s="76" t="n"/>
      <c r="J406" s="62" t="n"/>
      <c r="K406" s="62" t="n"/>
      <c r="L406" s="62" t="n"/>
      <c r="M406" s="62" t="n"/>
      <c r="N406" s="62" t="n"/>
      <c r="Q406" t="inlineStr">
        <is>
          <t>ТКРС</t>
        </is>
      </c>
      <c r="R406" t="inlineStr">
        <is>
          <t>ТР5-6 — Ревизия, смена устьевого оборудования.</t>
        </is>
      </c>
      <c r="S406" t="inlineStr">
        <is>
          <t>Код и наименование из документа</t>
        </is>
      </c>
      <c r="T406" t="inlineStr">
        <is>
          <t>Классификатор ремонтных работ, РД 153-39.0-088-01</t>
        </is>
      </c>
      <c r="U406" t="inlineStr">
        <is>
          <t>Таблица 4.1; код ТР5-6</t>
        </is>
      </c>
      <c r="V406" t="inlineStr">
        <is>
          <t>Все типы</t>
        </is>
      </c>
      <c r="DB406">
        <f>IF('История отказов'!AH409="","",'История отказов'!AH409)</f>
        <v/>
      </c>
      <c r="DC406">
        <f>IF('История отказов'!AE409="","",IF(AND(COUNTIF($CT$2:$CT$2,'История отказов'!AE409)=0,COUNTIFS('История отказов'!$F$5:F409,"ШГН",'История отказов'!$AE$5:AE409,'История отказов'!AE409)=1,'История отказов'!F409="ШГН"),405,""))</f>
        <v/>
      </c>
      <c r="DD406">
        <f>IF('История отказов'!AE409="","",IF(AND(COUNTIF($CU$2:$CU$3,'История отказов'!AE409)=0,COUNTIFS('История отказов'!$F$5:F409,"ЭЦН",'История отказов'!$AE$5:AE409,'История отказов'!AE409)=1,'История отказов'!F409="ЭЦН"),405,""))</f>
        <v/>
      </c>
      <c r="DE406">
        <f>IF('История отказов'!AE409="","",IF(AND(COUNTIF($CV$2:$CV$3,'История отказов'!AE409)=0,COUNTIFS('История отказов'!$F$5:F409,"ЭВН",'История отказов'!$AE$5:AE409,'История отказов'!AE409)=1,'История отказов'!F409="ЭВН"),405,""))</f>
        <v/>
      </c>
      <c r="DF406">
        <f>IF('История отказов'!AE409="","",IF(AND(COUNTIF($CX$2:$CX$2,'История отказов'!AE409)=0,COUNTIFS('История отказов'!$F$5:F409,"ШВН",'История отказов'!$AE$5:AE409,'История отказов'!AE409)=1,'История отказов'!F409="ШВН"),405,""))</f>
        <v/>
      </c>
      <c r="DG406">
        <f>IF('История отказов'!AE409="","",IF(AND(COUNTIF($CW$2:$CW$2,'История отказов'!AE409)=0,COUNTIFS('История отказов'!$F$5:F409,"НПУ-ВД",'История отказов'!$AE$5:AE409,'История отказов'!AE409)=1,'История отказов'!F409="НПУ-ВД"),405,""))</f>
        <v/>
      </c>
      <c r="DH406">
        <f>IF('История отказов'!AE409="","",IF(AND(COUNTIF($CY$2:$CY$6,'История отказов'!AE409)=0,COUNTIF('История отказов'!$AE$5:AE409,'История отказов'!AE409)=1),405,""))</f>
        <v/>
      </c>
      <c r="DI406">
        <f>IF('История отказов'!AK409="","",IF(AND(COUNTIF($CL$2:$CL$3,'История отказов'!AK409)=0,COUNTIF('История отказов'!$AK$5:AK409,'История отказов'!AK409)=1),405,""))</f>
        <v/>
      </c>
      <c r="DJ406">
        <f>IF('История отказов'!AU409="","",IF(AND(COUNTIF($CP$2:$CP$3,'История отказов'!AU409)=0,COUNTIF('История отказов'!$AU$5:AU409,'История отказов'!AU409)=1),405,""))</f>
        <v/>
      </c>
      <c r="DK406">
        <f>IF('История отказов'!AY409="","",IF(AND(COUNTIF($CR$2:$CR$2,'История отказов'!AY409)=0,COUNTIF('История отказов'!$AY$5:AY409,'История отказов'!AY409)=1),405,""))</f>
        <v/>
      </c>
      <c r="DL406">
        <f>IF(DB406="","",IF(AND(COUNTIF($DA$2:$DA$47,DB406)=0,COUNTIF($DB$2:DB406,DB406)=1),405,""))</f>
        <v/>
      </c>
    </row>
    <row r="407">
      <c r="A407" s="74" t="n"/>
      <c r="B407" s="75" t="n"/>
      <c r="C407" s="76" t="n"/>
      <c r="J407" s="62" t="n"/>
      <c r="K407" s="62" t="n"/>
      <c r="L407" s="62" t="n"/>
      <c r="M407" s="62" t="n"/>
      <c r="N407" s="62" t="n"/>
      <c r="Q407" t="inlineStr">
        <is>
          <t>ТКРС</t>
        </is>
      </c>
      <c r="R407" t="inlineStr">
        <is>
          <t>ТР5-7 — Прочие виды ремонтов по УЭЦН (наращивание кабеля на устье и др.).</t>
        </is>
      </c>
      <c r="S407" t="inlineStr">
        <is>
          <t>Код и наименование из документа</t>
        </is>
      </c>
      <c r="T407" t="inlineStr">
        <is>
          <t>Классификатор ремонтных работ, РД 153-39.0-088-01</t>
        </is>
      </c>
      <c r="U407" t="inlineStr">
        <is>
          <t>Таблица 4.1; код ТР5-7</t>
        </is>
      </c>
      <c r="V407" t="inlineStr">
        <is>
          <t>Все типы</t>
        </is>
      </c>
      <c r="DB407">
        <f>IF('История отказов'!AH410="","",'История отказов'!AH410)</f>
        <v/>
      </c>
      <c r="DC407">
        <f>IF('История отказов'!AE410="","",IF(AND(COUNTIF($CT$2:$CT$2,'История отказов'!AE410)=0,COUNTIFS('История отказов'!$F$5:F410,"ШГН",'История отказов'!$AE$5:AE410,'История отказов'!AE410)=1,'История отказов'!F410="ШГН"),406,""))</f>
        <v/>
      </c>
      <c r="DD407">
        <f>IF('История отказов'!AE410="","",IF(AND(COUNTIF($CU$2:$CU$3,'История отказов'!AE410)=0,COUNTIFS('История отказов'!$F$5:F410,"ЭЦН",'История отказов'!$AE$5:AE410,'История отказов'!AE410)=1,'История отказов'!F410="ЭЦН"),406,""))</f>
        <v/>
      </c>
      <c r="DE407">
        <f>IF('История отказов'!AE410="","",IF(AND(COUNTIF($CV$2:$CV$3,'История отказов'!AE410)=0,COUNTIFS('История отказов'!$F$5:F410,"ЭВН",'История отказов'!$AE$5:AE410,'История отказов'!AE410)=1,'История отказов'!F410="ЭВН"),406,""))</f>
        <v/>
      </c>
      <c r="DF407">
        <f>IF('История отказов'!AE410="","",IF(AND(COUNTIF($CX$2:$CX$2,'История отказов'!AE410)=0,COUNTIFS('История отказов'!$F$5:F410,"ШВН",'История отказов'!$AE$5:AE410,'История отказов'!AE410)=1,'История отказов'!F410="ШВН"),406,""))</f>
        <v/>
      </c>
      <c r="DG407">
        <f>IF('История отказов'!AE410="","",IF(AND(COUNTIF($CW$2:$CW$2,'История отказов'!AE410)=0,COUNTIFS('История отказов'!$F$5:F410,"НПУ-ВД",'История отказов'!$AE$5:AE410,'История отказов'!AE410)=1,'История отказов'!F410="НПУ-ВД"),406,""))</f>
        <v/>
      </c>
      <c r="DH407">
        <f>IF('История отказов'!AE410="","",IF(AND(COUNTIF($CY$2:$CY$6,'История отказов'!AE410)=0,COUNTIF('История отказов'!$AE$5:AE410,'История отказов'!AE410)=1),406,""))</f>
        <v/>
      </c>
      <c r="DI407">
        <f>IF('История отказов'!AK410="","",IF(AND(COUNTIF($CL$2:$CL$3,'История отказов'!AK410)=0,COUNTIF('История отказов'!$AK$5:AK410,'История отказов'!AK410)=1),406,""))</f>
        <v/>
      </c>
      <c r="DJ407">
        <f>IF('История отказов'!AU410="","",IF(AND(COUNTIF($CP$2:$CP$3,'История отказов'!AU410)=0,COUNTIF('История отказов'!$AU$5:AU410,'История отказов'!AU410)=1),406,""))</f>
        <v/>
      </c>
      <c r="DK407">
        <f>IF('История отказов'!AY410="","",IF(AND(COUNTIF($CR$2:$CR$2,'История отказов'!AY410)=0,COUNTIF('История отказов'!$AY$5:AY410,'История отказов'!AY410)=1),406,""))</f>
        <v/>
      </c>
      <c r="DL407">
        <f>IF(DB407="","",IF(AND(COUNTIF($DA$2:$DA$47,DB407)=0,COUNTIF($DB$2:DB407,DB407)=1),406,""))</f>
        <v/>
      </c>
    </row>
    <row r="408">
      <c r="A408" s="74" t="n"/>
      <c r="B408" s="75" t="n"/>
      <c r="C408" s="76" t="n"/>
      <c r="J408" s="62" t="n"/>
      <c r="K408" s="62" t="n"/>
      <c r="L408" s="62" t="n"/>
      <c r="M408" s="62" t="n"/>
      <c r="N408" s="62" t="n"/>
      <c r="Q408" t="inlineStr">
        <is>
          <t>ТКРС</t>
        </is>
      </c>
      <c r="R408" t="inlineStr">
        <is>
          <t>ТР6-2 — Очистка и пропарка НКТ.</t>
        </is>
      </c>
      <c r="S408" t="inlineStr">
        <is>
          <t>Код и наименование из документа</t>
        </is>
      </c>
      <c r="T408" t="inlineStr">
        <is>
          <t>Классификатор ремонтных работ, РД 153-39.0-088-01</t>
        </is>
      </c>
      <c r="U408" t="inlineStr">
        <is>
          <t>Таблица 4.1; код ТР6-2</t>
        </is>
      </c>
      <c r="V408" t="inlineStr">
        <is>
          <t>Все типы</t>
        </is>
      </c>
      <c r="DB408">
        <f>IF('История отказов'!AH411="","",'История отказов'!AH411)</f>
        <v/>
      </c>
      <c r="DC408">
        <f>IF('История отказов'!AE411="","",IF(AND(COUNTIF($CT$2:$CT$2,'История отказов'!AE411)=0,COUNTIFS('История отказов'!$F$5:F411,"ШГН",'История отказов'!$AE$5:AE411,'История отказов'!AE411)=1,'История отказов'!F411="ШГН"),407,""))</f>
        <v/>
      </c>
      <c r="DD408">
        <f>IF('История отказов'!AE411="","",IF(AND(COUNTIF($CU$2:$CU$3,'История отказов'!AE411)=0,COUNTIFS('История отказов'!$F$5:F411,"ЭЦН",'История отказов'!$AE$5:AE411,'История отказов'!AE411)=1,'История отказов'!F411="ЭЦН"),407,""))</f>
        <v/>
      </c>
      <c r="DE408">
        <f>IF('История отказов'!AE411="","",IF(AND(COUNTIF($CV$2:$CV$3,'История отказов'!AE411)=0,COUNTIFS('История отказов'!$F$5:F411,"ЭВН",'История отказов'!$AE$5:AE411,'История отказов'!AE411)=1,'История отказов'!F411="ЭВН"),407,""))</f>
        <v/>
      </c>
      <c r="DF408">
        <f>IF('История отказов'!AE411="","",IF(AND(COUNTIF($CX$2:$CX$2,'История отказов'!AE411)=0,COUNTIFS('История отказов'!$F$5:F411,"ШВН",'История отказов'!$AE$5:AE411,'История отказов'!AE411)=1,'История отказов'!F411="ШВН"),407,""))</f>
        <v/>
      </c>
      <c r="DG408">
        <f>IF('История отказов'!AE411="","",IF(AND(COUNTIF($CW$2:$CW$2,'История отказов'!AE411)=0,COUNTIFS('История отказов'!$F$5:F411,"НПУ-ВД",'История отказов'!$AE$5:AE411,'История отказов'!AE411)=1,'История отказов'!F411="НПУ-ВД"),407,""))</f>
        <v/>
      </c>
      <c r="DH408">
        <f>IF('История отказов'!AE411="","",IF(AND(COUNTIF($CY$2:$CY$6,'История отказов'!AE411)=0,COUNTIF('История отказов'!$AE$5:AE411,'История отказов'!AE411)=1),407,""))</f>
        <v/>
      </c>
      <c r="DI408">
        <f>IF('История отказов'!AK411="","",IF(AND(COUNTIF($CL$2:$CL$3,'История отказов'!AK411)=0,COUNTIF('История отказов'!$AK$5:AK411,'История отказов'!AK411)=1),407,""))</f>
        <v/>
      </c>
      <c r="DJ408">
        <f>IF('История отказов'!AU411="","",IF(AND(COUNTIF($CP$2:$CP$3,'История отказов'!AU411)=0,COUNTIF('История отказов'!$AU$5:AU411,'История отказов'!AU411)=1),407,""))</f>
        <v/>
      </c>
      <c r="DK408">
        <f>IF('История отказов'!AY411="","",IF(AND(COUNTIF($CR$2:$CR$2,'История отказов'!AY411)=0,COUNTIF('История отказов'!$AY$5:AY411,'История отказов'!AY411)=1),407,""))</f>
        <v/>
      </c>
      <c r="DL408">
        <f>IF(DB408="","",IF(AND(COUNTIF($DA$2:$DA$47,DB408)=0,COUNTIF($DB$2:DB408,DB408)=1),407,""))</f>
        <v/>
      </c>
    </row>
    <row r="409">
      <c r="A409" s="74" t="n"/>
      <c r="B409" s="75" t="n"/>
      <c r="C409" s="76" t="n"/>
      <c r="J409" s="62" t="n"/>
      <c r="K409" s="62" t="n"/>
      <c r="L409" s="62" t="n"/>
      <c r="M409" s="62" t="n"/>
      <c r="N409" s="62" t="n"/>
      <c r="Q409" t="inlineStr">
        <is>
          <t>ТКРС</t>
        </is>
      </c>
      <c r="R409" t="inlineStr">
        <is>
          <t>ТР6-3 — Смена, ревизия устьевого оборудования.</t>
        </is>
      </c>
      <c r="S409" t="inlineStr">
        <is>
          <t>Код и наименование из документа</t>
        </is>
      </c>
      <c r="T409" t="inlineStr">
        <is>
          <t>Классификатор ремонтных работ, РД 153-39.0-088-01</t>
        </is>
      </c>
      <c r="U409" t="inlineStr">
        <is>
          <t>Таблица 4.1; код ТР6-3</t>
        </is>
      </c>
      <c r="V409" t="inlineStr">
        <is>
          <t>Все типы</t>
        </is>
      </c>
      <c r="DB409">
        <f>IF('История отказов'!AH412="","",'История отказов'!AH412)</f>
        <v/>
      </c>
      <c r="DC409">
        <f>IF('История отказов'!AE412="","",IF(AND(COUNTIF($CT$2:$CT$2,'История отказов'!AE412)=0,COUNTIFS('История отказов'!$F$5:F412,"ШГН",'История отказов'!$AE$5:AE412,'История отказов'!AE412)=1,'История отказов'!F412="ШГН"),408,""))</f>
        <v/>
      </c>
      <c r="DD409">
        <f>IF('История отказов'!AE412="","",IF(AND(COUNTIF($CU$2:$CU$3,'История отказов'!AE412)=0,COUNTIFS('История отказов'!$F$5:F412,"ЭЦН",'История отказов'!$AE$5:AE412,'История отказов'!AE412)=1,'История отказов'!F412="ЭЦН"),408,""))</f>
        <v/>
      </c>
      <c r="DE409">
        <f>IF('История отказов'!AE412="","",IF(AND(COUNTIF($CV$2:$CV$3,'История отказов'!AE412)=0,COUNTIFS('История отказов'!$F$5:F412,"ЭВН",'История отказов'!$AE$5:AE412,'История отказов'!AE412)=1,'История отказов'!F412="ЭВН"),408,""))</f>
        <v/>
      </c>
      <c r="DF409">
        <f>IF('История отказов'!AE412="","",IF(AND(COUNTIF($CX$2:$CX$2,'История отказов'!AE412)=0,COUNTIFS('История отказов'!$F$5:F412,"ШВН",'История отказов'!$AE$5:AE412,'История отказов'!AE412)=1,'История отказов'!F412="ШВН"),408,""))</f>
        <v/>
      </c>
      <c r="DG409">
        <f>IF('История отказов'!AE412="","",IF(AND(COUNTIF($CW$2:$CW$2,'История отказов'!AE412)=0,COUNTIFS('История отказов'!$F$5:F412,"НПУ-ВД",'История отказов'!$AE$5:AE412,'История отказов'!AE412)=1,'История отказов'!F412="НПУ-ВД"),408,""))</f>
        <v/>
      </c>
      <c r="DH409">
        <f>IF('История отказов'!AE412="","",IF(AND(COUNTIF($CY$2:$CY$6,'История отказов'!AE412)=0,COUNTIF('История отказов'!$AE$5:AE412,'История отказов'!AE412)=1),408,""))</f>
        <v/>
      </c>
      <c r="DI409">
        <f>IF('История отказов'!AK412="","",IF(AND(COUNTIF($CL$2:$CL$3,'История отказов'!AK412)=0,COUNTIF('История отказов'!$AK$5:AK412,'История отказов'!AK412)=1),408,""))</f>
        <v/>
      </c>
      <c r="DJ409">
        <f>IF('История отказов'!AU412="","",IF(AND(COUNTIF($CP$2:$CP$3,'История отказов'!AU412)=0,COUNTIF('История отказов'!$AU$5:AU412,'История отказов'!AU412)=1),408,""))</f>
        <v/>
      </c>
      <c r="DK409">
        <f>IF('История отказов'!AY412="","",IF(AND(COUNTIF($CR$2:$CR$2,'История отказов'!AY412)=0,COUNTIF('История отказов'!$AY$5:AY412,'История отказов'!AY412)=1),408,""))</f>
        <v/>
      </c>
      <c r="DL409">
        <f>IF(DB409="","",IF(AND(COUNTIF($DA$2:$DA$47,DB409)=0,COUNTIF($DB$2:DB409,DB409)=1),408,""))</f>
        <v/>
      </c>
    </row>
    <row r="410">
      <c r="A410" s="74" t="n"/>
      <c r="B410" s="75" t="n"/>
      <c r="C410" s="76" t="n"/>
      <c r="J410" s="62" t="n"/>
      <c r="K410" s="62" t="n"/>
      <c r="L410" s="62" t="n"/>
      <c r="M410" s="62" t="n"/>
      <c r="N410" s="62" t="n"/>
      <c r="Q410" t="inlineStr">
        <is>
          <t>ТКРС</t>
        </is>
      </c>
      <c r="R410" t="inlineStr">
        <is>
          <t>ТР6-4 — Прочие виды ремонтов по фонтанным скважинам.</t>
        </is>
      </c>
      <c r="S410" t="inlineStr">
        <is>
          <t>Код и наименование из документа</t>
        </is>
      </c>
      <c r="T410" t="inlineStr">
        <is>
          <t>Классификатор ремонтных работ, РД 153-39.0-088-01</t>
        </is>
      </c>
      <c r="U410" t="inlineStr">
        <is>
          <t>Таблица 4.1; код ТР6-4</t>
        </is>
      </c>
      <c r="V410" t="inlineStr">
        <is>
          <t>Все типы</t>
        </is>
      </c>
      <c r="DB410">
        <f>IF('История отказов'!AH413="","",'История отказов'!AH413)</f>
        <v/>
      </c>
      <c r="DC410">
        <f>IF('История отказов'!AE413="","",IF(AND(COUNTIF($CT$2:$CT$2,'История отказов'!AE413)=0,COUNTIFS('История отказов'!$F$5:F413,"ШГН",'История отказов'!$AE$5:AE413,'История отказов'!AE413)=1,'История отказов'!F413="ШГН"),409,""))</f>
        <v/>
      </c>
      <c r="DD410">
        <f>IF('История отказов'!AE413="","",IF(AND(COUNTIF($CU$2:$CU$3,'История отказов'!AE413)=0,COUNTIFS('История отказов'!$F$5:F413,"ЭЦН",'История отказов'!$AE$5:AE413,'История отказов'!AE413)=1,'История отказов'!F413="ЭЦН"),409,""))</f>
        <v/>
      </c>
      <c r="DE410">
        <f>IF('История отказов'!AE413="","",IF(AND(COUNTIF($CV$2:$CV$3,'История отказов'!AE413)=0,COUNTIFS('История отказов'!$F$5:F413,"ЭВН",'История отказов'!$AE$5:AE413,'История отказов'!AE413)=1,'История отказов'!F413="ЭВН"),409,""))</f>
        <v/>
      </c>
      <c r="DF410">
        <f>IF('История отказов'!AE413="","",IF(AND(COUNTIF($CX$2:$CX$2,'История отказов'!AE413)=0,COUNTIFS('История отказов'!$F$5:F413,"ШВН",'История отказов'!$AE$5:AE413,'История отказов'!AE413)=1,'История отказов'!F413="ШВН"),409,""))</f>
        <v/>
      </c>
      <c r="DG410">
        <f>IF('История отказов'!AE413="","",IF(AND(COUNTIF($CW$2:$CW$2,'История отказов'!AE413)=0,COUNTIFS('История отказов'!$F$5:F413,"НПУ-ВД",'История отказов'!$AE$5:AE413,'История отказов'!AE413)=1,'История отказов'!F413="НПУ-ВД"),409,""))</f>
        <v/>
      </c>
      <c r="DH410">
        <f>IF('История отказов'!AE413="","",IF(AND(COUNTIF($CY$2:$CY$6,'История отказов'!AE413)=0,COUNTIF('История отказов'!$AE$5:AE413,'История отказов'!AE413)=1),409,""))</f>
        <v/>
      </c>
      <c r="DI410">
        <f>IF('История отказов'!AK413="","",IF(AND(COUNTIF($CL$2:$CL$3,'История отказов'!AK413)=0,COUNTIF('История отказов'!$AK$5:AK413,'История отказов'!AK413)=1),409,""))</f>
        <v/>
      </c>
      <c r="DJ410">
        <f>IF('История отказов'!AU413="","",IF(AND(COUNTIF($CP$2:$CP$3,'История отказов'!AU413)=0,COUNTIF('История отказов'!$AU$5:AU413,'История отказов'!AU413)=1),409,""))</f>
        <v/>
      </c>
      <c r="DK410">
        <f>IF('История отказов'!AY413="","",IF(AND(COUNTIF($CR$2:$CR$2,'История отказов'!AY413)=0,COUNTIF('История отказов'!$AY$5:AY413,'История отказов'!AY413)=1),409,""))</f>
        <v/>
      </c>
      <c r="DL410">
        <f>IF(DB410="","",IF(AND(COUNTIF($DA$2:$DA$47,DB410)=0,COUNTIF($DB$2:DB410,DB410)=1),409,""))</f>
        <v/>
      </c>
    </row>
    <row r="411">
      <c r="A411" s="74" t="n"/>
      <c r="B411" s="75" t="n"/>
      <c r="C411" s="76" t="n"/>
      <c r="J411" s="62" t="n"/>
      <c r="K411" s="62" t="n"/>
      <c r="L411" s="62" t="n"/>
      <c r="M411" s="62" t="n"/>
      <c r="N411" s="62" t="n"/>
      <c r="Q411" t="inlineStr">
        <is>
          <t>ТКРС</t>
        </is>
      </c>
      <c r="R411" t="inlineStr">
        <is>
          <t>ТР7-2 — Очистка и пропарка НКТ.</t>
        </is>
      </c>
      <c r="S411" t="inlineStr">
        <is>
          <t>Код и наименование из документа</t>
        </is>
      </c>
      <c r="T411" t="inlineStr">
        <is>
          <t>Классификатор ремонтных работ, РД 153-39.0-088-01</t>
        </is>
      </c>
      <c r="U411" t="inlineStr">
        <is>
          <t>Таблица 4.1; код ТР7-2</t>
        </is>
      </c>
      <c r="V411" t="inlineStr">
        <is>
          <t>Все типы</t>
        </is>
      </c>
      <c r="DB411">
        <f>IF('История отказов'!AH414="","",'История отказов'!AH414)</f>
        <v/>
      </c>
      <c r="DC411">
        <f>IF('История отказов'!AE414="","",IF(AND(COUNTIF($CT$2:$CT$2,'История отказов'!AE414)=0,COUNTIFS('История отказов'!$F$5:F414,"ШГН",'История отказов'!$AE$5:AE414,'История отказов'!AE414)=1,'История отказов'!F414="ШГН"),410,""))</f>
        <v/>
      </c>
      <c r="DD411">
        <f>IF('История отказов'!AE414="","",IF(AND(COUNTIF($CU$2:$CU$3,'История отказов'!AE414)=0,COUNTIFS('История отказов'!$F$5:F414,"ЭЦН",'История отказов'!$AE$5:AE414,'История отказов'!AE414)=1,'История отказов'!F414="ЭЦН"),410,""))</f>
        <v/>
      </c>
      <c r="DE411">
        <f>IF('История отказов'!AE414="","",IF(AND(COUNTIF($CV$2:$CV$3,'История отказов'!AE414)=0,COUNTIFS('История отказов'!$F$5:F414,"ЭВН",'История отказов'!$AE$5:AE414,'История отказов'!AE414)=1,'История отказов'!F414="ЭВН"),410,""))</f>
        <v/>
      </c>
      <c r="DF411">
        <f>IF('История отказов'!AE414="","",IF(AND(COUNTIF($CX$2:$CX$2,'История отказов'!AE414)=0,COUNTIFS('История отказов'!$F$5:F414,"ШВН",'История отказов'!$AE$5:AE414,'История отказов'!AE414)=1,'История отказов'!F414="ШВН"),410,""))</f>
        <v/>
      </c>
      <c r="DG411">
        <f>IF('История отказов'!AE414="","",IF(AND(COUNTIF($CW$2:$CW$2,'История отказов'!AE414)=0,COUNTIFS('История отказов'!$F$5:F414,"НПУ-ВД",'История отказов'!$AE$5:AE414,'История отказов'!AE414)=1,'История отказов'!F414="НПУ-ВД"),410,""))</f>
        <v/>
      </c>
      <c r="DH411">
        <f>IF('История отказов'!AE414="","",IF(AND(COUNTIF($CY$2:$CY$6,'История отказов'!AE414)=0,COUNTIF('История отказов'!$AE$5:AE414,'История отказов'!AE414)=1),410,""))</f>
        <v/>
      </c>
      <c r="DI411">
        <f>IF('История отказов'!AK414="","",IF(AND(COUNTIF($CL$2:$CL$3,'История отказов'!AK414)=0,COUNTIF('История отказов'!$AK$5:AK414,'История отказов'!AK414)=1),410,""))</f>
        <v/>
      </c>
      <c r="DJ411">
        <f>IF('История отказов'!AU414="","",IF(AND(COUNTIF($CP$2:$CP$3,'История отказов'!AU414)=0,COUNTIF('История отказов'!$AU$5:AU414,'История отказов'!AU414)=1),410,""))</f>
        <v/>
      </c>
      <c r="DK411">
        <f>IF('История отказов'!AY414="","",IF(AND(COUNTIF($CR$2:$CR$2,'История отказов'!AY414)=0,COUNTIF('История отказов'!$AY$5:AY414,'История отказов'!AY414)=1),410,""))</f>
        <v/>
      </c>
      <c r="DL411">
        <f>IF(DB411="","",IF(AND(COUNTIF($DA$2:$DA$47,DB411)=0,COUNTIF($DB$2:DB411,DB411)=1),410,""))</f>
        <v/>
      </c>
    </row>
    <row r="412">
      <c r="A412" s="74" t="n"/>
      <c r="B412" s="75" t="n"/>
      <c r="C412" s="76" t="n"/>
      <c r="J412" s="62" t="n"/>
      <c r="K412" s="62" t="n"/>
      <c r="L412" s="62" t="n"/>
      <c r="M412" s="62" t="n"/>
      <c r="N412" s="62" t="n"/>
      <c r="Q412" t="inlineStr">
        <is>
          <t>ТКРС</t>
        </is>
      </c>
      <c r="R412" t="inlineStr">
        <is>
          <t>ТР7-3 — Ревизия, замена, очистка газлифтных клапанов.</t>
        </is>
      </c>
      <c r="S412" t="inlineStr">
        <is>
          <t>Код и наименование из документа</t>
        </is>
      </c>
      <c r="T412" t="inlineStr">
        <is>
          <t>Классификатор ремонтных работ, РД 153-39.0-088-01</t>
        </is>
      </c>
      <c r="U412" t="inlineStr">
        <is>
          <t>Таблица 4.1; код ТР7-3</t>
        </is>
      </c>
      <c r="V412" t="inlineStr">
        <is>
          <t>Все типы</t>
        </is>
      </c>
      <c r="DB412">
        <f>IF('История отказов'!AH415="","",'История отказов'!AH415)</f>
        <v/>
      </c>
      <c r="DC412">
        <f>IF('История отказов'!AE415="","",IF(AND(COUNTIF($CT$2:$CT$2,'История отказов'!AE415)=0,COUNTIFS('История отказов'!$F$5:F415,"ШГН",'История отказов'!$AE$5:AE415,'История отказов'!AE415)=1,'История отказов'!F415="ШГН"),411,""))</f>
        <v/>
      </c>
      <c r="DD412">
        <f>IF('История отказов'!AE415="","",IF(AND(COUNTIF($CU$2:$CU$3,'История отказов'!AE415)=0,COUNTIFS('История отказов'!$F$5:F415,"ЭЦН",'История отказов'!$AE$5:AE415,'История отказов'!AE415)=1,'История отказов'!F415="ЭЦН"),411,""))</f>
        <v/>
      </c>
      <c r="DE412">
        <f>IF('История отказов'!AE415="","",IF(AND(COUNTIF($CV$2:$CV$3,'История отказов'!AE415)=0,COUNTIFS('История отказов'!$F$5:F415,"ЭВН",'История отказов'!$AE$5:AE415,'История отказов'!AE415)=1,'История отказов'!F415="ЭВН"),411,""))</f>
        <v/>
      </c>
      <c r="DF412">
        <f>IF('История отказов'!AE415="","",IF(AND(COUNTIF($CX$2:$CX$2,'История отказов'!AE415)=0,COUNTIFS('История отказов'!$F$5:F415,"ШВН",'История отказов'!$AE$5:AE415,'История отказов'!AE415)=1,'История отказов'!F415="ШВН"),411,""))</f>
        <v/>
      </c>
      <c r="DG412">
        <f>IF('История отказов'!AE415="","",IF(AND(COUNTIF($CW$2:$CW$2,'История отказов'!AE415)=0,COUNTIFS('История отказов'!$F$5:F415,"НПУ-ВД",'История отказов'!$AE$5:AE415,'История отказов'!AE415)=1,'История отказов'!F415="НПУ-ВД"),411,""))</f>
        <v/>
      </c>
      <c r="DH412">
        <f>IF('История отказов'!AE415="","",IF(AND(COUNTIF($CY$2:$CY$6,'История отказов'!AE415)=0,COUNTIF('История отказов'!$AE$5:AE415,'История отказов'!AE415)=1),411,""))</f>
        <v/>
      </c>
      <c r="DI412">
        <f>IF('История отказов'!AK415="","",IF(AND(COUNTIF($CL$2:$CL$3,'История отказов'!AK415)=0,COUNTIF('История отказов'!$AK$5:AK415,'История отказов'!AK415)=1),411,""))</f>
        <v/>
      </c>
      <c r="DJ412">
        <f>IF('История отказов'!AU415="","",IF(AND(COUNTIF($CP$2:$CP$3,'История отказов'!AU415)=0,COUNTIF('История отказов'!$AU$5:AU415,'История отказов'!AU415)=1),411,""))</f>
        <v/>
      </c>
      <c r="DK412">
        <f>IF('История отказов'!AY415="","",IF(AND(COUNTIF($CR$2:$CR$2,'История отказов'!AY415)=0,COUNTIF('История отказов'!$AY$5:AY415,'История отказов'!AY415)=1),411,""))</f>
        <v/>
      </c>
      <c r="DL412">
        <f>IF(DB412="","",IF(AND(COUNTIF($DA$2:$DA$47,DB412)=0,COUNTIF($DB$2:DB412,DB412)=1),411,""))</f>
        <v/>
      </c>
    </row>
    <row r="413">
      <c r="A413" s="74" t="n"/>
      <c r="B413" s="75" t="n"/>
      <c r="C413" s="76" t="n"/>
      <c r="J413" s="62" t="n"/>
      <c r="K413" s="62" t="n"/>
      <c r="L413" s="62" t="n"/>
      <c r="M413" s="62" t="n"/>
      <c r="N413" s="62" t="n"/>
      <c r="Q413" t="inlineStr">
        <is>
          <t>ТКРС</t>
        </is>
      </c>
      <c r="R413" t="inlineStr">
        <is>
          <t>ТР7-4 — Ревизия, смена устьевого оборудования.</t>
        </is>
      </c>
      <c r="S413" t="inlineStr">
        <is>
          <t>Код и наименование из документа</t>
        </is>
      </c>
      <c r="T413" t="inlineStr">
        <is>
          <t>Классификатор ремонтных работ, РД 153-39.0-088-01</t>
        </is>
      </c>
      <c r="U413" t="inlineStr">
        <is>
          <t>Таблица 4.1; код ТР7-4</t>
        </is>
      </c>
      <c r="V413" t="inlineStr">
        <is>
          <t>Все типы</t>
        </is>
      </c>
      <c r="DB413">
        <f>IF('История отказов'!AH416="","",'История отказов'!AH416)</f>
        <v/>
      </c>
      <c r="DC413">
        <f>IF('История отказов'!AE416="","",IF(AND(COUNTIF($CT$2:$CT$2,'История отказов'!AE416)=0,COUNTIFS('История отказов'!$F$5:F416,"ШГН",'История отказов'!$AE$5:AE416,'История отказов'!AE416)=1,'История отказов'!F416="ШГН"),412,""))</f>
        <v/>
      </c>
      <c r="DD413">
        <f>IF('История отказов'!AE416="","",IF(AND(COUNTIF($CU$2:$CU$3,'История отказов'!AE416)=0,COUNTIFS('История отказов'!$F$5:F416,"ЭЦН",'История отказов'!$AE$5:AE416,'История отказов'!AE416)=1,'История отказов'!F416="ЭЦН"),412,""))</f>
        <v/>
      </c>
      <c r="DE413">
        <f>IF('История отказов'!AE416="","",IF(AND(COUNTIF($CV$2:$CV$3,'История отказов'!AE416)=0,COUNTIFS('История отказов'!$F$5:F416,"ЭВН",'История отказов'!$AE$5:AE416,'История отказов'!AE416)=1,'История отказов'!F416="ЭВН"),412,""))</f>
        <v/>
      </c>
      <c r="DF413">
        <f>IF('История отказов'!AE416="","",IF(AND(COUNTIF($CX$2:$CX$2,'История отказов'!AE416)=0,COUNTIFS('История отказов'!$F$5:F416,"ШВН",'История отказов'!$AE$5:AE416,'История отказов'!AE416)=1,'История отказов'!F416="ШВН"),412,""))</f>
        <v/>
      </c>
      <c r="DG413">
        <f>IF('История отказов'!AE416="","",IF(AND(COUNTIF($CW$2:$CW$2,'История отказов'!AE416)=0,COUNTIFS('История отказов'!$F$5:F416,"НПУ-ВД",'История отказов'!$AE$5:AE416,'История отказов'!AE416)=1,'История отказов'!F416="НПУ-ВД"),412,""))</f>
        <v/>
      </c>
      <c r="DH413">
        <f>IF('История отказов'!AE416="","",IF(AND(COUNTIF($CY$2:$CY$6,'История отказов'!AE416)=0,COUNTIF('История отказов'!$AE$5:AE416,'История отказов'!AE416)=1),412,""))</f>
        <v/>
      </c>
      <c r="DI413">
        <f>IF('История отказов'!AK416="","",IF(AND(COUNTIF($CL$2:$CL$3,'История отказов'!AK416)=0,COUNTIF('История отказов'!$AK$5:AK416,'История отказов'!AK416)=1),412,""))</f>
        <v/>
      </c>
      <c r="DJ413">
        <f>IF('История отказов'!AU416="","",IF(AND(COUNTIF($CP$2:$CP$3,'История отказов'!AU416)=0,COUNTIF('История отказов'!$AU$5:AU416,'История отказов'!AU416)=1),412,""))</f>
        <v/>
      </c>
      <c r="DK413">
        <f>IF('История отказов'!AY416="","",IF(AND(COUNTIF($CR$2:$CR$2,'История отказов'!AY416)=0,COUNTIF('История отказов'!$AY$5:AY416,'История отказов'!AY416)=1),412,""))</f>
        <v/>
      </c>
      <c r="DL413">
        <f>IF(DB413="","",IF(AND(COUNTIF($DA$2:$DA$47,DB413)=0,COUNTIF($DB$2:DB413,DB413)=1),412,""))</f>
        <v/>
      </c>
    </row>
    <row r="414">
      <c r="A414" s="74" t="n"/>
      <c r="B414" s="75" t="n"/>
      <c r="C414" s="76" t="n"/>
      <c r="J414" s="62" t="n"/>
      <c r="K414" s="62" t="n"/>
      <c r="L414" s="62" t="n"/>
      <c r="M414" s="62" t="n"/>
      <c r="N414" s="62" t="n"/>
      <c r="Q414" t="inlineStr">
        <is>
          <t>ТКРС</t>
        </is>
      </c>
      <c r="R414" t="inlineStr">
        <is>
          <t>ТР7-5 — Прочие виды ремонтов по газлифтным скважинам.</t>
        </is>
      </c>
      <c r="S414" t="inlineStr">
        <is>
          <t>Код и наименование из документа</t>
        </is>
      </c>
      <c r="T414" t="inlineStr">
        <is>
          <t>Классификатор ремонтных работ, РД 153-39.0-088-01</t>
        </is>
      </c>
      <c r="U414" t="inlineStr">
        <is>
          <t>Таблица 4.1; код ТР7-5</t>
        </is>
      </c>
      <c r="V414" t="inlineStr">
        <is>
          <t>Все типы</t>
        </is>
      </c>
      <c r="DB414">
        <f>IF('История отказов'!AH417="","",'История отказов'!AH417)</f>
        <v/>
      </c>
      <c r="DC414">
        <f>IF('История отказов'!AE417="","",IF(AND(COUNTIF($CT$2:$CT$2,'История отказов'!AE417)=0,COUNTIFS('История отказов'!$F$5:F417,"ШГН",'История отказов'!$AE$5:AE417,'История отказов'!AE417)=1,'История отказов'!F417="ШГН"),413,""))</f>
        <v/>
      </c>
      <c r="DD414">
        <f>IF('История отказов'!AE417="","",IF(AND(COUNTIF($CU$2:$CU$3,'История отказов'!AE417)=0,COUNTIFS('История отказов'!$F$5:F417,"ЭЦН",'История отказов'!$AE$5:AE417,'История отказов'!AE417)=1,'История отказов'!F417="ЭЦН"),413,""))</f>
        <v/>
      </c>
      <c r="DE414">
        <f>IF('История отказов'!AE417="","",IF(AND(COUNTIF($CV$2:$CV$3,'История отказов'!AE417)=0,COUNTIFS('История отказов'!$F$5:F417,"ЭВН",'История отказов'!$AE$5:AE417,'История отказов'!AE417)=1,'История отказов'!F417="ЭВН"),413,""))</f>
        <v/>
      </c>
      <c r="DF414">
        <f>IF('История отказов'!AE417="","",IF(AND(COUNTIF($CX$2:$CX$2,'История отказов'!AE417)=0,COUNTIFS('История отказов'!$F$5:F417,"ШВН",'История отказов'!$AE$5:AE417,'История отказов'!AE417)=1,'История отказов'!F417="ШВН"),413,""))</f>
        <v/>
      </c>
      <c r="DG414">
        <f>IF('История отказов'!AE417="","",IF(AND(COUNTIF($CW$2:$CW$2,'История отказов'!AE417)=0,COUNTIFS('История отказов'!$F$5:F417,"НПУ-ВД",'История отказов'!$AE$5:AE417,'История отказов'!AE417)=1,'История отказов'!F417="НПУ-ВД"),413,""))</f>
        <v/>
      </c>
      <c r="DH414">
        <f>IF('История отказов'!AE417="","",IF(AND(COUNTIF($CY$2:$CY$6,'История отказов'!AE417)=0,COUNTIF('История отказов'!$AE$5:AE417,'История отказов'!AE417)=1),413,""))</f>
        <v/>
      </c>
      <c r="DI414">
        <f>IF('История отказов'!AK417="","",IF(AND(COUNTIF($CL$2:$CL$3,'История отказов'!AK417)=0,COUNTIF('История отказов'!$AK$5:AK417,'История отказов'!AK417)=1),413,""))</f>
        <v/>
      </c>
      <c r="DJ414">
        <f>IF('История отказов'!AU417="","",IF(AND(COUNTIF($CP$2:$CP$3,'История отказов'!AU417)=0,COUNTIF('История отказов'!$AU$5:AU417,'История отказов'!AU417)=1),413,""))</f>
        <v/>
      </c>
      <c r="DK414">
        <f>IF('История отказов'!AY417="","",IF(AND(COUNTIF($CR$2:$CR$2,'История отказов'!AY417)=0,COUNTIF('История отказов'!$AY$5:AY417,'История отказов'!AY417)=1),413,""))</f>
        <v/>
      </c>
      <c r="DL414">
        <f>IF(DB414="","",IF(AND(COUNTIF($DA$2:$DA$47,DB414)=0,COUNTIF($DB$2:DB414,DB414)=1),413,""))</f>
        <v/>
      </c>
    </row>
    <row r="415">
      <c r="A415" s="74" t="n"/>
      <c r="B415" s="75" t="n"/>
      <c r="C415" s="76" t="n"/>
      <c r="J415" s="62" t="n"/>
      <c r="K415" s="62" t="n"/>
      <c r="L415" s="62" t="n"/>
      <c r="M415" s="62" t="n"/>
      <c r="N415" s="62" t="n"/>
      <c r="Q415" t="inlineStr">
        <is>
          <t>ТКРС</t>
        </is>
      </c>
      <c r="R415" t="inlineStr">
        <is>
          <t>ТР8-1 — Ревизия и смена оборудования артезианских скважин.</t>
        </is>
      </c>
      <c r="S415" t="inlineStr">
        <is>
          <t>Код и наименование из документа</t>
        </is>
      </c>
      <c r="T415" t="inlineStr">
        <is>
          <t>Классификатор ремонтных работ, РД 153-39.0-088-01</t>
        </is>
      </c>
      <c r="U415" t="inlineStr">
        <is>
          <t>Таблица 4.1; код ТР8-1</t>
        </is>
      </c>
      <c r="V415" t="inlineStr">
        <is>
          <t>Все типы</t>
        </is>
      </c>
      <c r="DB415">
        <f>IF('История отказов'!AH418="","",'История отказов'!AH418)</f>
        <v/>
      </c>
      <c r="DC415">
        <f>IF('История отказов'!AE418="","",IF(AND(COUNTIF($CT$2:$CT$2,'История отказов'!AE418)=0,COUNTIFS('История отказов'!$F$5:F418,"ШГН",'История отказов'!$AE$5:AE418,'История отказов'!AE418)=1,'История отказов'!F418="ШГН"),414,""))</f>
        <v/>
      </c>
      <c r="DD415">
        <f>IF('История отказов'!AE418="","",IF(AND(COUNTIF($CU$2:$CU$3,'История отказов'!AE418)=0,COUNTIFS('История отказов'!$F$5:F418,"ЭЦН",'История отказов'!$AE$5:AE418,'История отказов'!AE418)=1,'История отказов'!F418="ЭЦН"),414,""))</f>
        <v/>
      </c>
      <c r="DE415">
        <f>IF('История отказов'!AE418="","",IF(AND(COUNTIF($CV$2:$CV$3,'История отказов'!AE418)=0,COUNTIFS('История отказов'!$F$5:F418,"ЭВН",'История отказов'!$AE$5:AE418,'История отказов'!AE418)=1,'История отказов'!F418="ЭВН"),414,""))</f>
        <v/>
      </c>
      <c r="DF415">
        <f>IF('История отказов'!AE418="","",IF(AND(COUNTIF($CX$2:$CX$2,'История отказов'!AE418)=0,COUNTIFS('История отказов'!$F$5:F418,"ШВН",'История отказов'!$AE$5:AE418,'История отказов'!AE418)=1,'История отказов'!F418="ШВН"),414,""))</f>
        <v/>
      </c>
      <c r="DG415">
        <f>IF('История отказов'!AE418="","",IF(AND(COUNTIF($CW$2:$CW$2,'История отказов'!AE418)=0,COUNTIFS('История отказов'!$F$5:F418,"НПУ-ВД",'История отказов'!$AE$5:AE418,'История отказов'!AE418)=1,'История отказов'!F418="НПУ-ВД"),414,""))</f>
        <v/>
      </c>
      <c r="DH415">
        <f>IF('История отказов'!AE418="","",IF(AND(COUNTIF($CY$2:$CY$6,'История отказов'!AE418)=0,COUNTIF('История отказов'!$AE$5:AE418,'История отказов'!AE418)=1),414,""))</f>
        <v/>
      </c>
      <c r="DI415">
        <f>IF('История отказов'!AK418="","",IF(AND(COUNTIF($CL$2:$CL$3,'История отказов'!AK418)=0,COUNTIF('История отказов'!$AK$5:AK418,'История отказов'!AK418)=1),414,""))</f>
        <v/>
      </c>
      <c r="DJ415">
        <f>IF('История отказов'!AU418="","",IF(AND(COUNTIF($CP$2:$CP$3,'История отказов'!AU418)=0,COUNTIF('История отказов'!$AU$5:AU418,'История отказов'!AU418)=1),414,""))</f>
        <v/>
      </c>
      <c r="DK415">
        <f>IF('История отказов'!AY418="","",IF(AND(COUNTIF($CR$2:$CR$2,'История отказов'!AY418)=0,COUNTIF('История отказов'!$AY$5:AY418,'История отказов'!AY418)=1),414,""))</f>
        <v/>
      </c>
      <c r="DL415">
        <f>IF(DB415="","",IF(AND(COUNTIF($DA$2:$DA$47,DB415)=0,COUNTIF($DB$2:DB415,DB415)=1),414,""))</f>
        <v/>
      </c>
    </row>
    <row r="416">
      <c r="A416" s="74" t="n"/>
      <c r="B416" s="75" t="n"/>
      <c r="C416" s="76" t="n"/>
      <c r="J416" s="62" t="n"/>
      <c r="K416" s="62" t="n"/>
      <c r="L416" s="62" t="n"/>
      <c r="M416" s="62" t="n"/>
      <c r="N416" s="62" t="n"/>
      <c r="Q416" t="inlineStr">
        <is>
          <t>ТКРС</t>
        </is>
      </c>
      <c r="R416" t="inlineStr">
        <is>
          <t>ТР8-2 — Ревизия и смена оборудования поглащающих скважин.</t>
        </is>
      </c>
      <c r="S416" t="inlineStr">
        <is>
          <t>Код и наименование из документа</t>
        </is>
      </c>
      <c r="T416" t="inlineStr">
        <is>
          <t>Классификатор ремонтных работ, РД 153-39.0-088-01</t>
        </is>
      </c>
      <c r="U416" t="inlineStr">
        <is>
          <t>Таблица 4.1; код ТР8-2</t>
        </is>
      </c>
      <c r="V416" t="inlineStr">
        <is>
          <t>Все типы</t>
        </is>
      </c>
      <c r="DB416">
        <f>IF('История отказов'!AH419="","",'История отказов'!AH419)</f>
        <v/>
      </c>
      <c r="DC416">
        <f>IF('История отказов'!AE419="","",IF(AND(COUNTIF($CT$2:$CT$2,'История отказов'!AE419)=0,COUNTIFS('История отказов'!$F$5:F419,"ШГН",'История отказов'!$AE$5:AE419,'История отказов'!AE419)=1,'История отказов'!F419="ШГН"),415,""))</f>
        <v/>
      </c>
      <c r="DD416">
        <f>IF('История отказов'!AE419="","",IF(AND(COUNTIF($CU$2:$CU$3,'История отказов'!AE419)=0,COUNTIFS('История отказов'!$F$5:F419,"ЭЦН",'История отказов'!$AE$5:AE419,'История отказов'!AE419)=1,'История отказов'!F419="ЭЦН"),415,""))</f>
        <v/>
      </c>
      <c r="DE416">
        <f>IF('История отказов'!AE419="","",IF(AND(COUNTIF($CV$2:$CV$3,'История отказов'!AE419)=0,COUNTIFS('История отказов'!$F$5:F419,"ЭВН",'История отказов'!$AE$5:AE419,'История отказов'!AE419)=1,'История отказов'!F419="ЭВН"),415,""))</f>
        <v/>
      </c>
      <c r="DF416">
        <f>IF('История отказов'!AE419="","",IF(AND(COUNTIF($CX$2:$CX$2,'История отказов'!AE419)=0,COUNTIFS('История отказов'!$F$5:F419,"ШВН",'История отказов'!$AE$5:AE419,'История отказов'!AE419)=1,'История отказов'!F419="ШВН"),415,""))</f>
        <v/>
      </c>
      <c r="DG416">
        <f>IF('История отказов'!AE419="","",IF(AND(COUNTIF($CW$2:$CW$2,'История отказов'!AE419)=0,COUNTIFS('История отказов'!$F$5:F419,"НПУ-ВД",'История отказов'!$AE$5:AE419,'История отказов'!AE419)=1,'История отказов'!F419="НПУ-ВД"),415,""))</f>
        <v/>
      </c>
      <c r="DH416">
        <f>IF('История отказов'!AE419="","",IF(AND(COUNTIF($CY$2:$CY$6,'История отказов'!AE419)=0,COUNTIF('История отказов'!$AE$5:AE419,'История отказов'!AE419)=1),415,""))</f>
        <v/>
      </c>
      <c r="DI416">
        <f>IF('История отказов'!AK419="","",IF(AND(COUNTIF($CL$2:$CL$3,'История отказов'!AK419)=0,COUNTIF('История отказов'!$AK$5:AK419,'История отказов'!AK419)=1),415,""))</f>
        <v/>
      </c>
      <c r="DJ416">
        <f>IF('История отказов'!AU419="","",IF(AND(COUNTIF($CP$2:$CP$3,'История отказов'!AU419)=0,COUNTIF('История отказов'!$AU$5:AU419,'История отказов'!AU419)=1),415,""))</f>
        <v/>
      </c>
      <c r="DK416">
        <f>IF('История отказов'!AY419="","",IF(AND(COUNTIF($CR$2:$CR$2,'История отказов'!AY419)=0,COUNTIF('История отказов'!$AY$5:AY419,'История отказов'!AY419)=1),415,""))</f>
        <v/>
      </c>
      <c r="DL416">
        <f>IF(DB416="","",IF(AND(COUNTIF($DA$2:$DA$47,DB416)=0,COUNTIF($DB$2:DB416,DB416)=1),415,""))</f>
        <v/>
      </c>
    </row>
    <row r="417">
      <c r="A417" s="74" t="n"/>
      <c r="B417" s="75" t="n"/>
      <c r="C417" s="76" t="n"/>
      <c r="J417" s="62" t="n"/>
      <c r="K417" s="62" t="n"/>
      <c r="L417" s="62" t="n"/>
      <c r="M417" s="62" t="n"/>
      <c r="N417" s="62" t="n"/>
      <c r="Q417" t="inlineStr">
        <is>
          <t>ТКРС</t>
        </is>
      </c>
      <c r="R417" t="inlineStr">
        <is>
          <t>ТР9-2 — Промывка ствола скважины углеводородными растворителями.</t>
        </is>
      </c>
      <c r="S417" t="inlineStr">
        <is>
          <t>Код и наименование из документа</t>
        </is>
      </c>
      <c r="T417" t="inlineStr">
        <is>
          <t>Классификатор ремонтных работ, РД 153-39.0-088-01</t>
        </is>
      </c>
      <c r="U417" t="inlineStr">
        <is>
          <t>Таблица 4.1; код ТР9-2</t>
        </is>
      </c>
      <c r="V417" t="inlineStr">
        <is>
          <t>Все типы</t>
        </is>
      </c>
      <c r="DB417">
        <f>IF('История отказов'!AH420="","",'История отказов'!AH420)</f>
        <v/>
      </c>
      <c r="DC417">
        <f>IF('История отказов'!AE420="","",IF(AND(COUNTIF($CT$2:$CT$2,'История отказов'!AE420)=0,COUNTIFS('История отказов'!$F$5:F420,"ШГН",'История отказов'!$AE$5:AE420,'История отказов'!AE420)=1,'История отказов'!F420="ШГН"),416,""))</f>
        <v/>
      </c>
      <c r="DD417">
        <f>IF('История отказов'!AE420="","",IF(AND(COUNTIF($CU$2:$CU$3,'История отказов'!AE420)=0,COUNTIFS('История отказов'!$F$5:F420,"ЭЦН",'История отказов'!$AE$5:AE420,'История отказов'!AE420)=1,'История отказов'!F420="ЭЦН"),416,""))</f>
        <v/>
      </c>
      <c r="DE417">
        <f>IF('История отказов'!AE420="","",IF(AND(COUNTIF($CV$2:$CV$3,'История отказов'!AE420)=0,COUNTIFS('История отказов'!$F$5:F420,"ЭВН",'История отказов'!$AE$5:AE420,'История отказов'!AE420)=1,'История отказов'!F420="ЭВН"),416,""))</f>
        <v/>
      </c>
      <c r="DF417">
        <f>IF('История отказов'!AE420="","",IF(AND(COUNTIF($CX$2:$CX$2,'История отказов'!AE420)=0,COUNTIFS('История отказов'!$F$5:F420,"ШВН",'История отказов'!$AE$5:AE420,'История отказов'!AE420)=1,'История отказов'!F420="ШВН"),416,""))</f>
        <v/>
      </c>
      <c r="DG417">
        <f>IF('История отказов'!AE420="","",IF(AND(COUNTIF($CW$2:$CW$2,'История отказов'!AE420)=0,COUNTIFS('История отказов'!$F$5:F420,"НПУ-ВД",'История отказов'!$AE$5:AE420,'История отказов'!AE420)=1,'История отказов'!F420="НПУ-ВД"),416,""))</f>
        <v/>
      </c>
      <c r="DH417">
        <f>IF('История отказов'!AE420="","",IF(AND(COUNTIF($CY$2:$CY$6,'История отказов'!AE420)=0,COUNTIF('История отказов'!$AE$5:AE420,'История отказов'!AE420)=1),416,""))</f>
        <v/>
      </c>
      <c r="DI417">
        <f>IF('История отказов'!AK420="","",IF(AND(COUNTIF($CL$2:$CL$3,'История отказов'!AK420)=0,COUNTIF('История отказов'!$AK$5:AK420,'История отказов'!AK420)=1),416,""))</f>
        <v/>
      </c>
      <c r="DJ417">
        <f>IF('История отказов'!AU420="","",IF(AND(COUNTIF($CP$2:$CP$3,'История отказов'!AU420)=0,COUNTIF('История отказов'!$AU$5:AU420,'История отказов'!AU420)=1),416,""))</f>
        <v/>
      </c>
      <c r="DK417">
        <f>IF('История отказов'!AY420="","",IF(AND(COUNTIF($CR$2:$CR$2,'История отказов'!AY420)=0,COUNTIF('История отказов'!$AY$5:AY420,'История отказов'!AY420)=1),416,""))</f>
        <v/>
      </c>
      <c r="DL417">
        <f>IF(DB417="","",IF(AND(COUNTIF($DA$2:$DA$47,DB417)=0,COUNTIF($DB$2:DB417,DB417)=1),416,""))</f>
        <v/>
      </c>
    </row>
    <row r="418">
      <c r="A418" s="74" t="n"/>
      <c r="B418" s="75" t="n"/>
      <c r="C418" s="76" t="n"/>
      <c r="J418" s="62" t="n"/>
      <c r="K418" s="62" t="n"/>
      <c r="L418" s="62" t="n"/>
      <c r="M418" s="62" t="n"/>
      <c r="N418" s="62" t="n"/>
      <c r="Q418" t="inlineStr">
        <is>
          <t>ТКРС</t>
        </is>
      </c>
      <c r="R418" t="inlineStr">
        <is>
          <t>ТР9-3 — Промывка забоя скважины горячей нефтью (водой) с добавлением ПАВ.</t>
        </is>
      </c>
      <c r="S418" t="inlineStr">
        <is>
          <t>Код и наименование из документа</t>
        </is>
      </c>
      <c r="T418" t="inlineStr">
        <is>
          <t>Классификатор ремонтных работ, РД 153-39.0-088-01</t>
        </is>
      </c>
      <c r="U418" t="inlineStr">
        <is>
          <t>Таблица 4.1; код ТР9-3</t>
        </is>
      </c>
      <c r="V418" t="inlineStr">
        <is>
          <t>Все типы</t>
        </is>
      </c>
      <c r="DB418">
        <f>IF('История отказов'!AH421="","",'История отказов'!AH421)</f>
        <v/>
      </c>
      <c r="DC418">
        <f>IF('История отказов'!AE421="","",IF(AND(COUNTIF($CT$2:$CT$2,'История отказов'!AE421)=0,COUNTIFS('История отказов'!$F$5:F421,"ШГН",'История отказов'!$AE$5:AE421,'История отказов'!AE421)=1,'История отказов'!F421="ШГН"),417,""))</f>
        <v/>
      </c>
      <c r="DD418">
        <f>IF('История отказов'!AE421="","",IF(AND(COUNTIF($CU$2:$CU$3,'История отказов'!AE421)=0,COUNTIFS('История отказов'!$F$5:F421,"ЭЦН",'История отказов'!$AE$5:AE421,'История отказов'!AE421)=1,'История отказов'!F421="ЭЦН"),417,""))</f>
        <v/>
      </c>
      <c r="DE418">
        <f>IF('История отказов'!AE421="","",IF(AND(COUNTIF($CV$2:$CV$3,'История отказов'!AE421)=0,COUNTIFS('История отказов'!$F$5:F421,"ЭВН",'История отказов'!$AE$5:AE421,'История отказов'!AE421)=1,'История отказов'!F421="ЭВН"),417,""))</f>
        <v/>
      </c>
      <c r="DF418">
        <f>IF('История отказов'!AE421="","",IF(AND(COUNTIF($CX$2:$CX$2,'История отказов'!AE421)=0,COUNTIFS('История отказов'!$F$5:F421,"ШВН",'История отказов'!$AE$5:AE421,'История отказов'!AE421)=1,'История отказов'!F421="ШВН"),417,""))</f>
        <v/>
      </c>
      <c r="DG418">
        <f>IF('История отказов'!AE421="","",IF(AND(COUNTIF($CW$2:$CW$2,'История отказов'!AE421)=0,COUNTIFS('История отказов'!$F$5:F421,"НПУ-ВД",'История отказов'!$AE$5:AE421,'История отказов'!AE421)=1,'История отказов'!F421="НПУ-ВД"),417,""))</f>
        <v/>
      </c>
      <c r="DH418">
        <f>IF('История отказов'!AE421="","",IF(AND(COUNTIF($CY$2:$CY$6,'История отказов'!AE421)=0,COUNTIF('История отказов'!$AE$5:AE421,'История отказов'!AE421)=1),417,""))</f>
        <v/>
      </c>
      <c r="DI418">
        <f>IF('История отказов'!AK421="","",IF(AND(COUNTIF($CL$2:$CL$3,'История отказов'!AK421)=0,COUNTIF('История отказов'!$AK$5:AK421,'История отказов'!AK421)=1),417,""))</f>
        <v/>
      </c>
      <c r="DJ418">
        <f>IF('История отказов'!AU421="","",IF(AND(COUNTIF($CP$2:$CP$3,'История отказов'!AU421)=0,COUNTIF('История отказов'!$AU$5:AU421,'История отказов'!AU421)=1),417,""))</f>
        <v/>
      </c>
      <c r="DK418">
        <f>IF('История отказов'!AY421="","",IF(AND(COUNTIF($CR$2:$CR$2,'История отказов'!AY421)=0,COUNTIF('История отказов'!$AY$5:AY421,'История отказов'!AY421)=1),417,""))</f>
        <v/>
      </c>
      <c r="DL418">
        <f>IF(DB418="","",IF(AND(COUNTIF($DA$2:$DA$47,DB418)=0,COUNTIF($DB$2:DB418,DB418)=1),417,""))</f>
        <v/>
      </c>
    </row>
    <row r="419">
      <c r="A419" s="74" t="n"/>
      <c r="B419" s="75" t="n"/>
      <c r="C419" s="76" t="n"/>
      <c r="J419" s="62" t="n"/>
      <c r="K419" s="62" t="n"/>
      <c r="L419" s="62" t="n"/>
      <c r="M419" s="62" t="n"/>
      <c r="N419" s="62" t="n"/>
      <c r="Q419" t="inlineStr">
        <is>
          <t>ТКРС</t>
        </is>
      </c>
      <c r="R419" t="inlineStr">
        <is>
          <t>ТР9-4 — Промывка забоя скважины углеводородными растворителями.</t>
        </is>
      </c>
      <c r="S419" t="inlineStr">
        <is>
          <t>Код и наименование из документа</t>
        </is>
      </c>
      <c r="T419" t="inlineStr">
        <is>
          <t>Классификатор ремонтных работ, РД 153-39.0-088-01</t>
        </is>
      </c>
      <c r="U419" t="inlineStr">
        <is>
          <t>Таблица 4.1; код ТР9-4</t>
        </is>
      </c>
      <c r="V419" t="inlineStr">
        <is>
          <t>Все типы</t>
        </is>
      </c>
      <c r="DB419">
        <f>IF('История отказов'!AH422="","",'История отказов'!AH422)</f>
        <v/>
      </c>
      <c r="DC419">
        <f>IF('История отказов'!AE422="","",IF(AND(COUNTIF($CT$2:$CT$2,'История отказов'!AE422)=0,COUNTIFS('История отказов'!$F$5:F422,"ШГН",'История отказов'!$AE$5:AE422,'История отказов'!AE422)=1,'История отказов'!F422="ШГН"),418,""))</f>
        <v/>
      </c>
      <c r="DD419">
        <f>IF('История отказов'!AE422="","",IF(AND(COUNTIF($CU$2:$CU$3,'История отказов'!AE422)=0,COUNTIFS('История отказов'!$F$5:F422,"ЭЦН",'История отказов'!$AE$5:AE422,'История отказов'!AE422)=1,'История отказов'!F422="ЭЦН"),418,""))</f>
        <v/>
      </c>
      <c r="DE419">
        <f>IF('История отказов'!AE422="","",IF(AND(COUNTIF($CV$2:$CV$3,'История отказов'!AE422)=0,COUNTIFS('История отказов'!$F$5:F422,"ЭВН",'История отказов'!$AE$5:AE422,'История отказов'!AE422)=1,'История отказов'!F422="ЭВН"),418,""))</f>
        <v/>
      </c>
      <c r="DF419">
        <f>IF('История отказов'!AE422="","",IF(AND(COUNTIF($CX$2:$CX$2,'История отказов'!AE422)=0,COUNTIFS('История отказов'!$F$5:F422,"ШВН",'История отказов'!$AE$5:AE422,'История отказов'!AE422)=1,'История отказов'!F422="ШВН"),418,""))</f>
        <v/>
      </c>
      <c r="DG419">
        <f>IF('История отказов'!AE422="","",IF(AND(COUNTIF($CW$2:$CW$2,'История отказов'!AE422)=0,COUNTIFS('История отказов'!$F$5:F422,"НПУ-ВД",'История отказов'!$AE$5:AE422,'История отказов'!AE422)=1,'История отказов'!F422="НПУ-ВД"),418,""))</f>
        <v/>
      </c>
      <c r="DH419">
        <f>IF('История отказов'!AE422="","",IF(AND(COUNTIF($CY$2:$CY$6,'История отказов'!AE422)=0,COUNTIF('История отказов'!$AE$5:AE422,'История отказов'!AE422)=1),418,""))</f>
        <v/>
      </c>
      <c r="DI419">
        <f>IF('История отказов'!AK422="","",IF(AND(COUNTIF($CL$2:$CL$3,'История отказов'!AK422)=0,COUNTIF('История отказов'!$AK$5:AK422,'История отказов'!AK422)=1),418,""))</f>
        <v/>
      </c>
      <c r="DJ419">
        <f>IF('История отказов'!AU422="","",IF(AND(COUNTIF($CP$2:$CP$3,'История отказов'!AU422)=0,COUNTIF('История отказов'!$AU$5:AU422,'История отказов'!AU422)=1),418,""))</f>
        <v/>
      </c>
      <c r="DK419">
        <f>IF('История отказов'!AY422="","",IF(AND(COUNTIF($CR$2:$CR$2,'История отказов'!AY422)=0,COUNTIF('История отказов'!$AY$5:AY422,'История отказов'!AY422)=1),418,""))</f>
        <v/>
      </c>
      <c r="DL419">
        <f>IF(DB419="","",IF(AND(COUNTIF($DA$2:$DA$47,DB419)=0,COUNTIF($DB$2:DB419,DB419)=1),418,""))</f>
        <v/>
      </c>
    </row>
    <row r="420">
      <c r="A420" s="74" t="n"/>
      <c r="B420" s="75" t="n"/>
      <c r="C420" s="76" t="n"/>
      <c r="J420" s="62" t="n"/>
      <c r="K420" s="62" t="n"/>
      <c r="L420" s="62" t="n"/>
      <c r="M420" s="62" t="n"/>
      <c r="N420" s="62" t="n"/>
      <c r="Q420" t="inlineStr">
        <is>
          <t>ТКРС</t>
        </is>
      </c>
      <c r="R420" t="inlineStr">
        <is>
          <t>ТР9-5 — Обработка ПЗП химреагентами ( СКО, ГКО, БФА и т.д.).</t>
        </is>
      </c>
      <c r="S420" t="inlineStr">
        <is>
          <t>Код и наименование из документа</t>
        </is>
      </c>
      <c r="T420" t="inlineStr">
        <is>
          <t>Классификатор ремонтных работ, РД 153-39.0-088-01</t>
        </is>
      </c>
      <c r="U420" t="inlineStr">
        <is>
          <t>Таблица 4.1; код ТР9-5</t>
        </is>
      </c>
      <c r="V420" t="inlineStr">
        <is>
          <t>Все типы</t>
        </is>
      </c>
      <c r="DB420">
        <f>IF('История отказов'!AH423="","",'История отказов'!AH423)</f>
        <v/>
      </c>
      <c r="DC420">
        <f>IF('История отказов'!AE423="","",IF(AND(COUNTIF($CT$2:$CT$2,'История отказов'!AE423)=0,COUNTIFS('История отказов'!$F$5:F423,"ШГН",'История отказов'!$AE$5:AE423,'История отказов'!AE423)=1,'История отказов'!F423="ШГН"),419,""))</f>
        <v/>
      </c>
      <c r="DD420">
        <f>IF('История отказов'!AE423="","",IF(AND(COUNTIF($CU$2:$CU$3,'История отказов'!AE423)=0,COUNTIFS('История отказов'!$F$5:F423,"ЭЦН",'История отказов'!$AE$5:AE423,'История отказов'!AE423)=1,'История отказов'!F423="ЭЦН"),419,""))</f>
        <v/>
      </c>
      <c r="DE420">
        <f>IF('История отказов'!AE423="","",IF(AND(COUNTIF($CV$2:$CV$3,'История отказов'!AE423)=0,COUNTIFS('История отказов'!$F$5:F423,"ЭВН",'История отказов'!$AE$5:AE423,'История отказов'!AE423)=1,'История отказов'!F423="ЭВН"),419,""))</f>
        <v/>
      </c>
      <c r="DF420">
        <f>IF('История отказов'!AE423="","",IF(AND(COUNTIF($CX$2:$CX$2,'История отказов'!AE423)=0,COUNTIFS('История отказов'!$F$5:F423,"ШВН",'История отказов'!$AE$5:AE423,'История отказов'!AE423)=1,'История отказов'!F423="ШВН"),419,""))</f>
        <v/>
      </c>
      <c r="DG420">
        <f>IF('История отказов'!AE423="","",IF(AND(COUNTIF($CW$2:$CW$2,'История отказов'!AE423)=0,COUNTIFS('История отказов'!$F$5:F423,"НПУ-ВД",'История отказов'!$AE$5:AE423,'История отказов'!AE423)=1,'История отказов'!F423="НПУ-ВД"),419,""))</f>
        <v/>
      </c>
      <c r="DH420">
        <f>IF('История отказов'!AE423="","",IF(AND(COUNTIF($CY$2:$CY$6,'История отказов'!AE423)=0,COUNTIF('История отказов'!$AE$5:AE423,'История отказов'!AE423)=1),419,""))</f>
        <v/>
      </c>
      <c r="DI420">
        <f>IF('История отказов'!AK423="","",IF(AND(COUNTIF($CL$2:$CL$3,'История отказов'!AK423)=0,COUNTIF('История отказов'!$AK$5:AK423,'История отказов'!AK423)=1),419,""))</f>
        <v/>
      </c>
      <c r="DJ420">
        <f>IF('История отказов'!AU423="","",IF(AND(COUNTIF($CP$2:$CP$3,'История отказов'!AU423)=0,COUNTIF('История отказов'!$AU$5:AU423,'История отказов'!AU423)=1),419,""))</f>
        <v/>
      </c>
      <c r="DK420">
        <f>IF('История отказов'!AY423="","",IF(AND(COUNTIF($CR$2:$CR$2,'История отказов'!AY423)=0,COUNTIF('История отказов'!$AY$5:AY423,'История отказов'!AY423)=1),419,""))</f>
        <v/>
      </c>
      <c r="DL420">
        <f>IF(DB420="","",IF(AND(COUNTIF($DA$2:$DA$47,DB420)=0,COUNTIF($DB$2:DB420,DB420)=1),419,""))</f>
        <v/>
      </c>
    </row>
    <row r="421">
      <c r="A421" s="74" t="n"/>
      <c r="B421" s="75" t="n"/>
      <c r="C421" s="76" t="n"/>
      <c r="J421" s="62" t="n"/>
      <c r="K421" s="62" t="n"/>
      <c r="L421" s="62" t="n"/>
      <c r="M421" s="62" t="n"/>
      <c r="N421" s="62" t="n"/>
      <c r="Q421" t="inlineStr">
        <is>
          <t>ТКРС</t>
        </is>
      </c>
      <c r="R421" t="inlineStr">
        <is>
          <t>ТР9-6 — Прочие виды очистки забоя и ствола скважины.</t>
        </is>
      </c>
      <c r="S421" t="inlineStr">
        <is>
          <t>Код и наименование из документа</t>
        </is>
      </c>
      <c r="T421" t="inlineStr">
        <is>
          <t>Классификатор ремонтных работ, РД 153-39.0-088-01</t>
        </is>
      </c>
      <c r="U421" t="inlineStr">
        <is>
          <t>Таблица 4.1; код ТР9-6</t>
        </is>
      </c>
      <c r="V421" t="inlineStr">
        <is>
          <t>Все типы</t>
        </is>
      </c>
      <c r="DB421">
        <f>IF('История отказов'!AH424="","",'История отказов'!AH424)</f>
        <v/>
      </c>
      <c r="DC421">
        <f>IF('История отказов'!AE424="","",IF(AND(COUNTIF($CT$2:$CT$2,'История отказов'!AE424)=0,COUNTIFS('История отказов'!$F$5:F424,"ШГН",'История отказов'!$AE$5:AE424,'История отказов'!AE424)=1,'История отказов'!F424="ШГН"),420,""))</f>
        <v/>
      </c>
      <c r="DD421">
        <f>IF('История отказов'!AE424="","",IF(AND(COUNTIF($CU$2:$CU$3,'История отказов'!AE424)=0,COUNTIFS('История отказов'!$F$5:F424,"ЭЦН",'История отказов'!$AE$5:AE424,'История отказов'!AE424)=1,'История отказов'!F424="ЭЦН"),420,""))</f>
        <v/>
      </c>
      <c r="DE421">
        <f>IF('История отказов'!AE424="","",IF(AND(COUNTIF($CV$2:$CV$3,'История отказов'!AE424)=0,COUNTIFS('История отказов'!$F$5:F424,"ЭВН",'История отказов'!$AE$5:AE424,'История отказов'!AE424)=1,'История отказов'!F424="ЭВН"),420,""))</f>
        <v/>
      </c>
      <c r="DF421">
        <f>IF('История отказов'!AE424="","",IF(AND(COUNTIF($CX$2:$CX$2,'История отказов'!AE424)=0,COUNTIFS('История отказов'!$F$5:F424,"ШВН",'История отказов'!$AE$5:AE424,'История отказов'!AE424)=1,'История отказов'!F424="ШВН"),420,""))</f>
        <v/>
      </c>
      <c r="DG421">
        <f>IF('История отказов'!AE424="","",IF(AND(COUNTIF($CW$2:$CW$2,'История отказов'!AE424)=0,COUNTIFS('История отказов'!$F$5:F424,"НПУ-ВД",'История отказов'!$AE$5:AE424,'История отказов'!AE424)=1,'История отказов'!F424="НПУ-ВД"),420,""))</f>
        <v/>
      </c>
      <c r="DH421">
        <f>IF('История отказов'!AE424="","",IF(AND(COUNTIF($CY$2:$CY$6,'История отказов'!AE424)=0,COUNTIF('История отказов'!$AE$5:AE424,'История отказов'!AE424)=1),420,""))</f>
        <v/>
      </c>
      <c r="DI421">
        <f>IF('История отказов'!AK424="","",IF(AND(COUNTIF($CL$2:$CL$3,'История отказов'!AK424)=0,COUNTIF('История отказов'!$AK$5:AK424,'История отказов'!AK424)=1),420,""))</f>
        <v/>
      </c>
      <c r="DJ421">
        <f>IF('История отказов'!AU424="","",IF(AND(COUNTIF($CP$2:$CP$3,'История отказов'!AU424)=0,COUNTIF('История отказов'!$AU$5:AU424,'История отказов'!AU424)=1),420,""))</f>
        <v/>
      </c>
      <c r="DK421">
        <f>IF('История отказов'!AY424="","",IF(AND(COUNTIF($CR$2:$CR$2,'История отказов'!AY424)=0,COUNTIF('История отказов'!$AY$5:AY424,'История отказов'!AY424)=1),420,""))</f>
        <v/>
      </c>
      <c r="DL421">
        <f>IF(DB421="","",IF(AND(COUNTIF($DA$2:$DA$47,DB421)=0,COUNTIF($DB$2:DB421,DB421)=1),420,""))</f>
        <v/>
      </c>
    </row>
    <row r="422">
      <c r="A422" s="74" t="n"/>
      <c r="B422" s="75" t="n"/>
      <c r="C422" s="76" t="n"/>
      <c r="J422" s="62" t="n"/>
      <c r="K422" s="62" t="n"/>
      <c r="L422" s="62" t="n"/>
      <c r="M422" s="62" t="n"/>
      <c r="N422" s="62" t="n"/>
      <c r="Q422" t="inlineStr">
        <is>
          <t>Вид повреждения</t>
        </is>
      </c>
      <c r="R422" t="inlineStr">
        <is>
          <t>Механическое повреждение</t>
        </is>
      </c>
      <c r="S422" t="inlineStr">
        <is>
          <t>Рабочая формулировка</t>
        </is>
      </c>
      <c r="T422" t="inlineStr">
        <is>
          <t>Рабочая классификация повреждений; API RP 11S1</t>
        </is>
      </c>
      <c r="U422" t="inlineStr">
        <is>
          <t>https://mycommittees.api.org/myc-standards-ecs-sc11</t>
        </is>
      </c>
      <c r="V422" t="inlineStr">
        <is>
          <t>Подтвердить актом дефектовки</t>
        </is>
      </c>
      <c r="DB422">
        <f>IF('История отказов'!AH425="","",'История отказов'!AH425)</f>
        <v/>
      </c>
      <c r="DC422">
        <f>IF('История отказов'!AE425="","",IF(AND(COUNTIF($CT$2:$CT$2,'История отказов'!AE425)=0,COUNTIFS('История отказов'!$F$5:F425,"ШГН",'История отказов'!$AE$5:AE425,'История отказов'!AE425)=1,'История отказов'!F425="ШГН"),421,""))</f>
        <v/>
      </c>
      <c r="DD422">
        <f>IF('История отказов'!AE425="","",IF(AND(COUNTIF($CU$2:$CU$3,'История отказов'!AE425)=0,COUNTIFS('История отказов'!$F$5:F425,"ЭЦН",'История отказов'!$AE$5:AE425,'История отказов'!AE425)=1,'История отказов'!F425="ЭЦН"),421,""))</f>
        <v/>
      </c>
      <c r="DE422">
        <f>IF('История отказов'!AE425="","",IF(AND(COUNTIF($CV$2:$CV$3,'История отказов'!AE425)=0,COUNTIFS('История отказов'!$F$5:F425,"ЭВН",'История отказов'!$AE$5:AE425,'История отказов'!AE425)=1,'История отказов'!F425="ЭВН"),421,""))</f>
        <v/>
      </c>
      <c r="DF422">
        <f>IF('История отказов'!AE425="","",IF(AND(COUNTIF($CX$2:$CX$2,'История отказов'!AE425)=0,COUNTIFS('История отказов'!$F$5:F425,"ШВН",'История отказов'!$AE$5:AE425,'История отказов'!AE425)=1,'История отказов'!F425="ШВН"),421,""))</f>
        <v/>
      </c>
      <c r="DG422">
        <f>IF('История отказов'!AE425="","",IF(AND(COUNTIF($CW$2:$CW$2,'История отказов'!AE425)=0,COUNTIFS('История отказов'!$F$5:F425,"НПУ-ВД",'История отказов'!$AE$5:AE425,'История отказов'!AE425)=1,'История отказов'!F425="НПУ-ВД"),421,""))</f>
        <v/>
      </c>
      <c r="DH422">
        <f>IF('История отказов'!AE425="","",IF(AND(COUNTIF($CY$2:$CY$6,'История отказов'!AE425)=0,COUNTIF('История отказов'!$AE$5:AE425,'История отказов'!AE425)=1),421,""))</f>
        <v/>
      </c>
      <c r="DI422">
        <f>IF('История отказов'!AK425="","",IF(AND(COUNTIF($CL$2:$CL$3,'История отказов'!AK425)=0,COUNTIF('История отказов'!$AK$5:AK425,'История отказов'!AK425)=1),421,""))</f>
        <v/>
      </c>
      <c r="DJ422">
        <f>IF('История отказов'!AU425="","",IF(AND(COUNTIF($CP$2:$CP$3,'История отказов'!AU425)=0,COUNTIF('История отказов'!$AU$5:AU425,'История отказов'!AU425)=1),421,""))</f>
        <v/>
      </c>
      <c r="DK422">
        <f>IF('История отказов'!AY425="","",IF(AND(COUNTIF($CR$2:$CR$2,'История отказов'!AY425)=0,COUNTIF('История отказов'!$AY$5:AY425,'История отказов'!AY425)=1),421,""))</f>
        <v/>
      </c>
      <c r="DL422">
        <f>IF(DB422="","",IF(AND(COUNTIF($DA$2:$DA$47,DB422)=0,COUNTIF($DB$2:DB422,DB422)=1),421,""))</f>
        <v/>
      </c>
    </row>
    <row r="423">
      <c r="A423" s="74" t="n"/>
      <c r="B423" s="75" t="n"/>
      <c r="C423" s="76" t="n"/>
      <c r="J423" s="62" t="n"/>
      <c r="K423" s="62" t="n"/>
      <c r="L423" s="62" t="n"/>
      <c r="M423" s="62" t="n"/>
      <c r="N423" s="62" t="n"/>
      <c r="Q423" t="inlineStr">
        <is>
          <t>Вид повреждения</t>
        </is>
      </c>
      <c r="R423" t="inlineStr">
        <is>
          <t>Абразивный износ</t>
        </is>
      </c>
      <c r="S423" t="inlineStr">
        <is>
          <t>Рабочая формулировка</t>
        </is>
      </c>
      <c r="T423" t="inlineStr">
        <is>
          <t>SLB, дефектовка УЭЦН с эрозией ступеней</t>
        </is>
      </c>
      <c r="U423" t="inlineStr">
        <is>
          <t>https://www.slb.com/resource-library/case-study-with-navigation/al/reda-maximus-colombia-cs</t>
        </is>
      </c>
      <c r="V423" t="inlineStr">
        <is>
          <t>Дефектовка / фото / измерение износа</t>
        </is>
      </c>
      <c r="DB423">
        <f>IF('История отказов'!AH426="","",'История отказов'!AH426)</f>
        <v/>
      </c>
      <c r="DC423">
        <f>IF('История отказов'!AE426="","",IF(AND(COUNTIF($CT$2:$CT$2,'История отказов'!AE426)=0,COUNTIFS('История отказов'!$F$5:F426,"ШГН",'История отказов'!$AE$5:AE426,'История отказов'!AE426)=1,'История отказов'!F426="ШГН"),422,""))</f>
        <v/>
      </c>
      <c r="DD423">
        <f>IF('История отказов'!AE426="","",IF(AND(COUNTIF($CU$2:$CU$3,'История отказов'!AE426)=0,COUNTIFS('История отказов'!$F$5:F426,"ЭЦН",'История отказов'!$AE$5:AE426,'История отказов'!AE426)=1,'История отказов'!F426="ЭЦН"),422,""))</f>
        <v/>
      </c>
      <c r="DE423">
        <f>IF('История отказов'!AE426="","",IF(AND(COUNTIF($CV$2:$CV$3,'История отказов'!AE426)=0,COUNTIFS('История отказов'!$F$5:F426,"ЭВН",'История отказов'!$AE$5:AE426,'История отказов'!AE426)=1,'История отказов'!F426="ЭВН"),422,""))</f>
        <v/>
      </c>
      <c r="DF423">
        <f>IF('История отказов'!AE426="","",IF(AND(COUNTIF($CX$2:$CX$2,'История отказов'!AE426)=0,COUNTIFS('История отказов'!$F$5:F426,"ШВН",'История отказов'!$AE$5:AE426,'История отказов'!AE426)=1,'История отказов'!F426="ШВН"),422,""))</f>
        <v/>
      </c>
      <c r="DG423">
        <f>IF('История отказов'!AE426="","",IF(AND(COUNTIF($CW$2:$CW$2,'История отказов'!AE426)=0,COUNTIFS('История отказов'!$F$5:F426,"НПУ-ВД",'История отказов'!$AE$5:AE426,'История отказов'!AE426)=1,'История отказов'!F426="НПУ-ВД"),422,""))</f>
        <v/>
      </c>
      <c r="DH423">
        <f>IF('История отказов'!AE426="","",IF(AND(COUNTIF($CY$2:$CY$6,'История отказов'!AE426)=0,COUNTIF('История отказов'!$AE$5:AE426,'История отказов'!AE426)=1),422,""))</f>
        <v/>
      </c>
      <c r="DI423">
        <f>IF('История отказов'!AK426="","",IF(AND(COUNTIF($CL$2:$CL$3,'История отказов'!AK426)=0,COUNTIF('История отказов'!$AK$5:AK426,'История отказов'!AK426)=1),422,""))</f>
        <v/>
      </c>
      <c r="DJ423">
        <f>IF('История отказов'!AU426="","",IF(AND(COUNTIF($CP$2:$CP$3,'История отказов'!AU426)=0,COUNTIF('История отказов'!$AU$5:AU426,'История отказов'!AU426)=1),422,""))</f>
        <v/>
      </c>
      <c r="DK423">
        <f>IF('История отказов'!AY426="","",IF(AND(COUNTIF($CR$2:$CR$2,'История отказов'!AY426)=0,COUNTIF('История отказов'!$AY$5:AY426,'История отказов'!AY426)=1),422,""))</f>
        <v/>
      </c>
      <c r="DL423">
        <f>IF(DB423="","",IF(AND(COUNTIF($DA$2:$DA$47,DB423)=0,COUNTIF($DB$2:DB423,DB423)=1),422,""))</f>
        <v/>
      </c>
    </row>
    <row r="424">
      <c r="A424" s="74" t="n"/>
      <c r="B424" s="75" t="n"/>
      <c r="C424" s="76" t="n"/>
      <c r="J424" s="62" t="n"/>
      <c r="K424" s="62" t="n"/>
      <c r="L424" s="62" t="n"/>
      <c r="M424" s="62" t="n"/>
      <c r="N424" s="62" t="n"/>
      <c r="Q424" t="inlineStr">
        <is>
          <t>Вид повреждения</t>
        </is>
      </c>
      <c r="R424" t="inlineStr">
        <is>
          <t>Гидроабразивный износ</t>
        </is>
      </c>
      <c r="S424" t="inlineStr">
        <is>
          <t>Рабочая формулировка</t>
        </is>
      </c>
      <c r="T424" t="inlineStr">
        <is>
          <t>SLB, дефектовка УЭЦН с эрозией ступеней</t>
        </is>
      </c>
      <c r="U424" t="inlineStr">
        <is>
          <t>https://www.slb.com/resource-library/case-study-with-navigation/al/reda-maximus-colombia-cs</t>
        </is>
      </c>
      <c r="V424" t="inlineStr">
        <is>
          <t>Дефектовка / фото / измерение износа</t>
        </is>
      </c>
      <c r="DB424">
        <f>IF('История отказов'!AH427="","",'История отказов'!AH427)</f>
        <v/>
      </c>
      <c r="DC424">
        <f>IF('История отказов'!AE427="","",IF(AND(COUNTIF($CT$2:$CT$2,'История отказов'!AE427)=0,COUNTIFS('История отказов'!$F$5:F427,"ШГН",'История отказов'!$AE$5:AE427,'История отказов'!AE427)=1,'История отказов'!F427="ШГН"),423,""))</f>
        <v/>
      </c>
      <c r="DD424">
        <f>IF('История отказов'!AE427="","",IF(AND(COUNTIF($CU$2:$CU$3,'История отказов'!AE427)=0,COUNTIFS('История отказов'!$F$5:F427,"ЭЦН",'История отказов'!$AE$5:AE427,'История отказов'!AE427)=1,'История отказов'!F427="ЭЦН"),423,""))</f>
        <v/>
      </c>
      <c r="DE424">
        <f>IF('История отказов'!AE427="","",IF(AND(COUNTIF($CV$2:$CV$3,'История отказов'!AE427)=0,COUNTIFS('История отказов'!$F$5:F427,"ЭВН",'История отказов'!$AE$5:AE427,'История отказов'!AE427)=1,'История отказов'!F427="ЭВН"),423,""))</f>
        <v/>
      </c>
      <c r="DF424">
        <f>IF('История отказов'!AE427="","",IF(AND(COUNTIF($CX$2:$CX$2,'История отказов'!AE427)=0,COUNTIFS('История отказов'!$F$5:F427,"ШВН",'История отказов'!$AE$5:AE427,'История отказов'!AE427)=1,'История отказов'!F427="ШВН"),423,""))</f>
        <v/>
      </c>
      <c r="DG424">
        <f>IF('История отказов'!AE427="","",IF(AND(COUNTIF($CW$2:$CW$2,'История отказов'!AE427)=0,COUNTIFS('История отказов'!$F$5:F427,"НПУ-ВД",'История отказов'!$AE$5:AE427,'История отказов'!AE427)=1,'История отказов'!F427="НПУ-ВД"),423,""))</f>
        <v/>
      </c>
      <c r="DH424">
        <f>IF('История отказов'!AE427="","",IF(AND(COUNTIF($CY$2:$CY$6,'История отказов'!AE427)=0,COUNTIF('История отказов'!$AE$5:AE427,'История отказов'!AE427)=1),423,""))</f>
        <v/>
      </c>
      <c r="DI424">
        <f>IF('История отказов'!AK427="","",IF(AND(COUNTIF($CL$2:$CL$3,'История отказов'!AK427)=0,COUNTIF('История отказов'!$AK$5:AK427,'История отказов'!AK427)=1),423,""))</f>
        <v/>
      </c>
      <c r="DJ424">
        <f>IF('История отказов'!AU427="","",IF(AND(COUNTIF($CP$2:$CP$3,'История отказов'!AU427)=0,COUNTIF('История отказов'!$AU$5:AU427,'История отказов'!AU427)=1),423,""))</f>
        <v/>
      </c>
      <c r="DK424">
        <f>IF('История отказов'!AY427="","",IF(AND(COUNTIF($CR$2:$CR$2,'История отказов'!AY427)=0,COUNTIF('История отказов'!$AY$5:AY427,'История отказов'!AY427)=1),423,""))</f>
        <v/>
      </c>
      <c r="DL424">
        <f>IF(DB424="","",IF(AND(COUNTIF($DA$2:$DA$47,DB424)=0,COUNTIF($DB$2:DB424,DB424)=1),423,""))</f>
        <v/>
      </c>
    </row>
    <row r="425">
      <c r="A425" s="74" t="n"/>
      <c r="B425" s="75" t="n"/>
      <c r="C425" s="76" t="n"/>
      <c r="J425" s="62" t="n"/>
      <c r="K425" s="62" t="n"/>
      <c r="L425" s="62" t="n"/>
      <c r="M425" s="62" t="n"/>
      <c r="N425" s="62" t="n"/>
      <c r="Q425" t="inlineStr">
        <is>
          <t>Вид повреждения</t>
        </is>
      </c>
      <c r="R425" t="inlineStr">
        <is>
          <t>Коррозионное повреждение</t>
        </is>
      </c>
      <c r="S425" t="inlineStr">
        <is>
          <t>Рабочая формулировка</t>
        </is>
      </c>
      <c r="T425" t="inlineStr">
        <is>
          <t>Рабочая классификация повреждений; API RP 11S1</t>
        </is>
      </c>
      <c r="U425" t="inlineStr">
        <is>
          <t>https://mycommittees.api.org/myc-standards-ecs-sc11</t>
        </is>
      </c>
      <c r="V425" t="inlineStr">
        <is>
          <t>Подтвердить актом дефектовки</t>
        </is>
      </c>
      <c r="DB425">
        <f>IF('История отказов'!AH428="","",'История отказов'!AH428)</f>
        <v/>
      </c>
      <c r="DC425">
        <f>IF('История отказов'!AE428="","",IF(AND(COUNTIF($CT$2:$CT$2,'История отказов'!AE428)=0,COUNTIFS('История отказов'!$F$5:F428,"ШГН",'История отказов'!$AE$5:AE428,'История отказов'!AE428)=1,'История отказов'!F428="ШГН"),424,""))</f>
        <v/>
      </c>
      <c r="DD425">
        <f>IF('История отказов'!AE428="","",IF(AND(COUNTIF($CU$2:$CU$3,'История отказов'!AE428)=0,COUNTIFS('История отказов'!$F$5:F428,"ЭЦН",'История отказов'!$AE$5:AE428,'История отказов'!AE428)=1,'История отказов'!F428="ЭЦН"),424,""))</f>
        <v/>
      </c>
      <c r="DE425">
        <f>IF('История отказов'!AE428="","",IF(AND(COUNTIF($CV$2:$CV$3,'История отказов'!AE428)=0,COUNTIFS('История отказов'!$F$5:F428,"ЭВН",'История отказов'!$AE$5:AE428,'История отказов'!AE428)=1,'История отказов'!F428="ЭВН"),424,""))</f>
        <v/>
      </c>
      <c r="DF425">
        <f>IF('История отказов'!AE428="","",IF(AND(COUNTIF($CX$2:$CX$2,'История отказов'!AE428)=0,COUNTIFS('История отказов'!$F$5:F428,"ШВН",'История отказов'!$AE$5:AE428,'История отказов'!AE428)=1,'История отказов'!F428="ШВН"),424,""))</f>
        <v/>
      </c>
      <c r="DG425">
        <f>IF('История отказов'!AE428="","",IF(AND(COUNTIF($CW$2:$CW$2,'История отказов'!AE428)=0,COUNTIFS('История отказов'!$F$5:F428,"НПУ-ВД",'История отказов'!$AE$5:AE428,'История отказов'!AE428)=1,'История отказов'!F428="НПУ-ВД"),424,""))</f>
        <v/>
      </c>
      <c r="DH425">
        <f>IF('История отказов'!AE428="","",IF(AND(COUNTIF($CY$2:$CY$6,'История отказов'!AE428)=0,COUNTIF('История отказов'!$AE$5:AE428,'История отказов'!AE428)=1),424,""))</f>
        <v/>
      </c>
      <c r="DI425">
        <f>IF('История отказов'!AK428="","",IF(AND(COUNTIF($CL$2:$CL$3,'История отказов'!AK428)=0,COUNTIF('История отказов'!$AK$5:AK428,'История отказов'!AK428)=1),424,""))</f>
        <v/>
      </c>
      <c r="DJ425">
        <f>IF('История отказов'!AU428="","",IF(AND(COUNTIF($CP$2:$CP$3,'История отказов'!AU428)=0,COUNTIF('История отказов'!$AU$5:AU428,'История отказов'!AU428)=1),424,""))</f>
        <v/>
      </c>
      <c r="DK425">
        <f>IF('История отказов'!AY428="","",IF(AND(COUNTIF($CR$2:$CR$2,'История отказов'!AY428)=0,COUNTIF('История отказов'!$AY$5:AY428,'История отказов'!AY428)=1),424,""))</f>
        <v/>
      </c>
      <c r="DL425">
        <f>IF(DB425="","",IF(AND(COUNTIF($DA$2:$DA$47,DB425)=0,COUNTIF($DB$2:DB425,DB425)=1),424,""))</f>
        <v/>
      </c>
    </row>
    <row r="426">
      <c r="A426" s="74" t="n"/>
      <c r="B426" s="75" t="n"/>
      <c r="C426" s="76" t="n"/>
      <c r="J426" s="62" t="n"/>
      <c r="K426" s="62" t="n"/>
      <c r="L426" s="62" t="n"/>
      <c r="M426" s="62" t="n"/>
      <c r="N426" s="62" t="n"/>
      <c r="Q426" t="inlineStr">
        <is>
          <t>Вид повреждения</t>
        </is>
      </c>
      <c r="R426" t="inlineStr">
        <is>
          <t>Коррозионно-усталостное разрушение</t>
        </is>
      </c>
      <c r="S426" t="inlineStr">
        <is>
          <t>Рабочая гипотеза; требуется дефектовка</t>
        </is>
      </c>
      <c r="T426" t="inlineStr">
        <is>
          <t>API RP 11S1, процедура анализа отказа</t>
        </is>
      </c>
      <c r="U426" t="inlineStr">
        <is>
          <t>https://mycommittees.api.org/myc-standards-ecs-sc11</t>
        </is>
      </c>
      <c r="V426" t="inlineStr">
        <is>
          <t>Не устанавливать только по телеметрии</t>
        </is>
      </c>
      <c r="DB426">
        <f>IF('История отказов'!AH429="","",'История отказов'!AH429)</f>
        <v/>
      </c>
      <c r="DC426">
        <f>IF('История отказов'!AE429="","",IF(AND(COUNTIF($CT$2:$CT$2,'История отказов'!AE429)=0,COUNTIFS('История отказов'!$F$5:F429,"ШГН",'История отказов'!$AE$5:AE429,'История отказов'!AE429)=1,'История отказов'!F429="ШГН"),425,""))</f>
        <v/>
      </c>
      <c r="DD426">
        <f>IF('История отказов'!AE429="","",IF(AND(COUNTIF($CU$2:$CU$3,'История отказов'!AE429)=0,COUNTIFS('История отказов'!$F$5:F429,"ЭЦН",'История отказов'!$AE$5:AE429,'История отказов'!AE429)=1,'История отказов'!F429="ЭЦН"),425,""))</f>
        <v/>
      </c>
      <c r="DE426">
        <f>IF('История отказов'!AE429="","",IF(AND(COUNTIF($CV$2:$CV$3,'История отказов'!AE429)=0,COUNTIFS('История отказов'!$F$5:F429,"ЭВН",'История отказов'!$AE$5:AE429,'История отказов'!AE429)=1,'История отказов'!F429="ЭВН"),425,""))</f>
        <v/>
      </c>
      <c r="DF426">
        <f>IF('История отказов'!AE429="","",IF(AND(COUNTIF($CX$2:$CX$2,'История отказов'!AE429)=0,COUNTIFS('История отказов'!$F$5:F429,"ШВН",'История отказов'!$AE$5:AE429,'История отказов'!AE429)=1,'История отказов'!F429="ШВН"),425,""))</f>
        <v/>
      </c>
      <c r="DG426">
        <f>IF('История отказов'!AE429="","",IF(AND(COUNTIF($CW$2:$CW$2,'История отказов'!AE429)=0,COUNTIFS('История отказов'!$F$5:F429,"НПУ-ВД",'История отказов'!$AE$5:AE429,'История отказов'!AE429)=1,'История отказов'!F429="НПУ-ВД"),425,""))</f>
        <v/>
      </c>
      <c r="DH426">
        <f>IF('История отказов'!AE429="","",IF(AND(COUNTIF($CY$2:$CY$6,'История отказов'!AE429)=0,COUNTIF('История отказов'!$AE$5:AE429,'История отказов'!AE429)=1),425,""))</f>
        <v/>
      </c>
      <c r="DI426">
        <f>IF('История отказов'!AK429="","",IF(AND(COUNTIF($CL$2:$CL$3,'История отказов'!AK429)=0,COUNTIF('История отказов'!$AK$5:AK429,'История отказов'!AK429)=1),425,""))</f>
        <v/>
      </c>
      <c r="DJ426">
        <f>IF('История отказов'!AU429="","",IF(AND(COUNTIF($CP$2:$CP$3,'История отказов'!AU429)=0,COUNTIF('История отказов'!$AU$5:AU429,'История отказов'!AU429)=1),425,""))</f>
        <v/>
      </c>
      <c r="DK426">
        <f>IF('История отказов'!AY429="","",IF(AND(COUNTIF($CR$2:$CR$2,'История отказов'!AY429)=0,COUNTIF('История отказов'!$AY$5:AY429,'История отказов'!AY429)=1),425,""))</f>
        <v/>
      </c>
      <c r="DL426">
        <f>IF(DB426="","",IF(AND(COUNTIF($DA$2:$DA$47,DB426)=0,COUNTIF($DB$2:DB426,DB426)=1),425,""))</f>
        <v/>
      </c>
    </row>
    <row r="427">
      <c r="A427" s="74" t="n"/>
      <c r="B427" s="75" t="n"/>
      <c r="C427" s="76" t="n"/>
      <c r="J427" s="62" t="n"/>
      <c r="K427" s="62" t="n"/>
      <c r="L427" s="62" t="n"/>
      <c r="M427" s="62" t="n"/>
      <c r="N427" s="62" t="n"/>
      <c r="Q427" t="inlineStr">
        <is>
          <t>Вид повреждения</t>
        </is>
      </c>
      <c r="R427" t="inlineStr">
        <is>
          <t>Усталостное разрушение</t>
        </is>
      </c>
      <c r="S427" t="inlineStr">
        <is>
          <t>Рабочая гипотеза; требуется дефектовка</t>
        </is>
      </c>
      <c r="T427" t="inlineStr">
        <is>
          <t>API RP 11S1, процедура анализа отказа</t>
        </is>
      </c>
      <c r="U427" t="inlineStr">
        <is>
          <t>https://mycommittees.api.org/myc-standards-ecs-sc11</t>
        </is>
      </c>
      <c r="V427" t="inlineStr">
        <is>
          <t>Не устанавливать только по телеметрии</t>
        </is>
      </c>
      <c r="DB427">
        <f>IF('История отказов'!AH430="","",'История отказов'!AH430)</f>
        <v/>
      </c>
      <c r="DC427">
        <f>IF('История отказов'!AE430="","",IF(AND(COUNTIF($CT$2:$CT$2,'История отказов'!AE430)=0,COUNTIFS('История отказов'!$F$5:F430,"ШГН",'История отказов'!$AE$5:AE430,'История отказов'!AE430)=1,'История отказов'!F430="ШГН"),426,""))</f>
        <v/>
      </c>
      <c r="DD427">
        <f>IF('История отказов'!AE430="","",IF(AND(COUNTIF($CU$2:$CU$3,'История отказов'!AE430)=0,COUNTIFS('История отказов'!$F$5:F430,"ЭЦН",'История отказов'!$AE$5:AE430,'История отказов'!AE430)=1,'История отказов'!F430="ЭЦН"),426,""))</f>
        <v/>
      </c>
      <c r="DE427">
        <f>IF('История отказов'!AE430="","",IF(AND(COUNTIF($CV$2:$CV$3,'История отказов'!AE430)=0,COUNTIFS('История отказов'!$F$5:F430,"ЭВН",'История отказов'!$AE$5:AE430,'История отказов'!AE430)=1,'История отказов'!F430="ЭВН"),426,""))</f>
        <v/>
      </c>
      <c r="DF427">
        <f>IF('История отказов'!AE430="","",IF(AND(COUNTIF($CX$2:$CX$2,'История отказов'!AE430)=0,COUNTIFS('История отказов'!$F$5:F430,"ШВН",'История отказов'!$AE$5:AE430,'История отказов'!AE430)=1,'История отказов'!F430="ШВН"),426,""))</f>
        <v/>
      </c>
      <c r="DG427">
        <f>IF('История отказов'!AE430="","",IF(AND(COUNTIF($CW$2:$CW$2,'История отказов'!AE430)=0,COUNTIFS('История отказов'!$F$5:F430,"НПУ-ВД",'История отказов'!$AE$5:AE430,'История отказов'!AE430)=1,'История отказов'!F430="НПУ-ВД"),426,""))</f>
        <v/>
      </c>
      <c r="DH427">
        <f>IF('История отказов'!AE430="","",IF(AND(COUNTIF($CY$2:$CY$6,'История отказов'!AE430)=0,COUNTIF('История отказов'!$AE$5:AE430,'История отказов'!AE430)=1),426,""))</f>
        <v/>
      </c>
      <c r="DI427">
        <f>IF('История отказов'!AK430="","",IF(AND(COUNTIF($CL$2:$CL$3,'История отказов'!AK430)=0,COUNTIF('История отказов'!$AK$5:AK430,'История отказов'!AK430)=1),426,""))</f>
        <v/>
      </c>
      <c r="DJ427">
        <f>IF('История отказов'!AU430="","",IF(AND(COUNTIF($CP$2:$CP$3,'История отказов'!AU430)=0,COUNTIF('История отказов'!$AU$5:AU430,'История отказов'!AU430)=1),426,""))</f>
        <v/>
      </c>
      <c r="DK427">
        <f>IF('История отказов'!AY430="","",IF(AND(COUNTIF($CR$2:$CR$2,'История отказов'!AY430)=0,COUNTIF('История отказов'!$AY$5:AY430,'История отказов'!AY430)=1),426,""))</f>
        <v/>
      </c>
      <c r="DL427">
        <f>IF(DB427="","",IF(AND(COUNTIF($DA$2:$DA$47,DB427)=0,COUNTIF($DB$2:DB427,DB427)=1),426,""))</f>
        <v/>
      </c>
    </row>
    <row r="428">
      <c r="A428" s="74" t="n"/>
      <c r="B428" s="75" t="n"/>
      <c r="C428" s="76" t="n"/>
      <c r="J428" s="62" t="n"/>
      <c r="K428" s="62" t="n"/>
      <c r="L428" s="62" t="n"/>
      <c r="M428" s="62" t="n"/>
      <c r="N428" s="62" t="n"/>
      <c r="Q428" t="inlineStr">
        <is>
          <t>Вид повреждения</t>
        </is>
      </c>
      <c r="R428" t="inlineStr">
        <is>
          <t>Обрыв</t>
        </is>
      </c>
      <c r="S428" t="inlineStr">
        <is>
          <t>Рабочая формулировка</t>
        </is>
      </c>
      <c r="T428" t="inlineStr">
        <is>
          <t>Рабочая классификация повреждений; API RP 11S1</t>
        </is>
      </c>
      <c r="U428" t="inlineStr">
        <is>
          <t>https://mycommittees.api.org/myc-standards-ecs-sc11</t>
        </is>
      </c>
      <c r="V428" t="inlineStr">
        <is>
          <t>Подтвердить актом дефектовки</t>
        </is>
      </c>
      <c r="DB428">
        <f>IF('История отказов'!AH431="","",'История отказов'!AH431)</f>
        <v/>
      </c>
      <c r="DC428">
        <f>IF('История отказов'!AE431="","",IF(AND(COUNTIF($CT$2:$CT$2,'История отказов'!AE431)=0,COUNTIFS('История отказов'!$F$5:F431,"ШГН",'История отказов'!$AE$5:AE431,'История отказов'!AE431)=1,'История отказов'!F431="ШГН"),427,""))</f>
        <v/>
      </c>
      <c r="DD428">
        <f>IF('История отказов'!AE431="","",IF(AND(COUNTIF($CU$2:$CU$3,'История отказов'!AE431)=0,COUNTIFS('История отказов'!$F$5:F431,"ЭЦН",'История отказов'!$AE$5:AE431,'История отказов'!AE431)=1,'История отказов'!F431="ЭЦН"),427,""))</f>
        <v/>
      </c>
      <c r="DE428">
        <f>IF('История отказов'!AE431="","",IF(AND(COUNTIF($CV$2:$CV$3,'История отказов'!AE431)=0,COUNTIFS('История отказов'!$F$5:F431,"ЭВН",'История отказов'!$AE$5:AE431,'История отказов'!AE431)=1,'История отказов'!F431="ЭВН"),427,""))</f>
        <v/>
      </c>
      <c r="DF428">
        <f>IF('История отказов'!AE431="","",IF(AND(COUNTIF($CX$2:$CX$2,'История отказов'!AE431)=0,COUNTIFS('История отказов'!$F$5:F431,"ШВН",'История отказов'!$AE$5:AE431,'История отказов'!AE431)=1,'История отказов'!F431="ШВН"),427,""))</f>
        <v/>
      </c>
      <c r="DG428">
        <f>IF('История отказов'!AE431="","",IF(AND(COUNTIF($CW$2:$CW$2,'История отказов'!AE431)=0,COUNTIFS('История отказов'!$F$5:F431,"НПУ-ВД",'История отказов'!$AE$5:AE431,'История отказов'!AE431)=1,'История отказов'!F431="НПУ-ВД"),427,""))</f>
        <v/>
      </c>
      <c r="DH428">
        <f>IF('История отказов'!AE431="","",IF(AND(COUNTIF($CY$2:$CY$6,'История отказов'!AE431)=0,COUNTIF('История отказов'!$AE$5:AE431,'История отказов'!AE431)=1),427,""))</f>
        <v/>
      </c>
      <c r="DI428">
        <f>IF('История отказов'!AK431="","",IF(AND(COUNTIF($CL$2:$CL$3,'История отказов'!AK431)=0,COUNTIF('История отказов'!$AK$5:AK431,'История отказов'!AK431)=1),427,""))</f>
        <v/>
      </c>
      <c r="DJ428">
        <f>IF('История отказов'!AU431="","",IF(AND(COUNTIF($CP$2:$CP$3,'История отказов'!AU431)=0,COUNTIF('История отказов'!$AU$5:AU431,'История отказов'!AU431)=1),427,""))</f>
        <v/>
      </c>
      <c r="DK428">
        <f>IF('История отказов'!AY431="","",IF(AND(COUNTIF($CR$2:$CR$2,'История отказов'!AY431)=0,COUNTIF('История отказов'!$AY$5:AY431,'История отказов'!AY431)=1),427,""))</f>
        <v/>
      </c>
      <c r="DL428">
        <f>IF(DB428="","",IF(AND(COUNTIF($DA$2:$DA$47,DB428)=0,COUNTIF($DB$2:DB428,DB428)=1),427,""))</f>
        <v/>
      </c>
    </row>
    <row r="429">
      <c r="A429" s="74" t="n"/>
      <c r="B429" s="75" t="n"/>
      <c r="C429" s="76" t="n"/>
      <c r="J429" s="62" t="n"/>
      <c r="K429" s="62" t="n"/>
      <c r="L429" s="62" t="n"/>
      <c r="M429" s="62" t="n"/>
      <c r="N429" s="62" t="n"/>
      <c r="Q429" t="inlineStr">
        <is>
          <t>Вид повреждения</t>
        </is>
      </c>
      <c r="R429" t="inlineStr">
        <is>
          <t>Отворот</t>
        </is>
      </c>
      <c r="S429" t="inlineStr">
        <is>
          <t>Рабочая формулировка</t>
        </is>
      </c>
      <c r="T429" t="inlineStr">
        <is>
          <t>Рабочая классификация повреждений; API RP 11S1</t>
        </is>
      </c>
      <c r="U429" t="inlineStr">
        <is>
          <t>https://mycommittees.api.org/myc-standards-ecs-sc11</t>
        </is>
      </c>
      <c r="V429" t="inlineStr">
        <is>
          <t>Подтвердить актом дефектовки</t>
        </is>
      </c>
      <c r="DB429">
        <f>IF('История отказов'!AH432="","",'История отказов'!AH432)</f>
        <v/>
      </c>
      <c r="DC429">
        <f>IF('История отказов'!AE432="","",IF(AND(COUNTIF($CT$2:$CT$2,'История отказов'!AE432)=0,COUNTIFS('История отказов'!$F$5:F432,"ШГН",'История отказов'!$AE$5:AE432,'История отказов'!AE432)=1,'История отказов'!F432="ШГН"),428,""))</f>
        <v/>
      </c>
      <c r="DD429">
        <f>IF('История отказов'!AE432="","",IF(AND(COUNTIF($CU$2:$CU$3,'История отказов'!AE432)=0,COUNTIFS('История отказов'!$F$5:F432,"ЭЦН",'История отказов'!$AE$5:AE432,'История отказов'!AE432)=1,'История отказов'!F432="ЭЦН"),428,""))</f>
        <v/>
      </c>
      <c r="DE429">
        <f>IF('История отказов'!AE432="","",IF(AND(COUNTIF($CV$2:$CV$3,'История отказов'!AE432)=0,COUNTIFS('История отказов'!$F$5:F432,"ЭВН",'История отказов'!$AE$5:AE432,'История отказов'!AE432)=1,'История отказов'!F432="ЭВН"),428,""))</f>
        <v/>
      </c>
      <c r="DF429">
        <f>IF('История отказов'!AE432="","",IF(AND(COUNTIF($CX$2:$CX$2,'История отказов'!AE432)=0,COUNTIFS('История отказов'!$F$5:F432,"ШВН",'История отказов'!$AE$5:AE432,'История отказов'!AE432)=1,'История отказов'!F432="ШВН"),428,""))</f>
        <v/>
      </c>
      <c r="DG429">
        <f>IF('История отказов'!AE432="","",IF(AND(COUNTIF($CW$2:$CW$2,'История отказов'!AE432)=0,COUNTIFS('История отказов'!$F$5:F432,"НПУ-ВД",'История отказов'!$AE$5:AE432,'История отказов'!AE432)=1,'История отказов'!F432="НПУ-ВД"),428,""))</f>
        <v/>
      </c>
      <c r="DH429">
        <f>IF('История отказов'!AE432="","",IF(AND(COUNTIF($CY$2:$CY$6,'История отказов'!AE432)=0,COUNTIF('История отказов'!$AE$5:AE432,'История отказов'!AE432)=1),428,""))</f>
        <v/>
      </c>
      <c r="DI429">
        <f>IF('История отказов'!AK432="","",IF(AND(COUNTIF($CL$2:$CL$3,'История отказов'!AK432)=0,COUNTIF('История отказов'!$AK$5:AK432,'История отказов'!AK432)=1),428,""))</f>
        <v/>
      </c>
      <c r="DJ429">
        <f>IF('История отказов'!AU432="","",IF(AND(COUNTIF($CP$2:$CP$3,'История отказов'!AU432)=0,COUNTIF('История отказов'!$AU$5:AU432,'История отказов'!AU432)=1),428,""))</f>
        <v/>
      </c>
      <c r="DK429">
        <f>IF('История отказов'!AY432="","",IF(AND(COUNTIF($CR$2:$CR$2,'История отказов'!AY432)=0,COUNTIF('История отказов'!$AY$5:AY432,'История отказов'!AY432)=1),428,""))</f>
        <v/>
      </c>
      <c r="DL429">
        <f>IF(DB429="","",IF(AND(COUNTIF($DA$2:$DA$47,DB429)=0,COUNTIF($DB$2:DB429,DB429)=1),428,""))</f>
        <v/>
      </c>
    </row>
    <row r="430">
      <c r="A430" s="74" t="n"/>
      <c r="B430" s="75" t="n"/>
      <c r="C430" s="76" t="n"/>
      <c r="J430" s="62" t="n"/>
      <c r="K430" s="62" t="n"/>
      <c r="L430" s="62" t="n"/>
      <c r="M430" s="62" t="n"/>
      <c r="N430" s="62" t="n"/>
      <c r="Q430" t="inlineStr">
        <is>
          <t>Вид повреждения</t>
        </is>
      </c>
      <c r="R430" t="inlineStr">
        <is>
          <t>Заклинивание</t>
        </is>
      </c>
      <c r="S430" t="inlineStr">
        <is>
          <t>Рабочая формулировка</t>
        </is>
      </c>
      <c r="T430" t="inlineStr">
        <is>
          <t>Рабочая классификация повреждений; API RP 11S1</t>
        </is>
      </c>
      <c r="U430" t="inlineStr">
        <is>
          <t>https://mycommittees.api.org/myc-standards-ecs-sc11</t>
        </is>
      </c>
      <c r="V430" t="inlineStr">
        <is>
          <t>Подтвердить актом дефектовки</t>
        </is>
      </c>
      <c r="DB430">
        <f>IF('История отказов'!AH433="","",'История отказов'!AH433)</f>
        <v/>
      </c>
      <c r="DC430">
        <f>IF('История отказов'!AE433="","",IF(AND(COUNTIF($CT$2:$CT$2,'История отказов'!AE433)=0,COUNTIFS('История отказов'!$F$5:F433,"ШГН",'История отказов'!$AE$5:AE433,'История отказов'!AE433)=1,'История отказов'!F433="ШГН"),429,""))</f>
        <v/>
      </c>
      <c r="DD430">
        <f>IF('История отказов'!AE433="","",IF(AND(COUNTIF($CU$2:$CU$3,'История отказов'!AE433)=0,COUNTIFS('История отказов'!$F$5:F433,"ЭЦН",'История отказов'!$AE$5:AE433,'История отказов'!AE433)=1,'История отказов'!F433="ЭЦН"),429,""))</f>
        <v/>
      </c>
      <c r="DE430">
        <f>IF('История отказов'!AE433="","",IF(AND(COUNTIF($CV$2:$CV$3,'История отказов'!AE433)=0,COUNTIFS('История отказов'!$F$5:F433,"ЭВН",'История отказов'!$AE$5:AE433,'История отказов'!AE433)=1,'История отказов'!F433="ЭВН"),429,""))</f>
        <v/>
      </c>
      <c r="DF430">
        <f>IF('История отказов'!AE433="","",IF(AND(COUNTIF($CX$2:$CX$2,'История отказов'!AE433)=0,COUNTIFS('История отказов'!$F$5:F433,"ШВН",'История отказов'!$AE$5:AE433,'История отказов'!AE433)=1,'История отказов'!F433="ШВН"),429,""))</f>
        <v/>
      </c>
      <c r="DG430">
        <f>IF('История отказов'!AE433="","",IF(AND(COUNTIF($CW$2:$CW$2,'История отказов'!AE433)=0,COUNTIFS('История отказов'!$F$5:F433,"НПУ-ВД",'История отказов'!$AE$5:AE433,'История отказов'!AE433)=1,'История отказов'!F433="НПУ-ВД"),429,""))</f>
        <v/>
      </c>
      <c r="DH430">
        <f>IF('История отказов'!AE433="","",IF(AND(COUNTIF($CY$2:$CY$6,'История отказов'!AE433)=0,COUNTIF('История отказов'!$AE$5:AE433,'История отказов'!AE433)=1),429,""))</f>
        <v/>
      </c>
      <c r="DI430">
        <f>IF('История отказов'!AK433="","",IF(AND(COUNTIF($CL$2:$CL$3,'История отказов'!AK433)=0,COUNTIF('История отказов'!$AK$5:AK433,'История отказов'!AK433)=1),429,""))</f>
        <v/>
      </c>
      <c r="DJ430">
        <f>IF('История отказов'!AU433="","",IF(AND(COUNTIF($CP$2:$CP$3,'История отказов'!AU433)=0,COUNTIF('История отказов'!$AU$5:AU433,'История отказов'!AU433)=1),429,""))</f>
        <v/>
      </c>
      <c r="DK430">
        <f>IF('История отказов'!AY433="","",IF(AND(COUNTIF($CR$2:$CR$2,'История отказов'!AY433)=0,COUNTIF('История отказов'!$AY$5:AY433,'История отказов'!AY433)=1),429,""))</f>
        <v/>
      </c>
      <c r="DL430">
        <f>IF(DB430="","",IF(AND(COUNTIF($DA$2:$DA$47,DB430)=0,COUNTIF($DB$2:DB430,DB430)=1),429,""))</f>
        <v/>
      </c>
    </row>
    <row r="431">
      <c r="A431" s="74" t="n"/>
      <c r="B431" s="75" t="n"/>
      <c r="C431" s="76" t="n"/>
      <c r="J431" s="62" t="n"/>
      <c r="K431" s="62" t="n"/>
      <c r="L431" s="62" t="n"/>
      <c r="M431" s="62" t="n"/>
      <c r="N431" s="62" t="n"/>
      <c r="Q431" t="inlineStr">
        <is>
          <t>Вид повреждения</t>
        </is>
      </c>
      <c r="R431" t="inlineStr">
        <is>
          <t>Засорение</t>
        </is>
      </c>
      <c r="S431" t="inlineStr">
        <is>
          <t>Рабочая формулировка</t>
        </is>
      </c>
      <c r="T431" t="inlineStr">
        <is>
          <t>Рабочая классификация повреждений; API RP 11S1</t>
        </is>
      </c>
      <c r="U431" t="inlineStr">
        <is>
          <t>https://mycommittees.api.org/myc-standards-ecs-sc11</t>
        </is>
      </c>
      <c r="V431" t="inlineStr">
        <is>
          <t>Подтвердить актом дефектовки</t>
        </is>
      </c>
      <c r="DB431">
        <f>IF('История отказов'!AH434="","",'История отказов'!AH434)</f>
        <v/>
      </c>
      <c r="DC431">
        <f>IF('История отказов'!AE434="","",IF(AND(COUNTIF($CT$2:$CT$2,'История отказов'!AE434)=0,COUNTIFS('История отказов'!$F$5:F434,"ШГН",'История отказов'!$AE$5:AE434,'История отказов'!AE434)=1,'История отказов'!F434="ШГН"),430,""))</f>
        <v/>
      </c>
      <c r="DD431">
        <f>IF('История отказов'!AE434="","",IF(AND(COUNTIF($CU$2:$CU$3,'История отказов'!AE434)=0,COUNTIFS('История отказов'!$F$5:F434,"ЭЦН",'История отказов'!$AE$5:AE434,'История отказов'!AE434)=1,'История отказов'!F434="ЭЦН"),430,""))</f>
        <v/>
      </c>
      <c r="DE431">
        <f>IF('История отказов'!AE434="","",IF(AND(COUNTIF($CV$2:$CV$3,'История отказов'!AE434)=0,COUNTIFS('История отказов'!$F$5:F434,"ЭВН",'История отказов'!$AE$5:AE434,'История отказов'!AE434)=1,'История отказов'!F434="ЭВН"),430,""))</f>
        <v/>
      </c>
      <c r="DF431">
        <f>IF('История отказов'!AE434="","",IF(AND(COUNTIF($CX$2:$CX$2,'История отказов'!AE434)=0,COUNTIFS('История отказов'!$F$5:F434,"ШВН",'История отказов'!$AE$5:AE434,'История отказов'!AE434)=1,'История отказов'!F434="ШВН"),430,""))</f>
        <v/>
      </c>
      <c r="DG431">
        <f>IF('История отказов'!AE434="","",IF(AND(COUNTIF($CW$2:$CW$2,'История отказов'!AE434)=0,COUNTIFS('История отказов'!$F$5:F434,"НПУ-ВД",'История отказов'!$AE$5:AE434,'История отказов'!AE434)=1,'История отказов'!F434="НПУ-ВД"),430,""))</f>
        <v/>
      </c>
      <c r="DH431">
        <f>IF('История отказов'!AE434="","",IF(AND(COUNTIF($CY$2:$CY$6,'История отказов'!AE434)=0,COUNTIF('История отказов'!$AE$5:AE434,'История отказов'!AE434)=1),430,""))</f>
        <v/>
      </c>
      <c r="DI431">
        <f>IF('История отказов'!AK434="","",IF(AND(COUNTIF($CL$2:$CL$3,'История отказов'!AK434)=0,COUNTIF('История отказов'!$AK$5:AK434,'История отказов'!AK434)=1),430,""))</f>
        <v/>
      </c>
      <c r="DJ431">
        <f>IF('История отказов'!AU434="","",IF(AND(COUNTIF($CP$2:$CP$3,'История отказов'!AU434)=0,COUNTIF('История отказов'!$AU$5:AU434,'История отказов'!AU434)=1),430,""))</f>
        <v/>
      </c>
      <c r="DK431">
        <f>IF('История отказов'!AY434="","",IF(AND(COUNTIF($CR$2:$CR$2,'История отказов'!AY434)=0,COUNTIF('История отказов'!$AY$5:AY434,'История отказов'!AY434)=1),430,""))</f>
        <v/>
      </c>
      <c r="DL431">
        <f>IF(DB431="","",IF(AND(COUNTIF($DA$2:$DA$47,DB431)=0,COUNTIF($DB$2:DB431,DB431)=1),430,""))</f>
        <v/>
      </c>
    </row>
    <row r="432">
      <c r="A432" s="74" t="n"/>
      <c r="B432" s="75" t="n"/>
      <c r="C432" s="76" t="n"/>
      <c r="J432" s="62" t="n"/>
      <c r="K432" s="62" t="n"/>
      <c r="L432" s="62" t="n"/>
      <c r="M432" s="62" t="n"/>
      <c r="N432" s="62" t="n"/>
      <c r="Q432" t="inlineStr">
        <is>
          <t>Вид повреждения</t>
        </is>
      </c>
      <c r="R432" t="inlineStr">
        <is>
          <t>Отложения</t>
        </is>
      </c>
      <c r="S432" t="inlineStr">
        <is>
          <t>Рабочая формулировка</t>
        </is>
      </c>
      <c r="T432" t="inlineStr">
        <is>
          <t>Рабочая классификация повреждений; API RP 11S1</t>
        </is>
      </c>
      <c r="U432" t="inlineStr">
        <is>
          <t>https://mycommittees.api.org/myc-standards-ecs-sc11</t>
        </is>
      </c>
      <c r="V432" t="inlineStr">
        <is>
          <t>Подтвердить актом дефектовки</t>
        </is>
      </c>
      <c r="DB432">
        <f>IF('История отказов'!AH435="","",'История отказов'!AH435)</f>
        <v/>
      </c>
      <c r="DC432">
        <f>IF('История отказов'!AE435="","",IF(AND(COUNTIF($CT$2:$CT$2,'История отказов'!AE435)=0,COUNTIFS('История отказов'!$F$5:F435,"ШГН",'История отказов'!$AE$5:AE435,'История отказов'!AE435)=1,'История отказов'!F435="ШГН"),431,""))</f>
        <v/>
      </c>
      <c r="DD432">
        <f>IF('История отказов'!AE435="","",IF(AND(COUNTIF($CU$2:$CU$3,'История отказов'!AE435)=0,COUNTIFS('История отказов'!$F$5:F435,"ЭЦН",'История отказов'!$AE$5:AE435,'История отказов'!AE435)=1,'История отказов'!F435="ЭЦН"),431,""))</f>
        <v/>
      </c>
      <c r="DE432">
        <f>IF('История отказов'!AE435="","",IF(AND(COUNTIF($CV$2:$CV$3,'История отказов'!AE435)=0,COUNTIFS('История отказов'!$F$5:F435,"ЭВН",'История отказов'!$AE$5:AE435,'История отказов'!AE435)=1,'История отказов'!F435="ЭВН"),431,""))</f>
        <v/>
      </c>
      <c r="DF432">
        <f>IF('История отказов'!AE435="","",IF(AND(COUNTIF($CX$2:$CX$2,'История отказов'!AE435)=0,COUNTIFS('История отказов'!$F$5:F435,"ШВН",'История отказов'!$AE$5:AE435,'История отказов'!AE435)=1,'История отказов'!F435="ШВН"),431,""))</f>
        <v/>
      </c>
      <c r="DG432">
        <f>IF('История отказов'!AE435="","",IF(AND(COUNTIF($CW$2:$CW$2,'История отказов'!AE435)=0,COUNTIFS('История отказов'!$F$5:F435,"НПУ-ВД",'История отказов'!$AE$5:AE435,'История отказов'!AE435)=1,'История отказов'!F435="НПУ-ВД"),431,""))</f>
        <v/>
      </c>
      <c r="DH432">
        <f>IF('История отказов'!AE435="","",IF(AND(COUNTIF($CY$2:$CY$6,'История отказов'!AE435)=0,COUNTIF('История отказов'!$AE$5:AE435,'История отказов'!AE435)=1),431,""))</f>
        <v/>
      </c>
      <c r="DI432">
        <f>IF('История отказов'!AK435="","",IF(AND(COUNTIF($CL$2:$CL$3,'История отказов'!AK435)=0,COUNTIF('История отказов'!$AK$5:AK435,'История отказов'!AK435)=1),431,""))</f>
        <v/>
      </c>
      <c r="DJ432">
        <f>IF('История отказов'!AU435="","",IF(AND(COUNTIF($CP$2:$CP$3,'История отказов'!AU435)=0,COUNTIF('История отказов'!$AU$5:AU435,'История отказов'!AU435)=1),431,""))</f>
        <v/>
      </c>
      <c r="DK432">
        <f>IF('История отказов'!AY435="","",IF(AND(COUNTIF($CR$2:$CR$2,'История отказов'!AY435)=0,COUNTIF('История отказов'!$AY$5:AY435,'История отказов'!AY435)=1),431,""))</f>
        <v/>
      </c>
      <c r="DL432">
        <f>IF(DB432="","",IF(AND(COUNTIF($DA$2:$DA$47,DB432)=0,COUNTIF($DB$2:DB432,DB432)=1),431,""))</f>
        <v/>
      </c>
    </row>
    <row r="433">
      <c r="A433" s="74" t="n"/>
      <c r="B433" s="75" t="n"/>
      <c r="C433" s="76" t="n"/>
      <c r="J433" s="62" t="n"/>
      <c r="K433" s="62" t="n"/>
      <c r="L433" s="62" t="n"/>
      <c r="M433" s="62" t="n"/>
      <c r="N433" s="62" t="n"/>
      <c r="Q433" t="inlineStr">
        <is>
          <t>Вид повреждения</t>
        </is>
      </c>
      <c r="R433" t="inlineStr">
        <is>
          <t>Утечка / потеря герметичности</t>
        </is>
      </c>
      <c r="S433" t="inlineStr">
        <is>
          <t>Рабочая формулировка</t>
        </is>
      </c>
      <c r="T433" t="inlineStr">
        <is>
          <t>Рабочая классификация повреждений; API RP 11S1</t>
        </is>
      </c>
      <c r="U433" t="inlineStr">
        <is>
          <t>https://mycommittees.api.org/myc-standards-ecs-sc11</t>
        </is>
      </c>
      <c r="V433" t="inlineStr">
        <is>
          <t>Подтвердить актом дефектовки</t>
        </is>
      </c>
      <c r="DB433">
        <f>IF('История отказов'!AH436="","",'История отказов'!AH436)</f>
        <v/>
      </c>
      <c r="DC433">
        <f>IF('История отказов'!AE436="","",IF(AND(COUNTIF($CT$2:$CT$2,'История отказов'!AE436)=0,COUNTIFS('История отказов'!$F$5:F436,"ШГН",'История отказов'!$AE$5:AE436,'История отказов'!AE436)=1,'История отказов'!F436="ШГН"),432,""))</f>
        <v/>
      </c>
      <c r="DD433">
        <f>IF('История отказов'!AE436="","",IF(AND(COUNTIF($CU$2:$CU$3,'История отказов'!AE436)=0,COUNTIFS('История отказов'!$F$5:F436,"ЭЦН",'История отказов'!$AE$5:AE436,'История отказов'!AE436)=1,'История отказов'!F436="ЭЦН"),432,""))</f>
        <v/>
      </c>
      <c r="DE433">
        <f>IF('История отказов'!AE436="","",IF(AND(COUNTIF($CV$2:$CV$3,'История отказов'!AE436)=0,COUNTIFS('История отказов'!$F$5:F436,"ЭВН",'История отказов'!$AE$5:AE436,'История отказов'!AE436)=1,'История отказов'!F436="ЭВН"),432,""))</f>
        <v/>
      </c>
      <c r="DF433">
        <f>IF('История отказов'!AE436="","",IF(AND(COUNTIF($CX$2:$CX$2,'История отказов'!AE436)=0,COUNTIFS('История отказов'!$F$5:F436,"ШВН",'История отказов'!$AE$5:AE436,'История отказов'!AE436)=1,'История отказов'!F436="ШВН"),432,""))</f>
        <v/>
      </c>
      <c r="DG433">
        <f>IF('История отказов'!AE436="","",IF(AND(COUNTIF($CW$2:$CW$2,'История отказов'!AE436)=0,COUNTIFS('История отказов'!$F$5:F436,"НПУ-ВД",'История отказов'!$AE$5:AE436,'История отказов'!AE436)=1,'История отказов'!F436="НПУ-ВД"),432,""))</f>
        <v/>
      </c>
      <c r="DH433">
        <f>IF('История отказов'!AE436="","",IF(AND(COUNTIF($CY$2:$CY$6,'История отказов'!AE436)=0,COUNTIF('История отказов'!$AE$5:AE436,'История отказов'!AE436)=1),432,""))</f>
        <v/>
      </c>
      <c r="DI433">
        <f>IF('История отказов'!AK436="","",IF(AND(COUNTIF($CL$2:$CL$3,'История отказов'!AK436)=0,COUNTIF('История отказов'!$AK$5:AK436,'История отказов'!AK436)=1),432,""))</f>
        <v/>
      </c>
      <c r="DJ433">
        <f>IF('История отказов'!AU436="","",IF(AND(COUNTIF($CP$2:$CP$3,'История отказов'!AU436)=0,COUNTIF('История отказов'!$AU$5:AU436,'История отказов'!AU436)=1),432,""))</f>
        <v/>
      </c>
      <c r="DK433">
        <f>IF('История отказов'!AY436="","",IF(AND(COUNTIF($CR$2:$CR$2,'История отказов'!AY436)=0,COUNTIF('История отказов'!$AY$5:AY436,'История отказов'!AY436)=1),432,""))</f>
        <v/>
      </c>
      <c r="DL433">
        <f>IF(DB433="","",IF(AND(COUNTIF($DA$2:$DA$47,DB433)=0,COUNTIF($DB$2:DB433,DB433)=1),432,""))</f>
        <v/>
      </c>
    </row>
    <row r="434">
      <c r="A434" s="74" t="n"/>
      <c r="B434" s="75" t="n"/>
      <c r="C434" s="76" t="n"/>
      <c r="J434" s="62" t="n"/>
      <c r="K434" s="62" t="n"/>
      <c r="L434" s="62" t="n"/>
      <c r="M434" s="62" t="n"/>
      <c r="N434" s="62" t="n"/>
      <c r="Q434" t="inlineStr">
        <is>
          <t>Вид повреждения</t>
        </is>
      </c>
      <c r="R434" t="inlineStr">
        <is>
          <t>Повреждение изоляции</t>
        </is>
      </c>
      <c r="S434" t="inlineStr">
        <is>
          <t>Рабочая формулировка</t>
        </is>
      </c>
      <c r="T434" t="inlineStr">
        <is>
          <t>SLB, анализ электрических повреждений УЭЦН</t>
        </is>
      </c>
      <c r="U434" t="inlineStr">
        <is>
          <t>https://www.slb.com/-/media/files/oilfield-review/p30-43-2</t>
        </is>
      </c>
      <c r="V434" t="inlineStr">
        <is>
          <t>Электрическая часть; подтвердить испытанием</t>
        </is>
      </c>
      <c r="DB434">
        <f>IF('История отказов'!AH437="","",'История отказов'!AH437)</f>
        <v/>
      </c>
      <c r="DC434">
        <f>IF('История отказов'!AE437="","",IF(AND(COUNTIF($CT$2:$CT$2,'История отказов'!AE437)=0,COUNTIFS('История отказов'!$F$5:F437,"ШГН",'История отказов'!$AE$5:AE437,'История отказов'!AE437)=1,'История отказов'!F437="ШГН"),433,""))</f>
        <v/>
      </c>
      <c r="DD434">
        <f>IF('История отказов'!AE437="","",IF(AND(COUNTIF($CU$2:$CU$3,'История отказов'!AE437)=0,COUNTIFS('История отказов'!$F$5:F437,"ЭЦН",'История отказов'!$AE$5:AE437,'История отказов'!AE437)=1,'История отказов'!F437="ЭЦН"),433,""))</f>
        <v/>
      </c>
      <c r="DE434">
        <f>IF('История отказов'!AE437="","",IF(AND(COUNTIF($CV$2:$CV$3,'История отказов'!AE437)=0,COUNTIFS('История отказов'!$F$5:F437,"ЭВН",'История отказов'!$AE$5:AE437,'История отказов'!AE437)=1,'История отказов'!F437="ЭВН"),433,""))</f>
        <v/>
      </c>
      <c r="DF434">
        <f>IF('История отказов'!AE437="","",IF(AND(COUNTIF($CX$2:$CX$2,'История отказов'!AE437)=0,COUNTIFS('История отказов'!$F$5:F437,"ШВН",'История отказов'!$AE$5:AE437,'История отказов'!AE437)=1,'История отказов'!F437="ШВН"),433,""))</f>
        <v/>
      </c>
      <c r="DG434">
        <f>IF('История отказов'!AE437="","",IF(AND(COUNTIF($CW$2:$CW$2,'История отказов'!AE437)=0,COUNTIFS('История отказов'!$F$5:F437,"НПУ-ВД",'История отказов'!$AE$5:AE437,'История отказов'!AE437)=1,'История отказов'!F437="НПУ-ВД"),433,""))</f>
        <v/>
      </c>
      <c r="DH434">
        <f>IF('История отказов'!AE437="","",IF(AND(COUNTIF($CY$2:$CY$6,'История отказов'!AE437)=0,COUNTIF('История отказов'!$AE$5:AE437,'История отказов'!AE437)=1),433,""))</f>
        <v/>
      </c>
      <c r="DI434">
        <f>IF('История отказов'!AK437="","",IF(AND(COUNTIF($CL$2:$CL$3,'История отказов'!AK437)=0,COUNTIF('История отказов'!$AK$5:AK437,'История отказов'!AK437)=1),433,""))</f>
        <v/>
      </c>
      <c r="DJ434">
        <f>IF('История отказов'!AU437="","",IF(AND(COUNTIF($CP$2:$CP$3,'История отказов'!AU437)=0,COUNTIF('История отказов'!$AU$5:AU437,'История отказов'!AU437)=1),433,""))</f>
        <v/>
      </c>
      <c r="DK434">
        <f>IF('История отказов'!AY437="","",IF(AND(COUNTIF($CR$2:$CR$2,'История отказов'!AY437)=0,COUNTIF('История отказов'!$AY$5:AY437,'История отказов'!AY437)=1),433,""))</f>
        <v/>
      </c>
      <c r="DL434">
        <f>IF(DB434="","",IF(AND(COUNTIF($DA$2:$DA$47,DB434)=0,COUNTIF($DB$2:DB434,DB434)=1),433,""))</f>
        <v/>
      </c>
    </row>
    <row r="435">
      <c r="A435" s="74" t="n"/>
      <c r="B435" s="75" t="n"/>
      <c r="C435" s="76" t="n"/>
      <c r="J435" s="62" t="n"/>
      <c r="K435" s="62" t="n"/>
      <c r="L435" s="62" t="n"/>
      <c r="M435" s="62" t="n"/>
      <c r="N435" s="62" t="n"/>
      <c r="Q435" t="inlineStr">
        <is>
          <t>Вид повреждения</t>
        </is>
      </c>
      <c r="R435" t="inlineStr">
        <is>
          <t>Прогар</t>
        </is>
      </c>
      <c r="S435" t="inlineStr">
        <is>
          <t>Рабочая формулировка</t>
        </is>
      </c>
      <c r="T435" t="inlineStr">
        <is>
          <t>SLB, анализ электрических повреждений УЭЦН</t>
        </is>
      </c>
      <c r="U435" t="inlineStr">
        <is>
          <t>https://www.slb.com/-/media/files/oilfield-review/p30-43-2</t>
        </is>
      </c>
      <c r="V435" t="inlineStr">
        <is>
          <t>Электрическая часть; подтвердить испытанием</t>
        </is>
      </c>
      <c r="DB435">
        <f>IF('История отказов'!AH438="","",'История отказов'!AH438)</f>
        <v/>
      </c>
      <c r="DC435">
        <f>IF('История отказов'!AE438="","",IF(AND(COUNTIF($CT$2:$CT$2,'История отказов'!AE438)=0,COUNTIFS('История отказов'!$F$5:F438,"ШГН",'История отказов'!$AE$5:AE438,'История отказов'!AE438)=1,'История отказов'!F438="ШГН"),434,""))</f>
        <v/>
      </c>
      <c r="DD435">
        <f>IF('История отказов'!AE438="","",IF(AND(COUNTIF($CU$2:$CU$3,'История отказов'!AE438)=0,COUNTIFS('История отказов'!$F$5:F438,"ЭЦН",'История отказов'!$AE$5:AE438,'История отказов'!AE438)=1,'История отказов'!F438="ЭЦН"),434,""))</f>
        <v/>
      </c>
      <c r="DE435">
        <f>IF('История отказов'!AE438="","",IF(AND(COUNTIF($CV$2:$CV$3,'История отказов'!AE438)=0,COUNTIFS('История отказов'!$F$5:F438,"ЭВН",'История отказов'!$AE$5:AE438,'История отказов'!AE438)=1,'История отказов'!F438="ЭВН"),434,""))</f>
        <v/>
      </c>
      <c r="DF435">
        <f>IF('История отказов'!AE438="","",IF(AND(COUNTIF($CX$2:$CX$2,'История отказов'!AE438)=0,COUNTIFS('История отказов'!$F$5:F438,"ШВН",'История отказов'!$AE$5:AE438,'История отказов'!AE438)=1,'История отказов'!F438="ШВН"),434,""))</f>
        <v/>
      </c>
      <c r="DG435">
        <f>IF('История отказов'!AE438="","",IF(AND(COUNTIF($CW$2:$CW$2,'История отказов'!AE438)=0,COUNTIFS('История отказов'!$F$5:F438,"НПУ-ВД",'История отказов'!$AE$5:AE438,'История отказов'!AE438)=1,'История отказов'!F438="НПУ-ВД"),434,""))</f>
        <v/>
      </c>
      <c r="DH435">
        <f>IF('История отказов'!AE438="","",IF(AND(COUNTIF($CY$2:$CY$6,'История отказов'!AE438)=0,COUNTIF('История отказов'!$AE$5:AE438,'История отказов'!AE438)=1),434,""))</f>
        <v/>
      </c>
      <c r="DI435">
        <f>IF('История отказов'!AK438="","",IF(AND(COUNTIF($CL$2:$CL$3,'История отказов'!AK438)=0,COUNTIF('История отказов'!$AK$5:AK438,'История отказов'!AK438)=1),434,""))</f>
        <v/>
      </c>
      <c r="DJ435">
        <f>IF('История отказов'!AU438="","",IF(AND(COUNTIF($CP$2:$CP$3,'История отказов'!AU438)=0,COUNTIF('История отказов'!$AU$5:AU438,'История отказов'!AU438)=1),434,""))</f>
        <v/>
      </c>
      <c r="DK435">
        <f>IF('История отказов'!AY438="","",IF(AND(COUNTIF($CR$2:$CR$2,'История отказов'!AY438)=0,COUNTIF('История отказов'!$AY$5:AY438,'История отказов'!AY438)=1),434,""))</f>
        <v/>
      </c>
      <c r="DL435">
        <f>IF(DB435="","",IF(AND(COUNTIF($DA$2:$DA$47,DB435)=0,COUNTIF($DB$2:DB435,DB435)=1),434,""))</f>
        <v/>
      </c>
    </row>
    <row r="436">
      <c r="A436" s="74" t="n"/>
      <c r="B436" s="75" t="n"/>
      <c r="C436" s="76" t="n"/>
      <c r="J436" s="62" t="n"/>
      <c r="K436" s="62" t="n"/>
      <c r="L436" s="62" t="n"/>
      <c r="M436" s="62" t="n"/>
      <c r="N436" s="62" t="n"/>
      <c r="Q436" t="inlineStr">
        <is>
          <t>Вид повреждения</t>
        </is>
      </c>
      <c r="R436" t="inlineStr">
        <is>
          <t>Деформация</t>
        </is>
      </c>
      <c r="S436" t="inlineStr">
        <is>
          <t>Рабочая формулировка</t>
        </is>
      </c>
      <c r="T436" t="inlineStr">
        <is>
          <t>Рабочая классификация повреждений; API RP 11S1</t>
        </is>
      </c>
      <c r="U436" t="inlineStr">
        <is>
          <t>https://mycommittees.api.org/myc-standards-ecs-sc11</t>
        </is>
      </c>
      <c r="V436" t="inlineStr">
        <is>
          <t>Подтвердить актом дефектовки</t>
        </is>
      </c>
      <c r="DB436">
        <f>IF('История отказов'!AH439="","",'История отказов'!AH439)</f>
        <v/>
      </c>
      <c r="DC436">
        <f>IF('История отказов'!AE439="","",IF(AND(COUNTIF($CT$2:$CT$2,'История отказов'!AE439)=0,COUNTIFS('История отказов'!$F$5:F439,"ШГН",'История отказов'!$AE$5:AE439,'История отказов'!AE439)=1,'История отказов'!F439="ШГН"),435,""))</f>
        <v/>
      </c>
      <c r="DD436">
        <f>IF('История отказов'!AE439="","",IF(AND(COUNTIF($CU$2:$CU$3,'История отказов'!AE439)=0,COUNTIFS('История отказов'!$F$5:F439,"ЭЦН",'История отказов'!$AE$5:AE439,'История отказов'!AE439)=1,'История отказов'!F439="ЭЦН"),435,""))</f>
        <v/>
      </c>
      <c r="DE436">
        <f>IF('История отказов'!AE439="","",IF(AND(COUNTIF($CV$2:$CV$3,'История отказов'!AE439)=0,COUNTIFS('История отказов'!$F$5:F439,"ЭВН",'История отказов'!$AE$5:AE439,'История отказов'!AE439)=1,'История отказов'!F439="ЭВН"),435,""))</f>
        <v/>
      </c>
      <c r="DF436">
        <f>IF('История отказов'!AE439="","",IF(AND(COUNTIF($CX$2:$CX$2,'История отказов'!AE439)=0,COUNTIFS('История отказов'!$F$5:F439,"ШВН",'История отказов'!$AE$5:AE439,'История отказов'!AE439)=1,'История отказов'!F439="ШВН"),435,""))</f>
        <v/>
      </c>
      <c r="DG436">
        <f>IF('История отказов'!AE439="","",IF(AND(COUNTIF($CW$2:$CW$2,'История отказов'!AE439)=0,COUNTIFS('История отказов'!$F$5:F439,"НПУ-ВД",'История отказов'!$AE$5:AE439,'История отказов'!AE439)=1,'История отказов'!F439="НПУ-ВД"),435,""))</f>
        <v/>
      </c>
      <c r="DH436">
        <f>IF('История отказов'!AE439="","",IF(AND(COUNTIF($CY$2:$CY$6,'История отказов'!AE439)=0,COUNTIF('История отказов'!$AE$5:AE439,'История отказов'!AE439)=1),435,""))</f>
        <v/>
      </c>
      <c r="DI436">
        <f>IF('История отказов'!AK439="","",IF(AND(COUNTIF($CL$2:$CL$3,'История отказов'!AK439)=0,COUNTIF('История отказов'!$AK$5:AK439,'История отказов'!AK439)=1),435,""))</f>
        <v/>
      </c>
      <c r="DJ436">
        <f>IF('История отказов'!AU439="","",IF(AND(COUNTIF($CP$2:$CP$3,'История отказов'!AU439)=0,COUNTIF('История отказов'!$AU$5:AU439,'История отказов'!AU439)=1),435,""))</f>
        <v/>
      </c>
      <c r="DK436">
        <f>IF('История отказов'!AY439="","",IF(AND(COUNTIF($CR$2:$CR$2,'История отказов'!AY439)=0,COUNTIF('История отказов'!$AY$5:AY439,'История отказов'!AY439)=1),435,""))</f>
        <v/>
      </c>
      <c r="DL436">
        <f>IF(DB436="","",IF(AND(COUNTIF($DA$2:$DA$47,DB436)=0,COUNTIF($DB$2:DB436,DB436)=1),435,""))</f>
        <v/>
      </c>
    </row>
    <row r="437">
      <c r="A437" s="74" t="n"/>
      <c r="B437" s="75" t="n"/>
      <c r="C437" s="76" t="n"/>
      <c r="J437" s="62" t="n"/>
      <c r="K437" s="62" t="n"/>
      <c r="L437" s="62" t="n"/>
      <c r="M437" s="62" t="n"/>
      <c r="N437" s="62" t="n"/>
      <c r="Q437" t="inlineStr">
        <is>
          <t>Вид повреждения</t>
        </is>
      </c>
      <c r="R437" t="inlineStr">
        <is>
          <t>Износ эластомера</t>
        </is>
      </c>
      <c r="S437" t="inlineStr">
        <is>
          <t>Рабочая формулировка</t>
        </is>
      </c>
      <c r="T437" t="inlineStr">
        <is>
          <t>Weatherford, ротор и эластомерный статор PCP</t>
        </is>
      </c>
      <c r="U437" t="inlineStr">
        <is>
          <t>https://www.weatherford.com/documents/papers/2025/applying-o-g-als-technology-to-enable-worldwide-food-security-and-a-greener-future-by-improving-boro/</t>
        </is>
      </c>
      <c r="V437" t="inlineStr">
        <is>
          <t>ШВН/ЭВН с эластомерным статором</t>
        </is>
      </c>
      <c r="DB437">
        <f>IF('История отказов'!AH440="","",'История отказов'!AH440)</f>
        <v/>
      </c>
      <c r="DC437">
        <f>IF('История отказов'!AE440="","",IF(AND(COUNTIF($CT$2:$CT$2,'История отказов'!AE440)=0,COUNTIFS('История отказов'!$F$5:F440,"ШГН",'История отказов'!$AE$5:AE440,'История отказов'!AE440)=1,'История отказов'!F440="ШГН"),436,""))</f>
        <v/>
      </c>
      <c r="DD437">
        <f>IF('История отказов'!AE440="","",IF(AND(COUNTIF($CU$2:$CU$3,'История отказов'!AE440)=0,COUNTIFS('История отказов'!$F$5:F440,"ЭЦН",'История отказов'!$AE$5:AE440,'История отказов'!AE440)=1,'История отказов'!F440="ЭЦН"),436,""))</f>
        <v/>
      </c>
      <c r="DE437">
        <f>IF('История отказов'!AE440="","",IF(AND(COUNTIF($CV$2:$CV$3,'История отказов'!AE440)=0,COUNTIFS('История отказов'!$F$5:F440,"ЭВН",'История отказов'!$AE$5:AE440,'История отказов'!AE440)=1,'История отказов'!F440="ЭВН"),436,""))</f>
        <v/>
      </c>
      <c r="DF437">
        <f>IF('История отказов'!AE440="","",IF(AND(COUNTIF($CX$2:$CX$2,'История отказов'!AE440)=0,COUNTIFS('История отказов'!$F$5:F440,"ШВН",'История отказов'!$AE$5:AE440,'История отказов'!AE440)=1,'История отказов'!F440="ШВН"),436,""))</f>
        <v/>
      </c>
      <c r="DG437">
        <f>IF('История отказов'!AE440="","",IF(AND(COUNTIF($CW$2:$CW$2,'История отказов'!AE440)=0,COUNTIFS('История отказов'!$F$5:F440,"НПУ-ВД",'История отказов'!$AE$5:AE440,'История отказов'!AE440)=1,'История отказов'!F440="НПУ-ВД"),436,""))</f>
        <v/>
      </c>
      <c r="DH437">
        <f>IF('История отказов'!AE440="","",IF(AND(COUNTIF($CY$2:$CY$6,'История отказов'!AE440)=0,COUNTIF('История отказов'!$AE$5:AE440,'История отказов'!AE440)=1),436,""))</f>
        <v/>
      </c>
      <c r="DI437">
        <f>IF('История отказов'!AK440="","",IF(AND(COUNTIF($CL$2:$CL$3,'История отказов'!AK440)=0,COUNTIF('История отказов'!$AK$5:AK440,'История отказов'!AK440)=1),436,""))</f>
        <v/>
      </c>
      <c r="DJ437">
        <f>IF('История отказов'!AU440="","",IF(AND(COUNTIF($CP$2:$CP$3,'История отказов'!AU440)=0,COUNTIF('История отказов'!$AU$5:AU440,'История отказов'!AU440)=1),436,""))</f>
        <v/>
      </c>
      <c r="DK437">
        <f>IF('История отказов'!AY440="","",IF(AND(COUNTIF($CR$2:$CR$2,'История отказов'!AY440)=0,COUNTIF('История отказов'!$AY$5:AY440,'История отказов'!AY440)=1),436,""))</f>
        <v/>
      </c>
      <c r="DL437">
        <f>IF(DB437="","",IF(AND(COUNTIF($DA$2:$DA$47,DB437)=0,COUNTIF($DB$2:DB437,DB437)=1),436,""))</f>
        <v/>
      </c>
    </row>
    <row r="438">
      <c r="A438" s="74" t="n"/>
      <c r="B438" s="75" t="n"/>
      <c r="C438" s="76" t="n"/>
      <c r="J438" s="62" t="n"/>
      <c r="K438" s="62" t="n"/>
      <c r="L438" s="62" t="n"/>
      <c r="M438" s="62" t="n"/>
      <c r="N438" s="62" t="n"/>
      <c r="Q438" t="inlineStr">
        <is>
          <t>Вид повреждения</t>
        </is>
      </c>
      <c r="R438" t="inlineStr">
        <is>
          <t>Повреждение не установлено</t>
        </is>
      </c>
      <c r="S438" t="inlineStr">
        <is>
          <t>Рабочая формулировка</t>
        </is>
      </c>
      <c r="T438" t="inlineStr">
        <is>
          <t>Внутренний резерв до дефектовки</t>
        </is>
      </c>
      <c r="U438" t="inlineStr">
        <is>
          <t>Требуется акт разбора оборудования</t>
        </is>
      </c>
      <c r="V438" t="inlineStr">
        <is>
          <t>Любой тип</t>
        </is>
      </c>
      <c r="DB438">
        <f>IF('История отказов'!AH441="","",'История отказов'!AH441)</f>
        <v/>
      </c>
      <c r="DC438">
        <f>IF('История отказов'!AE441="","",IF(AND(COUNTIF($CT$2:$CT$2,'История отказов'!AE441)=0,COUNTIFS('История отказов'!$F$5:F441,"ШГН",'История отказов'!$AE$5:AE441,'История отказов'!AE441)=1,'История отказов'!F441="ШГН"),437,""))</f>
        <v/>
      </c>
      <c r="DD438">
        <f>IF('История отказов'!AE441="","",IF(AND(COUNTIF($CU$2:$CU$3,'История отказов'!AE441)=0,COUNTIFS('История отказов'!$F$5:F441,"ЭЦН",'История отказов'!$AE$5:AE441,'История отказов'!AE441)=1,'История отказов'!F441="ЭЦН"),437,""))</f>
        <v/>
      </c>
      <c r="DE438">
        <f>IF('История отказов'!AE441="","",IF(AND(COUNTIF($CV$2:$CV$3,'История отказов'!AE441)=0,COUNTIFS('История отказов'!$F$5:F441,"ЭВН",'История отказов'!$AE$5:AE441,'История отказов'!AE441)=1,'История отказов'!F441="ЭВН"),437,""))</f>
        <v/>
      </c>
      <c r="DF438">
        <f>IF('История отказов'!AE441="","",IF(AND(COUNTIF($CX$2:$CX$2,'История отказов'!AE441)=0,COUNTIFS('История отказов'!$F$5:F441,"ШВН",'История отказов'!$AE$5:AE441,'История отказов'!AE441)=1,'История отказов'!F441="ШВН"),437,""))</f>
        <v/>
      </c>
      <c r="DG438">
        <f>IF('История отказов'!AE441="","",IF(AND(COUNTIF($CW$2:$CW$2,'История отказов'!AE441)=0,COUNTIFS('История отказов'!$F$5:F441,"НПУ-ВД",'История отказов'!$AE$5:AE441,'История отказов'!AE441)=1,'История отказов'!F441="НПУ-ВД"),437,""))</f>
        <v/>
      </c>
      <c r="DH438">
        <f>IF('История отказов'!AE441="","",IF(AND(COUNTIF($CY$2:$CY$6,'История отказов'!AE441)=0,COUNTIF('История отказов'!$AE$5:AE441,'История отказов'!AE441)=1),437,""))</f>
        <v/>
      </c>
      <c r="DI438">
        <f>IF('История отказов'!AK441="","",IF(AND(COUNTIF($CL$2:$CL$3,'История отказов'!AK441)=0,COUNTIF('История отказов'!$AK$5:AK441,'История отказов'!AK441)=1),437,""))</f>
        <v/>
      </c>
      <c r="DJ438">
        <f>IF('История отказов'!AU441="","",IF(AND(COUNTIF($CP$2:$CP$3,'История отказов'!AU441)=0,COUNTIF('История отказов'!$AU$5:AU441,'История отказов'!AU441)=1),437,""))</f>
        <v/>
      </c>
      <c r="DK438">
        <f>IF('История отказов'!AY441="","",IF(AND(COUNTIF($CR$2:$CR$2,'История отказов'!AY441)=0,COUNTIF('История отказов'!$AY$5:AY441,'История отказов'!AY441)=1),437,""))</f>
        <v/>
      </c>
      <c r="DL438">
        <f>IF(DB438="","",IF(AND(COUNTIF($DA$2:$DA$47,DB438)=0,COUNTIF($DB$2:DB438,DB438)=1),437,""))</f>
        <v/>
      </c>
    </row>
    <row r="439">
      <c r="A439" s="74" t="n"/>
      <c r="B439" s="75" t="n"/>
      <c r="C439" s="76" t="n"/>
      <c r="J439" s="62" t="n"/>
      <c r="K439" s="62" t="n"/>
      <c r="L439" s="62" t="n"/>
      <c r="M439" s="62" t="n"/>
      <c r="N439" s="62" t="n"/>
      <c r="Q439" t="inlineStr">
        <is>
          <t>Подтверждение</t>
        </is>
      </c>
      <c r="R439" t="inlineStr">
        <is>
          <t>Акт комиссии</t>
        </is>
      </c>
      <c r="S439" t="inlineStr">
        <is>
          <t>Рабочий перечень материалов</t>
        </is>
      </c>
      <c r="T439" t="inlineStr">
        <is>
          <t>Логика расследования отказа</t>
        </is>
      </c>
      <c r="U439" t="inlineStr">
        <is>
          <t>https://www.iso.org/standard/64076.html</t>
        </is>
      </c>
      <c r="V439" t="inlineStr">
        <is>
          <t>Все типы</t>
        </is>
      </c>
      <c r="DB439">
        <f>IF('История отказов'!AH442="","",'История отказов'!AH442)</f>
        <v/>
      </c>
      <c r="DC439">
        <f>IF('История отказов'!AE442="","",IF(AND(COUNTIF($CT$2:$CT$2,'История отказов'!AE442)=0,COUNTIFS('История отказов'!$F$5:F442,"ШГН",'История отказов'!$AE$5:AE442,'История отказов'!AE442)=1,'История отказов'!F442="ШГН"),438,""))</f>
        <v/>
      </c>
      <c r="DD439">
        <f>IF('История отказов'!AE442="","",IF(AND(COUNTIF($CU$2:$CU$3,'История отказов'!AE442)=0,COUNTIFS('История отказов'!$F$5:F442,"ЭЦН",'История отказов'!$AE$5:AE442,'История отказов'!AE442)=1,'История отказов'!F442="ЭЦН"),438,""))</f>
        <v/>
      </c>
      <c r="DE439">
        <f>IF('История отказов'!AE442="","",IF(AND(COUNTIF($CV$2:$CV$3,'История отказов'!AE442)=0,COUNTIFS('История отказов'!$F$5:F442,"ЭВН",'История отказов'!$AE$5:AE442,'История отказов'!AE442)=1,'История отказов'!F442="ЭВН"),438,""))</f>
        <v/>
      </c>
      <c r="DF439">
        <f>IF('История отказов'!AE442="","",IF(AND(COUNTIF($CX$2:$CX$2,'История отказов'!AE442)=0,COUNTIFS('История отказов'!$F$5:F442,"ШВН",'История отказов'!$AE$5:AE442,'История отказов'!AE442)=1,'История отказов'!F442="ШВН"),438,""))</f>
        <v/>
      </c>
      <c r="DG439">
        <f>IF('История отказов'!AE442="","",IF(AND(COUNTIF($CW$2:$CW$2,'История отказов'!AE442)=0,COUNTIFS('История отказов'!$F$5:F442,"НПУ-ВД",'История отказов'!$AE$5:AE442,'История отказов'!AE442)=1,'История отказов'!F442="НПУ-ВД"),438,""))</f>
        <v/>
      </c>
      <c r="DH439">
        <f>IF('История отказов'!AE442="","",IF(AND(COUNTIF($CY$2:$CY$6,'История отказов'!AE442)=0,COUNTIF('История отказов'!$AE$5:AE442,'История отказов'!AE442)=1),438,""))</f>
        <v/>
      </c>
      <c r="DI439">
        <f>IF('История отказов'!AK442="","",IF(AND(COUNTIF($CL$2:$CL$3,'История отказов'!AK442)=0,COUNTIF('История отказов'!$AK$5:AK442,'История отказов'!AK442)=1),438,""))</f>
        <v/>
      </c>
      <c r="DJ439">
        <f>IF('История отказов'!AU442="","",IF(AND(COUNTIF($CP$2:$CP$3,'История отказов'!AU442)=0,COUNTIF('История отказов'!$AU$5:AU442,'История отказов'!AU442)=1),438,""))</f>
        <v/>
      </c>
      <c r="DK439">
        <f>IF('История отказов'!AY442="","",IF(AND(COUNTIF($CR$2:$CR$2,'История отказов'!AY442)=0,COUNTIF('История отказов'!$AY$5:AY442,'История отказов'!AY442)=1),438,""))</f>
        <v/>
      </c>
      <c r="DL439">
        <f>IF(DB439="","",IF(AND(COUNTIF($DA$2:$DA$47,DB439)=0,COUNTIF($DB$2:DB439,DB439)=1),438,""))</f>
        <v/>
      </c>
    </row>
    <row r="440">
      <c r="A440" s="74" t="n"/>
      <c r="B440" s="75" t="n"/>
      <c r="C440" s="76" t="n"/>
      <c r="J440" s="62" t="n"/>
      <c r="K440" s="62" t="n"/>
      <c r="L440" s="62" t="n"/>
      <c r="M440" s="62" t="n"/>
      <c r="N440" s="62" t="n"/>
      <c r="Q440" t="inlineStr">
        <is>
          <t>Подтверждение</t>
        </is>
      </c>
      <c r="R440" t="inlineStr">
        <is>
          <t>Дефектовочная ведомость</t>
        </is>
      </c>
      <c r="S440" t="inlineStr">
        <is>
          <t>Рабочий перечень материалов</t>
        </is>
      </c>
      <c r="T440" t="inlineStr">
        <is>
          <t>Логика расследования отказа</t>
        </is>
      </c>
      <c r="U440" t="inlineStr">
        <is>
          <t>https://www.iso.org/standard/64076.html</t>
        </is>
      </c>
      <c r="V440" t="inlineStr">
        <is>
          <t>Все типы</t>
        </is>
      </c>
      <c r="DB440">
        <f>IF('История отказов'!AH443="","",'История отказов'!AH443)</f>
        <v/>
      </c>
      <c r="DC440">
        <f>IF('История отказов'!AE443="","",IF(AND(COUNTIF($CT$2:$CT$2,'История отказов'!AE443)=0,COUNTIFS('История отказов'!$F$5:F443,"ШГН",'История отказов'!$AE$5:AE443,'История отказов'!AE443)=1,'История отказов'!F443="ШГН"),439,""))</f>
        <v/>
      </c>
      <c r="DD440">
        <f>IF('История отказов'!AE443="","",IF(AND(COUNTIF($CU$2:$CU$3,'История отказов'!AE443)=0,COUNTIFS('История отказов'!$F$5:F443,"ЭЦН",'История отказов'!$AE$5:AE443,'История отказов'!AE443)=1,'История отказов'!F443="ЭЦН"),439,""))</f>
        <v/>
      </c>
      <c r="DE440">
        <f>IF('История отказов'!AE443="","",IF(AND(COUNTIF($CV$2:$CV$3,'История отказов'!AE443)=0,COUNTIFS('История отказов'!$F$5:F443,"ЭВН",'История отказов'!$AE$5:AE443,'История отказов'!AE443)=1,'История отказов'!F443="ЭВН"),439,""))</f>
        <v/>
      </c>
      <c r="DF440">
        <f>IF('История отказов'!AE443="","",IF(AND(COUNTIF($CX$2:$CX$2,'История отказов'!AE443)=0,COUNTIFS('История отказов'!$F$5:F443,"ШВН",'История отказов'!$AE$5:AE443,'История отказов'!AE443)=1,'История отказов'!F443="ШВН"),439,""))</f>
        <v/>
      </c>
      <c r="DG440">
        <f>IF('История отказов'!AE443="","",IF(AND(COUNTIF($CW$2:$CW$2,'История отказов'!AE443)=0,COUNTIFS('История отказов'!$F$5:F443,"НПУ-ВД",'История отказов'!$AE$5:AE443,'История отказов'!AE443)=1,'История отказов'!F443="НПУ-ВД"),439,""))</f>
        <v/>
      </c>
      <c r="DH440">
        <f>IF('История отказов'!AE443="","",IF(AND(COUNTIF($CY$2:$CY$6,'История отказов'!AE443)=0,COUNTIF('История отказов'!$AE$5:AE443,'История отказов'!AE443)=1),439,""))</f>
        <v/>
      </c>
      <c r="DI440">
        <f>IF('История отказов'!AK443="","",IF(AND(COUNTIF($CL$2:$CL$3,'История отказов'!AK443)=0,COUNTIF('История отказов'!$AK$5:AK443,'История отказов'!AK443)=1),439,""))</f>
        <v/>
      </c>
      <c r="DJ440">
        <f>IF('История отказов'!AU443="","",IF(AND(COUNTIF($CP$2:$CP$3,'История отказов'!AU443)=0,COUNTIF('История отказов'!$AU$5:AU443,'История отказов'!AU443)=1),439,""))</f>
        <v/>
      </c>
      <c r="DK440">
        <f>IF('История отказов'!AY443="","",IF(AND(COUNTIF($CR$2:$CR$2,'История отказов'!AY443)=0,COUNTIF('История отказов'!$AY$5:AY443,'История отказов'!AY443)=1),439,""))</f>
        <v/>
      </c>
      <c r="DL440">
        <f>IF(DB440="","",IF(AND(COUNTIF($DA$2:$DA$47,DB440)=0,COUNTIF($DB$2:DB440,DB440)=1),439,""))</f>
        <v/>
      </c>
    </row>
    <row r="441">
      <c r="A441" s="74" t="n"/>
      <c r="B441" s="75" t="n"/>
      <c r="C441" s="76" t="n"/>
      <c r="J441" s="62" t="n"/>
      <c r="K441" s="62" t="n"/>
      <c r="L441" s="62" t="n"/>
      <c r="M441" s="62" t="n"/>
      <c r="N441" s="62" t="n"/>
      <c r="Q441" t="inlineStr">
        <is>
          <t>Подтверждение</t>
        </is>
      </c>
      <c r="R441" t="inlineStr">
        <is>
          <t>Фото повреждения</t>
        </is>
      </c>
      <c r="S441" t="inlineStr">
        <is>
          <t>Рабочий перечень материалов</t>
        </is>
      </c>
      <c r="T441" t="inlineStr">
        <is>
          <t>Логика расследования отказа</t>
        </is>
      </c>
      <c r="U441" t="inlineStr">
        <is>
          <t>https://www.iso.org/standard/64076.html</t>
        </is>
      </c>
      <c r="V441" t="inlineStr">
        <is>
          <t>Все типы</t>
        </is>
      </c>
      <c r="DB441">
        <f>IF('История отказов'!AH444="","",'История отказов'!AH444)</f>
        <v/>
      </c>
      <c r="DC441">
        <f>IF('История отказов'!AE444="","",IF(AND(COUNTIF($CT$2:$CT$2,'История отказов'!AE444)=0,COUNTIFS('История отказов'!$F$5:F444,"ШГН",'История отказов'!$AE$5:AE444,'История отказов'!AE444)=1,'История отказов'!F444="ШГН"),440,""))</f>
        <v/>
      </c>
      <c r="DD441">
        <f>IF('История отказов'!AE444="","",IF(AND(COUNTIF($CU$2:$CU$3,'История отказов'!AE444)=0,COUNTIFS('История отказов'!$F$5:F444,"ЭЦН",'История отказов'!$AE$5:AE444,'История отказов'!AE444)=1,'История отказов'!F444="ЭЦН"),440,""))</f>
        <v/>
      </c>
      <c r="DE441">
        <f>IF('История отказов'!AE444="","",IF(AND(COUNTIF($CV$2:$CV$3,'История отказов'!AE444)=0,COUNTIFS('История отказов'!$F$5:F444,"ЭВН",'История отказов'!$AE$5:AE444,'История отказов'!AE444)=1,'История отказов'!F444="ЭВН"),440,""))</f>
        <v/>
      </c>
      <c r="DF441">
        <f>IF('История отказов'!AE444="","",IF(AND(COUNTIF($CX$2:$CX$2,'История отказов'!AE444)=0,COUNTIFS('История отказов'!$F$5:F444,"ШВН",'История отказов'!$AE$5:AE444,'История отказов'!AE444)=1,'История отказов'!F444="ШВН"),440,""))</f>
        <v/>
      </c>
      <c r="DG441">
        <f>IF('История отказов'!AE444="","",IF(AND(COUNTIF($CW$2:$CW$2,'История отказов'!AE444)=0,COUNTIFS('История отказов'!$F$5:F444,"НПУ-ВД",'История отказов'!$AE$5:AE444,'История отказов'!AE444)=1,'История отказов'!F444="НПУ-ВД"),440,""))</f>
        <v/>
      </c>
      <c r="DH441">
        <f>IF('История отказов'!AE444="","",IF(AND(COUNTIF($CY$2:$CY$6,'История отказов'!AE444)=0,COUNTIF('История отказов'!$AE$5:AE444,'История отказов'!AE444)=1),440,""))</f>
        <v/>
      </c>
      <c r="DI441">
        <f>IF('История отказов'!AK444="","",IF(AND(COUNTIF($CL$2:$CL$3,'История отказов'!AK444)=0,COUNTIF('История отказов'!$AK$5:AK444,'История отказов'!AK444)=1),440,""))</f>
        <v/>
      </c>
      <c r="DJ441">
        <f>IF('История отказов'!AU444="","",IF(AND(COUNTIF($CP$2:$CP$3,'История отказов'!AU444)=0,COUNTIF('История отказов'!$AU$5:AU444,'История отказов'!AU444)=1),440,""))</f>
        <v/>
      </c>
      <c r="DK441">
        <f>IF('История отказов'!AY444="","",IF(AND(COUNTIF($CR$2:$CR$2,'История отказов'!AY444)=0,COUNTIF('История отказов'!$AY$5:AY444,'История отказов'!AY444)=1),440,""))</f>
        <v/>
      </c>
      <c r="DL441">
        <f>IF(DB441="","",IF(AND(COUNTIF($DA$2:$DA$47,DB441)=0,COUNTIF($DB$2:DB441,DB441)=1),440,""))</f>
        <v/>
      </c>
    </row>
    <row r="442">
      <c r="A442" s="74" t="n"/>
      <c r="B442" s="75" t="n"/>
      <c r="C442" s="76" t="n"/>
      <c r="J442" s="62" t="n"/>
      <c r="K442" s="62" t="n"/>
      <c r="L442" s="62" t="n"/>
      <c r="M442" s="62" t="n"/>
      <c r="N442" s="62" t="n"/>
      <c r="Q442" t="inlineStr">
        <is>
          <t>Подтверждение</t>
        </is>
      </c>
      <c r="R442" t="inlineStr">
        <is>
          <t>Лабораторный анализ</t>
        </is>
      </c>
      <c r="S442" t="inlineStr">
        <is>
          <t>Рабочий перечень материалов</t>
        </is>
      </c>
      <c r="T442" t="inlineStr">
        <is>
          <t>Логика расследования отказа</t>
        </is>
      </c>
      <c r="U442" t="inlineStr">
        <is>
          <t>https://www.iso.org/standard/64076.html</t>
        </is>
      </c>
      <c r="V442" t="inlineStr">
        <is>
          <t>Все типы</t>
        </is>
      </c>
      <c r="DB442">
        <f>IF('История отказов'!AH445="","",'История отказов'!AH445)</f>
        <v/>
      </c>
      <c r="DC442">
        <f>IF('История отказов'!AE445="","",IF(AND(COUNTIF($CT$2:$CT$2,'История отказов'!AE445)=0,COUNTIFS('История отказов'!$F$5:F445,"ШГН",'История отказов'!$AE$5:AE445,'История отказов'!AE445)=1,'История отказов'!F445="ШГН"),441,""))</f>
        <v/>
      </c>
      <c r="DD442">
        <f>IF('История отказов'!AE445="","",IF(AND(COUNTIF($CU$2:$CU$3,'История отказов'!AE445)=0,COUNTIFS('История отказов'!$F$5:F445,"ЭЦН",'История отказов'!$AE$5:AE445,'История отказов'!AE445)=1,'История отказов'!F445="ЭЦН"),441,""))</f>
        <v/>
      </c>
      <c r="DE442">
        <f>IF('История отказов'!AE445="","",IF(AND(COUNTIF($CV$2:$CV$3,'История отказов'!AE445)=0,COUNTIFS('История отказов'!$F$5:F445,"ЭВН",'История отказов'!$AE$5:AE445,'История отказов'!AE445)=1,'История отказов'!F445="ЭВН"),441,""))</f>
        <v/>
      </c>
      <c r="DF442">
        <f>IF('История отказов'!AE445="","",IF(AND(COUNTIF($CX$2:$CX$2,'История отказов'!AE445)=0,COUNTIFS('История отказов'!$F$5:F445,"ШВН",'История отказов'!$AE$5:AE445,'История отказов'!AE445)=1,'История отказов'!F445="ШВН"),441,""))</f>
        <v/>
      </c>
      <c r="DG442">
        <f>IF('История отказов'!AE445="","",IF(AND(COUNTIF($CW$2:$CW$2,'История отказов'!AE445)=0,COUNTIFS('История отказов'!$F$5:F445,"НПУ-ВД",'История отказов'!$AE$5:AE445,'История отказов'!AE445)=1,'История отказов'!F445="НПУ-ВД"),441,""))</f>
        <v/>
      </c>
      <c r="DH442">
        <f>IF('История отказов'!AE445="","",IF(AND(COUNTIF($CY$2:$CY$6,'История отказов'!AE445)=0,COUNTIF('История отказов'!$AE$5:AE445,'История отказов'!AE445)=1),441,""))</f>
        <v/>
      </c>
      <c r="DI442">
        <f>IF('История отказов'!AK445="","",IF(AND(COUNTIF($CL$2:$CL$3,'История отказов'!AK445)=0,COUNTIF('История отказов'!$AK$5:AK445,'История отказов'!AK445)=1),441,""))</f>
        <v/>
      </c>
      <c r="DJ442">
        <f>IF('История отказов'!AU445="","",IF(AND(COUNTIF($CP$2:$CP$3,'История отказов'!AU445)=0,COUNTIF('История отказов'!$AU$5:AU445,'История отказов'!AU445)=1),441,""))</f>
        <v/>
      </c>
      <c r="DK442">
        <f>IF('История отказов'!AY445="","",IF(AND(COUNTIF($CR$2:$CR$2,'История отказов'!AY445)=0,COUNTIF('История отказов'!$AY$5:AY445,'История отказов'!AY445)=1),441,""))</f>
        <v/>
      </c>
      <c r="DL442">
        <f>IF(DB442="","",IF(AND(COUNTIF($DA$2:$DA$47,DB442)=0,COUNTIF($DB$2:DB442,DB442)=1),441,""))</f>
        <v/>
      </c>
    </row>
    <row r="443">
      <c r="A443" s="74" t="n"/>
      <c r="B443" s="75" t="n"/>
      <c r="C443" s="76" t="n"/>
      <c r="J443" s="62" t="n"/>
      <c r="K443" s="62" t="n"/>
      <c r="L443" s="62" t="n"/>
      <c r="M443" s="62" t="n"/>
      <c r="N443" s="62" t="n"/>
      <c r="Q443" t="inlineStr">
        <is>
          <t>Подтверждение</t>
        </is>
      </c>
      <c r="R443" t="inlineStr">
        <is>
          <t>Анализ отложений</t>
        </is>
      </c>
      <c r="S443" t="inlineStr">
        <is>
          <t>Рабочий перечень материалов</t>
        </is>
      </c>
      <c r="T443" t="inlineStr">
        <is>
          <t>Логика расследования отказа</t>
        </is>
      </c>
      <c r="U443" t="inlineStr">
        <is>
          <t>https://www.iso.org/standard/64076.html</t>
        </is>
      </c>
      <c r="V443" t="inlineStr">
        <is>
          <t>Все типы</t>
        </is>
      </c>
      <c r="DB443">
        <f>IF('История отказов'!AH446="","",'История отказов'!AH446)</f>
        <v/>
      </c>
      <c r="DC443">
        <f>IF('История отказов'!AE446="","",IF(AND(COUNTIF($CT$2:$CT$2,'История отказов'!AE446)=0,COUNTIFS('История отказов'!$F$5:F446,"ШГН",'История отказов'!$AE$5:AE446,'История отказов'!AE446)=1,'История отказов'!F446="ШГН"),442,""))</f>
        <v/>
      </c>
      <c r="DD443">
        <f>IF('История отказов'!AE446="","",IF(AND(COUNTIF($CU$2:$CU$3,'История отказов'!AE446)=0,COUNTIFS('История отказов'!$F$5:F446,"ЭЦН",'История отказов'!$AE$5:AE446,'История отказов'!AE446)=1,'История отказов'!F446="ЭЦН"),442,""))</f>
        <v/>
      </c>
      <c r="DE443">
        <f>IF('История отказов'!AE446="","",IF(AND(COUNTIF($CV$2:$CV$3,'История отказов'!AE446)=0,COUNTIFS('История отказов'!$F$5:F446,"ЭВН",'История отказов'!$AE$5:AE446,'История отказов'!AE446)=1,'История отказов'!F446="ЭВН"),442,""))</f>
        <v/>
      </c>
      <c r="DF443">
        <f>IF('История отказов'!AE446="","",IF(AND(COUNTIF($CX$2:$CX$2,'История отказов'!AE446)=0,COUNTIFS('История отказов'!$F$5:F446,"ШВН",'История отказов'!$AE$5:AE446,'История отказов'!AE446)=1,'История отказов'!F446="ШВН"),442,""))</f>
        <v/>
      </c>
      <c r="DG443">
        <f>IF('История отказов'!AE446="","",IF(AND(COUNTIF($CW$2:$CW$2,'История отказов'!AE446)=0,COUNTIFS('История отказов'!$F$5:F446,"НПУ-ВД",'История отказов'!$AE$5:AE446,'История отказов'!AE446)=1,'История отказов'!F446="НПУ-ВД"),442,""))</f>
        <v/>
      </c>
      <c r="DH443">
        <f>IF('История отказов'!AE446="","",IF(AND(COUNTIF($CY$2:$CY$6,'История отказов'!AE446)=0,COUNTIF('История отказов'!$AE$5:AE446,'История отказов'!AE446)=1),442,""))</f>
        <v/>
      </c>
      <c r="DI443">
        <f>IF('История отказов'!AK446="","",IF(AND(COUNTIF($CL$2:$CL$3,'История отказов'!AK446)=0,COUNTIF('История отказов'!$AK$5:AK446,'История отказов'!AK446)=1),442,""))</f>
        <v/>
      </c>
      <c r="DJ443">
        <f>IF('История отказов'!AU446="","",IF(AND(COUNTIF($CP$2:$CP$3,'История отказов'!AU446)=0,COUNTIF('История отказов'!$AU$5:AU446,'История отказов'!AU446)=1),442,""))</f>
        <v/>
      </c>
      <c r="DK443">
        <f>IF('История отказов'!AY446="","",IF(AND(COUNTIF($CR$2:$CR$2,'История отказов'!AY446)=0,COUNTIF('История отказов'!$AY$5:AY446,'История отказов'!AY446)=1),442,""))</f>
        <v/>
      </c>
      <c r="DL443">
        <f>IF(DB443="","",IF(AND(COUNTIF($DA$2:$DA$47,DB443)=0,COUNTIF($DB$2:DB443,DB443)=1),442,""))</f>
        <v/>
      </c>
    </row>
    <row r="444">
      <c r="A444" s="74" t="n"/>
      <c r="B444" s="75" t="n"/>
      <c r="C444" s="76" t="n"/>
      <c r="J444" s="62" t="n"/>
      <c r="K444" s="62" t="n"/>
      <c r="L444" s="62" t="n"/>
      <c r="M444" s="62" t="n"/>
      <c r="N444" s="62" t="n"/>
      <c r="Q444" t="inlineStr">
        <is>
          <t>Подтверждение</t>
        </is>
      </c>
      <c r="R444" t="inlineStr">
        <is>
          <t>Металлография</t>
        </is>
      </c>
      <c r="S444" t="inlineStr">
        <is>
          <t>Рабочий перечень материалов</t>
        </is>
      </c>
      <c r="T444" t="inlineStr">
        <is>
          <t>Логика расследования отказа</t>
        </is>
      </c>
      <c r="U444" t="inlineStr">
        <is>
          <t>https://www.iso.org/standard/64076.html</t>
        </is>
      </c>
      <c r="V444" t="inlineStr">
        <is>
          <t>Все типы</t>
        </is>
      </c>
      <c r="DB444">
        <f>IF('История отказов'!AH447="","",'История отказов'!AH447)</f>
        <v/>
      </c>
      <c r="DC444">
        <f>IF('История отказов'!AE447="","",IF(AND(COUNTIF($CT$2:$CT$2,'История отказов'!AE447)=0,COUNTIFS('История отказов'!$F$5:F447,"ШГН",'История отказов'!$AE$5:AE447,'История отказов'!AE447)=1,'История отказов'!F447="ШГН"),443,""))</f>
        <v/>
      </c>
      <c r="DD444">
        <f>IF('История отказов'!AE447="","",IF(AND(COUNTIF($CU$2:$CU$3,'История отказов'!AE447)=0,COUNTIFS('История отказов'!$F$5:F447,"ЭЦН",'История отказов'!$AE$5:AE447,'История отказов'!AE447)=1,'История отказов'!F447="ЭЦН"),443,""))</f>
        <v/>
      </c>
      <c r="DE444">
        <f>IF('История отказов'!AE447="","",IF(AND(COUNTIF($CV$2:$CV$3,'История отказов'!AE447)=0,COUNTIFS('История отказов'!$F$5:F447,"ЭВН",'История отказов'!$AE$5:AE447,'История отказов'!AE447)=1,'История отказов'!F447="ЭВН"),443,""))</f>
        <v/>
      </c>
      <c r="DF444">
        <f>IF('История отказов'!AE447="","",IF(AND(COUNTIF($CX$2:$CX$2,'История отказов'!AE447)=0,COUNTIFS('История отказов'!$F$5:F447,"ШВН",'История отказов'!$AE$5:AE447,'История отказов'!AE447)=1,'История отказов'!F447="ШВН"),443,""))</f>
        <v/>
      </c>
      <c r="DG444">
        <f>IF('История отказов'!AE447="","",IF(AND(COUNTIF($CW$2:$CW$2,'История отказов'!AE447)=0,COUNTIFS('История отказов'!$F$5:F447,"НПУ-ВД",'История отказов'!$AE$5:AE447,'История отказов'!AE447)=1,'История отказов'!F447="НПУ-ВД"),443,""))</f>
        <v/>
      </c>
      <c r="DH444">
        <f>IF('История отказов'!AE447="","",IF(AND(COUNTIF($CY$2:$CY$6,'История отказов'!AE447)=0,COUNTIF('История отказов'!$AE$5:AE447,'История отказов'!AE447)=1),443,""))</f>
        <v/>
      </c>
      <c r="DI444">
        <f>IF('История отказов'!AK447="","",IF(AND(COUNTIF($CL$2:$CL$3,'История отказов'!AK447)=0,COUNTIF('История отказов'!$AK$5:AK447,'История отказов'!AK447)=1),443,""))</f>
        <v/>
      </c>
      <c r="DJ444">
        <f>IF('История отказов'!AU447="","",IF(AND(COUNTIF($CP$2:$CP$3,'История отказов'!AU447)=0,COUNTIF('История отказов'!$AU$5:AU447,'История отказов'!AU447)=1),443,""))</f>
        <v/>
      </c>
      <c r="DK444">
        <f>IF('История отказов'!AY447="","",IF(AND(COUNTIF($CR$2:$CR$2,'История отказов'!AY447)=0,COUNTIF('История отказов'!$AY$5:AY447,'История отказов'!AY447)=1),443,""))</f>
        <v/>
      </c>
      <c r="DL444">
        <f>IF(DB444="","",IF(AND(COUNTIF($DA$2:$DA$47,DB444)=0,COUNTIF($DB$2:DB444,DB444)=1),443,""))</f>
        <v/>
      </c>
    </row>
    <row r="445">
      <c r="A445" s="74" t="n"/>
      <c r="B445" s="75" t="n"/>
      <c r="C445" s="76" t="n"/>
      <c r="J445" s="62" t="n"/>
      <c r="K445" s="62" t="n"/>
      <c r="L445" s="62" t="n"/>
      <c r="M445" s="62" t="n"/>
      <c r="N445" s="62" t="n"/>
      <c r="Q445" t="inlineStr">
        <is>
          <t>Подтверждение</t>
        </is>
      </c>
      <c r="R445" t="inlineStr">
        <is>
          <t>Телеметрия</t>
        </is>
      </c>
      <c r="S445" t="inlineStr">
        <is>
          <t>Рабочий перечень материалов</t>
        </is>
      </c>
      <c r="T445" t="inlineStr">
        <is>
          <t>Логика расследования отказа</t>
        </is>
      </c>
      <c r="U445" t="inlineStr">
        <is>
          <t>https://www.iso.org/standard/64076.html</t>
        </is>
      </c>
      <c r="V445" t="inlineStr">
        <is>
          <t>Все типы</t>
        </is>
      </c>
      <c r="DB445">
        <f>IF('История отказов'!AH448="","",'История отказов'!AH448)</f>
        <v/>
      </c>
      <c r="DC445">
        <f>IF('История отказов'!AE448="","",IF(AND(COUNTIF($CT$2:$CT$2,'История отказов'!AE448)=0,COUNTIFS('История отказов'!$F$5:F448,"ШГН",'История отказов'!$AE$5:AE448,'История отказов'!AE448)=1,'История отказов'!F448="ШГН"),444,""))</f>
        <v/>
      </c>
      <c r="DD445">
        <f>IF('История отказов'!AE448="","",IF(AND(COUNTIF($CU$2:$CU$3,'История отказов'!AE448)=0,COUNTIFS('История отказов'!$F$5:F448,"ЭЦН",'История отказов'!$AE$5:AE448,'История отказов'!AE448)=1,'История отказов'!F448="ЭЦН"),444,""))</f>
        <v/>
      </c>
      <c r="DE445">
        <f>IF('История отказов'!AE448="","",IF(AND(COUNTIF($CV$2:$CV$3,'История отказов'!AE448)=0,COUNTIFS('История отказов'!$F$5:F448,"ЭВН",'История отказов'!$AE$5:AE448,'История отказов'!AE448)=1,'История отказов'!F448="ЭВН"),444,""))</f>
        <v/>
      </c>
      <c r="DF445">
        <f>IF('История отказов'!AE448="","",IF(AND(COUNTIF($CX$2:$CX$2,'История отказов'!AE448)=0,COUNTIFS('История отказов'!$F$5:F448,"ШВН",'История отказов'!$AE$5:AE448,'История отказов'!AE448)=1,'История отказов'!F448="ШВН"),444,""))</f>
        <v/>
      </c>
      <c r="DG445">
        <f>IF('История отказов'!AE448="","",IF(AND(COUNTIF($CW$2:$CW$2,'История отказов'!AE448)=0,COUNTIFS('История отказов'!$F$5:F448,"НПУ-ВД",'История отказов'!$AE$5:AE448,'История отказов'!AE448)=1,'История отказов'!F448="НПУ-ВД"),444,""))</f>
        <v/>
      </c>
      <c r="DH445">
        <f>IF('История отказов'!AE448="","",IF(AND(COUNTIF($CY$2:$CY$6,'История отказов'!AE448)=0,COUNTIF('История отказов'!$AE$5:AE448,'История отказов'!AE448)=1),444,""))</f>
        <v/>
      </c>
      <c r="DI445">
        <f>IF('История отказов'!AK448="","",IF(AND(COUNTIF($CL$2:$CL$3,'История отказов'!AK448)=0,COUNTIF('История отказов'!$AK$5:AK448,'История отказов'!AK448)=1),444,""))</f>
        <v/>
      </c>
      <c r="DJ445">
        <f>IF('История отказов'!AU448="","",IF(AND(COUNTIF($CP$2:$CP$3,'История отказов'!AU448)=0,COUNTIF('История отказов'!$AU$5:AU448,'История отказов'!AU448)=1),444,""))</f>
        <v/>
      </c>
      <c r="DK445">
        <f>IF('История отказов'!AY448="","",IF(AND(COUNTIF($CR$2:$CR$2,'История отказов'!AY448)=0,COUNTIF('История отказов'!$AY$5:AY448,'История отказов'!AY448)=1),444,""))</f>
        <v/>
      </c>
      <c r="DL445">
        <f>IF(DB445="","",IF(AND(COUNTIF($DA$2:$DA$47,DB445)=0,COUNTIF($DB$2:DB445,DB445)=1),444,""))</f>
        <v/>
      </c>
    </row>
    <row r="446">
      <c r="A446" s="74" t="n"/>
      <c r="B446" s="75" t="n"/>
      <c r="C446" s="76" t="n"/>
      <c r="J446" s="62" t="n"/>
      <c r="K446" s="62" t="n"/>
      <c r="L446" s="62" t="n"/>
      <c r="M446" s="62" t="n"/>
      <c r="N446" s="62" t="n"/>
      <c r="Q446" t="inlineStr">
        <is>
          <t>Подтверждение</t>
        </is>
      </c>
      <c r="R446" t="inlineStr">
        <is>
          <t>Динамограмма</t>
        </is>
      </c>
      <c r="S446" t="inlineStr">
        <is>
          <t>Рабочий перечень материалов</t>
        </is>
      </c>
      <c r="T446" t="inlineStr">
        <is>
          <t>Логика расследования отказа</t>
        </is>
      </c>
      <c r="U446" t="inlineStr">
        <is>
          <t>https://www.iso.org/standard/64076.html</t>
        </is>
      </c>
      <c r="V446" t="inlineStr">
        <is>
          <t>Все типы</t>
        </is>
      </c>
      <c r="DB446">
        <f>IF('История отказов'!AH449="","",'История отказов'!AH449)</f>
        <v/>
      </c>
      <c r="DC446">
        <f>IF('История отказов'!AE449="","",IF(AND(COUNTIF($CT$2:$CT$2,'История отказов'!AE449)=0,COUNTIFS('История отказов'!$F$5:F449,"ШГН",'История отказов'!$AE$5:AE449,'История отказов'!AE449)=1,'История отказов'!F449="ШГН"),445,""))</f>
        <v/>
      </c>
      <c r="DD446">
        <f>IF('История отказов'!AE449="","",IF(AND(COUNTIF($CU$2:$CU$3,'История отказов'!AE449)=0,COUNTIFS('История отказов'!$F$5:F449,"ЭЦН",'История отказов'!$AE$5:AE449,'История отказов'!AE449)=1,'История отказов'!F449="ЭЦН"),445,""))</f>
        <v/>
      </c>
      <c r="DE446">
        <f>IF('История отказов'!AE449="","",IF(AND(COUNTIF($CV$2:$CV$3,'История отказов'!AE449)=0,COUNTIFS('История отказов'!$F$5:F449,"ЭВН",'История отказов'!$AE$5:AE449,'История отказов'!AE449)=1,'История отказов'!F449="ЭВН"),445,""))</f>
        <v/>
      </c>
      <c r="DF446">
        <f>IF('История отказов'!AE449="","",IF(AND(COUNTIF($CX$2:$CX$2,'История отказов'!AE449)=0,COUNTIFS('История отказов'!$F$5:F449,"ШВН",'История отказов'!$AE$5:AE449,'История отказов'!AE449)=1,'История отказов'!F449="ШВН"),445,""))</f>
        <v/>
      </c>
      <c r="DG446">
        <f>IF('История отказов'!AE449="","",IF(AND(COUNTIF($CW$2:$CW$2,'История отказов'!AE449)=0,COUNTIFS('История отказов'!$F$5:F449,"НПУ-ВД",'История отказов'!$AE$5:AE449,'История отказов'!AE449)=1,'История отказов'!F449="НПУ-ВД"),445,""))</f>
        <v/>
      </c>
      <c r="DH446">
        <f>IF('История отказов'!AE449="","",IF(AND(COUNTIF($CY$2:$CY$6,'История отказов'!AE449)=0,COUNTIF('История отказов'!$AE$5:AE449,'История отказов'!AE449)=1),445,""))</f>
        <v/>
      </c>
      <c r="DI446">
        <f>IF('История отказов'!AK449="","",IF(AND(COUNTIF($CL$2:$CL$3,'История отказов'!AK449)=0,COUNTIF('История отказов'!$AK$5:AK449,'История отказов'!AK449)=1),445,""))</f>
        <v/>
      </c>
      <c r="DJ446">
        <f>IF('История отказов'!AU449="","",IF(AND(COUNTIF($CP$2:$CP$3,'История отказов'!AU449)=0,COUNTIF('История отказов'!$AU$5:AU449,'История отказов'!AU449)=1),445,""))</f>
        <v/>
      </c>
      <c r="DK446">
        <f>IF('История отказов'!AY449="","",IF(AND(COUNTIF($CR$2:$CR$2,'История отказов'!AY449)=0,COUNTIF('История отказов'!$AY$5:AY449,'История отказов'!AY449)=1),445,""))</f>
        <v/>
      </c>
      <c r="DL446">
        <f>IF(DB446="","",IF(AND(COUNTIF($DA$2:$DA$47,DB446)=0,COUNTIF($DB$2:DB446,DB446)=1),445,""))</f>
        <v/>
      </c>
    </row>
    <row r="447">
      <c r="A447" s="74" t="n"/>
      <c r="B447" s="75" t="n"/>
      <c r="C447" s="76" t="n"/>
      <c r="J447" s="62" t="n"/>
      <c r="K447" s="62" t="n"/>
      <c r="L447" s="62" t="n"/>
      <c r="M447" s="62" t="n"/>
      <c r="N447" s="62" t="n"/>
      <c r="Q447" t="inlineStr">
        <is>
          <t>Подтверждение</t>
        </is>
      </c>
      <c r="R447" t="inlineStr">
        <is>
          <t>Ремонтный отчёт</t>
        </is>
      </c>
      <c r="S447" t="inlineStr">
        <is>
          <t>Рабочий перечень материалов</t>
        </is>
      </c>
      <c r="T447" t="inlineStr">
        <is>
          <t>Логика расследования отказа</t>
        </is>
      </c>
      <c r="U447" t="inlineStr">
        <is>
          <t>https://www.iso.org/standard/64076.html</t>
        </is>
      </c>
      <c r="V447" t="inlineStr">
        <is>
          <t>Все типы</t>
        </is>
      </c>
      <c r="DB447">
        <f>IF('История отказов'!AH450="","",'История отказов'!AH450)</f>
        <v/>
      </c>
      <c r="DC447">
        <f>IF('История отказов'!AE450="","",IF(AND(COUNTIF($CT$2:$CT$2,'История отказов'!AE450)=0,COUNTIFS('История отказов'!$F$5:F450,"ШГН",'История отказов'!$AE$5:AE450,'История отказов'!AE450)=1,'История отказов'!F450="ШГН"),446,""))</f>
        <v/>
      </c>
      <c r="DD447">
        <f>IF('История отказов'!AE450="","",IF(AND(COUNTIF($CU$2:$CU$3,'История отказов'!AE450)=0,COUNTIFS('История отказов'!$F$5:F450,"ЭЦН",'История отказов'!$AE$5:AE450,'История отказов'!AE450)=1,'История отказов'!F450="ЭЦН"),446,""))</f>
        <v/>
      </c>
      <c r="DE447">
        <f>IF('История отказов'!AE450="","",IF(AND(COUNTIF($CV$2:$CV$3,'История отказов'!AE450)=0,COUNTIFS('История отказов'!$F$5:F450,"ЭВН",'История отказов'!$AE$5:AE450,'История отказов'!AE450)=1,'История отказов'!F450="ЭВН"),446,""))</f>
        <v/>
      </c>
      <c r="DF447">
        <f>IF('История отказов'!AE450="","",IF(AND(COUNTIF($CX$2:$CX$2,'История отказов'!AE450)=0,COUNTIFS('История отказов'!$F$5:F450,"ШВН",'История отказов'!$AE$5:AE450,'История отказов'!AE450)=1,'История отказов'!F450="ШВН"),446,""))</f>
        <v/>
      </c>
      <c r="DG447">
        <f>IF('История отказов'!AE450="","",IF(AND(COUNTIF($CW$2:$CW$2,'История отказов'!AE450)=0,COUNTIFS('История отказов'!$F$5:F450,"НПУ-ВД",'История отказов'!$AE$5:AE450,'История отказов'!AE450)=1,'История отказов'!F450="НПУ-ВД"),446,""))</f>
        <v/>
      </c>
      <c r="DH447">
        <f>IF('История отказов'!AE450="","",IF(AND(COUNTIF($CY$2:$CY$6,'История отказов'!AE450)=0,COUNTIF('История отказов'!$AE$5:AE450,'История отказов'!AE450)=1),446,""))</f>
        <v/>
      </c>
      <c r="DI447">
        <f>IF('История отказов'!AK450="","",IF(AND(COUNTIF($CL$2:$CL$3,'История отказов'!AK450)=0,COUNTIF('История отказов'!$AK$5:AK450,'История отказов'!AK450)=1),446,""))</f>
        <v/>
      </c>
      <c r="DJ447">
        <f>IF('История отказов'!AU450="","",IF(AND(COUNTIF($CP$2:$CP$3,'История отказов'!AU450)=0,COUNTIF('История отказов'!$AU$5:AU450,'История отказов'!AU450)=1),446,""))</f>
        <v/>
      </c>
      <c r="DK447">
        <f>IF('История отказов'!AY450="","",IF(AND(COUNTIF($CR$2:$CR$2,'История отказов'!AY450)=0,COUNTIF('История отказов'!$AY$5:AY450,'История отказов'!AY450)=1),446,""))</f>
        <v/>
      </c>
      <c r="DL447">
        <f>IF(DB447="","",IF(AND(COUNTIF($DA$2:$DA$47,DB447)=0,COUNTIF($DB$2:DB447,DB447)=1),446,""))</f>
        <v/>
      </c>
    </row>
    <row r="448">
      <c r="A448" s="74" t="n"/>
      <c r="B448" s="75" t="n"/>
      <c r="C448" s="76" t="n"/>
      <c r="J448" s="62" t="n"/>
      <c r="K448" s="62" t="n"/>
      <c r="L448" s="62" t="n"/>
      <c r="M448" s="62" t="n"/>
      <c r="N448" s="62" t="n"/>
      <c r="Q448" t="inlineStr">
        <is>
          <t>Подтверждение</t>
        </is>
      </c>
      <c r="R448" t="inlineStr">
        <is>
          <t>Иное документальное подтверждение</t>
        </is>
      </c>
      <c r="S448" t="inlineStr">
        <is>
          <t>Рабочий перечень материалов</t>
        </is>
      </c>
      <c r="T448" t="inlineStr">
        <is>
          <t>Логика расследования отказа</t>
        </is>
      </c>
      <c r="U448" t="inlineStr">
        <is>
          <t>https://www.iso.org/standard/64076.html</t>
        </is>
      </c>
      <c r="V448" t="inlineStr">
        <is>
          <t>Все типы</t>
        </is>
      </c>
      <c r="DB448">
        <f>IF('История отказов'!AH451="","",'История отказов'!AH451)</f>
        <v/>
      </c>
      <c r="DC448">
        <f>IF('История отказов'!AE451="","",IF(AND(COUNTIF($CT$2:$CT$2,'История отказов'!AE451)=0,COUNTIFS('История отказов'!$F$5:F451,"ШГН",'История отказов'!$AE$5:AE451,'История отказов'!AE451)=1,'История отказов'!F451="ШГН"),447,""))</f>
        <v/>
      </c>
      <c r="DD448">
        <f>IF('История отказов'!AE451="","",IF(AND(COUNTIF($CU$2:$CU$3,'История отказов'!AE451)=0,COUNTIFS('История отказов'!$F$5:F451,"ЭЦН",'История отказов'!$AE$5:AE451,'История отказов'!AE451)=1,'История отказов'!F451="ЭЦН"),447,""))</f>
        <v/>
      </c>
      <c r="DE448">
        <f>IF('История отказов'!AE451="","",IF(AND(COUNTIF($CV$2:$CV$3,'История отказов'!AE451)=0,COUNTIFS('История отказов'!$F$5:F451,"ЭВН",'История отказов'!$AE$5:AE451,'История отказов'!AE451)=1,'История отказов'!F451="ЭВН"),447,""))</f>
        <v/>
      </c>
      <c r="DF448">
        <f>IF('История отказов'!AE451="","",IF(AND(COUNTIF($CX$2:$CX$2,'История отказов'!AE451)=0,COUNTIFS('История отказов'!$F$5:F451,"ШВН",'История отказов'!$AE$5:AE451,'История отказов'!AE451)=1,'История отказов'!F451="ШВН"),447,""))</f>
        <v/>
      </c>
      <c r="DG448">
        <f>IF('История отказов'!AE451="","",IF(AND(COUNTIF($CW$2:$CW$2,'История отказов'!AE451)=0,COUNTIFS('История отказов'!$F$5:F451,"НПУ-ВД",'История отказов'!$AE$5:AE451,'История отказов'!AE451)=1,'История отказов'!F451="НПУ-ВД"),447,""))</f>
        <v/>
      </c>
      <c r="DH448">
        <f>IF('История отказов'!AE451="","",IF(AND(COUNTIF($CY$2:$CY$6,'История отказов'!AE451)=0,COUNTIF('История отказов'!$AE$5:AE451,'История отказов'!AE451)=1),447,""))</f>
        <v/>
      </c>
      <c r="DI448">
        <f>IF('История отказов'!AK451="","",IF(AND(COUNTIF($CL$2:$CL$3,'История отказов'!AK451)=0,COUNTIF('История отказов'!$AK$5:AK451,'История отказов'!AK451)=1),447,""))</f>
        <v/>
      </c>
      <c r="DJ448">
        <f>IF('История отказов'!AU451="","",IF(AND(COUNTIF($CP$2:$CP$3,'История отказов'!AU451)=0,COUNTIF('История отказов'!$AU$5:AU451,'История отказов'!AU451)=1),447,""))</f>
        <v/>
      </c>
      <c r="DK448">
        <f>IF('История отказов'!AY451="","",IF(AND(COUNTIF($CR$2:$CR$2,'История отказов'!AY451)=0,COUNTIF('История отказов'!$AY$5:AY451,'История отказов'!AY451)=1),447,""))</f>
        <v/>
      </c>
      <c r="DL448">
        <f>IF(DB448="","",IF(AND(COUNTIF($DA$2:$DA$47,DB448)=0,COUNTIF($DB$2:DB448,DB448)=1),447,""))</f>
        <v/>
      </c>
    </row>
    <row r="449">
      <c r="A449" s="74" t="n"/>
      <c r="B449" s="75" t="n"/>
      <c r="C449" s="76" t="n"/>
      <c r="J449" s="62" t="n"/>
      <c r="K449" s="62" t="n"/>
      <c r="L449" s="62" t="n"/>
      <c r="M449" s="62" t="n"/>
      <c r="N449" s="62" t="n"/>
      <c r="Q449" t="inlineStr">
        <is>
          <t>Статус расследования</t>
        </is>
      </c>
      <c r="R449" t="inlineStr">
        <is>
          <t>Расследование продолжается</t>
        </is>
      </c>
      <c r="S449" t="inlineStr">
        <is>
          <t>Внутренний статус</t>
        </is>
      </c>
      <c r="T449" t="inlineStr">
        <is>
          <t>Логика оперативного реестра</t>
        </is>
      </c>
      <c r="U449" t="inlineStr">
        <is>
          <t>Не является нормативным кодом</t>
        </is>
      </c>
      <c r="V449" t="inlineStr">
        <is>
          <t>Все типы</t>
        </is>
      </c>
      <c r="DB449">
        <f>IF('История отказов'!AH452="","",'История отказов'!AH452)</f>
        <v/>
      </c>
      <c r="DC449">
        <f>IF('История отказов'!AE452="","",IF(AND(COUNTIF($CT$2:$CT$2,'История отказов'!AE452)=0,COUNTIFS('История отказов'!$F$5:F452,"ШГН",'История отказов'!$AE$5:AE452,'История отказов'!AE452)=1,'История отказов'!F452="ШГН"),448,""))</f>
        <v/>
      </c>
      <c r="DD449">
        <f>IF('История отказов'!AE452="","",IF(AND(COUNTIF($CU$2:$CU$3,'История отказов'!AE452)=0,COUNTIFS('История отказов'!$F$5:F452,"ЭЦН",'История отказов'!$AE$5:AE452,'История отказов'!AE452)=1,'История отказов'!F452="ЭЦН"),448,""))</f>
        <v/>
      </c>
      <c r="DE449">
        <f>IF('История отказов'!AE452="","",IF(AND(COUNTIF($CV$2:$CV$3,'История отказов'!AE452)=0,COUNTIFS('История отказов'!$F$5:F452,"ЭВН",'История отказов'!$AE$5:AE452,'История отказов'!AE452)=1,'История отказов'!F452="ЭВН"),448,""))</f>
        <v/>
      </c>
      <c r="DF449">
        <f>IF('История отказов'!AE452="","",IF(AND(COUNTIF($CX$2:$CX$2,'История отказов'!AE452)=0,COUNTIFS('История отказов'!$F$5:F452,"ШВН",'История отказов'!$AE$5:AE452,'История отказов'!AE452)=1,'История отказов'!F452="ШВН"),448,""))</f>
        <v/>
      </c>
      <c r="DG449">
        <f>IF('История отказов'!AE452="","",IF(AND(COUNTIF($CW$2:$CW$2,'История отказов'!AE452)=0,COUNTIFS('История отказов'!$F$5:F452,"НПУ-ВД",'История отказов'!$AE$5:AE452,'История отказов'!AE452)=1,'История отказов'!F452="НПУ-ВД"),448,""))</f>
        <v/>
      </c>
      <c r="DH449">
        <f>IF('История отказов'!AE452="","",IF(AND(COUNTIF($CY$2:$CY$6,'История отказов'!AE452)=0,COUNTIF('История отказов'!$AE$5:AE452,'История отказов'!AE452)=1),448,""))</f>
        <v/>
      </c>
      <c r="DI449">
        <f>IF('История отказов'!AK452="","",IF(AND(COUNTIF($CL$2:$CL$3,'История отказов'!AK452)=0,COUNTIF('История отказов'!$AK$5:AK452,'История отказов'!AK452)=1),448,""))</f>
        <v/>
      </c>
      <c r="DJ449">
        <f>IF('История отказов'!AU452="","",IF(AND(COUNTIF($CP$2:$CP$3,'История отказов'!AU452)=0,COUNTIF('История отказов'!$AU$5:AU452,'История отказов'!AU452)=1),448,""))</f>
        <v/>
      </c>
      <c r="DK449">
        <f>IF('История отказов'!AY452="","",IF(AND(COUNTIF($CR$2:$CR$2,'История отказов'!AY452)=0,COUNTIF('История отказов'!$AY$5:AY452,'История отказов'!AY452)=1),448,""))</f>
        <v/>
      </c>
      <c r="DL449">
        <f>IF(DB449="","",IF(AND(COUNTIF($DA$2:$DA$47,DB449)=0,COUNTIF($DB$2:DB449,DB449)=1),448,""))</f>
        <v/>
      </c>
    </row>
    <row r="450">
      <c r="A450" s="74" t="n"/>
      <c r="B450" s="75" t="n"/>
      <c r="C450" s="76" t="n"/>
      <c r="J450" s="62" t="n"/>
      <c r="K450" s="62" t="n"/>
      <c r="L450" s="62" t="n"/>
      <c r="M450" s="62" t="n"/>
      <c r="N450" s="62" t="n"/>
      <c r="Q450" t="inlineStr">
        <is>
          <t>Статус расследования</t>
        </is>
      </c>
      <c r="R450" t="inlineStr">
        <is>
          <t>Вероятная причина</t>
        </is>
      </c>
      <c r="S450" t="inlineStr">
        <is>
          <t>Внутренний статус</t>
        </is>
      </c>
      <c r="T450" t="inlineStr">
        <is>
          <t>Логика оперативного реестра</t>
        </is>
      </c>
      <c r="U450" t="inlineStr">
        <is>
          <t>Не является нормативным кодом</t>
        </is>
      </c>
      <c r="V450" t="inlineStr">
        <is>
          <t>Все типы</t>
        </is>
      </c>
      <c r="DB450">
        <f>IF('История отказов'!AH453="","",'История отказов'!AH453)</f>
        <v/>
      </c>
      <c r="DC450">
        <f>IF('История отказов'!AE453="","",IF(AND(COUNTIF($CT$2:$CT$2,'История отказов'!AE453)=0,COUNTIFS('История отказов'!$F$5:F453,"ШГН",'История отказов'!$AE$5:AE453,'История отказов'!AE453)=1,'История отказов'!F453="ШГН"),449,""))</f>
        <v/>
      </c>
      <c r="DD450">
        <f>IF('История отказов'!AE453="","",IF(AND(COUNTIF($CU$2:$CU$3,'История отказов'!AE453)=0,COUNTIFS('История отказов'!$F$5:F453,"ЭЦН",'История отказов'!$AE$5:AE453,'История отказов'!AE453)=1,'История отказов'!F453="ЭЦН"),449,""))</f>
        <v/>
      </c>
      <c r="DE450">
        <f>IF('История отказов'!AE453="","",IF(AND(COUNTIF($CV$2:$CV$3,'История отказов'!AE453)=0,COUNTIFS('История отказов'!$F$5:F453,"ЭВН",'История отказов'!$AE$5:AE453,'История отказов'!AE453)=1,'История отказов'!F453="ЭВН"),449,""))</f>
        <v/>
      </c>
      <c r="DF450">
        <f>IF('История отказов'!AE453="","",IF(AND(COUNTIF($CX$2:$CX$2,'История отказов'!AE453)=0,COUNTIFS('История отказов'!$F$5:F453,"ШВН",'История отказов'!$AE$5:AE453,'История отказов'!AE453)=1,'История отказов'!F453="ШВН"),449,""))</f>
        <v/>
      </c>
      <c r="DG450">
        <f>IF('История отказов'!AE453="","",IF(AND(COUNTIF($CW$2:$CW$2,'История отказов'!AE453)=0,COUNTIFS('История отказов'!$F$5:F453,"НПУ-ВД",'История отказов'!$AE$5:AE453,'История отказов'!AE453)=1,'История отказов'!F453="НПУ-ВД"),449,""))</f>
        <v/>
      </c>
      <c r="DH450">
        <f>IF('История отказов'!AE453="","",IF(AND(COUNTIF($CY$2:$CY$6,'История отказов'!AE453)=0,COUNTIF('История отказов'!$AE$5:AE453,'История отказов'!AE453)=1),449,""))</f>
        <v/>
      </c>
      <c r="DI450">
        <f>IF('История отказов'!AK453="","",IF(AND(COUNTIF($CL$2:$CL$3,'История отказов'!AK453)=0,COUNTIF('История отказов'!$AK$5:AK453,'История отказов'!AK453)=1),449,""))</f>
        <v/>
      </c>
      <c r="DJ450">
        <f>IF('История отказов'!AU453="","",IF(AND(COUNTIF($CP$2:$CP$3,'История отказов'!AU453)=0,COUNTIF('История отказов'!$AU$5:AU453,'История отказов'!AU453)=1),449,""))</f>
        <v/>
      </c>
      <c r="DK450">
        <f>IF('История отказов'!AY453="","",IF(AND(COUNTIF($CR$2:$CR$2,'История отказов'!AY453)=0,COUNTIF('История отказов'!$AY$5:AY453,'История отказов'!AY453)=1),449,""))</f>
        <v/>
      </c>
      <c r="DL450">
        <f>IF(DB450="","",IF(AND(COUNTIF($DA$2:$DA$47,DB450)=0,COUNTIF($DB$2:DB450,DB450)=1),449,""))</f>
        <v/>
      </c>
    </row>
    <row r="451">
      <c r="A451" s="74" t="n"/>
      <c r="B451" s="75" t="n"/>
      <c r="C451" s="76" t="n"/>
      <c r="J451" s="62" t="n"/>
      <c r="K451" s="62" t="n"/>
      <c r="L451" s="62" t="n"/>
      <c r="M451" s="62" t="n"/>
      <c r="N451" s="62" t="n"/>
      <c r="Q451" t="inlineStr">
        <is>
          <t>Статус расследования</t>
        </is>
      </c>
      <c r="R451" t="inlineStr">
        <is>
          <t>Предварительно подтверждено</t>
        </is>
      </c>
      <c r="S451" t="inlineStr">
        <is>
          <t>Внутренний статус</t>
        </is>
      </c>
      <c r="T451" t="inlineStr">
        <is>
          <t>Логика оперативного реестра</t>
        </is>
      </c>
      <c r="U451" t="inlineStr">
        <is>
          <t>Не является нормативным кодом</t>
        </is>
      </c>
      <c r="V451" t="inlineStr">
        <is>
          <t>Все типы</t>
        </is>
      </c>
      <c r="DB451">
        <f>IF('История отказов'!AH454="","",'История отказов'!AH454)</f>
        <v/>
      </c>
      <c r="DC451">
        <f>IF('История отказов'!AE454="","",IF(AND(COUNTIF($CT$2:$CT$2,'История отказов'!AE454)=0,COUNTIFS('История отказов'!$F$5:F454,"ШГН",'История отказов'!$AE$5:AE454,'История отказов'!AE454)=1,'История отказов'!F454="ШГН"),450,""))</f>
        <v/>
      </c>
      <c r="DD451">
        <f>IF('История отказов'!AE454="","",IF(AND(COUNTIF($CU$2:$CU$3,'История отказов'!AE454)=0,COUNTIFS('История отказов'!$F$5:F454,"ЭЦН",'История отказов'!$AE$5:AE454,'История отказов'!AE454)=1,'История отказов'!F454="ЭЦН"),450,""))</f>
        <v/>
      </c>
      <c r="DE451">
        <f>IF('История отказов'!AE454="","",IF(AND(COUNTIF($CV$2:$CV$3,'История отказов'!AE454)=0,COUNTIFS('История отказов'!$F$5:F454,"ЭВН",'История отказов'!$AE$5:AE454,'История отказов'!AE454)=1,'История отказов'!F454="ЭВН"),450,""))</f>
        <v/>
      </c>
      <c r="DF451">
        <f>IF('История отказов'!AE454="","",IF(AND(COUNTIF($CX$2:$CX$2,'История отказов'!AE454)=0,COUNTIFS('История отказов'!$F$5:F454,"ШВН",'История отказов'!$AE$5:AE454,'История отказов'!AE454)=1,'История отказов'!F454="ШВН"),450,""))</f>
        <v/>
      </c>
      <c r="DG451">
        <f>IF('История отказов'!AE454="","",IF(AND(COUNTIF($CW$2:$CW$2,'История отказов'!AE454)=0,COUNTIFS('История отказов'!$F$5:F454,"НПУ-ВД",'История отказов'!$AE$5:AE454,'История отказов'!AE454)=1,'История отказов'!F454="НПУ-ВД"),450,""))</f>
        <v/>
      </c>
      <c r="DH451">
        <f>IF('История отказов'!AE454="","",IF(AND(COUNTIF($CY$2:$CY$6,'История отказов'!AE454)=0,COUNTIF('История отказов'!$AE$5:AE454,'История отказов'!AE454)=1),450,""))</f>
        <v/>
      </c>
      <c r="DI451">
        <f>IF('История отказов'!AK454="","",IF(AND(COUNTIF($CL$2:$CL$3,'История отказов'!AK454)=0,COUNTIF('История отказов'!$AK$5:AK454,'История отказов'!AK454)=1),450,""))</f>
        <v/>
      </c>
      <c r="DJ451">
        <f>IF('История отказов'!AU454="","",IF(AND(COUNTIF($CP$2:$CP$3,'История отказов'!AU454)=0,COUNTIF('История отказов'!$AU$5:AU454,'История отказов'!AU454)=1),450,""))</f>
        <v/>
      </c>
      <c r="DK451">
        <f>IF('История отказов'!AY454="","",IF(AND(COUNTIF($CR$2:$CR$2,'История отказов'!AY454)=0,COUNTIF('История отказов'!$AY$5:AY454,'История отказов'!AY454)=1),450,""))</f>
        <v/>
      </c>
      <c r="DL451">
        <f>IF(DB451="","",IF(AND(COUNTIF($DA$2:$DA$47,DB451)=0,COUNTIF($DB$2:DB451,DB451)=1),450,""))</f>
        <v/>
      </c>
    </row>
    <row r="452">
      <c r="A452" s="74" t="n"/>
      <c r="B452" s="75" t="n"/>
      <c r="C452" s="76" t="n"/>
      <c r="J452" s="62" t="n"/>
      <c r="K452" s="62" t="n"/>
      <c r="L452" s="62" t="n"/>
      <c r="M452" s="62" t="n"/>
      <c r="N452" s="62" t="n"/>
      <c r="Q452" t="inlineStr">
        <is>
          <t>Статус расследования</t>
        </is>
      </c>
      <c r="R452" t="inlineStr">
        <is>
          <t>Подтверждено комиссией</t>
        </is>
      </c>
      <c r="S452" t="inlineStr">
        <is>
          <t>Внутренний статус</t>
        </is>
      </c>
      <c r="T452" t="inlineStr">
        <is>
          <t>Логика оперативного реестра</t>
        </is>
      </c>
      <c r="U452" t="inlineStr">
        <is>
          <t>Не является нормативным кодом</t>
        </is>
      </c>
      <c r="V452" t="inlineStr">
        <is>
          <t>Все типы</t>
        </is>
      </c>
      <c r="DB452">
        <f>IF('История отказов'!AH455="","",'История отказов'!AH455)</f>
        <v/>
      </c>
      <c r="DC452">
        <f>IF('История отказов'!AE455="","",IF(AND(COUNTIF($CT$2:$CT$2,'История отказов'!AE455)=0,COUNTIFS('История отказов'!$F$5:F455,"ШГН",'История отказов'!$AE$5:AE455,'История отказов'!AE455)=1,'История отказов'!F455="ШГН"),451,""))</f>
        <v/>
      </c>
      <c r="DD452">
        <f>IF('История отказов'!AE455="","",IF(AND(COUNTIF($CU$2:$CU$3,'История отказов'!AE455)=0,COUNTIFS('История отказов'!$F$5:F455,"ЭЦН",'История отказов'!$AE$5:AE455,'История отказов'!AE455)=1,'История отказов'!F455="ЭЦН"),451,""))</f>
        <v/>
      </c>
      <c r="DE452">
        <f>IF('История отказов'!AE455="","",IF(AND(COUNTIF($CV$2:$CV$3,'История отказов'!AE455)=0,COUNTIFS('История отказов'!$F$5:F455,"ЭВН",'История отказов'!$AE$5:AE455,'История отказов'!AE455)=1,'История отказов'!F455="ЭВН"),451,""))</f>
        <v/>
      </c>
      <c r="DF452">
        <f>IF('История отказов'!AE455="","",IF(AND(COUNTIF($CX$2:$CX$2,'История отказов'!AE455)=0,COUNTIFS('История отказов'!$F$5:F455,"ШВН",'История отказов'!$AE$5:AE455,'История отказов'!AE455)=1,'История отказов'!F455="ШВН"),451,""))</f>
        <v/>
      </c>
      <c r="DG452">
        <f>IF('История отказов'!AE455="","",IF(AND(COUNTIF($CW$2:$CW$2,'История отказов'!AE455)=0,COUNTIFS('История отказов'!$F$5:F455,"НПУ-ВД",'История отказов'!$AE$5:AE455,'История отказов'!AE455)=1,'История отказов'!F455="НПУ-ВД"),451,""))</f>
        <v/>
      </c>
      <c r="DH452">
        <f>IF('История отказов'!AE455="","",IF(AND(COUNTIF($CY$2:$CY$6,'История отказов'!AE455)=0,COUNTIF('История отказов'!$AE$5:AE455,'История отказов'!AE455)=1),451,""))</f>
        <v/>
      </c>
      <c r="DI452">
        <f>IF('История отказов'!AK455="","",IF(AND(COUNTIF($CL$2:$CL$3,'История отказов'!AK455)=0,COUNTIF('История отказов'!$AK$5:AK455,'История отказов'!AK455)=1),451,""))</f>
        <v/>
      </c>
      <c r="DJ452">
        <f>IF('История отказов'!AU455="","",IF(AND(COUNTIF($CP$2:$CP$3,'История отказов'!AU455)=0,COUNTIF('История отказов'!$AU$5:AU455,'История отказов'!AU455)=1),451,""))</f>
        <v/>
      </c>
      <c r="DK452">
        <f>IF('История отказов'!AY455="","",IF(AND(COUNTIF($CR$2:$CR$2,'История отказов'!AY455)=0,COUNTIF('История отказов'!$AY$5:AY455,'История отказов'!AY455)=1),451,""))</f>
        <v/>
      </c>
      <c r="DL452">
        <f>IF(DB452="","",IF(AND(COUNTIF($DA$2:$DA$47,DB452)=0,COUNTIF($DB$2:DB452,DB452)=1),451,""))</f>
        <v/>
      </c>
    </row>
    <row r="453">
      <c r="A453" s="74" t="n"/>
      <c r="B453" s="75" t="n"/>
      <c r="C453" s="76" t="n"/>
      <c r="J453" s="62" t="n"/>
      <c r="K453" s="62" t="n"/>
      <c r="L453" s="62" t="n"/>
      <c r="M453" s="62" t="n"/>
      <c r="N453" s="62" t="n"/>
      <c r="Q453" t="inlineStr">
        <is>
          <t>Статус расследования</t>
        </is>
      </c>
      <c r="R453" t="inlineStr">
        <is>
          <t>Подтверждено разбором оборудования</t>
        </is>
      </c>
      <c r="S453" t="inlineStr">
        <is>
          <t>Внутренний статус</t>
        </is>
      </c>
      <c r="T453" t="inlineStr">
        <is>
          <t>Логика оперативного реестра</t>
        </is>
      </c>
      <c r="U453" t="inlineStr">
        <is>
          <t>Не является нормативным кодом</t>
        </is>
      </c>
      <c r="V453" t="inlineStr">
        <is>
          <t>Все типы</t>
        </is>
      </c>
      <c r="DB453">
        <f>IF('История отказов'!AH456="","",'История отказов'!AH456)</f>
        <v/>
      </c>
      <c r="DC453">
        <f>IF('История отказов'!AE456="","",IF(AND(COUNTIF($CT$2:$CT$2,'История отказов'!AE456)=0,COUNTIFS('История отказов'!$F$5:F456,"ШГН",'История отказов'!$AE$5:AE456,'История отказов'!AE456)=1,'История отказов'!F456="ШГН"),452,""))</f>
        <v/>
      </c>
      <c r="DD453">
        <f>IF('История отказов'!AE456="","",IF(AND(COUNTIF($CU$2:$CU$3,'История отказов'!AE456)=0,COUNTIFS('История отказов'!$F$5:F456,"ЭЦН",'История отказов'!$AE$5:AE456,'История отказов'!AE456)=1,'История отказов'!F456="ЭЦН"),452,""))</f>
        <v/>
      </c>
      <c r="DE453">
        <f>IF('История отказов'!AE456="","",IF(AND(COUNTIF($CV$2:$CV$3,'История отказов'!AE456)=0,COUNTIFS('История отказов'!$F$5:F456,"ЭВН",'История отказов'!$AE$5:AE456,'История отказов'!AE456)=1,'История отказов'!F456="ЭВН"),452,""))</f>
        <v/>
      </c>
      <c r="DF453">
        <f>IF('История отказов'!AE456="","",IF(AND(COUNTIF($CX$2:$CX$2,'История отказов'!AE456)=0,COUNTIFS('История отказов'!$F$5:F456,"ШВН",'История отказов'!$AE$5:AE456,'История отказов'!AE456)=1,'История отказов'!F456="ШВН"),452,""))</f>
        <v/>
      </c>
      <c r="DG453">
        <f>IF('История отказов'!AE456="","",IF(AND(COUNTIF($CW$2:$CW$2,'История отказов'!AE456)=0,COUNTIFS('История отказов'!$F$5:F456,"НПУ-ВД",'История отказов'!$AE$5:AE456,'История отказов'!AE456)=1,'История отказов'!F456="НПУ-ВД"),452,""))</f>
        <v/>
      </c>
      <c r="DH453">
        <f>IF('История отказов'!AE456="","",IF(AND(COUNTIF($CY$2:$CY$6,'История отказов'!AE456)=0,COUNTIF('История отказов'!$AE$5:AE456,'История отказов'!AE456)=1),452,""))</f>
        <v/>
      </c>
      <c r="DI453">
        <f>IF('История отказов'!AK456="","",IF(AND(COUNTIF($CL$2:$CL$3,'История отказов'!AK456)=0,COUNTIF('История отказов'!$AK$5:AK456,'История отказов'!AK456)=1),452,""))</f>
        <v/>
      </c>
      <c r="DJ453">
        <f>IF('История отказов'!AU456="","",IF(AND(COUNTIF($CP$2:$CP$3,'История отказов'!AU456)=0,COUNTIF('История отказов'!$AU$5:AU456,'История отказов'!AU456)=1),452,""))</f>
        <v/>
      </c>
      <c r="DK453">
        <f>IF('История отказов'!AY456="","",IF(AND(COUNTIF($CR$2:$CR$2,'История отказов'!AY456)=0,COUNTIF('История отказов'!$AY$5:AY456,'История отказов'!AY456)=1),452,""))</f>
        <v/>
      </c>
      <c r="DL453">
        <f>IF(DB453="","",IF(AND(COUNTIF($DA$2:$DA$47,DB453)=0,COUNTIF($DB$2:DB453,DB453)=1),452,""))</f>
        <v/>
      </c>
    </row>
    <row r="454">
      <c r="A454" s="74" t="n"/>
      <c r="B454" s="75" t="n"/>
      <c r="C454" s="76" t="n"/>
      <c r="J454" s="62" t="n"/>
      <c r="K454" s="62" t="n"/>
      <c r="L454" s="62" t="n"/>
      <c r="M454" s="62" t="n"/>
      <c r="N454" s="62" t="n"/>
      <c r="Q454" t="inlineStr">
        <is>
          <t>Статус расследования</t>
        </is>
      </c>
      <c r="R454" t="inlineStr">
        <is>
          <t>Причина не установлена</t>
        </is>
      </c>
      <c r="S454" t="inlineStr">
        <is>
          <t>Внутренний статус</t>
        </is>
      </c>
      <c r="T454" t="inlineStr">
        <is>
          <t>Логика оперативного реестра</t>
        </is>
      </c>
      <c r="U454" t="inlineStr">
        <is>
          <t>Не является нормативным кодом</t>
        </is>
      </c>
      <c r="V454" t="inlineStr">
        <is>
          <t>Все типы</t>
        </is>
      </c>
      <c r="DB454">
        <f>IF('История отказов'!AH457="","",'История отказов'!AH457)</f>
        <v/>
      </c>
      <c r="DC454">
        <f>IF('История отказов'!AE457="","",IF(AND(COUNTIF($CT$2:$CT$2,'История отказов'!AE457)=0,COUNTIFS('История отказов'!$F$5:F457,"ШГН",'История отказов'!$AE$5:AE457,'История отказов'!AE457)=1,'История отказов'!F457="ШГН"),453,""))</f>
        <v/>
      </c>
      <c r="DD454">
        <f>IF('История отказов'!AE457="","",IF(AND(COUNTIF($CU$2:$CU$3,'История отказов'!AE457)=0,COUNTIFS('История отказов'!$F$5:F457,"ЭЦН",'История отказов'!$AE$5:AE457,'История отказов'!AE457)=1,'История отказов'!F457="ЭЦН"),453,""))</f>
        <v/>
      </c>
      <c r="DE454">
        <f>IF('История отказов'!AE457="","",IF(AND(COUNTIF($CV$2:$CV$3,'История отказов'!AE457)=0,COUNTIFS('История отказов'!$F$5:F457,"ЭВН",'История отказов'!$AE$5:AE457,'История отказов'!AE457)=1,'История отказов'!F457="ЭВН"),453,""))</f>
        <v/>
      </c>
      <c r="DF454">
        <f>IF('История отказов'!AE457="","",IF(AND(COUNTIF($CX$2:$CX$2,'История отказов'!AE457)=0,COUNTIFS('История отказов'!$F$5:F457,"ШВН",'История отказов'!$AE$5:AE457,'История отказов'!AE457)=1,'История отказов'!F457="ШВН"),453,""))</f>
        <v/>
      </c>
      <c r="DG454">
        <f>IF('История отказов'!AE457="","",IF(AND(COUNTIF($CW$2:$CW$2,'История отказов'!AE457)=0,COUNTIFS('История отказов'!$F$5:F457,"НПУ-ВД",'История отказов'!$AE$5:AE457,'История отказов'!AE457)=1,'История отказов'!F457="НПУ-ВД"),453,""))</f>
        <v/>
      </c>
      <c r="DH454">
        <f>IF('История отказов'!AE457="","",IF(AND(COUNTIF($CY$2:$CY$6,'История отказов'!AE457)=0,COUNTIF('История отказов'!$AE$5:AE457,'История отказов'!AE457)=1),453,""))</f>
        <v/>
      </c>
      <c r="DI454">
        <f>IF('История отказов'!AK457="","",IF(AND(COUNTIF($CL$2:$CL$3,'История отказов'!AK457)=0,COUNTIF('История отказов'!$AK$5:AK457,'История отказов'!AK457)=1),453,""))</f>
        <v/>
      </c>
      <c r="DJ454">
        <f>IF('История отказов'!AU457="","",IF(AND(COUNTIF($CP$2:$CP$3,'История отказов'!AU457)=0,COUNTIF('История отказов'!$AU$5:AU457,'История отказов'!AU457)=1),453,""))</f>
        <v/>
      </c>
      <c r="DK454">
        <f>IF('История отказов'!AY457="","",IF(AND(COUNTIF($CR$2:$CR$2,'История отказов'!AY457)=0,COUNTIF('История отказов'!$AY$5:AY457,'История отказов'!AY457)=1),453,""))</f>
        <v/>
      </c>
      <c r="DL454">
        <f>IF(DB454="","",IF(AND(COUNTIF($DA$2:$DA$47,DB454)=0,COUNTIF($DB$2:DB454,DB454)=1),453,""))</f>
        <v/>
      </c>
    </row>
    <row r="455">
      <c r="A455" s="74" t="n"/>
      <c r="B455" s="75" t="n"/>
      <c r="C455" s="76" t="n"/>
      <c r="J455" s="62" t="n"/>
      <c r="K455" s="62" t="n"/>
      <c r="L455" s="62" t="n"/>
      <c r="M455" s="62" t="n"/>
      <c r="N455" s="62" t="n"/>
      <c r="Q455" t="inlineStr">
        <is>
          <t>Достоверность</t>
        </is>
      </c>
      <c r="R455" t="inlineStr">
        <is>
          <t>Не оценена</t>
        </is>
      </c>
      <c r="S455" t="inlineStr">
        <is>
          <t>Внутренняя оценка</t>
        </is>
      </c>
      <c r="T455" t="inlineStr">
        <is>
          <t>Логика оперативного реестра</t>
        </is>
      </c>
      <c r="U455" t="inlineStr">
        <is>
          <t>Не является нормативным кодом</t>
        </is>
      </c>
      <c r="V455" t="inlineStr">
        <is>
          <t>Все типы</t>
        </is>
      </c>
      <c r="DB455">
        <f>IF('История отказов'!AH458="","",'История отказов'!AH458)</f>
        <v/>
      </c>
      <c r="DC455">
        <f>IF('История отказов'!AE458="","",IF(AND(COUNTIF($CT$2:$CT$2,'История отказов'!AE458)=0,COUNTIFS('История отказов'!$F$5:F458,"ШГН",'История отказов'!$AE$5:AE458,'История отказов'!AE458)=1,'История отказов'!F458="ШГН"),454,""))</f>
        <v/>
      </c>
      <c r="DD455">
        <f>IF('История отказов'!AE458="","",IF(AND(COUNTIF($CU$2:$CU$3,'История отказов'!AE458)=0,COUNTIFS('История отказов'!$F$5:F458,"ЭЦН",'История отказов'!$AE$5:AE458,'История отказов'!AE458)=1,'История отказов'!F458="ЭЦН"),454,""))</f>
        <v/>
      </c>
      <c r="DE455">
        <f>IF('История отказов'!AE458="","",IF(AND(COUNTIF($CV$2:$CV$3,'История отказов'!AE458)=0,COUNTIFS('История отказов'!$F$5:F458,"ЭВН",'История отказов'!$AE$5:AE458,'История отказов'!AE458)=1,'История отказов'!F458="ЭВН"),454,""))</f>
        <v/>
      </c>
      <c r="DF455">
        <f>IF('История отказов'!AE458="","",IF(AND(COUNTIF($CX$2:$CX$2,'История отказов'!AE458)=0,COUNTIFS('История отказов'!$F$5:F458,"ШВН",'История отказов'!$AE$5:AE458,'История отказов'!AE458)=1,'История отказов'!F458="ШВН"),454,""))</f>
        <v/>
      </c>
      <c r="DG455">
        <f>IF('История отказов'!AE458="","",IF(AND(COUNTIF($CW$2:$CW$2,'История отказов'!AE458)=0,COUNTIFS('История отказов'!$F$5:F458,"НПУ-ВД",'История отказов'!$AE$5:AE458,'История отказов'!AE458)=1,'История отказов'!F458="НПУ-ВД"),454,""))</f>
        <v/>
      </c>
      <c r="DH455">
        <f>IF('История отказов'!AE458="","",IF(AND(COUNTIF($CY$2:$CY$6,'История отказов'!AE458)=0,COUNTIF('История отказов'!$AE$5:AE458,'История отказов'!AE458)=1),454,""))</f>
        <v/>
      </c>
      <c r="DI455">
        <f>IF('История отказов'!AK458="","",IF(AND(COUNTIF($CL$2:$CL$3,'История отказов'!AK458)=0,COUNTIF('История отказов'!$AK$5:AK458,'История отказов'!AK458)=1),454,""))</f>
        <v/>
      </c>
      <c r="DJ455">
        <f>IF('История отказов'!AU458="","",IF(AND(COUNTIF($CP$2:$CP$3,'История отказов'!AU458)=0,COUNTIF('История отказов'!$AU$5:AU458,'История отказов'!AU458)=1),454,""))</f>
        <v/>
      </c>
      <c r="DK455">
        <f>IF('История отказов'!AY458="","",IF(AND(COUNTIF($CR$2:$CR$2,'История отказов'!AY458)=0,COUNTIF('История отказов'!$AY$5:AY458,'История отказов'!AY458)=1),454,""))</f>
        <v/>
      </c>
      <c r="DL455">
        <f>IF(DB455="","",IF(AND(COUNTIF($DA$2:$DA$47,DB455)=0,COUNTIF($DB$2:DB455,DB455)=1),454,""))</f>
        <v/>
      </c>
    </row>
    <row r="456">
      <c r="A456" s="74" t="n"/>
      <c r="B456" s="75" t="n"/>
      <c r="C456" s="76" t="n"/>
      <c r="J456" s="62" t="n"/>
      <c r="K456" s="62" t="n"/>
      <c r="L456" s="62" t="n"/>
      <c r="M456" s="62" t="n"/>
      <c r="N456" s="62" t="n"/>
      <c r="Q456" t="inlineStr">
        <is>
          <t>Достоверность</t>
        </is>
      </c>
      <c r="R456" t="inlineStr">
        <is>
          <t>Низкая</t>
        </is>
      </c>
      <c r="S456" t="inlineStr">
        <is>
          <t>Внутренняя оценка</t>
        </is>
      </c>
      <c r="T456" t="inlineStr">
        <is>
          <t>Логика оперативного реестра</t>
        </is>
      </c>
      <c r="U456" t="inlineStr">
        <is>
          <t>Не является нормативным кодом</t>
        </is>
      </c>
      <c r="V456" t="inlineStr">
        <is>
          <t>Все типы</t>
        </is>
      </c>
      <c r="DB456">
        <f>IF('История отказов'!AH459="","",'История отказов'!AH459)</f>
        <v/>
      </c>
      <c r="DC456">
        <f>IF('История отказов'!AE459="","",IF(AND(COUNTIF($CT$2:$CT$2,'История отказов'!AE459)=0,COUNTIFS('История отказов'!$F$5:F459,"ШГН",'История отказов'!$AE$5:AE459,'История отказов'!AE459)=1,'История отказов'!F459="ШГН"),455,""))</f>
        <v/>
      </c>
      <c r="DD456">
        <f>IF('История отказов'!AE459="","",IF(AND(COUNTIF($CU$2:$CU$3,'История отказов'!AE459)=0,COUNTIFS('История отказов'!$F$5:F459,"ЭЦН",'История отказов'!$AE$5:AE459,'История отказов'!AE459)=1,'История отказов'!F459="ЭЦН"),455,""))</f>
        <v/>
      </c>
      <c r="DE456">
        <f>IF('История отказов'!AE459="","",IF(AND(COUNTIF($CV$2:$CV$3,'История отказов'!AE459)=0,COUNTIFS('История отказов'!$F$5:F459,"ЭВН",'История отказов'!$AE$5:AE459,'История отказов'!AE459)=1,'История отказов'!F459="ЭВН"),455,""))</f>
        <v/>
      </c>
      <c r="DF456">
        <f>IF('История отказов'!AE459="","",IF(AND(COUNTIF($CX$2:$CX$2,'История отказов'!AE459)=0,COUNTIFS('История отказов'!$F$5:F459,"ШВН",'История отказов'!$AE$5:AE459,'История отказов'!AE459)=1,'История отказов'!F459="ШВН"),455,""))</f>
        <v/>
      </c>
      <c r="DG456">
        <f>IF('История отказов'!AE459="","",IF(AND(COUNTIF($CW$2:$CW$2,'История отказов'!AE459)=0,COUNTIFS('История отказов'!$F$5:F459,"НПУ-ВД",'История отказов'!$AE$5:AE459,'История отказов'!AE459)=1,'История отказов'!F459="НПУ-ВД"),455,""))</f>
        <v/>
      </c>
      <c r="DH456">
        <f>IF('История отказов'!AE459="","",IF(AND(COUNTIF($CY$2:$CY$6,'История отказов'!AE459)=0,COUNTIF('История отказов'!$AE$5:AE459,'История отказов'!AE459)=1),455,""))</f>
        <v/>
      </c>
      <c r="DI456">
        <f>IF('История отказов'!AK459="","",IF(AND(COUNTIF($CL$2:$CL$3,'История отказов'!AK459)=0,COUNTIF('История отказов'!$AK$5:AK459,'История отказов'!AK459)=1),455,""))</f>
        <v/>
      </c>
      <c r="DJ456">
        <f>IF('История отказов'!AU459="","",IF(AND(COUNTIF($CP$2:$CP$3,'История отказов'!AU459)=0,COUNTIF('История отказов'!$AU$5:AU459,'История отказов'!AU459)=1),455,""))</f>
        <v/>
      </c>
      <c r="DK456">
        <f>IF('История отказов'!AY459="","",IF(AND(COUNTIF($CR$2:$CR$2,'История отказов'!AY459)=0,COUNTIF('История отказов'!$AY$5:AY459,'История отказов'!AY459)=1),455,""))</f>
        <v/>
      </c>
      <c r="DL456">
        <f>IF(DB456="","",IF(AND(COUNTIF($DA$2:$DA$47,DB456)=0,COUNTIF($DB$2:DB456,DB456)=1),455,""))</f>
        <v/>
      </c>
    </row>
    <row r="457">
      <c r="A457" s="74" t="n"/>
      <c r="B457" s="75" t="n"/>
      <c r="C457" s="76" t="n"/>
      <c r="J457" s="62" t="n"/>
      <c r="K457" s="62" t="n"/>
      <c r="L457" s="62" t="n"/>
      <c r="M457" s="62" t="n"/>
      <c r="N457" s="62" t="n"/>
      <c r="Q457" t="inlineStr">
        <is>
          <t>Достоверность</t>
        </is>
      </c>
      <c r="R457" t="inlineStr">
        <is>
          <t>Средняя</t>
        </is>
      </c>
      <c r="S457" t="inlineStr">
        <is>
          <t>Внутренняя оценка</t>
        </is>
      </c>
      <c r="T457" t="inlineStr">
        <is>
          <t>Логика оперативного реестра</t>
        </is>
      </c>
      <c r="U457" t="inlineStr">
        <is>
          <t>Не является нормативным кодом</t>
        </is>
      </c>
      <c r="V457" t="inlineStr">
        <is>
          <t>Все типы</t>
        </is>
      </c>
      <c r="DB457">
        <f>IF('История отказов'!AH460="","",'История отказов'!AH460)</f>
        <v/>
      </c>
      <c r="DC457">
        <f>IF('История отказов'!AE460="","",IF(AND(COUNTIF($CT$2:$CT$2,'История отказов'!AE460)=0,COUNTIFS('История отказов'!$F$5:F460,"ШГН",'История отказов'!$AE$5:AE460,'История отказов'!AE460)=1,'История отказов'!F460="ШГН"),456,""))</f>
        <v/>
      </c>
      <c r="DD457">
        <f>IF('История отказов'!AE460="","",IF(AND(COUNTIF($CU$2:$CU$3,'История отказов'!AE460)=0,COUNTIFS('История отказов'!$F$5:F460,"ЭЦН",'История отказов'!$AE$5:AE460,'История отказов'!AE460)=1,'История отказов'!F460="ЭЦН"),456,""))</f>
        <v/>
      </c>
      <c r="DE457">
        <f>IF('История отказов'!AE460="","",IF(AND(COUNTIF($CV$2:$CV$3,'История отказов'!AE460)=0,COUNTIFS('История отказов'!$F$5:F460,"ЭВН",'История отказов'!$AE$5:AE460,'История отказов'!AE460)=1,'История отказов'!F460="ЭВН"),456,""))</f>
        <v/>
      </c>
      <c r="DF457">
        <f>IF('История отказов'!AE460="","",IF(AND(COUNTIF($CX$2:$CX$2,'История отказов'!AE460)=0,COUNTIFS('История отказов'!$F$5:F460,"ШВН",'История отказов'!$AE$5:AE460,'История отказов'!AE460)=1,'История отказов'!F460="ШВН"),456,""))</f>
        <v/>
      </c>
      <c r="DG457">
        <f>IF('История отказов'!AE460="","",IF(AND(COUNTIF($CW$2:$CW$2,'История отказов'!AE460)=0,COUNTIFS('История отказов'!$F$5:F460,"НПУ-ВД",'История отказов'!$AE$5:AE460,'История отказов'!AE460)=1,'История отказов'!F460="НПУ-ВД"),456,""))</f>
        <v/>
      </c>
      <c r="DH457">
        <f>IF('История отказов'!AE460="","",IF(AND(COUNTIF($CY$2:$CY$6,'История отказов'!AE460)=0,COUNTIF('История отказов'!$AE$5:AE460,'История отказов'!AE460)=1),456,""))</f>
        <v/>
      </c>
      <c r="DI457">
        <f>IF('История отказов'!AK460="","",IF(AND(COUNTIF($CL$2:$CL$3,'История отказов'!AK460)=0,COUNTIF('История отказов'!$AK$5:AK460,'История отказов'!AK460)=1),456,""))</f>
        <v/>
      </c>
      <c r="DJ457">
        <f>IF('История отказов'!AU460="","",IF(AND(COUNTIF($CP$2:$CP$3,'История отказов'!AU460)=0,COUNTIF('История отказов'!$AU$5:AU460,'История отказов'!AU460)=1),456,""))</f>
        <v/>
      </c>
      <c r="DK457">
        <f>IF('История отказов'!AY460="","",IF(AND(COUNTIF($CR$2:$CR$2,'История отказов'!AY460)=0,COUNTIF('История отказов'!$AY$5:AY460,'История отказов'!AY460)=1),456,""))</f>
        <v/>
      </c>
      <c r="DL457">
        <f>IF(DB457="","",IF(AND(COUNTIF($DA$2:$DA$47,DB457)=0,COUNTIF($DB$2:DB457,DB457)=1),456,""))</f>
        <v/>
      </c>
    </row>
    <row r="458">
      <c r="A458" s="74" t="n"/>
      <c r="B458" s="75" t="n"/>
      <c r="C458" s="76" t="n"/>
      <c r="J458" s="62" t="n"/>
      <c r="K458" s="62" t="n"/>
      <c r="L458" s="62" t="n"/>
      <c r="M458" s="62" t="n"/>
      <c r="N458" s="62" t="n"/>
      <c r="Q458" t="inlineStr">
        <is>
          <t>Достоверность</t>
        </is>
      </c>
      <c r="R458" t="inlineStr">
        <is>
          <t>Высокая</t>
        </is>
      </c>
      <c r="S458" t="inlineStr">
        <is>
          <t>Внутренняя оценка</t>
        </is>
      </c>
      <c r="T458" t="inlineStr">
        <is>
          <t>Логика оперативного реестра</t>
        </is>
      </c>
      <c r="U458" t="inlineStr">
        <is>
          <t>Не является нормативным кодом</t>
        </is>
      </c>
      <c r="V458" t="inlineStr">
        <is>
          <t>Все типы</t>
        </is>
      </c>
      <c r="DB458">
        <f>IF('История отказов'!AH461="","",'История отказов'!AH461)</f>
        <v/>
      </c>
      <c r="DC458">
        <f>IF('История отказов'!AE461="","",IF(AND(COUNTIF($CT$2:$CT$2,'История отказов'!AE461)=0,COUNTIFS('История отказов'!$F$5:F461,"ШГН",'История отказов'!$AE$5:AE461,'История отказов'!AE461)=1,'История отказов'!F461="ШГН"),457,""))</f>
        <v/>
      </c>
      <c r="DD458">
        <f>IF('История отказов'!AE461="","",IF(AND(COUNTIF($CU$2:$CU$3,'История отказов'!AE461)=0,COUNTIFS('История отказов'!$F$5:F461,"ЭЦН",'История отказов'!$AE$5:AE461,'История отказов'!AE461)=1,'История отказов'!F461="ЭЦН"),457,""))</f>
        <v/>
      </c>
      <c r="DE458">
        <f>IF('История отказов'!AE461="","",IF(AND(COUNTIF($CV$2:$CV$3,'История отказов'!AE461)=0,COUNTIFS('История отказов'!$F$5:F461,"ЭВН",'История отказов'!$AE$5:AE461,'История отказов'!AE461)=1,'История отказов'!F461="ЭВН"),457,""))</f>
        <v/>
      </c>
      <c r="DF458">
        <f>IF('История отказов'!AE461="","",IF(AND(COUNTIF($CX$2:$CX$2,'История отказов'!AE461)=0,COUNTIFS('История отказов'!$F$5:F461,"ШВН",'История отказов'!$AE$5:AE461,'История отказов'!AE461)=1,'История отказов'!F461="ШВН"),457,""))</f>
        <v/>
      </c>
      <c r="DG458">
        <f>IF('История отказов'!AE461="","",IF(AND(COUNTIF($CW$2:$CW$2,'История отказов'!AE461)=0,COUNTIFS('История отказов'!$F$5:F461,"НПУ-ВД",'История отказов'!$AE$5:AE461,'История отказов'!AE461)=1,'История отказов'!F461="НПУ-ВД"),457,""))</f>
        <v/>
      </c>
      <c r="DH458">
        <f>IF('История отказов'!AE461="","",IF(AND(COUNTIF($CY$2:$CY$6,'История отказов'!AE461)=0,COUNTIF('История отказов'!$AE$5:AE461,'История отказов'!AE461)=1),457,""))</f>
        <v/>
      </c>
      <c r="DI458">
        <f>IF('История отказов'!AK461="","",IF(AND(COUNTIF($CL$2:$CL$3,'История отказов'!AK461)=0,COUNTIF('История отказов'!$AK$5:AK461,'История отказов'!AK461)=1),457,""))</f>
        <v/>
      </c>
      <c r="DJ458">
        <f>IF('История отказов'!AU461="","",IF(AND(COUNTIF($CP$2:$CP$3,'История отказов'!AU461)=0,COUNTIF('История отказов'!$AU$5:AU461,'История отказов'!AU461)=1),457,""))</f>
        <v/>
      </c>
      <c r="DK458">
        <f>IF('История отказов'!AY461="","",IF(AND(COUNTIF($CR$2:$CR$2,'История отказов'!AY461)=0,COUNTIF('История отказов'!$AY$5:AY461,'История отказов'!AY461)=1),457,""))</f>
        <v/>
      </c>
      <c r="DL458">
        <f>IF(DB458="","",IF(AND(COUNTIF($DA$2:$DA$47,DB458)=0,COUNTIF($DB$2:DB458,DB458)=1),457,""))</f>
        <v/>
      </c>
    </row>
    <row r="459">
      <c r="A459" s="74" t="n"/>
      <c r="B459" s="75" t="n"/>
      <c r="C459" s="76" t="n"/>
      <c r="J459" s="62" t="n"/>
      <c r="K459" s="62" t="n"/>
      <c r="L459" s="62" t="n"/>
      <c r="M459" s="62" t="n"/>
      <c r="N459" s="62" t="n"/>
      <c r="Q459" t="inlineStr">
        <is>
          <t>Метод борьбы (справочно)</t>
        </is>
      </c>
      <c r="R459" t="inlineStr">
        <is>
          <t>Удаление АСПО горячей нефтью</t>
        </is>
      </c>
      <c r="S459" t="inlineStr">
        <is>
          <t>Рекомендация по осложнению</t>
        </is>
      </c>
      <c r="T459" t="inlineStr">
        <is>
          <t>МУ по отнесению скважин к ОФ</t>
        </is>
      </c>
      <c r="U459" t="inlineStr">
        <is>
          <t>§5.2</t>
        </is>
      </c>
      <c r="V459" t="inlineStr">
        <is>
          <t>Не код способа эксплуатации</t>
        </is>
      </c>
      <c r="DB459">
        <f>IF('История отказов'!AH462="","",'История отказов'!AH462)</f>
        <v/>
      </c>
      <c r="DC459">
        <f>IF('История отказов'!AE462="","",IF(AND(COUNTIF($CT$2:$CT$2,'История отказов'!AE462)=0,COUNTIFS('История отказов'!$F$5:F462,"ШГН",'История отказов'!$AE$5:AE462,'История отказов'!AE462)=1,'История отказов'!F462="ШГН"),458,""))</f>
        <v/>
      </c>
      <c r="DD459">
        <f>IF('История отказов'!AE462="","",IF(AND(COUNTIF($CU$2:$CU$3,'История отказов'!AE462)=0,COUNTIFS('История отказов'!$F$5:F462,"ЭЦН",'История отказов'!$AE$5:AE462,'История отказов'!AE462)=1,'История отказов'!F462="ЭЦН"),458,""))</f>
        <v/>
      </c>
      <c r="DE459">
        <f>IF('История отказов'!AE462="","",IF(AND(COUNTIF($CV$2:$CV$3,'История отказов'!AE462)=0,COUNTIFS('История отказов'!$F$5:F462,"ЭВН",'История отказов'!$AE$5:AE462,'История отказов'!AE462)=1,'История отказов'!F462="ЭВН"),458,""))</f>
        <v/>
      </c>
      <c r="DF459">
        <f>IF('История отказов'!AE462="","",IF(AND(COUNTIF($CX$2:$CX$2,'История отказов'!AE462)=0,COUNTIFS('История отказов'!$F$5:F462,"ШВН",'История отказов'!$AE$5:AE462,'История отказов'!AE462)=1,'История отказов'!F462="ШВН"),458,""))</f>
        <v/>
      </c>
      <c r="DG459">
        <f>IF('История отказов'!AE462="","",IF(AND(COUNTIF($CW$2:$CW$2,'История отказов'!AE462)=0,COUNTIFS('История отказов'!$F$5:F462,"НПУ-ВД",'История отказов'!$AE$5:AE462,'История отказов'!AE462)=1,'История отказов'!F462="НПУ-ВД"),458,""))</f>
        <v/>
      </c>
      <c r="DH459">
        <f>IF('История отказов'!AE462="","",IF(AND(COUNTIF($CY$2:$CY$6,'История отказов'!AE462)=0,COUNTIF('История отказов'!$AE$5:AE462,'История отказов'!AE462)=1),458,""))</f>
        <v/>
      </c>
      <c r="DI459">
        <f>IF('История отказов'!AK462="","",IF(AND(COUNTIF($CL$2:$CL$3,'История отказов'!AK462)=0,COUNTIF('История отказов'!$AK$5:AK462,'История отказов'!AK462)=1),458,""))</f>
        <v/>
      </c>
      <c r="DJ459">
        <f>IF('История отказов'!AU462="","",IF(AND(COUNTIF($CP$2:$CP$3,'История отказов'!AU462)=0,COUNTIF('История отказов'!$AU$5:AU462,'История отказов'!AU462)=1),458,""))</f>
        <v/>
      </c>
      <c r="DK459">
        <f>IF('История отказов'!AY462="","",IF(AND(COUNTIF($CR$2:$CR$2,'История отказов'!AY462)=0,COUNTIF('История отказов'!$AY$5:AY462,'История отказов'!AY462)=1),458,""))</f>
        <v/>
      </c>
      <c r="DL459">
        <f>IF(DB459="","",IF(AND(COUNTIF($DA$2:$DA$47,DB459)=0,COUNTIF($DB$2:DB459,DB459)=1),458,""))</f>
        <v/>
      </c>
    </row>
    <row r="460">
      <c r="A460" s="74" t="n"/>
      <c r="B460" s="75" t="n"/>
      <c r="C460" s="76" t="n"/>
      <c r="J460" s="62" t="n"/>
      <c r="K460" s="62" t="n"/>
      <c r="L460" s="62" t="n"/>
      <c r="M460" s="62" t="n"/>
      <c r="N460" s="62" t="n"/>
      <c r="Q460" t="inlineStr">
        <is>
          <t>Метод борьбы (справочно)</t>
        </is>
      </c>
      <c r="R460" t="inlineStr">
        <is>
          <t>Удаление АСПО углеводородным растворителем</t>
        </is>
      </c>
      <c r="S460" t="inlineStr">
        <is>
          <t>Рекомендация по осложнению</t>
        </is>
      </c>
      <c r="T460" t="inlineStr">
        <is>
          <t>МУ по отнесению скважин к ОФ</t>
        </is>
      </c>
      <c r="U460" t="inlineStr">
        <is>
          <t>§5.2</t>
        </is>
      </c>
      <c r="V460" t="inlineStr">
        <is>
          <t>Не код способа эксплуатации</t>
        </is>
      </c>
      <c r="DB460">
        <f>IF('История отказов'!AH463="","",'История отказов'!AH463)</f>
        <v/>
      </c>
      <c r="DC460">
        <f>IF('История отказов'!AE463="","",IF(AND(COUNTIF($CT$2:$CT$2,'История отказов'!AE463)=0,COUNTIFS('История отказов'!$F$5:F463,"ШГН",'История отказов'!$AE$5:AE463,'История отказов'!AE463)=1,'История отказов'!F463="ШГН"),459,""))</f>
        <v/>
      </c>
      <c r="DD460">
        <f>IF('История отказов'!AE463="","",IF(AND(COUNTIF($CU$2:$CU$3,'История отказов'!AE463)=0,COUNTIFS('История отказов'!$F$5:F463,"ЭЦН",'История отказов'!$AE$5:AE463,'История отказов'!AE463)=1,'История отказов'!F463="ЭЦН"),459,""))</f>
        <v/>
      </c>
      <c r="DE460">
        <f>IF('История отказов'!AE463="","",IF(AND(COUNTIF($CV$2:$CV$3,'История отказов'!AE463)=0,COUNTIFS('История отказов'!$F$5:F463,"ЭВН",'История отказов'!$AE$5:AE463,'История отказов'!AE463)=1,'История отказов'!F463="ЭВН"),459,""))</f>
        <v/>
      </c>
      <c r="DF460">
        <f>IF('История отказов'!AE463="","",IF(AND(COUNTIF($CX$2:$CX$2,'История отказов'!AE463)=0,COUNTIFS('История отказов'!$F$5:F463,"ШВН",'История отказов'!$AE$5:AE463,'История отказов'!AE463)=1,'История отказов'!F463="ШВН"),459,""))</f>
        <v/>
      </c>
      <c r="DG460">
        <f>IF('История отказов'!AE463="","",IF(AND(COUNTIF($CW$2:$CW$2,'История отказов'!AE463)=0,COUNTIFS('История отказов'!$F$5:F463,"НПУ-ВД",'История отказов'!$AE$5:AE463,'История отказов'!AE463)=1,'История отказов'!F463="НПУ-ВД"),459,""))</f>
        <v/>
      </c>
      <c r="DH460">
        <f>IF('История отказов'!AE463="","",IF(AND(COUNTIF($CY$2:$CY$6,'История отказов'!AE463)=0,COUNTIF('История отказов'!$AE$5:AE463,'История отказов'!AE463)=1),459,""))</f>
        <v/>
      </c>
      <c r="DI460">
        <f>IF('История отказов'!AK463="","",IF(AND(COUNTIF($CL$2:$CL$3,'История отказов'!AK463)=0,COUNTIF('История отказов'!$AK$5:AK463,'История отказов'!AK463)=1),459,""))</f>
        <v/>
      </c>
      <c r="DJ460">
        <f>IF('История отказов'!AU463="","",IF(AND(COUNTIF($CP$2:$CP$3,'История отказов'!AU463)=0,COUNTIF('История отказов'!$AU$5:AU463,'История отказов'!AU463)=1),459,""))</f>
        <v/>
      </c>
      <c r="DK460">
        <f>IF('История отказов'!AY463="","",IF(AND(COUNTIF($CR$2:$CR$2,'История отказов'!AY463)=0,COUNTIF('История отказов'!$AY$5:AY463,'История отказов'!AY463)=1),459,""))</f>
        <v/>
      </c>
      <c r="DL460">
        <f>IF(DB460="","",IF(AND(COUNTIF($DA$2:$DA$47,DB460)=0,COUNTIF($DB$2:DB460,DB460)=1),459,""))</f>
        <v/>
      </c>
    </row>
    <row r="461">
      <c r="A461" s="74" t="n"/>
      <c r="B461" s="75" t="n"/>
      <c r="C461" s="76" t="n"/>
      <c r="J461" s="62" t="n"/>
      <c r="K461" s="62" t="n"/>
      <c r="L461" s="62" t="n"/>
      <c r="M461" s="62" t="n"/>
      <c r="N461" s="62" t="n"/>
      <c r="Q461" t="inlineStr">
        <is>
          <t>Метод борьбы (справочно)</t>
        </is>
      </c>
      <c r="R461" t="inlineStr">
        <is>
          <t>Дозирование ингибитора АСПО</t>
        </is>
      </c>
      <c r="S461" t="inlineStr">
        <is>
          <t>Рекомендация по осложнению</t>
        </is>
      </c>
      <c r="T461" t="inlineStr">
        <is>
          <t>МУ по отнесению скважин к ОФ</t>
        </is>
      </c>
      <c r="U461" t="inlineStr">
        <is>
          <t>§5.2</t>
        </is>
      </c>
      <c r="V461" t="inlineStr">
        <is>
          <t>Не код способа эксплуатации</t>
        </is>
      </c>
      <c r="DB461">
        <f>IF('История отказов'!AH464="","",'История отказов'!AH464)</f>
        <v/>
      </c>
      <c r="DC461">
        <f>IF('История отказов'!AE464="","",IF(AND(COUNTIF($CT$2:$CT$2,'История отказов'!AE464)=0,COUNTIFS('История отказов'!$F$5:F464,"ШГН",'История отказов'!$AE$5:AE464,'История отказов'!AE464)=1,'История отказов'!F464="ШГН"),460,""))</f>
        <v/>
      </c>
      <c r="DD461">
        <f>IF('История отказов'!AE464="","",IF(AND(COUNTIF($CU$2:$CU$3,'История отказов'!AE464)=0,COUNTIFS('История отказов'!$F$5:F464,"ЭЦН",'История отказов'!$AE$5:AE464,'История отказов'!AE464)=1,'История отказов'!F464="ЭЦН"),460,""))</f>
        <v/>
      </c>
      <c r="DE461">
        <f>IF('История отказов'!AE464="","",IF(AND(COUNTIF($CV$2:$CV$3,'История отказов'!AE464)=0,COUNTIFS('История отказов'!$F$5:F464,"ЭВН",'История отказов'!$AE$5:AE464,'История отказов'!AE464)=1,'История отказов'!F464="ЭВН"),460,""))</f>
        <v/>
      </c>
      <c r="DF461">
        <f>IF('История отказов'!AE464="","",IF(AND(COUNTIF($CX$2:$CX$2,'История отказов'!AE464)=0,COUNTIFS('История отказов'!$F$5:F464,"ШВН",'История отказов'!$AE$5:AE464,'История отказов'!AE464)=1,'История отказов'!F464="ШВН"),460,""))</f>
        <v/>
      </c>
      <c r="DG461">
        <f>IF('История отказов'!AE464="","",IF(AND(COUNTIF($CW$2:$CW$2,'История отказов'!AE464)=0,COUNTIFS('История отказов'!$F$5:F464,"НПУ-ВД",'История отказов'!$AE$5:AE464,'История отказов'!AE464)=1,'История отказов'!F464="НПУ-ВД"),460,""))</f>
        <v/>
      </c>
      <c r="DH461">
        <f>IF('История отказов'!AE464="","",IF(AND(COUNTIF($CY$2:$CY$6,'История отказов'!AE464)=0,COUNTIF('История отказов'!$AE$5:AE464,'История отказов'!AE464)=1),460,""))</f>
        <v/>
      </c>
      <c r="DI461">
        <f>IF('История отказов'!AK464="","",IF(AND(COUNTIF($CL$2:$CL$3,'История отказов'!AK464)=0,COUNTIF('История отказов'!$AK$5:AK464,'История отказов'!AK464)=1),460,""))</f>
        <v/>
      </c>
      <c r="DJ461">
        <f>IF('История отказов'!AU464="","",IF(AND(COUNTIF($CP$2:$CP$3,'История отказов'!AU464)=0,COUNTIF('История отказов'!$AU$5:AU464,'История отказов'!AU464)=1),460,""))</f>
        <v/>
      </c>
      <c r="DK461">
        <f>IF('История отказов'!AY464="","",IF(AND(COUNTIF($CR$2:$CR$2,'История отказов'!AY464)=0,COUNTIF('История отказов'!$AY$5:AY464,'История отказов'!AY464)=1),460,""))</f>
        <v/>
      </c>
      <c r="DL461">
        <f>IF(DB461="","",IF(AND(COUNTIF($DA$2:$DA$47,DB461)=0,COUNTIF($DB$2:DB461,DB461)=1),460,""))</f>
        <v/>
      </c>
    </row>
    <row r="462">
      <c r="A462" s="74" t="n"/>
      <c r="B462" s="75" t="n"/>
      <c r="C462" s="76" t="n"/>
      <c r="J462" s="62" t="n"/>
      <c r="K462" s="62" t="n"/>
      <c r="L462" s="62" t="n"/>
      <c r="M462" s="62" t="n"/>
      <c r="N462" s="62" t="n"/>
      <c r="Q462" t="inlineStr">
        <is>
          <t>Метод борьбы (справочно)</t>
        </is>
      </c>
      <c r="R462" t="inlineStr">
        <is>
          <t>Греющий кабель для предупреждения АСПО</t>
        </is>
      </c>
      <c r="S462" t="inlineStr">
        <is>
          <t>Рекомендация по осложнению</t>
        </is>
      </c>
      <c r="T462" t="inlineStr">
        <is>
          <t>МУ по отнесению скважин к ОФ</t>
        </is>
      </c>
      <c r="U462" t="inlineStr">
        <is>
          <t>§5.2</t>
        </is>
      </c>
      <c r="V462" t="inlineStr">
        <is>
          <t>Не код способа эксплуатации</t>
        </is>
      </c>
      <c r="DB462">
        <f>IF('История отказов'!AH465="","",'История отказов'!AH465)</f>
        <v/>
      </c>
      <c r="DC462">
        <f>IF('История отказов'!AE465="","",IF(AND(COUNTIF($CT$2:$CT$2,'История отказов'!AE465)=0,COUNTIFS('История отказов'!$F$5:F465,"ШГН",'История отказов'!$AE$5:AE465,'История отказов'!AE465)=1,'История отказов'!F465="ШГН"),461,""))</f>
        <v/>
      </c>
      <c r="DD462">
        <f>IF('История отказов'!AE465="","",IF(AND(COUNTIF($CU$2:$CU$3,'История отказов'!AE465)=0,COUNTIFS('История отказов'!$F$5:F465,"ЭЦН",'История отказов'!$AE$5:AE465,'История отказов'!AE465)=1,'История отказов'!F465="ЭЦН"),461,""))</f>
        <v/>
      </c>
      <c r="DE462">
        <f>IF('История отказов'!AE465="","",IF(AND(COUNTIF($CV$2:$CV$3,'История отказов'!AE465)=0,COUNTIFS('История отказов'!$F$5:F465,"ЭВН",'История отказов'!$AE$5:AE465,'История отказов'!AE465)=1,'История отказов'!F465="ЭВН"),461,""))</f>
        <v/>
      </c>
      <c r="DF462">
        <f>IF('История отказов'!AE465="","",IF(AND(COUNTIF($CX$2:$CX$2,'История отказов'!AE465)=0,COUNTIFS('История отказов'!$F$5:F465,"ШВН",'История отказов'!$AE$5:AE465,'История отказов'!AE465)=1,'История отказов'!F465="ШВН"),461,""))</f>
        <v/>
      </c>
      <c r="DG462">
        <f>IF('История отказов'!AE465="","",IF(AND(COUNTIF($CW$2:$CW$2,'История отказов'!AE465)=0,COUNTIFS('История отказов'!$F$5:F465,"НПУ-ВД",'История отказов'!$AE$5:AE465,'История отказов'!AE465)=1,'История отказов'!F465="НПУ-ВД"),461,""))</f>
        <v/>
      </c>
      <c r="DH462">
        <f>IF('История отказов'!AE465="","",IF(AND(COUNTIF($CY$2:$CY$6,'История отказов'!AE465)=0,COUNTIF('История отказов'!$AE$5:AE465,'История отказов'!AE465)=1),461,""))</f>
        <v/>
      </c>
      <c r="DI462">
        <f>IF('История отказов'!AK465="","",IF(AND(COUNTIF($CL$2:$CL$3,'История отказов'!AK465)=0,COUNTIF('История отказов'!$AK$5:AK465,'История отказов'!AK465)=1),461,""))</f>
        <v/>
      </c>
      <c r="DJ462">
        <f>IF('История отказов'!AU465="","",IF(AND(COUNTIF($CP$2:$CP$3,'История отказов'!AU465)=0,COUNTIF('История отказов'!$AU$5:AU465,'История отказов'!AU465)=1),461,""))</f>
        <v/>
      </c>
      <c r="DK462">
        <f>IF('История отказов'!AY465="","",IF(AND(COUNTIF($CR$2:$CR$2,'История отказов'!AY465)=0,COUNTIF('История отказов'!$AY$5:AY465,'История отказов'!AY465)=1),461,""))</f>
        <v/>
      </c>
      <c r="DL462">
        <f>IF(DB462="","",IF(AND(COUNTIF($DA$2:$DA$47,DB462)=0,COUNTIF($DB$2:DB462,DB462)=1),461,""))</f>
        <v/>
      </c>
    </row>
    <row r="463">
      <c r="A463" s="74" t="n"/>
      <c r="B463" s="75" t="n"/>
      <c r="C463" s="76" t="n"/>
      <c r="J463" s="62" t="n"/>
      <c r="K463" s="62" t="n"/>
      <c r="L463" s="62" t="n"/>
      <c r="M463" s="62" t="n"/>
      <c r="N463" s="62" t="n"/>
      <c r="Q463" t="inlineStr">
        <is>
          <t>Метод борьбы (справочно)</t>
        </is>
      </c>
      <c r="R463" t="inlineStr">
        <is>
          <t>Дозирование ингибитора коррозии</t>
        </is>
      </c>
      <c r="S463" t="inlineStr">
        <is>
          <t>Рекомендация по осложнению</t>
        </is>
      </c>
      <c r="T463" t="inlineStr">
        <is>
          <t>МУ по отнесению скважин к ОФ</t>
        </is>
      </c>
      <c r="U463" t="inlineStr">
        <is>
          <t>§6.2</t>
        </is>
      </c>
      <c r="V463" t="inlineStr">
        <is>
          <t>Не код способа эксплуатации</t>
        </is>
      </c>
      <c r="DB463">
        <f>IF('История отказов'!AH466="","",'История отказов'!AH466)</f>
        <v/>
      </c>
      <c r="DC463">
        <f>IF('История отказов'!AE466="","",IF(AND(COUNTIF($CT$2:$CT$2,'История отказов'!AE466)=0,COUNTIFS('История отказов'!$F$5:F466,"ШГН",'История отказов'!$AE$5:AE466,'История отказов'!AE466)=1,'История отказов'!F466="ШГН"),462,""))</f>
        <v/>
      </c>
      <c r="DD463">
        <f>IF('История отказов'!AE466="","",IF(AND(COUNTIF($CU$2:$CU$3,'История отказов'!AE466)=0,COUNTIFS('История отказов'!$F$5:F466,"ЭЦН",'История отказов'!$AE$5:AE466,'История отказов'!AE466)=1,'История отказов'!F466="ЭЦН"),462,""))</f>
        <v/>
      </c>
      <c r="DE463">
        <f>IF('История отказов'!AE466="","",IF(AND(COUNTIF($CV$2:$CV$3,'История отказов'!AE466)=0,COUNTIFS('История отказов'!$F$5:F466,"ЭВН",'История отказов'!$AE$5:AE466,'История отказов'!AE466)=1,'История отказов'!F466="ЭВН"),462,""))</f>
        <v/>
      </c>
      <c r="DF463">
        <f>IF('История отказов'!AE466="","",IF(AND(COUNTIF($CX$2:$CX$2,'История отказов'!AE466)=0,COUNTIFS('История отказов'!$F$5:F466,"ШВН",'История отказов'!$AE$5:AE466,'История отказов'!AE466)=1,'История отказов'!F466="ШВН"),462,""))</f>
        <v/>
      </c>
      <c r="DG463">
        <f>IF('История отказов'!AE466="","",IF(AND(COUNTIF($CW$2:$CW$2,'История отказов'!AE466)=0,COUNTIFS('История отказов'!$F$5:F466,"НПУ-ВД",'История отказов'!$AE$5:AE466,'История отказов'!AE466)=1,'История отказов'!F466="НПУ-ВД"),462,""))</f>
        <v/>
      </c>
      <c r="DH463">
        <f>IF('История отказов'!AE466="","",IF(AND(COUNTIF($CY$2:$CY$6,'История отказов'!AE466)=0,COUNTIF('История отказов'!$AE$5:AE466,'История отказов'!AE466)=1),462,""))</f>
        <v/>
      </c>
      <c r="DI463">
        <f>IF('История отказов'!AK466="","",IF(AND(COUNTIF($CL$2:$CL$3,'История отказов'!AK466)=0,COUNTIF('История отказов'!$AK$5:AK466,'История отказов'!AK466)=1),462,""))</f>
        <v/>
      </c>
      <c r="DJ463">
        <f>IF('История отказов'!AU466="","",IF(AND(COUNTIF($CP$2:$CP$3,'История отказов'!AU466)=0,COUNTIF('История отказов'!$AU$5:AU466,'История отказов'!AU466)=1),462,""))</f>
        <v/>
      </c>
      <c r="DK463">
        <f>IF('История отказов'!AY466="","",IF(AND(COUNTIF($CR$2:$CR$2,'История отказов'!AY466)=0,COUNTIF('История отказов'!$AY$5:AY466,'История отказов'!AY466)=1),462,""))</f>
        <v/>
      </c>
      <c r="DL463">
        <f>IF(DB463="","",IF(AND(COUNTIF($DA$2:$DA$47,DB463)=0,COUNTIF($DB$2:DB463,DB463)=1),462,""))</f>
        <v/>
      </c>
    </row>
    <row r="464">
      <c r="A464" s="74" t="n"/>
      <c r="B464" s="75" t="n"/>
      <c r="C464" s="76" t="n"/>
      <c r="J464" s="62" t="n"/>
      <c r="K464" s="62" t="n"/>
      <c r="L464" s="62" t="n"/>
      <c r="M464" s="62" t="n"/>
      <c r="N464" s="62" t="n"/>
      <c r="Q464" t="inlineStr">
        <is>
          <t>Метод борьбы (справочно)</t>
        </is>
      </c>
      <c r="R464" t="inlineStr">
        <is>
          <t>Коррозионностойкий материал / покрытие</t>
        </is>
      </c>
      <c r="S464" t="inlineStr">
        <is>
          <t>Рекомендация по осложнению</t>
        </is>
      </c>
      <c r="T464" t="inlineStr">
        <is>
          <t>МУ по отнесению скважин к ОФ</t>
        </is>
      </c>
      <c r="U464" t="inlineStr">
        <is>
          <t>§6.2</t>
        </is>
      </c>
      <c r="V464" t="inlineStr">
        <is>
          <t>Не код способа эксплуатации</t>
        </is>
      </c>
      <c r="DB464">
        <f>IF('История отказов'!AH467="","",'История отказов'!AH467)</f>
        <v/>
      </c>
      <c r="DC464">
        <f>IF('История отказов'!AE467="","",IF(AND(COUNTIF($CT$2:$CT$2,'История отказов'!AE467)=0,COUNTIFS('История отказов'!$F$5:F467,"ШГН",'История отказов'!$AE$5:AE467,'История отказов'!AE467)=1,'История отказов'!F467="ШГН"),463,""))</f>
        <v/>
      </c>
      <c r="DD464">
        <f>IF('История отказов'!AE467="","",IF(AND(COUNTIF($CU$2:$CU$3,'История отказов'!AE467)=0,COUNTIFS('История отказов'!$F$5:F467,"ЭЦН",'История отказов'!$AE$5:AE467,'История отказов'!AE467)=1,'История отказов'!F467="ЭЦН"),463,""))</f>
        <v/>
      </c>
      <c r="DE464">
        <f>IF('История отказов'!AE467="","",IF(AND(COUNTIF($CV$2:$CV$3,'История отказов'!AE467)=0,COUNTIFS('История отказов'!$F$5:F467,"ЭВН",'История отказов'!$AE$5:AE467,'История отказов'!AE467)=1,'История отказов'!F467="ЭВН"),463,""))</f>
        <v/>
      </c>
      <c r="DF464">
        <f>IF('История отказов'!AE467="","",IF(AND(COUNTIF($CX$2:$CX$2,'История отказов'!AE467)=0,COUNTIFS('История отказов'!$F$5:F467,"ШВН",'История отказов'!$AE$5:AE467,'История отказов'!AE467)=1,'История отказов'!F467="ШВН"),463,""))</f>
        <v/>
      </c>
      <c r="DG464">
        <f>IF('История отказов'!AE467="","",IF(AND(COUNTIF($CW$2:$CW$2,'История отказов'!AE467)=0,COUNTIFS('История отказов'!$F$5:F467,"НПУ-ВД",'История отказов'!$AE$5:AE467,'История отказов'!AE467)=1,'История отказов'!F467="НПУ-ВД"),463,""))</f>
        <v/>
      </c>
      <c r="DH464">
        <f>IF('История отказов'!AE467="","",IF(AND(COUNTIF($CY$2:$CY$6,'История отказов'!AE467)=0,COUNTIF('История отказов'!$AE$5:AE467,'История отказов'!AE467)=1),463,""))</f>
        <v/>
      </c>
      <c r="DI464">
        <f>IF('История отказов'!AK467="","",IF(AND(COUNTIF($CL$2:$CL$3,'История отказов'!AK467)=0,COUNTIF('История отказов'!$AK$5:AK467,'История отказов'!AK467)=1),463,""))</f>
        <v/>
      </c>
      <c r="DJ464">
        <f>IF('История отказов'!AU467="","",IF(AND(COUNTIF($CP$2:$CP$3,'История отказов'!AU467)=0,COUNTIF('История отказов'!$AU$5:AU467,'История отказов'!AU467)=1),463,""))</f>
        <v/>
      </c>
      <c r="DK464">
        <f>IF('История отказов'!AY467="","",IF(AND(COUNTIF($CR$2:$CR$2,'История отказов'!AY467)=0,COUNTIF('История отказов'!$AY$5:AY467,'История отказов'!AY467)=1),463,""))</f>
        <v/>
      </c>
      <c r="DL464">
        <f>IF(DB464="","",IF(AND(COUNTIF($DA$2:$DA$47,DB464)=0,COUNTIF($DB$2:DB464,DB464)=1),463,""))</f>
        <v/>
      </c>
    </row>
    <row r="465">
      <c r="A465" s="74" t="n"/>
      <c r="B465" s="75" t="n"/>
      <c r="C465" s="76" t="n"/>
      <c r="J465" s="62" t="n"/>
      <c r="K465" s="62" t="n"/>
      <c r="L465" s="62" t="n"/>
      <c r="M465" s="62" t="n"/>
      <c r="N465" s="62" t="n"/>
      <c r="Q465" t="inlineStr">
        <is>
          <t>Метод борьбы (справочно)</t>
        </is>
      </c>
      <c r="R465" t="inlineStr">
        <is>
          <t>Погружной протектор</t>
        </is>
      </c>
      <c r="S465" t="inlineStr">
        <is>
          <t>Рекомендация по осложнению</t>
        </is>
      </c>
      <c r="T465" t="inlineStr">
        <is>
          <t>МУ по отнесению скважин к ОФ</t>
        </is>
      </c>
      <c r="U465" t="inlineStr">
        <is>
          <t>§6.2</t>
        </is>
      </c>
      <c r="V465" t="inlineStr">
        <is>
          <t>Не код способа эксплуатации</t>
        </is>
      </c>
      <c r="DB465">
        <f>IF('История отказов'!AH468="","",'История отказов'!AH468)</f>
        <v/>
      </c>
      <c r="DC465">
        <f>IF('История отказов'!AE468="","",IF(AND(COUNTIF($CT$2:$CT$2,'История отказов'!AE468)=0,COUNTIFS('История отказов'!$F$5:F468,"ШГН",'История отказов'!$AE$5:AE468,'История отказов'!AE468)=1,'История отказов'!F468="ШГН"),464,""))</f>
        <v/>
      </c>
      <c r="DD465">
        <f>IF('История отказов'!AE468="","",IF(AND(COUNTIF($CU$2:$CU$3,'История отказов'!AE468)=0,COUNTIFS('История отказов'!$F$5:F468,"ЭЦН",'История отказов'!$AE$5:AE468,'История отказов'!AE468)=1,'История отказов'!F468="ЭЦН"),464,""))</f>
        <v/>
      </c>
      <c r="DE465">
        <f>IF('История отказов'!AE468="","",IF(AND(COUNTIF($CV$2:$CV$3,'История отказов'!AE468)=0,COUNTIFS('История отказов'!$F$5:F468,"ЭВН",'История отказов'!$AE$5:AE468,'История отказов'!AE468)=1,'История отказов'!F468="ЭВН"),464,""))</f>
        <v/>
      </c>
      <c r="DF465">
        <f>IF('История отказов'!AE468="","",IF(AND(COUNTIF($CX$2:$CX$2,'История отказов'!AE468)=0,COUNTIFS('История отказов'!$F$5:F468,"ШВН",'История отказов'!$AE$5:AE468,'История отказов'!AE468)=1,'История отказов'!F468="ШВН"),464,""))</f>
        <v/>
      </c>
      <c r="DG465">
        <f>IF('История отказов'!AE468="","",IF(AND(COUNTIF($CW$2:$CW$2,'История отказов'!AE468)=0,COUNTIFS('История отказов'!$F$5:F468,"НПУ-ВД",'История отказов'!$AE$5:AE468,'История отказов'!AE468)=1,'История отказов'!F468="НПУ-ВД"),464,""))</f>
        <v/>
      </c>
      <c r="DH465">
        <f>IF('История отказов'!AE468="","",IF(AND(COUNTIF($CY$2:$CY$6,'История отказов'!AE468)=0,COUNTIF('История отказов'!$AE$5:AE468,'История отказов'!AE468)=1),464,""))</f>
        <v/>
      </c>
      <c r="DI465">
        <f>IF('История отказов'!AK468="","",IF(AND(COUNTIF($CL$2:$CL$3,'История отказов'!AK468)=0,COUNTIF('История отказов'!$AK$5:AK468,'История отказов'!AK468)=1),464,""))</f>
        <v/>
      </c>
      <c r="DJ465">
        <f>IF('История отказов'!AU468="","",IF(AND(COUNTIF($CP$2:$CP$3,'История отказов'!AU468)=0,COUNTIF('История отказов'!$AU$5:AU468,'История отказов'!AU468)=1),464,""))</f>
        <v/>
      </c>
      <c r="DK465">
        <f>IF('История отказов'!AY468="","",IF(AND(COUNTIF($CR$2:$CR$2,'История отказов'!AY468)=0,COUNTIF('История отказов'!$AY$5:AY468,'История отказов'!AY468)=1),464,""))</f>
        <v/>
      </c>
      <c r="DL465">
        <f>IF(DB465="","",IF(AND(COUNTIF($DA$2:$DA$47,DB465)=0,COUNTIF($DB$2:DB465,DB465)=1),464,""))</f>
        <v/>
      </c>
    </row>
    <row r="466">
      <c r="A466" s="74" t="n"/>
      <c r="B466" s="75" t="n"/>
      <c r="C466" s="76" t="n"/>
      <c r="J466" s="62" t="n"/>
      <c r="K466" s="62" t="n"/>
      <c r="L466" s="62" t="n"/>
      <c r="M466" s="62" t="n"/>
      <c r="N466" s="62" t="n"/>
      <c r="Q466" t="inlineStr">
        <is>
          <t>Метод борьбы (справочно)</t>
        </is>
      </c>
      <c r="R466" t="inlineStr">
        <is>
          <t>Деэмульгатор при высоковязкой эмульсии</t>
        </is>
      </c>
      <c r="S466" t="inlineStr">
        <is>
          <t>Рекомендация по осложнению</t>
        </is>
      </c>
      <c r="T466" t="inlineStr">
        <is>
          <t>МУ по отнесению скважин к ОФ</t>
        </is>
      </c>
      <c r="U466" t="inlineStr">
        <is>
          <t>§7.2</t>
        </is>
      </c>
      <c r="V466" t="inlineStr">
        <is>
          <t>Не код способа эксплуатации</t>
        </is>
      </c>
      <c r="DB466">
        <f>IF('История отказов'!AH469="","",'История отказов'!AH469)</f>
        <v/>
      </c>
      <c r="DC466">
        <f>IF('История отказов'!AE469="","",IF(AND(COUNTIF($CT$2:$CT$2,'История отказов'!AE469)=0,COUNTIFS('История отказов'!$F$5:F469,"ШГН",'История отказов'!$AE$5:AE469,'История отказов'!AE469)=1,'История отказов'!F469="ШГН"),465,""))</f>
        <v/>
      </c>
      <c r="DD466">
        <f>IF('История отказов'!AE469="","",IF(AND(COUNTIF($CU$2:$CU$3,'История отказов'!AE469)=0,COUNTIFS('История отказов'!$F$5:F469,"ЭЦН",'История отказов'!$AE$5:AE469,'История отказов'!AE469)=1,'История отказов'!F469="ЭЦН"),465,""))</f>
        <v/>
      </c>
      <c r="DE466">
        <f>IF('История отказов'!AE469="","",IF(AND(COUNTIF($CV$2:$CV$3,'История отказов'!AE469)=0,COUNTIFS('История отказов'!$F$5:F469,"ЭВН",'История отказов'!$AE$5:AE469,'История отказов'!AE469)=1,'История отказов'!F469="ЭВН"),465,""))</f>
        <v/>
      </c>
      <c r="DF466">
        <f>IF('История отказов'!AE469="","",IF(AND(COUNTIF($CX$2:$CX$2,'История отказов'!AE469)=0,COUNTIFS('История отказов'!$F$5:F469,"ШВН",'История отказов'!$AE$5:AE469,'История отказов'!AE469)=1,'История отказов'!F469="ШВН"),465,""))</f>
        <v/>
      </c>
      <c r="DG466">
        <f>IF('История отказов'!AE469="","",IF(AND(COUNTIF($CW$2:$CW$2,'История отказов'!AE469)=0,COUNTIFS('История отказов'!$F$5:F469,"НПУ-ВД",'История отказов'!$AE$5:AE469,'История отказов'!AE469)=1,'История отказов'!F469="НПУ-ВД"),465,""))</f>
        <v/>
      </c>
      <c r="DH466">
        <f>IF('История отказов'!AE469="","",IF(AND(COUNTIF($CY$2:$CY$6,'История отказов'!AE469)=0,COUNTIF('История отказов'!$AE$5:AE469,'История отказов'!AE469)=1),465,""))</f>
        <v/>
      </c>
      <c r="DI466">
        <f>IF('История отказов'!AK469="","",IF(AND(COUNTIF($CL$2:$CL$3,'История отказов'!AK469)=0,COUNTIF('История отказов'!$AK$5:AK469,'История отказов'!AK469)=1),465,""))</f>
        <v/>
      </c>
      <c r="DJ466">
        <f>IF('История отказов'!AU469="","",IF(AND(COUNTIF($CP$2:$CP$3,'История отказов'!AU469)=0,COUNTIF('История отказов'!$AU$5:AU469,'История отказов'!AU469)=1),465,""))</f>
        <v/>
      </c>
      <c r="DK466">
        <f>IF('История отказов'!AY469="","",IF(AND(COUNTIF($CR$2:$CR$2,'История отказов'!AY469)=0,COUNTIF('История отказов'!$AY$5:AY469,'История отказов'!AY469)=1),465,""))</f>
        <v/>
      </c>
      <c r="DL466">
        <f>IF(DB466="","",IF(AND(COUNTIF($DA$2:$DA$47,DB466)=0,COUNTIF($DB$2:DB466,DB466)=1),465,""))</f>
        <v/>
      </c>
    </row>
    <row r="467">
      <c r="A467" s="74" t="n"/>
      <c r="B467" s="75" t="n"/>
      <c r="C467" s="76" t="n"/>
      <c r="J467" s="62" t="n"/>
      <c r="K467" s="62" t="n"/>
      <c r="L467" s="62" t="n"/>
      <c r="M467" s="62" t="n"/>
      <c r="N467" s="62" t="n"/>
      <c r="Q467" t="inlineStr">
        <is>
          <t>Метод борьбы (справочно)</t>
        </is>
      </c>
      <c r="R467" t="inlineStr">
        <is>
          <t>Насос для высоковязкой продукции</t>
        </is>
      </c>
      <c r="S467" t="inlineStr">
        <is>
          <t>Рекомендация по осложнению</t>
        </is>
      </c>
      <c r="T467" t="inlineStr">
        <is>
          <t>МУ по отнесению скважин к ОФ</t>
        </is>
      </c>
      <c r="U467" t="inlineStr">
        <is>
          <t>§7.2</t>
        </is>
      </c>
      <c r="V467" t="inlineStr">
        <is>
          <t>Не код способа эксплуатации</t>
        </is>
      </c>
      <c r="DB467">
        <f>IF('История отказов'!AH470="","",'История отказов'!AH470)</f>
        <v/>
      </c>
      <c r="DC467">
        <f>IF('История отказов'!AE470="","",IF(AND(COUNTIF($CT$2:$CT$2,'История отказов'!AE470)=0,COUNTIFS('История отказов'!$F$5:F470,"ШГН",'История отказов'!$AE$5:AE470,'История отказов'!AE470)=1,'История отказов'!F470="ШГН"),466,""))</f>
        <v/>
      </c>
      <c r="DD467">
        <f>IF('История отказов'!AE470="","",IF(AND(COUNTIF($CU$2:$CU$3,'История отказов'!AE470)=0,COUNTIFS('История отказов'!$F$5:F470,"ЭЦН",'История отказов'!$AE$5:AE470,'История отказов'!AE470)=1,'История отказов'!F470="ЭЦН"),466,""))</f>
        <v/>
      </c>
      <c r="DE467">
        <f>IF('История отказов'!AE470="","",IF(AND(COUNTIF($CV$2:$CV$3,'История отказов'!AE470)=0,COUNTIFS('История отказов'!$F$5:F470,"ЭВН",'История отказов'!$AE$5:AE470,'История отказов'!AE470)=1,'История отказов'!F470="ЭВН"),466,""))</f>
        <v/>
      </c>
      <c r="DF467">
        <f>IF('История отказов'!AE470="","",IF(AND(COUNTIF($CX$2:$CX$2,'История отказов'!AE470)=0,COUNTIFS('История отказов'!$F$5:F470,"ШВН",'История отказов'!$AE$5:AE470,'История отказов'!AE470)=1,'История отказов'!F470="ШВН"),466,""))</f>
        <v/>
      </c>
      <c r="DG467">
        <f>IF('История отказов'!AE470="","",IF(AND(COUNTIF($CW$2:$CW$2,'История отказов'!AE470)=0,COUNTIFS('История отказов'!$F$5:F470,"НПУ-ВД",'История отказов'!$AE$5:AE470,'История отказов'!AE470)=1,'История отказов'!F470="НПУ-ВД"),466,""))</f>
        <v/>
      </c>
      <c r="DH467">
        <f>IF('История отказов'!AE470="","",IF(AND(COUNTIF($CY$2:$CY$6,'История отказов'!AE470)=0,COUNTIF('История отказов'!$AE$5:AE470,'История отказов'!AE470)=1),466,""))</f>
        <v/>
      </c>
      <c r="DI467">
        <f>IF('История отказов'!AK470="","",IF(AND(COUNTIF($CL$2:$CL$3,'История отказов'!AK470)=0,COUNTIF('История отказов'!$AK$5:AK470,'История отказов'!AK470)=1),466,""))</f>
        <v/>
      </c>
      <c r="DJ467">
        <f>IF('История отказов'!AU470="","",IF(AND(COUNTIF($CP$2:$CP$3,'История отказов'!AU470)=0,COUNTIF('История отказов'!$AU$5:AU470,'История отказов'!AU470)=1),466,""))</f>
        <v/>
      </c>
      <c r="DK467">
        <f>IF('История отказов'!AY470="","",IF(AND(COUNTIF($CR$2:$CR$2,'История отказов'!AY470)=0,COUNTIF('История отказов'!$AY$5:AY470,'История отказов'!AY470)=1),466,""))</f>
        <v/>
      </c>
      <c r="DL467">
        <f>IF(DB467="","",IF(AND(COUNTIF($DA$2:$DA$47,DB467)=0,COUNTIF($DB$2:DB467,DB467)=1),466,""))</f>
        <v/>
      </c>
    </row>
    <row r="468">
      <c r="A468" s="74" t="n"/>
      <c r="B468" s="75" t="n"/>
      <c r="C468" s="76" t="n"/>
      <c r="J468" s="62" t="n"/>
      <c r="K468" s="62" t="n"/>
      <c r="L468" s="62" t="n"/>
      <c r="M468" s="62" t="n"/>
      <c r="N468" s="62" t="n"/>
      <c r="Q468" t="inlineStr">
        <is>
          <t>Метод борьбы (справочно)</t>
        </is>
      </c>
      <c r="R468" t="inlineStr">
        <is>
          <t>НКТ большего диаметра</t>
        </is>
      </c>
      <c r="S468" t="inlineStr">
        <is>
          <t>Рекомендация по осложнению</t>
        </is>
      </c>
      <c r="T468" t="inlineStr">
        <is>
          <t>МУ по отнесению скважин к ОФ</t>
        </is>
      </c>
      <c r="U468" t="inlineStr">
        <is>
          <t>§7.2</t>
        </is>
      </c>
      <c r="V468" t="inlineStr">
        <is>
          <t>Не код способа эксплуатации</t>
        </is>
      </c>
      <c r="DB468">
        <f>IF('История отказов'!AH471="","",'История отказов'!AH471)</f>
        <v/>
      </c>
      <c r="DC468">
        <f>IF('История отказов'!AE471="","",IF(AND(COUNTIF($CT$2:$CT$2,'История отказов'!AE471)=0,COUNTIFS('История отказов'!$F$5:F471,"ШГН",'История отказов'!$AE$5:AE471,'История отказов'!AE471)=1,'История отказов'!F471="ШГН"),467,""))</f>
        <v/>
      </c>
      <c r="DD468">
        <f>IF('История отказов'!AE471="","",IF(AND(COUNTIF($CU$2:$CU$3,'История отказов'!AE471)=0,COUNTIFS('История отказов'!$F$5:F471,"ЭЦН",'История отказов'!$AE$5:AE471,'История отказов'!AE471)=1,'История отказов'!F471="ЭЦН"),467,""))</f>
        <v/>
      </c>
      <c r="DE468">
        <f>IF('История отказов'!AE471="","",IF(AND(COUNTIF($CV$2:$CV$3,'История отказов'!AE471)=0,COUNTIFS('История отказов'!$F$5:F471,"ЭВН",'История отказов'!$AE$5:AE471,'История отказов'!AE471)=1,'История отказов'!F471="ЭВН"),467,""))</f>
        <v/>
      </c>
      <c r="DF468">
        <f>IF('История отказов'!AE471="","",IF(AND(COUNTIF($CX$2:$CX$2,'История отказов'!AE471)=0,COUNTIFS('История отказов'!$F$5:F471,"ШВН",'История отказов'!$AE$5:AE471,'История отказов'!AE471)=1,'История отказов'!F471="ШВН"),467,""))</f>
        <v/>
      </c>
      <c r="DG468">
        <f>IF('История отказов'!AE471="","",IF(AND(COUNTIF($CW$2:$CW$2,'История отказов'!AE471)=0,COUNTIFS('История отказов'!$F$5:F471,"НПУ-ВД",'История отказов'!$AE$5:AE471,'История отказов'!AE471)=1,'История отказов'!F471="НПУ-ВД"),467,""))</f>
        <v/>
      </c>
      <c r="DH468">
        <f>IF('История отказов'!AE471="","",IF(AND(COUNTIF($CY$2:$CY$6,'История отказов'!AE471)=0,COUNTIF('История отказов'!$AE$5:AE471,'История отказов'!AE471)=1),467,""))</f>
        <v/>
      </c>
      <c r="DI468">
        <f>IF('История отказов'!AK471="","",IF(AND(COUNTIF($CL$2:$CL$3,'История отказов'!AK471)=0,COUNTIF('История отказов'!$AK$5:AK471,'История отказов'!AK471)=1),467,""))</f>
        <v/>
      </c>
      <c r="DJ468">
        <f>IF('История отказов'!AU471="","",IF(AND(COUNTIF($CP$2:$CP$3,'История отказов'!AU471)=0,COUNTIF('История отказов'!$AU$5:AU471,'История отказов'!AU471)=1),467,""))</f>
        <v/>
      </c>
      <c r="DK468">
        <f>IF('История отказов'!AY471="","",IF(AND(COUNTIF($CR$2:$CR$2,'История отказов'!AY471)=0,COUNTIF('История отказов'!$AY$5:AY471,'История отказов'!AY471)=1),467,""))</f>
        <v/>
      </c>
      <c r="DL468">
        <f>IF(DB468="","",IF(AND(COUNTIF($DA$2:$DA$47,DB468)=0,COUNTIF($DB$2:DB468,DB468)=1),467,""))</f>
        <v/>
      </c>
    </row>
    <row r="469">
      <c r="A469" s="74" t="n"/>
      <c r="B469" s="75" t="n"/>
      <c r="C469" s="76" t="n"/>
      <c r="J469" s="62" t="n"/>
      <c r="K469" s="62" t="n"/>
      <c r="L469" s="62" t="n"/>
      <c r="M469" s="62" t="n"/>
      <c r="N469" s="62" t="n"/>
      <c r="Q469" t="inlineStr">
        <is>
          <t>Метод борьбы (справочно)</t>
        </is>
      </c>
      <c r="R469" t="inlineStr">
        <is>
          <t>Удаление солеотложений</t>
        </is>
      </c>
      <c r="S469" t="inlineStr">
        <is>
          <t>Рекомендация по осложнению</t>
        </is>
      </c>
      <c r="T469" t="inlineStr">
        <is>
          <t>МУ по отнесению скважин к ОФ</t>
        </is>
      </c>
      <c r="U469" t="inlineStr">
        <is>
          <t>§8.2</t>
        </is>
      </c>
      <c r="V469" t="inlineStr">
        <is>
          <t>Не код способа эксплуатации</t>
        </is>
      </c>
      <c r="DB469">
        <f>IF('История отказов'!AH472="","",'История отказов'!AH472)</f>
        <v/>
      </c>
      <c r="DC469">
        <f>IF('История отказов'!AE472="","",IF(AND(COUNTIF($CT$2:$CT$2,'История отказов'!AE472)=0,COUNTIFS('История отказов'!$F$5:F472,"ШГН",'История отказов'!$AE$5:AE472,'История отказов'!AE472)=1,'История отказов'!F472="ШГН"),468,""))</f>
        <v/>
      </c>
      <c r="DD469">
        <f>IF('История отказов'!AE472="","",IF(AND(COUNTIF($CU$2:$CU$3,'История отказов'!AE472)=0,COUNTIFS('История отказов'!$F$5:F472,"ЭЦН",'История отказов'!$AE$5:AE472,'История отказов'!AE472)=1,'История отказов'!F472="ЭЦН"),468,""))</f>
        <v/>
      </c>
      <c r="DE469">
        <f>IF('История отказов'!AE472="","",IF(AND(COUNTIF($CV$2:$CV$3,'История отказов'!AE472)=0,COUNTIFS('История отказов'!$F$5:F472,"ЭВН",'История отказов'!$AE$5:AE472,'История отказов'!AE472)=1,'История отказов'!F472="ЭВН"),468,""))</f>
        <v/>
      </c>
      <c r="DF469">
        <f>IF('История отказов'!AE472="","",IF(AND(COUNTIF($CX$2:$CX$2,'История отказов'!AE472)=0,COUNTIFS('История отказов'!$F$5:F472,"ШВН",'История отказов'!$AE$5:AE472,'История отказов'!AE472)=1,'История отказов'!F472="ШВН"),468,""))</f>
        <v/>
      </c>
      <c r="DG469">
        <f>IF('История отказов'!AE472="","",IF(AND(COUNTIF($CW$2:$CW$2,'История отказов'!AE472)=0,COUNTIFS('История отказов'!$F$5:F472,"НПУ-ВД",'История отказов'!$AE$5:AE472,'История отказов'!AE472)=1,'История отказов'!F472="НПУ-ВД"),468,""))</f>
        <v/>
      </c>
      <c r="DH469">
        <f>IF('История отказов'!AE472="","",IF(AND(COUNTIF($CY$2:$CY$6,'История отказов'!AE472)=0,COUNTIF('История отказов'!$AE$5:AE472,'История отказов'!AE472)=1),468,""))</f>
        <v/>
      </c>
      <c r="DI469">
        <f>IF('История отказов'!AK472="","",IF(AND(COUNTIF($CL$2:$CL$3,'История отказов'!AK472)=0,COUNTIF('История отказов'!$AK$5:AK472,'История отказов'!AK472)=1),468,""))</f>
        <v/>
      </c>
      <c r="DJ469">
        <f>IF('История отказов'!AU472="","",IF(AND(COUNTIF($CP$2:$CP$3,'История отказов'!AU472)=0,COUNTIF('История отказов'!$AU$5:AU472,'История отказов'!AU472)=1),468,""))</f>
        <v/>
      </c>
      <c r="DK469">
        <f>IF('История отказов'!AY472="","",IF(AND(COUNTIF($CR$2:$CR$2,'История отказов'!AY472)=0,COUNTIF('История отказов'!$AY$5:AY472,'История отказов'!AY472)=1),468,""))</f>
        <v/>
      </c>
      <c r="DL469">
        <f>IF(DB469="","",IF(AND(COUNTIF($DA$2:$DA$47,DB469)=0,COUNTIF($DB$2:DB469,DB469)=1),468,""))</f>
        <v/>
      </c>
    </row>
    <row r="470">
      <c r="A470" s="74" t="n"/>
      <c r="B470" s="75" t="n"/>
      <c r="C470" s="76" t="n"/>
      <c r="J470" s="62" t="n"/>
      <c r="K470" s="62" t="n"/>
      <c r="L470" s="62" t="n"/>
      <c r="M470" s="62" t="n"/>
      <c r="N470" s="62" t="n"/>
      <c r="Q470" t="inlineStr">
        <is>
          <t>Метод борьбы (справочно)</t>
        </is>
      </c>
      <c r="R470" t="inlineStr">
        <is>
          <t>Дозирование ингибитора солеотложений</t>
        </is>
      </c>
      <c r="S470" t="inlineStr">
        <is>
          <t>Рекомендация по осложнению</t>
        </is>
      </c>
      <c r="T470" t="inlineStr">
        <is>
          <t>МУ по отнесению скважин к ОФ</t>
        </is>
      </c>
      <c r="U470" t="inlineStr">
        <is>
          <t>§8.2</t>
        </is>
      </c>
      <c r="V470" t="inlineStr">
        <is>
          <t>Не код способа эксплуатации</t>
        </is>
      </c>
      <c r="DB470">
        <f>IF('История отказов'!AH473="","",'История отказов'!AH473)</f>
        <v/>
      </c>
      <c r="DC470">
        <f>IF('История отказов'!AE473="","",IF(AND(COUNTIF($CT$2:$CT$2,'История отказов'!AE473)=0,COUNTIFS('История отказов'!$F$5:F473,"ШГН",'История отказов'!$AE$5:AE473,'История отказов'!AE473)=1,'История отказов'!F473="ШГН"),469,""))</f>
        <v/>
      </c>
      <c r="DD470">
        <f>IF('История отказов'!AE473="","",IF(AND(COUNTIF($CU$2:$CU$3,'История отказов'!AE473)=0,COUNTIFS('История отказов'!$F$5:F473,"ЭЦН",'История отказов'!$AE$5:AE473,'История отказов'!AE473)=1,'История отказов'!F473="ЭЦН"),469,""))</f>
        <v/>
      </c>
      <c r="DE470">
        <f>IF('История отказов'!AE473="","",IF(AND(COUNTIF($CV$2:$CV$3,'История отказов'!AE473)=0,COUNTIFS('История отказов'!$F$5:F473,"ЭВН",'История отказов'!$AE$5:AE473,'История отказов'!AE473)=1,'История отказов'!F473="ЭВН"),469,""))</f>
        <v/>
      </c>
      <c r="DF470">
        <f>IF('История отказов'!AE473="","",IF(AND(COUNTIF($CX$2:$CX$2,'История отказов'!AE473)=0,COUNTIFS('История отказов'!$F$5:F473,"ШВН",'История отказов'!$AE$5:AE473,'История отказов'!AE473)=1,'История отказов'!F473="ШВН"),469,""))</f>
        <v/>
      </c>
      <c r="DG470">
        <f>IF('История отказов'!AE473="","",IF(AND(COUNTIF($CW$2:$CW$2,'История отказов'!AE473)=0,COUNTIFS('История отказов'!$F$5:F473,"НПУ-ВД",'История отказов'!$AE$5:AE473,'История отказов'!AE473)=1,'История отказов'!F473="НПУ-ВД"),469,""))</f>
        <v/>
      </c>
      <c r="DH470">
        <f>IF('История отказов'!AE473="","",IF(AND(COUNTIF($CY$2:$CY$6,'История отказов'!AE473)=0,COUNTIF('История отказов'!$AE$5:AE473,'История отказов'!AE473)=1),469,""))</f>
        <v/>
      </c>
      <c r="DI470">
        <f>IF('История отказов'!AK473="","",IF(AND(COUNTIF($CL$2:$CL$3,'История отказов'!AK473)=0,COUNTIF('История отказов'!$AK$5:AK473,'История отказов'!AK473)=1),469,""))</f>
        <v/>
      </c>
      <c r="DJ470">
        <f>IF('История отказов'!AU473="","",IF(AND(COUNTIF($CP$2:$CP$3,'История отказов'!AU473)=0,COUNTIF('История отказов'!$AU$5:AU473,'История отказов'!AU473)=1),469,""))</f>
        <v/>
      </c>
      <c r="DK470">
        <f>IF('История отказов'!AY473="","",IF(AND(COUNTIF($CR$2:$CR$2,'История отказов'!AY473)=0,COUNTIF('История отказов'!$AY$5:AY473,'История отказов'!AY473)=1),469,""))</f>
        <v/>
      </c>
      <c r="DL470">
        <f>IF(DB470="","",IF(AND(COUNTIF($DA$2:$DA$47,DB470)=0,COUNTIF($DB$2:DB470,DB470)=1),469,""))</f>
        <v/>
      </c>
    </row>
    <row r="471">
      <c r="A471" s="74" t="n"/>
      <c r="B471" s="75" t="n"/>
      <c r="C471" s="76" t="n"/>
      <c r="J471" s="62" t="n"/>
      <c r="K471" s="62" t="n"/>
      <c r="L471" s="62" t="n"/>
      <c r="M471" s="62" t="n"/>
      <c r="N471" s="62" t="n"/>
      <c r="Q471" t="inlineStr">
        <is>
          <t>Метод борьбы (справочно)</t>
        </is>
      </c>
      <c r="R471" t="inlineStr">
        <is>
          <t>Газосепаратор на приёме</t>
        </is>
      </c>
      <c r="S471" t="inlineStr">
        <is>
          <t>Рекомендация по осложнению</t>
        </is>
      </c>
      <c r="T471" t="inlineStr">
        <is>
          <t>МУ по отнесению скважин к ОФ</t>
        </is>
      </c>
      <c r="U471" t="inlineStr">
        <is>
          <t>§9.2</t>
        </is>
      </c>
      <c r="V471" t="inlineStr">
        <is>
          <t>Не код способа эксплуатации</t>
        </is>
      </c>
      <c r="DB471">
        <f>IF('История отказов'!AH474="","",'История отказов'!AH474)</f>
        <v/>
      </c>
      <c r="DC471">
        <f>IF('История отказов'!AE474="","",IF(AND(COUNTIF($CT$2:$CT$2,'История отказов'!AE474)=0,COUNTIFS('История отказов'!$F$5:F474,"ШГН",'История отказов'!$AE$5:AE474,'История отказов'!AE474)=1,'История отказов'!F474="ШГН"),470,""))</f>
        <v/>
      </c>
      <c r="DD471">
        <f>IF('История отказов'!AE474="","",IF(AND(COUNTIF($CU$2:$CU$3,'История отказов'!AE474)=0,COUNTIFS('История отказов'!$F$5:F474,"ЭЦН",'История отказов'!$AE$5:AE474,'История отказов'!AE474)=1,'История отказов'!F474="ЭЦН"),470,""))</f>
        <v/>
      </c>
      <c r="DE471">
        <f>IF('История отказов'!AE474="","",IF(AND(COUNTIF($CV$2:$CV$3,'История отказов'!AE474)=0,COUNTIFS('История отказов'!$F$5:F474,"ЭВН",'История отказов'!$AE$5:AE474,'История отказов'!AE474)=1,'История отказов'!F474="ЭВН"),470,""))</f>
        <v/>
      </c>
      <c r="DF471">
        <f>IF('История отказов'!AE474="","",IF(AND(COUNTIF($CX$2:$CX$2,'История отказов'!AE474)=0,COUNTIFS('История отказов'!$F$5:F474,"ШВН",'История отказов'!$AE$5:AE474,'История отказов'!AE474)=1,'История отказов'!F474="ШВН"),470,""))</f>
        <v/>
      </c>
      <c r="DG471">
        <f>IF('История отказов'!AE474="","",IF(AND(COUNTIF($CW$2:$CW$2,'История отказов'!AE474)=0,COUNTIFS('История отказов'!$F$5:F474,"НПУ-ВД",'История отказов'!$AE$5:AE474,'История отказов'!AE474)=1,'История отказов'!F474="НПУ-ВД"),470,""))</f>
        <v/>
      </c>
      <c r="DH471">
        <f>IF('История отказов'!AE474="","",IF(AND(COUNTIF($CY$2:$CY$6,'История отказов'!AE474)=0,COUNTIF('История отказов'!$AE$5:AE474,'История отказов'!AE474)=1),470,""))</f>
        <v/>
      </c>
      <c r="DI471">
        <f>IF('История отказов'!AK474="","",IF(AND(COUNTIF($CL$2:$CL$3,'История отказов'!AK474)=0,COUNTIF('История отказов'!$AK$5:AK474,'История отказов'!AK474)=1),470,""))</f>
        <v/>
      </c>
      <c r="DJ471">
        <f>IF('История отказов'!AU474="","",IF(AND(COUNTIF($CP$2:$CP$3,'История отказов'!AU474)=0,COUNTIF('История отказов'!$AU$5:AU474,'История отказов'!AU474)=1),470,""))</f>
        <v/>
      </c>
      <c r="DK471">
        <f>IF('История отказов'!AY474="","",IF(AND(COUNTIF($CR$2:$CR$2,'История отказов'!AY474)=0,COUNTIF('История отказов'!$AY$5:AY474,'История отказов'!AY474)=1),470,""))</f>
        <v/>
      </c>
      <c r="DL471">
        <f>IF(DB471="","",IF(AND(COUNTIF($DA$2:$DA$47,DB471)=0,COUNTIF($DB$2:DB471,DB471)=1),470,""))</f>
        <v/>
      </c>
    </row>
    <row r="472">
      <c r="A472" s="74" t="n"/>
      <c r="B472" s="75" t="n"/>
      <c r="C472" s="76" t="n"/>
      <c r="J472" s="62" t="n"/>
      <c r="K472" s="62" t="n"/>
      <c r="L472" s="62" t="n"/>
      <c r="M472" s="62" t="n"/>
      <c r="N472" s="62" t="n"/>
      <c r="Q472" t="inlineStr">
        <is>
          <t>Метод борьбы (справочно)</t>
        </is>
      </c>
      <c r="R472" t="inlineStr">
        <is>
          <t>Газообрабатывающее устройство</t>
        </is>
      </c>
      <c r="S472" t="inlineStr">
        <is>
          <t>Рекомендация по осложнению</t>
        </is>
      </c>
      <c r="T472" t="inlineStr">
        <is>
          <t>МУ по отнесению скважин к ОФ</t>
        </is>
      </c>
      <c r="U472" t="inlineStr">
        <is>
          <t>§9.2</t>
        </is>
      </c>
      <c r="V472" t="inlineStr">
        <is>
          <t>Не код способа эксплуатации</t>
        </is>
      </c>
      <c r="DB472">
        <f>IF('История отказов'!AH475="","",'История отказов'!AH475)</f>
        <v/>
      </c>
      <c r="DC472">
        <f>IF('История отказов'!AE475="","",IF(AND(COUNTIF($CT$2:$CT$2,'История отказов'!AE475)=0,COUNTIFS('История отказов'!$F$5:F475,"ШГН",'История отказов'!$AE$5:AE475,'История отказов'!AE475)=1,'История отказов'!F475="ШГН"),471,""))</f>
        <v/>
      </c>
      <c r="DD472">
        <f>IF('История отказов'!AE475="","",IF(AND(COUNTIF($CU$2:$CU$3,'История отказов'!AE475)=0,COUNTIFS('История отказов'!$F$5:F475,"ЭЦН",'История отказов'!$AE$5:AE475,'История отказов'!AE475)=1,'История отказов'!F475="ЭЦН"),471,""))</f>
        <v/>
      </c>
      <c r="DE472">
        <f>IF('История отказов'!AE475="","",IF(AND(COUNTIF($CV$2:$CV$3,'История отказов'!AE475)=0,COUNTIFS('История отказов'!$F$5:F475,"ЭВН",'История отказов'!$AE$5:AE475,'История отказов'!AE475)=1,'История отказов'!F475="ЭВН"),471,""))</f>
        <v/>
      </c>
      <c r="DF472">
        <f>IF('История отказов'!AE475="","",IF(AND(COUNTIF($CX$2:$CX$2,'История отказов'!AE475)=0,COUNTIFS('История отказов'!$F$5:F475,"ШВН",'История отказов'!$AE$5:AE475,'История отказов'!AE475)=1,'История отказов'!F475="ШВН"),471,""))</f>
        <v/>
      </c>
      <c r="DG472">
        <f>IF('История отказов'!AE475="","",IF(AND(COUNTIF($CW$2:$CW$2,'История отказов'!AE475)=0,COUNTIFS('История отказов'!$F$5:F475,"НПУ-ВД",'История отказов'!$AE$5:AE475,'История отказов'!AE475)=1,'История отказов'!F475="НПУ-ВД"),471,""))</f>
        <v/>
      </c>
      <c r="DH472">
        <f>IF('История отказов'!AE475="","",IF(AND(COUNTIF($CY$2:$CY$6,'История отказов'!AE475)=0,COUNTIF('История отказов'!$AE$5:AE475,'История отказов'!AE475)=1),471,""))</f>
        <v/>
      </c>
      <c r="DI472">
        <f>IF('История отказов'!AK475="","",IF(AND(COUNTIF($CL$2:$CL$3,'История отказов'!AK475)=0,COUNTIF('История отказов'!$AK$5:AK475,'История отказов'!AK475)=1),471,""))</f>
        <v/>
      </c>
      <c r="DJ472">
        <f>IF('История отказов'!AU475="","",IF(AND(COUNTIF($CP$2:$CP$3,'История отказов'!AU475)=0,COUNTIF('История отказов'!$AU$5:AU475,'История отказов'!AU475)=1),471,""))</f>
        <v/>
      </c>
      <c r="DK472">
        <f>IF('История отказов'!AY475="","",IF(AND(COUNTIF($CR$2:$CR$2,'История отказов'!AY475)=0,COUNTIF('История отказов'!$AY$5:AY475,'История отказов'!AY475)=1),471,""))</f>
        <v/>
      </c>
      <c r="DL472">
        <f>IF(DB472="","",IF(AND(COUNTIF($DA$2:$DA$47,DB472)=0,COUNTIF($DB$2:DB472,DB472)=1),471,""))</f>
        <v/>
      </c>
    </row>
    <row r="473">
      <c r="A473" s="74" t="n"/>
      <c r="B473" s="75" t="n"/>
      <c r="C473" s="76" t="n"/>
      <c r="J473" s="62" t="n"/>
      <c r="K473" s="62" t="n"/>
      <c r="L473" s="62" t="n"/>
      <c r="M473" s="62" t="n"/>
      <c r="N473" s="62" t="n"/>
      <c r="Q473" t="inlineStr">
        <is>
          <t>Метод борьбы (справочно)</t>
        </is>
      </c>
      <c r="R473" t="inlineStr">
        <is>
          <t>Фильтр механических примесей</t>
        </is>
      </c>
      <c r="S473" t="inlineStr">
        <is>
          <t>Рекомендация по осложнению</t>
        </is>
      </c>
      <c r="T473" t="inlineStr">
        <is>
          <t>МУ по отнесению скважин к ОФ</t>
        </is>
      </c>
      <c r="U473" t="inlineStr">
        <is>
          <t>§10.2</t>
        </is>
      </c>
      <c r="V473" t="inlineStr">
        <is>
          <t>Не код способа эксплуатации</t>
        </is>
      </c>
      <c r="DB473">
        <f>IF('История отказов'!AH476="","",'История отказов'!AH476)</f>
        <v/>
      </c>
      <c r="DC473">
        <f>IF('История отказов'!AE476="","",IF(AND(COUNTIF($CT$2:$CT$2,'История отказов'!AE476)=0,COUNTIFS('История отказов'!$F$5:F476,"ШГН",'История отказов'!$AE$5:AE476,'История отказов'!AE476)=1,'История отказов'!F476="ШГН"),472,""))</f>
        <v/>
      </c>
      <c r="DD473">
        <f>IF('История отказов'!AE476="","",IF(AND(COUNTIF($CU$2:$CU$3,'История отказов'!AE476)=0,COUNTIFS('История отказов'!$F$5:F476,"ЭЦН",'История отказов'!$AE$5:AE476,'История отказов'!AE476)=1,'История отказов'!F476="ЭЦН"),472,""))</f>
        <v/>
      </c>
      <c r="DE473">
        <f>IF('История отказов'!AE476="","",IF(AND(COUNTIF($CV$2:$CV$3,'История отказов'!AE476)=0,COUNTIFS('История отказов'!$F$5:F476,"ЭВН",'История отказов'!$AE$5:AE476,'История отказов'!AE476)=1,'История отказов'!F476="ЭВН"),472,""))</f>
        <v/>
      </c>
      <c r="DF473">
        <f>IF('История отказов'!AE476="","",IF(AND(COUNTIF($CX$2:$CX$2,'История отказов'!AE476)=0,COUNTIFS('История отказов'!$F$5:F476,"ШВН",'История отказов'!$AE$5:AE476,'История отказов'!AE476)=1,'История отказов'!F476="ШВН"),472,""))</f>
        <v/>
      </c>
      <c r="DG473">
        <f>IF('История отказов'!AE476="","",IF(AND(COUNTIF($CW$2:$CW$2,'История отказов'!AE476)=0,COUNTIFS('История отказов'!$F$5:F476,"НПУ-ВД",'История отказов'!$AE$5:AE476,'История отказов'!AE476)=1,'История отказов'!F476="НПУ-ВД"),472,""))</f>
        <v/>
      </c>
      <c r="DH473">
        <f>IF('История отказов'!AE476="","",IF(AND(COUNTIF($CY$2:$CY$6,'История отказов'!AE476)=0,COUNTIF('История отказов'!$AE$5:AE476,'История отказов'!AE476)=1),472,""))</f>
        <v/>
      </c>
      <c r="DI473">
        <f>IF('История отказов'!AK476="","",IF(AND(COUNTIF($CL$2:$CL$3,'История отказов'!AK476)=0,COUNTIF('История отказов'!$AK$5:AK476,'История отказов'!AK476)=1),472,""))</f>
        <v/>
      </c>
      <c r="DJ473">
        <f>IF('История отказов'!AU476="","",IF(AND(COUNTIF($CP$2:$CP$3,'История отказов'!AU476)=0,COUNTIF('История отказов'!$AU$5:AU476,'История отказов'!AU476)=1),472,""))</f>
        <v/>
      </c>
      <c r="DK473">
        <f>IF('История отказов'!AY476="","",IF(AND(COUNTIF($CR$2:$CR$2,'История отказов'!AY476)=0,COUNTIF('История отказов'!$AY$5:AY476,'История отказов'!AY476)=1),472,""))</f>
        <v/>
      </c>
      <c r="DL473">
        <f>IF(DB473="","",IF(AND(COUNTIF($DA$2:$DA$47,DB473)=0,COUNTIF($DB$2:DB473,DB473)=1),472,""))</f>
        <v/>
      </c>
    </row>
    <row r="474">
      <c r="A474" s="74" t="n"/>
      <c r="B474" s="75" t="n"/>
      <c r="C474" s="76" t="n"/>
      <c r="J474" s="62" t="n"/>
      <c r="K474" s="62" t="n"/>
      <c r="L474" s="62" t="n"/>
      <c r="M474" s="62" t="n"/>
      <c r="N474" s="62" t="n"/>
      <c r="Q474" t="inlineStr">
        <is>
          <t>Метод борьбы (справочно)</t>
        </is>
      </c>
      <c r="R474" t="inlineStr">
        <is>
          <t>Погружной сепаратор механических примесей</t>
        </is>
      </c>
      <c r="S474" t="inlineStr">
        <is>
          <t>Рекомендация по осложнению</t>
        </is>
      </c>
      <c r="T474" t="inlineStr">
        <is>
          <t>МУ по отнесению скважин к ОФ</t>
        </is>
      </c>
      <c r="U474" t="inlineStr">
        <is>
          <t>§10.2</t>
        </is>
      </c>
      <c r="V474" t="inlineStr">
        <is>
          <t>Не код способа эксплуатации</t>
        </is>
      </c>
      <c r="DB474">
        <f>IF('История отказов'!AH477="","",'История отказов'!AH477)</f>
        <v/>
      </c>
      <c r="DC474">
        <f>IF('История отказов'!AE477="","",IF(AND(COUNTIF($CT$2:$CT$2,'История отказов'!AE477)=0,COUNTIFS('История отказов'!$F$5:F477,"ШГН",'История отказов'!$AE$5:AE477,'История отказов'!AE477)=1,'История отказов'!F477="ШГН"),473,""))</f>
        <v/>
      </c>
      <c r="DD474">
        <f>IF('История отказов'!AE477="","",IF(AND(COUNTIF($CU$2:$CU$3,'История отказов'!AE477)=0,COUNTIFS('История отказов'!$F$5:F477,"ЭЦН",'История отказов'!$AE$5:AE477,'История отказов'!AE477)=1,'История отказов'!F477="ЭЦН"),473,""))</f>
        <v/>
      </c>
      <c r="DE474">
        <f>IF('История отказов'!AE477="","",IF(AND(COUNTIF($CV$2:$CV$3,'История отказов'!AE477)=0,COUNTIFS('История отказов'!$F$5:F477,"ЭВН",'История отказов'!$AE$5:AE477,'История отказов'!AE477)=1,'История отказов'!F477="ЭВН"),473,""))</f>
        <v/>
      </c>
      <c r="DF474">
        <f>IF('История отказов'!AE477="","",IF(AND(COUNTIF($CX$2:$CX$2,'История отказов'!AE477)=0,COUNTIFS('История отказов'!$F$5:F477,"ШВН",'История отказов'!$AE$5:AE477,'История отказов'!AE477)=1,'История отказов'!F477="ШВН"),473,""))</f>
        <v/>
      </c>
      <c r="DG474">
        <f>IF('История отказов'!AE477="","",IF(AND(COUNTIF($CW$2:$CW$2,'История отказов'!AE477)=0,COUNTIFS('История отказов'!$F$5:F477,"НПУ-ВД",'История отказов'!$AE$5:AE477,'История отказов'!AE477)=1,'История отказов'!F477="НПУ-ВД"),473,""))</f>
        <v/>
      </c>
      <c r="DH474">
        <f>IF('История отказов'!AE477="","",IF(AND(COUNTIF($CY$2:$CY$6,'История отказов'!AE477)=0,COUNTIF('История отказов'!$AE$5:AE477,'История отказов'!AE477)=1),473,""))</f>
        <v/>
      </c>
      <c r="DI474">
        <f>IF('История отказов'!AK477="","",IF(AND(COUNTIF($CL$2:$CL$3,'История отказов'!AK477)=0,COUNTIF('История отказов'!$AK$5:AK477,'История отказов'!AK477)=1),473,""))</f>
        <v/>
      </c>
      <c r="DJ474">
        <f>IF('История отказов'!AU477="","",IF(AND(COUNTIF($CP$2:$CP$3,'История отказов'!AU477)=0,COUNTIF('История отказов'!$AU$5:AU477,'История отказов'!AU477)=1),473,""))</f>
        <v/>
      </c>
      <c r="DK474">
        <f>IF('История отказов'!AY477="","",IF(AND(COUNTIF($CR$2:$CR$2,'История отказов'!AY477)=0,COUNTIF('История отказов'!$AY$5:AY477,'История отказов'!AY477)=1),473,""))</f>
        <v/>
      </c>
      <c r="DL474">
        <f>IF(DB474="","",IF(AND(COUNTIF($DA$2:$DA$47,DB474)=0,COUNTIF($DB$2:DB474,DB474)=1),473,""))</f>
        <v/>
      </c>
    </row>
    <row r="475">
      <c r="A475" s="74" t="n"/>
      <c r="B475" s="75" t="n"/>
      <c r="C475" s="76" t="n"/>
      <c r="J475" s="62" t="n"/>
      <c r="K475" s="62" t="n"/>
      <c r="L475" s="62" t="n"/>
      <c r="M475" s="62" t="n"/>
      <c r="N475" s="62" t="n"/>
      <c r="Q475" t="inlineStr">
        <is>
          <t>Метод борьбы (справочно)</t>
        </is>
      </c>
      <c r="R475" t="inlineStr">
        <is>
          <t>Износостойкое исполнение насоса</t>
        </is>
      </c>
      <c r="S475" t="inlineStr">
        <is>
          <t>Рекомендация по осложнению</t>
        </is>
      </c>
      <c r="T475" t="inlineStr">
        <is>
          <t>МУ по отнесению скважин к ОФ</t>
        </is>
      </c>
      <c r="U475" t="inlineStr">
        <is>
          <t>§10.2</t>
        </is>
      </c>
      <c r="V475" t="inlineStr">
        <is>
          <t>Не код способа эксплуатации</t>
        </is>
      </c>
      <c r="DB475">
        <f>IF('История отказов'!AH478="","",'История отказов'!AH478)</f>
        <v/>
      </c>
      <c r="DC475">
        <f>IF('История отказов'!AE478="","",IF(AND(COUNTIF($CT$2:$CT$2,'История отказов'!AE478)=0,COUNTIFS('История отказов'!$F$5:F478,"ШГН",'История отказов'!$AE$5:AE478,'История отказов'!AE478)=1,'История отказов'!F478="ШГН"),474,""))</f>
        <v/>
      </c>
      <c r="DD475">
        <f>IF('История отказов'!AE478="","",IF(AND(COUNTIF($CU$2:$CU$3,'История отказов'!AE478)=0,COUNTIFS('История отказов'!$F$5:F478,"ЭЦН",'История отказов'!$AE$5:AE478,'История отказов'!AE478)=1,'История отказов'!F478="ЭЦН"),474,""))</f>
        <v/>
      </c>
      <c r="DE475">
        <f>IF('История отказов'!AE478="","",IF(AND(COUNTIF($CV$2:$CV$3,'История отказов'!AE478)=0,COUNTIFS('История отказов'!$F$5:F478,"ЭВН",'История отказов'!$AE$5:AE478,'История отказов'!AE478)=1,'История отказов'!F478="ЭВН"),474,""))</f>
        <v/>
      </c>
      <c r="DF475">
        <f>IF('История отказов'!AE478="","",IF(AND(COUNTIF($CX$2:$CX$2,'История отказов'!AE478)=0,COUNTIFS('История отказов'!$F$5:F478,"ШВН",'История отказов'!$AE$5:AE478,'История отказов'!AE478)=1,'История отказов'!F478="ШВН"),474,""))</f>
        <v/>
      </c>
      <c r="DG475">
        <f>IF('История отказов'!AE478="","",IF(AND(COUNTIF($CW$2:$CW$2,'История отказов'!AE478)=0,COUNTIFS('История отказов'!$F$5:F478,"НПУ-ВД",'История отказов'!$AE$5:AE478,'История отказов'!AE478)=1,'История отказов'!F478="НПУ-ВД"),474,""))</f>
        <v/>
      </c>
      <c r="DH475">
        <f>IF('История отказов'!AE478="","",IF(AND(COUNTIF($CY$2:$CY$6,'История отказов'!AE478)=0,COUNTIF('История отказов'!$AE$5:AE478,'История отказов'!AE478)=1),474,""))</f>
        <v/>
      </c>
      <c r="DI475">
        <f>IF('История отказов'!AK478="","",IF(AND(COUNTIF($CL$2:$CL$3,'История отказов'!AK478)=0,COUNTIF('История отказов'!$AK$5:AK478,'История отказов'!AK478)=1),474,""))</f>
        <v/>
      </c>
      <c r="DJ475">
        <f>IF('История отказов'!AU478="","",IF(AND(COUNTIF($CP$2:$CP$3,'История отказов'!AU478)=0,COUNTIF('История отказов'!$AU$5:AU478,'История отказов'!AU478)=1),474,""))</f>
        <v/>
      </c>
      <c r="DK475">
        <f>IF('История отказов'!AY478="","",IF(AND(COUNTIF($CR$2:$CR$2,'История отказов'!AY478)=0,COUNTIF('История отказов'!$AY$5:AY478,'История отказов'!AY478)=1),474,""))</f>
        <v/>
      </c>
      <c r="DL475">
        <f>IF(DB475="","",IF(AND(COUNTIF($DA$2:$DA$47,DB475)=0,COUNTIF($DB$2:DB475,DB475)=1),474,""))</f>
        <v/>
      </c>
    </row>
    <row r="476">
      <c r="A476" s="74" t="n"/>
      <c r="B476" s="75" t="n"/>
      <c r="C476" s="76" t="n"/>
      <c r="J476" s="62" t="n"/>
      <c r="K476" s="62" t="n"/>
      <c r="L476" s="62" t="n"/>
      <c r="M476" s="62" t="n"/>
      <c r="N476" s="62" t="n"/>
      <c r="Q476" t="inlineStr">
        <is>
          <t>Метод борьбы (справочно)</t>
        </is>
      </c>
      <c r="R476" t="inlineStr">
        <is>
          <t>Фильтр / песочный якорь УШГН</t>
        </is>
      </c>
      <c r="S476" t="inlineStr">
        <is>
          <t>Рекомендация по осложнению</t>
        </is>
      </c>
      <c r="T476" t="inlineStr">
        <is>
          <t>МУ по отнесению скважин к ОФ</t>
        </is>
      </c>
      <c r="U476" t="inlineStr">
        <is>
          <t>§10.2</t>
        </is>
      </c>
      <c r="V476" t="inlineStr">
        <is>
          <t>Не код способа эксплуатации</t>
        </is>
      </c>
      <c r="DB476">
        <f>IF('История отказов'!AH479="","",'История отказов'!AH479)</f>
        <v/>
      </c>
      <c r="DC476">
        <f>IF('История отказов'!AE479="","",IF(AND(COUNTIF($CT$2:$CT$2,'История отказов'!AE479)=0,COUNTIFS('История отказов'!$F$5:F479,"ШГН",'История отказов'!$AE$5:AE479,'История отказов'!AE479)=1,'История отказов'!F479="ШГН"),475,""))</f>
        <v/>
      </c>
      <c r="DD476">
        <f>IF('История отказов'!AE479="","",IF(AND(COUNTIF($CU$2:$CU$3,'История отказов'!AE479)=0,COUNTIFS('История отказов'!$F$5:F479,"ЭЦН",'История отказов'!$AE$5:AE479,'История отказов'!AE479)=1,'История отказов'!F479="ЭЦН"),475,""))</f>
        <v/>
      </c>
      <c r="DE476">
        <f>IF('История отказов'!AE479="","",IF(AND(COUNTIF($CV$2:$CV$3,'История отказов'!AE479)=0,COUNTIFS('История отказов'!$F$5:F479,"ЭВН",'История отказов'!$AE$5:AE479,'История отказов'!AE479)=1,'История отказов'!F479="ЭВН"),475,""))</f>
        <v/>
      </c>
      <c r="DF476">
        <f>IF('История отказов'!AE479="","",IF(AND(COUNTIF($CX$2:$CX$2,'История отказов'!AE479)=0,COUNTIFS('История отказов'!$F$5:F479,"ШВН",'История отказов'!$AE$5:AE479,'История отказов'!AE479)=1,'История отказов'!F479="ШВН"),475,""))</f>
        <v/>
      </c>
      <c r="DG476">
        <f>IF('История отказов'!AE479="","",IF(AND(COUNTIF($CW$2:$CW$2,'История отказов'!AE479)=0,COUNTIFS('История отказов'!$F$5:F479,"НПУ-ВД",'История отказов'!$AE$5:AE479,'История отказов'!AE479)=1,'История отказов'!F479="НПУ-ВД"),475,""))</f>
        <v/>
      </c>
      <c r="DH476">
        <f>IF('История отказов'!AE479="","",IF(AND(COUNTIF($CY$2:$CY$6,'История отказов'!AE479)=0,COUNTIF('История отказов'!$AE$5:AE479,'История отказов'!AE479)=1),475,""))</f>
        <v/>
      </c>
      <c r="DI476">
        <f>IF('История отказов'!AK479="","",IF(AND(COUNTIF($CL$2:$CL$3,'История отказов'!AK479)=0,COUNTIF('История отказов'!$AK$5:AK479,'История отказов'!AK479)=1),475,""))</f>
        <v/>
      </c>
      <c r="DJ476">
        <f>IF('История отказов'!AU479="","",IF(AND(COUNTIF($CP$2:$CP$3,'История отказов'!AU479)=0,COUNTIF('История отказов'!$AU$5:AU479,'История отказов'!AU479)=1),475,""))</f>
        <v/>
      </c>
      <c r="DK476">
        <f>IF('История отказов'!AY479="","",IF(AND(COUNTIF($CR$2:$CR$2,'История отказов'!AY479)=0,COUNTIF('История отказов'!$AY$5:AY479,'История отказов'!AY479)=1),475,""))</f>
        <v/>
      </c>
      <c r="DL476">
        <f>IF(DB476="","",IF(AND(COUNTIF($DA$2:$DA$47,DB476)=0,COUNTIF($DB$2:DB476,DB476)=1),475,""))</f>
        <v/>
      </c>
    </row>
    <row r="477">
      <c r="A477" s="74" t="n"/>
      <c r="B477" s="75" t="n"/>
      <c r="C477" s="76" t="n"/>
      <c r="J477" s="62" t="n"/>
      <c r="K477" s="62" t="n"/>
      <c r="L477" s="62" t="n"/>
      <c r="M477" s="62" t="n"/>
      <c r="N477" s="62" t="n"/>
      <c r="Q477" t="inlineStr">
        <is>
          <t>Метод борьбы (справочно)</t>
        </is>
      </c>
      <c r="R477" t="inlineStr">
        <is>
          <t>Греющий кабель против гидратов</t>
        </is>
      </c>
      <c r="S477" t="inlineStr">
        <is>
          <t>Рекомендация по осложнению</t>
        </is>
      </c>
      <c r="T477" t="inlineStr">
        <is>
          <t>МУ по отнесению скважин к ОФ</t>
        </is>
      </c>
      <c r="U477" t="inlineStr">
        <is>
          <t>§11.2</t>
        </is>
      </c>
      <c r="V477" t="inlineStr">
        <is>
          <t>Не код способа эксплуатации</t>
        </is>
      </c>
      <c r="DB477">
        <f>IF('История отказов'!AH480="","",'История отказов'!AH480)</f>
        <v/>
      </c>
      <c r="DC477">
        <f>IF('История отказов'!AE480="","",IF(AND(COUNTIF($CT$2:$CT$2,'История отказов'!AE480)=0,COUNTIFS('История отказов'!$F$5:F480,"ШГН",'История отказов'!$AE$5:AE480,'История отказов'!AE480)=1,'История отказов'!F480="ШГН"),476,""))</f>
        <v/>
      </c>
      <c r="DD477">
        <f>IF('История отказов'!AE480="","",IF(AND(COUNTIF($CU$2:$CU$3,'История отказов'!AE480)=0,COUNTIFS('История отказов'!$F$5:F480,"ЭЦН",'История отказов'!$AE$5:AE480,'История отказов'!AE480)=1,'История отказов'!F480="ЭЦН"),476,""))</f>
        <v/>
      </c>
      <c r="DE477">
        <f>IF('История отказов'!AE480="","",IF(AND(COUNTIF($CV$2:$CV$3,'История отказов'!AE480)=0,COUNTIFS('История отказов'!$F$5:F480,"ЭВН",'История отказов'!$AE$5:AE480,'История отказов'!AE480)=1,'История отказов'!F480="ЭВН"),476,""))</f>
        <v/>
      </c>
      <c r="DF477">
        <f>IF('История отказов'!AE480="","",IF(AND(COUNTIF($CX$2:$CX$2,'История отказов'!AE480)=0,COUNTIFS('История отказов'!$F$5:F480,"ШВН",'История отказов'!$AE$5:AE480,'История отказов'!AE480)=1,'История отказов'!F480="ШВН"),476,""))</f>
        <v/>
      </c>
      <c r="DG477">
        <f>IF('История отказов'!AE480="","",IF(AND(COUNTIF($CW$2:$CW$2,'История отказов'!AE480)=0,COUNTIFS('История отказов'!$F$5:F480,"НПУ-ВД",'История отказов'!$AE$5:AE480,'История отказов'!AE480)=1,'История отказов'!F480="НПУ-ВД"),476,""))</f>
        <v/>
      </c>
      <c r="DH477">
        <f>IF('История отказов'!AE480="","",IF(AND(COUNTIF($CY$2:$CY$6,'История отказов'!AE480)=0,COUNTIF('История отказов'!$AE$5:AE480,'История отказов'!AE480)=1),476,""))</f>
        <v/>
      </c>
      <c r="DI477">
        <f>IF('История отказов'!AK480="","",IF(AND(COUNTIF($CL$2:$CL$3,'История отказов'!AK480)=0,COUNTIF('История отказов'!$AK$5:AK480,'История отказов'!AK480)=1),476,""))</f>
        <v/>
      </c>
      <c r="DJ477">
        <f>IF('История отказов'!AU480="","",IF(AND(COUNTIF($CP$2:$CP$3,'История отказов'!AU480)=0,COUNTIF('История отказов'!$AU$5:AU480,'История отказов'!AU480)=1),476,""))</f>
        <v/>
      </c>
      <c r="DK477">
        <f>IF('История отказов'!AY480="","",IF(AND(COUNTIF($CR$2:$CR$2,'История отказов'!AY480)=0,COUNTIF('История отказов'!$AY$5:AY480,'История отказов'!AY480)=1),476,""))</f>
        <v/>
      </c>
      <c r="DL477">
        <f>IF(DB477="","",IF(AND(COUNTIF($DA$2:$DA$47,DB477)=0,COUNTIF($DB$2:DB477,DB477)=1),476,""))</f>
        <v/>
      </c>
    </row>
    <row r="478">
      <c r="A478" s="74" t="n"/>
      <c r="B478" s="75" t="n"/>
      <c r="C478" s="76" t="n"/>
      <c r="J478" s="62" t="n"/>
      <c r="K478" s="62" t="n"/>
      <c r="L478" s="62" t="n"/>
      <c r="M478" s="62" t="n"/>
      <c r="N478" s="62" t="n"/>
      <c r="Q478" t="inlineStr">
        <is>
          <t>Метод борьбы (справочно)</t>
        </is>
      </c>
      <c r="R478" t="inlineStr">
        <is>
          <t>Ингибитор гидратообразования</t>
        </is>
      </c>
      <c r="S478" t="inlineStr">
        <is>
          <t>Рекомендация по осложнению</t>
        </is>
      </c>
      <c r="T478" t="inlineStr">
        <is>
          <t>МУ по отнесению скважин к ОФ</t>
        </is>
      </c>
      <c r="U478" t="inlineStr">
        <is>
          <t>§11.2</t>
        </is>
      </c>
      <c r="V478" t="inlineStr">
        <is>
          <t>Не код способа эксплуатации</t>
        </is>
      </c>
      <c r="DB478">
        <f>IF('История отказов'!AH481="","",'История отказов'!AH481)</f>
        <v/>
      </c>
      <c r="DC478">
        <f>IF('История отказов'!AE481="","",IF(AND(COUNTIF($CT$2:$CT$2,'История отказов'!AE481)=0,COUNTIFS('История отказов'!$F$5:F481,"ШГН",'История отказов'!$AE$5:AE481,'История отказов'!AE481)=1,'История отказов'!F481="ШГН"),477,""))</f>
        <v/>
      </c>
      <c r="DD478">
        <f>IF('История отказов'!AE481="","",IF(AND(COUNTIF($CU$2:$CU$3,'История отказов'!AE481)=0,COUNTIFS('История отказов'!$F$5:F481,"ЭЦН",'История отказов'!$AE$5:AE481,'История отказов'!AE481)=1,'История отказов'!F481="ЭЦН"),477,""))</f>
        <v/>
      </c>
      <c r="DE478">
        <f>IF('История отказов'!AE481="","",IF(AND(COUNTIF($CV$2:$CV$3,'История отказов'!AE481)=0,COUNTIFS('История отказов'!$F$5:F481,"ЭВН",'История отказов'!$AE$5:AE481,'История отказов'!AE481)=1,'История отказов'!F481="ЭВН"),477,""))</f>
        <v/>
      </c>
      <c r="DF478">
        <f>IF('История отказов'!AE481="","",IF(AND(COUNTIF($CX$2:$CX$2,'История отказов'!AE481)=0,COUNTIFS('История отказов'!$F$5:F481,"ШВН",'История отказов'!$AE$5:AE481,'История отказов'!AE481)=1,'История отказов'!F481="ШВН"),477,""))</f>
        <v/>
      </c>
      <c r="DG478">
        <f>IF('История отказов'!AE481="","",IF(AND(COUNTIF($CW$2:$CW$2,'История отказов'!AE481)=0,COUNTIFS('История отказов'!$F$5:F481,"НПУ-ВД",'История отказов'!$AE$5:AE481,'История отказов'!AE481)=1,'История отказов'!F481="НПУ-ВД"),477,""))</f>
        <v/>
      </c>
      <c r="DH478">
        <f>IF('История отказов'!AE481="","",IF(AND(COUNTIF($CY$2:$CY$6,'История отказов'!AE481)=0,COUNTIF('История отказов'!$AE$5:AE481,'История отказов'!AE481)=1),477,""))</f>
        <v/>
      </c>
      <c r="DI478">
        <f>IF('История отказов'!AK481="","",IF(AND(COUNTIF($CL$2:$CL$3,'История отказов'!AK481)=0,COUNTIF('История отказов'!$AK$5:AK481,'История отказов'!AK481)=1),477,""))</f>
        <v/>
      </c>
      <c r="DJ478">
        <f>IF('История отказов'!AU481="","",IF(AND(COUNTIF($CP$2:$CP$3,'История отказов'!AU481)=0,COUNTIF('История отказов'!$AU$5:AU481,'История отказов'!AU481)=1),477,""))</f>
        <v/>
      </c>
      <c r="DK478">
        <f>IF('История отказов'!AY481="","",IF(AND(COUNTIF($CR$2:$CR$2,'История отказов'!AY481)=0,COUNTIF('История отказов'!$AY$5:AY481,'История отказов'!AY481)=1),477,""))</f>
        <v/>
      </c>
      <c r="DL478">
        <f>IF(DB478="","",IF(AND(COUNTIF($DA$2:$DA$47,DB478)=0,COUNTIF($DB$2:DB478,DB478)=1),477,""))</f>
        <v/>
      </c>
    </row>
    <row r="479">
      <c r="A479" s="74" t="n"/>
      <c r="B479" s="75" t="n"/>
      <c r="C479" s="76" t="n"/>
      <c r="J479" s="62" t="n"/>
      <c r="K479" s="62" t="n"/>
      <c r="L479" s="62" t="n"/>
      <c r="M479" s="62" t="n"/>
      <c r="N479" s="62" t="n"/>
      <c r="Q479" t="inlineStr">
        <is>
          <t>Метод борьбы (справочно)</t>
        </is>
      </c>
      <c r="R479" t="inlineStr">
        <is>
          <t>Термостойкое исполнение оборудования</t>
        </is>
      </c>
      <c r="S479" t="inlineStr">
        <is>
          <t>Рекомендация по осложнению</t>
        </is>
      </c>
      <c r="T479" t="inlineStr">
        <is>
          <t>МУ по отнесению скважин к ОФ</t>
        </is>
      </c>
      <c r="U479" t="inlineStr">
        <is>
          <t>§12.2</t>
        </is>
      </c>
      <c r="V479" t="inlineStr">
        <is>
          <t>Не код способа эксплуатации</t>
        </is>
      </c>
      <c r="DB479">
        <f>IF('История отказов'!AH482="","",'История отказов'!AH482)</f>
        <v/>
      </c>
      <c r="DC479">
        <f>IF('История отказов'!AE482="","",IF(AND(COUNTIF($CT$2:$CT$2,'История отказов'!AE482)=0,COUNTIFS('История отказов'!$F$5:F482,"ШГН",'История отказов'!$AE$5:AE482,'История отказов'!AE482)=1,'История отказов'!F482="ШГН"),478,""))</f>
        <v/>
      </c>
      <c r="DD479">
        <f>IF('История отказов'!AE482="","",IF(AND(COUNTIF($CU$2:$CU$3,'История отказов'!AE482)=0,COUNTIFS('История отказов'!$F$5:F482,"ЭЦН",'История отказов'!$AE$5:AE482,'История отказов'!AE482)=1,'История отказов'!F482="ЭЦН"),478,""))</f>
        <v/>
      </c>
      <c r="DE479">
        <f>IF('История отказов'!AE482="","",IF(AND(COUNTIF($CV$2:$CV$3,'История отказов'!AE482)=0,COUNTIFS('История отказов'!$F$5:F482,"ЭВН",'История отказов'!$AE$5:AE482,'История отказов'!AE482)=1,'История отказов'!F482="ЭВН"),478,""))</f>
        <v/>
      </c>
      <c r="DF479">
        <f>IF('История отказов'!AE482="","",IF(AND(COUNTIF($CX$2:$CX$2,'История отказов'!AE482)=0,COUNTIFS('История отказов'!$F$5:F482,"ШВН",'История отказов'!$AE$5:AE482,'История отказов'!AE482)=1,'История отказов'!F482="ШВН"),478,""))</f>
        <v/>
      </c>
      <c r="DG479">
        <f>IF('История отказов'!AE482="","",IF(AND(COUNTIF($CW$2:$CW$2,'История отказов'!AE482)=0,COUNTIFS('История отказов'!$F$5:F482,"НПУ-ВД",'История отказов'!$AE$5:AE482,'История отказов'!AE482)=1,'История отказов'!F482="НПУ-ВД"),478,""))</f>
        <v/>
      </c>
      <c r="DH479">
        <f>IF('История отказов'!AE482="","",IF(AND(COUNTIF($CY$2:$CY$6,'История отказов'!AE482)=0,COUNTIF('История отказов'!$AE$5:AE482,'История отказов'!AE482)=1),478,""))</f>
        <v/>
      </c>
      <c r="DI479">
        <f>IF('История отказов'!AK482="","",IF(AND(COUNTIF($CL$2:$CL$3,'История отказов'!AK482)=0,COUNTIF('История отказов'!$AK$5:AK482,'История отказов'!AK482)=1),478,""))</f>
        <v/>
      </c>
      <c r="DJ479">
        <f>IF('История отказов'!AU482="","",IF(AND(COUNTIF($CP$2:$CP$3,'История отказов'!AU482)=0,COUNTIF('История отказов'!$AU$5:AU482,'История отказов'!AU482)=1),478,""))</f>
        <v/>
      </c>
      <c r="DK479">
        <f>IF('История отказов'!AY482="","",IF(AND(COUNTIF($CR$2:$CR$2,'История отказов'!AY482)=0,COUNTIF('История отказов'!$AY$5:AY482,'История отказов'!AY482)=1),478,""))</f>
        <v/>
      </c>
      <c r="DL479">
        <f>IF(DB479="","",IF(AND(COUNTIF($DA$2:$DA$47,DB479)=0,COUNTIF($DB$2:DB479,DB479)=1),478,""))</f>
        <v/>
      </c>
    </row>
    <row r="480">
      <c r="A480" s="74" t="n"/>
      <c r="B480" s="75" t="n"/>
      <c r="C480" s="76" t="n"/>
      <c r="J480" s="62" t="n"/>
      <c r="K480" s="62" t="n"/>
      <c r="L480" s="62" t="n"/>
      <c r="M480" s="62" t="n"/>
      <c r="N480" s="62" t="n"/>
      <c r="Q480" t="inlineStr">
        <is>
          <t>Признак / предпосылка</t>
        </is>
      </c>
      <c r="R480" t="inlineStr">
        <is>
          <t>Снижение потребляемого тока</t>
        </is>
      </c>
      <c r="S480" t="inlineStr">
        <is>
          <t>Рабочий диагностический признак</t>
        </is>
      </c>
      <c r="T480" t="inlineStr">
        <is>
          <t>SLB, газовая блокировка УЭЦН</t>
        </is>
      </c>
      <c r="U480" t="inlineStr">
        <is>
          <t>https://www.slb.com/resource-library/case-study-with-navigation/al/lift-iq-colombia-alianza-casabe-esp-gas-locking-cs</t>
        </is>
      </c>
      <c r="V480" t="inlineStr">
        <is>
          <t>ЭЦН/ЭВН при мониторинге тока</t>
        </is>
      </c>
      <c r="DB480">
        <f>IF('История отказов'!AH483="","",'История отказов'!AH483)</f>
        <v/>
      </c>
      <c r="DC480">
        <f>IF('История отказов'!AE483="","",IF(AND(COUNTIF($CT$2:$CT$2,'История отказов'!AE483)=0,COUNTIFS('История отказов'!$F$5:F483,"ШГН",'История отказов'!$AE$5:AE483,'История отказов'!AE483)=1,'История отказов'!F483="ШГН"),479,""))</f>
        <v/>
      </c>
      <c r="DD480">
        <f>IF('История отказов'!AE483="","",IF(AND(COUNTIF($CU$2:$CU$3,'История отказов'!AE483)=0,COUNTIFS('История отказов'!$F$5:F483,"ЭЦН",'История отказов'!$AE$5:AE483,'История отказов'!AE483)=1,'История отказов'!F483="ЭЦН"),479,""))</f>
        <v/>
      </c>
      <c r="DE480">
        <f>IF('История отказов'!AE483="","",IF(AND(COUNTIF($CV$2:$CV$3,'История отказов'!AE483)=0,COUNTIFS('История отказов'!$F$5:F483,"ЭВН",'История отказов'!$AE$5:AE483,'История отказов'!AE483)=1,'История отказов'!F483="ЭВН"),479,""))</f>
        <v/>
      </c>
      <c r="DF480">
        <f>IF('История отказов'!AE483="","",IF(AND(COUNTIF($CX$2:$CX$2,'История отказов'!AE483)=0,COUNTIFS('История отказов'!$F$5:F483,"ШВН",'История отказов'!$AE$5:AE483,'История отказов'!AE483)=1,'История отказов'!F483="ШВН"),479,""))</f>
        <v/>
      </c>
      <c r="DG480">
        <f>IF('История отказов'!AE483="","",IF(AND(COUNTIF($CW$2:$CW$2,'История отказов'!AE483)=0,COUNTIFS('История отказов'!$F$5:F483,"НПУ-ВД",'История отказов'!$AE$5:AE483,'История отказов'!AE483)=1,'История отказов'!F483="НПУ-ВД"),479,""))</f>
        <v/>
      </c>
      <c r="DH480">
        <f>IF('История отказов'!AE483="","",IF(AND(COUNTIF($CY$2:$CY$6,'История отказов'!AE483)=0,COUNTIF('История отказов'!$AE$5:AE483,'История отказов'!AE483)=1),479,""))</f>
        <v/>
      </c>
      <c r="DI480">
        <f>IF('История отказов'!AK483="","",IF(AND(COUNTIF($CL$2:$CL$3,'История отказов'!AK483)=0,COUNTIF('История отказов'!$AK$5:AK483,'История отказов'!AK483)=1),479,""))</f>
        <v/>
      </c>
      <c r="DJ480">
        <f>IF('История отказов'!AU483="","",IF(AND(COUNTIF($CP$2:$CP$3,'История отказов'!AU483)=0,COUNTIF('История отказов'!$AU$5:AU483,'История отказов'!AU483)=1),479,""))</f>
        <v/>
      </c>
      <c r="DK480">
        <f>IF('История отказов'!AY483="","",IF(AND(COUNTIF($CR$2:$CR$2,'История отказов'!AY483)=0,COUNTIF('История отказов'!$AY$5:AY483,'История отказов'!AY483)=1),479,""))</f>
        <v/>
      </c>
      <c r="DL480">
        <f>IF(DB480="","",IF(AND(COUNTIF($DA$2:$DA$47,DB480)=0,COUNTIF($DB$2:DB480,DB480)=1),479,""))</f>
        <v/>
      </c>
    </row>
    <row r="481">
      <c r="A481" s="74" t="n"/>
      <c r="B481" s="75" t="n"/>
      <c r="C481" s="76" t="n"/>
      <c r="J481" s="62" t="n"/>
      <c r="K481" s="62" t="n"/>
      <c r="L481" s="62" t="n"/>
      <c r="M481" s="62" t="n"/>
      <c r="N481" s="62" t="n"/>
      <c r="Q481" t="inlineStr">
        <is>
          <t>Признак / предпосылка</t>
        </is>
      </c>
      <c r="R481" t="inlineStr">
        <is>
          <t>Срабатывание защиты по недогрузке</t>
        </is>
      </c>
      <c r="S481" t="inlineStr">
        <is>
          <t>Рабочий диагностический признак</t>
        </is>
      </c>
      <c r="T481" t="inlineStr">
        <is>
          <t>Weatherford, контроль УЭЦН</t>
        </is>
      </c>
      <c r="U481" t="inlineStr">
        <is>
          <t>https://www.slb.com/resource-library/oilfield-review/defining-series/defining-esp</t>
        </is>
      </c>
      <c r="V481" t="inlineStr">
        <is>
          <t>ЭЦН/ЭВН при наличии защиты</t>
        </is>
      </c>
      <c r="DB481">
        <f>IF('История отказов'!AH484="","",'История отказов'!AH484)</f>
        <v/>
      </c>
      <c r="DC481">
        <f>IF('История отказов'!AE484="","",IF(AND(COUNTIF($CT$2:$CT$2,'История отказов'!AE484)=0,COUNTIFS('История отказов'!$F$5:F484,"ШГН",'История отказов'!$AE$5:AE484,'История отказов'!AE484)=1,'История отказов'!F484="ШГН"),480,""))</f>
        <v/>
      </c>
      <c r="DD481">
        <f>IF('История отказов'!AE484="","",IF(AND(COUNTIF($CU$2:$CU$3,'История отказов'!AE484)=0,COUNTIFS('История отказов'!$F$5:F484,"ЭЦН",'История отказов'!$AE$5:AE484,'История отказов'!AE484)=1,'История отказов'!F484="ЭЦН"),480,""))</f>
        <v/>
      </c>
      <c r="DE481">
        <f>IF('История отказов'!AE484="","",IF(AND(COUNTIF($CV$2:$CV$3,'История отказов'!AE484)=0,COUNTIFS('История отказов'!$F$5:F484,"ЭВН",'История отказов'!$AE$5:AE484,'История отказов'!AE484)=1,'История отказов'!F484="ЭВН"),480,""))</f>
        <v/>
      </c>
      <c r="DF481">
        <f>IF('История отказов'!AE484="","",IF(AND(COUNTIF($CX$2:$CX$2,'История отказов'!AE484)=0,COUNTIFS('История отказов'!$F$5:F484,"ШВН",'История отказов'!$AE$5:AE484,'История отказов'!AE484)=1,'История отказов'!F484="ШВН"),480,""))</f>
        <v/>
      </c>
      <c r="DG481">
        <f>IF('История отказов'!AE484="","",IF(AND(COUNTIF($CW$2:$CW$2,'История отказов'!AE484)=0,COUNTIFS('История отказов'!$F$5:F484,"НПУ-ВД",'История отказов'!$AE$5:AE484,'История отказов'!AE484)=1,'История отказов'!F484="НПУ-ВД"),480,""))</f>
        <v/>
      </c>
      <c r="DH481">
        <f>IF('История отказов'!AE484="","",IF(AND(COUNTIF($CY$2:$CY$6,'История отказов'!AE484)=0,COUNTIF('История отказов'!$AE$5:AE484,'История отказов'!AE484)=1),480,""))</f>
        <v/>
      </c>
      <c r="DI481">
        <f>IF('История отказов'!AK484="","",IF(AND(COUNTIF($CL$2:$CL$3,'История отказов'!AK484)=0,COUNTIF('История отказов'!$AK$5:AK484,'История отказов'!AK484)=1),480,""))</f>
        <v/>
      </c>
      <c r="DJ481">
        <f>IF('История отказов'!AU484="","",IF(AND(COUNTIF($CP$2:$CP$3,'История отказов'!AU484)=0,COUNTIF('История отказов'!$AU$5:AU484,'История отказов'!AU484)=1),480,""))</f>
        <v/>
      </c>
      <c r="DK481">
        <f>IF('История отказов'!AY484="","",IF(AND(COUNTIF($CR$2:$CR$2,'История отказов'!AY484)=0,COUNTIF('История отказов'!$AY$5:AY484,'История отказов'!AY484)=1),480,""))</f>
        <v/>
      </c>
      <c r="DL481">
        <f>IF(DB481="","",IF(AND(COUNTIF($DA$2:$DA$47,DB481)=0,COUNTIF($DB$2:DB481,DB481)=1),480,""))</f>
        <v/>
      </c>
    </row>
    <row r="482">
      <c r="A482" s="74" t="n"/>
      <c r="B482" s="75" t="n"/>
      <c r="C482" s="76" t="n"/>
      <c r="J482" s="62" t="n"/>
      <c r="K482" s="62" t="n"/>
      <c r="L482" s="62" t="n"/>
      <c r="M482" s="62" t="n"/>
      <c r="N482" s="62" t="n"/>
      <c r="Q482" t="inlineStr">
        <is>
          <t>Признак / предпосылка</t>
        </is>
      </c>
      <c r="R482" t="inlineStr">
        <is>
          <t>Рост тока утечки на землю</t>
        </is>
      </c>
      <c r="S482" t="inlineStr">
        <is>
          <t>Рабочий диагностический признак</t>
        </is>
      </c>
      <c r="T482" t="inlineStr">
        <is>
          <t>SLB, погружной мониторинг</t>
        </is>
      </c>
      <c r="U482" t="inlineStr">
        <is>
          <t>https://www.slb.com/products-and-services/innovating-in-oil-and-gas/completions/artificial-lift/intelligent-lift/gauges/phoenix-xt150-downhole-monitoring-system</t>
        </is>
      </c>
      <c r="V482" t="inlineStr">
        <is>
          <t>Электрическая погружная установка при наличии датчика</t>
        </is>
      </c>
      <c r="DB482">
        <f>IF('История отказов'!AH485="","",'История отказов'!AH485)</f>
        <v/>
      </c>
      <c r="DC482">
        <f>IF('История отказов'!AE485="","",IF(AND(COUNTIF($CT$2:$CT$2,'История отказов'!AE485)=0,COUNTIFS('История отказов'!$F$5:F485,"ШГН",'История отказов'!$AE$5:AE485,'История отказов'!AE485)=1,'История отказов'!F485="ШГН"),481,""))</f>
        <v/>
      </c>
      <c r="DD482">
        <f>IF('История отказов'!AE485="","",IF(AND(COUNTIF($CU$2:$CU$3,'История отказов'!AE485)=0,COUNTIFS('История отказов'!$F$5:F485,"ЭЦН",'История отказов'!$AE$5:AE485,'История отказов'!AE485)=1,'История отказов'!F485="ЭЦН"),481,""))</f>
        <v/>
      </c>
      <c r="DE482">
        <f>IF('История отказов'!AE485="","",IF(AND(COUNTIF($CV$2:$CV$3,'История отказов'!AE485)=0,COUNTIFS('История отказов'!$F$5:F485,"ЭВН",'История отказов'!$AE$5:AE485,'История отказов'!AE485)=1,'История отказов'!F485="ЭВН"),481,""))</f>
        <v/>
      </c>
      <c r="DF482">
        <f>IF('История отказов'!AE485="","",IF(AND(COUNTIF($CX$2:$CX$2,'История отказов'!AE485)=0,COUNTIFS('История отказов'!$F$5:F485,"ШВН",'История отказов'!$AE$5:AE485,'История отказов'!AE485)=1,'История отказов'!F485="ШВН"),481,""))</f>
        <v/>
      </c>
      <c r="DG482">
        <f>IF('История отказов'!AE485="","",IF(AND(COUNTIF($CW$2:$CW$2,'История отказов'!AE485)=0,COUNTIFS('История отказов'!$F$5:F485,"НПУ-ВД",'История отказов'!$AE$5:AE485,'История отказов'!AE485)=1,'История отказов'!F485="НПУ-ВД"),481,""))</f>
        <v/>
      </c>
      <c r="DH482">
        <f>IF('История отказов'!AE485="","",IF(AND(COUNTIF($CY$2:$CY$6,'История отказов'!AE485)=0,COUNTIF('История отказов'!$AE$5:AE485,'История отказов'!AE485)=1),481,""))</f>
        <v/>
      </c>
      <c r="DI482">
        <f>IF('История отказов'!AK485="","",IF(AND(COUNTIF($CL$2:$CL$3,'История отказов'!AK485)=0,COUNTIF('История отказов'!$AK$5:AK485,'История отказов'!AK485)=1),481,""))</f>
        <v/>
      </c>
      <c r="DJ482">
        <f>IF('История отказов'!AU485="","",IF(AND(COUNTIF($CP$2:$CP$3,'История отказов'!AU485)=0,COUNTIF('История отказов'!$AU$5:AU485,'История отказов'!AU485)=1),481,""))</f>
        <v/>
      </c>
      <c r="DK482">
        <f>IF('История отказов'!AY485="","",IF(AND(COUNTIF($CR$2:$CR$2,'История отказов'!AY485)=0,COUNTIF('История отказов'!$AY$5:AY485,'История отказов'!AY485)=1),481,""))</f>
        <v/>
      </c>
      <c r="DL482">
        <f>IF(DB482="","",IF(AND(COUNTIF($DA$2:$DA$47,DB482)=0,COUNTIF($DB$2:DB482,DB482)=1),481,""))</f>
        <v/>
      </c>
    </row>
    <row r="483">
      <c r="A483" s="74" t="n"/>
      <c r="B483" s="75" t="n"/>
      <c r="C483" s="76" t="n"/>
      <c r="J483" s="62" t="n"/>
      <c r="K483" s="62" t="n"/>
      <c r="L483" s="62" t="n"/>
      <c r="M483" s="62" t="n"/>
      <c r="N483" s="62" t="n"/>
      <c r="Q483" t="inlineStr">
        <is>
          <t>Признак / предпосылка</t>
        </is>
      </c>
      <c r="R483" t="inlineStr">
        <is>
          <t>Изменение давления на приёме насоса</t>
        </is>
      </c>
      <c r="S483" t="inlineStr">
        <is>
          <t>Рабочий диагностический признак</t>
        </is>
      </c>
      <c r="T483" t="inlineStr">
        <is>
          <t>Weatherford, диагностика УЭЦН</t>
        </is>
      </c>
      <c r="U483" t="inlineStr">
        <is>
          <t>https://www.slb.com/resource-library/oilfield-review/defining-series/defining-esp</t>
        </is>
      </c>
      <c r="V483" t="inlineStr">
        <is>
          <t>ЭЦН/ЭВН при наличии датчика давления</t>
        </is>
      </c>
      <c r="DB483">
        <f>IF('История отказов'!AH486="","",'История отказов'!AH486)</f>
        <v/>
      </c>
      <c r="DC483">
        <f>IF('История отказов'!AE486="","",IF(AND(COUNTIF($CT$2:$CT$2,'История отказов'!AE486)=0,COUNTIFS('История отказов'!$F$5:F486,"ШГН",'История отказов'!$AE$5:AE486,'История отказов'!AE486)=1,'История отказов'!F486="ШГН"),482,""))</f>
        <v/>
      </c>
      <c r="DD483">
        <f>IF('История отказов'!AE486="","",IF(AND(COUNTIF($CU$2:$CU$3,'История отказов'!AE486)=0,COUNTIFS('История отказов'!$F$5:F486,"ЭЦН",'История отказов'!$AE$5:AE486,'История отказов'!AE486)=1,'История отказов'!F486="ЭЦН"),482,""))</f>
        <v/>
      </c>
      <c r="DE483">
        <f>IF('История отказов'!AE486="","",IF(AND(COUNTIF($CV$2:$CV$3,'История отказов'!AE486)=0,COUNTIFS('История отказов'!$F$5:F486,"ЭВН",'История отказов'!$AE$5:AE486,'История отказов'!AE486)=1,'История отказов'!F486="ЭВН"),482,""))</f>
        <v/>
      </c>
      <c r="DF483">
        <f>IF('История отказов'!AE486="","",IF(AND(COUNTIF($CX$2:$CX$2,'История отказов'!AE486)=0,COUNTIFS('История отказов'!$F$5:F486,"ШВН",'История отказов'!$AE$5:AE486,'История отказов'!AE486)=1,'История отказов'!F486="ШВН"),482,""))</f>
        <v/>
      </c>
      <c r="DG483">
        <f>IF('История отказов'!AE486="","",IF(AND(COUNTIF($CW$2:$CW$2,'История отказов'!AE486)=0,COUNTIFS('История отказов'!$F$5:F486,"НПУ-ВД",'История отказов'!$AE$5:AE486,'История отказов'!AE486)=1,'История отказов'!F486="НПУ-ВД"),482,""))</f>
        <v/>
      </c>
      <c r="DH483">
        <f>IF('История отказов'!AE486="","",IF(AND(COUNTIF($CY$2:$CY$6,'История отказов'!AE486)=0,COUNTIF('История отказов'!$AE$5:AE486,'История отказов'!AE486)=1),482,""))</f>
        <v/>
      </c>
      <c r="DI483">
        <f>IF('История отказов'!AK486="","",IF(AND(COUNTIF($CL$2:$CL$3,'История отказов'!AK486)=0,COUNTIF('История отказов'!$AK$5:AK486,'История отказов'!AK486)=1),482,""))</f>
        <v/>
      </c>
      <c r="DJ483">
        <f>IF('История отказов'!AU486="","",IF(AND(COUNTIF($CP$2:$CP$3,'История отказов'!AU486)=0,COUNTIF('История отказов'!$AU$5:AU486,'История отказов'!AU486)=1),482,""))</f>
        <v/>
      </c>
      <c r="DK483">
        <f>IF('История отказов'!AY486="","",IF(AND(COUNTIF($CR$2:$CR$2,'История отказов'!AY486)=0,COUNTIF('История отказов'!$AY$5:AY486,'История отказов'!AY486)=1),482,""))</f>
        <v/>
      </c>
      <c r="DL483">
        <f>IF(DB483="","",IF(AND(COUNTIF($DA$2:$DA$47,DB483)=0,COUNTIF($DB$2:DB483,DB483)=1),482,""))</f>
        <v/>
      </c>
    </row>
    <row r="484">
      <c r="A484" s="74" t="n"/>
      <c r="B484" s="75" t="n"/>
      <c r="C484" s="76" t="n"/>
      <c r="J484" s="62" t="n"/>
      <c r="K484" s="62" t="n"/>
      <c r="L484" s="62" t="n"/>
      <c r="M484" s="62" t="n"/>
      <c r="N484" s="62" t="n"/>
      <c r="Q484" t="inlineStr">
        <is>
          <t>Признак / предпосылка</t>
        </is>
      </c>
      <c r="R484" t="inlineStr">
        <is>
          <t>Подозрение на износ насоса по трендам тока и давления</t>
        </is>
      </c>
      <c r="S484" t="inlineStr">
        <is>
          <t>Рабочий диагностический признак</t>
        </is>
      </c>
      <c r="T484" t="inlineStr">
        <is>
          <t>Weatherford, диагностика УЭЦН</t>
        </is>
      </c>
      <c r="U484" t="inlineStr">
        <is>
          <t>https://www.slb.com/resource-library/oilfield-review/defining-series/defining-esp</t>
        </is>
      </c>
      <c r="V484" t="inlineStr">
        <is>
          <t>ЭЦН/ЭВН; предварительно</t>
        </is>
      </c>
      <c r="DB484">
        <f>IF('История отказов'!AH487="","",'История отказов'!AH487)</f>
        <v/>
      </c>
      <c r="DC484">
        <f>IF('История отказов'!AE487="","",IF(AND(COUNTIF($CT$2:$CT$2,'История отказов'!AE487)=0,COUNTIFS('История отказов'!$F$5:F487,"ШГН",'История отказов'!$AE$5:AE487,'История отказов'!AE487)=1,'История отказов'!F487="ШГН"),483,""))</f>
        <v/>
      </c>
      <c r="DD484">
        <f>IF('История отказов'!AE487="","",IF(AND(COUNTIF($CU$2:$CU$3,'История отказов'!AE487)=0,COUNTIFS('История отказов'!$F$5:F487,"ЭЦН",'История отказов'!$AE$5:AE487,'История отказов'!AE487)=1,'История отказов'!F487="ЭЦН"),483,""))</f>
        <v/>
      </c>
      <c r="DE484">
        <f>IF('История отказов'!AE487="","",IF(AND(COUNTIF($CV$2:$CV$3,'История отказов'!AE487)=0,COUNTIFS('История отказов'!$F$5:F487,"ЭВН",'История отказов'!$AE$5:AE487,'История отказов'!AE487)=1,'История отказов'!F487="ЭВН"),483,""))</f>
        <v/>
      </c>
      <c r="DF484">
        <f>IF('История отказов'!AE487="","",IF(AND(COUNTIF($CX$2:$CX$2,'История отказов'!AE487)=0,COUNTIFS('История отказов'!$F$5:F487,"ШВН",'История отказов'!$AE$5:AE487,'История отказов'!AE487)=1,'История отказов'!F487="ШВН"),483,""))</f>
        <v/>
      </c>
      <c r="DG484">
        <f>IF('История отказов'!AE487="","",IF(AND(COUNTIF($CW$2:$CW$2,'История отказов'!AE487)=0,COUNTIFS('История отказов'!$F$5:F487,"НПУ-ВД",'История отказов'!$AE$5:AE487,'История отказов'!AE487)=1,'История отказов'!F487="НПУ-ВД"),483,""))</f>
        <v/>
      </c>
      <c r="DH484">
        <f>IF('История отказов'!AE487="","",IF(AND(COUNTIF($CY$2:$CY$6,'История отказов'!AE487)=0,COUNTIF('История отказов'!$AE$5:AE487,'История отказов'!AE487)=1),483,""))</f>
        <v/>
      </c>
      <c r="DI484">
        <f>IF('История отказов'!AK487="","",IF(AND(COUNTIF($CL$2:$CL$3,'История отказов'!AK487)=0,COUNTIF('История отказов'!$AK$5:AK487,'История отказов'!AK487)=1),483,""))</f>
        <v/>
      </c>
      <c r="DJ484">
        <f>IF('История отказов'!AU487="","",IF(AND(COUNTIF($CP$2:$CP$3,'История отказов'!AU487)=0,COUNTIF('История отказов'!$AU$5:AU487,'История отказов'!AU487)=1),483,""))</f>
        <v/>
      </c>
      <c r="DK484">
        <f>IF('История отказов'!AY487="","",IF(AND(COUNTIF($CR$2:$CR$2,'История отказов'!AY487)=0,COUNTIF('История отказов'!$AY$5:AY487,'История отказов'!AY487)=1),483,""))</f>
        <v/>
      </c>
      <c r="DL484">
        <f>IF(DB484="","",IF(AND(COUNTIF($DA$2:$DA$47,DB484)=0,COUNTIF($DB$2:DB484,DB484)=1),483,""))</f>
        <v/>
      </c>
    </row>
    <row r="485">
      <c r="A485" s="74" t="n"/>
      <c r="B485" s="75" t="n"/>
      <c r="C485" s="76" t="n"/>
      <c r="J485" s="62" t="n"/>
      <c r="K485" s="62" t="n"/>
      <c r="L485" s="62" t="n"/>
      <c r="M485" s="62" t="n"/>
      <c r="N485" s="62" t="n"/>
      <c r="Q485" t="inlineStr">
        <is>
          <t>Признак / предпосылка</t>
        </is>
      </c>
      <c r="R485" t="inlineStr">
        <is>
          <t>Недозаполнение насоса по динамограмме</t>
        </is>
      </c>
      <c r="S485" t="inlineStr">
        <is>
          <t>Рабочий диагностический признак</t>
        </is>
      </c>
      <c r="T485" t="inlineStr">
        <is>
          <t>Weatherford, диагностика УШГН</t>
        </is>
      </c>
      <c r="U485" t="inlineStr">
        <is>
          <t>https://hs.weatherford.com/knowledge/srp-solution-logic</t>
        </is>
      </c>
      <c r="V485" t="inlineStr">
        <is>
          <t>ШГН при наличии динамограммы</t>
        </is>
      </c>
      <c r="DB485">
        <f>IF('История отказов'!AH488="","",'История отказов'!AH488)</f>
        <v/>
      </c>
      <c r="DC485">
        <f>IF('История отказов'!AE488="","",IF(AND(COUNTIF($CT$2:$CT$2,'История отказов'!AE488)=0,COUNTIFS('История отказов'!$F$5:F488,"ШГН",'История отказов'!$AE$5:AE488,'История отказов'!AE488)=1,'История отказов'!F488="ШГН"),484,""))</f>
        <v/>
      </c>
      <c r="DD485">
        <f>IF('История отказов'!AE488="","",IF(AND(COUNTIF($CU$2:$CU$3,'История отказов'!AE488)=0,COUNTIFS('История отказов'!$F$5:F488,"ЭЦН",'История отказов'!$AE$5:AE488,'История отказов'!AE488)=1,'История отказов'!F488="ЭЦН"),484,""))</f>
        <v/>
      </c>
      <c r="DE485">
        <f>IF('История отказов'!AE488="","",IF(AND(COUNTIF($CV$2:$CV$3,'История отказов'!AE488)=0,COUNTIFS('История отказов'!$F$5:F488,"ЭВН",'История отказов'!$AE$5:AE488,'История отказов'!AE488)=1,'История отказов'!F488="ЭВН"),484,""))</f>
        <v/>
      </c>
      <c r="DF485">
        <f>IF('История отказов'!AE488="","",IF(AND(COUNTIF($CX$2:$CX$2,'История отказов'!AE488)=0,COUNTIFS('История отказов'!$F$5:F488,"ШВН",'История отказов'!$AE$5:AE488,'История отказов'!AE488)=1,'История отказов'!F488="ШВН"),484,""))</f>
        <v/>
      </c>
      <c r="DG485">
        <f>IF('История отказов'!AE488="","",IF(AND(COUNTIF($CW$2:$CW$2,'История отказов'!AE488)=0,COUNTIFS('История отказов'!$F$5:F488,"НПУ-ВД",'История отказов'!$AE$5:AE488,'История отказов'!AE488)=1,'История отказов'!F488="НПУ-ВД"),484,""))</f>
        <v/>
      </c>
      <c r="DH485">
        <f>IF('История отказов'!AE488="","",IF(AND(COUNTIF($CY$2:$CY$6,'История отказов'!AE488)=0,COUNTIF('История отказов'!$AE$5:AE488,'История отказов'!AE488)=1),484,""))</f>
        <v/>
      </c>
      <c r="DI485">
        <f>IF('История отказов'!AK488="","",IF(AND(COUNTIF($CL$2:$CL$3,'История отказов'!AK488)=0,COUNTIF('История отказов'!$AK$5:AK488,'История отказов'!AK488)=1),484,""))</f>
        <v/>
      </c>
      <c r="DJ485">
        <f>IF('История отказов'!AU488="","",IF(AND(COUNTIF($CP$2:$CP$3,'История отказов'!AU488)=0,COUNTIF('История отказов'!$AU$5:AU488,'История отказов'!AU488)=1),484,""))</f>
        <v/>
      </c>
      <c r="DK485">
        <f>IF('История отказов'!AY488="","",IF(AND(COUNTIF($CR$2:$CR$2,'История отказов'!AY488)=0,COUNTIF('История отказов'!$AY$5:AY488,'История отказов'!AY488)=1),484,""))</f>
        <v/>
      </c>
      <c r="DL485">
        <f>IF(DB485="","",IF(AND(COUNTIF($DA$2:$DA$47,DB485)=0,COUNTIF($DB$2:DB485,DB485)=1),484,""))</f>
        <v/>
      </c>
    </row>
    <row r="486">
      <c r="A486" s="74" t="n"/>
      <c r="B486" s="75" t="n"/>
      <c r="C486" s="76" t="n"/>
      <c r="J486" s="62" t="n"/>
      <c r="K486" s="62" t="n"/>
      <c r="L486" s="62" t="n"/>
      <c r="M486" s="62" t="n"/>
      <c r="N486" s="62" t="n"/>
      <c r="Q486" t="inlineStr">
        <is>
          <t>Признак / предпосылка</t>
        </is>
      </c>
      <c r="R486" t="inlineStr">
        <is>
          <t>Признаки утечки клапана по динамограмме</t>
        </is>
      </c>
      <c r="S486" t="inlineStr">
        <is>
          <t>Рабочий диагностический признак</t>
        </is>
      </c>
      <c r="T486" t="inlineStr">
        <is>
          <t>Weatherford, диагностика УШГН</t>
        </is>
      </c>
      <c r="U486" t="inlineStr">
        <is>
          <t>https://hs.weatherford.com/knowledge/srp-solution-logic</t>
        </is>
      </c>
      <c r="V486" t="inlineStr">
        <is>
          <t>ШГН при наличии динамограммы</t>
        </is>
      </c>
      <c r="DB486">
        <f>IF('История отказов'!AH489="","",'История отказов'!AH489)</f>
        <v/>
      </c>
      <c r="DC486">
        <f>IF('История отказов'!AE489="","",IF(AND(COUNTIF($CT$2:$CT$2,'История отказов'!AE489)=0,COUNTIFS('История отказов'!$F$5:F489,"ШГН",'История отказов'!$AE$5:AE489,'История отказов'!AE489)=1,'История отказов'!F489="ШГН"),485,""))</f>
        <v/>
      </c>
      <c r="DD486">
        <f>IF('История отказов'!AE489="","",IF(AND(COUNTIF($CU$2:$CU$3,'История отказов'!AE489)=0,COUNTIFS('История отказов'!$F$5:F489,"ЭЦН",'История отказов'!$AE$5:AE489,'История отказов'!AE489)=1,'История отказов'!F489="ЭЦН"),485,""))</f>
        <v/>
      </c>
      <c r="DE486">
        <f>IF('История отказов'!AE489="","",IF(AND(COUNTIF($CV$2:$CV$3,'История отказов'!AE489)=0,COUNTIFS('История отказов'!$F$5:F489,"ЭВН",'История отказов'!$AE$5:AE489,'История отказов'!AE489)=1,'История отказов'!F489="ЭВН"),485,""))</f>
        <v/>
      </c>
      <c r="DF486">
        <f>IF('История отказов'!AE489="","",IF(AND(COUNTIF($CX$2:$CX$2,'История отказов'!AE489)=0,COUNTIFS('История отказов'!$F$5:F489,"ШВН",'История отказов'!$AE$5:AE489,'История отказов'!AE489)=1,'История отказов'!F489="ШВН"),485,""))</f>
        <v/>
      </c>
      <c r="DG486">
        <f>IF('История отказов'!AE489="","",IF(AND(COUNTIF($CW$2:$CW$2,'История отказов'!AE489)=0,COUNTIFS('История отказов'!$F$5:F489,"НПУ-ВД",'История отказов'!$AE$5:AE489,'История отказов'!AE489)=1,'История отказов'!F489="НПУ-ВД"),485,""))</f>
        <v/>
      </c>
      <c r="DH486">
        <f>IF('История отказов'!AE489="","",IF(AND(COUNTIF($CY$2:$CY$6,'История отказов'!AE489)=0,COUNTIF('История отказов'!$AE$5:AE489,'История отказов'!AE489)=1),485,""))</f>
        <v/>
      </c>
      <c r="DI486">
        <f>IF('История отказов'!AK489="","",IF(AND(COUNTIF($CL$2:$CL$3,'История отказов'!AK489)=0,COUNTIF('История отказов'!$AK$5:AK489,'История отказов'!AK489)=1),485,""))</f>
        <v/>
      </c>
      <c r="DJ486">
        <f>IF('История отказов'!AU489="","",IF(AND(COUNTIF($CP$2:$CP$3,'История отказов'!AU489)=0,COUNTIF('История отказов'!$AU$5:AU489,'История отказов'!AU489)=1),485,""))</f>
        <v/>
      </c>
      <c r="DK486">
        <f>IF('История отказов'!AY489="","",IF(AND(COUNTIF($CR$2:$CR$2,'История отказов'!AY489)=0,COUNTIF('История отказов'!$AY$5:AY489,'История отказов'!AY489)=1),485,""))</f>
        <v/>
      </c>
      <c r="DL486">
        <f>IF(DB486="","",IF(AND(COUNTIF($DA$2:$DA$47,DB486)=0,COUNTIF($DB$2:DB486,DB486)=1),485,""))</f>
        <v/>
      </c>
    </row>
    <row r="487">
      <c r="A487" s="74" t="n"/>
      <c r="B487" s="75" t="n"/>
      <c r="C487" s="76" t="n"/>
      <c r="J487" s="62" t="n"/>
      <c r="K487" s="62" t="n"/>
      <c r="L487" s="62" t="n"/>
      <c r="M487" s="62" t="n"/>
      <c r="N487" s="62" t="n"/>
      <c r="Q487" t="inlineStr">
        <is>
          <t>Признак / предпосылка</t>
        </is>
      </c>
      <c r="R487" t="inlineStr">
        <is>
          <t>Признаки газового влияния по динамограмме</t>
        </is>
      </c>
      <c r="S487" t="inlineStr">
        <is>
          <t>Рабочий диагностический признак</t>
        </is>
      </c>
      <c r="T487" t="inlineStr">
        <is>
          <t>Weatherford, диагностика УШГН</t>
        </is>
      </c>
      <c r="U487" t="inlineStr">
        <is>
          <t>https://hs.weatherford.com/knowledge/srp-solution-logic</t>
        </is>
      </c>
      <c r="V487" t="inlineStr">
        <is>
          <t>ШГН при наличии динамограммы</t>
        </is>
      </c>
      <c r="DB487">
        <f>IF('История отказов'!AH490="","",'История отказов'!AH490)</f>
        <v/>
      </c>
      <c r="DC487">
        <f>IF('История отказов'!AE490="","",IF(AND(COUNTIF($CT$2:$CT$2,'История отказов'!AE490)=0,COUNTIFS('История отказов'!$F$5:F490,"ШГН",'История отказов'!$AE$5:AE490,'История отказов'!AE490)=1,'История отказов'!F490="ШГН"),486,""))</f>
        <v/>
      </c>
      <c r="DD487">
        <f>IF('История отказов'!AE490="","",IF(AND(COUNTIF($CU$2:$CU$3,'История отказов'!AE490)=0,COUNTIFS('История отказов'!$F$5:F490,"ЭЦН",'История отказов'!$AE$5:AE490,'История отказов'!AE490)=1,'История отказов'!F490="ЭЦН"),486,""))</f>
        <v/>
      </c>
      <c r="DE487">
        <f>IF('История отказов'!AE490="","",IF(AND(COUNTIF($CV$2:$CV$3,'История отказов'!AE490)=0,COUNTIFS('История отказов'!$F$5:F490,"ЭВН",'История отказов'!$AE$5:AE490,'История отказов'!AE490)=1,'История отказов'!F490="ЭВН"),486,""))</f>
        <v/>
      </c>
      <c r="DF487">
        <f>IF('История отказов'!AE490="","",IF(AND(COUNTIF($CX$2:$CX$2,'История отказов'!AE490)=0,COUNTIFS('История отказов'!$F$5:F490,"ШВН",'История отказов'!$AE$5:AE490,'История отказов'!AE490)=1,'История отказов'!F490="ШВН"),486,""))</f>
        <v/>
      </c>
      <c r="DG487">
        <f>IF('История отказов'!AE490="","",IF(AND(COUNTIF($CW$2:$CW$2,'История отказов'!AE490)=0,COUNTIFS('История отказов'!$F$5:F490,"НПУ-ВД",'История отказов'!$AE$5:AE490,'История отказов'!AE490)=1,'История отказов'!F490="НПУ-ВД"),486,""))</f>
        <v/>
      </c>
      <c r="DH487">
        <f>IF('История отказов'!AE490="","",IF(AND(COUNTIF($CY$2:$CY$6,'История отказов'!AE490)=0,COUNTIF('История отказов'!$AE$5:AE490,'История отказов'!AE490)=1),486,""))</f>
        <v/>
      </c>
      <c r="DI487">
        <f>IF('История отказов'!AK490="","",IF(AND(COUNTIF($CL$2:$CL$3,'История отказов'!AK490)=0,COUNTIF('История отказов'!$AK$5:AK490,'История отказов'!AK490)=1),486,""))</f>
        <v/>
      </c>
      <c r="DJ487">
        <f>IF('История отказов'!AU490="","",IF(AND(COUNTIF($CP$2:$CP$3,'История отказов'!AU490)=0,COUNTIF('История отказов'!$AU$5:AU490,'История отказов'!AU490)=1),486,""))</f>
        <v/>
      </c>
      <c r="DK487">
        <f>IF('История отказов'!AY490="","",IF(AND(COUNTIF($CR$2:$CR$2,'История отказов'!AY490)=0,COUNTIF('История отказов'!$AY$5:AY490,'История отказов'!AY490)=1),486,""))</f>
        <v/>
      </c>
      <c r="DL487">
        <f>IF(DB487="","",IF(AND(COUNTIF($DA$2:$DA$47,DB487)=0,COUNTIF($DB$2:DB487,DB487)=1),486,""))</f>
        <v/>
      </c>
    </row>
    <row r="488">
      <c r="A488" s="74" t="n"/>
      <c r="B488" s="75" t="n"/>
      <c r="C488" s="76" t="n"/>
      <c r="J488" s="62" t="n"/>
      <c r="K488" s="62" t="n"/>
      <c r="L488" s="62" t="n"/>
      <c r="M488" s="62" t="n"/>
      <c r="N488" s="62" t="n"/>
      <c r="Q488" t="inlineStr">
        <is>
          <t>Признак / предпосылка</t>
        </is>
      </c>
      <c r="R488" t="inlineStr">
        <is>
          <t>Удар плунжера по динамограмме</t>
        </is>
      </c>
      <c r="S488" t="inlineStr">
        <is>
          <t>Рабочий диагностический признак</t>
        </is>
      </c>
      <c r="T488" t="inlineStr">
        <is>
          <t>Weatherford, диагностика УШГН</t>
        </is>
      </c>
      <c r="U488" t="inlineStr">
        <is>
          <t>https://hs.weatherford.com/knowledge/srp-solution-logic</t>
        </is>
      </c>
      <c r="V488" t="inlineStr">
        <is>
          <t>ШГН при наличии динамограммы</t>
        </is>
      </c>
      <c r="DB488">
        <f>IF('История отказов'!AH491="","",'История отказов'!AH491)</f>
        <v/>
      </c>
      <c r="DC488">
        <f>IF('История отказов'!AE491="","",IF(AND(COUNTIF($CT$2:$CT$2,'История отказов'!AE491)=0,COUNTIFS('История отказов'!$F$5:F491,"ШГН",'История отказов'!$AE$5:AE491,'История отказов'!AE491)=1,'История отказов'!F491="ШГН"),487,""))</f>
        <v/>
      </c>
      <c r="DD488">
        <f>IF('История отказов'!AE491="","",IF(AND(COUNTIF($CU$2:$CU$3,'История отказов'!AE491)=0,COUNTIFS('История отказов'!$F$5:F491,"ЭЦН",'История отказов'!$AE$5:AE491,'История отказов'!AE491)=1,'История отказов'!F491="ЭЦН"),487,""))</f>
        <v/>
      </c>
      <c r="DE488">
        <f>IF('История отказов'!AE491="","",IF(AND(COUNTIF($CV$2:$CV$3,'История отказов'!AE491)=0,COUNTIFS('История отказов'!$F$5:F491,"ЭВН",'История отказов'!$AE$5:AE491,'История отказов'!AE491)=1,'История отказов'!F491="ЭВН"),487,""))</f>
        <v/>
      </c>
      <c r="DF488">
        <f>IF('История отказов'!AE491="","",IF(AND(COUNTIF($CX$2:$CX$2,'История отказов'!AE491)=0,COUNTIFS('История отказов'!$F$5:F491,"ШВН",'История отказов'!$AE$5:AE491,'История отказов'!AE491)=1,'История отказов'!F491="ШВН"),487,""))</f>
        <v/>
      </c>
      <c r="DG488">
        <f>IF('История отказов'!AE491="","",IF(AND(COUNTIF($CW$2:$CW$2,'История отказов'!AE491)=0,COUNTIFS('История отказов'!$F$5:F491,"НПУ-ВД",'История отказов'!$AE$5:AE491,'История отказов'!AE491)=1,'История отказов'!F491="НПУ-ВД"),487,""))</f>
        <v/>
      </c>
      <c r="DH488">
        <f>IF('История отказов'!AE491="","",IF(AND(COUNTIF($CY$2:$CY$6,'История отказов'!AE491)=0,COUNTIF('История отказов'!$AE$5:AE491,'История отказов'!AE491)=1),487,""))</f>
        <v/>
      </c>
      <c r="DI488">
        <f>IF('История отказов'!AK491="","",IF(AND(COUNTIF($CL$2:$CL$3,'История отказов'!AK491)=0,COUNTIF('История отказов'!$AK$5:AK491,'История отказов'!AK491)=1),487,""))</f>
        <v/>
      </c>
      <c r="DJ488">
        <f>IF('История отказов'!AU491="","",IF(AND(COUNTIF($CP$2:$CP$3,'История отказов'!AU491)=0,COUNTIF('История отказов'!$AU$5:AU491,'История отказов'!AU491)=1),487,""))</f>
        <v/>
      </c>
      <c r="DK488">
        <f>IF('История отказов'!AY491="","",IF(AND(COUNTIF($CR$2:$CR$2,'История отказов'!AY491)=0,COUNTIF('История отказов'!$AY$5:AY491,'История отказов'!AY491)=1),487,""))</f>
        <v/>
      </c>
      <c r="DL488">
        <f>IF(DB488="","",IF(AND(COUNTIF($DA$2:$DA$47,DB488)=0,COUNTIF($DB$2:DB488,DB488)=1),487,""))</f>
        <v/>
      </c>
    </row>
    <row r="489">
      <c r="A489" s="74" t="n"/>
      <c r="B489" s="75" t="n"/>
      <c r="C489" s="76" t="n"/>
      <c r="J489" s="62" t="n"/>
      <c r="K489" s="62" t="n"/>
      <c r="L489" s="62" t="n"/>
      <c r="M489" s="62" t="n"/>
      <c r="N489" s="62" t="n"/>
      <c r="Q489" t="inlineStr">
        <is>
          <t>Отказавший узел</t>
        </is>
      </c>
      <c r="R489" t="inlineStr">
        <is>
          <t>Рабочее колесо ЭЦН</t>
        </is>
      </c>
      <c r="S489" t="inlineStr">
        <is>
          <t>Номенклатура узла из технического источника</t>
        </is>
      </c>
      <c r="T489" t="inlineStr">
        <is>
          <t>SLB, состав УЭЦН</t>
        </is>
      </c>
      <c r="U489" t="inlineStr">
        <is>
          <t>https://www.slb.com/resource-library/oilfield-review/defining-series/defining-esp</t>
        </is>
      </c>
      <c r="V489" t="inlineStr">
        <is>
          <t>ЭЦН</t>
        </is>
      </c>
      <c r="DB489">
        <f>IF('История отказов'!AH492="","",'История отказов'!AH492)</f>
        <v/>
      </c>
      <c r="DC489">
        <f>IF('История отказов'!AE492="","",IF(AND(COUNTIF($CT$2:$CT$2,'История отказов'!AE492)=0,COUNTIFS('История отказов'!$F$5:F492,"ШГН",'История отказов'!$AE$5:AE492,'История отказов'!AE492)=1,'История отказов'!F492="ШГН"),488,""))</f>
        <v/>
      </c>
      <c r="DD489">
        <f>IF('История отказов'!AE492="","",IF(AND(COUNTIF($CU$2:$CU$3,'История отказов'!AE492)=0,COUNTIFS('История отказов'!$F$5:F492,"ЭЦН",'История отказов'!$AE$5:AE492,'История отказов'!AE492)=1,'История отказов'!F492="ЭЦН"),488,""))</f>
        <v/>
      </c>
      <c r="DE489">
        <f>IF('История отказов'!AE492="","",IF(AND(COUNTIF($CV$2:$CV$3,'История отказов'!AE492)=0,COUNTIFS('История отказов'!$F$5:F492,"ЭВН",'История отказов'!$AE$5:AE492,'История отказов'!AE492)=1,'История отказов'!F492="ЭВН"),488,""))</f>
        <v/>
      </c>
      <c r="DF489">
        <f>IF('История отказов'!AE492="","",IF(AND(COUNTIF($CX$2:$CX$2,'История отказов'!AE492)=0,COUNTIFS('История отказов'!$F$5:F492,"ШВН",'История отказов'!$AE$5:AE492,'История отказов'!AE492)=1,'История отказов'!F492="ШВН"),488,""))</f>
        <v/>
      </c>
      <c r="DG489">
        <f>IF('История отказов'!AE492="","",IF(AND(COUNTIF($CW$2:$CW$2,'История отказов'!AE492)=0,COUNTIFS('История отказов'!$F$5:F492,"НПУ-ВД",'История отказов'!$AE$5:AE492,'История отказов'!AE492)=1,'История отказов'!F492="НПУ-ВД"),488,""))</f>
        <v/>
      </c>
      <c r="DH489">
        <f>IF('История отказов'!AE492="","",IF(AND(COUNTIF($CY$2:$CY$6,'История отказов'!AE492)=0,COUNTIF('История отказов'!$AE$5:AE492,'История отказов'!AE492)=1),488,""))</f>
        <v/>
      </c>
      <c r="DI489">
        <f>IF('История отказов'!AK492="","",IF(AND(COUNTIF($CL$2:$CL$3,'История отказов'!AK492)=0,COUNTIF('История отказов'!$AK$5:AK492,'История отказов'!AK492)=1),488,""))</f>
        <v/>
      </c>
      <c r="DJ489">
        <f>IF('История отказов'!AU492="","",IF(AND(COUNTIF($CP$2:$CP$3,'История отказов'!AU492)=0,COUNTIF('История отказов'!$AU$5:AU492,'История отказов'!AU492)=1),488,""))</f>
        <v/>
      </c>
      <c r="DK489">
        <f>IF('История отказов'!AY492="","",IF(AND(COUNTIF($CR$2:$CR$2,'История отказов'!AY492)=0,COUNTIF('История отказов'!$AY$5:AY492,'История отказов'!AY492)=1),488,""))</f>
        <v/>
      </c>
      <c r="DL489">
        <f>IF(DB489="","",IF(AND(COUNTIF($DA$2:$DA$47,DB489)=0,COUNTIF($DB$2:DB489,DB489)=1),488,""))</f>
        <v/>
      </c>
    </row>
    <row r="490">
      <c r="A490" s="74" t="n"/>
      <c r="B490" s="75" t="n"/>
      <c r="C490" s="76" t="n"/>
      <c r="J490" s="62" t="n"/>
      <c r="K490" s="62" t="n"/>
      <c r="L490" s="62" t="n"/>
      <c r="M490" s="62" t="n"/>
      <c r="N490" s="62" t="n"/>
      <c r="Q490" t="inlineStr">
        <is>
          <t>Отказавший узел</t>
        </is>
      </c>
      <c r="R490" t="inlineStr">
        <is>
          <t>Направляющий аппарат ЭЦН</t>
        </is>
      </c>
      <c r="S490" t="inlineStr">
        <is>
          <t>Номенклатура узла из технического источника</t>
        </is>
      </c>
      <c r="T490" t="inlineStr">
        <is>
          <t>SLB, разбор УЭЦН с эрозией</t>
        </is>
      </c>
      <c r="U490" t="inlineStr">
        <is>
          <t>https://www.slb.com/resource-library/case-study-with-navigation/al/reda-maximus-colombia-cs</t>
        </is>
      </c>
      <c r="V490" t="inlineStr">
        <is>
          <t>ЭЦН</t>
        </is>
      </c>
      <c r="DB490">
        <f>IF('История отказов'!AH493="","",'История отказов'!AH493)</f>
        <v/>
      </c>
      <c r="DC490">
        <f>IF('История отказов'!AE493="","",IF(AND(COUNTIF($CT$2:$CT$2,'История отказов'!AE493)=0,COUNTIFS('История отказов'!$F$5:F493,"ШГН",'История отказов'!$AE$5:AE493,'История отказов'!AE493)=1,'История отказов'!F493="ШГН"),489,""))</f>
        <v/>
      </c>
      <c r="DD490">
        <f>IF('История отказов'!AE493="","",IF(AND(COUNTIF($CU$2:$CU$3,'История отказов'!AE493)=0,COUNTIFS('История отказов'!$F$5:F493,"ЭЦН",'История отказов'!$AE$5:AE493,'История отказов'!AE493)=1,'История отказов'!F493="ЭЦН"),489,""))</f>
        <v/>
      </c>
      <c r="DE490">
        <f>IF('История отказов'!AE493="","",IF(AND(COUNTIF($CV$2:$CV$3,'История отказов'!AE493)=0,COUNTIFS('История отказов'!$F$5:F493,"ЭВН",'История отказов'!$AE$5:AE493,'История отказов'!AE493)=1,'История отказов'!F493="ЭВН"),489,""))</f>
        <v/>
      </c>
      <c r="DF490">
        <f>IF('История отказов'!AE493="","",IF(AND(COUNTIF($CX$2:$CX$2,'История отказов'!AE493)=0,COUNTIFS('История отказов'!$F$5:F493,"ШВН",'История отказов'!$AE$5:AE493,'История отказов'!AE493)=1,'История отказов'!F493="ШВН"),489,""))</f>
        <v/>
      </c>
      <c r="DG490">
        <f>IF('История отказов'!AE493="","",IF(AND(COUNTIF($CW$2:$CW$2,'История отказов'!AE493)=0,COUNTIFS('История отказов'!$F$5:F493,"НПУ-ВД",'История отказов'!$AE$5:AE493,'История отказов'!AE493)=1,'История отказов'!F493="НПУ-ВД"),489,""))</f>
        <v/>
      </c>
      <c r="DH490">
        <f>IF('История отказов'!AE493="","",IF(AND(COUNTIF($CY$2:$CY$6,'История отказов'!AE493)=0,COUNTIF('История отказов'!$AE$5:AE493,'История отказов'!AE493)=1),489,""))</f>
        <v/>
      </c>
      <c r="DI490">
        <f>IF('История отказов'!AK493="","",IF(AND(COUNTIF($CL$2:$CL$3,'История отказов'!AK493)=0,COUNTIF('История отказов'!$AK$5:AK493,'История отказов'!AK493)=1),489,""))</f>
        <v/>
      </c>
      <c r="DJ490">
        <f>IF('История отказов'!AU493="","",IF(AND(COUNTIF($CP$2:$CP$3,'История отказов'!AU493)=0,COUNTIF('История отказов'!$AU$5:AU493,'История отказов'!AU493)=1),489,""))</f>
        <v/>
      </c>
      <c r="DK490">
        <f>IF('История отказов'!AY493="","",IF(AND(COUNTIF($CR$2:$CR$2,'История отказов'!AY493)=0,COUNTIF('История отказов'!$AY$5:AY493,'История отказов'!AY493)=1),489,""))</f>
        <v/>
      </c>
      <c r="DL490">
        <f>IF(DB490="","",IF(AND(COUNTIF($DA$2:$DA$47,DB490)=0,COUNTIF($DB$2:DB490,DB490)=1),489,""))</f>
        <v/>
      </c>
    </row>
    <row r="491">
      <c r="A491" s="74" t="n"/>
      <c r="B491" s="75" t="n"/>
      <c r="C491" s="76" t="n"/>
      <c r="J491" s="62" t="n"/>
      <c r="K491" s="62" t="n"/>
      <c r="L491" s="62" t="n"/>
      <c r="M491" s="62" t="n"/>
      <c r="N491" s="62" t="n"/>
      <c r="Q491" t="inlineStr">
        <is>
          <t>Отказавший узел</t>
        </is>
      </c>
      <c r="R491" t="inlineStr">
        <is>
          <t>Радиальный подшипник насоса</t>
        </is>
      </c>
      <c r="S491" t="inlineStr">
        <is>
          <t>Номенклатура узла из технического источника</t>
        </is>
      </c>
      <c r="T491" t="inlineStr">
        <is>
          <t>SLB, дефектовка абразивного износа</t>
        </is>
      </c>
      <c r="U491" t="inlineStr">
        <is>
          <t>https://www.slb.com/resource-library/case-study-with-navigation/al/reda-maximus-colombia-cs</t>
        </is>
      </c>
      <c r="V491" t="inlineStr">
        <is>
          <t>ЭЦН по комплектации</t>
        </is>
      </c>
      <c r="DB491">
        <f>IF('История отказов'!AH494="","",'История отказов'!AH494)</f>
        <v/>
      </c>
      <c r="DC491">
        <f>IF('История отказов'!AE494="","",IF(AND(COUNTIF($CT$2:$CT$2,'История отказов'!AE494)=0,COUNTIFS('История отказов'!$F$5:F494,"ШГН",'История отказов'!$AE$5:AE494,'История отказов'!AE494)=1,'История отказов'!F494="ШГН"),490,""))</f>
        <v/>
      </c>
      <c r="DD491">
        <f>IF('История отказов'!AE494="","",IF(AND(COUNTIF($CU$2:$CU$3,'История отказов'!AE494)=0,COUNTIFS('История отказов'!$F$5:F494,"ЭЦН",'История отказов'!$AE$5:AE494,'История отказов'!AE494)=1,'История отказов'!F494="ЭЦН"),490,""))</f>
        <v/>
      </c>
      <c r="DE491">
        <f>IF('История отказов'!AE494="","",IF(AND(COUNTIF($CV$2:$CV$3,'История отказов'!AE494)=0,COUNTIFS('История отказов'!$F$5:F494,"ЭВН",'История отказов'!$AE$5:AE494,'История отказов'!AE494)=1,'История отказов'!F494="ЭВН"),490,""))</f>
        <v/>
      </c>
      <c r="DF491">
        <f>IF('История отказов'!AE494="","",IF(AND(COUNTIF($CX$2:$CX$2,'История отказов'!AE494)=0,COUNTIFS('История отказов'!$F$5:F494,"ШВН",'История отказов'!$AE$5:AE494,'История отказов'!AE494)=1,'История отказов'!F494="ШВН"),490,""))</f>
        <v/>
      </c>
      <c r="DG491">
        <f>IF('История отказов'!AE494="","",IF(AND(COUNTIF($CW$2:$CW$2,'История отказов'!AE494)=0,COUNTIFS('История отказов'!$F$5:F494,"НПУ-ВД",'История отказов'!$AE$5:AE494,'История отказов'!AE494)=1,'История отказов'!F494="НПУ-ВД"),490,""))</f>
        <v/>
      </c>
      <c r="DH491">
        <f>IF('История отказов'!AE494="","",IF(AND(COUNTIF($CY$2:$CY$6,'История отказов'!AE494)=0,COUNTIF('История отказов'!$AE$5:AE494,'История отказов'!AE494)=1),490,""))</f>
        <v/>
      </c>
      <c r="DI491">
        <f>IF('История отказов'!AK494="","",IF(AND(COUNTIF($CL$2:$CL$3,'История отказов'!AK494)=0,COUNTIF('История отказов'!$AK$5:AK494,'История отказов'!AK494)=1),490,""))</f>
        <v/>
      </c>
      <c r="DJ491">
        <f>IF('История отказов'!AU494="","",IF(AND(COUNTIF($CP$2:$CP$3,'История отказов'!AU494)=0,COUNTIF('История отказов'!$AU$5:AU494,'История отказов'!AU494)=1),490,""))</f>
        <v/>
      </c>
      <c r="DK491">
        <f>IF('История отказов'!AY494="","",IF(AND(COUNTIF($CR$2:$CR$2,'История отказов'!AY494)=0,COUNTIF('История отказов'!$AY$5:AY494,'История отказов'!AY494)=1),490,""))</f>
        <v/>
      </c>
      <c r="DL491">
        <f>IF(DB491="","",IF(AND(COUNTIF($DA$2:$DA$47,DB491)=0,COUNTIF($DB$2:DB491,DB491)=1),490,""))</f>
        <v/>
      </c>
    </row>
    <row r="492">
      <c r="A492" s="74" t="n"/>
      <c r="B492" s="75" t="n"/>
      <c r="C492" s="76" t="n"/>
      <c r="J492" s="62" t="n"/>
      <c r="K492" s="62" t="n"/>
      <c r="L492" s="62" t="n"/>
      <c r="M492" s="62" t="n"/>
      <c r="N492" s="62" t="n"/>
      <c r="Q492" t="inlineStr">
        <is>
          <t>Отказавший узел</t>
        </is>
      </c>
      <c r="R492" t="inlineStr">
        <is>
          <t>Приёмная сетка насоса</t>
        </is>
      </c>
      <c r="S492" t="inlineStr">
        <is>
          <t>Номенклатура узла из технического источника</t>
        </is>
      </c>
      <c r="T492" t="inlineStr">
        <is>
          <t>Новомет, входные модули</t>
        </is>
      </c>
      <c r="U492" t="inlineStr">
        <is>
          <t>https://www.novomet.ru/rus/products-and-services/artificial-lift/intake-and-gas/</t>
        </is>
      </c>
      <c r="V492" t="inlineStr">
        <is>
          <t>По комплектации приёмного узла</t>
        </is>
      </c>
      <c r="DB492">
        <f>IF('История отказов'!AH495="","",'История отказов'!AH495)</f>
        <v/>
      </c>
      <c r="DC492">
        <f>IF('История отказов'!AE495="","",IF(AND(COUNTIF($CT$2:$CT$2,'История отказов'!AE495)=0,COUNTIFS('История отказов'!$F$5:F495,"ШГН",'История отказов'!$AE$5:AE495,'История отказов'!AE495)=1,'История отказов'!F495="ШГН"),491,""))</f>
        <v/>
      </c>
      <c r="DD492">
        <f>IF('История отказов'!AE495="","",IF(AND(COUNTIF($CU$2:$CU$3,'История отказов'!AE495)=0,COUNTIFS('История отказов'!$F$5:F495,"ЭЦН",'История отказов'!$AE$5:AE495,'История отказов'!AE495)=1,'История отказов'!F495="ЭЦН"),491,""))</f>
        <v/>
      </c>
      <c r="DE492">
        <f>IF('История отказов'!AE495="","",IF(AND(COUNTIF($CV$2:$CV$3,'История отказов'!AE495)=0,COUNTIFS('История отказов'!$F$5:F495,"ЭВН",'История отказов'!$AE$5:AE495,'История отказов'!AE495)=1,'История отказов'!F495="ЭВН"),491,""))</f>
        <v/>
      </c>
      <c r="DF492">
        <f>IF('История отказов'!AE495="","",IF(AND(COUNTIF($CX$2:$CX$2,'История отказов'!AE495)=0,COUNTIFS('История отказов'!$F$5:F495,"ШВН",'История отказов'!$AE$5:AE495,'История отказов'!AE495)=1,'История отказов'!F495="ШВН"),491,""))</f>
        <v/>
      </c>
      <c r="DG492">
        <f>IF('История отказов'!AE495="","",IF(AND(COUNTIF($CW$2:$CW$2,'История отказов'!AE495)=0,COUNTIFS('История отказов'!$F$5:F495,"НПУ-ВД",'История отказов'!$AE$5:AE495,'История отказов'!AE495)=1,'История отказов'!F495="НПУ-ВД"),491,""))</f>
        <v/>
      </c>
      <c r="DH492">
        <f>IF('История отказов'!AE495="","",IF(AND(COUNTIF($CY$2:$CY$6,'История отказов'!AE495)=0,COUNTIF('История отказов'!$AE$5:AE495,'История отказов'!AE495)=1),491,""))</f>
        <v/>
      </c>
      <c r="DI492">
        <f>IF('История отказов'!AK495="","",IF(AND(COUNTIF($CL$2:$CL$3,'История отказов'!AK495)=0,COUNTIF('История отказов'!$AK$5:AK495,'История отказов'!AK495)=1),491,""))</f>
        <v/>
      </c>
      <c r="DJ492">
        <f>IF('История отказов'!AU495="","",IF(AND(COUNTIF($CP$2:$CP$3,'История отказов'!AU495)=0,COUNTIF('История отказов'!$AU$5:AU495,'История отказов'!AU495)=1),491,""))</f>
        <v/>
      </c>
      <c r="DK492">
        <f>IF('История отказов'!AY495="","",IF(AND(COUNTIF($CR$2:$CR$2,'История отказов'!AY495)=0,COUNTIF('История отказов'!$AY$5:AY495,'История отказов'!AY495)=1),491,""))</f>
        <v/>
      </c>
      <c r="DL492">
        <f>IF(DB492="","",IF(AND(COUNTIF($DA$2:$DA$47,DB492)=0,COUNTIF($DB$2:DB492,DB492)=1),491,""))</f>
        <v/>
      </c>
    </row>
    <row r="493">
      <c r="A493" s="74" t="n"/>
      <c r="B493" s="75" t="n"/>
      <c r="C493" s="76" t="n"/>
      <c r="J493" s="62" t="n"/>
      <c r="K493" s="62" t="n"/>
      <c r="L493" s="62" t="n"/>
      <c r="M493" s="62" t="n"/>
      <c r="N493" s="62" t="n"/>
      <c r="Q493" t="inlineStr">
        <is>
          <t>Отказавший узел</t>
        </is>
      </c>
      <c r="R493" t="inlineStr">
        <is>
          <t>Газодиспергатор</t>
        </is>
      </c>
      <c r="S493" t="inlineStr">
        <is>
          <t>Номенклатура узла из технического источника</t>
        </is>
      </c>
      <c r="T493" t="inlineStr">
        <is>
          <t>Новомет, газообрабатывающее оборудование</t>
        </is>
      </c>
      <c r="U493" t="inlineStr">
        <is>
          <t>https://www.novomet.ru/rus/products-and-services/artificial-lift/intake-and-gas/</t>
        </is>
      </c>
      <c r="V493" t="inlineStr">
        <is>
          <t>ЭЦН/ЭВН по комплектации</t>
        </is>
      </c>
      <c r="DB493">
        <f>IF('История отказов'!AH496="","",'История отказов'!AH496)</f>
        <v/>
      </c>
      <c r="DC493">
        <f>IF('История отказов'!AE496="","",IF(AND(COUNTIF($CT$2:$CT$2,'История отказов'!AE496)=0,COUNTIFS('История отказов'!$F$5:F496,"ШГН",'История отказов'!$AE$5:AE496,'История отказов'!AE496)=1,'История отказов'!F496="ШГН"),492,""))</f>
        <v/>
      </c>
      <c r="DD493">
        <f>IF('История отказов'!AE496="","",IF(AND(COUNTIF($CU$2:$CU$3,'История отказов'!AE496)=0,COUNTIFS('История отказов'!$F$5:F496,"ЭЦН",'История отказов'!$AE$5:AE496,'История отказов'!AE496)=1,'История отказов'!F496="ЭЦН"),492,""))</f>
        <v/>
      </c>
      <c r="DE493">
        <f>IF('История отказов'!AE496="","",IF(AND(COUNTIF($CV$2:$CV$3,'История отказов'!AE496)=0,COUNTIFS('История отказов'!$F$5:F496,"ЭВН",'История отказов'!$AE$5:AE496,'История отказов'!AE496)=1,'История отказов'!F496="ЭВН"),492,""))</f>
        <v/>
      </c>
      <c r="DF493">
        <f>IF('История отказов'!AE496="","",IF(AND(COUNTIF($CX$2:$CX$2,'История отказов'!AE496)=0,COUNTIFS('История отказов'!$F$5:F496,"ШВН",'История отказов'!$AE$5:AE496,'История отказов'!AE496)=1,'История отказов'!F496="ШВН"),492,""))</f>
        <v/>
      </c>
      <c r="DG493">
        <f>IF('История отказов'!AE496="","",IF(AND(COUNTIF($CW$2:$CW$2,'История отказов'!AE496)=0,COUNTIFS('История отказов'!$F$5:F496,"НПУ-ВД",'История отказов'!$AE$5:AE496,'История отказов'!AE496)=1,'История отказов'!F496="НПУ-ВД"),492,""))</f>
        <v/>
      </c>
      <c r="DH493">
        <f>IF('История отказов'!AE496="","",IF(AND(COUNTIF($CY$2:$CY$6,'История отказов'!AE496)=0,COUNTIF('История отказов'!$AE$5:AE496,'История отказов'!AE496)=1),492,""))</f>
        <v/>
      </c>
      <c r="DI493">
        <f>IF('История отказов'!AK496="","",IF(AND(COUNTIF($CL$2:$CL$3,'История отказов'!AK496)=0,COUNTIF('История отказов'!$AK$5:AK496,'История отказов'!AK496)=1),492,""))</f>
        <v/>
      </c>
      <c r="DJ493">
        <f>IF('История отказов'!AU496="","",IF(AND(COUNTIF($CP$2:$CP$3,'История отказов'!AU496)=0,COUNTIF('История отказов'!$AU$5:AU496,'История отказов'!AU496)=1),492,""))</f>
        <v/>
      </c>
      <c r="DK493">
        <f>IF('История отказов'!AY496="","",IF(AND(COUNTIF($CR$2:$CR$2,'История отказов'!AY496)=0,COUNTIF('История отказов'!$AY$5:AY496,'История отказов'!AY496)=1),492,""))</f>
        <v/>
      </c>
      <c r="DL493">
        <f>IF(DB493="","",IF(AND(COUNTIF($DA$2:$DA$47,DB493)=0,COUNTIF($DB$2:DB493,DB493)=1),492,""))</f>
        <v/>
      </c>
    </row>
    <row r="494">
      <c r="A494" s="74" t="n"/>
      <c r="B494" s="75" t="n"/>
      <c r="C494" s="76" t="n"/>
      <c r="J494" s="62" t="n"/>
      <c r="K494" s="62" t="n"/>
      <c r="L494" s="62" t="n"/>
      <c r="M494" s="62" t="n"/>
      <c r="N494" s="62" t="n"/>
      <c r="Q494" t="inlineStr">
        <is>
          <t>Отказавший узел</t>
        </is>
      </c>
      <c r="R494" t="inlineStr">
        <is>
          <t>Всасывающий клапан ШГН</t>
        </is>
      </c>
      <c r="S494" t="inlineStr">
        <is>
          <t>Номенклатура узла из технического источника</t>
        </is>
      </c>
      <c r="T494" t="inlineStr">
        <is>
          <t>Weatherford, standing valve</t>
        </is>
      </c>
      <c r="U494" t="inlineStr">
        <is>
          <t>https://hs.weatherford.com/knowledge/srp-solution-logic</t>
        </is>
      </c>
      <c r="V494" t="inlineStr">
        <is>
          <t>ШГН</t>
        </is>
      </c>
      <c r="DB494">
        <f>IF('История отказов'!AH497="","",'История отказов'!AH497)</f>
        <v/>
      </c>
      <c r="DC494">
        <f>IF('История отказов'!AE497="","",IF(AND(COUNTIF($CT$2:$CT$2,'История отказов'!AE497)=0,COUNTIFS('История отказов'!$F$5:F497,"ШГН",'История отказов'!$AE$5:AE497,'История отказов'!AE497)=1,'История отказов'!F497="ШГН"),493,""))</f>
        <v/>
      </c>
      <c r="DD494">
        <f>IF('История отказов'!AE497="","",IF(AND(COUNTIF($CU$2:$CU$3,'История отказов'!AE497)=0,COUNTIFS('История отказов'!$F$5:F497,"ЭЦН",'История отказов'!$AE$5:AE497,'История отказов'!AE497)=1,'История отказов'!F497="ЭЦН"),493,""))</f>
        <v/>
      </c>
      <c r="DE494">
        <f>IF('История отказов'!AE497="","",IF(AND(COUNTIF($CV$2:$CV$3,'История отказов'!AE497)=0,COUNTIFS('История отказов'!$F$5:F497,"ЭВН",'История отказов'!$AE$5:AE497,'История отказов'!AE497)=1,'История отказов'!F497="ЭВН"),493,""))</f>
        <v/>
      </c>
      <c r="DF494">
        <f>IF('История отказов'!AE497="","",IF(AND(COUNTIF($CX$2:$CX$2,'История отказов'!AE497)=0,COUNTIFS('История отказов'!$F$5:F497,"ШВН",'История отказов'!$AE$5:AE497,'История отказов'!AE497)=1,'История отказов'!F497="ШВН"),493,""))</f>
        <v/>
      </c>
      <c r="DG494">
        <f>IF('История отказов'!AE497="","",IF(AND(COUNTIF($CW$2:$CW$2,'История отказов'!AE497)=0,COUNTIFS('История отказов'!$F$5:F497,"НПУ-ВД",'История отказов'!$AE$5:AE497,'История отказов'!AE497)=1,'История отказов'!F497="НПУ-ВД"),493,""))</f>
        <v/>
      </c>
      <c r="DH494">
        <f>IF('История отказов'!AE497="","",IF(AND(COUNTIF($CY$2:$CY$6,'История отказов'!AE497)=0,COUNTIF('История отказов'!$AE$5:AE497,'История отказов'!AE497)=1),493,""))</f>
        <v/>
      </c>
      <c r="DI494">
        <f>IF('История отказов'!AK497="","",IF(AND(COUNTIF($CL$2:$CL$3,'История отказов'!AK497)=0,COUNTIF('История отказов'!$AK$5:AK497,'История отказов'!AK497)=1),493,""))</f>
        <v/>
      </c>
      <c r="DJ494">
        <f>IF('История отказов'!AU497="","",IF(AND(COUNTIF($CP$2:$CP$3,'История отказов'!AU497)=0,COUNTIF('История отказов'!$AU$5:AU497,'История отказов'!AU497)=1),493,""))</f>
        <v/>
      </c>
      <c r="DK494">
        <f>IF('История отказов'!AY497="","",IF(AND(COUNTIF($CR$2:$CR$2,'История отказов'!AY497)=0,COUNTIF('История отказов'!$AY$5:AY497,'История отказов'!AY497)=1),493,""))</f>
        <v/>
      </c>
      <c r="DL494">
        <f>IF(DB494="","",IF(AND(COUNTIF($DA$2:$DA$47,DB494)=0,COUNTIF($DB$2:DB494,DB494)=1),493,""))</f>
        <v/>
      </c>
    </row>
    <row r="495">
      <c r="A495" s="74" t="n"/>
      <c r="B495" s="75" t="n"/>
      <c r="C495" s="76" t="n"/>
      <c r="J495" s="62" t="n"/>
      <c r="K495" s="62" t="n"/>
      <c r="L495" s="62" t="n"/>
      <c r="M495" s="62" t="n"/>
      <c r="N495" s="62" t="n"/>
      <c r="Q495" t="inlineStr">
        <is>
          <t>Отказавший узел</t>
        </is>
      </c>
      <c r="R495" t="inlineStr">
        <is>
          <t>Нагнетательный клапан ШГН</t>
        </is>
      </c>
      <c r="S495" t="inlineStr">
        <is>
          <t>Номенклатура узла из технического источника</t>
        </is>
      </c>
      <c r="T495" t="inlineStr">
        <is>
          <t>Weatherford, traveling valve</t>
        </is>
      </c>
      <c r="U495" t="inlineStr">
        <is>
          <t>https://hs.weatherford.com/knowledge/srp-solution-logic</t>
        </is>
      </c>
      <c r="V495" t="inlineStr">
        <is>
          <t>ШГН</t>
        </is>
      </c>
      <c r="DB495">
        <f>IF('История отказов'!AH498="","",'История отказов'!AH498)</f>
        <v/>
      </c>
      <c r="DC495">
        <f>IF('История отказов'!AE498="","",IF(AND(COUNTIF($CT$2:$CT$2,'История отказов'!AE498)=0,COUNTIFS('История отказов'!$F$5:F498,"ШГН",'История отказов'!$AE$5:AE498,'История отказов'!AE498)=1,'История отказов'!F498="ШГН"),494,""))</f>
        <v/>
      </c>
      <c r="DD495">
        <f>IF('История отказов'!AE498="","",IF(AND(COUNTIF($CU$2:$CU$3,'История отказов'!AE498)=0,COUNTIFS('История отказов'!$F$5:F498,"ЭЦН",'История отказов'!$AE$5:AE498,'История отказов'!AE498)=1,'История отказов'!F498="ЭЦН"),494,""))</f>
        <v/>
      </c>
      <c r="DE495">
        <f>IF('История отказов'!AE498="","",IF(AND(COUNTIF($CV$2:$CV$3,'История отказов'!AE498)=0,COUNTIFS('История отказов'!$F$5:F498,"ЭВН",'История отказов'!$AE$5:AE498,'История отказов'!AE498)=1,'История отказов'!F498="ЭВН"),494,""))</f>
        <v/>
      </c>
      <c r="DF495">
        <f>IF('История отказов'!AE498="","",IF(AND(COUNTIF($CX$2:$CX$2,'История отказов'!AE498)=0,COUNTIFS('История отказов'!$F$5:F498,"ШВН",'История отказов'!$AE$5:AE498,'История отказов'!AE498)=1,'История отказов'!F498="ШВН"),494,""))</f>
        <v/>
      </c>
      <c r="DG495">
        <f>IF('История отказов'!AE498="","",IF(AND(COUNTIF($CW$2:$CW$2,'История отказов'!AE498)=0,COUNTIFS('История отказов'!$F$5:F498,"НПУ-ВД",'История отказов'!$AE$5:AE498,'История отказов'!AE498)=1,'История отказов'!F498="НПУ-ВД"),494,""))</f>
        <v/>
      </c>
      <c r="DH495">
        <f>IF('История отказов'!AE498="","",IF(AND(COUNTIF($CY$2:$CY$6,'История отказов'!AE498)=0,COUNTIF('История отказов'!$AE$5:AE498,'История отказов'!AE498)=1),494,""))</f>
        <v/>
      </c>
      <c r="DI495">
        <f>IF('История отказов'!AK498="","",IF(AND(COUNTIF($CL$2:$CL$3,'История отказов'!AK498)=0,COUNTIF('История отказов'!$AK$5:AK498,'История отказов'!AK498)=1),494,""))</f>
        <v/>
      </c>
      <c r="DJ495">
        <f>IF('История отказов'!AU498="","",IF(AND(COUNTIF($CP$2:$CP$3,'История отказов'!AU498)=0,COUNTIF('История отказов'!$AU$5:AU498,'История отказов'!AU498)=1),494,""))</f>
        <v/>
      </c>
      <c r="DK495">
        <f>IF('История отказов'!AY498="","",IF(AND(COUNTIF($CR$2:$CR$2,'История отказов'!AY498)=0,COUNTIF('История отказов'!$AY$5:AY498,'История отказов'!AY498)=1),494,""))</f>
        <v/>
      </c>
      <c r="DL495">
        <f>IF(DB495="","",IF(AND(COUNTIF($DA$2:$DA$47,DB495)=0,COUNTIF($DB$2:DB495,DB495)=1),494,""))</f>
        <v/>
      </c>
    </row>
    <row r="496">
      <c r="A496" s="74" t="n"/>
      <c r="B496" s="75" t="n"/>
      <c r="C496" s="76" t="n"/>
      <c r="J496" s="62" t="n"/>
      <c r="K496" s="62" t="n"/>
      <c r="L496" s="62" t="n"/>
      <c r="M496" s="62" t="n"/>
      <c r="N496" s="62" t="n"/>
      <c r="Q496" t="inlineStr">
        <is>
          <t>Отказавший узел</t>
        </is>
      </c>
      <c r="R496" t="inlineStr">
        <is>
          <t>Уплотнение гидрозащиты</t>
        </is>
      </c>
      <c r="S496" t="inlineStr">
        <is>
          <t>Номенклатура узла из технического источника</t>
        </is>
      </c>
      <c r="T496" t="inlineStr">
        <is>
          <t>Новомет, гидрозащита</t>
        </is>
      </c>
      <c r="U496" t="inlineStr">
        <is>
          <t>https://www.novomet.ru/rus/products-and-services/artificial-lift/protectors/modular-protectors/</t>
        </is>
      </c>
      <c r="V496" t="inlineStr">
        <is>
          <t>Электрическая погружная установка</t>
        </is>
      </c>
      <c r="DB496">
        <f>IF('История отказов'!AH499="","",'История отказов'!AH499)</f>
        <v/>
      </c>
      <c r="DC496">
        <f>IF('История отказов'!AE499="","",IF(AND(COUNTIF($CT$2:$CT$2,'История отказов'!AE499)=0,COUNTIFS('История отказов'!$F$5:F499,"ШГН",'История отказов'!$AE$5:AE499,'История отказов'!AE499)=1,'История отказов'!F499="ШГН"),495,""))</f>
        <v/>
      </c>
      <c r="DD496">
        <f>IF('История отказов'!AE499="","",IF(AND(COUNTIF($CU$2:$CU$3,'История отказов'!AE499)=0,COUNTIFS('История отказов'!$F$5:F499,"ЭЦН",'История отказов'!$AE$5:AE499,'История отказов'!AE499)=1,'История отказов'!F499="ЭЦН"),495,""))</f>
        <v/>
      </c>
      <c r="DE496">
        <f>IF('История отказов'!AE499="","",IF(AND(COUNTIF($CV$2:$CV$3,'История отказов'!AE499)=0,COUNTIFS('История отказов'!$F$5:F499,"ЭВН",'История отказов'!$AE$5:AE499,'История отказов'!AE499)=1,'История отказов'!F499="ЭВН"),495,""))</f>
        <v/>
      </c>
      <c r="DF496">
        <f>IF('История отказов'!AE499="","",IF(AND(COUNTIF($CX$2:$CX$2,'История отказов'!AE499)=0,COUNTIFS('История отказов'!$F$5:F499,"ШВН",'История отказов'!$AE$5:AE499,'История отказов'!AE499)=1,'История отказов'!F499="ШВН"),495,""))</f>
        <v/>
      </c>
      <c r="DG496">
        <f>IF('История отказов'!AE499="","",IF(AND(COUNTIF($CW$2:$CW$2,'История отказов'!AE499)=0,COUNTIFS('История отказов'!$F$5:F499,"НПУ-ВД",'История отказов'!$AE$5:AE499,'История отказов'!AE499)=1,'История отказов'!F499="НПУ-ВД"),495,""))</f>
        <v/>
      </c>
      <c r="DH496">
        <f>IF('История отказов'!AE499="","",IF(AND(COUNTIF($CY$2:$CY$6,'История отказов'!AE499)=0,COUNTIF('История отказов'!$AE$5:AE499,'История отказов'!AE499)=1),495,""))</f>
        <v/>
      </c>
      <c r="DI496">
        <f>IF('История отказов'!AK499="","",IF(AND(COUNTIF($CL$2:$CL$3,'История отказов'!AK499)=0,COUNTIF('История отказов'!$AK$5:AK499,'История отказов'!AK499)=1),495,""))</f>
        <v/>
      </c>
      <c r="DJ496">
        <f>IF('История отказов'!AU499="","",IF(AND(COUNTIF($CP$2:$CP$3,'История отказов'!AU499)=0,COUNTIF('История отказов'!$AU$5:AU499,'История отказов'!AU499)=1),495,""))</f>
        <v/>
      </c>
      <c r="DK496">
        <f>IF('История отказов'!AY499="","",IF(AND(COUNTIF($CR$2:$CR$2,'История отказов'!AY499)=0,COUNTIF('История отказов'!$AY$5:AY499,'История отказов'!AY499)=1),495,""))</f>
        <v/>
      </c>
      <c r="DL496">
        <f>IF(DB496="","",IF(AND(COUNTIF($DA$2:$DA$47,DB496)=0,COUNTIF($DB$2:DB496,DB496)=1),495,""))</f>
        <v/>
      </c>
    </row>
    <row r="497">
      <c r="A497" s="74" t="n"/>
      <c r="B497" s="75" t="n"/>
      <c r="C497" s="76" t="n"/>
      <c r="J497" s="62" t="n"/>
      <c r="K497" s="62" t="n"/>
      <c r="L497" s="62" t="n"/>
      <c r="M497" s="62" t="n"/>
      <c r="N497" s="62" t="n"/>
      <c r="Q497" t="inlineStr">
        <is>
          <t>Отказавший узел</t>
        </is>
      </c>
      <c r="R497" t="inlineStr">
        <is>
          <t>Обратный клапан НКТ</t>
        </is>
      </c>
      <c r="S497" t="inlineStr">
        <is>
          <t>Номенклатура узла из технического источника</t>
        </is>
      </c>
      <c r="T497" t="inlineStr">
        <is>
          <t>Новомет, состав установки УЭЦН</t>
        </is>
      </c>
      <c r="U497" t="inlineStr">
        <is>
          <t>https://www.novomet.ru/rus/products-and-services/artificial-lift/electrical-submersible-pumping-systems/</t>
        </is>
      </c>
      <c r="V497" t="inlineStr">
        <is>
          <t>ЭЦН, если включён в компоновку</t>
        </is>
      </c>
      <c r="DB497">
        <f>IF('История отказов'!AH500="","",'История отказов'!AH500)</f>
        <v/>
      </c>
      <c r="DC497">
        <f>IF('История отказов'!AE500="","",IF(AND(COUNTIF($CT$2:$CT$2,'История отказов'!AE500)=0,COUNTIFS('История отказов'!$F$5:F500,"ШГН",'История отказов'!$AE$5:AE500,'История отказов'!AE500)=1,'История отказов'!F500="ШГН"),496,""))</f>
        <v/>
      </c>
      <c r="DD497">
        <f>IF('История отказов'!AE500="","",IF(AND(COUNTIF($CU$2:$CU$3,'История отказов'!AE500)=0,COUNTIFS('История отказов'!$F$5:F500,"ЭЦН",'История отказов'!$AE$5:AE500,'История отказов'!AE500)=1,'История отказов'!F500="ЭЦН"),496,""))</f>
        <v/>
      </c>
      <c r="DE497">
        <f>IF('История отказов'!AE500="","",IF(AND(COUNTIF($CV$2:$CV$3,'История отказов'!AE500)=0,COUNTIFS('История отказов'!$F$5:F500,"ЭВН",'История отказов'!$AE$5:AE500,'История отказов'!AE500)=1,'История отказов'!F500="ЭВН"),496,""))</f>
        <v/>
      </c>
      <c r="DF497">
        <f>IF('История отказов'!AE500="","",IF(AND(COUNTIF($CX$2:$CX$2,'История отказов'!AE500)=0,COUNTIFS('История отказов'!$F$5:F500,"ШВН",'История отказов'!$AE$5:AE500,'История отказов'!AE500)=1,'История отказов'!F500="ШВН"),496,""))</f>
        <v/>
      </c>
      <c r="DG497">
        <f>IF('История отказов'!AE500="","",IF(AND(COUNTIF($CW$2:$CW$2,'История отказов'!AE500)=0,COUNTIFS('История отказов'!$F$5:F500,"НПУ-ВД",'История отказов'!$AE$5:AE500,'История отказов'!AE500)=1,'История отказов'!F500="НПУ-ВД"),496,""))</f>
        <v/>
      </c>
      <c r="DH497">
        <f>IF('История отказов'!AE500="","",IF(AND(COUNTIF($CY$2:$CY$6,'История отказов'!AE500)=0,COUNTIF('История отказов'!$AE$5:AE500,'История отказов'!AE500)=1),496,""))</f>
        <v/>
      </c>
      <c r="DI497">
        <f>IF('История отказов'!AK500="","",IF(AND(COUNTIF($CL$2:$CL$3,'История отказов'!AK500)=0,COUNTIF('История отказов'!$AK$5:AK500,'История отказов'!AK500)=1),496,""))</f>
        <v/>
      </c>
      <c r="DJ497">
        <f>IF('История отказов'!AU500="","",IF(AND(COUNTIF($CP$2:$CP$3,'История отказов'!AU500)=0,COUNTIF('История отказов'!$AU$5:AU500,'История отказов'!AU500)=1),496,""))</f>
        <v/>
      </c>
      <c r="DK497">
        <f>IF('История отказов'!AY500="","",IF(AND(COUNTIF($CR$2:$CR$2,'История отказов'!AY500)=0,COUNTIF('История отказов'!$AY$5:AY500,'История отказов'!AY500)=1),496,""))</f>
        <v/>
      </c>
      <c r="DL497">
        <f>IF(DB497="","",IF(AND(COUNTIF($DA$2:$DA$47,DB497)=0,COUNTIF($DB$2:DB497,DB497)=1),496,""))</f>
        <v/>
      </c>
    </row>
    <row r="498">
      <c r="A498" s="74" t="n"/>
      <c r="B498" s="75" t="n"/>
      <c r="C498" s="76" t="n"/>
      <c r="J498" s="62" t="n"/>
      <c r="K498" s="62" t="n"/>
      <c r="L498" s="62" t="n"/>
      <c r="M498" s="62" t="n"/>
      <c r="N498" s="62" t="n"/>
      <c r="Q498" t="inlineStr">
        <is>
          <t>Вид повреждения</t>
        </is>
      </c>
      <c r="R498" t="inlineStr">
        <is>
          <t>Износ радиального подшипника</t>
        </is>
      </c>
      <c r="S498" t="inlineStr">
        <is>
          <t>Рабочий вид повреждения; подтвердить дефектовкой</t>
        </is>
      </c>
      <c r="T498" t="inlineStr">
        <is>
          <t>SLB, дефектовка УЭЦН с абразивным износом</t>
        </is>
      </c>
      <c r="U498" t="inlineStr">
        <is>
          <t>https://www.slb.com/resource-library/case-study-with-navigation/al/reda-maximus-colombia-cs</t>
        </is>
      </c>
      <c r="V498" t="inlineStr">
        <is>
          <t>Подтвердить дефектовкой</t>
        </is>
      </c>
      <c r="DB498">
        <f>IF('История отказов'!AH501="","",'История отказов'!AH501)</f>
        <v/>
      </c>
      <c r="DC498">
        <f>IF('История отказов'!AE501="","",IF(AND(COUNTIF($CT$2:$CT$2,'История отказов'!AE501)=0,COUNTIFS('История отказов'!$F$5:F501,"ШГН",'История отказов'!$AE$5:AE501,'История отказов'!AE501)=1,'История отказов'!F501="ШГН"),497,""))</f>
        <v/>
      </c>
      <c r="DD498">
        <f>IF('История отказов'!AE501="","",IF(AND(COUNTIF($CU$2:$CU$3,'История отказов'!AE501)=0,COUNTIFS('История отказов'!$F$5:F501,"ЭЦН",'История отказов'!$AE$5:AE501,'История отказов'!AE501)=1,'История отказов'!F501="ЭЦН"),497,""))</f>
        <v/>
      </c>
      <c r="DE498">
        <f>IF('История отказов'!AE501="","",IF(AND(COUNTIF($CV$2:$CV$3,'История отказов'!AE501)=0,COUNTIFS('История отказов'!$F$5:F501,"ЭВН",'История отказов'!$AE$5:AE501,'История отказов'!AE501)=1,'История отказов'!F501="ЭВН"),497,""))</f>
        <v/>
      </c>
      <c r="DF498">
        <f>IF('История отказов'!AE501="","",IF(AND(COUNTIF($CX$2:$CX$2,'История отказов'!AE501)=0,COUNTIFS('История отказов'!$F$5:F501,"ШВН",'История отказов'!$AE$5:AE501,'История отказов'!AE501)=1,'История отказов'!F501="ШВН"),497,""))</f>
        <v/>
      </c>
      <c r="DG498">
        <f>IF('История отказов'!AE501="","",IF(AND(COUNTIF($CW$2:$CW$2,'История отказов'!AE501)=0,COUNTIFS('История отказов'!$F$5:F501,"НПУ-ВД",'История отказов'!$AE$5:AE501,'История отказов'!AE501)=1,'История отказов'!F501="НПУ-ВД"),497,""))</f>
        <v/>
      </c>
      <c r="DH498">
        <f>IF('История отказов'!AE501="","",IF(AND(COUNTIF($CY$2:$CY$6,'История отказов'!AE501)=0,COUNTIF('История отказов'!$AE$5:AE501,'История отказов'!AE501)=1),497,""))</f>
        <v/>
      </c>
      <c r="DI498">
        <f>IF('История отказов'!AK501="","",IF(AND(COUNTIF($CL$2:$CL$3,'История отказов'!AK501)=0,COUNTIF('История отказов'!$AK$5:AK501,'История отказов'!AK501)=1),497,""))</f>
        <v/>
      </c>
      <c r="DJ498">
        <f>IF('История отказов'!AU501="","",IF(AND(COUNTIF($CP$2:$CP$3,'История отказов'!AU501)=0,COUNTIF('История отказов'!$AU$5:AU501,'История отказов'!AU501)=1),497,""))</f>
        <v/>
      </c>
      <c r="DK498">
        <f>IF('История отказов'!AY501="","",IF(AND(COUNTIF($CR$2:$CR$2,'История отказов'!AY501)=0,COUNTIF('История отказов'!$AY$5:AY501,'История отказов'!AY501)=1),497,""))</f>
        <v/>
      </c>
      <c r="DL498">
        <f>IF(DB498="","",IF(AND(COUNTIF($DA$2:$DA$47,DB498)=0,COUNTIF($DB$2:DB498,DB498)=1),497,""))</f>
        <v/>
      </c>
    </row>
    <row r="499">
      <c r="A499" s="74" t="n"/>
      <c r="B499" s="75" t="n"/>
      <c r="C499" s="76" t="n"/>
      <c r="J499" s="62" t="n"/>
      <c r="K499" s="62" t="n"/>
      <c r="L499" s="62" t="n"/>
      <c r="M499" s="62" t="n"/>
      <c r="N499" s="62" t="n"/>
      <c r="Q499" t="inlineStr">
        <is>
          <t>Вид повреждения</t>
        </is>
      </c>
      <c r="R499" t="inlineStr">
        <is>
          <t>Эрозия рабочих колёс и направляющих аппаратов</t>
        </is>
      </c>
      <c r="S499" t="inlineStr">
        <is>
          <t>Рабочий вид повреждения; подтвердить дефектовкой</t>
        </is>
      </c>
      <c r="T499" t="inlineStr">
        <is>
          <t>SLB, дефектовка УЭЦН</t>
        </is>
      </c>
      <c r="U499" t="inlineStr">
        <is>
          <t>https://www.slb.com/resource-library/case-study-with-navigation/al/reda-maximus-colombia-cs</t>
        </is>
      </c>
      <c r="V499" t="inlineStr">
        <is>
          <t>ЭЦН; подтвердить осмотром</t>
        </is>
      </c>
      <c r="DB499">
        <f>IF('История отказов'!AH502="","",'История отказов'!AH502)</f>
        <v/>
      </c>
      <c r="DC499">
        <f>IF('История отказов'!AE502="","",IF(AND(COUNTIF($CT$2:$CT$2,'История отказов'!AE502)=0,COUNTIFS('История отказов'!$F$5:F502,"ШГН",'История отказов'!$AE$5:AE502,'История отказов'!AE502)=1,'История отказов'!F502="ШГН"),498,""))</f>
        <v/>
      </c>
      <c r="DD499">
        <f>IF('История отказов'!AE502="","",IF(AND(COUNTIF($CU$2:$CU$3,'История отказов'!AE502)=0,COUNTIFS('История отказов'!$F$5:F502,"ЭЦН",'История отказов'!$AE$5:AE502,'История отказов'!AE502)=1,'История отказов'!F502="ЭЦН"),498,""))</f>
        <v/>
      </c>
      <c r="DE499">
        <f>IF('История отказов'!AE502="","",IF(AND(COUNTIF($CV$2:$CV$3,'История отказов'!AE502)=0,COUNTIFS('История отказов'!$F$5:F502,"ЭВН",'История отказов'!$AE$5:AE502,'История отказов'!AE502)=1,'История отказов'!F502="ЭВН"),498,""))</f>
        <v/>
      </c>
      <c r="DF499">
        <f>IF('История отказов'!AE502="","",IF(AND(COUNTIF($CX$2:$CX$2,'История отказов'!AE502)=0,COUNTIFS('История отказов'!$F$5:F502,"ШВН",'История отказов'!$AE$5:AE502,'История отказов'!AE502)=1,'История отказов'!F502="ШВН"),498,""))</f>
        <v/>
      </c>
      <c r="DG499">
        <f>IF('История отказов'!AE502="","",IF(AND(COUNTIF($CW$2:$CW$2,'История отказов'!AE502)=0,COUNTIFS('История отказов'!$F$5:F502,"НПУ-ВД",'История отказов'!$AE$5:AE502,'История отказов'!AE502)=1,'История отказов'!F502="НПУ-ВД"),498,""))</f>
        <v/>
      </c>
      <c r="DH499">
        <f>IF('История отказов'!AE502="","",IF(AND(COUNTIF($CY$2:$CY$6,'История отказов'!AE502)=0,COUNTIF('История отказов'!$AE$5:AE502,'История отказов'!AE502)=1),498,""))</f>
        <v/>
      </c>
      <c r="DI499">
        <f>IF('История отказов'!AK502="","",IF(AND(COUNTIF($CL$2:$CL$3,'История отказов'!AK502)=0,COUNTIF('История отказов'!$AK$5:AK502,'История отказов'!AK502)=1),498,""))</f>
        <v/>
      </c>
      <c r="DJ499">
        <f>IF('История отказов'!AU502="","",IF(AND(COUNTIF($CP$2:$CP$3,'История отказов'!AU502)=0,COUNTIF('История отказов'!$AU$5:AU502,'История отказов'!AU502)=1),498,""))</f>
        <v/>
      </c>
      <c r="DK499">
        <f>IF('История отказов'!AY502="","",IF(AND(COUNTIF($CR$2:$CR$2,'История отказов'!AY502)=0,COUNTIF('История отказов'!$AY$5:AY502,'История отказов'!AY502)=1),498,""))</f>
        <v/>
      </c>
      <c r="DL499">
        <f>IF(DB499="","",IF(AND(COUNTIF($DA$2:$DA$47,DB499)=0,COUNTIF($DB$2:DB499,DB499)=1),498,""))</f>
        <v/>
      </c>
    </row>
    <row r="500">
      <c r="A500" s="74" t="n"/>
      <c r="B500" s="75" t="n"/>
      <c r="C500" s="76" t="n"/>
      <c r="J500" s="62" t="n"/>
      <c r="K500" s="62" t="n"/>
      <c r="L500" s="62" t="n"/>
      <c r="M500" s="62" t="n"/>
      <c r="N500" s="62" t="n"/>
      <c r="Q500" t="inlineStr">
        <is>
          <t>Вид повреждения</t>
        </is>
      </c>
      <c r="R500" t="inlineStr">
        <is>
          <t>Повреждение клапана насоса</t>
        </is>
      </c>
      <c r="S500" t="inlineStr">
        <is>
          <t>Рабочий вид повреждения; подтвердить дефектовкой</t>
        </is>
      </c>
      <c r="T500" t="inlineStr">
        <is>
          <t>Weatherford, диагностика УШГН</t>
        </is>
      </c>
      <c r="U500" t="inlineStr">
        <is>
          <t>https://hs.weatherford.com/knowledge/srp-solution-logic</t>
        </is>
      </c>
      <c r="V500" t="inlineStr">
        <is>
          <t>ШГН; подтвердить разбором</t>
        </is>
      </c>
      <c r="DB500">
        <f>IF('История отказов'!AH503="","",'История отказов'!AH503)</f>
        <v/>
      </c>
      <c r="DC500">
        <f>IF('История отказов'!AE503="","",IF(AND(COUNTIF($CT$2:$CT$2,'История отказов'!AE503)=0,COUNTIFS('История отказов'!$F$5:F503,"ШГН",'История отказов'!$AE$5:AE503,'История отказов'!AE503)=1,'История отказов'!F503="ШГН"),499,""))</f>
        <v/>
      </c>
      <c r="DD500">
        <f>IF('История отказов'!AE503="","",IF(AND(COUNTIF($CU$2:$CU$3,'История отказов'!AE503)=0,COUNTIFS('История отказов'!$F$5:F503,"ЭЦН",'История отказов'!$AE$5:AE503,'История отказов'!AE503)=1,'История отказов'!F503="ЭЦН"),499,""))</f>
        <v/>
      </c>
      <c r="DE500">
        <f>IF('История отказов'!AE503="","",IF(AND(COUNTIF($CV$2:$CV$3,'История отказов'!AE503)=0,COUNTIFS('История отказов'!$F$5:F503,"ЭВН",'История отказов'!$AE$5:AE503,'История отказов'!AE503)=1,'История отказов'!F503="ЭВН"),499,""))</f>
        <v/>
      </c>
      <c r="DF500">
        <f>IF('История отказов'!AE503="","",IF(AND(COUNTIF($CX$2:$CX$2,'История отказов'!AE503)=0,COUNTIFS('История отказов'!$F$5:F503,"ШВН",'История отказов'!$AE$5:AE503,'История отказов'!AE503)=1,'История отказов'!F503="ШВН"),499,""))</f>
        <v/>
      </c>
      <c r="DG500">
        <f>IF('История отказов'!AE503="","",IF(AND(COUNTIF($CW$2:$CW$2,'История отказов'!AE503)=0,COUNTIFS('История отказов'!$F$5:F503,"НПУ-ВД",'История отказов'!$AE$5:AE503,'История отказов'!AE503)=1,'История отказов'!F503="НПУ-ВД"),499,""))</f>
        <v/>
      </c>
      <c r="DH500">
        <f>IF('История отказов'!AE503="","",IF(AND(COUNTIF($CY$2:$CY$6,'История отказов'!AE503)=0,COUNTIF('История отказов'!$AE$5:AE503,'История отказов'!AE503)=1),499,""))</f>
        <v/>
      </c>
      <c r="DI500">
        <f>IF('История отказов'!AK503="","",IF(AND(COUNTIF($CL$2:$CL$3,'История отказов'!AK503)=0,COUNTIF('История отказов'!$AK$5:AK503,'История отказов'!AK503)=1),499,""))</f>
        <v/>
      </c>
      <c r="DJ500">
        <f>IF('История отказов'!AU503="","",IF(AND(COUNTIF($CP$2:$CP$3,'История отказов'!AU503)=0,COUNTIF('История отказов'!$AU$5:AU503,'История отказов'!AU503)=1),499,""))</f>
        <v/>
      </c>
      <c r="DK500">
        <f>IF('История отказов'!AY503="","",IF(AND(COUNTIF($CR$2:$CR$2,'История отказов'!AY503)=0,COUNTIF('История отказов'!$AY$5:AY503,'История отказов'!AY503)=1),499,""))</f>
        <v/>
      </c>
      <c r="DL500">
        <f>IF(DB500="","",IF(AND(COUNTIF($DA$2:$DA$47,DB500)=0,COUNTIF($DB$2:DB500,DB500)=1),499,""))</f>
        <v/>
      </c>
    </row>
    <row r="501">
      <c r="A501" s="74" t="n"/>
      <c r="B501" s="75" t="n"/>
      <c r="C501" s="76" t="n"/>
      <c r="J501" s="62" t="n"/>
      <c r="K501" s="62" t="n"/>
      <c r="L501" s="62" t="n"/>
      <c r="M501" s="62" t="n"/>
      <c r="N501" s="62" t="n"/>
      <c r="Q501" t="inlineStr">
        <is>
          <t>Вид повреждения</t>
        </is>
      </c>
      <c r="R501" t="inlineStr">
        <is>
          <t>Повреждение уплотнения гидрозащиты</t>
        </is>
      </c>
      <c r="S501" t="inlineStr">
        <is>
          <t>Рабочий вид повреждения; подтвердить дефектовкой</t>
        </is>
      </c>
      <c r="T501" t="inlineStr">
        <is>
          <t>Новомет, назначение гидрозащиты</t>
        </is>
      </c>
      <c r="U501" t="inlineStr">
        <is>
          <t>https://www.novomet.ru/rus/products-and-services/artificial-lift/protectors/modular-protectors/</t>
        </is>
      </c>
      <c r="V501" t="inlineStr">
        <is>
          <t>Электрическая погружная установка; подтвердить разбором</t>
        </is>
      </c>
      <c r="DB501">
        <f>IF('История отказов'!AH504="","",'История отказов'!AH504)</f>
        <v/>
      </c>
      <c r="DC501">
        <f>IF('История отказов'!AE504="","",IF(AND(COUNTIF($CT$2:$CT$2,'История отказов'!AE504)=0,COUNTIFS('История отказов'!$F$5:F504,"ШГН",'История отказов'!$AE$5:AE504,'История отказов'!AE504)=1,'История отказов'!F504="ШГН"),500,""))</f>
        <v/>
      </c>
      <c r="DD501">
        <f>IF('История отказов'!AE504="","",IF(AND(COUNTIF($CU$2:$CU$3,'История отказов'!AE504)=0,COUNTIFS('История отказов'!$F$5:F504,"ЭЦН",'История отказов'!$AE$5:AE504,'История отказов'!AE504)=1,'История отказов'!F504="ЭЦН"),500,""))</f>
        <v/>
      </c>
      <c r="DE501">
        <f>IF('История отказов'!AE504="","",IF(AND(COUNTIF($CV$2:$CV$3,'История отказов'!AE504)=0,COUNTIFS('История отказов'!$F$5:F504,"ЭВН",'История отказов'!$AE$5:AE504,'История отказов'!AE504)=1,'История отказов'!F504="ЭВН"),500,""))</f>
        <v/>
      </c>
      <c r="DF501">
        <f>IF('История отказов'!AE504="","",IF(AND(COUNTIF($CX$2:$CX$2,'История отказов'!AE504)=0,COUNTIFS('История отказов'!$F$5:F504,"ШВН",'История отказов'!$AE$5:AE504,'История отказов'!AE504)=1,'История отказов'!F504="ШВН"),500,""))</f>
        <v/>
      </c>
      <c r="DG501">
        <f>IF('История отказов'!AE504="","",IF(AND(COUNTIF($CW$2:$CW$2,'История отказов'!AE504)=0,COUNTIFS('История отказов'!$F$5:F504,"НПУ-ВД",'История отказов'!$AE$5:AE504,'История отказов'!AE504)=1,'История отказов'!F504="НПУ-ВД"),500,""))</f>
        <v/>
      </c>
      <c r="DH501">
        <f>IF('История отказов'!AE504="","",IF(AND(COUNTIF($CY$2:$CY$6,'История отказов'!AE504)=0,COUNTIF('История отказов'!$AE$5:AE504,'История отказов'!AE504)=1),500,""))</f>
        <v/>
      </c>
      <c r="DI501">
        <f>IF('История отказов'!AK504="","",IF(AND(COUNTIF($CL$2:$CL$3,'История отказов'!AK504)=0,COUNTIF('История отказов'!$AK$5:AK504,'История отказов'!AK504)=1),500,""))</f>
        <v/>
      </c>
      <c r="DJ501">
        <f>IF('История отказов'!AU504="","",IF(AND(COUNTIF($CP$2:$CP$3,'История отказов'!AU504)=0,COUNTIF('История отказов'!$AU$5:AU504,'История отказов'!AU504)=1),500,""))</f>
        <v/>
      </c>
      <c r="DK501">
        <f>IF('История отказов'!AY504="","",IF(AND(COUNTIF($CR$2:$CR$2,'История отказов'!AY504)=0,COUNTIF('История отказов'!$AY$5:AY504,'История отказов'!AY504)=1),500,""))</f>
        <v/>
      </c>
      <c r="DL501">
        <f>IF(DB501="","",IF(AND(COUNTIF($DA$2:$DA$47,DB501)=0,COUNTIF($DB$2:DB501,DB501)=1),500,""))</f>
        <v/>
      </c>
    </row>
    <row r="502">
      <c r="A502" s="74" t="n"/>
      <c r="B502" s="75" t="n"/>
      <c r="C502" s="76" t="n"/>
      <c r="J502" s="62" t="n"/>
      <c r="K502" s="62" t="n"/>
      <c r="L502" s="62" t="n"/>
      <c r="M502" s="62" t="n"/>
      <c r="N502" s="62" t="n"/>
      <c r="Q502" t="inlineStr">
        <is>
          <t>Вид повреждения</t>
        </is>
      </c>
      <c r="R502" t="inlineStr">
        <is>
          <t>Короткое замыкание обмотки двигателя</t>
        </is>
      </c>
      <c r="S502" t="inlineStr">
        <is>
          <t>Рабочий вид повреждения; подтвердить дефектовкой</t>
        </is>
      </c>
      <c r="T502" t="inlineStr">
        <is>
          <t>SLB, электрический отказ УЭЦН</t>
        </is>
      </c>
      <c r="U502" t="inlineStr">
        <is>
          <t>https://www.slb.com/-/media/files/oilfield-review/p30-43-2</t>
        </is>
      </c>
      <c r="V502" t="inlineStr">
        <is>
          <t>Электрическая погружная установка; подтвердить испытанием</t>
        </is>
      </c>
      <c r="DB502">
        <f>IF('История отказов'!AH505="","",'История отказов'!AH505)</f>
        <v/>
      </c>
      <c r="DC502">
        <f>IF('История отказов'!AE505="","",IF(AND(COUNTIF($CT$2:$CT$2,'История отказов'!AE505)=0,COUNTIFS('История отказов'!$F$5:F505,"ШГН",'История отказов'!$AE$5:AE505,'История отказов'!AE505)=1,'История отказов'!F505="ШГН"),501,""))</f>
        <v/>
      </c>
      <c r="DD502">
        <f>IF('История отказов'!AE505="","",IF(AND(COUNTIF($CU$2:$CU$3,'История отказов'!AE505)=0,COUNTIFS('История отказов'!$F$5:F505,"ЭЦН",'История отказов'!$AE$5:AE505,'История отказов'!AE505)=1,'История отказов'!F505="ЭЦН"),501,""))</f>
        <v/>
      </c>
      <c r="DE502">
        <f>IF('История отказов'!AE505="","",IF(AND(COUNTIF($CV$2:$CV$3,'История отказов'!AE505)=0,COUNTIFS('История отказов'!$F$5:F505,"ЭВН",'История отказов'!$AE$5:AE505,'История отказов'!AE505)=1,'История отказов'!F505="ЭВН"),501,""))</f>
        <v/>
      </c>
      <c r="DF502">
        <f>IF('История отказов'!AE505="","",IF(AND(COUNTIF($CX$2:$CX$2,'История отказов'!AE505)=0,COUNTIFS('История отказов'!$F$5:F505,"ШВН",'История отказов'!$AE$5:AE505,'История отказов'!AE505)=1,'История отказов'!F505="ШВН"),501,""))</f>
        <v/>
      </c>
      <c r="DG502">
        <f>IF('История отказов'!AE505="","",IF(AND(COUNTIF($CW$2:$CW$2,'История отказов'!AE505)=0,COUNTIFS('История отказов'!$F$5:F505,"НПУ-ВД",'История отказов'!$AE$5:AE505,'История отказов'!AE505)=1,'История отказов'!F505="НПУ-ВД"),501,""))</f>
        <v/>
      </c>
      <c r="DH502">
        <f>IF('История отказов'!AE505="","",IF(AND(COUNTIF($CY$2:$CY$6,'История отказов'!AE505)=0,COUNTIF('История отказов'!$AE$5:AE505,'История отказов'!AE505)=1),501,""))</f>
        <v/>
      </c>
      <c r="DI502">
        <f>IF('История отказов'!AK505="","",IF(AND(COUNTIF($CL$2:$CL$3,'История отказов'!AK505)=0,COUNTIF('История отказов'!$AK$5:AK505,'История отказов'!AK505)=1),501,""))</f>
        <v/>
      </c>
      <c r="DJ502">
        <f>IF('История отказов'!AU505="","",IF(AND(COUNTIF($CP$2:$CP$3,'История отказов'!AU505)=0,COUNTIF('История отказов'!$AU$5:AU505,'История отказов'!AU505)=1),501,""))</f>
        <v/>
      </c>
      <c r="DK502">
        <f>IF('История отказов'!AY505="","",IF(AND(COUNTIF($CR$2:$CR$2,'История отказов'!AY505)=0,COUNTIF('История отказов'!$AY$5:AY505,'История отказов'!AY505)=1),501,""))</f>
        <v/>
      </c>
      <c r="DL502">
        <f>IF(DB502="","",IF(AND(COUNTIF($DA$2:$DA$47,DB502)=0,COUNTIF($DB$2:DB502,DB502)=1),501,""))</f>
        <v/>
      </c>
    </row>
    <row r="503">
      <c r="A503" s="74" t="n"/>
      <c r="B503" s="75" t="n"/>
      <c r="C503" s="76" t="n"/>
      <c r="J503" s="62" t="n"/>
      <c r="K503" s="62" t="n"/>
      <c r="L503" s="62" t="n"/>
      <c r="M503" s="62" t="n"/>
      <c r="N503" s="62" t="n"/>
      <c r="Q503" t="inlineStr">
        <is>
          <t>Вид повреждения</t>
        </is>
      </c>
      <c r="R503" t="inlineStr">
        <is>
          <t>Разгерметизация гидрозащиты</t>
        </is>
      </c>
      <c r="S503" t="inlineStr">
        <is>
          <t>Рабочий вид повреждения; подтвердить дефектовкой</t>
        </is>
      </c>
      <c r="T503" t="inlineStr">
        <is>
          <t>Новомет, назначение гидрозащиты</t>
        </is>
      </c>
      <c r="U503" t="inlineStr">
        <is>
          <t>https://www.novomet.ru/rus/products-and-services/artificial-lift/protectors/modular-protectors/</t>
        </is>
      </c>
      <c r="V503" t="inlineStr">
        <is>
          <t>Электрическая погружная установка; подтвердить дефектовкой</t>
        </is>
      </c>
      <c r="DB503">
        <f>IF('История отказов'!AH506="","",'История отказов'!AH506)</f>
        <v/>
      </c>
      <c r="DC503">
        <f>IF('История отказов'!AE506="","",IF(AND(COUNTIF($CT$2:$CT$2,'История отказов'!AE506)=0,COUNTIFS('История отказов'!$F$5:F506,"ШГН",'История отказов'!$AE$5:AE506,'История отказов'!AE506)=1,'История отказов'!F506="ШГН"),502,""))</f>
        <v/>
      </c>
      <c r="DD503">
        <f>IF('История отказов'!AE506="","",IF(AND(COUNTIF($CU$2:$CU$3,'История отказов'!AE506)=0,COUNTIFS('История отказов'!$F$5:F506,"ЭЦН",'История отказов'!$AE$5:AE506,'История отказов'!AE506)=1,'История отказов'!F506="ЭЦН"),502,""))</f>
        <v/>
      </c>
      <c r="DE503">
        <f>IF('История отказов'!AE506="","",IF(AND(COUNTIF($CV$2:$CV$3,'История отказов'!AE506)=0,COUNTIFS('История отказов'!$F$5:F506,"ЭВН",'История отказов'!$AE$5:AE506,'История отказов'!AE506)=1,'История отказов'!F506="ЭВН"),502,""))</f>
        <v/>
      </c>
      <c r="DF503">
        <f>IF('История отказов'!AE506="","",IF(AND(COUNTIF($CX$2:$CX$2,'История отказов'!AE506)=0,COUNTIFS('История отказов'!$F$5:F506,"ШВН",'История отказов'!$AE$5:AE506,'История отказов'!AE506)=1,'История отказов'!F506="ШВН"),502,""))</f>
        <v/>
      </c>
      <c r="DG503">
        <f>IF('История отказов'!AE506="","",IF(AND(COUNTIF($CW$2:$CW$2,'История отказов'!AE506)=0,COUNTIFS('История отказов'!$F$5:F506,"НПУ-ВД",'История отказов'!$AE$5:AE506,'История отказов'!AE506)=1,'История отказов'!F506="НПУ-ВД"),502,""))</f>
        <v/>
      </c>
      <c r="DH503">
        <f>IF('История отказов'!AE506="","",IF(AND(COUNTIF($CY$2:$CY$6,'История отказов'!AE506)=0,COUNTIF('История отказов'!$AE$5:AE506,'История отказов'!AE506)=1),502,""))</f>
        <v/>
      </c>
      <c r="DI503">
        <f>IF('История отказов'!AK506="","",IF(AND(COUNTIF($CL$2:$CL$3,'История отказов'!AK506)=0,COUNTIF('История отказов'!$AK$5:AK506,'История отказов'!AK506)=1),502,""))</f>
        <v/>
      </c>
      <c r="DJ503">
        <f>IF('История отказов'!AU506="","",IF(AND(COUNTIF($CP$2:$CP$3,'История отказов'!AU506)=0,COUNTIF('История отказов'!$AU$5:AU506,'История отказов'!AU506)=1),502,""))</f>
        <v/>
      </c>
      <c r="DK503">
        <f>IF('История отказов'!AY506="","",IF(AND(COUNTIF($CR$2:$CR$2,'История отказов'!AY506)=0,COUNTIF('История отказов'!$AY$5:AY506,'История отказов'!AY506)=1),502,""))</f>
        <v/>
      </c>
      <c r="DL503">
        <f>IF(DB503="","",IF(AND(COUNTIF($DA$2:$DA$47,DB503)=0,COUNTIF($DB$2:DB503,DB503)=1),502,""))</f>
        <v/>
      </c>
    </row>
    <row r="504">
      <c r="A504" s="74" t="n"/>
      <c r="B504" s="75" t="n"/>
      <c r="C504" s="76" t="n"/>
      <c r="J504" s="62" t="n"/>
      <c r="K504" s="62" t="n"/>
      <c r="L504" s="62" t="n"/>
      <c r="M504" s="62" t="n"/>
      <c r="N504" s="62" t="n"/>
      <c r="Q504" t="inlineStr">
        <is>
          <t>Подтверждение</t>
        </is>
      </c>
      <c r="R504" t="inlineStr">
        <is>
          <t>Акт спуска и подъёма</t>
        </is>
      </c>
      <c r="S504" t="inlineStr">
        <is>
          <t>Рабочий перечень материалов</t>
        </is>
      </c>
      <c r="T504" t="inlineStr">
        <is>
          <t>Состав материалов расследования</t>
        </is>
      </c>
      <c r="U504" t="inlineStr">
        <is>
          <t>Акт конкретной установки</t>
        </is>
      </c>
      <c r="V504" t="inlineStr">
        <is>
          <t>Все типы</t>
        </is>
      </c>
      <c r="DB504">
        <f>IF('История отказов'!AH507="","",'История отказов'!AH507)</f>
        <v/>
      </c>
      <c r="DC504">
        <f>IF('История отказов'!AE507="","",IF(AND(COUNTIF($CT$2:$CT$2,'История отказов'!AE507)=0,COUNTIFS('История отказов'!$F$5:F507,"ШГН",'История отказов'!$AE$5:AE507,'История отказов'!AE507)=1,'История отказов'!F507="ШГН"),503,""))</f>
        <v/>
      </c>
      <c r="DD504">
        <f>IF('История отказов'!AE507="","",IF(AND(COUNTIF($CU$2:$CU$3,'История отказов'!AE507)=0,COUNTIFS('История отказов'!$F$5:F507,"ЭЦН",'История отказов'!$AE$5:AE507,'История отказов'!AE507)=1,'История отказов'!F507="ЭЦН"),503,""))</f>
        <v/>
      </c>
      <c r="DE504">
        <f>IF('История отказов'!AE507="","",IF(AND(COUNTIF($CV$2:$CV$3,'История отказов'!AE507)=0,COUNTIFS('История отказов'!$F$5:F507,"ЭВН",'История отказов'!$AE$5:AE507,'История отказов'!AE507)=1,'История отказов'!F507="ЭВН"),503,""))</f>
        <v/>
      </c>
      <c r="DF504">
        <f>IF('История отказов'!AE507="","",IF(AND(COUNTIF($CX$2:$CX$2,'История отказов'!AE507)=0,COUNTIFS('История отказов'!$F$5:F507,"ШВН",'История отказов'!$AE$5:AE507,'История отказов'!AE507)=1,'История отказов'!F507="ШВН"),503,""))</f>
        <v/>
      </c>
      <c r="DG504">
        <f>IF('История отказов'!AE507="","",IF(AND(COUNTIF($CW$2:$CW$2,'История отказов'!AE507)=0,COUNTIFS('История отказов'!$F$5:F507,"НПУ-ВД",'История отказов'!$AE$5:AE507,'История отказов'!AE507)=1,'История отказов'!F507="НПУ-ВД"),503,""))</f>
        <v/>
      </c>
      <c r="DH504">
        <f>IF('История отказов'!AE507="","",IF(AND(COUNTIF($CY$2:$CY$6,'История отказов'!AE507)=0,COUNTIF('История отказов'!$AE$5:AE507,'История отказов'!AE507)=1),503,""))</f>
        <v/>
      </c>
      <c r="DI504">
        <f>IF('История отказов'!AK507="","",IF(AND(COUNTIF($CL$2:$CL$3,'История отказов'!AK507)=0,COUNTIF('История отказов'!$AK$5:AK507,'История отказов'!AK507)=1),503,""))</f>
        <v/>
      </c>
      <c r="DJ504">
        <f>IF('История отказов'!AU507="","",IF(AND(COUNTIF($CP$2:$CP$3,'История отказов'!AU507)=0,COUNTIF('История отказов'!$AU$5:AU507,'История отказов'!AU507)=1),503,""))</f>
        <v/>
      </c>
      <c r="DK504">
        <f>IF('История отказов'!AY507="","",IF(AND(COUNTIF($CR$2:$CR$2,'История отказов'!AY507)=0,COUNTIF('История отказов'!$AY$5:AY507,'История отказов'!AY507)=1),503,""))</f>
        <v/>
      </c>
      <c r="DL504">
        <f>IF(DB504="","",IF(AND(COUNTIF($DA$2:$DA$47,DB504)=0,COUNTIF($DB$2:DB504,DB504)=1),503,""))</f>
        <v/>
      </c>
    </row>
    <row r="505">
      <c r="A505" s="74" t="n"/>
      <c r="B505" s="75" t="n"/>
      <c r="C505" s="76" t="n"/>
      <c r="J505" s="62" t="n"/>
      <c r="K505" s="62" t="n"/>
      <c r="L505" s="62" t="n"/>
      <c r="M505" s="62" t="n"/>
      <c r="N505" s="62" t="n"/>
      <c r="Q505" t="inlineStr">
        <is>
          <t>Подтверждение</t>
        </is>
      </c>
      <c r="R505" t="inlineStr">
        <is>
          <t>Протокол измерения сопротивления изоляции</t>
        </is>
      </c>
      <c r="S505" t="inlineStr">
        <is>
          <t>Рабочий перечень материалов</t>
        </is>
      </c>
      <c r="T505" t="inlineStr">
        <is>
          <t>SLB, электрическая диагностика УЭЦН</t>
        </is>
      </c>
      <c r="U505" t="inlineStr">
        <is>
          <t>https://www.slb.com/-/media/files/oilfield-review/p30-43-2</t>
        </is>
      </c>
      <c r="V505" t="inlineStr">
        <is>
          <t>Электрическая погружная установка</t>
        </is>
      </c>
      <c r="DB505">
        <f>IF('История отказов'!AH508="","",'История отказов'!AH508)</f>
        <v/>
      </c>
      <c r="DC505">
        <f>IF('История отказов'!AE508="","",IF(AND(COUNTIF($CT$2:$CT$2,'История отказов'!AE508)=0,COUNTIFS('История отказов'!$F$5:F508,"ШГН",'История отказов'!$AE$5:AE508,'История отказов'!AE508)=1,'История отказов'!F508="ШГН"),504,""))</f>
        <v/>
      </c>
      <c r="DD505">
        <f>IF('История отказов'!AE508="","",IF(AND(COUNTIF($CU$2:$CU$3,'История отказов'!AE508)=0,COUNTIFS('История отказов'!$F$5:F508,"ЭЦН",'История отказов'!$AE$5:AE508,'История отказов'!AE508)=1,'История отказов'!F508="ЭЦН"),504,""))</f>
        <v/>
      </c>
      <c r="DE505">
        <f>IF('История отказов'!AE508="","",IF(AND(COUNTIF($CV$2:$CV$3,'История отказов'!AE508)=0,COUNTIFS('История отказов'!$F$5:F508,"ЭВН",'История отказов'!$AE$5:AE508,'История отказов'!AE508)=1,'История отказов'!F508="ЭВН"),504,""))</f>
        <v/>
      </c>
      <c r="DF505">
        <f>IF('История отказов'!AE508="","",IF(AND(COUNTIF($CX$2:$CX$2,'История отказов'!AE508)=0,COUNTIFS('История отказов'!$F$5:F508,"ШВН",'История отказов'!$AE$5:AE508,'История отказов'!AE508)=1,'История отказов'!F508="ШВН"),504,""))</f>
        <v/>
      </c>
      <c r="DG505">
        <f>IF('История отказов'!AE508="","",IF(AND(COUNTIF($CW$2:$CW$2,'История отказов'!AE508)=0,COUNTIFS('История отказов'!$F$5:F508,"НПУ-ВД",'История отказов'!$AE$5:AE508,'История отказов'!AE508)=1,'История отказов'!F508="НПУ-ВД"),504,""))</f>
        <v/>
      </c>
      <c r="DH505">
        <f>IF('История отказов'!AE508="","",IF(AND(COUNTIF($CY$2:$CY$6,'История отказов'!AE508)=0,COUNTIF('История отказов'!$AE$5:AE508,'История отказов'!AE508)=1),504,""))</f>
        <v/>
      </c>
      <c r="DI505">
        <f>IF('История отказов'!AK508="","",IF(AND(COUNTIF($CL$2:$CL$3,'История отказов'!AK508)=0,COUNTIF('История отказов'!$AK$5:AK508,'История отказов'!AK508)=1),504,""))</f>
        <v/>
      </c>
      <c r="DJ505">
        <f>IF('История отказов'!AU508="","",IF(AND(COUNTIF($CP$2:$CP$3,'История отказов'!AU508)=0,COUNTIF('История отказов'!$AU$5:AU508,'История отказов'!AU508)=1),504,""))</f>
        <v/>
      </c>
      <c r="DK505">
        <f>IF('История отказов'!AY508="","",IF(AND(COUNTIF($CR$2:$CR$2,'История отказов'!AY508)=0,COUNTIF('История отказов'!$AY$5:AY508,'История отказов'!AY508)=1),504,""))</f>
        <v/>
      </c>
      <c r="DL505">
        <f>IF(DB505="","",IF(AND(COUNTIF($DA$2:$DA$47,DB505)=0,COUNTIF($DB$2:DB505,DB505)=1),504,""))</f>
        <v/>
      </c>
    </row>
    <row r="506">
      <c r="A506" s="74" t="n"/>
      <c r="B506" s="75" t="n"/>
      <c r="C506" s="76" t="n"/>
      <c r="J506" s="62" t="n"/>
      <c r="K506" s="62" t="n"/>
      <c r="L506" s="62" t="n"/>
      <c r="M506" s="62" t="n"/>
      <c r="N506" s="62" t="n"/>
      <c r="Q506" t="inlineStr">
        <is>
          <t>Подтверждение</t>
        </is>
      </c>
      <c r="R506" t="inlineStr">
        <is>
          <t>Протокол опрессовки НКТ</t>
        </is>
      </c>
      <c r="S506" t="inlineStr">
        <is>
          <t>Рабочий перечень материалов</t>
        </is>
      </c>
      <c r="T506" t="inlineStr">
        <is>
          <t>Документы ремонта / герметичности</t>
        </is>
      </c>
      <c r="U506" t="inlineStr">
        <is>
          <t>Протокол конкретной скважины</t>
        </is>
      </c>
      <c r="V506" t="inlineStr">
        <is>
          <t>По фактической проверке</t>
        </is>
      </c>
      <c r="DB506">
        <f>IF('История отказов'!AH509="","",'История отказов'!AH509)</f>
        <v/>
      </c>
      <c r="DC506">
        <f>IF('История отказов'!AE509="","",IF(AND(COUNTIF($CT$2:$CT$2,'История отказов'!AE509)=0,COUNTIFS('История отказов'!$F$5:F509,"ШГН",'История отказов'!$AE$5:AE509,'История отказов'!AE509)=1,'История отказов'!F509="ШГН"),505,""))</f>
        <v/>
      </c>
      <c r="DD506">
        <f>IF('История отказов'!AE509="","",IF(AND(COUNTIF($CU$2:$CU$3,'История отказов'!AE509)=0,COUNTIFS('История отказов'!$F$5:F509,"ЭЦН",'История отказов'!$AE$5:AE509,'История отказов'!AE509)=1,'История отказов'!F509="ЭЦН"),505,""))</f>
        <v/>
      </c>
      <c r="DE506">
        <f>IF('История отказов'!AE509="","",IF(AND(COUNTIF($CV$2:$CV$3,'История отказов'!AE509)=0,COUNTIFS('История отказов'!$F$5:F509,"ЭВН",'История отказов'!$AE$5:AE509,'История отказов'!AE509)=1,'История отказов'!F509="ЭВН"),505,""))</f>
        <v/>
      </c>
      <c r="DF506">
        <f>IF('История отказов'!AE509="","",IF(AND(COUNTIF($CX$2:$CX$2,'История отказов'!AE509)=0,COUNTIFS('История отказов'!$F$5:F509,"ШВН",'История отказов'!$AE$5:AE509,'История отказов'!AE509)=1,'История отказов'!F509="ШВН"),505,""))</f>
        <v/>
      </c>
      <c r="DG506">
        <f>IF('История отказов'!AE509="","",IF(AND(COUNTIF($CW$2:$CW$2,'История отказов'!AE509)=0,COUNTIFS('История отказов'!$F$5:F509,"НПУ-ВД",'История отказов'!$AE$5:AE509,'История отказов'!AE509)=1,'История отказов'!F509="НПУ-ВД"),505,""))</f>
        <v/>
      </c>
      <c r="DH506">
        <f>IF('История отказов'!AE509="","",IF(AND(COUNTIF($CY$2:$CY$6,'История отказов'!AE509)=0,COUNTIF('История отказов'!$AE$5:AE509,'История отказов'!AE509)=1),505,""))</f>
        <v/>
      </c>
      <c r="DI506">
        <f>IF('История отказов'!AK509="","",IF(AND(COUNTIF($CL$2:$CL$3,'История отказов'!AK509)=0,COUNTIF('История отказов'!$AK$5:AK509,'История отказов'!AK509)=1),505,""))</f>
        <v/>
      </c>
      <c r="DJ506">
        <f>IF('История отказов'!AU509="","",IF(AND(COUNTIF($CP$2:$CP$3,'История отказов'!AU509)=0,COUNTIF('История отказов'!$AU$5:AU509,'История отказов'!AU509)=1),505,""))</f>
        <v/>
      </c>
      <c r="DK506">
        <f>IF('История отказов'!AY509="","",IF(AND(COUNTIF($CR$2:$CR$2,'История отказов'!AY509)=0,COUNTIF('История отказов'!$AY$5:AY509,'История отказов'!AY509)=1),505,""))</f>
        <v/>
      </c>
      <c r="DL506">
        <f>IF(DB506="","",IF(AND(COUNTIF($DA$2:$DA$47,DB506)=0,COUNTIF($DB$2:DB506,DB506)=1),505,""))</f>
        <v/>
      </c>
    </row>
    <row r="507">
      <c r="A507" s="74" t="n"/>
      <c r="B507" s="75" t="n"/>
      <c r="C507" s="76" t="n"/>
      <c r="J507" s="62" t="n"/>
      <c r="K507" s="62" t="n"/>
      <c r="L507" s="62" t="n"/>
      <c r="M507" s="62" t="n"/>
      <c r="N507" s="62" t="n"/>
      <c r="Q507" t="inlineStr">
        <is>
          <t>Подтверждение</t>
        </is>
      </c>
      <c r="R507" t="inlineStr">
        <is>
          <t>Распечатка тревог и отключений</t>
        </is>
      </c>
      <c r="S507" t="inlineStr">
        <is>
          <t>Рабочий перечень материалов</t>
        </is>
      </c>
      <c r="T507" t="inlineStr">
        <is>
          <t>Weatherford, события мониторинга УЭЦН</t>
        </is>
      </c>
      <c r="U507" t="inlineStr">
        <is>
          <t>https://www.slb.com/resource-library/oilfield-review/defining-series/defining-esp</t>
        </is>
      </c>
      <c r="V507" t="inlineStr">
        <is>
          <t>При наличии системы контроля</t>
        </is>
      </c>
      <c r="DB507">
        <f>IF('История отказов'!AH510="","",'История отказов'!AH510)</f>
        <v/>
      </c>
      <c r="DC507">
        <f>IF('История отказов'!AE510="","",IF(AND(COUNTIF($CT$2:$CT$2,'История отказов'!AE510)=0,COUNTIFS('История отказов'!$F$5:F510,"ШГН",'История отказов'!$AE$5:AE510,'История отказов'!AE510)=1,'История отказов'!F510="ШГН"),506,""))</f>
        <v/>
      </c>
      <c r="DD507">
        <f>IF('История отказов'!AE510="","",IF(AND(COUNTIF($CU$2:$CU$3,'История отказов'!AE510)=0,COUNTIFS('История отказов'!$F$5:F510,"ЭЦН",'История отказов'!$AE$5:AE510,'История отказов'!AE510)=1,'История отказов'!F510="ЭЦН"),506,""))</f>
        <v/>
      </c>
      <c r="DE507">
        <f>IF('История отказов'!AE510="","",IF(AND(COUNTIF($CV$2:$CV$3,'История отказов'!AE510)=0,COUNTIFS('История отказов'!$F$5:F510,"ЭВН",'История отказов'!$AE$5:AE510,'История отказов'!AE510)=1,'История отказов'!F510="ЭВН"),506,""))</f>
        <v/>
      </c>
      <c r="DF507">
        <f>IF('История отказов'!AE510="","",IF(AND(COUNTIF($CX$2:$CX$2,'История отказов'!AE510)=0,COUNTIFS('История отказов'!$F$5:F510,"ШВН",'История отказов'!$AE$5:AE510,'История отказов'!AE510)=1,'История отказов'!F510="ШВН"),506,""))</f>
        <v/>
      </c>
      <c r="DG507">
        <f>IF('История отказов'!AE510="","",IF(AND(COUNTIF($CW$2:$CW$2,'История отказов'!AE510)=0,COUNTIFS('История отказов'!$F$5:F510,"НПУ-ВД",'История отказов'!$AE$5:AE510,'История отказов'!AE510)=1,'История отказов'!F510="НПУ-ВД"),506,""))</f>
        <v/>
      </c>
      <c r="DH507">
        <f>IF('История отказов'!AE510="","",IF(AND(COUNTIF($CY$2:$CY$6,'История отказов'!AE510)=0,COUNTIF('История отказов'!$AE$5:AE510,'История отказов'!AE510)=1),506,""))</f>
        <v/>
      </c>
      <c r="DI507">
        <f>IF('История отказов'!AK510="","",IF(AND(COUNTIF($CL$2:$CL$3,'История отказов'!AK510)=0,COUNTIF('История отказов'!$AK$5:AK510,'История отказов'!AK510)=1),506,""))</f>
        <v/>
      </c>
      <c r="DJ507">
        <f>IF('История отказов'!AU510="","",IF(AND(COUNTIF($CP$2:$CP$3,'История отказов'!AU510)=0,COUNTIF('История отказов'!$AU$5:AU510,'История отказов'!AU510)=1),506,""))</f>
        <v/>
      </c>
      <c r="DK507">
        <f>IF('История отказов'!AY510="","",IF(AND(COUNTIF($CR$2:$CR$2,'История отказов'!AY510)=0,COUNTIF('История отказов'!$AY$5:AY510,'История отказов'!AY510)=1),506,""))</f>
        <v/>
      </c>
      <c r="DL507">
        <f>IF(DB507="","",IF(AND(COUNTIF($DA$2:$DA$47,DB507)=0,COUNTIF($DB$2:DB507,DB507)=1),506,""))</f>
        <v/>
      </c>
    </row>
    <row r="508">
      <c r="A508" s="74" t="n"/>
      <c r="B508" s="75" t="n"/>
      <c r="C508" s="76" t="n"/>
      <c r="J508" s="62" t="n"/>
      <c r="K508" s="62" t="n"/>
      <c r="L508" s="62" t="n"/>
      <c r="M508" s="62" t="n"/>
      <c r="N508" s="62" t="n"/>
      <c r="Q508" t="inlineStr">
        <is>
          <t>Метод борьбы (справочно)</t>
        </is>
      </c>
      <c r="R508" t="inlineStr">
        <is>
          <t>Механическое удаление АСПО скребком</t>
        </is>
      </c>
      <c r="S508" t="inlineStr">
        <is>
          <t>Метод из МУ; выбор по условиям скважины</t>
        </is>
      </c>
      <c r="T508" t="inlineStr">
        <is>
          <t>МУ по отнесению скважин к ОФ</t>
        </is>
      </c>
      <c r="U508" t="inlineStr">
        <is>
          <t>§5.2.1.2</t>
        </is>
      </c>
      <c r="V508" t="inlineStr">
        <is>
          <t>НКТ; исполнение скребка по способу эксплуатации</t>
        </is>
      </c>
      <c r="DB508">
        <f>IF('История отказов'!AH511="","",'История отказов'!AH511)</f>
        <v/>
      </c>
      <c r="DC508">
        <f>IF('История отказов'!AE511="","",IF(AND(COUNTIF($CT$2:$CT$2,'История отказов'!AE511)=0,COUNTIFS('История отказов'!$F$5:F511,"ШГН",'История отказов'!$AE$5:AE511,'История отказов'!AE511)=1,'История отказов'!F511="ШГН"),507,""))</f>
        <v/>
      </c>
      <c r="DD508">
        <f>IF('История отказов'!AE511="","",IF(AND(COUNTIF($CU$2:$CU$3,'История отказов'!AE511)=0,COUNTIFS('История отказов'!$F$5:F511,"ЭЦН",'История отказов'!$AE$5:AE511,'История отказов'!AE511)=1,'История отказов'!F511="ЭЦН"),507,""))</f>
        <v/>
      </c>
      <c r="DE508">
        <f>IF('История отказов'!AE511="","",IF(AND(COUNTIF($CV$2:$CV$3,'История отказов'!AE511)=0,COUNTIFS('История отказов'!$F$5:F511,"ЭВН",'История отказов'!$AE$5:AE511,'История отказов'!AE511)=1,'История отказов'!F511="ЭВН"),507,""))</f>
        <v/>
      </c>
      <c r="DF508">
        <f>IF('История отказов'!AE511="","",IF(AND(COUNTIF($CX$2:$CX$2,'История отказов'!AE511)=0,COUNTIFS('История отказов'!$F$5:F511,"ШВН",'История отказов'!$AE$5:AE511,'История отказов'!AE511)=1,'История отказов'!F511="ШВН"),507,""))</f>
        <v/>
      </c>
      <c r="DG508">
        <f>IF('История отказов'!AE511="","",IF(AND(COUNTIF($CW$2:$CW$2,'История отказов'!AE511)=0,COUNTIFS('История отказов'!$F$5:F511,"НПУ-ВД",'История отказов'!$AE$5:AE511,'История отказов'!AE511)=1,'История отказов'!F511="НПУ-ВД"),507,""))</f>
        <v/>
      </c>
      <c r="DH508">
        <f>IF('История отказов'!AE511="","",IF(AND(COUNTIF($CY$2:$CY$6,'История отказов'!AE511)=0,COUNTIF('История отказов'!$AE$5:AE511,'История отказов'!AE511)=1),507,""))</f>
        <v/>
      </c>
      <c r="DI508">
        <f>IF('История отказов'!AK511="","",IF(AND(COUNTIF($CL$2:$CL$3,'История отказов'!AK511)=0,COUNTIF('История отказов'!$AK$5:AK511,'История отказов'!AK511)=1),507,""))</f>
        <v/>
      </c>
      <c r="DJ508">
        <f>IF('История отказов'!AU511="","",IF(AND(COUNTIF($CP$2:$CP$3,'История отказов'!AU511)=0,COUNTIF('История отказов'!$AU$5:AU511,'История отказов'!AU511)=1),507,""))</f>
        <v/>
      </c>
      <c r="DK508">
        <f>IF('История отказов'!AY511="","",IF(AND(COUNTIF($CR$2:$CR$2,'История отказов'!AY511)=0,COUNTIF('История отказов'!$AY$5:AY511,'История отказов'!AY511)=1),507,""))</f>
        <v/>
      </c>
      <c r="DL508">
        <f>IF(DB508="","",IF(AND(COUNTIF($DA$2:$DA$47,DB508)=0,COUNTIF($DB$2:DB508,DB508)=1),507,""))</f>
        <v/>
      </c>
    </row>
    <row r="509">
      <c r="A509" s="74" t="n"/>
      <c r="B509" s="75" t="n"/>
      <c r="C509" s="76" t="n"/>
      <c r="J509" s="62" t="n"/>
      <c r="K509" s="62" t="n"/>
      <c r="L509" s="62" t="n"/>
      <c r="M509" s="62" t="n"/>
      <c r="N509" s="62" t="n"/>
      <c r="Q509" t="inlineStr">
        <is>
          <t>Метод борьбы (справочно)</t>
        </is>
      </c>
      <c r="R509" t="inlineStr">
        <is>
          <t>Промывка АСПО горячей водой с ПАВ</t>
        </is>
      </c>
      <c r="S509" t="inlineStr">
        <is>
          <t>Метод из МУ; выбор по условиям скважины</t>
        </is>
      </c>
      <c r="T509" t="inlineStr">
        <is>
          <t>МУ по отнесению скважин к ОФ</t>
        </is>
      </c>
      <c r="U509" t="inlineStr">
        <is>
          <t>§5.2.1.1</t>
        </is>
      </c>
      <c r="V509" t="inlineStr">
        <is>
          <t>Проверить условия циркуляции и вторичное выпадение</t>
        </is>
      </c>
      <c r="DB509">
        <f>IF('История отказов'!AH512="","",'История отказов'!AH512)</f>
        <v/>
      </c>
      <c r="DC509">
        <f>IF('История отказов'!AE512="","",IF(AND(COUNTIF($CT$2:$CT$2,'История отказов'!AE512)=0,COUNTIFS('История отказов'!$F$5:F512,"ШГН",'История отказов'!$AE$5:AE512,'История отказов'!AE512)=1,'История отказов'!F512="ШГН"),508,""))</f>
        <v/>
      </c>
      <c r="DD509">
        <f>IF('История отказов'!AE512="","",IF(AND(COUNTIF($CU$2:$CU$3,'История отказов'!AE512)=0,COUNTIFS('История отказов'!$F$5:F512,"ЭЦН",'История отказов'!$AE$5:AE512,'История отказов'!AE512)=1,'История отказов'!F512="ЭЦН"),508,""))</f>
        <v/>
      </c>
      <c r="DE509">
        <f>IF('История отказов'!AE512="","",IF(AND(COUNTIF($CV$2:$CV$3,'История отказов'!AE512)=0,COUNTIFS('История отказов'!$F$5:F512,"ЭВН",'История отказов'!$AE$5:AE512,'История отказов'!AE512)=1,'История отказов'!F512="ЭВН"),508,""))</f>
        <v/>
      </c>
      <c r="DF509">
        <f>IF('История отказов'!AE512="","",IF(AND(COUNTIF($CX$2:$CX$2,'История отказов'!AE512)=0,COUNTIFS('История отказов'!$F$5:F512,"ШВН",'История отказов'!$AE$5:AE512,'История отказов'!AE512)=1,'История отказов'!F512="ШВН"),508,""))</f>
        <v/>
      </c>
      <c r="DG509">
        <f>IF('История отказов'!AE512="","",IF(AND(COUNTIF($CW$2:$CW$2,'История отказов'!AE512)=0,COUNTIFS('История отказов'!$F$5:F512,"НПУ-ВД",'История отказов'!$AE$5:AE512,'История отказов'!AE512)=1,'История отказов'!F512="НПУ-ВД"),508,""))</f>
        <v/>
      </c>
      <c r="DH509">
        <f>IF('История отказов'!AE512="","",IF(AND(COUNTIF($CY$2:$CY$6,'История отказов'!AE512)=0,COUNTIF('История отказов'!$AE$5:AE512,'История отказов'!AE512)=1),508,""))</f>
        <v/>
      </c>
      <c r="DI509">
        <f>IF('История отказов'!AK512="","",IF(AND(COUNTIF($CL$2:$CL$3,'История отказов'!AK512)=0,COUNTIF('История отказов'!$AK$5:AK512,'История отказов'!AK512)=1),508,""))</f>
        <v/>
      </c>
      <c r="DJ509">
        <f>IF('История отказов'!AU512="","",IF(AND(COUNTIF($CP$2:$CP$3,'История отказов'!AU512)=0,COUNTIF('История отказов'!$AU$5:AU512,'История отказов'!AU512)=1),508,""))</f>
        <v/>
      </c>
      <c r="DK509">
        <f>IF('История отказов'!AY512="","",IF(AND(COUNTIF($CR$2:$CR$2,'История отказов'!AY512)=0,COUNTIF('История отказов'!$AY$5:AY512,'История отказов'!AY512)=1),508,""))</f>
        <v/>
      </c>
      <c r="DL509">
        <f>IF(DB509="","",IF(AND(COUNTIF($DA$2:$DA$47,DB509)=0,COUNTIF($DB$2:DB509,DB509)=1),508,""))</f>
        <v/>
      </c>
    </row>
    <row r="510">
      <c r="A510" s="74" t="n"/>
      <c r="B510" s="75" t="n"/>
      <c r="C510" s="76" t="n"/>
      <c r="J510" s="62" t="n"/>
      <c r="K510" s="62" t="n"/>
      <c r="L510" s="62" t="n"/>
      <c r="M510" s="62" t="n"/>
      <c r="N510" s="62" t="n"/>
      <c r="Q510" t="inlineStr">
        <is>
          <t>Метод борьбы (справочно)</t>
        </is>
      </c>
      <c r="R510" t="inlineStr">
        <is>
          <t>Гладкое покрытие НКТ против АСПО</t>
        </is>
      </c>
      <c r="S510" t="inlineStr">
        <is>
          <t>Метод из МУ; выбор по условиям скважины</t>
        </is>
      </c>
      <c r="T510" t="inlineStr">
        <is>
          <t>МУ по отнесению скважин к ОФ</t>
        </is>
      </c>
      <c r="U510" t="inlineStr">
        <is>
          <t>§5.2.2.1</t>
        </is>
      </c>
      <c r="V510" t="inlineStr">
        <is>
          <t>Защита НКТ</t>
        </is>
      </c>
      <c r="DB510">
        <f>IF('История отказов'!AH513="","",'История отказов'!AH513)</f>
        <v/>
      </c>
      <c r="DC510">
        <f>IF('История отказов'!AE513="","",IF(AND(COUNTIF($CT$2:$CT$2,'История отказов'!AE513)=0,COUNTIFS('История отказов'!$F$5:F513,"ШГН",'История отказов'!$AE$5:AE513,'История отказов'!AE513)=1,'История отказов'!F513="ШГН"),509,""))</f>
        <v/>
      </c>
      <c r="DD510">
        <f>IF('История отказов'!AE513="","",IF(AND(COUNTIF($CU$2:$CU$3,'История отказов'!AE513)=0,COUNTIFS('История отказов'!$F$5:F513,"ЭЦН",'История отказов'!$AE$5:AE513,'История отказов'!AE513)=1,'История отказов'!F513="ЭЦН"),509,""))</f>
        <v/>
      </c>
      <c r="DE510">
        <f>IF('История отказов'!AE513="","",IF(AND(COUNTIF($CV$2:$CV$3,'История отказов'!AE513)=0,COUNTIFS('История отказов'!$F$5:F513,"ЭВН",'История отказов'!$AE$5:AE513,'История отказов'!AE513)=1,'История отказов'!F513="ЭВН"),509,""))</f>
        <v/>
      </c>
      <c r="DF510">
        <f>IF('История отказов'!AE513="","",IF(AND(COUNTIF($CX$2:$CX$2,'История отказов'!AE513)=0,COUNTIFS('История отказов'!$F$5:F513,"ШВН",'История отказов'!$AE$5:AE513,'История отказов'!AE513)=1,'История отказов'!F513="ШВН"),509,""))</f>
        <v/>
      </c>
      <c r="DG510">
        <f>IF('История отказов'!AE513="","",IF(AND(COUNTIF($CW$2:$CW$2,'История отказов'!AE513)=0,COUNTIFS('История отказов'!$F$5:F513,"НПУ-ВД",'История отказов'!$AE$5:AE513,'История отказов'!AE513)=1,'История отказов'!F513="НПУ-ВД"),509,""))</f>
        <v/>
      </c>
      <c r="DH510">
        <f>IF('История отказов'!AE513="","",IF(AND(COUNTIF($CY$2:$CY$6,'История отказов'!AE513)=0,COUNTIF('История отказов'!$AE$5:AE513,'История отказов'!AE513)=1),509,""))</f>
        <v/>
      </c>
      <c r="DI510">
        <f>IF('История отказов'!AK513="","",IF(AND(COUNTIF($CL$2:$CL$3,'История отказов'!AK513)=0,COUNTIF('История отказов'!$AK$5:AK513,'История отказов'!AK513)=1),509,""))</f>
        <v/>
      </c>
      <c r="DJ510">
        <f>IF('История отказов'!AU513="","",IF(AND(COUNTIF($CP$2:$CP$3,'История отказов'!AU513)=0,COUNTIF('История отказов'!$AU$5:AU513,'История отказов'!AU513)=1),509,""))</f>
        <v/>
      </c>
      <c r="DK510">
        <f>IF('История отказов'!AY513="","",IF(AND(COUNTIF($CR$2:$CR$2,'История отказов'!AY513)=0,COUNTIF('История отказов'!$AY$5:AY513,'История отказов'!AY513)=1),509,""))</f>
        <v/>
      </c>
      <c r="DL510">
        <f>IF(DB510="","",IF(AND(COUNTIF($DA$2:$DA$47,DB510)=0,COUNTIF($DB$2:DB510,DB510)=1),509,""))</f>
        <v/>
      </c>
    </row>
    <row r="511">
      <c r="A511" s="74" t="n"/>
      <c r="B511" s="75" t="n"/>
      <c r="C511" s="76" t="n"/>
      <c r="J511" s="62" t="n"/>
      <c r="K511" s="62" t="n"/>
      <c r="L511" s="62" t="n"/>
      <c r="M511" s="62" t="n"/>
      <c r="N511" s="62" t="n"/>
      <c r="Q511" t="inlineStr">
        <is>
          <t>Метод борьбы (справочно)</t>
        </is>
      </c>
      <c r="R511" t="inlineStr">
        <is>
          <t>Электропрогрев парафиновой пробки</t>
        </is>
      </c>
      <c r="S511" t="inlineStr">
        <is>
          <t>Метод из МУ; выбор по условиям скважины</t>
        </is>
      </c>
      <c r="T511" t="inlineStr">
        <is>
          <t>МУ по отнесению скважин к ОФ</t>
        </is>
      </c>
      <c r="U511" t="inlineStr">
        <is>
          <t>§5.2.1.1</t>
        </is>
      </c>
      <c r="V511" t="inlineStr">
        <is>
          <t>При подтверждённой пробке</t>
        </is>
      </c>
      <c r="DB511">
        <f>IF('История отказов'!AH514="","",'История отказов'!AH514)</f>
        <v/>
      </c>
      <c r="DC511">
        <f>IF('История отказов'!AE514="","",IF(AND(COUNTIF($CT$2:$CT$2,'История отказов'!AE514)=0,COUNTIFS('История отказов'!$F$5:F514,"ШГН",'История отказов'!$AE$5:AE514,'История отказов'!AE514)=1,'История отказов'!F514="ШГН"),510,""))</f>
        <v/>
      </c>
      <c r="DD511">
        <f>IF('История отказов'!AE514="","",IF(AND(COUNTIF($CU$2:$CU$3,'История отказов'!AE514)=0,COUNTIFS('История отказов'!$F$5:F514,"ЭЦН",'История отказов'!$AE$5:AE514,'История отказов'!AE514)=1,'История отказов'!F514="ЭЦН"),510,""))</f>
        <v/>
      </c>
      <c r="DE511">
        <f>IF('История отказов'!AE514="","",IF(AND(COUNTIF($CV$2:$CV$3,'История отказов'!AE514)=0,COUNTIFS('История отказов'!$F$5:F514,"ЭВН",'История отказов'!$AE$5:AE514,'История отказов'!AE514)=1,'История отказов'!F514="ЭВН"),510,""))</f>
        <v/>
      </c>
      <c r="DF511">
        <f>IF('История отказов'!AE514="","",IF(AND(COUNTIF($CX$2:$CX$2,'История отказов'!AE514)=0,COUNTIFS('История отказов'!$F$5:F514,"ШВН",'История отказов'!$AE$5:AE514,'История отказов'!AE514)=1,'История отказов'!F514="ШВН"),510,""))</f>
        <v/>
      </c>
      <c r="DG511">
        <f>IF('История отказов'!AE514="","",IF(AND(COUNTIF($CW$2:$CW$2,'История отказов'!AE514)=0,COUNTIFS('История отказов'!$F$5:F514,"НПУ-ВД",'История отказов'!$AE$5:AE514,'История отказов'!AE514)=1,'История отказов'!F514="НПУ-ВД"),510,""))</f>
        <v/>
      </c>
      <c r="DH511">
        <f>IF('История отказов'!AE514="","",IF(AND(COUNTIF($CY$2:$CY$6,'История отказов'!AE514)=0,COUNTIF('История отказов'!$AE$5:AE514,'История отказов'!AE514)=1),510,""))</f>
        <v/>
      </c>
      <c r="DI511">
        <f>IF('История отказов'!AK514="","",IF(AND(COUNTIF($CL$2:$CL$3,'История отказов'!AK514)=0,COUNTIF('История отказов'!$AK$5:AK514,'История отказов'!AK514)=1),510,""))</f>
        <v/>
      </c>
      <c r="DJ511">
        <f>IF('История отказов'!AU514="","",IF(AND(COUNTIF($CP$2:$CP$3,'История отказов'!AU514)=0,COUNTIF('История отказов'!$AU$5:AU514,'История отказов'!AU514)=1),510,""))</f>
        <v/>
      </c>
      <c r="DK511">
        <f>IF('История отказов'!AY514="","",IF(AND(COUNTIF($CR$2:$CR$2,'История отказов'!AY514)=0,COUNTIF('История отказов'!$AY$5:AY514,'История отказов'!AY514)=1),510,""))</f>
        <v/>
      </c>
      <c r="DL511">
        <f>IF(DB511="","",IF(AND(COUNTIF($DA$2:$DA$47,DB511)=0,COUNTIF($DB$2:DB511,DB511)=1),510,""))</f>
        <v/>
      </c>
    </row>
    <row r="512">
      <c r="A512" s="74" t="n"/>
      <c r="B512" s="75" t="n"/>
      <c r="C512" s="76" t="n"/>
      <c r="J512" s="62" t="n"/>
      <c r="K512" s="62" t="n"/>
      <c r="L512" s="62" t="n"/>
      <c r="M512" s="62" t="n"/>
      <c r="N512" s="62" t="n"/>
      <c r="Q512" t="inlineStr">
        <is>
          <t>Метод борьбы (справочно)</t>
        </is>
      </c>
      <c r="R512" t="inlineStr">
        <is>
          <t>Увеличение погружения насоса при газовом влиянии</t>
        </is>
      </c>
      <c r="S512" t="inlineStr">
        <is>
          <t>Метод из МУ; выбор по условиям скважины</t>
        </is>
      </c>
      <c r="T512" t="inlineStr">
        <is>
          <t>МУ по отнесению скважин к ОФ</t>
        </is>
      </c>
      <c r="U512" t="inlineStr">
        <is>
          <t>§9.2</t>
        </is>
      </c>
      <c r="V512" t="inlineStr">
        <is>
          <t>По расчёту режима и допускаемой глубине</t>
        </is>
      </c>
      <c r="DB512">
        <f>IF('История отказов'!AH515="","",'История отказов'!AH515)</f>
        <v/>
      </c>
      <c r="DC512">
        <f>IF('История отказов'!AE515="","",IF(AND(COUNTIF($CT$2:$CT$2,'История отказов'!AE515)=0,COUNTIFS('История отказов'!$F$5:F515,"ШГН",'История отказов'!$AE$5:AE515,'История отказов'!AE515)=1,'История отказов'!F515="ШГН"),511,""))</f>
        <v/>
      </c>
      <c r="DD512">
        <f>IF('История отказов'!AE515="","",IF(AND(COUNTIF($CU$2:$CU$3,'История отказов'!AE515)=0,COUNTIFS('История отказов'!$F$5:F515,"ЭЦН",'История отказов'!$AE$5:AE515,'История отказов'!AE515)=1,'История отказов'!F515="ЭЦН"),511,""))</f>
        <v/>
      </c>
      <c r="DE512">
        <f>IF('История отказов'!AE515="","",IF(AND(COUNTIF($CV$2:$CV$3,'История отказов'!AE515)=0,COUNTIFS('История отказов'!$F$5:F515,"ЭВН",'История отказов'!$AE$5:AE515,'История отказов'!AE515)=1,'История отказов'!F515="ЭВН"),511,""))</f>
        <v/>
      </c>
      <c r="DF512">
        <f>IF('История отказов'!AE515="","",IF(AND(COUNTIF($CX$2:$CX$2,'История отказов'!AE515)=0,COUNTIFS('История отказов'!$F$5:F515,"ШВН",'История отказов'!$AE$5:AE515,'История отказов'!AE515)=1,'История отказов'!F515="ШВН"),511,""))</f>
        <v/>
      </c>
      <c r="DG512">
        <f>IF('История отказов'!AE515="","",IF(AND(COUNTIF($CW$2:$CW$2,'История отказов'!AE515)=0,COUNTIFS('История отказов'!$F$5:F515,"НПУ-ВД",'История отказов'!$AE$5:AE515,'История отказов'!AE515)=1,'История отказов'!F515="НПУ-ВД"),511,""))</f>
        <v/>
      </c>
      <c r="DH512">
        <f>IF('История отказов'!AE515="","",IF(AND(COUNTIF($CY$2:$CY$6,'История отказов'!AE515)=0,COUNTIF('История отказов'!$AE$5:AE515,'История отказов'!AE515)=1),511,""))</f>
        <v/>
      </c>
      <c r="DI512">
        <f>IF('История отказов'!AK515="","",IF(AND(COUNTIF($CL$2:$CL$3,'История отказов'!AK515)=0,COUNTIF('История отказов'!$AK$5:AK515,'История отказов'!AK515)=1),511,""))</f>
        <v/>
      </c>
      <c r="DJ512">
        <f>IF('История отказов'!AU515="","",IF(AND(COUNTIF($CP$2:$CP$3,'История отказов'!AU515)=0,COUNTIF('История отказов'!$AU$5:AU515,'История отказов'!AU515)=1),511,""))</f>
        <v/>
      </c>
      <c r="DK512">
        <f>IF('История отказов'!AY515="","",IF(AND(COUNTIF($CR$2:$CR$2,'История отказов'!AY515)=0,COUNTIF('История отказов'!$AY$5:AY515,'История отказов'!AY515)=1),511,""))</f>
        <v/>
      </c>
      <c r="DL512">
        <f>IF(DB512="","",IF(AND(COUNTIF($DA$2:$DA$47,DB512)=0,COUNTIF($DB$2:DB512,DB512)=1),511,""))</f>
        <v/>
      </c>
    </row>
    <row r="513">
      <c r="A513" s="74" t="n"/>
      <c r="B513" s="75" t="n"/>
      <c r="C513" s="76" t="n"/>
      <c r="J513" s="62" t="n"/>
      <c r="K513" s="62" t="n"/>
      <c r="L513" s="62" t="n"/>
      <c r="M513" s="62" t="n"/>
      <c r="N513" s="62" t="n"/>
      <c r="Q513" t="inlineStr">
        <is>
          <t>Метод борьбы (справочно)</t>
        </is>
      </c>
      <c r="R513" t="inlineStr">
        <is>
          <t>Хвостовик / газовый якорь для ШГН</t>
        </is>
      </c>
      <c r="S513" t="inlineStr">
        <is>
          <t>Метод из МУ; выбор по условиям скважины</t>
        </is>
      </c>
      <c r="T513" t="inlineStr">
        <is>
          <t>МУ по отнесению скважин к ОФ</t>
        </is>
      </c>
      <c r="U513" t="inlineStr">
        <is>
          <t>§9.2</t>
        </is>
      </c>
      <c r="V513" t="inlineStr">
        <is>
          <t>ШГН по компоновке</t>
        </is>
      </c>
      <c r="DB513">
        <f>IF('История отказов'!AH516="","",'История отказов'!AH516)</f>
        <v/>
      </c>
      <c r="DC513">
        <f>IF('История отказов'!AE516="","",IF(AND(COUNTIF($CT$2:$CT$2,'История отказов'!AE516)=0,COUNTIFS('История отказов'!$F$5:F516,"ШГН",'История отказов'!$AE$5:AE516,'История отказов'!AE516)=1,'История отказов'!F516="ШГН"),512,""))</f>
        <v/>
      </c>
      <c r="DD513">
        <f>IF('История отказов'!AE516="","",IF(AND(COUNTIF($CU$2:$CU$3,'История отказов'!AE516)=0,COUNTIFS('История отказов'!$F$5:F516,"ЭЦН",'История отказов'!$AE$5:AE516,'История отказов'!AE516)=1,'История отказов'!F516="ЭЦН"),512,""))</f>
        <v/>
      </c>
      <c r="DE513">
        <f>IF('История отказов'!AE516="","",IF(AND(COUNTIF($CV$2:$CV$3,'История отказов'!AE516)=0,COUNTIFS('История отказов'!$F$5:F516,"ЭВН",'История отказов'!$AE$5:AE516,'История отказов'!AE516)=1,'История отказов'!F516="ЭВН"),512,""))</f>
        <v/>
      </c>
      <c r="DF513">
        <f>IF('История отказов'!AE516="","",IF(AND(COUNTIF($CX$2:$CX$2,'История отказов'!AE516)=0,COUNTIFS('История отказов'!$F$5:F516,"ШВН",'История отказов'!$AE$5:AE516,'История отказов'!AE516)=1,'История отказов'!F516="ШВН"),512,""))</f>
        <v/>
      </c>
      <c r="DG513">
        <f>IF('История отказов'!AE516="","",IF(AND(COUNTIF($CW$2:$CW$2,'История отказов'!AE516)=0,COUNTIFS('История отказов'!$F$5:F516,"НПУ-ВД",'История отказов'!$AE$5:AE516,'История отказов'!AE516)=1,'История отказов'!F516="НПУ-ВД"),512,""))</f>
        <v/>
      </c>
      <c r="DH513">
        <f>IF('История отказов'!AE516="","",IF(AND(COUNTIF($CY$2:$CY$6,'История отказов'!AE516)=0,COUNTIF('История отказов'!$AE$5:AE516,'История отказов'!AE516)=1),512,""))</f>
        <v/>
      </c>
      <c r="DI513">
        <f>IF('История отказов'!AK516="","",IF(AND(COUNTIF($CL$2:$CL$3,'История отказов'!AK516)=0,COUNTIF('История отказов'!$AK$5:AK516,'История отказов'!AK516)=1),512,""))</f>
        <v/>
      </c>
      <c r="DJ513">
        <f>IF('История отказов'!AU516="","",IF(AND(COUNTIF($CP$2:$CP$3,'История отказов'!AU516)=0,COUNTIF('История отказов'!$AU$5:AU516,'История отказов'!AU516)=1),512,""))</f>
        <v/>
      </c>
      <c r="DK513">
        <f>IF('История отказов'!AY516="","",IF(AND(COUNTIF($CR$2:$CR$2,'История отказов'!AY516)=0,COUNTIF('История отказов'!$AY$5:AY516,'История отказов'!AY516)=1),512,""))</f>
        <v/>
      </c>
      <c r="DL513">
        <f>IF(DB513="","",IF(AND(COUNTIF($DA$2:$DA$47,DB513)=0,COUNTIF($DB$2:DB513,DB513)=1),512,""))</f>
        <v/>
      </c>
    </row>
    <row r="514">
      <c r="A514" s="74" t="n"/>
      <c r="B514" s="75" t="n"/>
      <c r="C514" s="76" t="n"/>
      <c r="J514" s="62" t="n"/>
      <c r="K514" s="62" t="n"/>
      <c r="L514" s="62" t="n"/>
      <c r="M514" s="62" t="n"/>
      <c r="N514" s="62" t="n"/>
      <c r="Q514" t="inlineStr">
        <is>
          <t>Метод борьбы (справочно)</t>
        </is>
      </c>
      <c r="R514" t="inlineStr">
        <is>
          <t>Кислотное удаление карбонатных солей</t>
        </is>
      </c>
      <c r="S514" t="inlineStr">
        <is>
          <t>Метод из МУ; выбор по условиям скважины</t>
        </is>
      </c>
      <c r="T514" t="inlineStr">
        <is>
          <t>МУ по отнесению скважин к ОФ</t>
        </is>
      </c>
      <c r="U514" t="inlineStr">
        <is>
          <t>§8.2</t>
        </is>
      </c>
      <c r="V514" t="inlineStr">
        <is>
          <t>Только при установленном составе отложений</t>
        </is>
      </c>
      <c r="DB514">
        <f>IF('История отказов'!AH517="","",'История отказов'!AH517)</f>
        <v/>
      </c>
      <c r="DC514">
        <f>IF('История отказов'!AE517="","",IF(AND(COUNTIF($CT$2:$CT$2,'История отказов'!AE517)=0,COUNTIFS('История отказов'!$F$5:F517,"ШГН",'История отказов'!$AE$5:AE517,'История отказов'!AE517)=1,'История отказов'!F517="ШГН"),513,""))</f>
        <v/>
      </c>
      <c r="DD514">
        <f>IF('История отказов'!AE517="","",IF(AND(COUNTIF($CU$2:$CU$3,'История отказов'!AE517)=0,COUNTIFS('История отказов'!$F$5:F517,"ЭЦН",'История отказов'!$AE$5:AE517,'История отказов'!AE517)=1,'История отказов'!F517="ЭЦН"),513,""))</f>
        <v/>
      </c>
      <c r="DE514">
        <f>IF('История отказов'!AE517="","",IF(AND(COUNTIF($CV$2:$CV$3,'История отказов'!AE517)=0,COUNTIFS('История отказов'!$F$5:F517,"ЭВН",'История отказов'!$AE$5:AE517,'История отказов'!AE517)=1,'История отказов'!F517="ЭВН"),513,""))</f>
        <v/>
      </c>
      <c r="DF514">
        <f>IF('История отказов'!AE517="","",IF(AND(COUNTIF($CX$2:$CX$2,'История отказов'!AE517)=0,COUNTIFS('История отказов'!$F$5:F517,"ШВН",'История отказов'!$AE$5:AE517,'История отказов'!AE517)=1,'История отказов'!F517="ШВН"),513,""))</f>
        <v/>
      </c>
      <c r="DG514">
        <f>IF('История отказов'!AE517="","",IF(AND(COUNTIF($CW$2:$CW$2,'История отказов'!AE517)=0,COUNTIFS('История отказов'!$F$5:F517,"НПУ-ВД",'История отказов'!$AE$5:AE517,'История отказов'!AE517)=1,'История отказов'!F517="НПУ-ВД"),513,""))</f>
        <v/>
      </c>
      <c r="DH514">
        <f>IF('История отказов'!AE517="","",IF(AND(COUNTIF($CY$2:$CY$6,'История отказов'!AE517)=0,COUNTIF('История отказов'!$AE$5:AE517,'История отказов'!AE517)=1),513,""))</f>
        <v/>
      </c>
      <c r="DI514">
        <f>IF('История отказов'!AK517="","",IF(AND(COUNTIF($CL$2:$CL$3,'История отказов'!AK517)=0,COUNTIF('История отказов'!$AK$5:AK517,'История отказов'!AK517)=1),513,""))</f>
        <v/>
      </c>
      <c r="DJ514">
        <f>IF('История отказов'!AU517="","",IF(AND(COUNTIF($CP$2:$CP$3,'История отказов'!AU517)=0,COUNTIF('История отказов'!$AU$5:AU517,'История отказов'!AU517)=1),513,""))</f>
        <v/>
      </c>
      <c r="DK514">
        <f>IF('История отказов'!AY517="","",IF(AND(COUNTIF($CR$2:$CR$2,'История отказов'!AY517)=0,COUNTIF('История отказов'!$AY$5:AY517,'История отказов'!AY517)=1),513,""))</f>
        <v/>
      </c>
      <c r="DL514">
        <f>IF(DB514="","",IF(AND(COUNTIF($DA$2:$DA$47,DB514)=0,COUNTIF($DB$2:DB514,DB514)=1),513,""))</f>
        <v/>
      </c>
    </row>
    <row r="515">
      <c r="A515" s="74" t="n"/>
      <c r="B515" s="75" t="n"/>
      <c r="C515" s="76" t="n"/>
      <c r="J515" s="62" t="n"/>
      <c r="K515" s="62" t="n"/>
      <c r="L515" s="62" t="n"/>
      <c r="M515" s="62" t="n"/>
      <c r="N515" s="62" t="n"/>
      <c r="Q515" t="inlineStr">
        <is>
          <t>Метод борьбы (справочно)</t>
        </is>
      </c>
      <c r="R515" t="inlineStr">
        <is>
          <t>Комплексообразователь для некарбонатных солей</t>
        </is>
      </c>
      <c r="S515" t="inlineStr">
        <is>
          <t>Метод из МУ; выбор по условиям скважины</t>
        </is>
      </c>
      <c r="T515" t="inlineStr">
        <is>
          <t>МУ по отнесению скважин к ОФ</t>
        </is>
      </c>
      <c r="U515" t="inlineStr">
        <is>
          <t>§8.2</t>
        </is>
      </c>
      <c r="V515" t="inlineStr">
        <is>
          <t>По лабораторному составу отложений</t>
        </is>
      </c>
      <c r="DB515">
        <f>IF('История отказов'!AH518="","",'История отказов'!AH518)</f>
        <v/>
      </c>
      <c r="DC515">
        <f>IF('История отказов'!AE518="","",IF(AND(COUNTIF($CT$2:$CT$2,'История отказов'!AE518)=0,COUNTIFS('История отказов'!$F$5:F518,"ШГН",'История отказов'!$AE$5:AE518,'История отказов'!AE518)=1,'История отказов'!F518="ШГН"),514,""))</f>
        <v/>
      </c>
      <c r="DD515">
        <f>IF('История отказов'!AE518="","",IF(AND(COUNTIF($CU$2:$CU$3,'История отказов'!AE518)=0,COUNTIFS('История отказов'!$F$5:F518,"ЭЦН",'История отказов'!$AE$5:AE518,'История отказов'!AE518)=1,'История отказов'!F518="ЭЦН"),514,""))</f>
        <v/>
      </c>
      <c r="DE515">
        <f>IF('История отказов'!AE518="","",IF(AND(COUNTIF($CV$2:$CV$3,'История отказов'!AE518)=0,COUNTIFS('История отказов'!$F$5:F518,"ЭВН",'История отказов'!$AE$5:AE518,'История отказов'!AE518)=1,'История отказов'!F518="ЭВН"),514,""))</f>
        <v/>
      </c>
      <c r="DF515">
        <f>IF('История отказов'!AE518="","",IF(AND(COUNTIF($CX$2:$CX$2,'История отказов'!AE518)=0,COUNTIFS('История отказов'!$F$5:F518,"ШВН",'История отказов'!$AE$5:AE518,'История отказов'!AE518)=1,'История отказов'!F518="ШВН"),514,""))</f>
        <v/>
      </c>
      <c r="DG515">
        <f>IF('История отказов'!AE518="","",IF(AND(COUNTIF($CW$2:$CW$2,'История отказов'!AE518)=0,COUNTIFS('История отказов'!$F$5:F518,"НПУ-ВД",'История отказов'!$AE$5:AE518,'История отказов'!AE518)=1,'История отказов'!F518="НПУ-ВД"),514,""))</f>
        <v/>
      </c>
      <c r="DH515">
        <f>IF('История отказов'!AE518="","",IF(AND(COUNTIF($CY$2:$CY$6,'История отказов'!AE518)=0,COUNTIF('История отказов'!$AE$5:AE518,'История отказов'!AE518)=1),514,""))</f>
        <v/>
      </c>
      <c r="DI515">
        <f>IF('История отказов'!AK518="","",IF(AND(COUNTIF($CL$2:$CL$3,'История отказов'!AK518)=0,COUNTIF('История отказов'!$AK$5:AK518,'История отказов'!AK518)=1),514,""))</f>
        <v/>
      </c>
      <c r="DJ515">
        <f>IF('История отказов'!AU518="","",IF(AND(COUNTIF($CP$2:$CP$3,'История отказов'!AU518)=0,COUNTIF('История отказов'!$AU$5:AU518,'История отказов'!AU518)=1),514,""))</f>
        <v/>
      </c>
      <c r="DK515">
        <f>IF('История отказов'!AY518="","",IF(AND(COUNTIF($CR$2:$CR$2,'История отказов'!AY518)=0,COUNTIF('История отказов'!$AY$5:AY518,'История отказов'!AY518)=1),514,""))</f>
        <v/>
      </c>
      <c r="DL515">
        <f>IF(DB515="","",IF(AND(COUNTIF($DA$2:$DA$47,DB515)=0,COUNTIF($DB$2:DB515,DB515)=1),514,""))</f>
        <v/>
      </c>
    </row>
    <row r="516">
      <c r="A516" s="74" t="n"/>
      <c r="B516" s="75" t="n"/>
      <c r="C516" s="76" t="n"/>
      <c r="J516" s="62" t="n"/>
      <c r="K516" s="62" t="n"/>
      <c r="L516" s="62" t="n"/>
      <c r="M516" s="62" t="n"/>
      <c r="N516" s="62" t="n"/>
      <c r="Q516" t="inlineStr">
        <is>
          <t>Метод борьбы (справочно)</t>
        </is>
      </c>
      <c r="R516" t="inlineStr">
        <is>
          <t>Промывка скважины от механических примесей</t>
        </is>
      </c>
      <c r="S516" t="inlineStr">
        <is>
          <t>Метод из МУ; выбор по условиям скважины</t>
        </is>
      </c>
      <c r="T516" t="inlineStr">
        <is>
          <t>МУ по отнесению скважин к ОФ</t>
        </is>
      </c>
      <c r="U516" t="inlineStr">
        <is>
          <t>§10.2.2</t>
        </is>
      </c>
      <c r="V516" t="inlineStr">
        <is>
          <t>При обеспеченной циркуляции</t>
        </is>
      </c>
      <c r="DB516">
        <f>IF('История отказов'!AH519="","",'История отказов'!AH519)</f>
        <v/>
      </c>
      <c r="DC516">
        <f>IF('История отказов'!AE519="","",IF(AND(COUNTIF($CT$2:$CT$2,'История отказов'!AE519)=0,COUNTIFS('История отказов'!$F$5:F519,"ШГН",'История отказов'!$AE$5:AE519,'История отказов'!AE519)=1,'История отказов'!F519="ШГН"),515,""))</f>
        <v/>
      </c>
      <c r="DD516">
        <f>IF('История отказов'!AE519="","",IF(AND(COUNTIF($CU$2:$CU$3,'История отказов'!AE519)=0,COUNTIFS('История отказов'!$F$5:F519,"ЭЦН",'История отказов'!$AE$5:AE519,'История отказов'!AE519)=1,'История отказов'!F519="ЭЦН"),515,""))</f>
        <v/>
      </c>
      <c r="DE516">
        <f>IF('История отказов'!AE519="","",IF(AND(COUNTIF($CV$2:$CV$3,'История отказов'!AE519)=0,COUNTIFS('История отказов'!$F$5:F519,"ЭВН",'История отказов'!$AE$5:AE519,'История отказов'!AE519)=1,'История отказов'!F519="ЭВН"),515,""))</f>
        <v/>
      </c>
      <c r="DF516">
        <f>IF('История отказов'!AE519="","",IF(AND(COUNTIF($CX$2:$CX$2,'История отказов'!AE519)=0,COUNTIFS('История отказов'!$F$5:F519,"ШВН",'История отказов'!$AE$5:AE519,'История отказов'!AE519)=1,'История отказов'!F519="ШВН"),515,""))</f>
        <v/>
      </c>
      <c r="DG516">
        <f>IF('История отказов'!AE519="","",IF(AND(COUNTIF($CW$2:$CW$2,'История отказов'!AE519)=0,COUNTIFS('История отказов'!$F$5:F519,"НПУ-ВД",'История отказов'!$AE$5:AE519,'История отказов'!AE519)=1,'История отказов'!F519="НПУ-ВД"),515,""))</f>
        <v/>
      </c>
      <c r="DH516">
        <f>IF('История отказов'!AE519="","",IF(AND(COUNTIF($CY$2:$CY$6,'История отказов'!AE519)=0,COUNTIF('История отказов'!$AE$5:AE519,'История отказов'!AE519)=1),515,""))</f>
        <v/>
      </c>
      <c r="DI516">
        <f>IF('История отказов'!AK519="","",IF(AND(COUNTIF($CL$2:$CL$3,'История отказов'!AK519)=0,COUNTIF('История отказов'!$AK$5:AK519,'История отказов'!AK519)=1),515,""))</f>
        <v/>
      </c>
      <c r="DJ516">
        <f>IF('История отказов'!AU519="","",IF(AND(COUNTIF($CP$2:$CP$3,'История отказов'!AU519)=0,COUNTIF('История отказов'!$AU$5:AU519,'История отказов'!AU519)=1),515,""))</f>
        <v/>
      </c>
      <c r="DK516">
        <f>IF('История отказов'!AY519="","",IF(AND(COUNTIF($CR$2:$CR$2,'История отказов'!AY519)=0,COUNTIF('История отказов'!$AY$5:AY519,'История отказов'!AY519)=1),515,""))</f>
        <v/>
      </c>
      <c r="DL516">
        <f>IF(DB516="","",IF(AND(COUNTIF($DA$2:$DA$47,DB516)=0,COUNTIF($DB$2:DB516,DB516)=1),515,""))</f>
        <v/>
      </c>
    </row>
    <row r="517">
      <c r="A517" s="74" t="n"/>
      <c r="B517" s="75" t="n"/>
      <c r="C517" s="76" t="n"/>
      <c r="J517" s="62" t="n"/>
      <c r="K517" s="62" t="n"/>
      <c r="L517" s="62" t="n"/>
      <c r="M517" s="62" t="n"/>
      <c r="N517" s="62" t="n"/>
      <c r="Q517" t="inlineStr">
        <is>
          <t>Метод борьбы (справочно)</t>
        </is>
      </c>
      <c r="R517" t="inlineStr">
        <is>
          <t>Горячая обработка при гидратной пробке</t>
        </is>
      </c>
      <c r="S517" t="inlineStr">
        <is>
          <t>Метод из МУ; выбор по условиям скважины</t>
        </is>
      </c>
      <c r="T517" t="inlineStr">
        <is>
          <t>МУ по отнесению скважин к ОФ</t>
        </is>
      </c>
      <c r="U517" t="inlineStr">
        <is>
          <t>§11.2.1</t>
        </is>
      </c>
      <c r="V517" t="inlineStr">
        <is>
          <t>Устье / межтрубное пространство по проекту обработки</t>
        </is>
      </c>
      <c r="DB517">
        <f>IF('История отказов'!AH520="","",'История отказов'!AH520)</f>
        <v/>
      </c>
      <c r="DC517">
        <f>IF('История отказов'!AE520="","",IF(AND(COUNTIF($CT$2:$CT$2,'История отказов'!AE520)=0,COUNTIFS('История отказов'!$F$5:F520,"ШГН",'История отказов'!$AE$5:AE520,'История отказов'!AE520)=1,'История отказов'!F520="ШГН"),516,""))</f>
        <v/>
      </c>
      <c r="DD517">
        <f>IF('История отказов'!AE520="","",IF(AND(COUNTIF($CU$2:$CU$3,'История отказов'!AE520)=0,COUNTIFS('История отказов'!$F$5:F520,"ЭЦН",'История отказов'!$AE$5:AE520,'История отказов'!AE520)=1,'История отказов'!F520="ЭЦН"),516,""))</f>
        <v/>
      </c>
      <c r="DE517">
        <f>IF('История отказов'!AE520="","",IF(AND(COUNTIF($CV$2:$CV$3,'История отказов'!AE520)=0,COUNTIFS('История отказов'!$F$5:F520,"ЭВН",'История отказов'!$AE$5:AE520,'История отказов'!AE520)=1,'История отказов'!F520="ЭВН"),516,""))</f>
        <v/>
      </c>
      <c r="DF517">
        <f>IF('История отказов'!AE520="","",IF(AND(COUNTIF($CX$2:$CX$2,'История отказов'!AE520)=0,COUNTIFS('История отказов'!$F$5:F520,"ШВН",'История отказов'!$AE$5:AE520,'История отказов'!AE520)=1,'История отказов'!F520="ШВН"),516,""))</f>
        <v/>
      </c>
      <c r="DG517">
        <f>IF('История отказов'!AE520="","",IF(AND(COUNTIF($CW$2:$CW$2,'История отказов'!AE520)=0,COUNTIFS('История отказов'!$F$5:F520,"НПУ-ВД",'История отказов'!$AE$5:AE520,'История отказов'!AE520)=1,'История отказов'!F520="НПУ-ВД"),516,""))</f>
        <v/>
      </c>
      <c r="DH517">
        <f>IF('История отказов'!AE520="","",IF(AND(COUNTIF($CY$2:$CY$6,'История отказов'!AE520)=0,COUNTIF('История отказов'!$AE$5:AE520,'История отказов'!AE520)=1),516,""))</f>
        <v/>
      </c>
      <c r="DI517">
        <f>IF('История отказов'!AK520="","",IF(AND(COUNTIF($CL$2:$CL$3,'История отказов'!AK520)=0,COUNTIF('История отказов'!$AK$5:AK520,'История отказов'!AK520)=1),516,""))</f>
        <v/>
      </c>
      <c r="DJ517">
        <f>IF('История отказов'!AU520="","",IF(AND(COUNTIF($CP$2:$CP$3,'История отказов'!AU520)=0,COUNTIF('История отказов'!$AU$5:AU520,'История отказов'!AU520)=1),516,""))</f>
        <v/>
      </c>
      <c r="DK517">
        <f>IF('История отказов'!AY520="","",IF(AND(COUNTIF($CR$2:$CR$2,'История отказов'!AY520)=0,COUNTIF('История отказов'!$AY$5:AY520,'История отказов'!AY520)=1),516,""))</f>
        <v/>
      </c>
      <c r="DL517">
        <f>IF(DB517="","",IF(AND(COUNTIF($DA$2:$DA$47,DB517)=0,COUNTIF($DB$2:DB517,DB517)=1),516,""))</f>
        <v/>
      </c>
    </row>
    <row r="518">
      <c r="A518" s="74" t="n"/>
      <c r="B518" s="75" t="n"/>
      <c r="C518" s="76" t="n"/>
      <c r="J518" s="62" t="n"/>
      <c r="K518" s="62" t="n"/>
      <c r="L518" s="62" t="n"/>
      <c r="M518" s="62" t="n"/>
      <c r="N518" s="62" t="n"/>
      <c r="Q518" t="inlineStr">
        <is>
          <t>Метод борьбы (справочно)</t>
        </is>
      </c>
      <c r="R518" t="inlineStr">
        <is>
          <t>Снижение депрессии для ограничения выноса песка</t>
        </is>
      </c>
      <c r="S518" t="inlineStr">
        <is>
          <t>Метод из МУ; выбор по условиям скважины</t>
        </is>
      </c>
      <c r="T518" t="inlineStr">
        <is>
          <t>МУ по отнесению скважин к ОФ</t>
        </is>
      </c>
      <c r="U518" t="inlineStr">
        <is>
          <t>§10.2.2</t>
        </is>
      </c>
      <c r="V518" t="inlineStr">
        <is>
          <t>По режимному расчёту</t>
        </is>
      </c>
      <c r="DB518">
        <f>IF('История отказов'!AH521="","",'История отказов'!AH521)</f>
        <v/>
      </c>
      <c r="DC518">
        <f>IF('История отказов'!AE521="","",IF(AND(COUNTIF($CT$2:$CT$2,'История отказов'!AE521)=0,COUNTIFS('История отказов'!$F$5:F521,"ШГН",'История отказов'!$AE$5:AE521,'История отказов'!AE521)=1,'История отказов'!F521="ШГН"),517,""))</f>
        <v/>
      </c>
      <c r="DD518">
        <f>IF('История отказов'!AE521="","",IF(AND(COUNTIF($CU$2:$CU$3,'История отказов'!AE521)=0,COUNTIFS('История отказов'!$F$5:F521,"ЭЦН",'История отказов'!$AE$5:AE521,'История отказов'!AE521)=1,'История отказов'!F521="ЭЦН"),517,""))</f>
        <v/>
      </c>
      <c r="DE518">
        <f>IF('История отказов'!AE521="","",IF(AND(COUNTIF($CV$2:$CV$3,'История отказов'!AE521)=0,COUNTIFS('История отказов'!$F$5:F521,"ЭВН",'История отказов'!$AE$5:AE521,'История отказов'!AE521)=1,'История отказов'!F521="ЭВН"),517,""))</f>
        <v/>
      </c>
      <c r="DF518">
        <f>IF('История отказов'!AE521="","",IF(AND(COUNTIF($CX$2:$CX$2,'История отказов'!AE521)=0,COUNTIFS('История отказов'!$F$5:F521,"ШВН",'История отказов'!$AE$5:AE521,'История отказов'!AE521)=1,'История отказов'!F521="ШВН"),517,""))</f>
        <v/>
      </c>
      <c r="DG518">
        <f>IF('История отказов'!AE521="","",IF(AND(COUNTIF($CW$2:$CW$2,'История отказов'!AE521)=0,COUNTIFS('История отказов'!$F$5:F521,"НПУ-ВД",'История отказов'!$AE$5:AE521,'История отказов'!AE521)=1,'История отказов'!F521="НПУ-ВД"),517,""))</f>
        <v/>
      </c>
      <c r="DH518">
        <f>IF('История отказов'!AE521="","",IF(AND(COUNTIF($CY$2:$CY$6,'История отказов'!AE521)=0,COUNTIF('История отказов'!$AE$5:AE521,'История отказов'!AE521)=1),517,""))</f>
        <v/>
      </c>
      <c r="DI518">
        <f>IF('История отказов'!AK521="","",IF(AND(COUNTIF($CL$2:$CL$3,'История отказов'!AK521)=0,COUNTIF('История отказов'!$AK$5:AK521,'История отказов'!AK521)=1),517,""))</f>
        <v/>
      </c>
      <c r="DJ518">
        <f>IF('История отказов'!AU521="","",IF(AND(COUNTIF($CP$2:$CP$3,'История отказов'!AU521)=0,COUNTIF('История отказов'!$AU$5:AU521,'История отказов'!AU521)=1),517,""))</f>
        <v/>
      </c>
      <c r="DK518">
        <f>IF('История отказов'!AY521="","",IF(AND(COUNTIF($CR$2:$CR$2,'История отказов'!AY521)=0,COUNTIF('История отказов'!$AY$5:AY521,'История отказов'!AY521)=1),517,""))</f>
        <v/>
      </c>
      <c r="DL518">
        <f>IF(DB518="","",IF(AND(COUNTIF($DA$2:$DA$47,DB518)=0,COUNTIF($DB$2:DB518,DB518)=1),517,""))</f>
        <v/>
      </c>
    </row>
    <row r="519">
      <c r="A519" s="74" t="n"/>
      <c r="B519" s="75" t="n"/>
      <c r="C519" s="76" t="n"/>
      <c r="J519" s="62" t="n"/>
      <c r="K519" s="62" t="n"/>
      <c r="L519" s="62" t="n"/>
      <c r="M519" s="62" t="n"/>
      <c r="N519" s="62" t="n"/>
      <c r="Q519" t="inlineStr">
        <is>
          <t>Марка ГНО</t>
        </is>
      </c>
      <c r="R519" t="inlineStr">
        <is>
          <t>ЭВН 5-12-1500</t>
        </is>
      </c>
      <c r="S519" t="inlineStr">
        <is>
          <t>Каталожный пример; паспорт имеет приоритет</t>
        </is>
      </c>
      <c r="T519" t="inlineStr">
        <is>
          <t>ГМС Ливгидромаш, каталог ЭВН</t>
        </is>
      </c>
      <c r="U519" t="inlineStr">
        <is>
          <t>https://www.hms-livgidromash.ru/catalog/nasosy/evn/</t>
        </is>
      </c>
      <c r="V519" t="inlineStr">
        <is>
          <t>ЭВН, каталожная марка</t>
        </is>
      </c>
      <c r="DB519">
        <f>IF('История отказов'!AH522="","",'История отказов'!AH522)</f>
        <v/>
      </c>
      <c r="DC519">
        <f>IF('История отказов'!AE522="","",IF(AND(COUNTIF($CT$2:$CT$2,'История отказов'!AE522)=0,COUNTIFS('История отказов'!$F$5:F522,"ШГН",'История отказов'!$AE$5:AE522,'История отказов'!AE522)=1,'История отказов'!F522="ШГН"),518,""))</f>
        <v/>
      </c>
      <c r="DD519">
        <f>IF('История отказов'!AE522="","",IF(AND(COUNTIF($CU$2:$CU$3,'История отказов'!AE522)=0,COUNTIFS('История отказов'!$F$5:F522,"ЭЦН",'История отказов'!$AE$5:AE522,'История отказов'!AE522)=1,'История отказов'!F522="ЭЦН"),518,""))</f>
        <v/>
      </c>
      <c r="DE519">
        <f>IF('История отказов'!AE522="","",IF(AND(COUNTIF($CV$2:$CV$3,'История отказов'!AE522)=0,COUNTIFS('История отказов'!$F$5:F522,"ЭВН",'История отказов'!$AE$5:AE522,'История отказов'!AE522)=1,'История отказов'!F522="ЭВН"),518,""))</f>
        <v/>
      </c>
      <c r="DF519">
        <f>IF('История отказов'!AE522="","",IF(AND(COUNTIF($CX$2:$CX$2,'История отказов'!AE522)=0,COUNTIFS('История отказов'!$F$5:F522,"ШВН",'История отказов'!$AE$5:AE522,'История отказов'!AE522)=1,'История отказов'!F522="ШВН"),518,""))</f>
        <v/>
      </c>
      <c r="DG519">
        <f>IF('История отказов'!AE522="","",IF(AND(COUNTIF($CW$2:$CW$2,'История отказов'!AE522)=0,COUNTIFS('История отказов'!$F$5:F522,"НПУ-ВД",'История отказов'!$AE$5:AE522,'История отказов'!AE522)=1,'История отказов'!F522="НПУ-ВД"),518,""))</f>
        <v/>
      </c>
      <c r="DH519">
        <f>IF('История отказов'!AE522="","",IF(AND(COUNTIF($CY$2:$CY$6,'История отказов'!AE522)=0,COUNTIF('История отказов'!$AE$5:AE522,'История отказов'!AE522)=1),518,""))</f>
        <v/>
      </c>
      <c r="DI519">
        <f>IF('История отказов'!AK522="","",IF(AND(COUNTIF($CL$2:$CL$3,'История отказов'!AK522)=0,COUNTIF('История отказов'!$AK$5:AK522,'История отказов'!AK522)=1),518,""))</f>
        <v/>
      </c>
      <c r="DJ519">
        <f>IF('История отказов'!AU522="","",IF(AND(COUNTIF($CP$2:$CP$3,'История отказов'!AU522)=0,COUNTIF('История отказов'!$AU$5:AU522,'История отказов'!AU522)=1),518,""))</f>
        <v/>
      </c>
      <c r="DK519">
        <f>IF('История отказов'!AY522="","",IF(AND(COUNTIF($CR$2:$CR$2,'История отказов'!AY522)=0,COUNTIF('История отказов'!$AY$5:AY522,'История отказов'!AY522)=1),518,""))</f>
        <v/>
      </c>
      <c r="DL519">
        <f>IF(DB519="","",IF(AND(COUNTIF($DA$2:$DA$47,DB519)=0,COUNTIF($DB$2:DB519,DB519)=1),518,""))</f>
        <v/>
      </c>
    </row>
    <row r="520">
      <c r="A520" s="74" t="n"/>
      <c r="B520" s="75" t="n"/>
      <c r="C520" s="76" t="n"/>
      <c r="J520" s="62" t="n"/>
      <c r="K520" s="62" t="n"/>
      <c r="L520" s="62" t="n"/>
      <c r="M520" s="62" t="n"/>
      <c r="N520" s="62" t="n"/>
      <c r="Q520" t="inlineStr">
        <is>
          <t>Марка ГНО</t>
        </is>
      </c>
      <c r="R520" t="inlineStr">
        <is>
          <t>2 ЭВН 5-12-1000</t>
        </is>
      </c>
      <c r="S520" t="inlineStr">
        <is>
          <t>Каталожный пример; паспорт имеет приоритет</t>
        </is>
      </c>
      <c r="T520" t="inlineStr">
        <is>
          <t>ГМС Ливгидромаш, каталог ЭВН</t>
        </is>
      </c>
      <c r="U520" t="inlineStr">
        <is>
          <t>https://www.hms-livgidromash.ru/catalog/nasosy/evn/</t>
        </is>
      </c>
      <c r="V520" t="inlineStr">
        <is>
          <t>ЭВН, каталожная марка</t>
        </is>
      </c>
      <c r="DB520">
        <f>IF('История отказов'!AH523="","",'История отказов'!AH523)</f>
        <v/>
      </c>
      <c r="DC520">
        <f>IF('История отказов'!AE523="","",IF(AND(COUNTIF($CT$2:$CT$2,'История отказов'!AE523)=0,COUNTIFS('История отказов'!$F$5:F523,"ШГН",'История отказов'!$AE$5:AE523,'История отказов'!AE523)=1,'История отказов'!F523="ШГН"),519,""))</f>
        <v/>
      </c>
      <c r="DD520">
        <f>IF('История отказов'!AE523="","",IF(AND(COUNTIF($CU$2:$CU$3,'История отказов'!AE523)=0,COUNTIFS('История отказов'!$F$5:F523,"ЭЦН",'История отказов'!$AE$5:AE523,'История отказов'!AE523)=1,'История отказов'!F523="ЭЦН"),519,""))</f>
        <v/>
      </c>
      <c r="DE520">
        <f>IF('История отказов'!AE523="","",IF(AND(COUNTIF($CV$2:$CV$3,'История отказов'!AE523)=0,COUNTIFS('История отказов'!$F$5:F523,"ЭВН",'История отказов'!$AE$5:AE523,'История отказов'!AE523)=1,'История отказов'!F523="ЭВН"),519,""))</f>
        <v/>
      </c>
      <c r="DF520">
        <f>IF('История отказов'!AE523="","",IF(AND(COUNTIF($CX$2:$CX$2,'История отказов'!AE523)=0,COUNTIFS('История отказов'!$F$5:F523,"ШВН",'История отказов'!$AE$5:AE523,'История отказов'!AE523)=1,'История отказов'!F523="ШВН"),519,""))</f>
        <v/>
      </c>
      <c r="DG520">
        <f>IF('История отказов'!AE523="","",IF(AND(COUNTIF($CW$2:$CW$2,'История отказов'!AE523)=0,COUNTIFS('История отказов'!$F$5:F523,"НПУ-ВД",'История отказов'!$AE$5:AE523,'История отказов'!AE523)=1,'История отказов'!F523="НПУ-ВД"),519,""))</f>
        <v/>
      </c>
      <c r="DH520">
        <f>IF('История отказов'!AE523="","",IF(AND(COUNTIF($CY$2:$CY$6,'История отказов'!AE523)=0,COUNTIF('История отказов'!$AE$5:AE523,'История отказов'!AE523)=1),519,""))</f>
        <v/>
      </c>
      <c r="DI520">
        <f>IF('История отказов'!AK523="","",IF(AND(COUNTIF($CL$2:$CL$3,'История отказов'!AK523)=0,COUNTIF('История отказов'!$AK$5:AK523,'История отказов'!AK523)=1),519,""))</f>
        <v/>
      </c>
      <c r="DJ520">
        <f>IF('История отказов'!AU523="","",IF(AND(COUNTIF($CP$2:$CP$3,'История отказов'!AU523)=0,COUNTIF('История отказов'!$AU$5:AU523,'История отказов'!AU523)=1),519,""))</f>
        <v/>
      </c>
      <c r="DK520">
        <f>IF('История отказов'!AY523="","",IF(AND(COUNTIF($CR$2:$CR$2,'История отказов'!AY523)=0,COUNTIF('История отказов'!$AY$5:AY523,'История отказов'!AY523)=1),519,""))</f>
        <v/>
      </c>
      <c r="DL520">
        <f>IF(DB520="","",IF(AND(COUNTIF($DA$2:$DA$47,DB520)=0,COUNTIF($DB$2:DB520,DB520)=1),519,""))</f>
        <v/>
      </c>
    </row>
    <row r="521">
      <c r="A521" s="74" t="n"/>
      <c r="B521" s="75" t="n"/>
      <c r="C521" s="76" t="n"/>
      <c r="J521" s="62" t="n"/>
      <c r="K521" s="62" t="n"/>
      <c r="L521" s="62" t="n"/>
      <c r="M521" s="62" t="n"/>
      <c r="N521" s="62" t="n"/>
      <c r="Q521" t="inlineStr">
        <is>
          <t>equip_motor_maker</t>
        </is>
      </c>
      <c r="R521" t="inlineStr">
        <is>
          <t>Новомет</t>
        </is>
      </c>
      <c r="S521" t="inlineStr">
        <is>
          <t>Каталожный пример; паспорт имеет приоритет</t>
        </is>
      </c>
      <c r="T521" t="inlineStr">
        <is>
          <t>Изготовители электродвигателей</t>
        </is>
      </c>
      <c r="U521" t="inlineStr">
        <is>
          <t>https://www.novomet.ru/rus/products-and-services/artificial-lift/motors/induction-motors/</t>
        </is>
      </c>
      <c r="V521" t="inlineStr">
        <is>
          <t>ЭЦН/ЭВН</t>
        </is>
      </c>
      <c r="DB521">
        <f>IF('История отказов'!AH524="","",'История отказов'!AH524)</f>
        <v/>
      </c>
      <c r="DC521">
        <f>IF('История отказов'!AE524="","",IF(AND(COUNTIF($CT$2:$CT$2,'История отказов'!AE524)=0,COUNTIFS('История отказов'!$F$5:F524,"ШГН",'История отказов'!$AE$5:AE524,'История отказов'!AE524)=1,'История отказов'!F524="ШГН"),520,""))</f>
        <v/>
      </c>
      <c r="DD521">
        <f>IF('История отказов'!AE524="","",IF(AND(COUNTIF($CU$2:$CU$3,'История отказов'!AE524)=0,COUNTIFS('История отказов'!$F$5:F524,"ЭЦН",'История отказов'!$AE$5:AE524,'История отказов'!AE524)=1,'История отказов'!F524="ЭЦН"),520,""))</f>
        <v/>
      </c>
      <c r="DE521">
        <f>IF('История отказов'!AE524="","",IF(AND(COUNTIF($CV$2:$CV$3,'История отказов'!AE524)=0,COUNTIFS('История отказов'!$F$5:F524,"ЭВН",'История отказов'!$AE$5:AE524,'История отказов'!AE524)=1,'История отказов'!F524="ЭВН"),520,""))</f>
        <v/>
      </c>
      <c r="DF521">
        <f>IF('История отказов'!AE524="","",IF(AND(COUNTIF($CX$2:$CX$2,'История отказов'!AE524)=0,COUNTIFS('История отказов'!$F$5:F524,"ШВН",'История отказов'!$AE$5:AE524,'История отказов'!AE524)=1,'История отказов'!F524="ШВН"),520,""))</f>
        <v/>
      </c>
      <c r="DG521">
        <f>IF('История отказов'!AE524="","",IF(AND(COUNTIF($CW$2:$CW$2,'История отказов'!AE524)=0,COUNTIFS('История отказов'!$F$5:F524,"НПУ-ВД",'История отказов'!$AE$5:AE524,'История отказов'!AE524)=1,'История отказов'!F524="НПУ-ВД"),520,""))</f>
        <v/>
      </c>
      <c r="DH521">
        <f>IF('История отказов'!AE524="","",IF(AND(COUNTIF($CY$2:$CY$6,'История отказов'!AE524)=0,COUNTIF('История отказов'!$AE$5:AE524,'История отказов'!AE524)=1),520,""))</f>
        <v/>
      </c>
      <c r="DI521">
        <f>IF('История отказов'!AK524="","",IF(AND(COUNTIF($CL$2:$CL$3,'История отказов'!AK524)=0,COUNTIF('История отказов'!$AK$5:AK524,'История отказов'!AK524)=1),520,""))</f>
        <v/>
      </c>
      <c r="DJ521">
        <f>IF('История отказов'!AU524="","",IF(AND(COUNTIF($CP$2:$CP$3,'История отказов'!AU524)=0,COUNTIF('История отказов'!$AU$5:AU524,'История отказов'!AU524)=1),520,""))</f>
        <v/>
      </c>
      <c r="DK521">
        <f>IF('История отказов'!AY524="","",IF(AND(COUNTIF($CR$2:$CR$2,'История отказов'!AY524)=0,COUNTIF('История отказов'!$AY$5:AY524,'История отказов'!AY524)=1),520,""))</f>
        <v/>
      </c>
      <c r="DL521">
        <f>IF(DB521="","",IF(AND(COUNTIF($DA$2:$DA$47,DB521)=0,COUNTIF($DB$2:DB521,DB521)=1),520,""))</f>
        <v/>
      </c>
    </row>
    <row r="522">
      <c r="A522" s="74" t="n"/>
      <c r="B522" s="75" t="n"/>
      <c r="C522" s="76" t="n"/>
      <c r="J522" s="62" t="n"/>
      <c r="K522" s="62" t="n"/>
      <c r="L522" s="62" t="n"/>
      <c r="M522" s="62" t="n"/>
      <c r="N522" s="62" t="n"/>
      <c r="Q522" t="inlineStr">
        <is>
          <t>equip_motor_maker</t>
        </is>
      </c>
      <c r="R522" t="inlineStr">
        <is>
          <t>Борец</t>
        </is>
      </c>
      <c r="S522" t="inlineStr">
        <is>
          <t>Каталожный пример; паспорт имеет приоритет</t>
        </is>
      </c>
      <c r="T522" t="inlineStr">
        <is>
          <t>Изготовители электродвигателей</t>
        </is>
      </c>
      <c r="U522" t="inlineStr">
        <is>
          <t>https://www.novomet.ru/rus/products-and-services/artificial-lift/motors/induction-motors/</t>
        </is>
      </c>
      <c r="V522" t="inlineStr">
        <is>
          <t>ЭЦН/ЭВН</t>
        </is>
      </c>
      <c r="DB522">
        <f>IF('История отказов'!AH525="","",'История отказов'!AH525)</f>
        <v/>
      </c>
      <c r="DC522">
        <f>IF('История отказов'!AE525="","",IF(AND(COUNTIF($CT$2:$CT$2,'История отказов'!AE525)=0,COUNTIFS('История отказов'!$F$5:F525,"ШГН",'История отказов'!$AE$5:AE525,'История отказов'!AE525)=1,'История отказов'!F525="ШГН"),521,""))</f>
        <v/>
      </c>
      <c r="DD522">
        <f>IF('История отказов'!AE525="","",IF(AND(COUNTIF($CU$2:$CU$3,'История отказов'!AE525)=0,COUNTIFS('История отказов'!$F$5:F525,"ЭЦН",'История отказов'!$AE$5:AE525,'История отказов'!AE525)=1,'История отказов'!F525="ЭЦН"),521,""))</f>
        <v/>
      </c>
      <c r="DE522">
        <f>IF('История отказов'!AE525="","",IF(AND(COUNTIF($CV$2:$CV$3,'История отказов'!AE525)=0,COUNTIFS('История отказов'!$F$5:F525,"ЭВН",'История отказов'!$AE$5:AE525,'История отказов'!AE525)=1,'История отказов'!F525="ЭВН"),521,""))</f>
        <v/>
      </c>
      <c r="DF522">
        <f>IF('История отказов'!AE525="","",IF(AND(COUNTIF($CX$2:$CX$2,'История отказов'!AE525)=0,COUNTIFS('История отказов'!$F$5:F525,"ШВН",'История отказов'!$AE$5:AE525,'История отказов'!AE525)=1,'История отказов'!F525="ШВН"),521,""))</f>
        <v/>
      </c>
      <c r="DG522">
        <f>IF('История отказов'!AE525="","",IF(AND(COUNTIF($CW$2:$CW$2,'История отказов'!AE525)=0,COUNTIFS('История отказов'!$F$5:F525,"НПУ-ВД",'История отказов'!$AE$5:AE525,'История отказов'!AE525)=1,'История отказов'!F525="НПУ-ВД"),521,""))</f>
        <v/>
      </c>
      <c r="DH522">
        <f>IF('История отказов'!AE525="","",IF(AND(COUNTIF($CY$2:$CY$6,'История отказов'!AE525)=0,COUNTIF('История отказов'!$AE$5:AE525,'История отказов'!AE525)=1),521,""))</f>
        <v/>
      </c>
      <c r="DI522">
        <f>IF('История отказов'!AK525="","",IF(AND(COUNTIF($CL$2:$CL$3,'История отказов'!AK525)=0,COUNTIF('История отказов'!$AK$5:AK525,'История отказов'!AK525)=1),521,""))</f>
        <v/>
      </c>
      <c r="DJ522">
        <f>IF('История отказов'!AU525="","",IF(AND(COUNTIF($CP$2:$CP$3,'История отказов'!AU525)=0,COUNTIF('История отказов'!$AU$5:AU525,'История отказов'!AU525)=1),521,""))</f>
        <v/>
      </c>
      <c r="DK522">
        <f>IF('История отказов'!AY525="","",IF(AND(COUNTIF($CR$2:$CR$2,'История отказов'!AY525)=0,COUNTIF('История отказов'!$AY$5:AY525,'История отказов'!AY525)=1),521,""))</f>
        <v/>
      </c>
      <c r="DL522">
        <f>IF(DB522="","",IF(AND(COUNTIF($DA$2:$DA$47,DB522)=0,COUNTIF($DB$2:DB522,DB522)=1),521,""))</f>
        <v/>
      </c>
    </row>
    <row r="523">
      <c r="A523" s="74" t="n"/>
      <c r="B523" s="75" t="n"/>
      <c r="C523" s="76" t="n"/>
      <c r="J523" s="62" t="n"/>
      <c r="K523" s="62" t="n"/>
      <c r="L523" s="62" t="n"/>
      <c r="M523" s="62" t="n"/>
      <c r="N523" s="62" t="n"/>
      <c r="Q523" t="inlineStr">
        <is>
          <t>equip_motor_size</t>
        </is>
      </c>
      <c r="R523" t="inlineStr">
        <is>
          <t>ПЭД — габарит 96 мм</t>
        </is>
      </c>
      <c r="S523" t="inlineStr">
        <is>
          <t>Каталожный пример; паспорт имеет приоритет</t>
        </is>
      </c>
      <c r="T523" t="inlineStr">
        <is>
          <t>Новомет — ПЭД</t>
        </is>
      </c>
      <c r="U523" t="inlineStr">
        <is>
          <t>https://www.novomet.ru/rus/products-and-services/artificial-lift/motors/induction-motors/</t>
        </is>
      </c>
      <c r="V523" t="inlineStr">
        <is>
          <t>ЭЦН/ЭВН; габарит, не полный шифр</t>
        </is>
      </c>
      <c r="DB523">
        <f>IF('История отказов'!AH526="","",'История отказов'!AH526)</f>
        <v/>
      </c>
      <c r="DC523">
        <f>IF('История отказов'!AE526="","",IF(AND(COUNTIF($CT$2:$CT$2,'История отказов'!AE526)=0,COUNTIFS('История отказов'!$F$5:F526,"ШГН",'История отказов'!$AE$5:AE526,'История отказов'!AE526)=1,'История отказов'!F526="ШГН"),522,""))</f>
        <v/>
      </c>
      <c r="DD523">
        <f>IF('История отказов'!AE526="","",IF(AND(COUNTIF($CU$2:$CU$3,'История отказов'!AE526)=0,COUNTIFS('История отказов'!$F$5:F526,"ЭЦН",'История отказов'!$AE$5:AE526,'История отказов'!AE526)=1,'История отказов'!F526="ЭЦН"),522,""))</f>
        <v/>
      </c>
      <c r="DE523">
        <f>IF('История отказов'!AE526="","",IF(AND(COUNTIF($CV$2:$CV$3,'История отказов'!AE526)=0,COUNTIFS('История отказов'!$F$5:F526,"ЭВН",'История отказов'!$AE$5:AE526,'История отказов'!AE526)=1,'История отказов'!F526="ЭВН"),522,""))</f>
        <v/>
      </c>
      <c r="DF523">
        <f>IF('История отказов'!AE526="","",IF(AND(COUNTIF($CX$2:$CX$2,'История отказов'!AE526)=0,COUNTIFS('История отказов'!$F$5:F526,"ШВН",'История отказов'!$AE$5:AE526,'История отказов'!AE526)=1,'История отказов'!F526="ШВН"),522,""))</f>
        <v/>
      </c>
      <c r="DG523">
        <f>IF('История отказов'!AE526="","",IF(AND(COUNTIF($CW$2:$CW$2,'История отказов'!AE526)=0,COUNTIFS('История отказов'!$F$5:F526,"НПУ-ВД",'История отказов'!$AE$5:AE526,'История отказов'!AE526)=1,'История отказов'!F526="НПУ-ВД"),522,""))</f>
        <v/>
      </c>
      <c r="DH523">
        <f>IF('История отказов'!AE526="","",IF(AND(COUNTIF($CY$2:$CY$6,'История отказов'!AE526)=0,COUNTIF('История отказов'!$AE$5:AE526,'История отказов'!AE526)=1),522,""))</f>
        <v/>
      </c>
      <c r="DI523">
        <f>IF('История отказов'!AK526="","",IF(AND(COUNTIF($CL$2:$CL$3,'История отказов'!AK526)=0,COUNTIF('История отказов'!$AK$5:AK526,'История отказов'!AK526)=1),522,""))</f>
        <v/>
      </c>
      <c r="DJ523">
        <f>IF('История отказов'!AU526="","",IF(AND(COUNTIF($CP$2:$CP$3,'История отказов'!AU526)=0,COUNTIF('История отказов'!$AU$5:AU526,'История отказов'!AU526)=1),522,""))</f>
        <v/>
      </c>
      <c r="DK523">
        <f>IF('История отказов'!AY526="","",IF(AND(COUNTIF($CR$2:$CR$2,'История отказов'!AY526)=0,COUNTIF('История отказов'!$AY$5:AY526,'История отказов'!AY526)=1),522,""))</f>
        <v/>
      </c>
      <c r="DL523">
        <f>IF(DB523="","",IF(AND(COUNTIF($DA$2:$DA$47,DB523)=0,COUNTIF($DB$2:DB523,DB523)=1),522,""))</f>
        <v/>
      </c>
    </row>
    <row r="524">
      <c r="A524" s="74" t="n"/>
      <c r="B524" s="75" t="n"/>
      <c r="C524" s="76" t="n"/>
      <c r="J524" s="62" t="n"/>
      <c r="K524" s="62" t="n"/>
      <c r="L524" s="62" t="n"/>
      <c r="M524" s="62" t="n"/>
      <c r="N524" s="62" t="n"/>
      <c r="Q524" t="inlineStr">
        <is>
          <t>equip_motor_size</t>
        </is>
      </c>
      <c r="R524" t="inlineStr">
        <is>
          <t>ПЭД — габарит 103 мм</t>
        </is>
      </c>
      <c r="S524" t="inlineStr">
        <is>
          <t>Каталожный пример; паспорт имеет приоритет</t>
        </is>
      </c>
      <c r="T524" t="inlineStr">
        <is>
          <t>Новомет — ПЭД</t>
        </is>
      </c>
      <c r="U524" t="inlineStr">
        <is>
          <t>https://www.novomet.ru/rus/products-and-services/artificial-lift/motors/induction-motors/</t>
        </is>
      </c>
      <c r="V524" t="inlineStr">
        <is>
          <t>ЭЦН/ЭВН; габарит, не полный шифр</t>
        </is>
      </c>
      <c r="DB524">
        <f>IF('История отказов'!AH527="","",'История отказов'!AH527)</f>
        <v/>
      </c>
      <c r="DC524">
        <f>IF('История отказов'!AE527="","",IF(AND(COUNTIF($CT$2:$CT$2,'История отказов'!AE527)=0,COUNTIFS('История отказов'!$F$5:F527,"ШГН",'История отказов'!$AE$5:AE527,'История отказов'!AE527)=1,'История отказов'!F527="ШГН"),523,""))</f>
        <v/>
      </c>
      <c r="DD524">
        <f>IF('История отказов'!AE527="","",IF(AND(COUNTIF($CU$2:$CU$3,'История отказов'!AE527)=0,COUNTIFS('История отказов'!$F$5:F527,"ЭЦН",'История отказов'!$AE$5:AE527,'История отказов'!AE527)=1,'История отказов'!F527="ЭЦН"),523,""))</f>
        <v/>
      </c>
      <c r="DE524">
        <f>IF('История отказов'!AE527="","",IF(AND(COUNTIF($CV$2:$CV$3,'История отказов'!AE527)=0,COUNTIFS('История отказов'!$F$5:F527,"ЭВН",'История отказов'!$AE$5:AE527,'История отказов'!AE527)=1,'История отказов'!F527="ЭВН"),523,""))</f>
        <v/>
      </c>
      <c r="DF524">
        <f>IF('История отказов'!AE527="","",IF(AND(COUNTIF($CX$2:$CX$2,'История отказов'!AE527)=0,COUNTIFS('История отказов'!$F$5:F527,"ШВН",'История отказов'!$AE$5:AE527,'История отказов'!AE527)=1,'История отказов'!F527="ШВН"),523,""))</f>
        <v/>
      </c>
      <c r="DG524">
        <f>IF('История отказов'!AE527="","",IF(AND(COUNTIF($CW$2:$CW$2,'История отказов'!AE527)=0,COUNTIFS('История отказов'!$F$5:F527,"НПУ-ВД",'История отказов'!$AE$5:AE527,'История отказов'!AE527)=1,'История отказов'!F527="НПУ-ВД"),523,""))</f>
        <v/>
      </c>
      <c r="DH524">
        <f>IF('История отказов'!AE527="","",IF(AND(COUNTIF($CY$2:$CY$6,'История отказов'!AE527)=0,COUNTIF('История отказов'!$AE$5:AE527,'История отказов'!AE527)=1),523,""))</f>
        <v/>
      </c>
      <c r="DI524">
        <f>IF('История отказов'!AK527="","",IF(AND(COUNTIF($CL$2:$CL$3,'История отказов'!AK527)=0,COUNTIF('История отказов'!$AK$5:AK527,'История отказов'!AK527)=1),523,""))</f>
        <v/>
      </c>
      <c r="DJ524">
        <f>IF('История отказов'!AU527="","",IF(AND(COUNTIF($CP$2:$CP$3,'История отказов'!AU527)=0,COUNTIF('История отказов'!$AU$5:AU527,'История отказов'!AU527)=1),523,""))</f>
        <v/>
      </c>
      <c r="DK524">
        <f>IF('История отказов'!AY527="","",IF(AND(COUNTIF($CR$2:$CR$2,'История отказов'!AY527)=0,COUNTIF('История отказов'!$AY$5:AY527,'История отказов'!AY527)=1),523,""))</f>
        <v/>
      </c>
      <c r="DL524">
        <f>IF(DB524="","",IF(AND(COUNTIF($DA$2:$DA$47,DB524)=0,COUNTIF($DB$2:DB524,DB524)=1),523,""))</f>
        <v/>
      </c>
    </row>
    <row r="525">
      <c r="A525" s="74" t="n"/>
      <c r="B525" s="75" t="n"/>
      <c r="C525" s="76" t="n"/>
      <c r="J525" s="62" t="n"/>
      <c r="K525" s="62" t="n"/>
      <c r="L525" s="62" t="n"/>
      <c r="M525" s="62" t="n"/>
      <c r="N525" s="62" t="n"/>
      <c r="Q525" t="inlineStr">
        <is>
          <t>equip_motor_size</t>
        </is>
      </c>
      <c r="R525" t="inlineStr">
        <is>
          <t>ПЭД — габарит 117 мм</t>
        </is>
      </c>
      <c r="S525" t="inlineStr">
        <is>
          <t>Каталожный пример; паспорт имеет приоритет</t>
        </is>
      </c>
      <c r="T525" t="inlineStr">
        <is>
          <t>Новомет — ПЭД</t>
        </is>
      </c>
      <c r="U525" t="inlineStr">
        <is>
          <t>https://www.novomet.ru/rus/products-and-services/artificial-lift/motors/induction-motors/</t>
        </is>
      </c>
      <c r="V525" t="inlineStr">
        <is>
          <t>ЭЦН/ЭВН; габарит, не полный шифр</t>
        </is>
      </c>
      <c r="DB525">
        <f>IF('История отказов'!AH528="","",'История отказов'!AH528)</f>
        <v/>
      </c>
      <c r="DC525">
        <f>IF('История отказов'!AE528="","",IF(AND(COUNTIF($CT$2:$CT$2,'История отказов'!AE528)=0,COUNTIFS('История отказов'!$F$5:F528,"ШГН",'История отказов'!$AE$5:AE528,'История отказов'!AE528)=1,'История отказов'!F528="ШГН"),524,""))</f>
        <v/>
      </c>
      <c r="DD525">
        <f>IF('История отказов'!AE528="","",IF(AND(COUNTIF($CU$2:$CU$3,'История отказов'!AE528)=0,COUNTIFS('История отказов'!$F$5:F528,"ЭЦН",'История отказов'!$AE$5:AE528,'История отказов'!AE528)=1,'История отказов'!F528="ЭЦН"),524,""))</f>
        <v/>
      </c>
      <c r="DE525">
        <f>IF('История отказов'!AE528="","",IF(AND(COUNTIF($CV$2:$CV$3,'История отказов'!AE528)=0,COUNTIFS('История отказов'!$F$5:F528,"ЭВН",'История отказов'!$AE$5:AE528,'История отказов'!AE528)=1,'История отказов'!F528="ЭВН"),524,""))</f>
        <v/>
      </c>
      <c r="DF525">
        <f>IF('История отказов'!AE528="","",IF(AND(COUNTIF($CX$2:$CX$2,'История отказов'!AE528)=0,COUNTIFS('История отказов'!$F$5:F528,"ШВН",'История отказов'!$AE$5:AE528,'История отказов'!AE528)=1,'История отказов'!F528="ШВН"),524,""))</f>
        <v/>
      </c>
      <c r="DG525">
        <f>IF('История отказов'!AE528="","",IF(AND(COUNTIF($CW$2:$CW$2,'История отказов'!AE528)=0,COUNTIFS('История отказов'!$F$5:F528,"НПУ-ВД",'История отказов'!$AE$5:AE528,'История отказов'!AE528)=1,'История отказов'!F528="НПУ-ВД"),524,""))</f>
        <v/>
      </c>
      <c r="DH525">
        <f>IF('История отказов'!AE528="","",IF(AND(COUNTIF($CY$2:$CY$6,'История отказов'!AE528)=0,COUNTIF('История отказов'!$AE$5:AE528,'История отказов'!AE528)=1),524,""))</f>
        <v/>
      </c>
      <c r="DI525">
        <f>IF('История отказов'!AK528="","",IF(AND(COUNTIF($CL$2:$CL$3,'История отказов'!AK528)=0,COUNTIF('История отказов'!$AK$5:AK528,'История отказов'!AK528)=1),524,""))</f>
        <v/>
      </c>
      <c r="DJ525">
        <f>IF('История отказов'!AU528="","",IF(AND(COUNTIF($CP$2:$CP$3,'История отказов'!AU528)=0,COUNTIF('История отказов'!$AU$5:AU528,'История отказов'!AU528)=1),524,""))</f>
        <v/>
      </c>
      <c r="DK525">
        <f>IF('История отказов'!AY528="","",IF(AND(COUNTIF($CR$2:$CR$2,'История отказов'!AY528)=0,COUNTIF('История отказов'!$AY$5:AY528,'История отказов'!AY528)=1),524,""))</f>
        <v/>
      </c>
      <c r="DL525">
        <f>IF(DB525="","",IF(AND(COUNTIF($DA$2:$DA$47,DB525)=0,COUNTIF($DB$2:DB525,DB525)=1),524,""))</f>
        <v/>
      </c>
    </row>
    <row r="526">
      <c r="A526" s="74" t="n"/>
      <c r="B526" s="75" t="n"/>
      <c r="C526" s="76" t="n"/>
      <c r="J526" s="62" t="n"/>
      <c r="K526" s="62" t="n"/>
      <c r="L526" s="62" t="n"/>
      <c r="M526" s="62" t="n"/>
      <c r="N526" s="62" t="n"/>
      <c r="Q526" t="inlineStr">
        <is>
          <t>equip_motor_size</t>
        </is>
      </c>
      <c r="R526" t="inlineStr">
        <is>
          <t>ПЭД — габарит 130 мм</t>
        </is>
      </c>
      <c r="S526" t="inlineStr">
        <is>
          <t>Каталожный пример; паспорт имеет приоритет</t>
        </is>
      </c>
      <c r="T526" t="inlineStr">
        <is>
          <t>Новомет — ПЭД</t>
        </is>
      </c>
      <c r="U526" t="inlineStr">
        <is>
          <t>https://www.novomet.ru/rus/products-and-services/artificial-lift/motors/induction-motors/</t>
        </is>
      </c>
      <c r="V526" t="inlineStr">
        <is>
          <t>ЭЦН/ЭВН; габарит, не полный шифр</t>
        </is>
      </c>
      <c r="DB526">
        <f>IF('История отказов'!AH529="","",'История отказов'!AH529)</f>
        <v/>
      </c>
      <c r="DC526">
        <f>IF('История отказов'!AE529="","",IF(AND(COUNTIF($CT$2:$CT$2,'История отказов'!AE529)=0,COUNTIFS('История отказов'!$F$5:F529,"ШГН",'История отказов'!$AE$5:AE529,'История отказов'!AE529)=1,'История отказов'!F529="ШГН"),525,""))</f>
        <v/>
      </c>
      <c r="DD526">
        <f>IF('История отказов'!AE529="","",IF(AND(COUNTIF($CU$2:$CU$3,'История отказов'!AE529)=0,COUNTIFS('История отказов'!$F$5:F529,"ЭЦН",'История отказов'!$AE$5:AE529,'История отказов'!AE529)=1,'История отказов'!F529="ЭЦН"),525,""))</f>
        <v/>
      </c>
      <c r="DE526">
        <f>IF('История отказов'!AE529="","",IF(AND(COUNTIF($CV$2:$CV$3,'История отказов'!AE529)=0,COUNTIFS('История отказов'!$F$5:F529,"ЭВН",'История отказов'!$AE$5:AE529,'История отказов'!AE529)=1,'История отказов'!F529="ЭВН"),525,""))</f>
        <v/>
      </c>
      <c r="DF526">
        <f>IF('История отказов'!AE529="","",IF(AND(COUNTIF($CX$2:$CX$2,'История отказов'!AE529)=0,COUNTIFS('История отказов'!$F$5:F529,"ШВН",'История отказов'!$AE$5:AE529,'История отказов'!AE529)=1,'История отказов'!F529="ШВН"),525,""))</f>
        <v/>
      </c>
      <c r="DG526">
        <f>IF('История отказов'!AE529="","",IF(AND(COUNTIF($CW$2:$CW$2,'История отказов'!AE529)=0,COUNTIFS('История отказов'!$F$5:F529,"НПУ-ВД",'История отказов'!$AE$5:AE529,'История отказов'!AE529)=1,'История отказов'!F529="НПУ-ВД"),525,""))</f>
        <v/>
      </c>
      <c r="DH526">
        <f>IF('История отказов'!AE529="","",IF(AND(COUNTIF($CY$2:$CY$6,'История отказов'!AE529)=0,COUNTIF('История отказов'!$AE$5:AE529,'История отказов'!AE529)=1),525,""))</f>
        <v/>
      </c>
      <c r="DI526">
        <f>IF('История отказов'!AK529="","",IF(AND(COUNTIF($CL$2:$CL$3,'История отказов'!AK529)=0,COUNTIF('История отказов'!$AK$5:AK529,'История отказов'!AK529)=1),525,""))</f>
        <v/>
      </c>
      <c r="DJ526">
        <f>IF('История отказов'!AU529="","",IF(AND(COUNTIF($CP$2:$CP$3,'История отказов'!AU529)=0,COUNTIF('История отказов'!$AU$5:AU529,'История отказов'!AU529)=1),525,""))</f>
        <v/>
      </c>
      <c r="DK526">
        <f>IF('История отказов'!AY529="","",IF(AND(COUNTIF($CR$2:$CR$2,'История отказов'!AY529)=0,COUNTIF('История отказов'!$AY$5:AY529,'История отказов'!AY529)=1),525,""))</f>
        <v/>
      </c>
      <c r="DL526">
        <f>IF(DB526="","",IF(AND(COUNTIF($DA$2:$DA$47,DB526)=0,COUNTIF($DB$2:DB526,DB526)=1),525,""))</f>
        <v/>
      </c>
    </row>
    <row r="527">
      <c r="A527" s="74" t="n"/>
      <c r="B527" s="75" t="n"/>
      <c r="C527" s="76" t="n"/>
      <c r="J527" s="62" t="n"/>
      <c r="K527" s="62" t="n"/>
      <c r="L527" s="62" t="n"/>
      <c r="M527" s="62" t="n"/>
      <c r="N527" s="62" t="n"/>
      <c r="Q527" t="inlineStr">
        <is>
          <t>equip_motor_size</t>
        </is>
      </c>
      <c r="R527" t="inlineStr">
        <is>
          <t>ПЭД — габарит 143 мм</t>
        </is>
      </c>
      <c r="S527" t="inlineStr">
        <is>
          <t>Каталожный пример; паспорт имеет приоритет</t>
        </is>
      </c>
      <c r="T527" t="inlineStr">
        <is>
          <t>Новомет — ПЭД</t>
        </is>
      </c>
      <c r="U527" t="inlineStr">
        <is>
          <t>https://www.novomet.ru/rus/products-and-services/artificial-lift/motors/induction-motors/</t>
        </is>
      </c>
      <c r="V527" t="inlineStr">
        <is>
          <t>ЭЦН/ЭВН; габарит, не полный шифр</t>
        </is>
      </c>
      <c r="DB527">
        <f>IF('История отказов'!AH530="","",'История отказов'!AH530)</f>
        <v/>
      </c>
      <c r="DC527">
        <f>IF('История отказов'!AE530="","",IF(AND(COUNTIF($CT$2:$CT$2,'История отказов'!AE530)=0,COUNTIFS('История отказов'!$F$5:F530,"ШГН",'История отказов'!$AE$5:AE530,'История отказов'!AE530)=1,'История отказов'!F530="ШГН"),526,""))</f>
        <v/>
      </c>
      <c r="DD527">
        <f>IF('История отказов'!AE530="","",IF(AND(COUNTIF($CU$2:$CU$3,'История отказов'!AE530)=0,COUNTIFS('История отказов'!$F$5:F530,"ЭЦН",'История отказов'!$AE$5:AE530,'История отказов'!AE530)=1,'История отказов'!F530="ЭЦН"),526,""))</f>
        <v/>
      </c>
      <c r="DE527">
        <f>IF('История отказов'!AE530="","",IF(AND(COUNTIF($CV$2:$CV$3,'История отказов'!AE530)=0,COUNTIFS('История отказов'!$F$5:F530,"ЭВН",'История отказов'!$AE$5:AE530,'История отказов'!AE530)=1,'История отказов'!F530="ЭВН"),526,""))</f>
        <v/>
      </c>
      <c r="DF527">
        <f>IF('История отказов'!AE530="","",IF(AND(COUNTIF($CX$2:$CX$2,'История отказов'!AE530)=0,COUNTIFS('История отказов'!$F$5:F530,"ШВН",'История отказов'!$AE$5:AE530,'История отказов'!AE530)=1,'История отказов'!F530="ШВН"),526,""))</f>
        <v/>
      </c>
      <c r="DG527">
        <f>IF('История отказов'!AE530="","",IF(AND(COUNTIF($CW$2:$CW$2,'История отказов'!AE530)=0,COUNTIFS('История отказов'!$F$5:F530,"НПУ-ВД",'История отказов'!$AE$5:AE530,'История отказов'!AE530)=1,'История отказов'!F530="НПУ-ВД"),526,""))</f>
        <v/>
      </c>
      <c r="DH527">
        <f>IF('История отказов'!AE530="","",IF(AND(COUNTIF($CY$2:$CY$6,'История отказов'!AE530)=0,COUNTIF('История отказов'!$AE$5:AE530,'История отказов'!AE530)=1),526,""))</f>
        <v/>
      </c>
      <c r="DI527">
        <f>IF('История отказов'!AK530="","",IF(AND(COUNTIF($CL$2:$CL$3,'История отказов'!AK530)=0,COUNTIF('История отказов'!$AK$5:AK530,'История отказов'!AK530)=1),526,""))</f>
        <v/>
      </c>
      <c r="DJ527">
        <f>IF('История отказов'!AU530="","",IF(AND(COUNTIF($CP$2:$CP$3,'История отказов'!AU530)=0,COUNTIF('История отказов'!$AU$5:AU530,'История отказов'!AU530)=1),526,""))</f>
        <v/>
      </c>
      <c r="DK527">
        <f>IF('История отказов'!AY530="","",IF(AND(COUNTIF($CR$2:$CR$2,'История отказов'!AY530)=0,COUNTIF('История отказов'!$AY$5:AY530,'История отказов'!AY530)=1),526,""))</f>
        <v/>
      </c>
      <c r="DL527">
        <f>IF(DB527="","",IF(AND(COUNTIF($DA$2:$DA$47,DB527)=0,COUNTIF($DB$2:DB527,DB527)=1),526,""))</f>
        <v/>
      </c>
    </row>
    <row r="528">
      <c r="A528" s="74" t="n"/>
      <c r="B528" s="75" t="n"/>
      <c r="C528" s="76" t="n"/>
      <c r="J528" s="62" t="n"/>
      <c r="K528" s="62" t="n"/>
      <c r="L528" s="62" t="n"/>
      <c r="M528" s="62" t="n"/>
      <c r="N528" s="62" t="n"/>
      <c r="Q528" t="inlineStr">
        <is>
          <t>equip_motor_size</t>
        </is>
      </c>
      <c r="R528" t="inlineStr">
        <is>
          <t>ПЭД — габарит 185 мм</t>
        </is>
      </c>
      <c r="S528" t="inlineStr">
        <is>
          <t>Каталожный пример; паспорт имеет приоритет</t>
        </is>
      </c>
      <c r="T528" t="inlineStr">
        <is>
          <t>Новомет — ПЭД</t>
        </is>
      </c>
      <c r="U528" t="inlineStr">
        <is>
          <t>https://www.novomet.ru/rus/products-and-services/artificial-lift/motors/induction-motors/</t>
        </is>
      </c>
      <c r="V528" t="inlineStr">
        <is>
          <t>ЭЦН/ЭВН; габарит, не полный шифр</t>
        </is>
      </c>
      <c r="DB528">
        <f>IF('История отказов'!AH531="","",'История отказов'!AH531)</f>
        <v/>
      </c>
      <c r="DC528">
        <f>IF('История отказов'!AE531="","",IF(AND(COUNTIF($CT$2:$CT$2,'История отказов'!AE531)=0,COUNTIFS('История отказов'!$F$5:F531,"ШГН",'История отказов'!$AE$5:AE531,'История отказов'!AE531)=1,'История отказов'!F531="ШГН"),527,""))</f>
        <v/>
      </c>
      <c r="DD528">
        <f>IF('История отказов'!AE531="","",IF(AND(COUNTIF($CU$2:$CU$3,'История отказов'!AE531)=0,COUNTIFS('История отказов'!$F$5:F531,"ЭЦН",'История отказов'!$AE$5:AE531,'История отказов'!AE531)=1,'История отказов'!F531="ЭЦН"),527,""))</f>
        <v/>
      </c>
      <c r="DE528">
        <f>IF('История отказов'!AE531="","",IF(AND(COUNTIF($CV$2:$CV$3,'История отказов'!AE531)=0,COUNTIFS('История отказов'!$F$5:F531,"ЭВН",'История отказов'!$AE$5:AE531,'История отказов'!AE531)=1,'История отказов'!F531="ЭВН"),527,""))</f>
        <v/>
      </c>
      <c r="DF528">
        <f>IF('История отказов'!AE531="","",IF(AND(COUNTIF($CX$2:$CX$2,'История отказов'!AE531)=0,COUNTIFS('История отказов'!$F$5:F531,"ШВН",'История отказов'!$AE$5:AE531,'История отказов'!AE531)=1,'История отказов'!F531="ШВН"),527,""))</f>
        <v/>
      </c>
      <c r="DG528">
        <f>IF('История отказов'!AE531="","",IF(AND(COUNTIF($CW$2:$CW$2,'История отказов'!AE531)=0,COUNTIFS('История отказов'!$F$5:F531,"НПУ-ВД",'История отказов'!$AE$5:AE531,'История отказов'!AE531)=1,'История отказов'!F531="НПУ-ВД"),527,""))</f>
        <v/>
      </c>
      <c r="DH528">
        <f>IF('История отказов'!AE531="","",IF(AND(COUNTIF($CY$2:$CY$6,'История отказов'!AE531)=0,COUNTIF('История отказов'!$AE$5:AE531,'История отказов'!AE531)=1),527,""))</f>
        <v/>
      </c>
      <c r="DI528">
        <f>IF('История отказов'!AK531="","",IF(AND(COUNTIF($CL$2:$CL$3,'История отказов'!AK531)=0,COUNTIF('История отказов'!$AK$5:AK531,'История отказов'!AK531)=1),527,""))</f>
        <v/>
      </c>
      <c r="DJ528">
        <f>IF('История отказов'!AU531="","",IF(AND(COUNTIF($CP$2:$CP$3,'История отказов'!AU531)=0,COUNTIF('История отказов'!$AU$5:AU531,'История отказов'!AU531)=1),527,""))</f>
        <v/>
      </c>
      <c r="DK528">
        <f>IF('История отказов'!AY531="","",IF(AND(COUNTIF($CR$2:$CR$2,'История отказов'!AY531)=0,COUNTIF('История отказов'!$AY$5:AY531,'История отказов'!AY531)=1),527,""))</f>
        <v/>
      </c>
      <c r="DL528">
        <f>IF(DB528="","",IF(AND(COUNTIF($DA$2:$DA$47,DB528)=0,COUNTIF($DB$2:DB528,DB528)=1),527,""))</f>
        <v/>
      </c>
    </row>
    <row r="529">
      <c r="A529" s="74" t="n"/>
      <c r="B529" s="75" t="n"/>
      <c r="C529" s="76" t="n"/>
      <c r="J529" s="62" t="n"/>
      <c r="K529" s="62" t="n"/>
      <c r="L529" s="62" t="n"/>
      <c r="M529" s="62" t="n"/>
      <c r="N529" s="62" t="n"/>
      <c r="Q529" t="inlineStr">
        <is>
          <t>equip_cable</t>
        </is>
      </c>
      <c r="R529" t="inlineStr">
        <is>
          <t>КПпБП-120 3×10</t>
        </is>
      </c>
      <c r="S529" t="inlineStr">
        <is>
          <t>Каталожный пример; паспорт имеет приоритет</t>
        </is>
      </c>
      <c r="T529" t="inlineStr">
        <is>
          <t>Подольсккабель — каталог</t>
        </is>
      </c>
      <c r="U529" t="inlineStr">
        <is>
          <t>https://www.podolskkabel.ru/res/content/docs/f1339_download_0_file.pdf</t>
        </is>
      </c>
      <c r="V529" t="inlineStr">
        <is>
          <t>ЭЦН/ЭВН; марка кабеля</t>
        </is>
      </c>
      <c r="DB529">
        <f>IF('История отказов'!AH532="","",'История отказов'!AH532)</f>
        <v/>
      </c>
      <c r="DC529">
        <f>IF('История отказов'!AE532="","",IF(AND(COUNTIF($CT$2:$CT$2,'История отказов'!AE532)=0,COUNTIFS('История отказов'!$F$5:F532,"ШГН",'История отказов'!$AE$5:AE532,'История отказов'!AE532)=1,'История отказов'!F532="ШГН"),528,""))</f>
        <v/>
      </c>
      <c r="DD529">
        <f>IF('История отказов'!AE532="","",IF(AND(COUNTIF($CU$2:$CU$3,'История отказов'!AE532)=0,COUNTIFS('История отказов'!$F$5:F532,"ЭЦН",'История отказов'!$AE$5:AE532,'История отказов'!AE532)=1,'История отказов'!F532="ЭЦН"),528,""))</f>
        <v/>
      </c>
      <c r="DE529">
        <f>IF('История отказов'!AE532="","",IF(AND(COUNTIF($CV$2:$CV$3,'История отказов'!AE532)=0,COUNTIFS('История отказов'!$F$5:F532,"ЭВН",'История отказов'!$AE$5:AE532,'История отказов'!AE532)=1,'История отказов'!F532="ЭВН"),528,""))</f>
        <v/>
      </c>
      <c r="DF529">
        <f>IF('История отказов'!AE532="","",IF(AND(COUNTIF($CX$2:$CX$2,'История отказов'!AE532)=0,COUNTIFS('История отказов'!$F$5:F532,"ШВН",'История отказов'!$AE$5:AE532,'История отказов'!AE532)=1,'История отказов'!F532="ШВН"),528,""))</f>
        <v/>
      </c>
      <c r="DG529">
        <f>IF('История отказов'!AE532="","",IF(AND(COUNTIF($CW$2:$CW$2,'История отказов'!AE532)=0,COUNTIFS('История отказов'!$F$5:F532,"НПУ-ВД",'История отказов'!$AE$5:AE532,'История отказов'!AE532)=1,'История отказов'!F532="НПУ-ВД"),528,""))</f>
        <v/>
      </c>
      <c r="DH529">
        <f>IF('История отказов'!AE532="","",IF(AND(COUNTIF($CY$2:$CY$6,'История отказов'!AE532)=0,COUNTIF('История отказов'!$AE$5:AE532,'История отказов'!AE532)=1),528,""))</f>
        <v/>
      </c>
      <c r="DI529">
        <f>IF('История отказов'!AK532="","",IF(AND(COUNTIF($CL$2:$CL$3,'История отказов'!AK532)=0,COUNTIF('История отказов'!$AK$5:AK532,'История отказов'!AK532)=1),528,""))</f>
        <v/>
      </c>
      <c r="DJ529">
        <f>IF('История отказов'!AU532="","",IF(AND(COUNTIF($CP$2:$CP$3,'История отказов'!AU532)=0,COUNTIF('История отказов'!$AU$5:AU532,'История отказов'!AU532)=1),528,""))</f>
        <v/>
      </c>
      <c r="DK529">
        <f>IF('История отказов'!AY532="","",IF(AND(COUNTIF($CR$2:$CR$2,'История отказов'!AY532)=0,COUNTIF('История отказов'!$AY$5:AY532,'История отказов'!AY532)=1),528,""))</f>
        <v/>
      </c>
      <c r="DL529">
        <f>IF(DB529="","",IF(AND(COUNTIF($DA$2:$DA$47,DB529)=0,COUNTIF($DB$2:DB529,DB529)=1),528,""))</f>
        <v/>
      </c>
    </row>
    <row r="530">
      <c r="A530" s="74" t="n"/>
      <c r="B530" s="75" t="n"/>
      <c r="C530" s="76" t="n"/>
      <c r="J530" s="62" t="n"/>
      <c r="K530" s="62" t="n"/>
      <c r="L530" s="62" t="n"/>
      <c r="M530" s="62" t="n"/>
      <c r="N530" s="62" t="n"/>
      <c r="Q530" t="inlineStr">
        <is>
          <t>equip_cable</t>
        </is>
      </c>
      <c r="R530" t="inlineStr">
        <is>
          <t>КПпБП-120 3×13,3</t>
        </is>
      </c>
      <c r="S530" t="inlineStr">
        <is>
          <t>Каталожный пример; паспорт имеет приоритет</t>
        </is>
      </c>
      <c r="T530" t="inlineStr">
        <is>
          <t>Подольсккабель — каталог</t>
        </is>
      </c>
      <c r="U530" t="inlineStr">
        <is>
          <t>https://www.podolskkabel.ru/res/content/docs/f1339_download_0_file.pdf</t>
        </is>
      </c>
      <c r="V530" t="inlineStr">
        <is>
          <t>ЭЦН/ЭВН; марка кабеля</t>
        </is>
      </c>
      <c r="DB530">
        <f>IF('История отказов'!AH533="","",'История отказов'!AH533)</f>
        <v/>
      </c>
      <c r="DC530">
        <f>IF('История отказов'!AE533="","",IF(AND(COUNTIF($CT$2:$CT$2,'История отказов'!AE533)=0,COUNTIFS('История отказов'!$F$5:F533,"ШГН",'История отказов'!$AE$5:AE533,'История отказов'!AE533)=1,'История отказов'!F533="ШГН"),529,""))</f>
        <v/>
      </c>
      <c r="DD530">
        <f>IF('История отказов'!AE533="","",IF(AND(COUNTIF($CU$2:$CU$3,'История отказов'!AE533)=0,COUNTIFS('История отказов'!$F$5:F533,"ЭЦН",'История отказов'!$AE$5:AE533,'История отказов'!AE533)=1,'История отказов'!F533="ЭЦН"),529,""))</f>
        <v/>
      </c>
      <c r="DE530">
        <f>IF('История отказов'!AE533="","",IF(AND(COUNTIF($CV$2:$CV$3,'История отказов'!AE533)=0,COUNTIFS('История отказов'!$F$5:F533,"ЭВН",'История отказов'!$AE$5:AE533,'История отказов'!AE533)=1,'История отказов'!F533="ЭВН"),529,""))</f>
        <v/>
      </c>
      <c r="DF530">
        <f>IF('История отказов'!AE533="","",IF(AND(COUNTIF($CX$2:$CX$2,'История отказов'!AE533)=0,COUNTIFS('История отказов'!$F$5:F533,"ШВН",'История отказов'!$AE$5:AE533,'История отказов'!AE533)=1,'История отказов'!F533="ШВН"),529,""))</f>
        <v/>
      </c>
      <c r="DG530">
        <f>IF('История отказов'!AE533="","",IF(AND(COUNTIF($CW$2:$CW$2,'История отказов'!AE533)=0,COUNTIFS('История отказов'!$F$5:F533,"НПУ-ВД",'История отказов'!$AE$5:AE533,'История отказов'!AE533)=1,'История отказов'!F533="НПУ-ВД"),529,""))</f>
        <v/>
      </c>
      <c r="DH530">
        <f>IF('История отказов'!AE533="","",IF(AND(COUNTIF($CY$2:$CY$6,'История отказов'!AE533)=0,COUNTIF('История отказов'!$AE$5:AE533,'История отказов'!AE533)=1),529,""))</f>
        <v/>
      </c>
      <c r="DI530">
        <f>IF('История отказов'!AK533="","",IF(AND(COUNTIF($CL$2:$CL$3,'История отказов'!AK533)=0,COUNTIF('История отказов'!$AK$5:AK533,'История отказов'!AK533)=1),529,""))</f>
        <v/>
      </c>
      <c r="DJ530">
        <f>IF('История отказов'!AU533="","",IF(AND(COUNTIF($CP$2:$CP$3,'История отказов'!AU533)=0,COUNTIF('История отказов'!$AU$5:AU533,'История отказов'!AU533)=1),529,""))</f>
        <v/>
      </c>
      <c r="DK530">
        <f>IF('История отказов'!AY533="","",IF(AND(COUNTIF($CR$2:$CR$2,'История отказов'!AY533)=0,COUNTIF('История отказов'!$AY$5:AY533,'История отказов'!AY533)=1),529,""))</f>
        <v/>
      </c>
      <c r="DL530">
        <f>IF(DB530="","",IF(AND(COUNTIF($DA$2:$DA$47,DB530)=0,COUNTIF($DB$2:DB530,DB530)=1),529,""))</f>
        <v/>
      </c>
    </row>
    <row r="531">
      <c r="A531" s="74" t="n"/>
      <c r="B531" s="75" t="n"/>
      <c r="C531" s="76" t="n"/>
      <c r="J531" s="62" t="n"/>
      <c r="K531" s="62" t="n"/>
      <c r="L531" s="62" t="n"/>
      <c r="M531" s="62" t="n"/>
      <c r="N531" s="62" t="n"/>
      <c r="Q531" t="inlineStr">
        <is>
          <t>equip_cable</t>
        </is>
      </c>
      <c r="R531" t="inlineStr">
        <is>
          <t>КПпБП-120 3×16</t>
        </is>
      </c>
      <c r="S531" t="inlineStr">
        <is>
          <t>Каталожный пример; паспорт имеет приоритет</t>
        </is>
      </c>
      <c r="T531" t="inlineStr">
        <is>
          <t>Подольсккабель — каталог</t>
        </is>
      </c>
      <c r="U531" t="inlineStr">
        <is>
          <t>https://www.podolskkabel.ru/res/content/docs/f1339_download_0_file.pdf</t>
        </is>
      </c>
      <c r="V531" t="inlineStr">
        <is>
          <t>ЭЦН/ЭВН; марка кабеля</t>
        </is>
      </c>
      <c r="DB531">
        <f>IF('История отказов'!AH534="","",'История отказов'!AH534)</f>
        <v/>
      </c>
      <c r="DC531">
        <f>IF('История отказов'!AE534="","",IF(AND(COUNTIF($CT$2:$CT$2,'История отказов'!AE534)=0,COUNTIFS('История отказов'!$F$5:F534,"ШГН",'История отказов'!$AE$5:AE534,'История отказов'!AE534)=1,'История отказов'!F534="ШГН"),530,""))</f>
        <v/>
      </c>
      <c r="DD531">
        <f>IF('История отказов'!AE534="","",IF(AND(COUNTIF($CU$2:$CU$3,'История отказов'!AE534)=0,COUNTIFS('История отказов'!$F$5:F534,"ЭЦН",'История отказов'!$AE$5:AE534,'История отказов'!AE534)=1,'История отказов'!F534="ЭЦН"),530,""))</f>
        <v/>
      </c>
      <c r="DE531">
        <f>IF('История отказов'!AE534="","",IF(AND(COUNTIF($CV$2:$CV$3,'История отказов'!AE534)=0,COUNTIFS('История отказов'!$F$5:F534,"ЭВН",'История отказов'!$AE$5:AE534,'История отказов'!AE534)=1,'История отказов'!F534="ЭВН"),530,""))</f>
        <v/>
      </c>
      <c r="DF531">
        <f>IF('История отказов'!AE534="","",IF(AND(COUNTIF($CX$2:$CX$2,'История отказов'!AE534)=0,COUNTIFS('История отказов'!$F$5:F534,"ШВН",'История отказов'!$AE$5:AE534,'История отказов'!AE534)=1,'История отказов'!F534="ШВН"),530,""))</f>
        <v/>
      </c>
      <c r="DG531">
        <f>IF('История отказов'!AE534="","",IF(AND(COUNTIF($CW$2:$CW$2,'История отказов'!AE534)=0,COUNTIFS('История отказов'!$F$5:F534,"НПУ-ВД",'История отказов'!$AE$5:AE534,'История отказов'!AE534)=1,'История отказов'!F534="НПУ-ВД"),530,""))</f>
        <v/>
      </c>
      <c r="DH531">
        <f>IF('История отказов'!AE534="","",IF(AND(COUNTIF($CY$2:$CY$6,'История отказов'!AE534)=0,COUNTIF('История отказов'!$AE$5:AE534,'История отказов'!AE534)=1),530,""))</f>
        <v/>
      </c>
      <c r="DI531">
        <f>IF('История отказов'!AK534="","",IF(AND(COUNTIF($CL$2:$CL$3,'История отказов'!AK534)=0,COUNTIF('История отказов'!$AK$5:AK534,'История отказов'!AK534)=1),530,""))</f>
        <v/>
      </c>
      <c r="DJ531">
        <f>IF('История отказов'!AU534="","",IF(AND(COUNTIF($CP$2:$CP$3,'История отказов'!AU534)=0,COUNTIF('История отказов'!$AU$5:AU534,'История отказов'!AU534)=1),530,""))</f>
        <v/>
      </c>
      <c r="DK531">
        <f>IF('История отказов'!AY534="","",IF(AND(COUNTIF($CR$2:$CR$2,'История отказов'!AY534)=0,COUNTIF('История отказов'!$AY$5:AY534,'История отказов'!AY534)=1),530,""))</f>
        <v/>
      </c>
      <c r="DL531">
        <f>IF(DB531="","",IF(AND(COUNTIF($DA$2:$DA$47,DB531)=0,COUNTIF($DB$2:DB531,DB531)=1),530,""))</f>
        <v/>
      </c>
    </row>
    <row r="532">
      <c r="A532" s="74" t="n"/>
      <c r="B532" s="75" t="n"/>
      <c r="C532" s="76" t="n"/>
      <c r="J532" s="62" t="n"/>
      <c r="K532" s="62" t="n"/>
      <c r="L532" s="62" t="n"/>
      <c r="M532" s="62" t="n"/>
      <c r="N532" s="62" t="n"/>
      <c r="Q532" t="inlineStr">
        <is>
          <t>equip_cable</t>
        </is>
      </c>
      <c r="R532" t="inlineStr">
        <is>
          <t>КПпБП-120 3×25</t>
        </is>
      </c>
      <c r="S532" t="inlineStr">
        <is>
          <t>Каталожный пример; паспорт имеет приоритет</t>
        </is>
      </c>
      <c r="T532" t="inlineStr">
        <is>
          <t>Подольсккабель — каталог</t>
        </is>
      </c>
      <c r="U532" t="inlineStr">
        <is>
          <t>https://www.podolskkabel.ru/res/content/docs/f1339_download_0_file.pdf</t>
        </is>
      </c>
      <c r="V532" t="inlineStr">
        <is>
          <t>ЭЦН/ЭВН; марка кабеля</t>
        </is>
      </c>
      <c r="DB532">
        <f>IF('История отказов'!AH535="","",'История отказов'!AH535)</f>
        <v/>
      </c>
      <c r="DC532">
        <f>IF('История отказов'!AE535="","",IF(AND(COUNTIF($CT$2:$CT$2,'История отказов'!AE535)=0,COUNTIFS('История отказов'!$F$5:F535,"ШГН",'История отказов'!$AE$5:AE535,'История отказов'!AE535)=1,'История отказов'!F535="ШГН"),531,""))</f>
        <v/>
      </c>
      <c r="DD532">
        <f>IF('История отказов'!AE535="","",IF(AND(COUNTIF($CU$2:$CU$3,'История отказов'!AE535)=0,COUNTIFS('История отказов'!$F$5:F535,"ЭЦН",'История отказов'!$AE$5:AE535,'История отказов'!AE535)=1,'История отказов'!F535="ЭЦН"),531,""))</f>
        <v/>
      </c>
      <c r="DE532">
        <f>IF('История отказов'!AE535="","",IF(AND(COUNTIF($CV$2:$CV$3,'История отказов'!AE535)=0,COUNTIFS('История отказов'!$F$5:F535,"ЭВН",'История отказов'!$AE$5:AE535,'История отказов'!AE535)=1,'История отказов'!F535="ЭВН"),531,""))</f>
        <v/>
      </c>
      <c r="DF532">
        <f>IF('История отказов'!AE535="","",IF(AND(COUNTIF($CX$2:$CX$2,'История отказов'!AE535)=0,COUNTIFS('История отказов'!$F$5:F535,"ШВН",'История отказов'!$AE$5:AE535,'История отказов'!AE535)=1,'История отказов'!F535="ШВН"),531,""))</f>
        <v/>
      </c>
      <c r="DG532">
        <f>IF('История отказов'!AE535="","",IF(AND(COUNTIF($CW$2:$CW$2,'История отказов'!AE535)=0,COUNTIFS('История отказов'!$F$5:F535,"НПУ-ВД",'История отказов'!$AE$5:AE535,'История отказов'!AE535)=1,'История отказов'!F535="НПУ-ВД"),531,""))</f>
        <v/>
      </c>
      <c r="DH532">
        <f>IF('История отказов'!AE535="","",IF(AND(COUNTIF($CY$2:$CY$6,'История отказов'!AE535)=0,COUNTIF('История отказов'!$AE$5:AE535,'История отказов'!AE535)=1),531,""))</f>
        <v/>
      </c>
      <c r="DI532">
        <f>IF('История отказов'!AK535="","",IF(AND(COUNTIF($CL$2:$CL$3,'История отказов'!AK535)=0,COUNTIF('История отказов'!$AK$5:AK535,'История отказов'!AK535)=1),531,""))</f>
        <v/>
      </c>
      <c r="DJ532">
        <f>IF('История отказов'!AU535="","",IF(AND(COUNTIF($CP$2:$CP$3,'История отказов'!AU535)=0,COUNTIF('История отказов'!$AU$5:AU535,'История отказов'!AU535)=1),531,""))</f>
        <v/>
      </c>
      <c r="DK532">
        <f>IF('История отказов'!AY535="","",IF(AND(COUNTIF($CR$2:$CR$2,'История отказов'!AY535)=0,COUNTIF('История отказов'!$AY$5:AY535,'История отказов'!AY535)=1),531,""))</f>
        <v/>
      </c>
      <c r="DL532">
        <f>IF(DB532="","",IF(AND(COUNTIF($DA$2:$DA$47,DB532)=0,COUNTIF($DB$2:DB532,DB532)=1),531,""))</f>
        <v/>
      </c>
    </row>
    <row r="533">
      <c r="A533" s="74" t="n"/>
      <c r="B533" s="75" t="n"/>
      <c r="C533" s="76" t="n"/>
      <c r="J533" s="62" t="n"/>
      <c r="K533" s="62" t="n"/>
      <c r="L533" s="62" t="n"/>
      <c r="M533" s="62" t="n"/>
      <c r="N533" s="62" t="n"/>
      <c r="Q533" t="inlineStr">
        <is>
          <t>equip_cable</t>
        </is>
      </c>
      <c r="R533" t="inlineStr">
        <is>
          <t>КПпБП-120 3×35</t>
        </is>
      </c>
      <c r="S533" t="inlineStr">
        <is>
          <t>Каталожный пример; паспорт имеет приоритет</t>
        </is>
      </c>
      <c r="T533" t="inlineStr">
        <is>
          <t>Подольсккабель — каталог</t>
        </is>
      </c>
      <c r="U533" t="inlineStr">
        <is>
          <t>https://www.podolskkabel.ru/res/content/docs/f1339_download_0_file.pdf</t>
        </is>
      </c>
      <c r="V533" t="inlineStr">
        <is>
          <t>ЭЦН/ЭВН; марка кабеля</t>
        </is>
      </c>
      <c r="DB533">
        <f>IF('История отказов'!AH536="","",'История отказов'!AH536)</f>
        <v/>
      </c>
      <c r="DC533">
        <f>IF('История отказов'!AE536="","",IF(AND(COUNTIF($CT$2:$CT$2,'История отказов'!AE536)=0,COUNTIFS('История отказов'!$F$5:F536,"ШГН",'История отказов'!$AE$5:AE536,'История отказов'!AE536)=1,'История отказов'!F536="ШГН"),532,""))</f>
        <v/>
      </c>
      <c r="DD533">
        <f>IF('История отказов'!AE536="","",IF(AND(COUNTIF($CU$2:$CU$3,'История отказов'!AE536)=0,COUNTIFS('История отказов'!$F$5:F536,"ЭЦН",'История отказов'!$AE$5:AE536,'История отказов'!AE536)=1,'История отказов'!F536="ЭЦН"),532,""))</f>
        <v/>
      </c>
      <c r="DE533">
        <f>IF('История отказов'!AE536="","",IF(AND(COUNTIF($CV$2:$CV$3,'История отказов'!AE536)=0,COUNTIFS('История отказов'!$F$5:F536,"ЭВН",'История отказов'!$AE$5:AE536,'История отказов'!AE536)=1,'История отказов'!F536="ЭВН"),532,""))</f>
        <v/>
      </c>
      <c r="DF533">
        <f>IF('История отказов'!AE536="","",IF(AND(COUNTIF($CX$2:$CX$2,'История отказов'!AE536)=0,COUNTIFS('История отказов'!$F$5:F536,"ШВН",'История отказов'!$AE$5:AE536,'История отказов'!AE536)=1,'История отказов'!F536="ШВН"),532,""))</f>
        <v/>
      </c>
      <c r="DG533">
        <f>IF('История отказов'!AE536="","",IF(AND(COUNTIF($CW$2:$CW$2,'История отказов'!AE536)=0,COUNTIFS('История отказов'!$F$5:F536,"НПУ-ВД",'История отказов'!$AE$5:AE536,'История отказов'!AE536)=1,'История отказов'!F536="НПУ-ВД"),532,""))</f>
        <v/>
      </c>
      <c r="DH533">
        <f>IF('История отказов'!AE536="","",IF(AND(COUNTIF($CY$2:$CY$6,'История отказов'!AE536)=0,COUNTIF('История отказов'!$AE$5:AE536,'История отказов'!AE536)=1),532,""))</f>
        <v/>
      </c>
      <c r="DI533">
        <f>IF('История отказов'!AK536="","",IF(AND(COUNTIF($CL$2:$CL$3,'История отказов'!AK536)=0,COUNTIF('История отказов'!$AK$5:AK536,'История отказов'!AK536)=1),532,""))</f>
        <v/>
      </c>
      <c r="DJ533">
        <f>IF('История отказов'!AU536="","",IF(AND(COUNTIF($CP$2:$CP$3,'История отказов'!AU536)=0,COUNTIF('История отказов'!$AU$5:AU536,'История отказов'!AU536)=1),532,""))</f>
        <v/>
      </c>
      <c r="DK533">
        <f>IF('История отказов'!AY536="","",IF(AND(COUNTIF($CR$2:$CR$2,'История отказов'!AY536)=0,COUNTIF('История отказов'!$AY$5:AY536,'История отказов'!AY536)=1),532,""))</f>
        <v/>
      </c>
      <c r="DL533">
        <f>IF(DB533="","",IF(AND(COUNTIF($DA$2:$DA$47,DB533)=0,COUNTIF($DB$2:DB533,DB533)=1),532,""))</f>
        <v/>
      </c>
    </row>
    <row r="534">
      <c r="A534" s="74" t="n"/>
      <c r="B534" s="75" t="n"/>
      <c r="C534" s="76" t="n"/>
      <c r="J534" s="62" t="n"/>
      <c r="K534" s="62" t="n"/>
      <c r="L534" s="62" t="n"/>
      <c r="M534" s="62" t="n"/>
      <c r="N534" s="62" t="n"/>
      <c r="Q534" t="inlineStr">
        <is>
          <t>equip_extension</t>
        </is>
      </c>
      <c r="R534" t="inlineStr">
        <is>
          <t>КПпБП-120 3×10 (удлинитель)</t>
        </is>
      </c>
      <c r="S534" t="inlineStr">
        <is>
          <t>Каталожный пример; паспорт имеет приоритет</t>
        </is>
      </c>
      <c r="T534" t="inlineStr">
        <is>
          <t>Новомет + Подольсккабель</t>
        </is>
      </c>
      <c r="U534" t="inlineStr">
        <is>
          <t>https://www.novomet.ru/rus/products-and-services/artificial-lift/cable/; https://www.podolskkabel.ru/res/content/docs/f1339_download_0_file.pdf</t>
        </is>
      </c>
      <c r="V534" t="inlineStr">
        <is>
          <t>ЭЦН/ЭВН; кабель применим в удлинителе</t>
        </is>
      </c>
      <c r="DB534">
        <f>IF('История отказов'!AH537="","",'История отказов'!AH537)</f>
        <v/>
      </c>
      <c r="DC534">
        <f>IF('История отказов'!AE537="","",IF(AND(COUNTIF($CT$2:$CT$2,'История отказов'!AE537)=0,COUNTIFS('История отказов'!$F$5:F537,"ШГН",'История отказов'!$AE$5:AE537,'История отказов'!AE537)=1,'История отказов'!F537="ШГН"),533,""))</f>
        <v/>
      </c>
      <c r="DD534">
        <f>IF('История отказов'!AE537="","",IF(AND(COUNTIF($CU$2:$CU$3,'История отказов'!AE537)=0,COUNTIFS('История отказов'!$F$5:F537,"ЭЦН",'История отказов'!$AE$5:AE537,'История отказов'!AE537)=1,'История отказов'!F537="ЭЦН"),533,""))</f>
        <v/>
      </c>
      <c r="DE534">
        <f>IF('История отказов'!AE537="","",IF(AND(COUNTIF($CV$2:$CV$3,'История отказов'!AE537)=0,COUNTIFS('История отказов'!$F$5:F537,"ЭВН",'История отказов'!$AE$5:AE537,'История отказов'!AE537)=1,'История отказов'!F537="ЭВН"),533,""))</f>
        <v/>
      </c>
      <c r="DF534">
        <f>IF('История отказов'!AE537="","",IF(AND(COUNTIF($CX$2:$CX$2,'История отказов'!AE537)=0,COUNTIFS('История отказов'!$F$5:F537,"ШВН",'История отказов'!$AE$5:AE537,'История отказов'!AE537)=1,'История отказов'!F537="ШВН"),533,""))</f>
        <v/>
      </c>
      <c r="DG534">
        <f>IF('История отказов'!AE537="","",IF(AND(COUNTIF($CW$2:$CW$2,'История отказов'!AE537)=0,COUNTIFS('История отказов'!$F$5:F537,"НПУ-ВД",'История отказов'!$AE$5:AE537,'История отказов'!AE537)=1,'История отказов'!F537="НПУ-ВД"),533,""))</f>
        <v/>
      </c>
      <c r="DH534">
        <f>IF('История отказов'!AE537="","",IF(AND(COUNTIF($CY$2:$CY$6,'История отказов'!AE537)=0,COUNTIF('История отказов'!$AE$5:AE537,'История отказов'!AE537)=1),533,""))</f>
        <v/>
      </c>
      <c r="DI534">
        <f>IF('История отказов'!AK537="","",IF(AND(COUNTIF($CL$2:$CL$3,'История отказов'!AK537)=0,COUNTIF('История отказов'!$AK$5:AK537,'История отказов'!AK537)=1),533,""))</f>
        <v/>
      </c>
      <c r="DJ534">
        <f>IF('История отказов'!AU537="","",IF(AND(COUNTIF($CP$2:$CP$3,'История отказов'!AU537)=0,COUNTIF('История отказов'!$AU$5:AU537,'История отказов'!AU537)=1),533,""))</f>
        <v/>
      </c>
      <c r="DK534">
        <f>IF('История отказов'!AY537="","",IF(AND(COUNTIF($CR$2:$CR$2,'История отказов'!AY537)=0,COUNTIF('История отказов'!$AY$5:AY537,'История отказов'!AY537)=1),533,""))</f>
        <v/>
      </c>
      <c r="DL534">
        <f>IF(DB534="","",IF(AND(COUNTIF($DA$2:$DA$47,DB534)=0,COUNTIF($DB$2:DB534,DB534)=1),533,""))</f>
        <v/>
      </c>
    </row>
    <row r="535">
      <c r="A535" s="74" t="n"/>
      <c r="B535" s="75" t="n"/>
      <c r="C535" s="76" t="n"/>
      <c r="J535" s="62" t="n"/>
      <c r="K535" s="62" t="n"/>
      <c r="L535" s="62" t="n"/>
      <c r="M535" s="62" t="n"/>
      <c r="N535" s="62" t="n"/>
      <c r="Q535" t="inlineStr">
        <is>
          <t>equip_extension</t>
        </is>
      </c>
      <c r="R535" t="inlineStr">
        <is>
          <t>КПпБП-120 3×16 (удлинитель)</t>
        </is>
      </c>
      <c r="S535" t="inlineStr">
        <is>
          <t>Каталожный пример; паспорт имеет приоритет</t>
        </is>
      </c>
      <c r="T535" t="inlineStr">
        <is>
          <t>Новомет + Подольсккабель</t>
        </is>
      </c>
      <c r="U535" t="inlineStr">
        <is>
          <t>https://www.novomet.ru/rus/products-and-services/artificial-lift/cable/; https://www.podolskkabel.ru/res/content/docs/f1339_download_0_file.pdf</t>
        </is>
      </c>
      <c r="V535" t="inlineStr">
        <is>
          <t>ЭЦН/ЭВН; кабель применим в удлинителе</t>
        </is>
      </c>
      <c r="DB535">
        <f>IF('История отказов'!AH538="","",'История отказов'!AH538)</f>
        <v/>
      </c>
      <c r="DC535">
        <f>IF('История отказов'!AE538="","",IF(AND(COUNTIF($CT$2:$CT$2,'История отказов'!AE538)=0,COUNTIFS('История отказов'!$F$5:F538,"ШГН",'История отказов'!$AE$5:AE538,'История отказов'!AE538)=1,'История отказов'!F538="ШГН"),534,""))</f>
        <v/>
      </c>
      <c r="DD535">
        <f>IF('История отказов'!AE538="","",IF(AND(COUNTIF($CU$2:$CU$3,'История отказов'!AE538)=0,COUNTIFS('История отказов'!$F$5:F538,"ЭЦН",'История отказов'!$AE$5:AE538,'История отказов'!AE538)=1,'История отказов'!F538="ЭЦН"),534,""))</f>
        <v/>
      </c>
      <c r="DE535">
        <f>IF('История отказов'!AE538="","",IF(AND(COUNTIF($CV$2:$CV$3,'История отказов'!AE538)=0,COUNTIFS('История отказов'!$F$5:F538,"ЭВН",'История отказов'!$AE$5:AE538,'История отказов'!AE538)=1,'История отказов'!F538="ЭВН"),534,""))</f>
        <v/>
      </c>
      <c r="DF535">
        <f>IF('История отказов'!AE538="","",IF(AND(COUNTIF($CX$2:$CX$2,'История отказов'!AE538)=0,COUNTIFS('История отказов'!$F$5:F538,"ШВН",'История отказов'!$AE$5:AE538,'История отказов'!AE538)=1,'История отказов'!F538="ШВН"),534,""))</f>
        <v/>
      </c>
      <c r="DG535">
        <f>IF('История отказов'!AE538="","",IF(AND(COUNTIF($CW$2:$CW$2,'История отказов'!AE538)=0,COUNTIFS('История отказов'!$F$5:F538,"НПУ-ВД",'История отказов'!$AE$5:AE538,'История отказов'!AE538)=1,'История отказов'!F538="НПУ-ВД"),534,""))</f>
        <v/>
      </c>
      <c r="DH535">
        <f>IF('История отказов'!AE538="","",IF(AND(COUNTIF($CY$2:$CY$6,'История отказов'!AE538)=0,COUNTIF('История отказов'!$AE$5:AE538,'История отказов'!AE538)=1),534,""))</f>
        <v/>
      </c>
      <c r="DI535">
        <f>IF('История отказов'!AK538="","",IF(AND(COUNTIF($CL$2:$CL$3,'История отказов'!AK538)=0,COUNTIF('История отказов'!$AK$5:AK538,'История отказов'!AK538)=1),534,""))</f>
        <v/>
      </c>
      <c r="DJ535">
        <f>IF('История отказов'!AU538="","",IF(AND(COUNTIF($CP$2:$CP$3,'История отказов'!AU538)=0,COUNTIF('История отказов'!$AU$5:AU538,'История отказов'!AU538)=1),534,""))</f>
        <v/>
      </c>
      <c r="DK535">
        <f>IF('История отказов'!AY538="","",IF(AND(COUNTIF($CR$2:$CR$2,'История отказов'!AY538)=0,COUNTIF('История отказов'!$AY$5:AY538,'История отказов'!AY538)=1),534,""))</f>
        <v/>
      </c>
      <c r="DL535">
        <f>IF(DB535="","",IF(AND(COUNTIF($DA$2:$DA$47,DB535)=0,COUNTIF($DB$2:DB535,DB535)=1),534,""))</f>
        <v/>
      </c>
    </row>
    <row r="536">
      <c r="A536" s="74" t="n"/>
      <c r="B536" s="75" t="n"/>
      <c r="C536" s="76" t="n"/>
      <c r="J536" s="62" t="n"/>
      <c r="K536" s="62" t="n"/>
      <c r="L536" s="62" t="n"/>
      <c r="M536" s="62" t="n"/>
      <c r="N536" s="62" t="n"/>
      <c r="Q536" t="inlineStr">
        <is>
          <t>equip_extension</t>
        </is>
      </c>
      <c r="R536" t="inlineStr">
        <is>
          <t>КПпБП-120 3×25 (удлинитель)</t>
        </is>
      </c>
      <c r="S536" t="inlineStr">
        <is>
          <t>Каталожный пример; паспорт имеет приоритет</t>
        </is>
      </c>
      <c r="T536" t="inlineStr">
        <is>
          <t>Новомет + Подольсккабель</t>
        </is>
      </c>
      <c r="U536" t="inlineStr">
        <is>
          <t>https://www.novomet.ru/rus/products-and-services/artificial-lift/cable/; https://www.podolskkabel.ru/res/content/docs/f1339_download_0_file.pdf</t>
        </is>
      </c>
      <c r="V536" t="inlineStr">
        <is>
          <t>ЭЦН/ЭВН; кабель применим в удлинителе</t>
        </is>
      </c>
      <c r="DB536">
        <f>IF('История отказов'!AH539="","",'История отказов'!AH539)</f>
        <v/>
      </c>
      <c r="DC536">
        <f>IF('История отказов'!AE539="","",IF(AND(COUNTIF($CT$2:$CT$2,'История отказов'!AE539)=0,COUNTIFS('История отказов'!$F$5:F539,"ШГН",'История отказов'!$AE$5:AE539,'История отказов'!AE539)=1,'История отказов'!F539="ШГН"),535,""))</f>
        <v/>
      </c>
      <c r="DD536">
        <f>IF('История отказов'!AE539="","",IF(AND(COUNTIF($CU$2:$CU$3,'История отказов'!AE539)=0,COUNTIFS('История отказов'!$F$5:F539,"ЭЦН",'История отказов'!$AE$5:AE539,'История отказов'!AE539)=1,'История отказов'!F539="ЭЦН"),535,""))</f>
        <v/>
      </c>
      <c r="DE536">
        <f>IF('История отказов'!AE539="","",IF(AND(COUNTIF($CV$2:$CV$3,'История отказов'!AE539)=0,COUNTIFS('История отказов'!$F$5:F539,"ЭВН",'История отказов'!$AE$5:AE539,'История отказов'!AE539)=1,'История отказов'!F539="ЭВН"),535,""))</f>
        <v/>
      </c>
      <c r="DF536">
        <f>IF('История отказов'!AE539="","",IF(AND(COUNTIF($CX$2:$CX$2,'История отказов'!AE539)=0,COUNTIFS('История отказов'!$F$5:F539,"ШВН",'История отказов'!$AE$5:AE539,'История отказов'!AE539)=1,'История отказов'!F539="ШВН"),535,""))</f>
        <v/>
      </c>
      <c r="DG536">
        <f>IF('История отказов'!AE539="","",IF(AND(COUNTIF($CW$2:$CW$2,'История отказов'!AE539)=0,COUNTIFS('История отказов'!$F$5:F539,"НПУ-ВД",'История отказов'!$AE$5:AE539,'История отказов'!AE539)=1,'История отказов'!F539="НПУ-ВД"),535,""))</f>
        <v/>
      </c>
      <c r="DH536">
        <f>IF('История отказов'!AE539="","",IF(AND(COUNTIF($CY$2:$CY$6,'История отказов'!AE539)=0,COUNTIF('История отказов'!$AE$5:AE539,'История отказов'!AE539)=1),535,""))</f>
        <v/>
      </c>
      <c r="DI536">
        <f>IF('История отказов'!AK539="","",IF(AND(COUNTIF($CL$2:$CL$3,'История отказов'!AK539)=0,COUNTIF('История отказов'!$AK$5:AK539,'История отказов'!AK539)=1),535,""))</f>
        <v/>
      </c>
      <c r="DJ536">
        <f>IF('История отказов'!AU539="","",IF(AND(COUNTIF($CP$2:$CP$3,'История отказов'!AU539)=0,COUNTIF('История отказов'!$AU$5:AU539,'История отказов'!AU539)=1),535,""))</f>
        <v/>
      </c>
      <c r="DK536">
        <f>IF('История отказов'!AY539="","",IF(AND(COUNTIF($CR$2:$CR$2,'История отказов'!AY539)=0,COUNTIF('История отказов'!$AY$5:AY539,'История отказов'!AY539)=1),535,""))</f>
        <v/>
      </c>
      <c r="DL536">
        <f>IF(DB536="","",IF(AND(COUNTIF($DA$2:$DA$47,DB536)=0,COUNTIF($DB$2:DB536,DB536)=1),535,""))</f>
        <v/>
      </c>
    </row>
    <row r="537">
      <c r="A537" s="74" t="n"/>
      <c r="B537" s="75" t="n"/>
      <c r="C537" s="76" t="n"/>
      <c r="J537" s="62" t="n"/>
      <c r="K537" s="62" t="n"/>
      <c r="L537" s="62" t="n"/>
      <c r="M537" s="62" t="n"/>
      <c r="N537" s="62" t="n"/>
      <c r="Q537" t="inlineStr">
        <is>
          <t>equip_hydro_maker</t>
        </is>
      </c>
      <c r="R537" t="inlineStr">
        <is>
          <t>Новомет</t>
        </is>
      </c>
      <c r="S537" t="inlineStr">
        <is>
          <t>Каталожный пример; паспорт имеет приоритет</t>
        </is>
      </c>
      <c r="T537" t="inlineStr">
        <is>
          <t>Новомет / Борец</t>
        </is>
      </c>
      <c r="U537" t="inlineStr">
        <is>
          <t>https://www.novomet.ru/rus/products-and-services/artificial-lift/protectors/modular-protectors/; https://borets.ru/products</t>
        </is>
      </c>
      <c r="V537" t="inlineStr">
        <is>
          <t>ЭЦН/ЭВН</t>
        </is>
      </c>
      <c r="DB537">
        <f>IF('История отказов'!AH540="","",'История отказов'!AH540)</f>
        <v/>
      </c>
      <c r="DC537">
        <f>IF('История отказов'!AE540="","",IF(AND(COUNTIF($CT$2:$CT$2,'История отказов'!AE540)=0,COUNTIFS('История отказов'!$F$5:F540,"ШГН",'История отказов'!$AE$5:AE540,'История отказов'!AE540)=1,'История отказов'!F540="ШГН"),536,""))</f>
        <v/>
      </c>
      <c r="DD537">
        <f>IF('История отказов'!AE540="","",IF(AND(COUNTIF($CU$2:$CU$3,'История отказов'!AE540)=0,COUNTIFS('История отказов'!$F$5:F540,"ЭЦН",'История отказов'!$AE$5:AE540,'История отказов'!AE540)=1,'История отказов'!F540="ЭЦН"),536,""))</f>
        <v/>
      </c>
      <c r="DE537">
        <f>IF('История отказов'!AE540="","",IF(AND(COUNTIF($CV$2:$CV$3,'История отказов'!AE540)=0,COUNTIFS('История отказов'!$F$5:F540,"ЭВН",'История отказов'!$AE$5:AE540,'История отказов'!AE540)=1,'История отказов'!F540="ЭВН"),536,""))</f>
        <v/>
      </c>
      <c r="DF537">
        <f>IF('История отказов'!AE540="","",IF(AND(COUNTIF($CX$2:$CX$2,'История отказов'!AE540)=0,COUNTIFS('История отказов'!$F$5:F540,"ШВН",'История отказов'!$AE$5:AE540,'История отказов'!AE540)=1,'История отказов'!F540="ШВН"),536,""))</f>
        <v/>
      </c>
      <c r="DG537">
        <f>IF('История отказов'!AE540="","",IF(AND(COUNTIF($CW$2:$CW$2,'История отказов'!AE540)=0,COUNTIFS('История отказов'!$F$5:F540,"НПУ-ВД",'История отказов'!$AE$5:AE540,'История отказов'!AE540)=1,'История отказов'!F540="НПУ-ВД"),536,""))</f>
        <v/>
      </c>
      <c r="DH537">
        <f>IF('История отказов'!AE540="","",IF(AND(COUNTIF($CY$2:$CY$6,'История отказов'!AE540)=0,COUNTIF('История отказов'!$AE$5:AE540,'История отказов'!AE540)=1),536,""))</f>
        <v/>
      </c>
      <c r="DI537">
        <f>IF('История отказов'!AK540="","",IF(AND(COUNTIF($CL$2:$CL$3,'История отказов'!AK540)=0,COUNTIF('История отказов'!$AK$5:AK540,'История отказов'!AK540)=1),536,""))</f>
        <v/>
      </c>
      <c r="DJ537">
        <f>IF('История отказов'!AU540="","",IF(AND(COUNTIF($CP$2:$CP$3,'История отказов'!AU540)=0,COUNTIF('История отказов'!$AU$5:AU540,'История отказов'!AU540)=1),536,""))</f>
        <v/>
      </c>
      <c r="DK537">
        <f>IF('История отказов'!AY540="","",IF(AND(COUNTIF($CR$2:$CR$2,'История отказов'!AY540)=0,COUNTIF('История отказов'!$AY$5:AY540,'История отказов'!AY540)=1),536,""))</f>
        <v/>
      </c>
      <c r="DL537">
        <f>IF(DB537="","",IF(AND(COUNTIF($DA$2:$DA$47,DB537)=0,COUNTIF($DB$2:DB537,DB537)=1),536,""))</f>
        <v/>
      </c>
    </row>
    <row r="538">
      <c r="A538" s="74" t="n"/>
      <c r="B538" s="75" t="n"/>
      <c r="C538" s="76" t="n"/>
      <c r="J538" s="62" t="n"/>
      <c r="K538" s="62" t="n"/>
      <c r="L538" s="62" t="n"/>
      <c r="M538" s="62" t="n"/>
      <c r="N538" s="62" t="n"/>
      <c r="Q538" t="inlineStr">
        <is>
          <t>equip_hydro_maker</t>
        </is>
      </c>
      <c r="R538" t="inlineStr">
        <is>
          <t>Борец</t>
        </is>
      </c>
      <c r="S538" t="inlineStr">
        <is>
          <t>Каталожный пример; паспорт имеет приоритет</t>
        </is>
      </c>
      <c r="T538" t="inlineStr">
        <is>
          <t>Новомет / Борец</t>
        </is>
      </c>
      <c r="U538" t="inlineStr">
        <is>
          <t>https://www.novomet.ru/rus/products-and-services/artificial-lift/protectors/modular-protectors/; https://borets.ru/products</t>
        </is>
      </c>
      <c r="V538" t="inlineStr">
        <is>
          <t>ЭЦН/ЭВН</t>
        </is>
      </c>
      <c r="DB538">
        <f>IF('История отказов'!AH541="","",'История отказов'!AH541)</f>
        <v/>
      </c>
      <c r="DC538">
        <f>IF('История отказов'!AE541="","",IF(AND(COUNTIF($CT$2:$CT$2,'История отказов'!AE541)=0,COUNTIFS('История отказов'!$F$5:F541,"ШГН",'История отказов'!$AE$5:AE541,'История отказов'!AE541)=1,'История отказов'!F541="ШГН"),537,""))</f>
        <v/>
      </c>
      <c r="DD538">
        <f>IF('История отказов'!AE541="","",IF(AND(COUNTIF($CU$2:$CU$3,'История отказов'!AE541)=0,COUNTIFS('История отказов'!$F$5:F541,"ЭЦН",'История отказов'!$AE$5:AE541,'История отказов'!AE541)=1,'История отказов'!F541="ЭЦН"),537,""))</f>
        <v/>
      </c>
      <c r="DE538">
        <f>IF('История отказов'!AE541="","",IF(AND(COUNTIF($CV$2:$CV$3,'История отказов'!AE541)=0,COUNTIFS('История отказов'!$F$5:F541,"ЭВН",'История отказов'!$AE$5:AE541,'История отказов'!AE541)=1,'История отказов'!F541="ЭВН"),537,""))</f>
        <v/>
      </c>
      <c r="DF538">
        <f>IF('История отказов'!AE541="","",IF(AND(COUNTIF($CX$2:$CX$2,'История отказов'!AE541)=0,COUNTIFS('История отказов'!$F$5:F541,"ШВН",'История отказов'!$AE$5:AE541,'История отказов'!AE541)=1,'История отказов'!F541="ШВН"),537,""))</f>
        <v/>
      </c>
      <c r="DG538">
        <f>IF('История отказов'!AE541="","",IF(AND(COUNTIF($CW$2:$CW$2,'История отказов'!AE541)=0,COUNTIFS('История отказов'!$F$5:F541,"НПУ-ВД",'История отказов'!$AE$5:AE541,'История отказов'!AE541)=1,'История отказов'!F541="НПУ-ВД"),537,""))</f>
        <v/>
      </c>
      <c r="DH538">
        <f>IF('История отказов'!AE541="","",IF(AND(COUNTIF($CY$2:$CY$6,'История отказов'!AE541)=0,COUNTIF('История отказов'!$AE$5:AE541,'История отказов'!AE541)=1),537,""))</f>
        <v/>
      </c>
      <c r="DI538">
        <f>IF('История отказов'!AK541="","",IF(AND(COUNTIF($CL$2:$CL$3,'История отказов'!AK541)=0,COUNTIF('История отказов'!$AK$5:AK541,'История отказов'!AK541)=1),537,""))</f>
        <v/>
      </c>
      <c r="DJ538">
        <f>IF('История отказов'!AU541="","",IF(AND(COUNTIF($CP$2:$CP$3,'История отказов'!AU541)=0,COUNTIF('История отказов'!$AU$5:AU541,'История отказов'!AU541)=1),537,""))</f>
        <v/>
      </c>
      <c r="DK538">
        <f>IF('История отказов'!AY541="","",IF(AND(COUNTIF($CR$2:$CR$2,'История отказов'!AY541)=0,COUNTIF('История отказов'!$AY$5:AY541,'История отказов'!AY541)=1),537,""))</f>
        <v/>
      </c>
      <c r="DL538">
        <f>IF(DB538="","",IF(AND(COUNTIF($DA$2:$DA$47,DB538)=0,COUNTIF($DB$2:DB538,DB538)=1),537,""))</f>
        <v/>
      </c>
    </row>
    <row r="539">
      <c r="A539" s="74" t="n"/>
      <c r="B539" s="75" t="n"/>
      <c r="C539" s="76" t="n"/>
      <c r="J539" s="62" t="n"/>
      <c r="K539" s="62" t="n"/>
      <c r="L539" s="62" t="n"/>
      <c r="M539" s="62" t="n"/>
      <c r="N539" s="62" t="n"/>
      <c r="Q539" t="inlineStr">
        <is>
          <t>equip_hydro_size</t>
        </is>
      </c>
      <c r="R539" t="inlineStr">
        <is>
          <t>Модульная гидрозащита — 69 мм</t>
        </is>
      </c>
      <c r="S539" t="inlineStr">
        <is>
          <t>Каталожный пример; паспорт имеет приоритет</t>
        </is>
      </c>
      <c r="T539" t="inlineStr">
        <is>
          <t>Новомет — модульная гидрозащита</t>
        </is>
      </c>
      <c r="U539" t="inlineStr">
        <is>
          <t>https://www.novomet.ru/rus/products-and-services/artificial-lift/protectors/modular-protectors/</t>
        </is>
      </c>
      <c r="V539" t="inlineStr">
        <is>
          <t>ЭЦН/ЭВН; габарит, не полный шифр</t>
        </is>
      </c>
      <c r="DB539">
        <f>IF('История отказов'!AH542="","",'История отказов'!AH542)</f>
        <v/>
      </c>
      <c r="DC539">
        <f>IF('История отказов'!AE542="","",IF(AND(COUNTIF($CT$2:$CT$2,'История отказов'!AE542)=0,COUNTIFS('История отказов'!$F$5:F542,"ШГН",'История отказов'!$AE$5:AE542,'История отказов'!AE542)=1,'История отказов'!F542="ШГН"),538,""))</f>
        <v/>
      </c>
      <c r="DD539">
        <f>IF('История отказов'!AE542="","",IF(AND(COUNTIF($CU$2:$CU$3,'История отказов'!AE542)=0,COUNTIFS('История отказов'!$F$5:F542,"ЭЦН",'История отказов'!$AE$5:AE542,'История отказов'!AE542)=1,'История отказов'!F542="ЭЦН"),538,""))</f>
        <v/>
      </c>
      <c r="DE539">
        <f>IF('История отказов'!AE542="","",IF(AND(COUNTIF($CV$2:$CV$3,'История отказов'!AE542)=0,COUNTIFS('История отказов'!$F$5:F542,"ЭВН",'История отказов'!$AE$5:AE542,'История отказов'!AE542)=1,'История отказов'!F542="ЭВН"),538,""))</f>
        <v/>
      </c>
      <c r="DF539">
        <f>IF('История отказов'!AE542="","",IF(AND(COUNTIF($CX$2:$CX$2,'История отказов'!AE542)=0,COUNTIFS('История отказов'!$F$5:F542,"ШВН",'История отказов'!$AE$5:AE542,'История отказов'!AE542)=1,'История отказов'!F542="ШВН"),538,""))</f>
        <v/>
      </c>
      <c r="DG539">
        <f>IF('История отказов'!AE542="","",IF(AND(COUNTIF($CW$2:$CW$2,'История отказов'!AE542)=0,COUNTIFS('История отказов'!$F$5:F542,"НПУ-ВД",'История отказов'!$AE$5:AE542,'История отказов'!AE542)=1,'История отказов'!F542="НПУ-ВД"),538,""))</f>
        <v/>
      </c>
      <c r="DH539">
        <f>IF('История отказов'!AE542="","",IF(AND(COUNTIF($CY$2:$CY$6,'История отказов'!AE542)=0,COUNTIF('История отказов'!$AE$5:AE542,'История отказов'!AE542)=1),538,""))</f>
        <v/>
      </c>
      <c r="DI539">
        <f>IF('История отказов'!AK542="","",IF(AND(COUNTIF($CL$2:$CL$3,'История отказов'!AK542)=0,COUNTIF('История отказов'!$AK$5:AK542,'История отказов'!AK542)=1),538,""))</f>
        <v/>
      </c>
      <c r="DJ539">
        <f>IF('История отказов'!AU542="","",IF(AND(COUNTIF($CP$2:$CP$3,'История отказов'!AU542)=0,COUNTIF('История отказов'!$AU$5:AU542,'История отказов'!AU542)=1),538,""))</f>
        <v/>
      </c>
      <c r="DK539">
        <f>IF('История отказов'!AY542="","",IF(AND(COUNTIF($CR$2:$CR$2,'История отказов'!AY542)=0,COUNTIF('История отказов'!$AY$5:AY542,'История отказов'!AY542)=1),538,""))</f>
        <v/>
      </c>
      <c r="DL539">
        <f>IF(DB539="","",IF(AND(COUNTIF($DA$2:$DA$47,DB539)=0,COUNTIF($DB$2:DB539,DB539)=1),538,""))</f>
        <v/>
      </c>
    </row>
    <row r="540">
      <c r="A540" s="74" t="n"/>
      <c r="B540" s="75" t="n"/>
      <c r="C540" s="76" t="n"/>
      <c r="J540" s="62" t="n"/>
      <c r="K540" s="62" t="n"/>
      <c r="L540" s="62" t="n"/>
      <c r="M540" s="62" t="n"/>
      <c r="N540" s="62" t="n"/>
      <c r="Q540" t="inlineStr">
        <is>
          <t>equip_hydro_size</t>
        </is>
      </c>
      <c r="R540" t="inlineStr">
        <is>
          <t>Модульная гидрозащита — 81 мм</t>
        </is>
      </c>
      <c r="S540" t="inlineStr">
        <is>
          <t>Каталожный пример; паспорт имеет приоритет</t>
        </is>
      </c>
      <c r="T540" t="inlineStr">
        <is>
          <t>Новомет — модульная гидрозащита</t>
        </is>
      </c>
      <c r="U540" t="inlineStr">
        <is>
          <t>https://www.novomet.ru/rus/products-and-services/artificial-lift/protectors/modular-protectors/</t>
        </is>
      </c>
      <c r="V540" t="inlineStr">
        <is>
          <t>ЭЦН/ЭВН; габарит, не полный шифр</t>
        </is>
      </c>
      <c r="DB540">
        <f>IF('История отказов'!AH543="","",'История отказов'!AH543)</f>
        <v/>
      </c>
      <c r="DC540">
        <f>IF('История отказов'!AE543="","",IF(AND(COUNTIF($CT$2:$CT$2,'История отказов'!AE543)=0,COUNTIFS('История отказов'!$F$5:F543,"ШГН",'История отказов'!$AE$5:AE543,'История отказов'!AE543)=1,'История отказов'!F543="ШГН"),539,""))</f>
        <v/>
      </c>
      <c r="DD540">
        <f>IF('История отказов'!AE543="","",IF(AND(COUNTIF($CU$2:$CU$3,'История отказов'!AE543)=0,COUNTIFS('История отказов'!$F$5:F543,"ЭЦН",'История отказов'!$AE$5:AE543,'История отказов'!AE543)=1,'История отказов'!F543="ЭЦН"),539,""))</f>
        <v/>
      </c>
      <c r="DE540">
        <f>IF('История отказов'!AE543="","",IF(AND(COUNTIF($CV$2:$CV$3,'История отказов'!AE543)=0,COUNTIFS('История отказов'!$F$5:F543,"ЭВН",'История отказов'!$AE$5:AE543,'История отказов'!AE543)=1,'История отказов'!F543="ЭВН"),539,""))</f>
        <v/>
      </c>
      <c r="DF540">
        <f>IF('История отказов'!AE543="","",IF(AND(COUNTIF($CX$2:$CX$2,'История отказов'!AE543)=0,COUNTIFS('История отказов'!$F$5:F543,"ШВН",'История отказов'!$AE$5:AE543,'История отказов'!AE543)=1,'История отказов'!F543="ШВН"),539,""))</f>
        <v/>
      </c>
      <c r="DG540">
        <f>IF('История отказов'!AE543="","",IF(AND(COUNTIF($CW$2:$CW$2,'История отказов'!AE543)=0,COUNTIFS('История отказов'!$F$5:F543,"НПУ-ВД",'История отказов'!$AE$5:AE543,'История отказов'!AE543)=1,'История отказов'!F543="НПУ-ВД"),539,""))</f>
        <v/>
      </c>
      <c r="DH540">
        <f>IF('История отказов'!AE543="","",IF(AND(COUNTIF($CY$2:$CY$6,'История отказов'!AE543)=0,COUNTIF('История отказов'!$AE$5:AE543,'История отказов'!AE543)=1),539,""))</f>
        <v/>
      </c>
      <c r="DI540">
        <f>IF('История отказов'!AK543="","",IF(AND(COUNTIF($CL$2:$CL$3,'История отказов'!AK543)=0,COUNTIF('История отказов'!$AK$5:AK543,'История отказов'!AK543)=1),539,""))</f>
        <v/>
      </c>
      <c r="DJ540">
        <f>IF('История отказов'!AU543="","",IF(AND(COUNTIF($CP$2:$CP$3,'История отказов'!AU543)=0,COUNTIF('История отказов'!$AU$5:AU543,'История отказов'!AU543)=1),539,""))</f>
        <v/>
      </c>
      <c r="DK540">
        <f>IF('История отказов'!AY543="","",IF(AND(COUNTIF($CR$2:$CR$2,'История отказов'!AY543)=0,COUNTIF('История отказов'!$AY$5:AY543,'История отказов'!AY543)=1),539,""))</f>
        <v/>
      </c>
      <c r="DL540">
        <f>IF(DB540="","",IF(AND(COUNTIF($DA$2:$DA$47,DB540)=0,COUNTIF($DB$2:DB540,DB540)=1),539,""))</f>
        <v/>
      </c>
    </row>
    <row r="541">
      <c r="A541" s="74" t="n"/>
      <c r="B541" s="75" t="n"/>
      <c r="C541" s="76" t="n"/>
      <c r="J541" s="62" t="n"/>
      <c r="K541" s="62" t="n"/>
      <c r="L541" s="62" t="n"/>
      <c r="M541" s="62" t="n"/>
      <c r="N541" s="62" t="n"/>
      <c r="Q541" t="inlineStr">
        <is>
          <t>equip_hydro_size</t>
        </is>
      </c>
      <c r="R541" t="inlineStr">
        <is>
          <t>Модульная гидрозащита — 86 мм</t>
        </is>
      </c>
      <c r="S541" t="inlineStr">
        <is>
          <t>Каталожный пример; паспорт имеет приоритет</t>
        </is>
      </c>
      <c r="T541" t="inlineStr">
        <is>
          <t>Новомет — модульная гидрозащита</t>
        </is>
      </c>
      <c r="U541" t="inlineStr">
        <is>
          <t>https://www.novomet.ru/rus/products-and-services/artificial-lift/protectors/modular-protectors/</t>
        </is>
      </c>
      <c r="V541" t="inlineStr">
        <is>
          <t>ЭЦН/ЭВН; габарит, не полный шифр</t>
        </is>
      </c>
      <c r="DB541">
        <f>IF('История отказов'!AH544="","",'История отказов'!AH544)</f>
        <v/>
      </c>
      <c r="DC541">
        <f>IF('История отказов'!AE544="","",IF(AND(COUNTIF($CT$2:$CT$2,'История отказов'!AE544)=0,COUNTIFS('История отказов'!$F$5:F544,"ШГН",'История отказов'!$AE$5:AE544,'История отказов'!AE544)=1,'История отказов'!F544="ШГН"),540,""))</f>
        <v/>
      </c>
      <c r="DD541">
        <f>IF('История отказов'!AE544="","",IF(AND(COUNTIF($CU$2:$CU$3,'История отказов'!AE544)=0,COUNTIFS('История отказов'!$F$5:F544,"ЭЦН",'История отказов'!$AE$5:AE544,'История отказов'!AE544)=1,'История отказов'!F544="ЭЦН"),540,""))</f>
        <v/>
      </c>
      <c r="DE541">
        <f>IF('История отказов'!AE544="","",IF(AND(COUNTIF($CV$2:$CV$3,'История отказов'!AE544)=0,COUNTIFS('История отказов'!$F$5:F544,"ЭВН",'История отказов'!$AE$5:AE544,'История отказов'!AE544)=1,'История отказов'!F544="ЭВН"),540,""))</f>
        <v/>
      </c>
      <c r="DF541">
        <f>IF('История отказов'!AE544="","",IF(AND(COUNTIF($CX$2:$CX$2,'История отказов'!AE544)=0,COUNTIFS('История отказов'!$F$5:F544,"ШВН",'История отказов'!$AE$5:AE544,'История отказов'!AE544)=1,'История отказов'!F544="ШВН"),540,""))</f>
        <v/>
      </c>
      <c r="DG541">
        <f>IF('История отказов'!AE544="","",IF(AND(COUNTIF($CW$2:$CW$2,'История отказов'!AE544)=0,COUNTIFS('История отказов'!$F$5:F544,"НПУ-ВД",'История отказов'!$AE$5:AE544,'История отказов'!AE544)=1,'История отказов'!F544="НПУ-ВД"),540,""))</f>
        <v/>
      </c>
      <c r="DH541">
        <f>IF('История отказов'!AE544="","",IF(AND(COUNTIF($CY$2:$CY$6,'История отказов'!AE544)=0,COUNTIF('История отказов'!$AE$5:AE544,'История отказов'!AE544)=1),540,""))</f>
        <v/>
      </c>
      <c r="DI541">
        <f>IF('История отказов'!AK544="","",IF(AND(COUNTIF($CL$2:$CL$3,'История отказов'!AK544)=0,COUNTIF('История отказов'!$AK$5:AK544,'История отказов'!AK544)=1),540,""))</f>
        <v/>
      </c>
      <c r="DJ541">
        <f>IF('История отказов'!AU544="","",IF(AND(COUNTIF($CP$2:$CP$3,'История отказов'!AU544)=0,COUNTIF('История отказов'!$AU$5:AU544,'История отказов'!AU544)=1),540,""))</f>
        <v/>
      </c>
      <c r="DK541">
        <f>IF('История отказов'!AY544="","",IF(AND(COUNTIF($CR$2:$CR$2,'История отказов'!AY544)=0,COUNTIF('История отказов'!$AY$5:AY544,'История отказов'!AY544)=1),540,""))</f>
        <v/>
      </c>
      <c r="DL541">
        <f>IF(DB541="","",IF(AND(COUNTIF($DA$2:$DA$47,DB541)=0,COUNTIF($DB$2:DB541,DB541)=1),540,""))</f>
        <v/>
      </c>
    </row>
    <row r="542">
      <c r="A542" s="74" t="n"/>
      <c r="B542" s="75" t="n"/>
      <c r="C542" s="76" t="n"/>
      <c r="J542" s="62" t="n"/>
      <c r="K542" s="62" t="n"/>
      <c r="L542" s="62" t="n"/>
      <c r="M542" s="62" t="n"/>
      <c r="N542" s="62" t="n"/>
      <c r="Q542" t="inlineStr">
        <is>
          <t>equip_hydro_size</t>
        </is>
      </c>
      <c r="R542" t="inlineStr">
        <is>
          <t>Модульная гидрозащита — 92 мм</t>
        </is>
      </c>
      <c r="S542" t="inlineStr">
        <is>
          <t>Каталожный пример; паспорт имеет приоритет</t>
        </is>
      </c>
      <c r="T542" t="inlineStr">
        <is>
          <t>Новомет — модульная гидрозащита</t>
        </is>
      </c>
      <c r="U542" t="inlineStr">
        <is>
          <t>https://www.novomet.ru/rus/products-and-services/artificial-lift/protectors/modular-protectors/</t>
        </is>
      </c>
      <c r="V542" t="inlineStr">
        <is>
          <t>ЭЦН/ЭВН; габарит, не полный шифр</t>
        </is>
      </c>
      <c r="DB542">
        <f>IF('История отказов'!AH545="","",'История отказов'!AH545)</f>
        <v/>
      </c>
      <c r="DC542">
        <f>IF('История отказов'!AE545="","",IF(AND(COUNTIF($CT$2:$CT$2,'История отказов'!AE545)=0,COUNTIFS('История отказов'!$F$5:F545,"ШГН",'История отказов'!$AE$5:AE545,'История отказов'!AE545)=1,'История отказов'!F545="ШГН"),541,""))</f>
        <v/>
      </c>
      <c r="DD542">
        <f>IF('История отказов'!AE545="","",IF(AND(COUNTIF($CU$2:$CU$3,'История отказов'!AE545)=0,COUNTIFS('История отказов'!$F$5:F545,"ЭЦН",'История отказов'!$AE$5:AE545,'История отказов'!AE545)=1,'История отказов'!F545="ЭЦН"),541,""))</f>
        <v/>
      </c>
      <c r="DE542">
        <f>IF('История отказов'!AE545="","",IF(AND(COUNTIF($CV$2:$CV$3,'История отказов'!AE545)=0,COUNTIFS('История отказов'!$F$5:F545,"ЭВН",'История отказов'!$AE$5:AE545,'История отказов'!AE545)=1,'История отказов'!F545="ЭВН"),541,""))</f>
        <v/>
      </c>
      <c r="DF542">
        <f>IF('История отказов'!AE545="","",IF(AND(COUNTIF($CX$2:$CX$2,'История отказов'!AE545)=0,COUNTIFS('История отказов'!$F$5:F545,"ШВН",'История отказов'!$AE$5:AE545,'История отказов'!AE545)=1,'История отказов'!F545="ШВН"),541,""))</f>
        <v/>
      </c>
      <c r="DG542">
        <f>IF('История отказов'!AE545="","",IF(AND(COUNTIF($CW$2:$CW$2,'История отказов'!AE545)=0,COUNTIFS('История отказов'!$F$5:F545,"НПУ-ВД",'История отказов'!$AE$5:AE545,'История отказов'!AE545)=1,'История отказов'!F545="НПУ-ВД"),541,""))</f>
        <v/>
      </c>
      <c r="DH542">
        <f>IF('История отказов'!AE545="","",IF(AND(COUNTIF($CY$2:$CY$6,'История отказов'!AE545)=0,COUNTIF('История отказов'!$AE$5:AE545,'История отказов'!AE545)=1),541,""))</f>
        <v/>
      </c>
      <c r="DI542">
        <f>IF('История отказов'!AK545="","",IF(AND(COUNTIF($CL$2:$CL$3,'История отказов'!AK545)=0,COUNTIF('История отказов'!$AK$5:AK545,'История отказов'!AK545)=1),541,""))</f>
        <v/>
      </c>
      <c r="DJ542">
        <f>IF('История отказов'!AU545="","",IF(AND(COUNTIF($CP$2:$CP$3,'История отказов'!AU545)=0,COUNTIF('История отказов'!$AU$5:AU545,'История отказов'!AU545)=1),541,""))</f>
        <v/>
      </c>
      <c r="DK542">
        <f>IF('История отказов'!AY545="","",IF(AND(COUNTIF($CR$2:$CR$2,'История отказов'!AY545)=0,COUNTIF('История отказов'!$AY$5:AY545,'История отказов'!AY545)=1),541,""))</f>
        <v/>
      </c>
      <c r="DL542">
        <f>IF(DB542="","",IF(AND(COUNTIF($DA$2:$DA$47,DB542)=0,COUNTIF($DB$2:DB542,DB542)=1),541,""))</f>
        <v/>
      </c>
    </row>
    <row r="543">
      <c r="A543" s="74" t="n"/>
      <c r="B543" s="75" t="n"/>
      <c r="C543" s="76" t="n"/>
      <c r="J543" s="62" t="n"/>
      <c r="K543" s="62" t="n"/>
      <c r="L543" s="62" t="n"/>
      <c r="M543" s="62" t="n"/>
      <c r="N543" s="62" t="n"/>
      <c r="Q543" t="inlineStr">
        <is>
          <t>equip_hydro_size</t>
        </is>
      </c>
      <c r="R543" t="inlineStr">
        <is>
          <t>Модульная гидрозащита — 103 мм</t>
        </is>
      </c>
      <c r="S543" t="inlineStr">
        <is>
          <t>Каталожный пример; паспорт имеет приоритет</t>
        </is>
      </c>
      <c r="T543" t="inlineStr">
        <is>
          <t>Новомет — модульная гидрозащита</t>
        </is>
      </c>
      <c r="U543" t="inlineStr">
        <is>
          <t>https://www.novomet.ru/rus/products-and-services/artificial-lift/protectors/modular-protectors/</t>
        </is>
      </c>
      <c r="V543" t="inlineStr">
        <is>
          <t>ЭЦН/ЭВН; габарит, не полный шифр</t>
        </is>
      </c>
      <c r="DB543">
        <f>IF('История отказов'!AH546="","",'История отказов'!AH546)</f>
        <v/>
      </c>
      <c r="DC543">
        <f>IF('История отказов'!AE546="","",IF(AND(COUNTIF($CT$2:$CT$2,'История отказов'!AE546)=0,COUNTIFS('История отказов'!$F$5:F546,"ШГН",'История отказов'!$AE$5:AE546,'История отказов'!AE546)=1,'История отказов'!F546="ШГН"),542,""))</f>
        <v/>
      </c>
      <c r="DD543">
        <f>IF('История отказов'!AE546="","",IF(AND(COUNTIF($CU$2:$CU$3,'История отказов'!AE546)=0,COUNTIFS('История отказов'!$F$5:F546,"ЭЦН",'История отказов'!$AE$5:AE546,'История отказов'!AE546)=1,'История отказов'!F546="ЭЦН"),542,""))</f>
        <v/>
      </c>
      <c r="DE543">
        <f>IF('История отказов'!AE546="","",IF(AND(COUNTIF($CV$2:$CV$3,'История отказов'!AE546)=0,COUNTIFS('История отказов'!$F$5:F546,"ЭВН",'История отказов'!$AE$5:AE546,'История отказов'!AE546)=1,'История отказов'!F546="ЭВН"),542,""))</f>
        <v/>
      </c>
      <c r="DF543">
        <f>IF('История отказов'!AE546="","",IF(AND(COUNTIF($CX$2:$CX$2,'История отказов'!AE546)=0,COUNTIFS('История отказов'!$F$5:F546,"ШВН",'История отказов'!$AE$5:AE546,'История отказов'!AE546)=1,'История отказов'!F546="ШВН"),542,""))</f>
        <v/>
      </c>
      <c r="DG543">
        <f>IF('История отказов'!AE546="","",IF(AND(COUNTIF($CW$2:$CW$2,'История отказов'!AE546)=0,COUNTIFS('История отказов'!$F$5:F546,"НПУ-ВД",'История отказов'!$AE$5:AE546,'История отказов'!AE546)=1,'История отказов'!F546="НПУ-ВД"),542,""))</f>
        <v/>
      </c>
      <c r="DH543">
        <f>IF('История отказов'!AE546="","",IF(AND(COUNTIF($CY$2:$CY$6,'История отказов'!AE546)=0,COUNTIF('История отказов'!$AE$5:AE546,'История отказов'!AE546)=1),542,""))</f>
        <v/>
      </c>
      <c r="DI543">
        <f>IF('История отказов'!AK546="","",IF(AND(COUNTIF($CL$2:$CL$3,'История отказов'!AK546)=0,COUNTIF('История отказов'!$AK$5:AK546,'История отказов'!AK546)=1),542,""))</f>
        <v/>
      </c>
      <c r="DJ543">
        <f>IF('История отказов'!AU546="","",IF(AND(COUNTIF($CP$2:$CP$3,'История отказов'!AU546)=0,COUNTIF('История отказов'!$AU$5:AU546,'История отказов'!AU546)=1),542,""))</f>
        <v/>
      </c>
      <c r="DK543">
        <f>IF('История отказов'!AY546="","",IF(AND(COUNTIF($CR$2:$CR$2,'История отказов'!AY546)=0,COUNTIF('История отказов'!$AY$5:AY546,'История отказов'!AY546)=1),542,""))</f>
        <v/>
      </c>
      <c r="DL543">
        <f>IF(DB543="","",IF(AND(COUNTIF($DA$2:$DA$47,DB543)=0,COUNTIF($DB$2:DB543,DB543)=1),542,""))</f>
        <v/>
      </c>
    </row>
    <row r="544">
      <c r="A544" s="74" t="n"/>
      <c r="B544" s="75" t="n"/>
      <c r="C544" s="76" t="n"/>
      <c r="J544" s="62" t="n"/>
      <c r="K544" s="62" t="n"/>
      <c r="L544" s="62" t="n"/>
      <c r="M544" s="62" t="n"/>
      <c r="N544" s="62" t="n"/>
      <c r="Q544" t="inlineStr">
        <is>
          <t>equip_hydro_size</t>
        </is>
      </c>
      <c r="R544" t="inlineStr">
        <is>
          <t>Модульная гидрозащита — 114 мм</t>
        </is>
      </c>
      <c r="S544" t="inlineStr">
        <is>
          <t>Каталожный пример; паспорт имеет приоритет</t>
        </is>
      </c>
      <c r="T544" t="inlineStr">
        <is>
          <t>Новомет — модульная гидрозащита</t>
        </is>
      </c>
      <c r="U544" t="inlineStr">
        <is>
          <t>https://www.novomet.ru/rus/products-and-services/artificial-lift/protectors/modular-protectors/</t>
        </is>
      </c>
      <c r="V544" t="inlineStr">
        <is>
          <t>ЭЦН/ЭВН; габарит, не полный шифр</t>
        </is>
      </c>
      <c r="DB544">
        <f>IF('История отказов'!AH547="","",'История отказов'!AH547)</f>
        <v/>
      </c>
      <c r="DC544">
        <f>IF('История отказов'!AE547="","",IF(AND(COUNTIF($CT$2:$CT$2,'История отказов'!AE547)=0,COUNTIFS('История отказов'!$F$5:F547,"ШГН",'История отказов'!$AE$5:AE547,'История отказов'!AE547)=1,'История отказов'!F547="ШГН"),543,""))</f>
        <v/>
      </c>
      <c r="DD544">
        <f>IF('История отказов'!AE547="","",IF(AND(COUNTIF($CU$2:$CU$3,'История отказов'!AE547)=0,COUNTIFS('История отказов'!$F$5:F547,"ЭЦН",'История отказов'!$AE$5:AE547,'История отказов'!AE547)=1,'История отказов'!F547="ЭЦН"),543,""))</f>
        <v/>
      </c>
      <c r="DE544">
        <f>IF('История отказов'!AE547="","",IF(AND(COUNTIF($CV$2:$CV$3,'История отказов'!AE547)=0,COUNTIFS('История отказов'!$F$5:F547,"ЭВН",'История отказов'!$AE$5:AE547,'История отказов'!AE547)=1,'История отказов'!F547="ЭВН"),543,""))</f>
        <v/>
      </c>
      <c r="DF544">
        <f>IF('История отказов'!AE547="","",IF(AND(COUNTIF($CX$2:$CX$2,'История отказов'!AE547)=0,COUNTIFS('История отказов'!$F$5:F547,"ШВН",'История отказов'!$AE$5:AE547,'История отказов'!AE547)=1,'История отказов'!F547="ШВН"),543,""))</f>
        <v/>
      </c>
      <c r="DG544">
        <f>IF('История отказов'!AE547="","",IF(AND(COUNTIF($CW$2:$CW$2,'История отказов'!AE547)=0,COUNTIFS('История отказов'!$F$5:F547,"НПУ-ВД",'История отказов'!$AE$5:AE547,'История отказов'!AE547)=1,'История отказов'!F547="НПУ-ВД"),543,""))</f>
        <v/>
      </c>
      <c r="DH544">
        <f>IF('История отказов'!AE547="","",IF(AND(COUNTIF($CY$2:$CY$6,'История отказов'!AE547)=0,COUNTIF('История отказов'!$AE$5:AE547,'История отказов'!AE547)=1),543,""))</f>
        <v/>
      </c>
      <c r="DI544">
        <f>IF('История отказов'!AK547="","",IF(AND(COUNTIF($CL$2:$CL$3,'История отказов'!AK547)=0,COUNTIF('История отказов'!$AK$5:AK547,'История отказов'!AK547)=1),543,""))</f>
        <v/>
      </c>
      <c r="DJ544">
        <f>IF('История отказов'!AU547="","",IF(AND(COUNTIF($CP$2:$CP$3,'История отказов'!AU547)=0,COUNTIF('История отказов'!$AU$5:AU547,'История отказов'!AU547)=1),543,""))</f>
        <v/>
      </c>
      <c r="DK544">
        <f>IF('История отказов'!AY547="","",IF(AND(COUNTIF($CR$2:$CR$2,'История отказов'!AY547)=0,COUNTIF('История отказов'!$AY$5:AY547,'История отказов'!AY547)=1),543,""))</f>
        <v/>
      </c>
      <c r="DL544">
        <f>IF(DB544="","",IF(AND(COUNTIF($DA$2:$DA$47,DB544)=0,COUNTIF($DB$2:DB544,DB544)=1),543,""))</f>
        <v/>
      </c>
    </row>
    <row r="545">
      <c r="A545" s="74" t="n"/>
      <c r="B545" s="75" t="n"/>
      <c r="C545" s="76" t="n"/>
      <c r="J545" s="62" t="n"/>
      <c r="K545" s="62" t="n"/>
      <c r="L545" s="62" t="n"/>
      <c r="M545" s="62" t="n"/>
      <c r="N545" s="62" t="n"/>
      <c r="Q545" t="inlineStr">
        <is>
          <t>equip_hydro_size</t>
        </is>
      </c>
      <c r="R545" t="inlineStr">
        <is>
          <t>Модульная гидрозащита — 136 мм</t>
        </is>
      </c>
      <c r="S545" t="inlineStr">
        <is>
          <t>Каталожный пример; паспорт имеет приоритет</t>
        </is>
      </c>
      <c r="T545" t="inlineStr">
        <is>
          <t>Новомет — модульная гидрозащита</t>
        </is>
      </c>
      <c r="U545" t="inlineStr">
        <is>
          <t>https://www.novomet.ru/rus/products-and-services/artificial-lift/protectors/modular-protectors/</t>
        </is>
      </c>
      <c r="V545" t="inlineStr">
        <is>
          <t>ЭЦН/ЭВН; габарит, не полный шифр</t>
        </is>
      </c>
      <c r="DB545">
        <f>IF('История отказов'!AH548="","",'История отказов'!AH548)</f>
        <v/>
      </c>
      <c r="DC545">
        <f>IF('История отказов'!AE548="","",IF(AND(COUNTIF($CT$2:$CT$2,'История отказов'!AE548)=0,COUNTIFS('История отказов'!$F$5:F548,"ШГН",'История отказов'!$AE$5:AE548,'История отказов'!AE548)=1,'История отказов'!F548="ШГН"),544,""))</f>
        <v/>
      </c>
      <c r="DD545">
        <f>IF('История отказов'!AE548="","",IF(AND(COUNTIF($CU$2:$CU$3,'История отказов'!AE548)=0,COUNTIFS('История отказов'!$F$5:F548,"ЭЦН",'История отказов'!$AE$5:AE548,'История отказов'!AE548)=1,'История отказов'!F548="ЭЦН"),544,""))</f>
        <v/>
      </c>
      <c r="DE545">
        <f>IF('История отказов'!AE548="","",IF(AND(COUNTIF($CV$2:$CV$3,'История отказов'!AE548)=0,COUNTIFS('История отказов'!$F$5:F548,"ЭВН",'История отказов'!$AE$5:AE548,'История отказов'!AE548)=1,'История отказов'!F548="ЭВН"),544,""))</f>
        <v/>
      </c>
      <c r="DF545">
        <f>IF('История отказов'!AE548="","",IF(AND(COUNTIF($CX$2:$CX$2,'История отказов'!AE548)=0,COUNTIFS('История отказов'!$F$5:F548,"ШВН",'История отказов'!$AE$5:AE548,'История отказов'!AE548)=1,'История отказов'!F548="ШВН"),544,""))</f>
        <v/>
      </c>
      <c r="DG545">
        <f>IF('История отказов'!AE548="","",IF(AND(COUNTIF($CW$2:$CW$2,'История отказов'!AE548)=0,COUNTIFS('История отказов'!$F$5:F548,"НПУ-ВД",'История отказов'!$AE$5:AE548,'История отказов'!AE548)=1,'История отказов'!F548="НПУ-ВД"),544,""))</f>
        <v/>
      </c>
      <c r="DH545">
        <f>IF('История отказов'!AE548="","",IF(AND(COUNTIF($CY$2:$CY$6,'История отказов'!AE548)=0,COUNTIF('История отказов'!$AE$5:AE548,'История отказов'!AE548)=1),544,""))</f>
        <v/>
      </c>
      <c r="DI545">
        <f>IF('История отказов'!AK548="","",IF(AND(COUNTIF($CL$2:$CL$3,'История отказов'!AK548)=0,COUNTIF('История отказов'!$AK$5:AK548,'История отказов'!AK548)=1),544,""))</f>
        <v/>
      </c>
      <c r="DJ545">
        <f>IF('История отказов'!AU548="","",IF(AND(COUNTIF($CP$2:$CP$3,'История отказов'!AU548)=0,COUNTIF('История отказов'!$AU$5:AU548,'История отказов'!AU548)=1),544,""))</f>
        <v/>
      </c>
      <c r="DK545">
        <f>IF('История отказов'!AY548="","",IF(AND(COUNTIF($CR$2:$CR$2,'История отказов'!AY548)=0,COUNTIF('История отказов'!$AY$5:AY548,'История отказов'!AY548)=1),544,""))</f>
        <v/>
      </c>
      <c r="DL545">
        <f>IF(DB545="","",IF(AND(COUNTIF($DA$2:$DA$47,DB545)=0,COUNTIF($DB$2:DB545,DB545)=1),544,""))</f>
        <v/>
      </c>
    </row>
    <row r="546">
      <c r="A546" s="74" t="n"/>
      <c r="B546" s="75" t="n"/>
      <c r="C546" s="76" t="n"/>
      <c r="J546" s="62" t="n"/>
      <c r="K546" s="62" t="n"/>
      <c r="L546" s="62" t="n"/>
      <c r="M546" s="62" t="n"/>
      <c r="N546" s="62" t="n"/>
      <c r="Q546" t="inlineStr">
        <is>
          <t>equip_hydro_size</t>
        </is>
      </c>
      <c r="R546" t="inlineStr">
        <is>
          <t>Модульная гидрозащита — 172 мм</t>
        </is>
      </c>
      <c r="S546" t="inlineStr">
        <is>
          <t>Каталожный пример; паспорт имеет приоритет</t>
        </is>
      </c>
      <c r="T546" t="inlineStr">
        <is>
          <t>Новомет — модульная гидрозащита</t>
        </is>
      </c>
      <c r="U546" t="inlineStr">
        <is>
          <t>https://www.novomet.ru/rus/products-and-services/artificial-lift/protectors/modular-protectors/</t>
        </is>
      </c>
      <c r="V546" t="inlineStr">
        <is>
          <t>ЭЦН/ЭВН; габарит, не полный шифр</t>
        </is>
      </c>
      <c r="DB546">
        <f>IF('История отказов'!AH549="","",'История отказов'!AH549)</f>
        <v/>
      </c>
      <c r="DC546">
        <f>IF('История отказов'!AE549="","",IF(AND(COUNTIF($CT$2:$CT$2,'История отказов'!AE549)=0,COUNTIFS('История отказов'!$F$5:F549,"ШГН",'История отказов'!$AE$5:AE549,'История отказов'!AE549)=1,'История отказов'!F549="ШГН"),545,""))</f>
        <v/>
      </c>
      <c r="DD546">
        <f>IF('История отказов'!AE549="","",IF(AND(COUNTIF($CU$2:$CU$3,'История отказов'!AE549)=0,COUNTIFS('История отказов'!$F$5:F549,"ЭЦН",'История отказов'!$AE$5:AE549,'История отказов'!AE549)=1,'История отказов'!F549="ЭЦН"),545,""))</f>
        <v/>
      </c>
      <c r="DE546">
        <f>IF('История отказов'!AE549="","",IF(AND(COUNTIF($CV$2:$CV$3,'История отказов'!AE549)=0,COUNTIFS('История отказов'!$F$5:F549,"ЭВН",'История отказов'!$AE$5:AE549,'История отказов'!AE549)=1,'История отказов'!F549="ЭВН"),545,""))</f>
        <v/>
      </c>
      <c r="DF546">
        <f>IF('История отказов'!AE549="","",IF(AND(COUNTIF($CX$2:$CX$2,'История отказов'!AE549)=0,COUNTIFS('История отказов'!$F$5:F549,"ШВН",'История отказов'!$AE$5:AE549,'История отказов'!AE549)=1,'История отказов'!F549="ШВН"),545,""))</f>
        <v/>
      </c>
      <c r="DG546">
        <f>IF('История отказов'!AE549="","",IF(AND(COUNTIF($CW$2:$CW$2,'История отказов'!AE549)=0,COUNTIFS('История отказов'!$F$5:F549,"НПУ-ВД",'История отказов'!$AE$5:AE549,'История отказов'!AE549)=1,'История отказов'!F549="НПУ-ВД"),545,""))</f>
        <v/>
      </c>
      <c r="DH546">
        <f>IF('История отказов'!AE549="","",IF(AND(COUNTIF($CY$2:$CY$6,'История отказов'!AE549)=0,COUNTIF('История отказов'!$AE$5:AE549,'История отказов'!AE549)=1),545,""))</f>
        <v/>
      </c>
      <c r="DI546">
        <f>IF('История отказов'!AK549="","",IF(AND(COUNTIF($CL$2:$CL$3,'История отказов'!AK549)=0,COUNTIF('История отказов'!$AK$5:AK549,'История отказов'!AK549)=1),545,""))</f>
        <v/>
      </c>
      <c r="DJ546">
        <f>IF('История отказов'!AU549="","",IF(AND(COUNTIF($CP$2:$CP$3,'История отказов'!AU549)=0,COUNTIF('История отказов'!$AU$5:AU549,'История отказов'!AU549)=1),545,""))</f>
        <v/>
      </c>
      <c r="DK546">
        <f>IF('История отказов'!AY549="","",IF(AND(COUNTIF($CR$2:$CR$2,'История отказов'!AY549)=0,COUNTIF('История отказов'!$AY$5:AY549,'История отказов'!AY549)=1),545,""))</f>
        <v/>
      </c>
      <c r="DL546">
        <f>IF(DB546="","",IF(AND(COUNTIF($DA$2:$DA$47,DB546)=0,COUNTIF($DB$2:DB546,DB546)=1),545,""))</f>
        <v/>
      </c>
    </row>
    <row r="547">
      <c r="A547" s="74" t="n"/>
      <c r="B547" s="75" t="n"/>
      <c r="C547" s="76" t="n"/>
      <c r="J547" s="62" t="n"/>
      <c r="K547" s="62" t="n"/>
      <c r="L547" s="62" t="n"/>
      <c r="M547" s="62" t="n"/>
      <c r="N547" s="62" t="n"/>
      <c r="Q547" t="inlineStr">
        <is>
          <t>equip_tms_maker</t>
        </is>
      </c>
      <c r="R547" t="inlineStr">
        <is>
          <t>Новомет</t>
        </is>
      </c>
      <c r="S547" t="inlineStr">
        <is>
          <t>Каталожный пример; паспорт имеет приоритет</t>
        </is>
      </c>
      <c r="T547" t="inlineStr">
        <is>
          <t>Новомет — системы телеметрии</t>
        </is>
      </c>
      <c r="U547" t="inlineStr">
        <is>
          <t>https://www.novomet.ru/pdf/ngv4-2012-khoroshev.pdf</t>
        </is>
      </c>
      <c r="V547" t="inlineStr">
        <is>
          <t>ЭЦН/ЭВН</t>
        </is>
      </c>
      <c r="DB547">
        <f>IF('История отказов'!AH550="","",'История отказов'!AH550)</f>
        <v/>
      </c>
      <c r="DC547">
        <f>IF('История отказов'!AE550="","",IF(AND(COUNTIF($CT$2:$CT$2,'История отказов'!AE550)=0,COUNTIFS('История отказов'!$F$5:F550,"ШГН",'История отказов'!$AE$5:AE550,'История отказов'!AE550)=1,'История отказов'!F550="ШГН"),546,""))</f>
        <v/>
      </c>
      <c r="DD547">
        <f>IF('История отказов'!AE550="","",IF(AND(COUNTIF($CU$2:$CU$3,'История отказов'!AE550)=0,COUNTIFS('История отказов'!$F$5:F550,"ЭЦН",'История отказов'!$AE$5:AE550,'История отказов'!AE550)=1,'История отказов'!F550="ЭЦН"),546,""))</f>
        <v/>
      </c>
      <c r="DE547">
        <f>IF('История отказов'!AE550="","",IF(AND(COUNTIF($CV$2:$CV$3,'История отказов'!AE550)=0,COUNTIFS('История отказов'!$F$5:F550,"ЭВН",'История отказов'!$AE$5:AE550,'История отказов'!AE550)=1,'История отказов'!F550="ЭВН"),546,""))</f>
        <v/>
      </c>
      <c r="DF547">
        <f>IF('История отказов'!AE550="","",IF(AND(COUNTIF($CX$2:$CX$2,'История отказов'!AE550)=0,COUNTIFS('История отказов'!$F$5:F550,"ШВН",'История отказов'!$AE$5:AE550,'История отказов'!AE550)=1,'История отказов'!F550="ШВН"),546,""))</f>
        <v/>
      </c>
      <c r="DG547">
        <f>IF('История отказов'!AE550="","",IF(AND(COUNTIF($CW$2:$CW$2,'История отказов'!AE550)=0,COUNTIFS('История отказов'!$F$5:F550,"НПУ-ВД",'История отказов'!$AE$5:AE550,'История отказов'!AE550)=1,'История отказов'!F550="НПУ-ВД"),546,""))</f>
        <v/>
      </c>
      <c r="DH547">
        <f>IF('История отказов'!AE550="","",IF(AND(COUNTIF($CY$2:$CY$6,'История отказов'!AE550)=0,COUNTIF('История отказов'!$AE$5:AE550,'История отказов'!AE550)=1),546,""))</f>
        <v/>
      </c>
      <c r="DI547">
        <f>IF('История отказов'!AK550="","",IF(AND(COUNTIF($CL$2:$CL$3,'История отказов'!AK550)=0,COUNTIF('История отказов'!$AK$5:AK550,'История отказов'!AK550)=1),546,""))</f>
        <v/>
      </c>
      <c r="DJ547">
        <f>IF('История отказов'!AU550="","",IF(AND(COUNTIF($CP$2:$CP$3,'История отказов'!AU550)=0,COUNTIF('История отказов'!$AU$5:AU550,'История отказов'!AU550)=1),546,""))</f>
        <v/>
      </c>
      <c r="DK547">
        <f>IF('История отказов'!AY550="","",IF(AND(COUNTIF($CR$2:$CR$2,'История отказов'!AY550)=0,COUNTIF('История отказов'!$AY$5:AY550,'История отказов'!AY550)=1),546,""))</f>
        <v/>
      </c>
      <c r="DL547">
        <f>IF(DB547="","",IF(AND(COUNTIF($DA$2:$DA$47,DB547)=0,COUNTIF($DB$2:DB547,DB547)=1),546,""))</f>
        <v/>
      </c>
    </row>
    <row r="548">
      <c r="A548" s="74" t="n"/>
      <c r="B548" s="75" t="n"/>
      <c r="C548" s="76" t="n"/>
      <c r="J548" s="62" t="n"/>
      <c r="K548" s="62" t="n"/>
      <c r="L548" s="62" t="n"/>
      <c r="M548" s="62" t="n"/>
      <c r="N548" s="62" t="n"/>
      <c r="Q548" t="inlineStr">
        <is>
          <t>equip_tms_size</t>
        </is>
      </c>
      <c r="R548" t="inlineStr">
        <is>
          <t>ТМС-Новомет</t>
        </is>
      </c>
      <c r="S548" t="inlineStr">
        <is>
          <t>Каталожный пример; паспорт имеет приоритет</t>
        </is>
      </c>
      <c r="T548" t="inlineStr">
        <is>
          <t>Новомет — модели ТМС</t>
        </is>
      </c>
      <c r="U548" t="inlineStr">
        <is>
          <t>https://www.novomet.ru/assets/files/certificates2017/%D0%A1%D0%B5%D1%80%D1%82%D0%B8%D1%84%D0%B8%D0%BA%D0%B0%D1%82%D1%8B%20%D0%94%D0%B5%D0%BA%D0%BB%D0%B0%D1%80%D0%B0%D1%86%D0%B8%D0%B8%20%D0%95%D0%90%D0%A1%20%28%D0%A1%D1%82%D1%80%D0%B0%D0%BD%D1%8B%20%D0%95%D0%90%D0%AD%D0%A1%29/%D0%A1%D0%B8%D1%81%D1%82%D0%B5%D0%BC%D1%8B%20%D1%82%D0%B5%D0%BB%D0%B5%D0%BC%D0%B5%D1%82%D1%80%D0%B8%D1%87%D0%B5%D1%81%D0%BA%D0%B8%D0%B5%20%28%D0%A2%D0%9C%D0%A1%29/%D0%94%D0%B5%D0%BA%D0%BB%D0%B0%D1%80%D0%B0%D1%86%D0%B8%D1%8F%20%D0%A2%D0%9C%D0%A1%20%D0%95%D0%90%D0%AD%D0%A1%20%E2%84%96%20RU%20%D0%94-RU.%D0%90%D0%9B16.%D0%92.79668.PDF</t>
        </is>
      </c>
      <c r="V548" t="inlineStr">
        <is>
          <t>ЭЦН/ЭВН; модель</t>
        </is>
      </c>
      <c r="DB548">
        <f>IF('История отказов'!AH551="","",'История отказов'!AH551)</f>
        <v/>
      </c>
      <c r="DC548">
        <f>IF('История отказов'!AE551="","",IF(AND(COUNTIF($CT$2:$CT$2,'История отказов'!AE551)=0,COUNTIFS('История отказов'!$F$5:F551,"ШГН",'История отказов'!$AE$5:AE551,'История отказов'!AE551)=1,'История отказов'!F551="ШГН"),547,""))</f>
        <v/>
      </c>
      <c r="DD548">
        <f>IF('История отказов'!AE551="","",IF(AND(COUNTIF($CU$2:$CU$3,'История отказов'!AE551)=0,COUNTIFS('История отказов'!$F$5:F551,"ЭЦН",'История отказов'!$AE$5:AE551,'История отказов'!AE551)=1,'История отказов'!F551="ЭЦН"),547,""))</f>
        <v/>
      </c>
      <c r="DE548">
        <f>IF('История отказов'!AE551="","",IF(AND(COUNTIF($CV$2:$CV$3,'История отказов'!AE551)=0,COUNTIFS('История отказов'!$F$5:F551,"ЭВН",'История отказов'!$AE$5:AE551,'История отказов'!AE551)=1,'История отказов'!F551="ЭВН"),547,""))</f>
        <v/>
      </c>
      <c r="DF548">
        <f>IF('История отказов'!AE551="","",IF(AND(COUNTIF($CX$2:$CX$2,'История отказов'!AE551)=0,COUNTIFS('История отказов'!$F$5:F551,"ШВН",'История отказов'!$AE$5:AE551,'История отказов'!AE551)=1,'История отказов'!F551="ШВН"),547,""))</f>
        <v/>
      </c>
      <c r="DG548">
        <f>IF('История отказов'!AE551="","",IF(AND(COUNTIF($CW$2:$CW$2,'История отказов'!AE551)=0,COUNTIFS('История отказов'!$F$5:F551,"НПУ-ВД",'История отказов'!$AE$5:AE551,'История отказов'!AE551)=1,'История отказов'!F551="НПУ-ВД"),547,""))</f>
        <v/>
      </c>
      <c r="DH548">
        <f>IF('История отказов'!AE551="","",IF(AND(COUNTIF($CY$2:$CY$6,'История отказов'!AE551)=0,COUNTIF('История отказов'!$AE$5:AE551,'История отказов'!AE551)=1),547,""))</f>
        <v/>
      </c>
      <c r="DI548">
        <f>IF('История отказов'!AK551="","",IF(AND(COUNTIF($CL$2:$CL$3,'История отказов'!AK551)=0,COUNTIF('История отказов'!$AK$5:AK551,'История отказов'!AK551)=1),547,""))</f>
        <v/>
      </c>
      <c r="DJ548">
        <f>IF('История отказов'!AU551="","",IF(AND(COUNTIF($CP$2:$CP$3,'История отказов'!AU551)=0,COUNTIF('История отказов'!$AU$5:AU551,'История отказов'!AU551)=1),547,""))</f>
        <v/>
      </c>
      <c r="DK548">
        <f>IF('История отказов'!AY551="","",IF(AND(COUNTIF($CR$2:$CR$2,'История отказов'!AY551)=0,COUNTIF('История отказов'!$AY$5:AY551,'История отказов'!AY551)=1),547,""))</f>
        <v/>
      </c>
      <c r="DL548">
        <f>IF(DB548="","",IF(AND(COUNTIF($DA$2:$DA$47,DB548)=0,COUNTIF($DB$2:DB548,DB548)=1),547,""))</f>
        <v/>
      </c>
    </row>
    <row r="549">
      <c r="A549" s="74" t="n"/>
      <c r="B549" s="75" t="n"/>
      <c r="C549" s="76" t="n"/>
      <c r="J549" s="62" t="n"/>
      <c r="K549" s="62" t="n"/>
      <c r="L549" s="62" t="n"/>
      <c r="M549" s="62" t="n"/>
      <c r="N549" s="62" t="n"/>
      <c r="Q549" t="inlineStr">
        <is>
          <t>equip_tms_size</t>
        </is>
      </c>
      <c r="R549" t="inlineStr">
        <is>
          <t>ТМСВ-Новомет</t>
        </is>
      </c>
      <c r="S549" t="inlineStr">
        <is>
          <t>Каталожный пример; паспорт имеет приоритет</t>
        </is>
      </c>
      <c r="T549" t="inlineStr">
        <is>
          <t>Новомет — модели ТМС</t>
        </is>
      </c>
      <c r="U549" t="inlineStr">
        <is>
          <t>https://www.novomet.ru/assets/files/certificates2017/%D0%A1%D0%B5%D1%80%D1%82%D0%B8%D1%84%D0%B8%D0%BA%D0%B0%D1%82%D1%8B%20%D0%94%D0%B5%D0%BA%D0%BB%D0%B0%D1%80%D0%B0%D1%86%D0%B8%D0%B8%20%D0%95%D0%90%D0%A1%20%28%D0%A1%D1%82%D1%80%D0%B0%D0%BD%D1%8B%20%D0%95%D0%90%D0%AD%D0%A1%29/%D0%A1%D0%B8%D1%81%D1%82%D0%B5%D0%BC%D1%8B%20%D1%82%D0%B5%D0%BB%D0%B5%D0%BC%D0%B5%D1%82%D1%80%D0%B8%D1%87%D0%B5%D1%81%D0%BA%D0%B8%D0%B5%20%28%D0%A2%D0%9C%D0%A1%29/%D0%94%D0%B5%D0%BA%D0%BB%D0%B0%D1%80%D0%B0%D1%86%D0%B8%D1%8F%20%D0%A2%D0%9C%D0%A1%20%D0%95%D0%90%D0%AD%D0%A1%20%E2%84%96%20RU%20%D0%94-RU.%D0%90%D0%9B16.%D0%92.79668.PDF</t>
        </is>
      </c>
      <c r="V549" t="inlineStr">
        <is>
          <t>ЭЦН/ЭВН; модель</t>
        </is>
      </c>
      <c r="DB549">
        <f>IF('История отказов'!AH552="","",'История отказов'!AH552)</f>
        <v/>
      </c>
      <c r="DC549">
        <f>IF('История отказов'!AE552="","",IF(AND(COUNTIF($CT$2:$CT$2,'История отказов'!AE552)=0,COUNTIFS('История отказов'!$F$5:F552,"ШГН",'История отказов'!$AE$5:AE552,'История отказов'!AE552)=1,'История отказов'!F552="ШГН"),548,""))</f>
        <v/>
      </c>
      <c r="DD549">
        <f>IF('История отказов'!AE552="","",IF(AND(COUNTIF($CU$2:$CU$3,'История отказов'!AE552)=0,COUNTIFS('История отказов'!$F$5:F552,"ЭЦН",'История отказов'!$AE$5:AE552,'История отказов'!AE552)=1,'История отказов'!F552="ЭЦН"),548,""))</f>
        <v/>
      </c>
      <c r="DE549">
        <f>IF('История отказов'!AE552="","",IF(AND(COUNTIF($CV$2:$CV$3,'История отказов'!AE552)=0,COUNTIFS('История отказов'!$F$5:F552,"ЭВН",'История отказов'!$AE$5:AE552,'История отказов'!AE552)=1,'История отказов'!F552="ЭВН"),548,""))</f>
        <v/>
      </c>
      <c r="DF549">
        <f>IF('История отказов'!AE552="","",IF(AND(COUNTIF($CX$2:$CX$2,'История отказов'!AE552)=0,COUNTIFS('История отказов'!$F$5:F552,"ШВН",'История отказов'!$AE$5:AE552,'История отказов'!AE552)=1,'История отказов'!F552="ШВН"),548,""))</f>
        <v/>
      </c>
      <c r="DG549">
        <f>IF('История отказов'!AE552="","",IF(AND(COUNTIF($CW$2:$CW$2,'История отказов'!AE552)=0,COUNTIFS('История отказов'!$F$5:F552,"НПУ-ВД",'История отказов'!$AE$5:AE552,'История отказов'!AE552)=1,'История отказов'!F552="НПУ-ВД"),548,""))</f>
        <v/>
      </c>
      <c r="DH549">
        <f>IF('История отказов'!AE552="","",IF(AND(COUNTIF($CY$2:$CY$6,'История отказов'!AE552)=0,COUNTIF('История отказов'!$AE$5:AE552,'История отказов'!AE552)=1),548,""))</f>
        <v/>
      </c>
      <c r="DI549">
        <f>IF('История отказов'!AK552="","",IF(AND(COUNTIF($CL$2:$CL$3,'История отказов'!AK552)=0,COUNTIF('История отказов'!$AK$5:AK552,'История отказов'!AK552)=1),548,""))</f>
        <v/>
      </c>
      <c r="DJ549">
        <f>IF('История отказов'!AU552="","",IF(AND(COUNTIF($CP$2:$CP$3,'История отказов'!AU552)=0,COUNTIF('История отказов'!$AU$5:AU552,'История отказов'!AU552)=1),548,""))</f>
        <v/>
      </c>
      <c r="DK549">
        <f>IF('История отказов'!AY552="","",IF(AND(COUNTIF($CR$2:$CR$2,'История отказов'!AY552)=0,COUNTIF('История отказов'!$AY$5:AY552,'История отказов'!AY552)=1),548,""))</f>
        <v/>
      </c>
      <c r="DL549">
        <f>IF(DB549="","",IF(AND(COUNTIF($DA$2:$DA$47,DB549)=0,COUNTIF($DB$2:DB549,DB549)=1),548,""))</f>
        <v/>
      </c>
    </row>
    <row r="550">
      <c r="A550" s="74" t="n"/>
      <c r="B550" s="75" t="n"/>
      <c r="C550" s="76" t="n"/>
      <c r="J550" s="62" t="n"/>
      <c r="K550" s="62" t="n"/>
      <c r="L550" s="62" t="n"/>
      <c r="M550" s="62" t="n"/>
      <c r="N550" s="62" t="n"/>
      <c r="Q550" t="inlineStr">
        <is>
          <t>equip_tms_size</t>
        </is>
      </c>
      <c r="R550" t="inlineStr">
        <is>
          <t>ТМСР-Новомет</t>
        </is>
      </c>
      <c r="S550" t="inlineStr">
        <is>
          <t>Каталожный пример; паспорт имеет приоритет</t>
        </is>
      </c>
      <c r="T550" t="inlineStr">
        <is>
          <t>Новомет — модели ТМС</t>
        </is>
      </c>
      <c r="U550" t="inlineStr">
        <is>
          <t>https://www.novomet.ru/assets/files/certificates2017/%D0%A1%D0%B5%D1%80%D1%82%D0%B8%D1%84%D0%B8%D0%BA%D0%B0%D1%82%D1%8B%20%D0%94%D0%B5%D0%BA%D0%BB%D0%B0%D1%80%D0%B0%D1%86%D0%B8%D0%B8%20%D0%95%D0%90%D0%A1%20%28%D0%A1%D1%82%D1%80%D0%B0%D0%BD%D1%8B%20%D0%95%D0%90%D0%AD%D0%A1%29/%D0%A1%D0%B8%D1%81%D1%82%D0%B5%D0%BC%D1%8B%20%D1%82%D0%B5%D0%BB%D0%B5%D0%BC%D0%B5%D1%82%D1%80%D0%B8%D1%87%D0%B5%D1%81%D0%BA%D0%B8%D0%B5%20%28%D0%A2%D0%9C%D0%A1%29/%D0%94%D0%B5%D0%BA%D0%BB%D0%B0%D1%80%D0%B0%D1%86%D0%B8%D1%8F%20%D0%A2%D0%9C%D0%A1%20%D0%95%D0%90%D0%AD%D0%A1%20%E2%84%96%20RU%20%D0%94-RU.%D0%90%D0%9B16.%D0%92.79668.PDF</t>
        </is>
      </c>
      <c r="V550" t="inlineStr">
        <is>
          <t>ЭЦН/ЭВН; модель</t>
        </is>
      </c>
      <c r="DB550">
        <f>IF('История отказов'!AH553="","",'История отказов'!AH553)</f>
        <v/>
      </c>
      <c r="DC550">
        <f>IF('История отказов'!AE553="","",IF(AND(COUNTIF($CT$2:$CT$2,'История отказов'!AE553)=0,COUNTIFS('История отказов'!$F$5:F553,"ШГН",'История отказов'!$AE$5:AE553,'История отказов'!AE553)=1,'История отказов'!F553="ШГН"),549,""))</f>
        <v/>
      </c>
      <c r="DD550">
        <f>IF('История отказов'!AE553="","",IF(AND(COUNTIF($CU$2:$CU$3,'История отказов'!AE553)=0,COUNTIFS('История отказов'!$F$5:F553,"ЭЦН",'История отказов'!$AE$5:AE553,'История отказов'!AE553)=1,'История отказов'!F553="ЭЦН"),549,""))</f>
        <v/>
      </c>
      <c r="DE550">
        <f>IF('История отказов'!AE553="","",IF(AND(COUNTIF($CV$2:$CV$3,'История отказов'!AE553)=0,COUNTIFS('История отказов'!$F$5:F553,"ЭВН",'История отказов'!$AE$5:AE553,'История отказов'!AE553)=1,'История отказов'!F553="ЭВН"),549,""))</f>
        <v/>
      </c>
      <c r="DF550">
        <f>IF('История отказов'!AE553="","",IF(AND(COUNTIF($CX$2:$CX$2,'История отказов'!AE553)=0,COUNTIFS('История отказов'!$F$5:F553,"ШВН",'История отказов'!$AE$5:AE553,'История отказов'!AE553)=1,'История отказов'!F553="ШВН"),549,""))</f>
        <v/>
      </c>
      <c r="DG550">
        <f>IF('История отказов'!AE553="","",IF(AND(COUNTIF($CW$2:$CW$2,'История отказов'!AE553)=0,COUNTIFS('История отказов'!$F$5:F553,"НПУ-ВД",'История отказов'!$AE$5:AE553,'История отказов'!AE553)=1,'История отказов'!F553="НПУ-ВД"),549,""))</f>
        <v/>
      </c>
      <c r="DH550">
        <f>IF('История отказов'!AE553="","",IF(AND(COUNTIF($CY$2:$CY$6,'История отказов'!AE553)=0,COUNTIF('История отказов'!$AE$5:AE553,'История отказов'!AE553)=1),549,""))</f>
        <v/>
      </c>
      <c r="DI550">
        <f>IF('История отказов'!AK553="","",IF(AND(COUNTIF($CL$2:$CL$3,'История отказов'!AK553)=0,COUNTIF('История отказов'!$AK$5:AK553,'История отказов'!AK553)=1),549,""))</f>
        <v/>
      </c>
      <c r="DJ550">
        <f>IF('История отказов'!AU553="","",IF(AND(COUNTIF($CP$2:$CP$3,'История отказов'!AU553)=0,COUNTIF('История отказов'!$AU$5:AU553,'История отказов'!AU553)=1),549,""))</f>
        <v/>
      </c>
      <c r="DK550">
        <f>IF('История отказов'!AY553="","",IF(AND(COUNTIF($CR$2:$CR$2,'История отказов'!AY553)=0,COUNTIF('История отказов'!$AY$5:AY553,'История отказов'!AY553)=1),549,""))</f>
        <v/>
      </c>
      <c r="DL550">
        <f>IF(DB550="","",IF(AND(COUNTIF($DA$2:$DA$47,DB550)=0,COUNTIF($DB$2:DB550,DB550)=1),549,""))</f>
        <v/>
      </c>
    </row>
    <row r="551">
      <c r="A551" s="74" t="n"/>
      <c r="B551" s="75" t="n"/>
      <c r="C551" s="76" t="n"/>
      <c r="J551" s="62" t="n"/>
      <c r="K551" s="62" t="n"/>
      <c r="L551" s="62" t="n"/>
      <c r="M551" s="62" t="n"/>
      <c r="N551" s="62" t="n"/>
      <c r="Q551" t="inlineStr">
        <is>
          <t>equip_tms_size</t>
        </is>
      </c>
      <c r="R551" t="inlineStr">
        <is>
          <t>ТМСПВ-Новомет</t>
        </is>
      </c>
      <c r="S551" t="inlineStr">
        <is>
          <t>Каталожный пример; паспорт имеет приоритет</t>
        </is>
      </c>
      <c r="T551" t="inlineStr">
        <is>
          <t>Новомет — модели ТМС</t>
        </is>
      </c>
      <c r="U551" t="inlineStr">
        <is>
          <t>https://www.novomet.ru/assets/files/certificates2017/%D0%A1%D0%B5%D1%80%D1%82%D0%B8%D1%84%D0%B8%D0%BA%D0%B0%D1%82%D1%8B%20%D0%94%D0%B5%D0%BA%D0%BB%D0%B0%D1%80%D0%B0%D1%86%D0%B8%D0%B8%20%D0%95%D0%90%D0%A1%20%28%D0%A1%D1%82%D1%80%D0%B0%D0%BD%D1%8B%20%D0%95%D0%90%D0%AD%D0%A1%29/%D0%A1%D0%B8%D1%81%D1%82%D0%B5%D0%BC%D1%8B%20%D1%82%D0%B5%D0%BB%D0%B5%D0%BC%D0%B5%D1%82%D1%80%D0%B8%D1%87%D0%B5%D1%81%D0%BA%D0%B8%D0%B5%20%28%D0%A2%D0%9C%D0%A1%29/%D0%94%D0%B5%D0%BA%D0%BB%D0%B0%D1%80%D0%B0%D1%86%D0%B8%D1%8F%20%D0%A2%D0%9C%D0%A1%20%D0%95%D0%90%D0%AD%D0%A1%20%E2%84%96%20RU%20%D0%94-RU.%D0%90%D0%9B16.%D0%92.79668.PDF</t>
        </is>
      </c>
      <c r="V551" t="inlineStr">
        <is>
          <t>ЭЦН/ЭВН; модель</t>
        </is>
      </c>
      <c r="DB551">
        <f>IF('История отказов'!AH554="","",'История отказов'!AH554)</f>
        <v/>
      </c>
      <c r="DC551">
        <f>IF('История отказов'!AE554="","",IF(AND(COUNTIF($CT$2:$CT$2,'История отказов'!AE554)=0,COUNTIFS('История отказов'!$F$5:F554,"ШГН",'История отказов'!$AE$5:AE554,'История отказов'!AE554)=1,'История отказов'!F554="ШГН"),550,""))</f>
        <v/>
      </c>
      <c r="DD551">
        <f>IF('История отказов'!AE554="","",IF(AND(COUNTIF($CU$2:$CU$3,'История отказов'!AE554)=0,COUNTIFS('История отказов'!$F$5:F554,"ЭЦН",'История отказов'!$AE$5:AE554,'История отказов'!AE554)=1,'История отказов'!F554="ЭЦН"),550,""))</f>
        <v/>
      </c>
      <c r="DE551">
        <f>IF('История отказов'!AE554="","",IF(AND(COUNTIF($CV$2:$CV$3,'История отказов'!AE554)=0,COUNTIFS('История отказов'!$F$5:F554,"ЭВН",'История отказов'!$AE$5:AE554,'История отказов'!AE554)=1,'История отказов'!F554="ЭВН"),550,""))</f>
        <v/>
      </c>
      <c r="DF551">
        <f>IF('История отказов'!AE554="","",IF(AND(COUNTIF($CX$2:$CX$2,'История отказов'!AE554)=0,COUNTIFS('История отказов'!$F$5:F554,"ШВН",'История отказов'!$AE$5:AE554,'История отказов'!AE554)=1,'История отказов'!F554="ШВН"),550,""))</f>
        <v/>
      </c>
      <c r="DG551">
        <f>IF('История отказов'!AE554="","",IF(AND(COUNTIF($CW$2:$CW$2,'История отказов'!AE554)=0,COUNTIFS('История отказов'!$F$5:F554,"НПУ-ВД",'История отказов'!$AE$5:AE554,'История отказов'!AE554)=1,'История отказов'!F554="НПУ-ВД"),550,""))</f>
        <v/>
      </c>
      <c r="DH551">
        <f>IF('История отказов'!AE554="","",IF(AND(COUNTIF($CY$2:$CY$6,'История отказов'!AE554)=0,COUNTIF('История отказов'!$AE$5:AE554,'История отказов'!AE554)=1),550,""))</f>
        <v/>
      </c>
      <c r="DI551">
        <f>IF('История отказов'!AK554="","",IF(AND(COUNTIF($CL$2:$CL$3,'История отказов'!AK554)=0,COUNTIF('История отказов'!$AK$5:AK554,'История отказов'!AK554)=1),550,""))</f>
        <v/>
      </c>
      <c r="DJ551">
        <f>IF('История отказов'!AU554="","",IF(AND(COUNTIF($CP$2:$CP$3,'История отказов'!AU554)=0,COUNTIF('История отказов'!$AU$5:AU554,'История отказов'!AU554)=1),550,""))</f>
        <v/>
      </c>
      <c r="DK551">
        <f>IF('История отказов'!AY554="","",IF(AND(COUNTIF($CR$2:$CR$2,'История отказов'!AY554)=0,COUNTIF('История отказов'!$AY$5:AY554,'История отказов'!AY554)=1),550,""))</f>
        <v/>
      </c>
      <c r="DL551">
        <f>IF(DB551="","",IF(AND(COUNTIF($DA$2:$DA$47,DB551)=0,COUNTIF($DB$2:DB551,DB551)=1),550,""))</f>
        <v/>
      </c>
    </row>
    <row r="552">
      <c r="A552" s="74" t="n"/>
      <c r="B552" s="75" t="n"/>
      <c r="C552" s="76" t="n"/>
      <c r="J552" s="62" t="n"/>
      <c r="K552" s="62" t="n"/>
      <c r="L552" s="62" t="n"/>
      <c r="M552" s="62" t="n"/>
      <c r="N552" s="62" t="n"/>
      <c r="Q552" t="inlineStr">
        <is>
          <t>equip_tms_size</t>
        </is>
      </c>
      <c r="R552" t="inlineStr">
        <is>
          <t>ТМСРПВ-Новомет</t>
        </is>
      </c>
      <c r="S552" t="inlineStr">
        <is>
          <t>Каталожный пример; паспорт имеет приоритет</t>
        </is>
      </c>
      <c r="T552" t="inlineStr">
        <is>
          <t>Новомет — модели ТМС</t>
        </is>
      </c>
      <c r="U552" t="inlineStr">
        <is>
          <t>https://www.novomet.ru/assets/files/certificates2017/%D0%A1%D0%B5%D1%80%D1%82%D0%B8%D1%84%D0%B8%D0%BA%D0%B0%D1%82%D1%8B%20%D0%94%D0%B5%D0%BA%D0%BB%D0%B0%D1%80%D0%B0%D1%86%D0%B8%D0%B8%20%D0%95%D0%90%D0%A1%20%28%D0%A1%D1%82%D1%80%D0%B0%D0%BD%D1%8B%20%D0%95%D0%90%D0%AD%D0%A1%29/%D0%A1%D0%B8%D1%81%D1%82%D0%B5%D0%BC%D1%8B%20%D1%82%D0%B5%D0%BB%D0%B5%D0%BC%D0%B5%D1%82%D1%80%D0%B8%D1%87%D0%B5%D1%81%D0%BA%D0%B8%D0%B5%20%28%D0%A2%D0%9C%D0%A1%29/%D0%94%D0%B5%D0%BA%D0%BB%D0%B0%D1%80%D0%B0%D1%86%D0%B8%D1%8F%20%D0%A2%D0%9C%D0%A1%20%D0%95%D0%90%D0%AD%D0%A1%20%E2%84%96%20RU%20%D0%94-RU.%D0%90%D0%9B16.%D0%92.79668.PDF</t>
        </is>
      </c>
      <c r="V552" t="inlineStr">
        <is>
          <t>ЭЦН/ЭВН; модель</t>
        </is>
      </c>
      <c r="DB552">
        <f>IF('История отказов'!AH555="","",'История отказов'!AH555)</f>
        <v/>
      </c>
      <c r="DC552">
        <f>IF('История отказов'!AE555="","",IF(AND(COUNTIF($CT$2:$CT$2,'История отказов'!AE555)=0,COUNTIFS('История отказов'!$F$5:F555,"ШГН",'История отказов'!$AE$5:AE555,'История отказов'!AE555)=1,'История отказов'!F555="ШГН"),551,""))</f>
        <v/>
      </c>
      <c r="DD552">
        <f>IF('История отказов'!AE555="","",IF(AND(COUNTIF($CU$2:$CU$3,'История отказов'!AE555)=0,COUNTIFS('История отказов'!$F$5:F555,"ЭЦН",'История отказов'!$AE$5:AE555,'История отказов'!AE555)=1,'История отказов'!F555="ЭЦН"),551,""))</f>
        <v/>
      </c>
      <c r="DE552">
        <f>IF('История отказов'!AE555="","",IF(AND(COUNTIF($CV$2:$CV$3,'История отказов'!AE555)=0,COUNTIFS('История отказов'!$F$5:F555,"ЭВН",'История отказов'!$AE$5:AE555,'История отказов'!AE555)=1,'История отказов'!F555="ЭВН"),551,""))</f>
        <v/>
      </c>
      <c r="DF552">
        <f>IF('История отказов'!AE555="","",IF(AND(COUNTIF($CX$2:$CX$2,'История отказов'!AE555)=0,COUNTIFS('История отказов'!$F$5:F555,"ШВН",'История отказов'!$AE$5:AE555,'История отказов'!AE555)=1,'История отказов'!F555="ШВН"),551,""))</f>
        <v/>
      </c>
      <c r="DG552">
        <f>IF('История отказов'!AE555="","",IF(AND(COUNTIF($CW$2:$CW$2,'История отказов'!AE555)=0,COUNTIFS('История отказов'!$F$5:F555,"НПУ-ВД",'История отказов'!$AE$5:AE555,'История отказов'!AE555)=1,'История отказов'!F555="НПУ-ВД"),551,""))</f>
        <v/>
      </c>
      <c r="DH552">
        <f>IF('История отказов'!AE555="","",IF(AND(COUNTIF($CY$2:$CY$6,'История отказов'!AE555)=0,COUNTIF('История отказов'!$AE$5:AE555,'История отказов'!AE555)=1),551,""))</f>
        <v/>
      </c>
      <c r="DI552">
        <f>IF('История отказов'!AK555="","",IF(AND(COUNTIF($CL$2:$CL$3,'История отказов'!AK555)=0,COUNTIF('История отказов'!$AK$5:AK555,'История отказов'!AK555)=1),551,""))</f>
        <v/>
      </c>
      <c r="DJ552">
        <f>IF('История отказов'!AU555="","",IF(AND(COUNTIF($CP$2:$CP$3,'История отказов'!AU555)=0,COUNTIF('История отказов'!$AU$5:AU555,'История отказов'!AU555)=1),551,""))</f>
        <v/>
      </c>
      <c r="DK552">
        <f>IF('История отказов'!AY555="","",IF(AND(COUNTIF($CR$2:$CR$2,'История отказов'!AY555)=0,COUNTIF('История отказов'!$AY$5:AY555,'История отказов'!AY555)=1),551,""))</f>
        <v/>
      </c>
      <c r="DL552">
        <f>IF(DB552="","",IF(AND(COUNTIF($DA$2:$DA$47,DB552)=0,COUNTIF($DB$2:DB552,DB552)=1),551,""))</f>
        <v/>
      </c>
    </row>
    <row r="553">
      <c r="A553" s="74" t="n"/>
      <c r="B553" s="75" t="n"/>
      <c r="C553" s="76" t="n"/>
      <c r="J553" s="62" t="n"/>
      <c r="K553" s="62" t="n"/>
      <c r="L553" s="62" t="n"/>
      <c r="M553" s="62" t="n"/>
      <c r="N553" s="62" t="n"/>
      <c r="Q553" t="inlineStr">
        <is>
          <t>equip_nkt</t>
        </is>
      </c>
      <c r="R553" t="inlineStr">
        <is>
          <t>НКТ гладкая 60×5 мм</t>
        </is>
      </c>
      <c r="S553" t="inlineStr">
        <is>
          <t>Каталожный пример; паспорт имеет приоритет</t>
        </is>
      </c>
      <c r="T553" t="inlineStr">
        <is>
          <t>ГОСТ 633-80</t>
        </is>
      </c>
      <c r="U553" t="inlineStr">
        <is>
          <t>https://protect.gost.ru/gost/details/59a03228-7ea6-40eb-941d-25272a17403a</t>
        </is>
      </c>
      <c r="V553" t="inlineStr">
        <is>
          <t>Пример сорта НКТ; проверить паспорт</t>
        </is>
      </c>
      <c r="DB553">
        <f>IF('История отказов'!AH556="","",'История отказов'!AH556)</f>
        <v/>
      </c>
      <c r="DC553">
        <f>IF('История отказов'!AE556="","",IF(AND(COUNTIF($CT$2:$CT$2,'История отказов'!AE556)=0,COUNTIFS('История отказов'!$F$5:F556,"ШГН",'История отказов'!$AE$5:AE556,'История отказов'!AE556)=1,'История отказов'!F556="ШГН"),552,""))</f>
        <v/>
      </c>
      <c r="DD553">
        <f>IF('История отказов'!AE556="","",IF(AND(COUNTIF($CU$2:$CU$3,'История отказов'!AE556)=0,COUNTIFS('История отказов'!$F$5:F556,"ЭЦН",'История отказов'!$AE$5:AE556,'История отказов'!AE556)=1,'История отказов'!F556="ЭЦН"),552,""))</f>
        <v/>
      </c>
      <c r="DE553">
        <f>IF('История отказов'!AE556="","",IF(AND(COUNTIF($CV$2:$CV$3,'История отказов'!AE556)=0,COUNTIFS('История отказов'!$F$5:F556,"ЭВН",'История отказов'!$AE$5:AE556,'История отказов'!AE556)=1,'История отказов'!F556="ЭВН"),552,""))</f>
        <v/>
      </c>
      <c r="DF553">
        <f>IF('История отказов'!AE556="","",IF(AND(COUNTIF($CX$2:$CX$2,'История отказов'!AE556)=0,COUNTIFS('История отказов'!$F$5:F556,"ШВН",'История отказов'!$AE$5:AE556,'История отказов'!AE556)=1,'История отказов'!F556="ШВН"),552,""))</f>
        <v/>
      </c>
      <c r="DG553">
        <f>IF('История отказов'!AE556="","",IF(AND(COUNTIF($CW$2:$CW$2,'История отказов'!AE556)=0,COUNTIFS('История отказов'!$F$5:F556,"НПУ-ВД",'История отказов'!$AE$5:AE556,'История отказов'!AE556)=1,'История отказов'!F556="НПУ-ВД"),552,""))</f>
        <v/>
      </c>
      <c r="DH553">
        <f>IF('История отказов'!AE556="","",IF(AND(COUNTIF($CY$2:$CY$6,'История отказов'!AE556)=0,COUNTIF('История отказов'!$AE$5:AE556,'История отказов'!AE556)=1),552,""))</f>
        <v/>
      </c>
      <c r="DI553">
        <f>IF('История отказов'!AK556="","",IF(AND(COUNTIF($CL$2:$CL$3,'История отказов'!AK556)=0,COUNTIF('История отказов'!$AK$5:AK556,'История отказов'!AK556)=1),552,""))</f>
        <v/>
      </c>
      <c r="DJ553">
        <f>IF('История отказов'!AU556="","",IF(AND(COUNTIF($CP$2:$CP$3,'История отказов'!AU556)=0,COUNTIF('История отказов'!$AU$5:AU556,'История отказов'!AU556)=1),552,""))</f>
        <v/>
      </c>
      <c r="DK553">
        <f>IF('История отказов'!AY556="","",IF(AND(COUNTIF($CR$2:$CR$2,'История отказов'!AY556)=0,COUNTIF('История отказов'!$AY$5:AY556,'История отказов'!AY556)=1),552,""))</f>
        <v/>
      </c>
      <c r="DL553">
        <f>IF(DB553="","",IF(AND(COUNTIF($DA$2:$DA$47,DB553)=0,COUNTIF($DB$2:DB553,DB553)=1),552,""))</f>
        <v/>
      </c>
    </row>
    <row r="554">
      <c r="A554" s="74" t="n"/>
      <c r="B554" s="75" t="n"/>
      <c r="C554" s="76" t="n"/>
      <c r="J554" s="62" t="n"/>
      <c r="K554" s="62" t="n"/>
      <c r="L554" s="62" t="n"/>
      <c r="M554" s="62" t="n"/>
      <c r="N554" s="62" t="n"/>
      <c r="Q554" t="inlineStr">
        <is>
          <t>equip_nkt</t>
        </is>
      </c>
      <c r="R554" t="inlineStr">
        <is>
          <t>НКТ гладкая 73×5,5 мм</t>
        </is>
      </c>
      <c r="S554" t="inlineStr">
        <is>
          <t>Каталожный пример; паспорт имеет приоритет</t>
        </is>
      </c>
      <c r="T554" t="inlineStr">
        <is>
          <t>ГОСТ 633-80</t>
        </is>
      </c>
      <c r="U554" t="inlineStr">
        <is>
          <t>https://protect.gost.ru/gost/details/59a03228-7ea6-40eb-941d-25272a17403a</t>
        </is>
      </c>
      <c r="V554" t="inlineStr">
        <is>
          <t>Пример сорта НКТ; проверить паспорт</t>
        </is>
      </c>
      <c r="DB554">
        <f>IF('История отказов'!AH557="","",'История отказов'!AH557)</f>
        <v/>
      </c>
      <c r="DC554">
        <f>IF('История отказов'!AE557="","",IF(AND(COUNTIF($CT$2:$CT$2,'История отказов'!AE557)=0,COUNTIFS('История отказов'!$F$5:F557,"ШГН",'История отказов'!$AE$5:AE557,'История отказов'!AE557)=1,'История отказов'!F557="ШГН"),553,""))</f>
        <v/>
      </c>
      <c r="DD554">
        <f>IF('История отказов'!AE557="","",IF(AND(COUNTIF($CU$2:$CU$3,'История отказов'!AE557)=0,COUNTIFS('История отказов'!$F$5:F557,"ЭЦН",'История отказов'!$AE$5:AE557,'История отказов'!AE557)=1,'История отказов'!F557="ЭЦН"),553,""))</f>
        <v/>
      </c>
      <c r="DE554">
        <f>IF('История отказов'!AE557="","",IF(AND(COUNTIF($CV$2:$CV$3,'История отказов'!AE557)=0,COUNTIFS('История отказов'!$F$5:F557,"ЭВН",'История отказов'!$AE$5:AE557,'История отказов'!AE557)=1,'История отказов'!F557="ЭВН"),553,""))</f>
        <v/>
      </c>
      <c r="DF554">
        <f>IF('История отказов'!AE557="","",IF(AND(COUNTIF($CX$2:$CX$2,'История отказов'!AE557)=0,COUNTIFS('История отказов'!$F$5:F557,"ШВН",'История отказов'!$AE$5:AE557,'История отказов'!AE557)=1,'История отказов'!F557="ШВН"),553,""))</f>
        <v/>
      </c>
      <c r="DG554">
        <f>IF('История отказов'!AE557="","",IF(AND(COUNTIF($CW$2:$CW$2,'История отказов'!AE557)=0,COUNTIFS('История отказов'!$F$5:F557,"НПУ-ВД",'История отказов'!$AE$5:AE557,'История отказов'!AE557)=1,'История отказов'!F557="НПУ-ВД"),553,""))</f>
        <v/>
      </c>
      <c r="DH554">
        <f>IF('История отказов'!AE557="","",IF(AND(COUNTIF($CY$2:$CY$6,'История отказов'!AE557)=0,COUNTIF('История отказов'!$AE$5:AE557,'История отказов'!AE557)=1),553,""))</f>
        <v/>
      </c>
      <c r="DI554">
        <f>IF('История отказов'!AK557="","",IF(AND(COUNTIF($CL$2:$CL$3,'История отказов'!AK557)=0,COUNTIF('История отказов'!$AK$5:AK557,'История отказов'!AK557)=1),553,""))</f>
        <v/>
      </c>
      <c r="DJ554">
        <f>IF('История отказов'!AU557="","",IF(AND(COUNTIF($CP$2:$CP$3,'История отказов'!AU557)=0,COUNTIF('История отказов'!$AU$5:AU557,'История отказов'!AU557)=1),553,""))</f>
        <v/>
      </c>
      <c r="DK554">
        <f>IF('История отказов'!AY557="","",IF(AND(COUNTIF($CR$2:$CR$2,'История отказов'!AY557)=0,COUNTIF('История отказов'!$AY$5:AY557,'История отказов'!AY557)=1),553,""))</f>
        <v/>
      </c>
      <c r="DL554">
        <f>IF(DB554="","",IF(AND(COUNTIF($DA$2:$DA$47,DB554)=0,COUNTIF($DB$2:DB554,DB554)=1),553,""))</f>
        <v/>
      </c>
    </row>
    <row r="555">
      <c r="A555" s="74" t="n"/>
      <c r="B555" s="75" t="n"/>
      <c r="C555" s="76" t="n"/>
      <c r="J555" s="62" t="n"/>
      <c r="K555" s="62" t="n"/>
      <c r="L555" s="62" t="n"/>
      <c r="M555" s="62" t="n"/>
      <c r="N555" s="62" t="n"/>
      <c r="Q555" t="inlineStr">
        <is>
          <t>equip_nkt</t>
        </is>
      </c>
      <c r="R555" t="inlineStr">
        <is>
          <t>НКТ гладкая 73×7 мм</t>
        </is>
      </c>
      <c r="S555" t="inlineStr">
        <is>
          <t>Каталожный пример; паспорт имеет приоритет</t>
        </is>
      </c>
      <c r="T555" t="inlineStr">
        <is>
          <t>ГОСТ 633-80</t>
        </is>
      </c>
      <c r="U555" t="inlineStr">
        <is>
          <t>https://protect.gost.ru/gost/details/59a03228-7ea6-40eb-941d-25272a17403a</t>
        </is>
      </c>
      <c r="V555" t="inlineStr">
        <is>
          <t>Пример сорта НКТ; проверить паспорт</t>
        </is>
      </c>
      <c r="DB555">
        <f>IF('История отказов'!AH558="","",'История отказов'!AH558)</f>
        <v/>
      </c>
      <c r="DC555">
        <f>IF('История отказов'!AE558="","",IF(AND(COUNTIF($CT$2:$CT$2,'История отказов'!AE558)=0,COUNTIFS('История отказов'!$F$5:F558,"ШГН",'История отказов'!$AE$5:AE558,'История отказов'!AE558)=1,'История отказов'!F558="ШГН"),554,""))</f>
        <v/>
      </c>
      <c r="DD555">
        <f>IF('История отказов'!AE558="","",IF(AND(COUNTIF($CU$2:$CU$3,'История отказов'!AE558)=0,COUNTIFS('История отказов'!$F$5:F558,"ЭЦН",'История отказов'!$AE$5:AE558,'История отказов'!AE558)=1,'История отказов'!F558="ЭЦН"),554,""))</f>
        <v/>
      </c>
      <c r="DE555">
        <f>IF('История отказов'!AE558="","",IF(AND(COUNTIF($CV$2:$CV$3,'История отказов'!AE558)=0,COUNTIFS('История отказов'!$F$5:F558,"ЭВН",'История отказов'!$AE$5:AE558,'История отказов'!AE558)=1,'История отказов'!F558="ЭВН"),554,""))</f>
        <v/>
      </c>
      <c r="DF555">
        <f>IF('История отказов'!AE558="","",IF(AND(COUNTIF($CX$2:$CX$2,'История отказов'!AE558)=0,COUNTIFS('История отказов'!$F$5:F558,"ШВН",'История отказов'!$AE$5:AE558,'История отказов'!AE558)=1,'История отказов'!F558="ШВН"),554,""))</f>
        <v/>
      </c>
      <c r="DG555">
        <f>IF('История отказов'!AE558="","",IF(AND(COUNTIF($CW$2:$CW$2,'История отказов'!AE558)=0,COUNTIFS('История отказов'!$F$5:F558,"НПУ-ВД",'История отказов'!$AE$5:AE558,'История отказов'!AE558)=1,'История отказов'!F558="НПУ-ВД"),554,""))</f>
        <v/>
      </c>
      <c r="DH555">
        <f>IF('История отказов'!AE558="","",IF(AND(COUNTIF($CY$2:$CY$6,'История отказов'!AE558)=0,COUNTIF('История отказов'!$AE$5:AE558,'История отказов'!AE558)=1),554,""))</f>
        <v/>
      </c>
      <c r="DI555">
        <f>IF('История отказов'!AK558="","",IF(AND(COUNTIF($CL$2:$CL$3,'История отказов'!AK558)=0,COUNTIF('История отказов'!$AK$5:AK558,'История отказов'!AK558)=1),554,""))</f>
        <v/>
      </c>
      <c r="DJ555">
        <f>IF('История отказов'!AU558="","",IF(AND(COUNTIF($CP$2:$CP$3,'История отказов'!AU558)=0,COUNTIF('История отказов'!$AU$5:AU558,'История отказов'!AU558)=1),554,""))</f>
        <v/>
      </c>
      <c r="DK555">
        <f>IF('История отказов'!AY558="","",IF(AND(COUNTIF($CR$2:$CR$2,'История отказов'!AY558)=0,COUNTIF('История отказов'!$AY$5:AY558,'История отказов'!AY558)=1),554,""))</f>
        <v/>
      </c>
      <c r="DL555">
        <f>IF(DB555="","",IF(AND(COUNTIF($DA$2:$DA$47,DB555)=0,COUNTIF($DB$2:DB555,DB555)=1),554,""))</f>
        <v/>
      </c>
    </row>
    <row r="556">
      <c r="A556" s="74" t="n"/>
      <c r="B556" s="75" t="n"/>
      <c r="C556" s="76" t="n"/>
      <c r="J556" s="62" t="n"/>
      <c r="K556" s="62" t="n"/>
      <c r="L556" s="62" t="n"/>
      <c r="M556" s="62" t="n"/>
      <c r="N556" s="62" t="n"/>
      <c r="Q556" t="inlineStr">
        <is>
          <t>equip_nkt</t>
        </is>
      </c>
      <c r="R556" t="inlineStr">
        <is>
          <t>НКТ с высаженными концами 73×5,5 мм</t>
        </is>
      </c>
      <c r="S556" t="inlineStr">
        <is>
          <t>Каталожный пример; паспорт имеет приоритет</t>
        </is>
      </c>
      <c r="T556" t="inlineStr">
        <is>
          <t>ГОСТ 633-80</t>
        </is>
      </c>
      <c r="U556" t="inlineStr">
        <is>
          <t>https://protect.gost.ru/gost/details/59a03228-7ea6-40eb-941d-25272a17403a</t>
        </is>
      </c>
      <c r="V556" t="inlineStr">
        <is>
          <t>Пример сорта НКТ; проверить паспорт</t>
        </is>
      </c>
      <c r="DB556">
        <f>IF('История отказов'!AH559="","",'История отказов'!AH559)</f>
        <v/>
      </c>
      <c r="DC556">
        <f>IF('История отказов'!AE559="","",IF(AND(COUNTIF($CT$2:$CT$2,'История отказов'!AE559)=0,COUNTIFS('История отказов'!$F$5:F559,"ШГН",'История отказов'!$AE$5:AE559,'История отказов'!AE559)=1,'История отказов'!F559="ШГН"),555,""))</f>
        <v/>
      </c>
      <c r="DD556">
        <f>IF('История отказов'!AE559="","",IF(AND(COUNTIF($CU$2:$CU$3,'История отказов'!AE559)=0,COUNTIFS('История отказов'!$F$5:F559,"ЭЦН",'История отказов'!$AE$5:AE559,'История отказов'!AE559)=1,'История отказов'!F559="ЭЦН"),555,""))</f>
        <v/>
      </c>
      <c r="DE556">
        <f>IF('История отказов'!AE559="","",IF(AND(COUNTIF($CV$2:$CV$3,'История отказов'!AE559)=0,COUNTIFS('История отказов'!$F$5:F559,"ЭВН",'История отказов'!$AE$5:AE559,'История отказов'!AE559)=1,'История отказов'!F559="ЭВН"),555,""))</f>
        <v/>
      </c>
      <c r="DF556">
        <f>IF('История отказов'!AE559="","",IF(AND(COUNTIF($CX$2:$CX$2,'История отказов'!AE559)=0,COUNTIFS('История отказов'!$F$5:F559,"ШВН",'История отказов'!$AE$5:AE559,'История отказов'!AE559)=1,'История отказов'!F559="ШВН"),555,""))</f>
        <v/>
      </c>
      <c r="DG556">
        <f>IF('История отказов'!AE559="","",IF(AND(COUNTIF($CW$2:$CW$2,'История отказов'!AE559)=0,COUNTIFS('История отказов'!$F$5:F559,"НПУ-ВД",'История отказов'!$AE$5:AE559,'История отказов'!AE559)=1,'История отказов'!F559="НПУ-ВД"),555,""))</f>
        <v/>
      </c>
      <c r="DH556">
        <f>IF('История отказов'!AE559="","",IF(AND(COUNTIF($CY$2:$CY$6,'История отказов'!AE559)=0,COUNTIF('История отказов'!$AE$5:AE559,'История отказов'!AE559)=1),555,""))</f>
        <v/>
      </c>
      <c r="DI556">
        <f>IF('История отказов'!AK559="","",IF(AND(COUNTIF($CL$2:$CL$3,'История отказов'!AK559)=0,COUNTIF('История отказов'!$AK$5:AK559,'История отказов'!AK559)=1),555,""))</f>
        <v/>
      </c>
      <c r="DJ556">
        <f>IF('История отказов'!AU559="","",IF(AND(COUNTIF($CP$2:$CP$3,'История отказов'!AU559)=0,COUNTIF('История отказов'!$AU$5:AU559,'История отказов'!AU559)=1),555,""))</f>
        <v/>
      </c>
      <c r="DK556">
        <f>IF('История отказов'!AY559="","",IF(AND(COUNTIF($CR$2:$CR$2,'История отказов'!AY559)=0,COUNTIF('История отказов'!$AY$5:AY559,'История отказов'!AY559)=1),555,""))</f>
        <v/>
      </c>
      <c r="DL556">
        <f>IF(DB556="","",IF(AND(COUNTIF($DA$2:$DA$47,DB556)=0,COUNTIF($DB$2:DB556,DB556)=1),555,""))</f>
        <v/>
      </c>
    </row>
    <row r="557">
      <c r="A557" s="74" t="n"/>
      <c r="B557" s="75" t="n"/>
      <c r="C557" s="76" t="n"/>
      <c r="J557" s="62" t="n"/>
      <c r="K557" s="62" t="n"/>
      <c r="L557" s="62" t="n"/>
      <c r="M557" s="62" t="n"/>
      <c r="N557" s="62" t="n"/>
      <c r="Q557" t="inlineStr">
        <is>
          <t>equip_nkt</t>
        </is>
      </c>
      <c r="R557" t="inlineStr">
        <is>
          <t>НКТ высокогерметичная 73×5,5 мм</t>
        </is>
      </c>
      <c r="S557" t="inlineStr">
        <is>
          <t>Каталожный пример; паспорт имеет приоритет</t>
        </is>
      </c>
      <c r="T557" t="inlineStr">
        <is>
          <t>ГОСТ 633-80</t>
        </is>
      </c>
      <c r="U557" t="inlineStr">
        <is>
          <t>https://protect.gost.ru/gost/details/59a03228-7ea6-40eb-941d-25272a17403a</t>
        </is>
      </c>
      <c r="V557" t="inlineStr">
        <is>
          <t>Пример сорта НКТ; проверить паспорт</t>
        </is>
      </c>
      <c r="DB557">
        <f>IF('История отказов'!AH560="","",'История отказов'!AH560)</f>
        <v/>
      </c>
      <c r="DC557">
        <f>IF('История отказов'!AE560="","",IF(AND(COUNTIF($CT$2:$CT$2,'История отказов'!AE560)=0,COUNTIFS('История отказов'!$F$5:F560,"ШГН",'История отказов'!$AE$5:AE560,'История отказов'!AE560)=1,'История отказов'!F560="ШГН"),556,""))</f>
        <v/>
      </c>
      <c r="DD557">
        <f>IF('История отказов'!AE560="","",IF(AND(COUNTIF($CU$2:$CU$3,'История отказов'!AE560)=0,COUNTIFS('История отказов'!$F$5:F560,"ЭЦН",'История отказов'!$AE$5:AE560,'История отказов'!AE560)=1,'История отказов'!F560="ЭЦН"),556,""))</f>
        <v/>
      </c>
      <c r="DE557">
        <f>IF('История отказов'!AE560="","",IF(AND(COUNTIF($CV$2:$CV$3,'История отказов'!AE560)=0,COUNTIFS('История отказов'!$F$5:F560,"ЭВН",'История отказов'!$AE$5:AE560,'История отказов'!AE560)=1,'История отказов'!F560="ЭВН"),556,""))</f>
        <v/>
      </c>
      <c r="DF557">
        <f>IF('История отказов'!AE560="","",IF(AND(COUNTIF($CX$2:$CX$2,'История отказов'!AE560)=0,COUNTIFS('История отказов'!$F$5:F560,"ШВН",'История отказов'!$AE$5:AE560,'История отказов'!AE560)=1,'История отказов'!F560="ШВН"),556,""))</f>
        <v/>
      </c>
      <c r="DG557">
        <f>IF('История отказов'!AE560="","",IF(AND(COUNTIF($CW$2:$CW$2,'История отказов'!AE560)=0,COUNTIFS('История отказов'!$F$5:F560,"НПУ-ВД",'История отказов'!$AE$5:AE560,'История отказов'!AE560)=1,'История отказов'!F560="НПУ-ВД"),556,""))</f>
        <v/>
      </c>
      <c r="DH557">
        <f>IF('История отказов'!AE560="","",IF(AND(COUNTIF($CY$2:$CY$6,'История отказов'!AE560)=0,COUNTIF('История отказов'!$AE$5:AE560,'История отказов'!AE560)=1),556,""))</f>
        <v/>
      </c>
      <c r="DI557">
        <f>IF('История отказов'!AK560="","",IF(AND(COUNTIF($CL$2:$CL$3,'История отказов'!AK560)=0,COUNTIF('История отказов'!$AK$5:AK560,'История отказов'!AK560)=1),556,""))</f>
        <v/>
      </c>
      <c r="DJ557">
        <f>IF('История отказов'!AU560="","",IF(AND(COUNTIF($CP$2:$CP$3,'История отказов'!AU560)=0,COUNTIF('История отказов'!$AU$5:AU560,'История отказов'!AU560)=1),556,""))</f>
        <v/>
      </c>
      <c r="DK557">
        <f>IF('История отказов'!AY560="","",IF(AND(COUNTIF($CR$2:$CR$2,'История отказов'!AY560)=0,COUNTIF('История отказов'!$AY$5:AY560,'История отказов'!AY560)=1),556,""))</f>
        <v/>
      </c>
      <c r="DL557">
        <f>IF(DB557="","",IF(AND(COUNTIF($DA$2:$DA$47,DB557)=0,COUNTIF($DB$2:DB557,DB557)=1),556,""))</f>
        <v/>
      </c>
    </row>
    <row r="558">
      <c r="A558" s="74" t="n"/>
      <c r="B558" s="75" t="n"/>
      <c r="C558" s="76" t="n"/>
      <c r="J558" s="62" t="n"/>
      <c r="K558" s="62" t="n"/>
      <c r="L558" s="62" t="n"/>
      <c r="M558" s="62" t="n"/>
      <c r="N558" s="62" t="n"/>
      <c r="Q558" t="inlineStr">
        <is>
          <t>equip_nkt</t>
        </is>
      </c>
      <c r="R558" t="inlineStr">
        <is>
          <t>НКТ гладкая 89×6,5 мм</t>
        </is>
      </c>
      <c r="S558" t="inlineStr">
        <is>
          <t>Каталожный пример; паспорт имеет приоритет</t>
        </is>
      </c>
      <c r="T558" t="inlineStr">
        <is>
          <t>ГОСТ 633-80</t>
        </is>
      </c>
      <c r="U558" t="inlineStr">
        <is>
          <t>https://protect.gost.ru/gost/details/59a03228-7ea6-40eb-941d-25272a17403a</t>
        </is>
      </c>
      <c r="V558" t="inlineStr">
        <is>
          <t>Пример сорта НКТ; проверить паспорт</t>
        </is>
      </c>
      <c r="DB558">
        <f>IF('История отказов'!AH561="","",'История отказов'!AH561)</f>
        <v/>
      </c>
      <c r="DC558">
        <f>IF('История отказов'!AE561="","",IF(AND(COUNTIF($CT$2:$CT$2,'История отказов'!AE561)=0,COUNTIFS('История отказов'!$F$5:F561,"ШГН",'История отказов'!$AE$5:AE561,'История отказов'!AE561)=1,'История отказов'!F561="ШГН"),557,""))</f>
        <v/>
      </c>
      <c r="DD558">
        <f>IF('История отказов'!AE561="","",IF(AND(COUNTIF($CU$2:$CU$3,'История отказов'!AE561)=0,COUNTIFS('История отказов'!$F$5:F561,"ЭЦН",'История отказов'!$AE$5:AE561,'История отказов'!AE561)=1,'История отказов'!F561="ЭЦН"),557,""))</f>
        <v/>
      </c>
      <c r="DE558">
        <f>IF('История отказов'!AE561="","",IF(AND(COUNTIF($CV$2:$CV$3,'История отказов'!AE561)=0,COUNTIFS('История отказов'!$F$5:F561,"ЭВН",'История отказов'!$AE$5:AE561,'История отказов'!AE561)=1,'История отказов'!F561="ЭВН"),557,""))</f>
        <v/>
      </c>
      <c r="DF558">
        <f>IF('История отказов'!AE561="","",IF(AND(COUNTIF($CX$2:$CX$2,'История отказов'!AE561)=0,COUNTIFS('История отказов'!$F$5:F561,"ШВН",'История отказов'!$AE$5:AE561,'История отказов'!AE561)=1,'История отказов'!F561="ШВН"),557,""))</f>
        <v/>
      </c>
      <c r="DG558">
        <f>IF('История отказов'!AE561="","",IF(AND(COUNTIF($CW$2:$CW$2,'История отказов'!AE561)=0,COUNTIFS('История отказов'!$F$5:F561,"НПУ-ВД",'История отказов'!$AE$5:AE561,'История отказов'!AE561)=1,'История отказов'!F561="НПУ-ВД"),557,""))</f>
        <v/>
      </c>
      <c r="DH558">
        <f>IF('История отказов'!AE561="","",IF(AND(COUNTIF($CY$2:$CY$6,'История отказов'!AE561)=0,COUNTIF('История отказов'!$AE$5:AE561,'История отказов'!AE561)=1),557,""))</f>
        <v/>
      </c>
      <c r="DI558">
        <f>IF('История отказов'!AK561="","",IF(AND(COUNTIF($CL$2:$CL$3,'История отказов'!AK561)=0,COUNTIF('История отказов'!$AK$5:AK561,'История отказов'!AK561)=1),557,""))</f>
        <v/>
      </c>
      <c r="DJ558">
        <f>IF('История отказов'!AU561="","",IF(AND(COUNTIF($CP$2:$CP$3,'История отказов'!AU561)=0,COUNTIF('История отказов'!$AU$5:AU561,'История отказов'!AU561)=1),557,""))</f>
        <v/>
      </c>
      <c r="DK558">
        <f>IF('История отказов'!AY561="","",IF(AND(COUNTIF($CR$2:$CR$2,'История отказов'!AY561)=0,COUNTIF('История отказов'!$AY$5:AY561,'История отказов'!AY561)=1),557,""))</f>
        <v/>
      </c>
      <c r="DL558">
        <f>IF(DB558="","",IF(AND(COUNTIF($DA$2:$DA$47,DB558)=0,COUNTIF($DB$2:DB558,DB558)=1),557,""))</f>
        <v/>
      </c>
    </row>
    <row r="559">
      <c r="A559" s="74" t="n"/>
      <c r="B559" s="75" t="n"/>
      <c r="C559" s="76" t="n"/>
      <c r="J559" s="62" t="n"/>
      <c r="K559" s="62" t="n"/>
      <c r="L559" s="62" t="n"/>
      <c r="M559" s="62" t="n"/>
      <c r="N559" s="62" t="n"/>
      <c r="DB559">
        <f>IF('История отказов'!AH562="","",'История отказов'!AH562)</f>
        <v/>
      </c>
      <c r="DC559">
        <f>IF('История отказов'!AE562="","",IF(AND(COUNTIF($CT$2:$CT$2,'История отказов'!AE562)=0,COUNTIFS('История отказов'!$F$5:F562,"ШГН",'История отказов'!$AE$5:AE562,'История отказов'!AE562)=1,'История отказов'!F562="ШГН"),558,""))</f>
        <v/>
      </c>
      <c r="DD559">
        <f>IF('История отказов'!AE562="","",IF(AND(COUNTIF($CU$2:$CU$3,'История отказов'!AE562)=0,COUNTIFS('История отказов'!$F$5:F562,"ЭЦН",'История отказов'!$AE$5:AE562,'История отказов'!AE562)=1,'История отказов'!F562="ЭЦН"),558,""))</f>
        <v/>
      </c>
      <c r="DE559">
        <f>IF('История отказов'!AE562="","",IF(AND(COUNTIF($CV$2:$CV$3,'История отказов'!AE562)=0,COUNTIFS('История отказов'!$F$5:F562,"ЭВН",'История отказов'!$AE$5:AE562,'История отказов'!AE562)=1,'История отказов'!F562="ЭВН"),558,""))</f>
        <v/>
      </c>
      <c r="DF559">
        <f>IF('История отказов'!AE562="","",IF(AND(COUNTIF($CX$2:$CX$2,'История отказов'!AE562)=0,COUNTIFS('История отказов'!$F$5:F562,"ШВН",'История отказов'!$AE$5:AE562,'История отказов'!AE562)=1,'История отказов'!F562="ШВН"),558,""))</f>
        <v/>
      </c>
      <c r="DG559">
        <f>IF('История отказов'!AE562="","",IF(AND(COUNTIF($CW$2:$CW$2,'История отказов'!AE562)=0,COUNTIFS('История отказов'!$F$5:F562,"НПУ-ВД",'История отказов'!$AE$5:AE562,'История отказов'!AE562)=1,'История отказов'!F562="НПУ-ВД"),558,""))</f>
        <v/>
      </c>
      <c r="DH559">
        <f>IF('История отказов'!AE562="","",IF(AND(COUNTIF($CY$2:$CY$6,'История отказов'!AE562)=0,COUNTIF('История отказов'!$AE$5:AE562,'История отказов'!AE562)=1),558,""))</f>
        <v/>
      </c>
      <c r="DI559">
        <f>IF('История отказов'!AK562="","",IF(AND(COUNTIF($CL$2:$CL$3,'История отказов'!AK562)=0,COUNTIF('История отказов'!$AK$5:AK562,'История отказов'!AK562)=1),558,""))</f>
        <v/>
      </c>
      <c r="DJ559">
        <f>IF('История отказов'!AU562="","",IF(AND(COUNTIF($CP$2:$CP$3,'История отказов'!AU562)=0,COUNTIF('История отказов'!$AU$5:AU562,'История отказов'!AU562)=1),558,""))</f>
        <v/>
      </c>
      <c r="DK559">
        <f>IF('История отказов'!AY562="","",IF(AND(COUNTIF($CR$2:$CR$2,'История отказов'!AY562)=0,COUNTIF('История отказов'!$AY$5:AY562,'История отказов'!AY562)=1),558,""))</f>
        <v/>
      </c>
      <c r="DL559">
        <f>IF(DB559="","",IF(AND(COUNTIF($DA$2:$DA$47,DB559)=0,COUNTIF($DB$2:DB559,DB559)=1),558,""))</f>
        <v/>
      </c>
    </row>
    <row r="560">
      <c r="A560" s="74" t="n"/>
      <c r="B560" s="75" t="n"/>
      <c r="C560" s="76" t="n"/>
      <c r="J560" s="62" t="n"/>
      <c r="K560" s="62" t="n"/>
      <c r="L560" s="62" t="n"/>
      <c r="M560" s="62" t="n"/>
      <c r="N560" s="62" t="n"/>
      <c r="DB560">
        <f>IF('История отказов'!AH563="","",'История отказов'!AH563)</f>
        <v/>
      </c>
      <c r="DC560">
        <f>IF('История отказов'!AE563="","",IF(AND(COUNTIF($CT$2:$CT$2,'История отказов'!AE563)=0,COUNTIFS('История отказов'!$F$5:F563,"ШГН",'История отказов'!$AE$5:AE563,'История отказов'!AE563)=1,'История отказов'!F563="ШГН"),559,""))</f>
        <v/>
      </c>
      <c r="DD560">
        <f>IF('История отказов'!AE563="","",IF(AND(COUNTIF($CU$2:$CU$3,'История отказов'!AE563)=0,COUNTIFS('История отказов'!$F$5:F563,"ЭЦН",'История отказов'!$AE$5:AE563,'История отказов'!AE563)=1,'История отказов'!F563="ЭЦН"),559,""))</f>
        <v/>
      </c>
      <c r="DE560">
        <f>IF('История отказов'!AE563="","",IF(AND(COUNTIF($CV$2:$CV$3,'История отказов'!AE563)=0,COUNTIFS('История отказов'!$F$5:F563,"ЭВН",'История отказов'!$AE$5:AE563,'История отказов'!AE563)=1,'История отказов'!F563="ЭВН"),559,""))</f>
        <v/>
      </c>
      <c r="DF560">
        <f>IF('История отказов'!AE563="","",IF(AND(COUNTIF($CX$2:$CX$2,'История отказов'!AE563)=0,COUNTIFS('История отказов'!$F$5:F563,"ШВН",'История отказов'!$AE$5:AE563,'История отказов'!AE563)=1,'История отказов'!F563="ШВН"),559,""))</f>
        <v/>
      </c>
      <c r="DG560">
        <f>IF('История отказов'!AE563="","",IF(AND(COUNTIF($CW$2:$CW$2,'История отказов'!AE563)=0,COUNTIFS('История отказов'!$F$5:F563,"НПУ-ВД",'История отказов'!$AE$5:AE563,'История отказов'!AE563)=1,'История отказов'!F563="НПУ-ВД"),559,""))</f>
        <v/>
      </c>
      <c r="DH560">
        <f>IF('История отказов'!AE563="","",IF(AND(COUNTIF($CY$2:$CY$6,'История отказов'!AE563)=0,COUNTIF('История отказов'!$AE$5:AE563,'История отказов'!AE563)=1),559,""))</f>
        <v/>
      </c>
      <c r="DI560">
        <f>IF('История отказов'!AK563="","",IF(AND(COUNTIF($CL$2:$CL$3,'История отказов'!AK563)=0,COUNTIF('История отказов'!$AK$5:AK563,'История отказов'!AK563)=1),559,""))</f>
        <v/>
      </c>
      <c r="DJ560">
        <f>IF('История отказов'!AU563="","",IF(AND(COUNTIF($CP$2:$CP$3,'История отказов'!AU563)=0,COUNTIF('История отказов'!$AU$5:AU563,'История отказов'!AU563)=1),559,""))</f>
        <v/>
      </c>
      <c r="DK560">
        <f>IF('История отказов'!AY563="","",IF(AND(COUNTIF($CR$2:$CR$2,'История отказов'!AY563)=0,COUNTIF('История отказов'!$AY$5:AY563,'История отказов'!AY563)=1),559,""))</f>
        <v/>
      </c>
      <c r="DL560">
        <f>IF(DB560="","",IF(AND(COUNTIF($DA$2:$DA$47,DB560)=0,COUNTIF($DB$2:DB560,DB560)=1),559,""))</f>
        <v/>
      </c>
    </row>
    <row r="561">
      <c r="A561" s="74" t="n"/>
      <c r="B561" s="75" t="n"/>
      <c r="C561" s="76" t="n"/>
      <c r="J561" s="62" t="n"/>
      <c r="K561" s="62" t="n"/>
      <c r="L561" s="62" t="n"/>
      <c r="M561" s="62" t="n"/>
      <c r="N561" s="62" t="n"/>
      <c r="DB561">
        <f>IF('История отказов'!AH564="","",'История отказов'!AH564)</f>
        <v/>
      </c>
      <c r="DC561">
        <f>IF('История отказов'!AE564="","",IF(AND(COUNTIF($CT$2:$CT$2,'История отказов'!AE564)=0,COUNTIFS('История отказов'!$F$5:F564,"ШГН",'История отказов'!$AE$5:AE564,'История отказов'!AE564)=1,'История отказов'!F564="ШГН"),560,""))</f>
        <v/>
      </c>
      <c r="DD561">
        <f>IF('История отказов'!AE564="","",IF(AND(COUNTIF($CU$2:$CU$3,'История отказов'!AE564)=0,COUNTIFS('История отказов'!$F$5:F564,"ЭЦН",'История отказов'!$AE$5:AE564,'История отказов'!AE564)=1,'История отказов'!F564="ЭЦН"),560,""))</f>
        <v/>
      </c>
      <c r="DE561">
        <f>IF('История отказов'!AE564="","",IF(AND(COUNTIF($CV$2:$CV$3,'История отказов'!AE564)=0,COUNTIFS('История отказов'!$F$5:F564,"ЭВН",'История отказов'!$AE$5:AE564,'История отказов'!AE564)=1,'История отказов'!F564="ЭВН"),560,""))</f>
        <v/>
      </c>
      <c r="DF561">
        <f>IF('История отказов'!AE564="","",IF(AND(COUNTIF($CX$2:$CX$2,'История отказов'!AE564)=0,COUNTIFS('История отказов'!$F$5:F564,"ШВН",'История отказов'!$AE$5:AE564,'История отказов'!AE564)=1,'История отказов'!F564="ШВН"),560,""))</f>
        <v/>
      </c>
      <c r="DG561">
        <f>IF('История отказов'!AE564="","",IF(AND(COUNTIF($CW$2:$CW$2,'История отказов'!AE564)=0,COUNTIFS('История отказов'!$F$5:F564,"НПУ-ВД",'История отказов'!$AE$5:AE564,'История отказов'!AE564)=1,'История отказов'!F564="НПУ-ВД"),560,""))</f>
        <v/>
      </c>
      <c r="DH561">
        <f>IF('История отказов'!AE564="","",IF(AND(COUNTIF($CY$2:$CY$6,'История отказов'!AE564)=0,COUNTIF('История отказов'!$AE$5:AE564,'История отказов'!AE564)=1),560,""))</f>
        <v/>
      </c>
      <c r="DI561">
        <f>IF('История отказов'!AK564="","",IF(AND(COUNTIF($CL$2:$CL$3,'История отказов'!AK564)=0,COUNTIF('История отказов'!$AK$5:AK564,'История отказов'!AK564)=1),560,""))</f>
        <v/>
      </c>
      <c r="DJ561">
        <f>IF('История отказов'!AU564="","",IF(AND(COUNTIF($CP$2:$CP$3,'История отказов'!AU564)=0,COUNTIF('История отказов'!$AU$5:AU564,'История отказов'!AU564)=1),560,""))</f>
        <v/>
      </c>
      <c r="DK561">
        <f>IF('История отказов'!AY564="","",IF(AND(COUNTIF($CR$2:$CR$2,'История отказов'!AY564)=0,COUNTIF('История отказов'!$AY$5:AY564,'История отказов'!AY564)=1),560,""))</f>
        <v/>
      </c>
      <c r="DL561">
        <f>IF(DB561="","",IF(AND(COUNTIF($DA$2:$DA$47,DB561)=0,COUNTIF($DB$2:DB561,DB561)=1),560,""))</f>
        <v/>
      </c>
    </row>
    <row r="562">
      <c r="A562" s="74" t="n"/>
      <c r="B562" s="75" t="n"/>
      <c r="C562" s="76" t="n"/>
      <c r="J562" s="62" t="n"/>
      <c r="K562" s="62" t="n"/>
      <c r="L562" s="62" t="n"/>
      <c r="M562" s="62" t="n"/>
      <c r="N562" s="62" t="n"/>
      <c r="DB562">
        <f>IF('История отказов'!AH565="","",'История отказов'!AH565)</f>
        <v/>
      </c>
      <c r="DC562">
        <f>IF('История отказов'!AE565="","",IF(AND(COUNTIF($CT$2:$CT$2,'История отказов'!AE565)=0,COUNTIFS('История отказов'!$F$5:F565,"ШГН",'История отказов'!$AE$5:AE565,'История отказов'!AE565)=1,'История отказов'!F565="ШГН"),561,""))</f>
        <v/>
      </c>
      <c r="DD562">
        <f>IF('История отказов'!AE565="","",IF(AND(COUNTIF($CU$2:$CU$3,'История отказов'!AE565)=0,COUNTIFS('История отказов'!$F$5:F565,"ЭЦН",'История отказов'!$AE$5:AE565,'История отказов'!AE565)=1,'История отказов'!F565="ЭЦН"),561,""))</f>
        <v/>
      </c>
      <c r="DE562">
        <f>IF('История отказов'!AE565="","",IF(AND(COUNTIF($CV$2:$CV$3,'История отказов'!AE565)=0,COUNTIFS('История отказов'!$F$5:F565,"ЭВН",'История отказов'!$AE$5:AE565,'История отказов'!AE565)=1,'История отказов'!F565="ЭВН"),561,""))</f>
        <v/>
      </c>
      <c r="DF562">
        <f>IF('История отказов'!AE565="","",IF(AND(COUNTIF($CX$2:$CX$2,'История отказов'!AE565)=0,COUNTIFS('История отказов'!$F$5:F565,"ШВН",'История отказов'!$AE$5:AE565,'История отказов'!AE565)=1,'История отказов'!F565="ШВН"),561,""))</f>
        <v/>
      </c>
      <c r="DG562">
        <f>IF('История отказов'!AE565="","",IF(AND(COUNTIF($CW$2:$CW$2,'История отказов'!AE565)=0,COUNTIFS('История отказов'!$F$5:F565,"НПУ-ВД",'История отказов'!$AE$5:AE565,'История отказов'!AE565)=1,'История отказов'!F565="НПУ-ВД"),561,""))</f>
        <v/>
      </c>
      <c r="DH562">
        <f>IF('История отказов'!AE565="","",IF(AND(COUNTIF($CY$2:$CY$6,'История отказов'!AE565)=0,COUNTIF('История отказов'!$AE$5:AE565,'История отказов'!AE565)=1),561,""))</f>
        <v/>
      </c>
      <c r="DI562">
        <f>IF('История отказов'!AK565="","",IF(AND(COUNTIF($CL$2:$CL$3,'История отказов'!AK565)=0,COUNTIF('История отказов'!$AK$5:AK565,'История отказов'!AK565)=1),561,""))</f>
        <v/>
      </c>
      <c r="DJ562">
        <f>IF('История отказов'!AU565="","",IF(AND(COUNTIF($CP$2:$CP$3,'История отказов'!AU565)=0,COUNTIF('История отказов'!$AU$5:AU565,'История отказов'!AU565)=1),561,""))</f>
        <v/>
      </c>
      <c r="DK562">
        <f>IF('История отказов'!AY565="","",IF(AND(COUNTIF($CR$2:$CR$2,'История отказов'!AY565)=0,COUNTIF('История отказов'!$AY$5:AY565,'История отказов'!AY565)=1),561,""))</f>
        <v/>
      </c>
      <c r="DL562">
        <f>IF(DB562="","",IF(AND(COUNTIF($DA$2:$DA$47,DB562)=0,COUNTIF($DB$2:DB562,DB562)=1),561,""))</f>
        <v/>
      </c>
    </row>
    <row r="563">
      <c r="A563" s="74" t="n"/>
      <c r="B563" s="75" t="n"/>
      <c r="C563" s="76" t="n"/>
      <c r="J563" s="62" t="n"/>
      <c r="K563" s="62" t="n"/>
      <c r="L563" s="62" t="n"/>
      <c r="M563" s="62" t="n"/>
      <c r="N563" s="62" t="n"/>
      <c r="DB563">
        <f>IF('История отказов'!AH566="","",'История отказов'!AH566)</f>
        <v/>
      </c>
      <c r="DC563">
        <f>IF('История отказов'!AE566="","",IF(AND(COUNTIF($CT$2:$CT$2,'История отказов'!AE566)=0,COUNTIFS('История отказов'!$F$5:F566,"ШГН",'История отказов'!$AE$5:AE566,'История отказов'!AE566)=1,'История отказов'!F566="ШГН"),562,""))</f>
        <v/>
      </c>
      <c r="DD563">
        <f>IF('История отказов'!AE566="","",IF(AND(COUNTIF($CU$2:$CU$3,'История отказов'!AE566)=0,COUNTIFS('История отказов'!$F$5:F566,"ЭЦН",'История отказов'!$AE$5:AE566,'История отказов'!AE566)=1,'История отказов'!F566="ЭЦН"),562,""))</f>
        <v/>
      </c>
      <c r="DE563">
        <f>IF('История отказов'!AE566="","",IF(AND(COUNTIF($CV$2:$CV$3,'История отказов'!AE566)=0,COUNTIFS('История отказов'!$F$5:F566,"ЭВН",'История отказов'!$AE$5:AE566,'История отказов'!AE566)=1,'История отказов'!F566="ЭВН"),562,""))</f>
        <v/>
      </c>
      <c r="DF563">
        <f>IF('История отказов'!AE566="","",IF(AND(COUNTIF($CX$2:$CX$2,'История отказов'!AE566)=0,COUNTIFS('История отказов'!$F$5:F566,"ШВН",'История отказов'!$AE$5:AE566,'История отказов'!AE566)=1,'История отказов'!F566="ШВН"),562,""))</f>
        <v/>
      </c>
      <c r="DG563">
        <f>IF('История отказов'!AE566="","",IF(AND(COUNTIF($CW$2:$CW$2,'История отказов'!AE566)=0,COUNTIFS('История отказов'!$F$5:F566,"НПУ-ВД",'История отказов'!$AE$5:AE566,'История отказов'!AE566)=1,'История отказов'!F566="НПУ-ВД"),562,""))</f>
        <v/>
      </c>
      <c r="DH563">
        <f>IF('История отказов'!AE566="","",IF(AND(COUNTIF($CY$2:$CY$6,'История отказов'!AE566)=0,COUNTIF('История отказов'!$AE$5:AE566,'История отказов'!AE566)=1),562,""))</f>
        <v/>
      </c>
      <c r="DI563">
        <f>IF('История отказов'!AK566="","",IF(AND(COUNTIF($CL$2:$CL$3,'История отказов'!AK566)=0,COUNTIF('История отказов'!$AK$5:AK566,'История отказов'!AK566)=1),562,""))</f>
        <v/>
      </c>
      <c r="DJ563">
        <f>IF('История отказов'!AU566="","",IF(AND(COUNTIF($CP$2:$CP$3,'История отказов'!AU566)=0,COUNTIF('История отказов'!$AU$5:AU566,'История отказов'!AU566)=1),562,""))</f>
        <v/>
      </c>
      <c r="DK563">
        <f>IF('История отказов'!AY566="","",IF(AND(COUNTIF($CR$2:$CR$2,'История отказов'!AY566)=0,COUNTIF('История отказов'!$AY$5:AY566,'История отказов'!AY566)=1),562,""))</f>
        <v/>
      </c>
      <c r="DL563">
        <f>IF(DB563="","",IF(AND(COUNTIF($DA$2:$DA$47,DB563)=0,COUNTIF($DB$2:DB563,DB563)=1),562,""))</f>
        <v/>
      </c>
    </row>
    <row r="564">
      <c r="A564" s="74" t="n"/>
      <c r="B564" s="75" t="n"/>
      <c r="C564" s="76" t="n"/>
      <c r="J564" s="62" t="n"/>
      <c r="K564" s="62" t="n"/>
      <c r="L564" s="62" t="n"/>
      <c r="M564" s="62" t="n"/>
      <c r="N564" s="62" t="n"/>
      <c r="DB564">
        <f>IF('История отказов'!AH567="","",'История отказов'!AH567)</f>
        <v/>
      </c>
      <c r="DC564">
        <f>IF('История отказов'!AE567="","",IF(AND(COUNTIF($CT$2:$CT$2,'История отказов'!AE567)=0,COUNTIFS('История отказов'!$F$5:F567,"ШГН",'История отказов'!$AE$5:AE567,'История отказов'!AE567)=1,'История отказов'!F567="ШГН"),563,""))</f>
        <v/>
      </c>
      <c r="DD564">
        <f>IF('История отказов'!AE567="","",IF(AND(COUNTIF($CU$2:$CU$3,'История отказов'!AE567)=0,COUNTIFS('История отказов'!$F$5:F567,"ЭЦН",'История отказов'!$AE$5:AE567,'История отказов'!AE567)=1,'История отказов'!F567="ЭЦН"),563,""))</f>
        <v/>
      </c>
      <c r="DE564">
        <f>IF('История отказов'!AE567="","",IF(AND(COUNTIF($CV$2:$CV$3,'История отказов'!AE567)=0,COUNTIFS('История отказов'!$F$5:F567,"ЭВН",'История отказов'!$AE$5:AE567,'История отказов'!AE567)=1,'История отказов'!F567="ЭВН"),563,""))</f>
        <v/>
      </c>
      <c r="DF564">
        <f>IF('История отказов'!AE567="","",IF(AND(COUNTIF($CX$2:$CX$2,'История отказов'!AE567)=0,COUNTIFS('История отказов'!$F$5:F567,"ШВН",'История отказов'!$AE$5:AE567,'История отказов'!AE567)=1,'История отказов'!F567="ШВН"),563,""))</f>
        <v/>
      </c>
      <c r="DG564">
        <f>IF('История отказов'!AE567="","",IF(AND(COUNTIF($CW$2:$CW$2,'История отказов'!AE567)=0,COUNTIFS('История отказов'!$F$5:F567,"НПУ-ВД",'История отказов'!$AE$5:AE567,'История отказов'!AE567)=1,'История отказов'!F567="НПУ-ВД"),563,""))</f>
        <v/>
      </c>
      <c r="DH564">
        <f>IF('История отказов'!AE567="","",IF(AND(COUNTIF($CY$2:$CY$6,'История отказов'!AE567)=0,COUNTIF('История отказов'!$AE$5:AE567,'История отказов'!AE567)=1),563,""))</f>
        <v/>
      </c>
      <c r="DI564">
        <f>IF('История отказов'!AK567="","",IF(AND(COUNTIF($CL$2:$CL$3,'История отказов'!AK567)=0,COUNTIF('История отказов'!$AK$5:AK567,'История отказов'!AK567)=1),563,""))</f>
        <v/>
      </c>
      <c r="DJ564">
        <f>IF('История отказов'!AU567="","",IF(AND(COUNTIF($CP$2:$CP$3,'История отказов'!AU567)=0,COUNTIF('История отказов'!$AU$5:AU567,'История отказов'!AU567)=1),563,""))</f>
        <v/>
      </c>
      <c r="DK564">
        <f>IF('История отказов'!AY567="","",IF(AND(COUNTIF($CR$2:$CR$2,'История отказов'!AY567)=0,COUNTIF('История отказов'!$AY$5:AY567,'История отказов'!AY567)=1),563,""))</f>
        <v/>
      </c>
      <c r="DL564">
        <f>IF(DB564="","",IF(AND(COUNTIF($DA$2:$DA$47,DB564)=0,COUNTIF($DB$2:DB564,DB564)=1),563,""))</f>
        <v/>
      </c>
    </row>
    <row r="565">
      <c r="A565" s="74" t="n"/>
      <c r="B565" s="75" t="n"/>
      <c r="C565" s="76" t="n"/>
      <c r="J565" s="62" t="n"/>
      <c r="K565" s="62" t="n"/>
      <c r="L565" s="62" t="n"/>
      <c r="M565" s="62" t="n"/>
      <c r="N565" s="62" t="n"/>
      <c r="DB565">
        <f>IF('История отказов'!AH568="","",'История отказов'!AH568)</f>
        <v/>
      </c>
      <c r="DC565">
        <f>IF('История отказов'!AE568="","",IF(AND(COUNTIF($CT$2:$CT$2,'История отказов'!AE568)=0,COUNTIFS('История отказов'!$F$5:F568,"ШГН",'История отказов'!$AE$5:AE568,'История отказов'!AE568)=1,'История отказов'!F568="ШГН"),564,""))</f>
        <v/>
      </c>
      <c r="DD565">
        <f>IF('История отказов'!AE568="","",IF(AND(COUNTIF($CU$2:$CU$3,'История отказов'!AE568)=0,COUNTIFS('История отказов'!$F$5:F568,"ЭЦН",'История отказов'!$AE$5:AE568,'История отказов'!AE568)=1,'История отказов'!F568="ЭЦН"),564,""))</f>
        <v/>
      </c>
      <c r="DE565">
        <f>IF('История отказов'!AE568="","",IF(AND(COUNTIF($CV$2:$CV$3,'История отказов'!AE568)=0,COUNTIFS('История отказов'!$F$5:F568,"ЭВН",'История отказов'!$AE$5:AE568,'История отказов'!AE568)=1,'История отказов'!F568="ЭВН"),564,""))</f>
        <v/>
      </c>
      <c r="DF565">
        <f>IF('История отказов'!AE568="","",IF(AND(COUNTIF($CX$2:$CX$2,'История отказов'!AE568)=0,COUNTIFS('История отказов'!$F$5:F568,"ШВН",'История отказов'!$AE$5:AE568,'История отказов'!AE568)=1,'История отказов'!F568="ШВН"),564,""))</f>
        <v/>
      </c>
      <c r="DG565">
        <f>IF('История отказов'!AE568="","",IF(AND(COUNTIF($CW$2:$CW$2,'История отказов'!AE568)=0,COUNTIFS('История отказов'!$F$5:F568,"НПУ-ВД",'История отказов'!$AE$5:AE568,'История отказов'!AE568)=1,'История отказов'!F568="НПУ-ВД"),564,""))</f>
        <v/>
      </c>
      <c r="DH565">
        <f>IF('История отказов'!AE568="","",IF(AND(COUNTIF($CY$2:$CY$6,'История отказов'!AE568)=0,COUNTIF('История отказов'!$AE$5:AE568,'История отказов'!AE568)=1),564,""))</f>
        <v/>
      </c>
      <c r="DI565">
        <f>IF('История отказов'!AK568="","",IF(AND(COUNTIF($CL$2:$CL$3,'История отказов'!AK568)=0,COUNTIF('История отказов'!$AK$5:AK568,'История отказов'!AK568)=1),564,""))</f>
        <v/>
      </c>
      <c r="DJ565">
        <f>IF('История отказов'!AU568="","",IF(AND(COUNTIF($CP$2:$CP$3,'История отказов'!AU568)=0,COUNTIF('История отказов'!$AU$5:AU568,'История отказов'!AU568)=1),564,""))</f>
        <v/>
      </c>
      <c r="DK565">
        <f>IF('История отказов'!AY568="","",IF(AND(COUNTIF($CR$2:$CR$2,'История отказов'!AY568)=0,COUNTIF('История отказов'!$AY$5:AY568,'История отказов'!AY568)=1),564,""))</f>
        <v/>
      </c>
      <c r="DL565">
        <f>IF(DB565="","",IF(AND(COUNTIF($DA$2:$DA$47,DB565)=0,COUNTIF($DB$2:DB565,DB565)=1),564,""))</f>
        <v/>
      </c>
    </row>
    <row r="566">
      <c r="A566" s="74" t="n"/>
      <c r="B566" s="75" t="n"/>
      <c r="C566" s="76" t="n"/>
      <c r="J566" s="62" t="n"/>
      <c r="K566" s="62" t="n"/>
      <c r="L566" s="62" t="n"/>
      <c r="M566" s="62" t="n"/>
      <c r="N566" s="62" t="n"/>
      <c r="DB566">
        <f>IF('История отказов'!AH569="","",'История отказов'!AH569)</f>
        <v/>
      </c>
      <c r="DC566">
        <f>IF('История отказов'!AE569="","",IF(AND(COUNTIF($CT$2:$CT$2,'История отказов'!AE569)=0,COUNTIFS('История отказов'!$F$5:F569,"ШГН",'История отказов'!$AE$5:AE569,'История отказов'!AE569)=1,'История отказов'!F569="ШГН"),565,""))</f>
        <v/>
      </c>
      <c r="DD566">
        <f>IF('История отказов'!AE569="","",IF(AND(COUNTIF($CU$2:$CU$3,'История отказов'!AE569)=0,COUNTIFS('История отказов'!$F$5:F569,"ЭЦН",'История отказов'!$AE$5:AE569,'История отказов'!AE569)=1,'История отказов'!F569="ЭЦН"),565,""))</f>
        <v/>
      </c>
      <c r="DE566">
        <f>IF('История отказов'!AE569="","",IF(AND(COUNTIF($CV$2:$CV$3,'История отказов'!AE569)=0,COUNTIFS('История отказов'!$F$5:F569,"ЭВН",'История отказов'!$AE$5:AE569,'История отказов'!AE569)=1,'История отказов'!F569="ЭВН"),565,""))</f>
        <v/>
      </c>
      <c r="DF566">
        <f>IF('История отказов'!AE569="","",IF(AND(COUNTIF($CX$2:$CX$2,'История отказов'!AE569)=0,COUNTIFS('История отказов'!$F$5:F569,"ШВН",'История отказов'!$AE$5:AE569,'История отказов'!AE569)=1,'История отказов'!F569="ШВН"),565,""))</f>
        <v/>
      </c>
      <c r="DG566">
        <f>IF('История отказов'!AE569="","",IF(AND(COUNTIF($CW$2:$CW$2,'История отказов'!AE569)=0,COUNTIFS('История отказов'!$F$5:F569,"НПУ-ВД",'История отказов'!$AE$5:AE569,'История отказов'!AE569)=1,'История отказов'!F569="НПУ-ВД"),565,""))</f>
        <v/>
      </c>
      <c r="DH566">
        <f>IF('История отказов'!AE569="","",IF(AND(COUNTIF($CY$2:$CY$6,'История отказов'!AE569)=0,COUNTIF('История отказов'!$AE$5:AE569,'История отказов'!AE569)=1),565,""))</f>
        <v/>
      </c>
      <c r="DI566">
        <f>IF('История отказов'!AK569="","",IF(AND(COUNTIF($CL$2:$CL$3,'История отказов'!AK569)=0,COUNTIF('История отказов'!$AK$5:AK569,'История отказов'!AK569)=1),565,""))</f>
        <v/>
      </c>
      <c r="DJ566">
        <f>IF('История отказов'!AU569="","",IF(AND(COUNTIF($CP$2:$CP$3,'История отказов'!AU569)=0,COUNTIF('История отказов'!$AU$5:AU569,'История отказов'!AU569)=1),565,""))</f>
        <v/>
      </c>
      <c r="DK566">
        <f>IF('История отказов'!AY569="","",IF(AND(COUNTIF($CR$2:$CR$2,'История отказов'!AY569)=0,COUNTIF('История отказов'!$AY$5:AY569,'История отказов'!AY569)=1),565,""))</f>
        <v/>
      </c>
      <c r="DL566">
        <f>IF(DB566="","",IF(AND(COUNTIF($DA$2:$DA$47,DB566)=0,COUNTIF($DB$2:DB566,DB566)=1),565,""))</f>
        <v/>
      </c>
    </row>
    <row r="567">
      <c r="A567" s="74" t="n"/>
      <c r="B567" s="75" t="n"/>
      <c r="C567" s="76" t="n"/>
      <c r="J567" s="62" t="n"/>
      <c r="K567" s="62" t="n"/>
      <c r="L567" s="62" t="n"/>
      <c r="M567" s="62" t="n"/>
      <c r="N567" s="62" t="n"/>
      <c r="DB567">
        <f>IF('История отказов'!AH570="","",'История отказов'!AH570)</f>
        <v/>
      </c>
      <c r="DC567">
        <f>IF('История отказов'!AE570="","",IF(AND(COUNTIF($CT$2:$CT$2,'История отказов'!AE570)=0,COUNTIFS('История отказов'!$F$5:F570,"ШГН",'История отказов'!$AE$5:AE570,'История отказов'!AE570)=1,'История отказов'!F570="ШГН"),566,""))</f>
        <v/>
      </c>
      <c r="DD567">
        <f>IF('История отказов'!AE570="","",IF(AND(COUNTIF($CU$2:$CU$3,'История отказов'!AE570)=0,COUNTIFS('История отказов'!$F$5:F570,"ЭЦН",'История отказов'!$AE$5:AE570,'История отказов'!AE570)=1,'История отказов'!F570="ЭЦН"),566,""))</f>
        <v/>
      </c>
      <c r="DE567">
        <f>IF('История отказов'!AE570="","",IF(AND(COUNTIF($CV$2:$CV$3,'История отказов'!AE570)=0,COUNTIFS('История отказов'!$F$5:F570,"ЭВН",'История отказов'!$AE$5:AE570,'История отказов'!AE570)=1,'История отказов'!F570="ЭВН"),566,""))</f>
        <v/>
      </c>
      <c r="DF567">
        <f>IF('История отказов'!AE570="","",IF(AND(COUNTIF($CX$2:$CX$2,'История отказов'!AE570)=0,COUNTIFS('История отказов'!$F$5:F570,"ШВН",'История отказов'!$AE$5:AE570,'История отказов'!AE570)=1,'История отказов'!F570="ШВН"),566,""))</f>
        <v/>
      </c>
      <c r="DG567">
        <f>IF('История отказов'!AE570="","",IF(AND(COUNTIF($CW$2:$CW$2,'История отказов'!AE570)=0,COUNTIFS('История отказов'!$F$5:F570,"НПУ-ВД",'История отказов'!$AE$5:AE570,'История отказов'!AE570)=1,'История отказов'!F570="НПУ-ВД"),566,""))</f>
        <v/>
      </c>
      <c r="DH567">
        <f>IF('История отказов'!AE570="","",IF(AND(COUNTIF($CY$2:$CY$6,'История отказов'!AE570)=0,COUNTIF('История отказов'!$AE$5:AE570,'История отказов'!AE570)=1),566,""))</f>
        <v/>
      </c>
      <c r="DI567">
        <f>IF('История отказов'!AK570="","",IF(AND(COUNTIF($CL$2:$CL$3,'История отказов'!AK570)=0,COUNTIF('История отказов'!$AK$5:AK570,'История отказов'!AK570)=1),566,""))</f>
        <v/>
      </c>
      <c r="DJ567">
        <f>IF('История отказов'!AU570="","",IF(AND(COUNTIF($CP$2:$CP$3,'История отказов'!AU570)=0,COUNTIF('История отказов'!$AU$5:AU570,'История отказов'!AU570)=1),566,""))</f>
        <v/>
      </c>
      <c r="DK567">
        <f>IF('История отказов'!AY570="","",IF(AND(COUNTIF($CR$2:$CR$2,'История отказов'!AY570)=0,COUNTIF('История отказов'!$AY$5:AY570,'История отказов'!AY570)=1),566,""))</f>
        <v/>
      </c>
      <c r="DL567">
        <f>IF(DB567="","",IF(AND(COUNTIF($DA$2:$DA$47,DB567)=0,COUNTIF($DB$2:DB567,DB567)=1),566,""))</f>
        <v/>
      </c>
    </row>
    <row r="568">
      <c r="A568" s="74" t="n"/>
      <c r="B568" s="75" t="n"/>
      <c r="C568" s="76" t="n"/>
      <c r="J568" s="62" t="n"/>
      <c r="K568" s="62" t="n"/>
      <c r="L568" s="62" t="n"/>
      <c r="M568" s="62" t="n"/>
      <c r="N568" s="62" t="n"/>
      <c r="DB568">
        <f>IF('История отказов'!AH571="","",'История отказов'!AH571)</f>
        <v/>
      </c>
      <c r="DC568">
        <f>IF('История отказов'!AE571="","",IF(AND(COUNTIF($CT$2:$CT$2,'История отказов'!AE571)=0,COUNTIFS('История отказов'!$F$5:F571,"ШГН",'История отказов'!$AE$5:AE571,'История отказов'!AE571)=1,'История отказов'!F571="ШГН"),567,""))</f>
        <v/>
      </c>
      <c r="DD568">
        <f>IF('История отказов'!AE571="","",IF(AND(COUNTIF($CU$2:$CU$3,'История отказов'!AE571)=0,COUNTIFS('История отказов'!$F$5:F571,"ЭЦН",'История отказов'!$AE$5:AE571,'История отказов'!AE571)=1,'История отказов'!F571="ЭЦН"),567,""))</f>
        <v/>
      </c>
      <c r="DE568">
        <f>IF('История отказов'!AE571="","",IF(AND(COUNTIF($CV$2:$CV$3,'История отказов'!AE571)=0,COUNTIFS('История отказов'!$F$5:F571,"ЭВН",'История отказов'!$AE$5:AE571,'История отказов'!AE571)=1,'История отказов'!F571="ЭВН"),567,""))</f>
        <v/>
      </c>
      <c r="DF568">
        <f>IF('История отказов'!AE571="","",IF(AND(COUNTIF($CX$2:$CX$2,'История отказов'!AE571)=0,COUNTIFS('История отказов'!$F$5:F571,"ШВН",'История отказов'!$AE$5:AE571,'История отказов'!AE571)=1,'История отказов'!F571="ШВН"),567,""))</f>
        <v/>
      </c>
      <c r="DG568">
        <f>IF('История отказов'!AE571="","",IF(AND(COUNTIF($CW$2:$CW$2,'История отказов'!AE571)=0,COUNTIFS('История отказов'!$F$5:F571,"НПУ-ВД",'История отказов'!$AE$5:AE571,'История отказов'!AE571)=1,'История отказов'!F571="НПУ-ВД"),567,""))</f>
        <v/>
      </c>
      <c r="DH568">
        <f>IF('История отказов'!AE571="","",IF(AND(COUNTIF($CY$2:$CY$6,'История отказов'!AE571)=0,COUNTIF('История отказов'!$AE$5:AE571,'История отказов'!AE571)=1),567,""))</f>
        <v/>
      </c>
      <c r="DI568">
        <f>IF('История отказов'!AK571="","",IF(AND(COUNTIF($CL$2:$CL$3,'История отказов'!AK571)=0,COUNTIF('История отказов'!$AK$5:AK571,'История отказов'!AK571)=1),567,""))</f>
        <v/>
      </c>
      <c r="DJ568">
        <f>IF('История отказов'!AU571="","",IF(AND(COUNTIF($CP$2:$CP$3,'История отказов'!AU571)=0,COUNTIF('История отказов'!$AU$5:AU571,'История отказов'!AU571)=1),567,""))</f>
        <v/>
      </c>
      <c r="DK568">
        <f>IF('История отказов'!AY571="","",IF(AND(COUNTIF($CR$2:$CR$2,'История отказов'!AY571)=0,COUNTIF('История отказов'!$AY$5:AY571,'История отказов'!AY571)=1),567,""))</f>
        <v/>
      </c>
      <c r="DL568">
        <f>IF(DB568="","",IF(AND(COUNTIF($DA$2:$DA$47,DB568)=0,COUNTIF($DB$2:DB568,DB568)=1),567,""))</f>
        <v/>
      </c>
    </row>
    <row r="569">
      <c r="A569" s="74" t="n"/>
      <c r="B569" s="75" t="n"/>
      <c r="C569" s="76" t="n"/>
      <c r="J569" s="62" t="n"/>
      <c r="K569" s="62" t="n"/>
      <c r="L569" s="62" t="n"/>
      <c r="M569" s="62" t="n"/>
      <c r="N569" s="62" t="n"/>
      <c r="DB569">
        <f>IF('История отказов'!AH572="","",'История отказов'!AH572)</f>
        <v/>
      </c>
      <c r="DC569">
        <f>IF('История отказов'!AE572="","",IF(AND(COUNTIF($CT$2:$CT$2,'История отказов'!AE572)=0,COUNTIFS('История отказов'!$F$5:F572,"ШГН",'История отказов'!$AE$5:AE572,'История отказов'!AE572)=1,'История отказов'!F572="ШГН"),568,""))</f>
        <v/>
      </c>
      <c r="DD569">
        <f>IF('История отказов'!AE572="","",IF(AND(COUNTIF($CU$2:$CU$3,'История отказов'!AE572)=0,COUNTIFS('История отказов'!$F$5:F572,"ЭЦН",'История отказов'!$AE$5:AE572,'История отказов'!AE572)=1,'История отказов'!F572="ЭЦН"),568,""))</f>
        <v/>
      </c>
      <c r="DE569">
        <f>IF('История отказов'!AE572="","",IF(AND(COUNTIF($CV$2:$CV$3,'История отказов'!AE572)=0,COUNTIFS('История отказов'!$F$5:F572,"ЭВН",'История отказов'!$AE$5:AE572,'История отказов'!AE572)=1,'История отказов'!F572="ЭВН"),568,""))</f>
        <v/>
      </c>
      <c r="DF569">
        <f>IF('История отказов'!AE572="","",IF(AND(COUNTIF($CX$2:$CX$2,'История отказов'!AE572)=0,COUNTIFS('История отказов'!$F$5:F572,"ШВН",'История отказов'!$AE$5:AE572,'История отказов'!AE572)=1,'История отказов'!F572="ШВН"),568,""))</f>
        <v/>
      </c>
      <c r="DG569">
        <f>IF('История отказов'!AE572="","",IF(AND(COUNTIF($CW$2:$CW$2,'История отказов'!AE572)=0,COUNTIFS('История отказов'!$F$5:F572,"НПУ-ВД",'История отказов'!$AE$5:AE572,'История отказов'!AE572)=1,'История отказов'!F572="НПУ-ВД"),568,""))</f>
        <v/>
      </c>
      <c r="DH569">
        <f>IF('История отказов'!AE572="","",IF(AND(COUNTIF($CY$2:$CY$6,'История отказов'!AE572)=0,COUNTIF('История отказов'!$AE$5:AE572,'История отказов'!AE572)=1),568,""))</f>
        <v/>
      </c>
      <c r="DI569">
        <f>IF('История отказов'!AK572="","",IF(AND(COUNTIF($CL$2:$CL$3,'История отказов'!AK572)=0,COUNTIF('История отказов'!$AK$5:AK572,'История отказов'!AK572)=1),568,""))</f>
        <v/>
      </c>
      <c r="DJ569">
        <f>IF('История отказов'!AU572="","",IF(AND(COUNTIF($CP$2:$CP$3,'История отказов'!AU572)=0,COUNTIF('История отказов'!$AU$5:AU572,'История отказов'!AU572)=1),568,""))</f>
        <v/>
      </c>
      <c r="DK569">
        <f>IF('История отказов'!AY572="","",IF(AND(COUNTIF($CR$2:$CR$2,'История отказов'!AY572)=0,COUNTIF('История отказов'!$AY$5:AY572,'История отказов'!AY572)=1),568,""))</f>
        <v/>
      </c>
      <c r="DL569">
        <f>IF(DB569="","",IF(AND(COUNTIF($DA$2:$DA$47,DB569)=0,COUNTIF($DB$2:DB569,DB569)=1),568,""))</f>
        <v/>
      </c>
    </row>
    <row r="570">
      <c r="A570" s="74" t="n"/>
      <c r="B570" s="75" t="n"/>
      <c r="C570" s="76" t="n"/>
      <c r="J570" s="62" t="n"/>
      <c r="K570" s="62" t="n"/>
      <c r="L570" s="62" t="n"/>
      <c r="M570" s="62" t="n"/>
      <c r="N570" s="62" t="n"/>
      <c r="DB570">
        <f>IF('История отказов'!AH573="","",'История отказов'!AH573)</f>
        <v/>
      </c>
      <c r="DC570">
        <f>IF('История отказов'!AE573="","",IF(AND(COUNTIF($CT$2:$CT$2,'История отказов'!AE573)=0,COUNTIFS('История отказов'!$F$5:F573,"ШГН",'История отказов'!$AE$5:AE573,'История отказов'!AE573)=1,'История отказов'!F573="ШГН"),569,""))</f>
        <v/>
      </c>
      <c r="DD570">
        <f>IF('История отказов'!AE573="","",IF(AND(COUNTIF($CU$2:$CU$3,'История отказов'!AE573)=0,COUNTIFS('История отказов'!$F$5:F573,"ЭЦН",'История отказов'!$AE$5:AE573,'История отказов'!AE573)=1,'История отказов'!F573="ЭЦН"),569,""))</f>
        <v/>
      </c>
      <c r="DE570">
        <f>IF('История отказов'!AE573="","",IF(AND(COUNTIF($CV$2:$CV$3,'История отказов'!AE573)=0,COUNTIFS('История отказов'!$F$5:F573,"ЭВН",'История отказов'!$AE$5:AE573,'История отказов'!AE573)=1,'История отказов'!F573="ЭВН"),569,""))</f>
        <v/>
      </c>
      <c r="DF570">
        <f>IF('История отказов'!AE573="","",IF(AND(COUNTIF($CX$2:$CX$2,'История отказов'!AE573)=0,COUNTIFS('История отказов'!$F$5:F573,"ШВН",'История отказов'!$AE$5:AE573,'История отказов'!AE573)=1,'История отказов'!F573="ШВН"),569,""))</f>
        <v/>
      </c>
      <c r="DG570">
        <f>IF('История отказов'!AE573="","",IF(AND(COUNTIF($CW$2:$CW$2,'История отказов'!AE573)=0,COUNTIFS('История отказов'!$F$5:F573,"НПУ-ВД",'История отказов'!$AE$5:AE573,'История отказов'!AE573)=1,'История отказов'!F573="НПУ-ВД"),569,""))</f>
        <v/>
      </c>
      <c r="DH570">
        <f>IF('История отказов'!AE573="","",IF(AND(COUNTIF($CY$2:$CY$6,'История отказов'!AE573)=0,COUNTIF('История отказов'!$AE$5:AE573,'История отказов'!AE573)=1),569,""))</f>
        <v/>
      </c>
      <c r="DI570">
        <f>IF('История отказов'!AK573="","",IF(AND(COUNTIF($CL$2:$CL$3,'История отказов'!AK573)=0,COUNTIF('История отказов'!$AK$5:AK573,'История отказов'!AK573)=1),569,""))</f>
        <v/>
      </c>
      <c r="DJ570">
        <f>IF('История отказов'!AU573="","",IF(AND(COUNTIF($CP$2:$CP$3,'История отказов'!AU573)=0,COUNTIF('История отказов'!$AU$5:AU573,'История отказов'!AU573)=1),569,""))</f>
        <v/>
      </c>
      <c r="DK570">
        <f>IF('История отказов'!AY573="","",IF(AND(COUNTIF($CR$2:$CR$2,'История отказов'!AY573)=0,COUNTIF('История отказов'!$AY$5:AY573,'История отказов'!AY573)=1),569,""))</f>
        <v/>
      </c>
      <c r="DL570">
        <f>IF(DB570="","",IF(AND(COUNTIF($DA$2:$DA$47,DB570)=0,COUNTIF($DB$2:DB570,DB570)=1),569,""))</f>
        <v/>
      </c>
    </row>
    <row r="571">
      <c r="A571" s="74" t="n"/>
      <c r="B571" s="75" t="n"/>
      <c r="C571" s="76" t="n"/>
      <c r="J571" s="62" t="n"/>
      <c r="K571" s="62" t="n"/>
      <c r="L571" s="62" t="n"/>
      <c r="M571" s="62" t="n"/>
      <c r="N571" s="62" t="n"/>
      <c r="DB571">
        <f>IF('История отказов'!AH574="","",'История отказов'!AH574)</f>
        <v/>
      </c>
      <c r="DC571">
        <f>IF('История отказов'!AE574="","",IF(AND(COUNTIF($CT$2:$CT$2,'История отказов'!AE574)=0,COUNTIFS('История отказов'!$F$5:F574,"ШГН",'История отказов'!$AE$5:AE574,'История отказов'!AE574)=1,'История отказов'!F574="ШГН"),570,""))</f>
        <v/>
      </c>
      <c r="DD571">
        <f>IF('История отказов'!AE574="","",IF(AND(COUNTIF($CU$2:$CU$3,'История отказов'!AE574)=0,COUNTIFS('История отказов'!$F$5:F574,"ЭЦН",'История отказов'!$AE$5:AE574,'История отказов'!AE574)=1,'История отказов'!F574="ЭЦН"),570,""))</f>
        <v/>
      </c>
      <c r="DE571">
        <f>IF('История отказов'!AE574="","",IF(AND(COUNTIF($CV$2:$CV$3,'История отказов'!AE574)=0,COUNTIFS('История отказов'!$F$5:F574,"ЭВН",'История отказов'!$AE$5:AE574,'История отказов'!AE574)=1,'История отказов'!F574="ЭВН"),570,""))</f>
        <v/>
      </c>
      <c r="DF571">
        <f>IF('История отказов'!AE574="","",IF(AND(COUNTIF($CX$2:$CX$2,'История отказов'!AE574)=0,COUNTIFS('История отказов'!$F$5:F574,"ШВН",'История отказов'!$AE$5:AE574,'История отказов'!AE574)=1,'История отказов'!F574="ШВН"),570,""))</f>
        <v/>
      </c>
      <c r="DG571">
        <f>IF('История отказов'!AE574="","",IF(AND(COUNTIF($CW$2:$CW$2,'История отказов'!AE574)=0,COUNTIFS('История отказов'!$F$5:F574,"НПУ-ВД",'История отказов'!$AE$5:AE574,'История отказов'!AE574)=1,'История отказов'!F574="НПУ-ВД"),570,""))</f>
        <v/>
      </c>
      <c r="DH571">
        <f>IF('История отказов'!AE574="","",IF(AND(COUNTIF($CY$2:$CY$6,'История отказов'!AE574)=0,COUNTIF('История отказов'!$AE$5:AE574,'История отказов'!AE574)=1),570,""))</f>
        <v/>
      </c>
      <c r="DI571">
        <f>IF('История отказов'!AK574="","",IF(AND(COUNTIF($CL$2:$CL$3,'История отказов'!AK574)=0,COUNTIF('История отказов'!$AK$5:AK574,'История отказов'!AK574)=1),570,""))</f>
        <v/>
      </c>
      <c r="DJ571">
        <f>IF('История отказов'!AU574="","",IF(AND(COUNTIF($CP$2:$CP$3,'История отказов'!AU574)=0,COUNTIF('История отказов'!$AU$5:AU574,'История отказов'!AU574)=1),570,""))</f>
        <v/>
      </c>
      <c r="DK571">
        <f>IF('История отказов'!AY574="","",IF(AND(COUNTIF($CR$2:$CR$2,'История отказов'!AY574)=0,COUNTIF('История отказов'!$AY$5:AY574,'История отказов'!AY574)=1),570,""))</f>
        <v/>
      </c>
      <c r="DL571">
        <f>IF(DB571="","",IF(AND(COUNTIF($DA$2:$DA$47,DB571)=0,COUNTIF($DB$2:DB571,DB571)=1),570,""))</f>
        <v/>
      </c>
    </row>
    <row r="572">
      <c r="A572" s="74" t="n"/>
      <c r="B572" s="75" t="n"/>
      <c r="C572" s="76" t="n"/>
      <c r="J572" s="62" t="n"/>
      <c r="K572" s="62" t="n"/>
      <c r="L572" s="62" t="n"/>
      <c r="M572" s="62" t="n"/>
      <c r="N572" s="62" t="n"/>
      <c r="DB572">
        <f>IF('История отказов'!AH575="","",'История отказов'!AH575)</f>
        <v/>
      </c>
      <c r="DC572">
        <f>IF('История отказов'!AE575="","",IF(AND(COUNTIF($CT$2:$CT$2,'История отказов'!AE575)=0,COUNTIFS('История отказов'!$F$5:F575,"ШГН",'История отказов'!$AE$5:AE575,'История отказов'!AE575)=1,'История отказов'!F575="ШГН"),571,""))</f>
        <v/>
      </c>
      <c r="DD572">
        <f>IF('История отказов'!AE575="","",IF(AND(COUNTIF($CU$2:$CU$3,'История отказов'!AE575)=0,COUNTIFS('История отказов'!$F$5:F575,"ЭЦН",'История отказов'!$AE$5:AE575,'История отказов'!AE575)=1,'История отказов'!F575="ЭЦН"),571,""))</f>
        <v/>
      </c>
      <c r="DE572">
        <f>IF('История отказов'!AE575="","",IF(AND(COUNTIF($CV$2:$CV$3,'История отказов'!AE575)=0,COUNTIFS('История отказов'!$F$5:F575,"ЭВН",'История отказов'!$AE$5:AE575,'История отказов'!AE575)=1,'История отказов'!F575="ЭВН"),571,""))</f>
        <v/>
      </c>
      <c r="DF572">
        <f>IF('История отказов'!AE575="","",IF(AND(COUNTIF($CX$2:$CX$2,'История отказов'!AE575)=0,COUNTIFS('История отказов'!$F$5:F575,"ШВН",'История отказов'!$AE$5:AE575,'История отказов'!AE575)=1,'История отказов'!F575="ШВН"),571,""))</f>
        <v/>
      </c>
      <c r="DG572">
        <f>IF('История отказов'!AE575="","",IF(AND(COUNTIF($CW$2:$CW$2,'История отказов'!AE575)=0,COUNTIFS('История отказов'!$F$5:F575,"НПУ-ВД",'История отказов'!$AE$5:AE575,'История отказов'!AE575)=1,'История отказов'!F575="НПУ-ВД"),571,""))</f>
        <v/>
      </c>
      <c r="DH572">
        <f>IF('История отказов'!AE575="","",IF(AND(COUNTIF($CY$2:$CY$6,'История отказов'!AE575)=0,COUNTIF('История отказов'!$AE$5:AE575,'История отказов'!AE575)=1),571,""))</f>
        <v/>
      </c>
      <c r="DI572">
        <f>IF('История отказов'!AK575="","",IF(AND(COUNTIF($CL$2:$CL$3,'История отказов'!AK575)=0,COUNTIF('История отказов'!$AK$5:AK575,'История отказов'!AK575)=1),571,""))</f>
        <v/>
      </c>
      <c r="DJ572">
        <f>IF('История отказов'!AU575="","",IF(AND(COUNTIF($CP$2:$CP$3,'История отказов'!AU575)=0,COUNTIF('История отказов'!$AU$5:AU575,'История отказов'!AU575)=1),571,""))</f>
        <v/>
      </c>
      <c r="DK572">
        <f>IF('История отказов'!AY575="","",IF(AND(COUNTIF($CR$2:$CR$2,'История отказов'!AY575)=0,COUNTIF('История отказов'!$AY$5:AY575,'История отказов'!AY575)=1),571,""))</f>
        <v/>
      </c>
      <c r="DL572">
        <f>IF(DB572="","",IF(AND(COUNTIF($DA$2:$DA$47,DB572)=0,COUNTIF($DB$2:DB572,DB572)=1),571,""))</f>
        <v/>
      </c>
    </row>
    <row r="573">
      <c r="A573" s="74" t="n"/>
      <c r="B573" s="75" t="n"/>
      <c r="C573" s="76" t="n"/>
      <c r="J573" s="62" t="n"/>
      <c r="K573" s="62" t="n"/>
      <c r="L573" s="62" t="n"/>
      <c r="M573" s="62" t="n"/>
      <c r="N573" s="62" t="n"/>
      <c r="DB573">
        <f>IF('История отказов'!AH576="","",'История отказов'!AH576)</f>
        <v/>
      </c>
      <c r="DC573">
        <f>IF('История отказов'!AE576="","",IF(AND(COUNTIF($CT$2:$CT$2,'История отказов'!AE576)=0,COUNTIFS('История отказов'!$F$5:F576,"ШГН",'История отказов'!$AE$5:AE576,'История отказов'!AE576)=1,'История отказов'!F576="ШГН"),572,""))</f>
        <v/>
      </c>
      <c r="DD573">
        <f>IF('История отказов'!AE576="","",IF(AND(COUNTIF($CU$2:$CU$3,'История отказов'!AE576)=0,COUNTIFS('История отказов'!$F$5:F576,"ЭЦН",'История отказов'!$AE$5:AE576,'История отказов'!AE576)=1,'История отказов'!F576="ЭЦН"),572,""))</f>
        <v/>
      </c>
      <c r="DE573">
        <f>IF('История отказов'!AE576="","",IF(AND(COUNTIF($CV$2:$CV$3,'История отказов'!AE576)=0,COUNTIFS('История отказов'!$F$5:F576,"ЭВН",'История отказов'!$AE$5:AE576,'История отказов'!AE576)=1,'История отказов'!F576="ЭВН"),572,""))</f>
        <v/>
      </c>
      <c r="DF573">
        <f>IF('История отказов'!AE576="","",IF(AND(COUNTIF($CX$2:$CX$2,'История отказов'!AE576)=0,COUNTIFS('История отказов'!$F$5:F576,"ШВН",'История отказов'!$AE$5:AE576,'История отказов'!AE576)=1,'История отказов'!F576="ШВН"),572,""))</f>
        <v/>
      </c>
      <c r="DG573">
        <f>IF('История отказов'!AE576="","",IF(AND(COUNTIF($CW$2:$CW$2,'История отказов'!AE576)=0,COUNTIFS('История отказов'!$F$5:F576,"НПУ-ВД",'История отказов'!$AE$5:AE576,'История отказов'!AE576)=1,'История отказов'!F576="НПУ-ВД"),572,""))</f>
        <v/>
      </c>
      <c r="DH573">
        <f>IF('История отказов'!AE576="","",IF(AND(COUNTIF($CY$2:$CY$6,'История отказов'!AE576)=0,COUNTIF('История отказов'!$AE$5:AE576,'История отказов'!AE576)=1),572,""))</f>
        <v/>
      </c>
      <c r="DI573">
        <f>IF('История отказов'!AK576="","",IF(AND(COUNTIF($CL$2:$CL$3,'История отказов'!AK576)=0,COUNTIF('История отказов'!$AK$5:AK576,'История отказов'!AK576)=1),572,""))</f>
        <v/>
      </c>
      <c r="DJ573">
        <f>IF('История отказов'!AU576="","",IF(AND(COUNTIF($CP$2:$CP$3,'История отказов'!AU576)=0,COUNTIF('История отказов'!$AU$5:AU576,'История отказов'!AU576)=1),572,""))</f>
        <v/>
      </c>
      <c r="DK573">
        <f>IF('История отказов'!AY576="","",IF(AND(COUNTIF($CR$2:$CR$2,'История отказов'!AY576)=0,COUNTIF('История отказов'!$AY$5:AY576,'История отказов'!AY576)=1),572,""))</f>
        <v/>
      </c>
      <c r="DL573">
        <f>IF(DB573="","",IF(AND(COUNTIF($DA$2:$DA$47,DB573)=0,COUNTIF($DB$2:DB573,DB573)=1),572,""))</f>
        <v/>
      </c>
    </row>
    <row r="574">
      <c r="A574" s="74" t="n"/>
      <c r="B574" s="75" t="n"/>
      <c r="C574" s="76" t="n"/>
      <c r="J574" s="62" t="n"/>
      <c r="K574" s="62" t="n"/>
      <c r="L574" s="62" t="n"/>
      <c r="M574" s="62" t="n"/>
      <c r="N574" s="62" t="n"/>
      <c r="DB574">
        <f>IF('История отказов'!AH577="","",'История отказов'!AH577)</f>
        <v/>
      </c>
      <c r="DC574">
        <f>IF('История отказов'!AE577="","",IF(AND(COUNTIF($CT$2:$CT$2,'История отказов'!AE577)=0,COUNTIFS('История отказов'!$F$5:F577,"ШГН",'История отказов'!$AE$5:AE577,'История отказов'!AE577)=1,'История отказов'!F577="ШГН"),573,""))</f>
        <v/>
      </c>
      <c r="DD574">
        <f>IF('История отказов'!AE577="","",IF(AND(COUNTIF($CU$2:$CU$3,'История отказов'!AE577)=0,COUNTIFS('История отказов'!$F$5:F577,"ЭЦН",'История отказов'!$AE$5:AE577,'История отказов'!AE577)=1,'История отказов'!F577="ЭЦН"),573,""))</f>
        <v/>
      </c>
      <c r="DE574">
        <f>IF('История отказов'!AE577="","",IF(AND(COUNTIF($CV$2:$CV$3,'История отказов'!AE577)=0,COUNTIFS('История отказов'!$F$5:F577,"ЭВН",'История отказов'!$AE$5:AE577,'История отказов'!AE577)=1,'История отказов'!F577="ЭВН"),573,""))</f>
        <v/>
      </c>
      <c r="DF574">
        <f>IF('История отказов'!AE577="","",IF(AND(COUNTIF($CX$2:$CX$2,'История отказов'!AE577)=0,COUNTIFS('История отказов'!$F$5:F577,"ШВН",'История отказов'!$AE$5:AE577,'История отказов'!AE577)=1,'История отказов'!F577="ШВН"),573,""))</f>
        <v/>
      </c>
      <c r="DG574">
        <f>IF('История отказов'!AE577="","",IF(AND(COUNTIF($CW$2:$CW$2,'История отказов'!AE577)=0,COUNTIFS('История отказов'!$F$5:F577,"НПУ-ВД",'История отказов'!$AE$5:AE577,'История отказов'!AE577)=1,'История отказов'!F577="НПУ-ВД"),573,""))</f>
        <v/>
      </c>
      <c r="DH574">
        <f>IF('История отказов'!AE577="","",IF(AND(COUNTIF($CY$2:$CY$6,'История отказов'!AE577)=0,COUNTIF('История отказов'!$AE$5:AE577,'История отказов'!AE577)=1),573,""))</f>
        <v/>
      </c>
      <c r="DI574">
        <f>IF('История отказов'!AK577="","",IF(AND(COUNTIF($CL$2:$CL$3,'История отказов'!AK577)=0,COUNTIF('История отказов'!$AK$5:AK577,'История отказов'!AK577)=1),573,""))</f>
        <v/>
      </c>
      <c r="DJ574">
        <f>IF('История отказов'!AU577="","",IF(AND(COUNTIF($CP$2:$CP$3,'История отказов'!AU577)=0,COUNTIF('История отказов'!$AU$5:AU577,'История отказов'!AU577)=1),573,""))</f>
        <v/>
      </c>
      <c r="DK574">
        <f>IF('История отказов'!AY577="","",IF(AND(COUNTIF($CR$2:$CR$2,'История отказов'!AY577)=0,COUNTIF('История отказов'!$AY$5:AY577,'История отказов'!AY577)=1),573,""))</f>
        <v/>
      </c>
      <c r="DL574">
        <f>IF(DB574="","",IF(AND(COUNTIF($DA$2:$DA$47,DB574)=0,COUNTIF($DB$2:DB574,DB574)=1),573,""))</f>
        <v/>
      </c>
    </row>
    <row r="575">
      <c r="A575" s="74" t="n"/>
      <c r="B575" s="75" t="n"/>
      <c r="C575" s="76" t="n"/>
      <c r="J575" s="62" t="n"/>
      <c r="K575" s="62" t="n"/>
      <c r="L575" s="62" t="n"/>
      <c r="M575" s="62" t="n"/>
      <c r="N575" s="62" t="n"/>
      <c r="DB575">
        <f>IF('История отказов'!AH578="","",'История отказов'!AH578)</f>
        <v/>
      </c>
      <c r="DC575">
        <f>IF('История отказов'!AE578="","",IF(AND(COUNTIF($CT$2:$CT$2,'История отказов'!AE578)=0,COUNTIFS('История отказов'!$F$5:F578,"ШГН",'История отказов'!$AE$5:AE578,'История отказов'!AE578)=1,'История отказов'!F578="ШГН"),574,""))</f>
        <v/>
      </c>
      <c r="DD575">
        <f>IF('История отказов'!AE578="","",IF(AND(COUNTIF($CU$2:$CU$3,'История отказов'!AE578)=0,COUNTIFS('История отказов'!$F$5:F578,"ЭЦН",'История отказов'!$AE$5:AE578,'История отказов'!AE578)=1,'История отказов'!F578="ЭЦН"),574,""))</f>
        <v/>
      </c>
      <c r="DE575">
        <f>IF('История отказов'!AE578="","",IF(AND(COUNTIF($CV$2:$CV$3,'История отказов'!AE578)=0,COUNTIFS('История отказов'!$F$5:F578,"ЭВН",'История отказов'!$AE$5:AE578,'История отказов'!AE578)=1,'История отказов'!F578="ЭВН"),574,""))</f>
        <v/>
      </c>
      <c r="DF575">
        <f>IF('История отказов'!AE578="","",IF(AND(COUNTIF($CX$2:$CX$2,'История отказов'!AE578)=0,COUNTIFS('История отказов'!$F$5:F578,"ШВН",'История отказов'!$AE$5:AE578,'История отказов'!AE578)=1,'История отказов'!F578="ШВН"),574,""))</f>
        <v/>
      </c>
      <c r="DG575">
        <f>IF('История отказов'!AE578="","",IF(AND(COUNTIF($CW$2:$CW$2,'История отказов'!AE578)=0,COUNTIFS('История отказов'!$F$5:F578,"НПУ-ВД",'История отказов'!$AE$5:AE578,'История отказов'!AE578)=1,'История отказов'!F578="НПУ-ВД"),574,""))</f>
        <v/>
      </c>
      <c r="DH575">
        <f>IF('История отказов'!AE578="","",IF(AND(COUNTIF($CY$2:$CY$6,'История отказов'!AE578)=0,COUNTIF('История отказов'!$AE$5:AE578,'История отказов'!AE578)=1),574,""))</f>
        <v/>
      </c>
      <c r="DI575">
        <f>IF('История отказов'!AK578="","",IF(AND(COUNTIF($CL$2:$CL$3,'История отказов'!AK578)=0,COUNTIF('История отказов'!$AK$5:AK578,'История отказов'!AK578)=1),574,""))</f>
        <v/>
      </c>
      <c r="DJ575">
        <f>IF('История отказов'!AU578="","",IF(AND(COUNTIF($CP$2:$CP$3,'История отказов'!AU578)=0,COUNTIF('История отказов'!$AU$5:AU578,'История отказов'!AU578)=1),574,""))</f>
        <v/>
      </c>
      <c r="DK575">
        <f>IF('История отказов'!AY578="","",IF(AND(COUNTIF($CR$2:$CR$2,'История отказов'!AY578)=0,COUNTIF('История отказов'!$AY$5:AY578,'История отказов'!AY578)=1),574,""))</f>
        <v/>
      </c>
      <c r="DL575">
        <f>IF(DB575="","",IF(AND(COUNTIF($DA$2:$DA$47,DB575)=0,COUNTIF($DB$2:DB575,DB575)=1),574,""))</f>
        <v/>
      </c>
    </row>
    <row r="576">
      <c r="A576" s="74" t="n"/>
      <c r="B576" s="75" t="n"/>
      <c r="C576" s="76" t="n"/>
      <c r="J576" s="62" t="n"/>
      <c r="K576" s="62" t="n"/>
      <c r="L576" s="62" t="n"/>
      <c r="M576" s="62" t="n"/>
      <c r="N576" s="62" t="n"/>
      <c r="DB576">
        <f>IF('История отказов'!AH579="","",'История отказов'!AH579)</f>
        <v/>
      </c>
      <c r="DC576">
        <f>IF('История отказов'!AE579="","",IF(AND(COUNTIF($CT$2:$CT$2,'История отказов'!AE579)=0,COUNTIFS('История отказов'!$F$5:F579,"ШГН",'История отказов'!$AE$5:AE579,'История отказов'!AE579)=1,'История отказов'!F579="ШГН"),575,""))</f>
        <v/>
      </c>
      <c r="DD576">
        <f>IF('История отказов'!AE579="","",IF(AND(COUNTIF($CU$2:$CU$3,'История отказов'!AE579)=0,COUNTIFS('История отказов'!$F$5:F579,"ЭЦН",'История отказов'!$AE$5:AE579,'История отказов'!AE579)=1,'История отказов'!F579="ЭЦН"),575,""))</f>
        <v/>
      </c>
      <c r="DE576">
        <f>IF('История отказов'!AE579="","",IF(AND(COUNTIF($CV$2:$CV$3,'История отказов'!AE579)=0,COUNTIFS('История отказов'!$F$5:F579,"ЭВН",'История отказов'!$AE$5:AE579,'История отказов'!AE579)=1,'История отказов'!F579="ЭВН"),575,""))</f>
        <v/>
      </c>
      <c r="DF576">
        <f>IF('История отказов'!AE579="","",IF(AND(COUNTIF($CX$2:$CX$2,'История отказов'!AE579)=0,COUNTIFS('История отказов'!$F$5:F579,"ШВН",'История отказов'!$AE$5:AE579,'История отказов'!AE579)=1,'История отказов'!F579="ШВН"),575,""))</f>
        <v/>
      </c>
      <c r="DG576">
        <f>IF('История отказов'!AE579="","",IF(AND(COUNTIF($CW$2:$CW$2,'История отказов'!AE579)=0,COUNTIFS('История отказов'!$F$5:F579,"НПУ-ВД",'История отказов'!$AE$5:AE579,'История отказов'!AE579)=1,'История отказов'!F579="НПУ-ВД"),575,""))</f>
        <v/>
      </c>
      <c r="DH576">
        <f>IF('История отказов'!AE579="","",IF(AND(COUNTIF($CY$2:$CY$6,'История отказов'!AE579)=0,COUNTIF('История отказов'!$AE$5:AE579,'История отказов'!AE579)=1),575,""))</f>
        <v/>
      </c>
      <c r="DI576">
        <f>IF('История отказов'!AK579="","",IF(AND(COUNTIF($CL$2:$CL$3,'История отказов'!AK579)=0,COUNTIF('История отказов'!$AK$5:AK579,'История отказов'!AK579)=1),575,""))</f>
        <v/>
      </c>
      <c r="DJ576">
        <f>IF('История отказов'!AU579="","",IF(AND(COUNTIF($CP$2:$CP$3,'История отказов'!AU579)=0,COUNTIF('История отказов'!$AU$5:AU579,'История отказов'!AU579)=1),575,""))</f>
        <v/>
      </c>
      <c r="DK576">
        <f>IF('История отказов'!AY579="","",IF(AND(COUNTIF($CR$2:$CR$2,'История отказов'!AY579)=0,COUNTIF('История отказов'!$AY$5:AY579,'История отказов'!AY579)=1),575,""))</f>
        <v/>
      </c>
      <c r="DL576">
        <f>IF(DB576="","",IF(AND(COUNTIF($DA$2:$DA$47,DB576)=0,COUNTIF($DB$2:DB576,DB576)=1),575,""))</f>
        <v/>
      </c>
    </row>
    <row r="577">
      <c r="A577" s="74" t="n"/>
      <c r="B577" s="75" t="n"/>
      <c r="C577" s="76" t="n"/>
      <c r="J577" s="62" t="n"/>
      <c r="K577" s="62" t="n"/>
      <c r="L577" s="62" t="n"/>
      <c r="M577" s="62" t="n"/>
      <c r="N577" s="62" t="n"/>
      <c r="DB577">
        <f>IF('История отказов'!AH580="","",'История отказов'!AH580)</f>
        <v/>
      </c>
      <c r="DC577">
        <f>IF('История отказов'!AE580="","",IF(AND(COUNTIF($CT$2:$CT$2,'История отказов'!AE580)=0,COUNTIFS('История отказов'!$F$5:F580,"ШГН",'История отказов'!$AE$5:AE580,'История отказов'!AE580)=1,'История отказов'!F580="ШГН"),576,""))</f>
        <v/>
      </c>
      <c r="DD577">
        <f>IF('История отказов'!AE580="","",IF(AND(COUNTIF($CU$2:$CU$3,'История отказов'!AE580)=0,COUNTIFS('История отказов'!$F$5:F580,"ЭЦН",'История отказов'!$AE$5:AE580,'История отказов'!AE580)=1,'История отказов'!F580="ЭЦН"),576,""))</f>
        <v/>
      </c>
      <c r="DE577">
        <f>IF('История отказов'!AE580="","",IF(AND(COUNTIF($CV$2:$CV$3,'История отказов'!AE580)=0,COUNTIFS('История отказов'!$F$5:F580,"ЭВН",'История отказов'!$AE$5:AE580,'История отказов'!AE580)=1,'История отказов'!F580="ЭВН"),576,""))</f>
        <v/>
      </c>
      <c r="DF577">
        <f>IF('История отказов'!AE580="","",IF(AND(COUNTIF($CX$2:$CX$2,'История отказов'!AE580)=0,COUNTIFS('История отказов'!$F$5:F580,"ШВН",'История отказов'!$AE$5:AE580,'История отказов'!AE580)=1,'История отказов'!F580="ШВН"),576,""))</f>
        <v/>
      </c>
      <c r="DG577">
        <f>IF('История отказов'!AE580="","",IF(AND(COUNTIF($CW$2:$CW$2,'История отказов'!AE580)=0,COUNTIFS('История отказов'!$F$5:F580,"НПУ-ВД",'История отказов'!$AE$5:AE580,'История отказов'!AE580)=1,'История отказов'!F580="НПУ-ВД"),576,""))</f>
        <v/>
      </c>
      <c r="DH577">
        <f>IF('История отказов'!AE580="","",IF(AND(COUNTIF($CY$2:$CY$6,'История отказов'!AE580)=0,COUNTIF('История отказов'!$AE$5:AE580,'История отказов'!AE580)=1),576,""))</f>
        <v/>
      </c>
      <c r="DI577">
        <f>IF('История отказов'!AK580="","",IF(AND(COUNTIF($CL$2:$CL$3,'История отказов'!AK580)=0,COUNTIF('История отказов'!$AK$5:AK580,'История отказов'!AK580)=1),576,""))</f>
        <v/>
      </c>
      <c r="DJ577">
        <f>IF('История отказов'!AU580="","",IF(AND(COUNTIF($CP$2:$CP$3,'История отказов'!AU580)=0,COUNTIF('История отказов'!$AU$5:AU580,'История отказов'!AU580)=1),576,""))</f>
        <v/>
      </c>
      <c r="DK577">
        <f>IF('История отказов'!AY580="","",IF(AND(COUNTIF($CR$2:$CR$2,'История отказов'!AY580)=0,COUNTIF('История отказов'!$AY$5:AY580,'История отказов'!AY580)=1),576,""))</f>
        <v/>
      </c>
      <c r="DL577">
        <f>IF(DB577="","",IF(AND(COUNTIF($DA$2:$DA$47,DB577)=0,COUNTIF($DB$2:DB577,DB577)=1),576,""))</f>
        <v/>
      </c>
    </row>
    <row r="578">
      <c r="A578" s="74" t="n"/>
      <c r="B578" s="75" t="n"/>
      <c r="C578" s="76" t="n"/>
      <c r="J578" s="62" t="n"/>
      <c r="K578" s="62" t="n"/>
      <c r="L578" s="62" t="n"/>
      <c r="M578" s="62" t="n"/>
      <c r="N578" s="62" t="n"/>
      <c r="DB578">
        <f>IF('История отказов'!AH581="","",'История отказов'!AH581)</f>
        <v/>
      </c>
      <c r="DC578">
        <f>IF('История отказов'!AE581="","",IF(AND(COUNTIF($CT$2:$CT$2,'История отказов'!AE581)=0,COUNTIFS('История отказов'!$F$5:F581,"ШГН",'История отказов'!$AE$5:AE581,'История отказов'!AE581)=1,'История отказов'!F581="ШГН"),577,""))</f>
        <v/>
      </c>
      <c r="DD578">
        <f>IF('История отказов'!AE581="","",IF(AND(COUNTIF($CU$2:$CU$3,'История отказов'!AE581)=0,COUNTIFS('История отказов'!$F$5:F581,"ЭЦН",'История отказов'!$AE$5:AE581,'История отказов'!AE581)=1,'История отказов'!F581="ЭЦН"),577,""))</f>
        <v/>
      </c>
      <c r="DE578">
        <f>IF('История отказов'!AE581="","",IF(AND(COUNTIF($CV$2:$CV$3,'История отказов'!AE581)=0,COUNTIFS('История отказов'!$F$5:F581,"ЭВН",'История отказов'!$AE$5:AE581,'История отказов'!AE581)=1,'История отказов'!F581="ЭВН"),577,""))</f>
        <v/>
      </c>
      <c r="DF578">
        <f>IF('История отказов'!AE581="","",IF(AND(COUNTIF($CX$2:$CX$2,'История отказов'!AE581)=0,COUNTIFS('История отказов'!$F$5:F581,"ШВН",'История отказов'!$AE$5:AE581,'История отказов'!AE581)=1,'История отказов'!F581="ШВН"),577,""))</f>
        <v/>
      </c>
      <c r="DG578">
        <f>IF('История отказов'!AE581="","",IF(AND(COUNTIF($CW$2:$CW$2,'История отказов'!AE581)=0,COUNTIFS('История отказов'!$F$5:F581,"НПУ-ВД",'История отказов'!$AE$5:AE581,'История отказов'!AE581)=1,'История отказов'!F581="НПУ-ВД"),577,""))</f>
        <v/>
      </c>
      <c r="DH578">
        <f>IF('История отказов'!AE581="","",IF(AND(COUNTIF($CY$2:$CY$6,'История отказов'!AE581)=0,COUNTIF('История отказов'!$AE$5:AE581,'История отказов'!AE581)=1),577,""))</f>
        <v/>
      </c>
      <c r="DI578">
        <f>IF('История отказов'!AK581="","",IF(AND(COUNTIF($CL$2:$CL$3,'История отказов'!AK581)=0,COUNTIF('История отказов'!$AK$5:AK581,'История отказов'!AK581)=1),577,""))</f>
        <v/>
      </c>
      <c r="DJ578">
        <f>IF('История отказов'!AU581="","",IF(AND(COUNTIF($CP$2:$CP$3,'История отказов'!AU581)=0,COUNTIF('История отказов'!$AU$5:AU581,'История отказов'!AU581)=1),577,""))</f>
        <v/>
      </c>
      <c r="DK578">
        <f>IF('История отказов'!AY581="","",IF(AND(COUNTIF($CR$2:$CR$2,'История отказов'!AY581)=0,COUNTIF('История отказов'!$AY$5:AY581,'История отказов'!AY581)=1),577,""))</f>
        <v/>
      </c>
      <c r="DL578">
        <f>IF(DB578="","",IF(AND(COUNTIF($DA$2:$DA$47,DB578)=0,COUNTIF($DB$2:DB578,DB578)=1),577,""))</f>
        <v/>
      </c>
    </row>
    <row r="579">
      <c r="A579" s="74" t="n"/>
      <c r="B579" s="75" t="n"/>
      <c r="C579" s="76" t="n"/>
      <c r="J579" s="62" t="n"/>
      <c r="K579" s="62" t="n"/>
      <c r="L579" s="62" t="n"/>
      <c r="M579" s="62" t="n"/>
      <c r="N579" s="62" t="n"/>
      <c r="DB579">
        <f>IF('История отказов'!AH582="","",'История отказов'!AH582)</f>
        <v/>
      </c>
      <c r="DC579">
        <f>IF('История отказов'!AE582="","",IF(AND(COUNTIF($CT$2:$CT$2,'История отказов'!AE582)=0,COUNTIFS('История отказов'!$F$5:F582,"ШГН",'История отказов'!$AE$5:AE582,'История отказов'!AE582)=1,'История отказов'!F582="ШГН"),578,""))</f>
        <v/>
      </c>
      <c r="DD579">
        <f>IF('История отказов'!AE582="","",IF(AND(COUNTIF($CU$2:$CU$3,'История отказов'!AE582)=0,COUNTIFS('История отказов'!$F$5:F582,"ЭЦН",'История отказов'!$AE$5:AE582,'История отказов'!AE582)=1,'История отказов'!F582="ЭЦН"),578,""))</f>
        <v/>
      </c>
      <c r="DE579">
        <f>IF('История отказов'!AE582="","",IF(AND(COUNTIF($CV$2:$CV$3,'История отказов'!AE582)=0,COUNTIFS('История отказов'!$F$5:F582,"ЭВН",'История отказов'!$AE$5:AE582,'История отказов'!AE582)=1,'История отказов'!F582="ЭВН"),578,""))</f>
        <v/>
      </c>
      <c r="DF579">
        <f>IF('История отказов'!AE582="","",IF(AND(COUNTIF($CX$2:$CX$2,'История отказов'!AE582)=0,COUNTIFS('История отказов'!$F$5:F582,"ШВН",'История отказов'!$AE$5:AE582,'История отказов'!AE582)=1,'История отказов'!F582="ШВН"),578,""))</f>
        <v/>
      </c>
      <c r="DG579">
        <f>IF('История отказов'!AE582="","",IF(AND(COUNTIF($CW$2:$CW$2,'История отказов'!AE582)=0,COUNTIFS('История отказов'!$F$5:F582,"НПУ-ВД",'История отказов'!$AE$5:AE582,'История отказов'!AE582)=1,'История отказов'!F582="НПУ-ВД"),578,""))</f>
        <v/>
      </c>
      <c r="DH579">
        <f>IF('История отказов'!AE582="","",IF(AND(COUNTIF($CY$2:$CY$6,'История отказов'!AE582)=0,COUNTIF('История отказов'!$AE$5:AE582,'История отказов'!AE582)=1),578,""))</f>
        <v/>
      </c>
      <c r="DI579">
        <f>IF('История отказов'!AK582="","",IF(AND(COUNTIF($CL$2:$CL$3,'История отказов'!AK582)=0,COUNTIF('История отказов'!$AK$5:AK582,'История отказов'!AK582)=1),578,""))</f>
        <v/>
      </c>
      <c r="DJ579">
        <f>IF('История отказов'!AU582="","",IF(AND(COUNTIF($CP$2:$CP$3,'История отказов'!AU582)=0,COUNTIF('История отказов'!$AU$5:AU582,'История отказов'!AU582)=1),578,""))</f>
        <v/>
      </c>
      <c r="DK579">
        <f>IF('История отказов'!AY582="","",IF(AND(COUNTIF($CR$2:$CR$2,'История отказов'!AY582)=0,COUNTIF('История отказов'!$AY$5:AY582,'История отказов'!AY582)=1),578,""))</f>
        <v/>
      </c>
      <c r="DL579">
        <f>IF(DB579="","",IF(AND(COUNTIF($DA$2:$DA$47,DB579)=0,COUNTIF($DB$2:DB579,DB579)=1),578,""))</f>
        <v/>
      </c>
    </row>
    <row r="580">
      <c r="A580" s="74" t="n"/>
      <c r="B580" s="75" t="n"/>
      <c r="C580" s="76" t="n"/>
      <c r="J580" s="62" t="n"/>
      <c r="K580" s="62" t="n"/>
      <c r="L580" s="62" t="n"/>
      <c r="M580" s="62" t="n"/>
      <c r="N580" s="62" t="n"/>
      <c r="DB580">
        <f>IF('История отказов'!AH583="","",'История отказов'!AH583)</f>
        <v/>
      </c>
      <c r="DC580">
        <f>IF('История отказов'!AE583="","",IF(AND(COUNTIF($CT$2:$CT$2,'История отказов'!AE583)=0,COUNTIFS('История отказов'!$F$5:F583,"ШГН",'История отказов'!$AE$5:AE583,'История отказов'!AE583)=1,'История отказов'!F583="ШГН"),579,""))</f>
        <v/>
      </c>
      <c r="DD580">
        <f>IF('История отказов'!AE583="","",IF(AND(COUNTIF($CU$2:$CU$3,'История отказов'!AE583)=0,COUNTIFS('История отказов'!$F$5:F583,"ЭЦН",'История отказов'!$AE$5:AE583,'История отказов'!AE583)=1,'История отказов'!F583="ЭЦН"),579,""))</f>
        <v/>
      </c>
      <c r="DE580">
        <f>IF('История отказов'!AE583="","",IF(AND(COUNTIF($CV$2:$CV$3,'История отказов'!AE583)=0,COUNTIFS('История отказов'!$F$5:F583,"ЭВН",'История отказов'!$AE$5:AE583,'История отказов'!AE583)=1,'История отказов'!F583="ЭВН"),579,""))</f>
        <v/>
      </c>
      <c r="DF580">
        <f>IF('История отказов'!AE583="","",IF(AND(COUNTIF($CX$2:$CX$2,'История отказов'!AE583)=0,COUNTIFS('История отказов'!$F$5:F583,"ШВН",'История отказов'!$AE$5:AE583,'История отказов'!AE583)=1,'История отказов'!F583="ШВН"),579,""))</f>
        <v/>
      </c>
      <c r="DG580">
        <f>IF('История отказов'!AE583="","",IF(AND(COUNTIF($CW$2:$CW$2,'История отказов'!AE583)=0,COUNTIFS('История отказов'!$F$5:F583,"НПУ-ВД",'История отказов'!$AE$5:AE583,'История отказов'!AE583)=1,'История отказов'!F583="НПУ-ВД"),579,""))</f>
        <v/>
      </c>
      <c r="DH580">
        <f>IF('История отказов'!AE583="","",IF(AND(COUNTIF($CY$2:$CY$6,'История отказов'!AE583)=0,COUNTIF('История отказов'!$AE$5:AE583,'История отказов'!AE583)=1),579,""))</f>
        <v/>
      </c>
      <c r="DI580">
        <f>IF('История отказов'!AK583="","",IF(AND(COUNTIF($CL$2:$CL$3,'История отказов'!AK583)=0,COUNTIF('История отказов'!$AK$5:AK583,'История отказов'!AK583)=1),579,""))</f>
        <v/>
      </c>
      <c r="DJ580">
        <f>IF('История отказов'!AU583="","",IF(AND(COUNTIF($CP$2:$CP$3,'История отказов'!AU583)=0,COUNTIF('История отказов'!$AU$5:AU583,'История отказов'!AU583)=1),579,""))</f>
        <v/>
      </c>
      <c r="DK580">
        <f>IF('История отказов'!AY583="","",IF(AND(COUNTIF($CR$2:$CR$2,'История отказов'!AY583)=0,COUNTIF('История отказов'!$AY$5:AY583,'История отказов'!AY583)=1),579,""))</f>
        <v/>
      </c>
      <c r="DL580">
        <f>IF(DB580="","",IF(AND(COUNTIF($DA$2:$DA$47,DB580)=0,COUNTIF($DB$2:DB580,DB580)=1),579,""))</f>
        <v/>
      </c>
    </row>
    <row r="581">
      <c r="A581" s="74" t="n"/>
      <c r="B581" s="75" t="n"/>
      <c r="C581" s="76" t="n"/>
      <c r="J581" s="62" t="n"/>
      <c r="K581" s="62" t="n"/>
      <c r="L581" s="62" t="n"/>
      <c r="M581" s="62" t="n"/>
      <c r="N581" s="62" t="n"/>
      <c r="DB581">
        <f>IF('История отказов'!AH584="","",'История отказов'!AH584)</f>
        <v/>
      </c>
      <c r="DC581">
        <f>IF('История отказов'!AE584="","",IF(AND(COUNTIF($CT$2:$CT$2,'История отказов'!AE584)=0,COUNTIFS('История отказов'!$F$5:F584,"ШГН",'История отказов'!$AE$5:AE584,'История отказов'!AE584)=1,'История отказов'!F584="ШГН"),580,""))</f>
        <v/>
      </c>
      <c r="DD581">
        <f>IF('История отказов'!AE584="","",IF(AND(COUNTIF($CU$2:$CU$3,'История отказов'!AE584)=0,COUNTIFS('История отказов'!$F$5:F584,"ЭЦН",'История отказов'!$AE$5:AE584,'История отказов'!AE584)=1,'История отказов'!F584="ЭЦН"),580,""))</f>
        <v/>
      </c>
      <c r="DE581">
        <f>IF('История отказов'!AE584="","",IF(AND(COUNTIF($CV$2:$CV$3,'История отказов'!AE584)=0,COUNTIFS('История отказов'!$F$5:F584,"ЭВН",'История отказов'!$AE$5:AE584,'История отказов'!AE584)=1,'История отказов'!F584="ЭВН"),580,""))</f>
        <v/>
      </c>
      <c r="DF581">
        <f>IF('История отказов'!AE584="","",IF(AND(COUNTIF($CX$2:$CX$2,'История отказов'!AE584)=0,COUNTIFS('История отказов'!$F$5:F584,"ШВН",'История отказов'!$AE$5:AE584,'История отказов'!AE584)=1,'История отказов'!F584="ШВН"),580,""))</f>
        <v/>
      </c>
      <c r="DG581">
        <f>IF('История отказов'!AE584="","",IF(AND(COUNTIF($CW$2:$CW$2,'История отказов'!AE584)=0,COUNTIFS('История отказов'!$F$5:F584,"НПУ-ВД",'История отказов'!$AE$5:AE584,'История отказов'!AE584)=1,'История отказов'!F584="НПУ-ВД"),580,""))</f>
        <v/>
      </c>
      <c r="DH581">
        <f>IF('История отказов'!AE584="","",IF(AND(COUNTIF($CY$2:$CY$6,'История отказов'!AE584)=0,COUNTIF('История отказов'!$AE$5:AE584,'История отказов'!AE584)=1),580,""))</f>
        <v/>
      </c>
      <c r="DI581">
        <f>IF('История отказов'!AK584="","",IF(AND(COUNTIF($CL$2:$CL$3,'История отказов'!AK584)=0,COUNTIF('История отказов'!$AK$5:AK584,'История отказов'!AK584)=1),580,""))</f>
        <v/>
      </c>
      <c r="DJ581">
        <f>IF('История отказов'!AU584="","",IF(AND(COUNTIF($CP$2:$CP$3,'История отказов'!AU584)=0,COUNTIF('История отказов'!$AU$5:AU584,'История отказов'!AU584)=1),580,""))</f>
        <v/>
      </c>
      <c r="DK581">
        <f>IF('История отказов'!AY584="","",IF(AND(COUNTIF($CR$2:$CR$2,'История отказов'!AY584)=0,COUNTIF('История отказов'!$AY$5:AY584,'История отказов'!AY584)=1),580,""))</f>
        <v/>
      </c>
      <c r="DL581">
        <f>IF(DB581="","",IF(AND(COUNTIF($DA$2:$DA$47,DB581)=0,COUNTIF($DB$2:DB581,DB581)=1),580,""))</f>
        <v/>
      </c>
    </row>
    <row r="582">
      <c r="A582" s="74" t="n"/>
      <c r="B582" s="75" t="n"/>
      <c r="C582" s="76" t="n"/>
      <c r="J582" s="62" t="n"/>
      <c r="K582" s="62" t="n"/>
      <c r="L582" s="62" t="n"/>
      <c r="M582" s="62" t="n"/>
      <c r="N582" s="62" t="n"/>
      <c r="DB582">
        <f>IF('История отказов'!AH585="","",'История отказов'!AH585)</f>
        <v/>
      </c>
      <c r="DC582">
        <f>IF('История отказов'!AE585="","",IF(AND(COUNTIF($CT$2:$CT$2,'История отказов'!AE585)=0,COUNTIFS('История отказов'!$F$5:F585,"ШГН",'История отказов'!$AE$5:AE585,'История отказов'!AE585)=1,'История отказов'!F585="ШГН"),581,""))</f>
        <v/>
      </c>
      <c r="DD582">
        <f>IF('История отказов'!AE585="","",IF(AND(COUNTIF($CU$2:$CU$3,'История отказов'!AE585)=0,COUNTIFS('История отказов'!$F$5:F585,"ЭЦН",'История отказов'!$AE$5:AE585,'История отказов'!AE585)=1,'История отказов'!F585="ЭЦН"),581,""))</f>
        <v/>
      </c>
      <c r="DE582">
        <f>IF('История отказов'!AE585="","",IF(AND(COUNTIF($CV$2:$CV$3,'История отказов'!AE585)=0,COUNTIFS('История отказов'!$F$5:F585,"ЭВН",'История отказов'!$AE$5:AE585,'История отказов'!AE585)=1,'История отказов'!F585="ЭВН"),581,""))</f>
        <v/>
      </c>
      <c r="DF582">
        <f>IF('История отказов'!AE585="","",IF(AND(COUNTIF($CX$2:$CX$2,'История отказов'!AE585)=0,COUNTIFS('История отказов'!$F$5:F585,"ШВН",'История отказов'!$AE$5:AE585,'История отказов'!AE585)=1,'История отказов'!F585="ШВН"),581,""))</f>
        <v/>
      </c>
      <c r="DG582">
        <f>IF('История отказов'!AE585="","",IF(AND(COUNTIF($CW$2:$CW$2,'История отказов'!AE585)=0,COUNTIFS('История отказов'!$F$5:F585,"НПУ-ВД",'История отказов'!$AE$5:AE585,'История отказов'!AE585)=1,'История отказов'!F585="НПУ-ВД"),581,""))</f>
        <v/>
      </c>
      <c r="DH582">
        <f>IF('История отказов'!AE585="","",IF(AND(COUNTIF($CY$2:$CY$6,'История отказов'!AE585)=0,COUNTIF('История отказов'!$AE$5:AE585,'История отказов'!AE585)=1),581,""))</f>
        <v/>
      </c>
      <c r="DI582">
        <f>IF('История отказов'!AK585="","",IF(AND(COUNTIF($CL$2:$CL$3,'История отказов'!AK585)=0,COUNTIF('История отказов'!$AK$5:AK585,'История отказов'!AK585)=1),581,""))</f>
        <v/>
      </c>
      <c r="DJ582">
        <f>IF('История отказов'!AU585="","",IF(AND(COUNTIF($CP$2:$CP$3,'История отказов'!AU585)=0,COUNTIF('История отказов'!$AU$5:AU585,'История отказов'!AU585)=1),581,""))</f>
        <v/>
      </c>
      <c r="DK582">
        <f>IF('История отказов'!AY585="","",IF(AND(COUNTIF($CR$2:$CR$2,'История отказов'!AY585)=0,COUNTIF('История отказов'!$AY$5:AY585,'История отказов'!AY585)=1),581,""))</f>
        <v/>
      </c>
      <c r="DL582">
        <f>IF(DB582="","",IF(AND(COUNTIF($DA$2:$DA$47,DB582)=0,COUNTIF($DB$2:DB582,DB582)=1),581,""))</f>
        <v/>
      </c>
    </row>
    <row r="583">
      <c r="A583" s="74" t="n"/>
      <c r="B583" s="75" t="n"/>
      <c r="C583" s="76" t="n"/>
      <c r="J583" s="62" t="n"/>
      <c r="K583" s="62" t="n"/>
      <c r="L583" s="62" t="n"/>
      <c r="M583" s="62" t="n"/>
      <c r="N583" s="62" t="n"/>
      <c r="DB583">
        <f>IF('История отказов'!AH586="","",'История отказов'!AH586)</f>
        <v/>
      </c>
      <c r="DC583">
        <f>IF('История отказов'!AE586="","",IF(AND(COUNTIF($CT$2:$CT$2,'История отказов'!AE586)=0,COUNTIFS('История отказов'!$F$5:F586,"ШГН",'История отказов'!$AE$5:AE586,'История отказов'!AE586)=1,'История отказов'!F586="ШГН"),582,""))</f>
        <v/>
      </c>
      <c r="DD583">
        <f>IF('История отказов'!AE586="","",IF(AND(COUNTIF($CU$2:$CU$3,'История отказов'!AE586)=0,COUNTIFS('История отказов'!$F$5:F586,"ЭЦН",'История отказов'!$AE$5:AE586,'История отказов'!AE586)=1,'История отказов'!F586="ЭЦН"),582,""))</f>
        <v/>
      </c>
      <c r="DE583">
        <f>IF('История отказов'!AE586="","",IF(AND(COUNTIF($CV$2:$CV$3,'История отказов'!AE586)=0,COUNTIFS('История отказов'!$F$5:F586,"ЭВН",'История отказов'!$AE$5:AE586,'История отказов'!AE586)=1,'История отказов'!F586="ЭВН"),582,""))</f>
        <v/>
      </c>
      <c r="DF583">
        <f>IF('История отказов'!AE586="","",IF(AND(COUNTIF($CX$2:$CX$2,'История отказов'!AE586)=0,COUNTIFS('История отказов'!$F$5:F586,"ШВН",'История отказов'!$AE$5:AE586,'История отказов'!AE586)=1,'История отказов'!F586="ШВН"),582,""))</f>
        <v/>
      </c>
      <c r="DG583">
        <f>IF('История отказов'!AE586="","",IF(AND(COUNTIF($CW$2:$CW$2,'История отказов'!AE586)=0,COUNTIFS('История отказов'!$F$5:F586,"НПУ-ВД",'История отказов'!$AE$5:AE586,'История отказов'!AE586)=1,'История отказов'!F586="НПУ-ВД"),582,""))</f>
        <v/>
      </c>
      <c r="DH583">
        <f>IF('История отказов'!AE586="","",IF(AND(COUNTIF($CY$2:$CY$6,'История отказов'!AE586)=0,COUNTIF('История отказов'!$AE$5:AE586,'История отказов'!AE586)=1),582,""))</f>
        <v/>
      </c>
      <c r="DI583">
        <f>IF('История отказов'!AK586="","",IF(AND(COUNTIF($CL$2:$CL$3,'История отказов'!AK586)=0,COUNTIF('История отказов'!$AK$5:AK586,'История отказов'!AK586)=1),582,""))</f>
        <v/>
      </c>
      <c r="DJ583">
        <f>IF('История отказов'!AU586="","",IF(AND(COUNTIF($CP$2:$CP$3,'История отказов'!AU586)=0,COUNTIF('История отказов'!$AU$5:AU586,'История отказов'!AU586)=1),582,""))</f>
        <v/>
      </c>
      <c r="DK583">
        <f>IF('История отказов'!AY586="","",IF(AND(COUNTIF($CR$2:$CR$2,'История отказов'!AY586)=0,COUNTIF('История отказов'!$AY$5:AY586,'История отказов'!AY586)=1),582,""))</f>
        <v/>
      </c>
      <c r="DL583">
        <f>IF(DB583="","",IF(AND(COUNTIF($DA$2:$DA$47,DB583)=0,COUNTIF($DB$2:DB583,DB583)=1),582,""))</f>
        <v/>
      </c>
    </row>
    <row r="584">
      <c r="A584" s="74" t="n"/>
      <c r="B584" s="75" t="n"/>
      <c r="C584" s="76" t="n"/>
      <c r="J584" s="62" t="n"/>
      <c r="K584" s="62" t="n"/>
      <c r="L584" s="62" t="n"/>
      <c r="M584" s="62" t="n"/>
      <c r="N584" s="62" t="n"/>
      <c r="DB584">
        <f>IF('История отказов'!AH587="","",'История отказов'!AH587)</f>
        <v/>
      </c>
      <c r="DC584">
        <f>IF('История отказов'!AE587="","",IF(AND(COUNTIF($CT$2:$CT$2,'История отказов'!AE587)=0,COUNTIFS('История отказов'!$F$5:F587,"ШГН",'История отказов'!$AE$5:AE587,'История отказов'!AE587)=1,'История отказов'!F587="ШГН"),583,""))</f>
        <v/>
      </c>
      <c r="DD584">
        <f>IF('История отказов'!AE587="","",IF(AND(COUNTIF($CU$2:$CU$3,'История отказов'!AE587)=0,COUNTIFS('История отказов'!$F$5:F587,"ЭЦН",'История отказов'!$AE$5:AE587,'История отказов'!AE587)=1,'История отказов'!F587="ЭЦН"),583,""))</f>
        <v/>
      </c>
      <c r="DE584">
        <f>IF('История отказов'!AE587="","",IF(AND(COUNTIF($CV$2:$CV$3,'История отказов'!AE587)=0,COUNTIFS('История отказов'!$F$5:F587,"ЭВН",'История отказов'!$AE$5:AE587,'История отказов'!AE587)=1,'История отказов'!F587="ЭВН"),583,""))</f>
        <v/>
      </c>
      <c r="DF584">
        <f>IF('История отказов'!AE587="","",IF(AND(COUNTIF($CX$2:$CX$2,'История отказов'!AE587)=0,COUNTIFS('История отказов'!$F$5:F587,"ШВН",'История отказов'!$AE$5:AE587,'История отказов'!AE587)=1,'История отказов'!F587="ШВН"),583,""))</f>
        <v/>
      </c>
      <c r="DG584">
        <f>IF('История отказов'!AE587="","",IF(AND(COUNTIF($CW$2:$CW$2,'История отказов'!AE587)=0,COUNTIFS('История отказов'!$F$5:F587,"НПУ-ВД",'История отказов'!$AE$5:AE587,'История отказов'!AE587)=1,'История отказов'!F587="НПУ-ВД"),583,""))</f>
        <v/>
      </c>
      <c r="DH584">
        <f>IF('История отказов'!AE587="","",IF(AND(COUNTIF($CY$2:$CY$6,'История отказов'!AE587)=0,COUNTIF('История отказов'!$AE$5:AE587,'История отказов'!AE587)=1),583,""))</f>
        <v/>
      </c>
      <c r="DI584">
        <f>IF('История отказов'!AK587="","",IF(AND(COUNTIF($CL$2:$CL$3,'История отказов'!AK587)=0,COUNTIF('История отказов'!$AK$5:AK587,'История отказов'!AK587)=1),583,""))</f>
        <v/>
      </c>
      <c r="DJ584">
        <f>IF('История отказов'!AU587="","",IF(AND(COUNTIF($CP$2:$CP$3,'История отказов'!AU587)=0,COUNTIF('История отказов'!$AU$5:AU587,'История отказов'!AU587)=1),583,""))</f>
        <v/>
      </c>
      <c r="DK584">
        <f>IF('История отказов'!AY587="","",IF(AND(COUNTIF($CR$2:$CR$2,'История отказов'!AY587)=0,COUNTIF('История отказов'!$AY$5:AY587,'История отказов'!AY587)=1),583,""))</f>
        <v/>
      </c>
      <c r="DL584">
        <f>IF(DB584="","",IF(AND(COUNTIF($DA$2:$DA$47,DB584)=0,COUNTIF($DB$2:DB584,DB584)=1),583,""))</f>
        <v/>
      </c>
    </row>
    <row r="585">
      <c r="A585" s="74" t="n"/>
      <c r="B585" s="75" t="n"/>
      <c r="C585" s="76" t="n"/>
      <c r="J585" s="62" t="n"/>
      <c r="K585" s="62" t="n"/>
      <c r="L585" s="62" t="n"/>
      <c r="M585" s="62" t="n"/>
      <c r="N585" s="62" t="n"/>
      <c r="DB585">
        <f>IF('История отказов'!AH588="","",'История отказов'!AH588)</f>
        <v/>
      </c>
      <c r="DC585">
        <f>IF('История отказов'!AE588="","",IF(AND(COUNTIF($CT$2:$CT$2,'История отказов'!AE588)=0,COUNTIFS('История отказов'!$F$5:F588,"ШГН",'История отказов'!$AE$5:AE588,'История отказов'!AE588)=1,'История отказов'!F588="ШГН"),584,""))</f>
        <v/>
      </c>
      <c r="DD585">
        <f>IF('История отказов'!AE588="","",IF(AND(COUNTIF($CU$2:$CU$3,'История отказов'!AE588)=0,COUNTIFS('История отказов'!$F$5:F588,"ЭЦН",'История отказов'!$AE$5:AE588,'История отказов'!AE588)=1,'История отказов'!F588="ЭЦН"),584,""))</f>
        <v/>
      </c>
      <c r="DE585">
        <f>IF('История отказов'!AE588="","",IF(AND(COUNTIF($CV$2:$CV$3,'История отказов'!AE588)=0,COUNTIFS('История отказов'!$F$5:F588,"ЭВН",'История отказов'!$AE$5:AE588,'История отказов'!AE588)=1,'История отказов'!F588="ЭВН"),584,""))</f>
        <v/>
      </c>
      <c r="DF585">
        <f>IF('История отказов'!AE588="","",IF(AND(COUNTIF($CX$2:$CX$2,'История отказов'!AE588)=0,COUNTIFS('История отказов'!$F$5:F588,"ШВН",'История отказов'!$AE$5:AE588,'История отказов'!AE588)=1,'История отказов'!F588="ШВН"),584,""))</f>
        <v/>
      </c>
      <c r="DG585">
        <f>IF('История отказов'!AE588="","",IF(AND(COUNTIF($CW$2:$CW$2,'История отказов'!AE588)=0,COUNTIFS('История отказов'!$F$5:F588,"НПУ-ВД",'История отказов'!$AE$5:AE588,'История отказов'!AE588)=1,'История отказов'!F588="НПУ-ВД"),584,""))</f>
        <v/>
      </c>
      <c r="DH585">
        <f>IF('История отказов'!AE588="","",IF(AND(COUNTIF($CY$2:$CY$6,'История отказов'!AE588)=0,COUNTIF('История отказов'!$AE$5:AE588,'История отказов'!AE588)=1),584,""))</f>
        <v/>
      </c>
      <c r="DI585">
        <f>IF('История отказов'!AK588="","",IF(AND(COUNTIF($CL$2:$CL$3,'История отказов'!AK588)=0,COUNTIF('История отказов'!$AK$5:AK588,'История отказов'!AK588)=1),584,""))</f>
        <v/>
      </c>
      <c r="DJ585">
        <f>IF('История отказов'!AU588="","",IF(AND(COUNTIF($CP$2:$CP$3,'История отказов'!AU588)=0,COUNTIF('История отказов'!$AU$5:AU588,'История отказов'!AU588)=1),584,""))</f>
        <v/>
      </c>
      <c r="DK585">
        <f>IF('История отказов'!AY588="","",IF(AND(COUNTIF($CR$2:$CR$2,'История отказов'!AY588)=0,COUNTIF('История отказов'!$AY$5:AY588,'История отказов'!AY588)=1),584,""))</f>
        <v/>
      </c>
      <c r="DL585">
        <f>IF(DB585="","",IF(AND(COUNTIF($DA$2:$DA$47,DB585)=0,COUNTIF($DB$2:DB585,DB585)=1),584,""))</f>
        <v/>
      </c>
    </row>
    <row r="586">
      <c r="A586" s="74" t="n"/>
      <c r="B586" s="75" t="n"/>
      <c r="C586" s="76" t="n"/>
      <c r="J586" s="62" t="n"/>
      <c r="K586" s="62" t="n"/>
      <c r="L586" s="62" t="n"/>
      <c r="M586" s="62" t="n"/>
      <c r="N586" s="62" t="n"/>
      <c r="DB586">
        <f>IF('История отказов'!AH589="","",'История отказов'!AH589)</f>
        <v/>
      </c>
      <c r="DC586">
        <f>IF('История отказов'!AE589="","",IF(AND(COUNTIF($CT$2:$CT$2,'История отказов'!AE589)=0,COUNTIFS('История отказов'!$F$5:F589,"ШГН",'История отказов'!$AE$5:AE589,'История отказов'!AE589)=1,'История отказов'!F589="ШГН"),585,""))</f>
        <v/>
      </c>
      <c r="DD586">
        <f>IF('История отказов'!AE589="","",IF(AND(COUNTIF($CU$2:$CU$3,'История отказов'!AE589)=0,COUNTIFS('История отказов'!$F$5:F589,"ЭЦН",'История отказов'!$AE$5:AE589,'История отказов'!AE589)=1,'История отказов'!F589="ЭЦН"),585,""))</f>
        <v/>
      </c>
      <c r="DE586">
        <f>IF('История отказов'!AE589="","",IF(AND(COUNTIF($CV$2:$CV$3,'История отказов'!AE589)=0,COUNTIFS('История отказов'!$F$5:F589,"ЭВН",'История отказов'!$AE$5:AE589,'История отказов'!AE589)=1,'История отказов'!F589="ЭВН"),585,""))</f>
        <v/>
      </c>
      <c r="DF586">
        <f>IF('История отказов'!AE589="","",IF(AND(COUNTIF($CX$2:$CX$2,'История отказов'!AE589)=0,COUNTIFS('История отказов'!$F$5:F589,"ШВН",'История отказов'!$AE$5:AE589,'История отказов'!AE589)=1,'История отказов'!F589="ШВН"),585,""))</f>
        <v/>
      </c>
      <c r="DG586">
        <f>IF('История отказов'!AE589="","",IF(AND(COUNTIF($CW$2:$CW$2,'История отказов'!AE589)=0,COUNTIFS('История отказов'!$F$5:F589,"НПУ-ВД",'История отказов'!$AE$5:AE589,'История отказов'!AE589)=1,'История отказов'!F589="НПУ-ВД"),585,""))</f>
        <v/>
      </c>
      <c r="DH586">
        <f>IF('История отказов'!AE589="","",IF(AND(COUNTIF($CY$2:$CY$6,'История отказов'!AE589)=0,COUNTIF('История отказов'!$AE$5:AE589,'История отказов'!AE589)=1),585,""))</f>
        <v/>
      </c>
      <c r="DI586">
        <f>IF('История отказов'!AK589="","",IF(AND(COUNTIF($CL$2:$CL$3,'История отказов'!AK589)=0,COUNTIF('История отказов'!$AK$5:AK589,'История отказов'!AK589)=1),585,""))</f>
        <v/>
      </c>
      <c r="DJ586">
        <f>IF('История отказов'!AU589="","",IF(AND(COUNTIF($CP$2:$CP$3,'История отказов'!AU589)=0,COUNTIF('История отказов'!$AU$5:AU589,'История отказов'!AU589)=1),585,""))</f>
        <v/>
      </c>
      <c r="DK586">
        <f>IF('История отказов'!AY589="","",IF(AND(COUNTIF($CR$2:$CR$2,'История отказов'!AY589)=0,COUNTIF('История отказов'!$AY$5:AY589,'История отказов'!AY589)=1),585,""))</f>
        <v/>
      </c>
      <c r="DL586">
        <f>IF(DB586="","",IF(AND(COUNTIF($DA$2:$DA$47,DB586)=0,COUNTIF($DB$2:DB586,DB586)=1),585,""))</f>
        <v/>
      </c>
    </row>
    <row r="587">
      <c r="A587" s="74" t="n"/>
      <c r="B587" s="75" t="n"/>
      <c r="C587" s="76" t="n"/>
      <c r="J587" s="62" t="n"/>
      <c r="K587" s="62" t="n"/>
      <c r="L587" s="62" t="n"/>
      <c r="M587" s="62" t="n"/>
      <c r="N587" s="62" t="n"/>
      <c r="DB587">
        <f>IF('История отказов'!AH590="","",'История отказов'!AH590)</f>
        <v/>
      </c>
      <c r="DC587">
        <f>IF('История отказов'!AE590="","",IF(AND(COUNTIF($CT$2:$CT$2,'История отказов'!AE590)=0,COUNTIFS('История отказов'!$F$5:F590,"ШГН",'История отказов'!$AE$5:AE590,'История отказов'!AE590)=1,'История отказов'!F590="ШГН"),586,""))</f>
        <v/>
      </c>
      <c r="DD587">
        <f>IF('История отказов'!AE590="","",IF(AND(COUNTIF($CU$2:$CU$3,'История отказов'!AE590)=0,COUNTIFS('История отказов'!$F$5:F590,"ЭЦН",'История отказов'!$AE$5:AE590,'История отказов'!AE590)=1,'История отказов'!F590="ЭЦН"),586,""))</f>
        <v/>
      </c>
      <c r="DE587">
        <f>IF('История отказов'!AE590="","",IF(AND(COUNTIF($CV$2:$CV$3,'История отказов'!AE590)=0,COUNTIFS('История отказов'!$F$5:F590,"ЭВН",'История отказов'!$AE$5:AE590,'История отказов'!AE590)=1,'История отказов'!F590="ЭВН"),586,""))</f>
        <v/>
      </c>
      <c r="DF587">
        <f>IF('История отказов'!AE590="","",IF(AND(COUNTIF($CX$2:$CX$2,'История отказов'!AE590)=0,COUNTIFS('История отказов'!$F$5:F590,"ШВН",'История отказов'!$AE$5:AE590,'История отказов'!AE590)=1,'История отказов'!F590="ШВН"),586,""))</f>
        <v/>
      </c>
      <c r="DG587">
        <f>IF('История отказов'!AE590="","",IF(AND(COUNTIF($CW$2:$CW$2,'История отказов'!AE590)=0,COUNTIFS('История отказов'!$F$5:F590,"НПУ-ВД",'История отказов'!$AE$5:AE590,'История отказов'!AE590)=1,'История отказов'!F590="НПУ-ВД"),586,""))</f>
        <v/>
      </c>
      <c r="DH587">
        <f>IF('История отказов'!AE590="","",IF(AND(COUNTIF($CY$2:$CY$6,'История отказов'!AE590)=0,COUNTIF('История отказов'!$AE$5:AE590,'История отказов'!AE590)=1),586,""))</f>
        <v/>
      </c>
      <c r="DI587">
        <f>IF('История отказов'!AK590="","",IF(AND(COUNTIF($CL$2:$CL$3,'История отказов'!AK590)=0,COUNTIF('История отказов'!$AK$5:AK590,'История отказов'!AK590)=1),586,""))</f>
        <v/>
      </c>
      <c r="DJ587">
        <f>IF('История отказов'!AU590="","",IF(AND(COUNTIF($CP$2:$CP$3,'История отказов'!AU590)=0,COUNTIF('История отказов'!$AU$5:AU590,'История отказов'!AU590)=1),586,""))</f>
        <v/>
      </c>
      <c r="DK587">
        <f>IF('История отказов'!AY590="","",IF(AND(COUNTIF($CR$2:$CR$2,'История отказов'!AY590)=0,COUNTIF('История отказов'!$AY$5:AY590,'История отказов'!AY590)=1),586,""))</f>
        <v/>
      </c>
      <c r="DL587">
        <f>IF(DB587="","",IF(AND(COUNTIF($DA$2:$DA$47,DB587)=0,COUNTIF($DB$2:DB587,DB587)=1),586,""))</f>
        <v/>
      </c>
    </row>
    <row r="588">
      <c r="A588" s="74" t="n"/>
      <c r="B588" s="75" t="n"/>
      <c r="C588" s="76" t="n"/>
      <c r="J588" s="62" t="n"/>
      <c r="K588" s="62" t="n"/>
      <c r="L588" s="62" t="n"/>
      <c r="M588" s="62" t="n"/>
      <c r="N588" s="62" t="n"/>
      <c r="DB588">
        <f>IF('История отказов'!AH591="","",'История отказов'!AH591)</f>
        <v/>
      </c>
      <c r="DC588">
        <f>IF('История отказов'!AE591="","",IF(AND(COUNTIF($CT$2:$CT$2,'История отказов'!AE591)=0,COUNTIFS('История отказов'!$F$5:F591,"ШГН",'История отказов'!$AE$5:AE591,'История отказов'!AE591)=1,'История отказов'!F591="ШГН"),587,""))</f>
        <v/>
      </c>
      <c r="DD588">
        <f>IF('История отказов'!AE591="","",IF(AND(COUNTIF($CU$2:$CU$3,'История отказов'!AE591)=0,COUNTIFS('История отказов'!$F$5:F591,"ЭЦН",'История отказов'!$AE$5:AE591,'История отказов'!AE591)=1,'История отказов'!F591="ЭЦН"),587,""))</f>
        <v/>
      </c>
      <c r="DE588">
        <f>IF('История отказов'!AE591="","",IF(AND(COUNTIF($CV$2:$CV$3,'История отказов'!AE591)=0,COUNTIFS('История отказов'!$F$5:F591,"ЭВН",'История отказов'!$AE$5:AE591,'История отказов'!AE591)=1,'История отказов'!F591="ЭВН"),587,""))</f>
        <v/>
      </c>
      <c r="DF588">
        <f>IF('История отказов'!AE591="","",IF(AND(COUNTIF($CX$2:$CX$2,'История отказов'!AE591)=0,COUNTIFS('История отказов'!$F$5:F591,"ШВН",'История отказов'!$AE$5:AE591,'История отказов'!AE591)=1,'История отказов'!F591="ШВН"),587,""))</f>
        <v/>
      </c>
      <c r="DG588">
        <f>IF('История отказов'!AE591="","",IF(AND(COUNTIF($CW$2:$CW$2,'История отказов'!AE591)=0,COUNTIFS('История отказов'!$F$5:F591,"НПУ-ВД",'История отказов'!$AE$5:AE591,'История отказов'!AE591)=1,'История отказов'!F591="НПУ-ВД"),587,""))</f>
        <v/>
      </c>
      <c r="DH588">
        <f>IF('История отказов'!AE591="","",IF(AND(COUNTIF($CY$2:$CY$6,'История отказов'!AE591)=0,COUNTIF('История отказов'!$AE$5:AE591,'История отказов'!AE591)=1),587,""))</f>
        <v/>
      </c>
      <c r="DI588">
        <f>IF('История отказов'!AK591="","",IF(AND(COUNTIF($CL$2:$CL$3,'История отказов'!AK591)=0,COUNTIF('История отказов'!$AK$5:AK591,'История отказов'!AK591)=1),587,""))</f>
        <v/>
      </c>
      <c r="DJ588">
        <f>IF('История отказов'!AU591="","",IF(AND(COUNTIF($CP$2:$CP$3,'История отказов'!AU591)=0,COUNTIF('История отказов'!$AU$5:AU591,'История отказов'!AU591)=1),587,""))</f>
        <v/>
      </c>
      <c r="DK588">
        <f>IF('История отказов'!AY591="","",IF(AND(COUNTIF($CR$2:$CR$2,'История отказов'!AY591)=0,COUNTIF('История отказов'!$AY$5:AY591,'История отказов'!AY591)=1),587,""))</f>
        <v/>
      </c>
      <c r="DL588">
        <f>IF(DB588="","",IF(AND(COUNTIF($DA$2:$DA$47,DB588)=0,COUNTIF($DB$2:DB588,DB588)=1),587,""))</f>
        <v/>
      </c>
    </row>
    <row r="589">
      <c r="A589" s="74" t="n"/>
      <c r="B589" s="75" t="n"/>
      <c r="C589" s="76" t="n"/>
      <c r="J589" s="62" t="n"/>
      <c r="K589" s="62" t="n"/>
      <c r="L589" s="62" t="n"/>
      <c r="M589" s="62" t="n"/>
      <c r="N589" s="62" t="n"/>
      <c r="DB589">
        <f>IF('История отказов'!AH592="","",'История отказов'!AH592)</f>
        <v/>
      </c>
      <c r="DC589">
        <f>IF('История отказов'!AE592="","",IF(AND(COUNTIF($CT$2:$CT$2,'История отказов'!AE592)=0,COUNTIFS('История отказов'!$F$5:F592,"ШГН",'История отказов'!$AE$5:AE592,'История отказов'!AE592)=1,'История отказов'!F592="ШГН"),588,""))</f>
        <v/>
      </c>
      <c r="DD589">
        <f>IF('История отказов'!AE592="","",IF(AND(COUNTIF($CU$2:$CU$3,'История отказов'!AE592)=0,COUNTIFS('История отказов'!$F$5:F592,"ЭЦН",'История отказов'!$AE$5:AE592,'История отказов'!AE592)=1,'История отказов'!F592="ЭЦН"),588,""))</f>
        <v/>
      </c>
      <c r="DE589">
        <f>IF('История отказов'!AE592="","",IF(AND(COUNTIF($CV$2:$CV$3,'История отказов'!AE592)=0,COUNTIFS('История отказов'!$F$5:F592,"ЭВН",'История отказов'!$AE$5:AE592,'История отказов'!AE592)=1,'История отказов'!F592="ЭВН"),588,""))</f>
        <v/>
      </c>
      <c r="DF589">
        <f>IF('История отказов'!AE592="","",IF(AND(COUNTIF($CX$2:$CX$2,'История отказов'!AE592)=0,COUNTIFS('История отказов'!$F$5:F592,"ШВН",'История отказов'!$AE$5:AE592,'История отказов'!AE592)=1,'История отказов'!F592="ШВН"),588,""))</f>
        <v/>
      </c>
      <c r="DG589">
        <f>IF('История отказов'!AE592="","",IF(AND(COUNTIF($CW$2:$CW$2,'История отказов'!AE592)=0,COUNTIFS('История отказов'!$F$5:F592,"НПУ-ВД",'История отказов'!$AE$5:AE592,'История отказов'!AE592)=1,'История отказов'!F592="НПУ-ВД"),588,""))</f>
        <v/>
      </c>
      <c r="DH589">
        <f>IF('История отказов'!AE592="","",IF(AND(COUNTIF($CY$2:$CY$6,'История отказов'!AE592)=0,COUNTIF('История отказов'!$AE$5:AE592,'История отказов'!AE592)=1),588,""))</f>
        <v/>
      </c>
      <c r="DI589">
        <f>IF('История отказов'!AK592="","",IF(AND(COUNTIF($CL$2:$CL$3,'История отказов'!AK592)=0,COUNTIF('История отказов'!$AK$5:AK592,'История отказов'!AK592)=1),588,""))</f>
        <v/>
      </c>
      <c r="DJ589">
        <f>IF('История отказов'!AU592="","",IF(AND(COUNTIF($CP$2:$CP$3,'История отказов'!AU592)=0,COUNTIF('История отказов'!$AU$5:AU592,'История отказов'!AU592)=1),588,""))</f>
        <v/>
      </c>
      <c r="DK589">
        <f>IF('История отказов'!AY592="","",IF(AND(COUNTIF($CR$2:$CR$2,'История отказов'!AY592)=0,COUNTIF('История отказов'!$AY$5:AY592,'История отказов'!AY592)=1),588,""))</f>
        <v/>
      </c>
      <c r="DL589">
        <f>IF(DB589="","",IF(AND(COUNTIF($DA$2:$DA$47,DB589)=0,COUNTIF($DB$2:DB589,DB589)=1),588,""))</f>
        <v/>
      </c>
    </row>
    <row r="590">
      <c r="A590" s="74" t="n"/>
      <c r="B590" s="75" t="n"/>
      <c r="C590" s="76" t="n"/>
      <c r="J590" s="62" t="n"/>
      <c r="K590" s="62" t="n"/>
      <c r="L590" s="62" t="n"/>
      <c r="M590" s="62" t="n"/>
      <c r="N590" s="62" t="n"/>
      <c r="DB590">
        <f>IF('История отказов'!AH593="","",'История отказов'!AH593)</f>
        <v/>
      </c>
      <c r="DC590">
        <f>IF('История отказов'!AE593="","",IF(AND(COUNTIF($CT$2:$CT$2,'История отказов'!AE593)=0,COUNTIFS('История отказов'!$F$5:F593,"ШГН",'История отказов'!$AE$5:AE593,'История отказов'!AE593)=1,'История отказов'!F593="ШГН"),589,""))</f>
        <v/>
      </c>
      <c r="DD590">
        <f>IF('История отказов'!AE593="","",IF(AND(COUNTIF($CU$2:$CU$3,'История отказов'!AE593)=0,COUNTIFS('История отказов'!$F$5:F593,"ЭЦН",'История отказов'!$AE$5:AE593,'История отказов'!AE593)=1,'История отказов'!F593="ЭЦН"),589,""))</f>
        <v/>
      </c>
      <c r="DE590">
        <f>IF('История отказов'!AE593="","",IF(AND(COUNTIF($CV$2:$CV$3,'История отказов'!AE593)=0,COUNTIFS('История отказов'!$F$5:F593,"ЭВН",'История отказов'!$AE$5:AE593,'История отказов'!AE593)=1,'История отказов'!F593="ЭВН"),589,""))</f>
        <v/>
      </c>
      <c r="DF590">
        <f>IF('История отказов'!AE593="","",IF(AND(COUNTIF($CX$2:$CX$2,'История отказов'!AE593)=0,COUNTIFS('История отказов'!$F$5:F593,"ШВН",'История отказов'!$AE$5:AE593,'История отказов'!AE593)=1,'История отказов'!F593="ШВН"),589,""))</f>
        <v/>
      </c>
      <c r="DG590">
        <f>IF('История отказов'!AE593="","",IF(AND(COUNTIF($CW$2:$CW$2,'История отказов'!AE593)=0,COUNTIFS('История отказов'!$F$5:F593,"НПУ-ВД",'История отказов'!$AE$5:AE593,'История отказов'!AE593)=1,'История отказов'!F593="НПУ-ВД"),589,""))</f>
        <v/>
      </c>
      <c r="DH590">
        <f>IF('История отказов'!AE593="","",IF(AND(COUNTIF($CY$2:$CY$6,'История отказов'!AE593)=0,COUNTIF('История отказов'!$AE$5:AE593,'История отказов'!AE593)=1),589,""))</f>
        <v/>
      </c>
      <c r="DI590">
        <f>IF('История отказов'!AK593="","",IF(AND(COUNTIF($CL$2:$CL$3,'История отказов'!AK593)=0,COUNTIF('История отказов'!$AK$5:AK593,'История отказов'!AK593)=1),589,""))</f>
        <v/>
      </c>
      <c r="DJ590">
        <f>IF('История отказов'!AU593="","",IF(AND(COUNTIF($CP$2:$CP$3,'История отказов'!AU593)=0,COUNTIF('История отказов'!$AU$5:AU593,'История отказов'!AU593)=1),589,""))</f>
        <v/>
      </c>
      <c r="DK590">
        <f>IF('История отказов'!AY593="","",IF(AND(COUNTIF($CR$2:$CR$2,'История отказов'!AY593)=0,COUNTIF('История отказов'!$AY$5:AY593,'История отказов'!AY593)=1),589,""))</f>
        <v/>
      </c>
      <c r="DL590">
        <f>IF(DB590="","",IF(AND(COUNTIF($DA$2:$DA$47,DB590)=0,COUNTIF($DB$2:DB590,DB590)=1),589,""))</f>
        <v/>
      </c>
    </row>
    <row r="591">
      <c r="A591" s="74" t="n"/>
      <c r="B591" s="75" t="n"/>
      <c r="C591" s="76" t="n"/>
      <c r="J591" s="62" t="n"/>
      <c r="K591" s="62" t="n"/>
      <c r="L591" s="62" t="n"/>
      <c r="M591" s="62" t="n"/>
      <c r="N591" s="62" t="n"/>
      <c r="DB591">
        <f>IF('История отказов'!AH594="","",'История отказов'!AH594)</f>
        <v/>
      </c>
      <c r="DC591">
        <f>IF('История отказов'!AE594="","",IF(AND(COUNTIF($CT$2:$CT$2,'История отказов'!AE594)=0,COUNTIFS('История отказов'!$F$5:F594,"ШГН",'История отказов'!$AE$5:AE594,'История отказов'!AE594)=1,'История отказов'!F594="ШГН"),590,""))</f>
        <v/>
      </c>
      <c r="DD591">
        <f>IF('История отказов'!AE594="","",IF(AND(COUNTIF($CU$2:$CU$3,'История отказов'!AE594)=0,COUNTIFS('История отказов'!$F$5:F594,"ЭЦН",'История отказов'!$AE$5:AE594,'История отказов'!AE594)=1,'История отказов'!F594="ЭЦН"),590,""))</f>
        <v/>
      </c>
      <c r="DE591">
        <f>IF('История отказов'!AE594="","",IF(AND(COUNTIF($CV$2:$CV$3,'История отказов'!AE594)=0,COUNTIFS('История отказов'!$F$5:F594,"ЭВН",'История отказов'!$AE$5:AE594,'История отказов'!AE594)=1,'История отказов'!F594="ЭВН"),590,""))</f>
        <v/>
      </c>
      <c r="DF591">
        <f>IF('История отказов'!AE594="","",IF(AND(COUNTIF($CX$2:$CX$2,'История отказов'!AE594)=0,COUNTIFS('История отказов'!$F$5:F594,"ШВН",'История отказов'!$AE$5:AE594,'История отказов'!AE594)=1,'История отказов'!F594="ШВН"),590,""))</f>
        <v/>
      </c>
      <c r="DG591">
        <f>IF('История отказов'!AE594="","",IF(AND(COUNTIF($CW$2:$CW$2,'История отказов'!AE594)=0,COUNTIFS('История отказов'!$F$5:F594,"НПУ-ВД",'История отказов'!$AE$5:AE594,'История отказов'!AE594)=1,'История отказов'!F594="НПУ-ВД"),590,""))</f>
        <v/>
      </c>
      <c r="DH591">
        <f>IF('История отказов'!AE594="","",IF(AND(COUNTIF($CY$2:$CY$6,'История отказов'!AE594)=0,COUNTIF('История отказов'!$AE$5:AE594,'История отказов'!AE594)=1),590,""))</f>
        <v/>
      </c>
      <c r="DI591">
        <f>IF('История отказов'!AK594="","",IF(AND(COUNTIF($CL$2:$CL$3,'История отказов'!AK594)=0,COUNTIF('История отказов'!$AK$5:AK594,'История отказов'!AK594)=1),590,""))</f>
        <v/>
      </c>
      <c r="DJ591">
        <f>IF('История отказов'!AU594="","",IF(AND(COUNTIF($CP$2:$CP$3,'История отказов'!AU594)=0,COUNTIF('История отказов'!$AU$5:AU594,'История отказов'!AU594)=1),590,""))</f>
        <v/>
      </c>
      <c r="DK591">
        <f>IF('История отказов'!AY594="","",IF(AND(COUNTIF($CR$2:$CR$2,'История отказов'!AY594)=0,COUNTIF('История отказов'!$AY$5:AY594,'История отказов'!AY594)=1),590,""))</f>
        <v/>
      </c>
      <c r="DL591">
        <f>IF(DB591="","",IF(AND(COUNTIF($DA$2:$DA$47,DB591)=0,COUNTIF($DB$2:DB591,DB591)=1),590,""))</f>
        <v/>
      </c>
    </row>
    <row r="592">
      <c r="A592" s="74" t="n"/>
      <c r="B592" s="75" t="n"/>
      <c r="C592" s="76" t="n"/>
      <c r="J592" s="62" t="n"/>
      <c r="K592" s="62" t="n"/>
      <c r="L592" s="62" t="n"/>
      <c r="M592" s="62" t="n"/>
      <c r="N592" s="62" t="n"/>
      <c r="DB592">
        <f>IF('История отказов'!AH595="","",'История отказов'!AH595)</f>
        <v/>
      </c>
      <c r="DC592">
        <f>IF('История отказов'!AE595="","",IF(AND(COUNTIF($CT$2:$CT$2,'История отказов'!AE595)=0,COUNTIFS('История отказов'!$F$5:F595,"ШГН",'История отказов'!$AE$5:AE595,'История отказов'!AE595)=1,'История отказов'!F595="ШГН"),591,""))</f>
        <v/>
      </c>
      <c r="DD592">
        <f>IF('История отказов'!AE595="","",IF(AND(COUNTIF($CU$2:$CU$3,'История отказов'!AE595)=0,COUNTIFS('История отказов'!$F$5:F595,"ЭЦН",'История отказов'!$AE$5:AE595,'История отказов'!AE595)=1,'История отказов'!F595="ЭЦН"),591,""))</f>
        <v/>
      </c>
      <c r="DE592">
        <f>IF('История отказов'!AE595="","",IF(AND(COUNTIF($CV$2:$CV$3,'История отказов'!AE595)=0,COUNTIFS('История отказов'!$F$5:F595,"ЭВН",'История отказов'!$AE$5:AE595,'История отказов'!AE595)=1,'История отказов'!F595="ЭВН"),591,""))</f>
        <v/>
      </c>
      <c r="DF592">
        <f>IF('История отказов'!AE595="","",IF(AND(COUNTIF($CX$2:$CX$2,'История отказов'!AE595)=0,COUNTIFS('История отказов'!$F$5:F595,"ШВН",'История отказов'!$AE$5:AE595,'История отказов'!AE595)=1,'История отказов'!F595="ШВН"),591,""))</f>
        <v/>
      </c>
      <c r="DG592">
        <f>IF('История отказов'!AE595="","",IF(AND(COUNTIF($CW$2:$CW$2,'История отказов'!AE595)=0,COUNTIFS('История отказов'!$F$5:F595,"НПУ-ВД",'История отказов'!$AE$5:AE595,'История отказов'!AE595)=1,'История отказов'!F595="НПУ-ВД"),591,""))</f>
        <v/>
      </c>
      <c r="DH592">
        <f>IF('История отказов'!AE595="","",IF(AND(COUNTIF($CY$2:$CY$6,'История отказов'!AE595)=0,COUNTIF('История отказов'!$AE$5:AE595,'История отказов'!AE595)=1),591,""))</f>
        <v/>
      </c>
      <c r="DI592">
        <f>IF('История отказов'!AK595="","",IF(AND(COUNTIF($CL$2:$CL$3,'История отказов'!AK595)=0,COUNTIF('История отказов'!$AK$5:AK595,'История отказов'!AK595)=1),591,""))</f>
        <v/>
      </c>
      <c r="DJ592">
        <f>IF('История отказов'!AU595="","",IF(AND(COUNTIF($CP$2:$CP$3,'История отказов'!AU595)=0,COUNTIF('История отказов'!$AU$5:AU595,'История отказов'!AU595)=1),591,""))</f>
        <v/>
      </c>
      <c r="DK592">
        <f>IF('История отказов'!AY595="","",IF(AND(COUNTIF($CR$2:$CR$2,'История отказов'!AY595)=0,COUNTIF('История отказов'!$AY$5:AY595,'История отказов'!AY595)=1),591,""))</f>
        <v/>
      </c>
      <c r="DL592">
        <f>IF(DB592="","",IF(AND(COUNTIF($DA$2:$DA$47,DB592)=0,COUNTIF($DB$2:DB592,DB592)=1),591,""))</f>
        <v/>
      </c>
    </row>
    <row r="593">
      <c r="A593" s="74" t="n"/>
      <c r="B593" s="75" t="n"/>
      <c r="C593" s="76" t="n"/>
      <c r="J593" s="62" t="n"/>
      <c r="K593" s="62" t="n"/>
      <c r="L593" s="62" t="n"/>
      <c r="M593" s="62" t="n"/>
      <c r="N593" s="62" t="n"/>
      <c r="DB593">
        <f>IF('История отказов'!AH596="","",'История отказов'!AH596)</f>
        <v/>
      </c>
      <c r="DC593">
        <f>IF('История отказов'!AE596="","",IF(AND(COUNTIF($CT$2:$CT$2,'История отказов'!AE596)=0,COUNTIFS('История отказов'!$F$5:F596,"ШГН",'История отказов'!$AE$5:AE596,'История отказов'!AE596)=1,'История отказов'!F596="ШГН"),592,""))</f>
        <v/>
      </c>
      <c r="DD593">
        <f>IF('История отказов'!AE596="","",IF(AND(COUNTIF($CU$2:$CU$3,'История отказов'!AE596)=0,COUNTIFS('История отказов'!$F$5:F596,"ЭЦН",'История отказов'!$AE$5:AE596,'История отказов'!AE596)=1,'История отказов'!F596="ЭЦН"),592,""))</f>
        <v/>
      </c>
      <c r="DE593">
        <f>IF('История отказов'!AE596="","",IF(AND(COUNTIF($CV$2:$CV$3,'История отказов'!AE596)=0,COUNTIFS('История отказов'!$F$5:F596,"ЭВН",'История отказов'!$AE$5:AE596,'История отказов'!AE596)=1,'История отказов'!F596="ЭВН"),592,""))</f>
        <v/>
      </c>
      <c r="DF593">
        <f>IF('История отказов'!AE596="","",IF(AND(COUNTIF($CX$2:$CX$2,'История отказов'!AE596)=0,COUNTIFS('История отказов'!$F$5:F596,"ШВН",'История отказов'!$AE$5:AE596,'История отказов'!AE596)=1,'История отказов'!F596="ШВН"),592,""))</f>
        <v/>
      </c>
      <c r="DG593">
        <f>IF('История отказов'!AE596="","",IF(AND(COUNTIF($CW$2:$CW$2,'История отказов'!AE596)=0,COUNTIFS('История отказов'!$F$5:F596,"НПУ-ВД",'История отказов'!$AE$5:AE596,'История отказов'!AE596)=1,'История отказов'!F596="НПУ-ВД"),592,""))</f>
        <v/>
      </c>
      <c r="DH593">
        <f>IF('История отказов'!AE596="","",IF(AND(COUNTIF($CY$2:$CY$6,'История отказов'!AE596)=0,COUNTIF('История отказов'!$AE$5:AE596,'История отказов'!AE596)=1),592,""))</f>
        <v/>
      </c>
      <c r="DI593">
        <f>IF('История отказов'!AK596="","",IF(AND(COUNTIF($CL$2:$CL$3,'История отказов'!AK596)=0,COUNTIF('История отказов'!$AK$5:AK596,'История отказов'!AK596)=1),592,""))</f>
        <v/>
      </c>
      <c r="DJ593">
        <f>IF('История отказов'!AU596="","",IF(AND(COUNTIF($CP$2:$CP$3,'История отказов'!AU596)=0,COUNTIF('История отказов'!$AU$5:AU596,'История отказов'!AU596)=1),592,""))</f>
        <v/>
      </c>
      <c r="DK593">
        <f>IF('История отказов'!AY596="","",IF(AND(COUNTIF($CR$2:$CR$2,'История отказов'!AY596)=0,COUNTIF('История отказов'!$AY$5:AY596,'История отказов'!AY596)=1),592,""))</f>
        <v/>
      </c>
      <c r="DL593">
        <f>IF(DB593="","",IF(AND(COUNTIF($DA$2:$DA$47,DB593)=0,COUNTIF($DB$2:DB593,DB593)=1),592,""))</f>
        <v/>
      </c>
    </row>
    <row r="594">
      <c r="A594" s="74" t="n"/>
      <c r="B594" s="75" t="n"/>
      <c r="C594" s="76" t="n"/>
      <c r="J594" s="62" t="n"/>
      <c r="K594" s="62" t="n"/>
      <c r="L594" s="62" t="n"/>
      <c r="M594" s="62" t="n"/>
      <c r="N594" s="62" t="n"/>
      <c r="DB594">
        <f>IF('История отказов'!AH597="","",'История отказов'!AH597)</f>
        <v/>
      </c>
      <c r="DC594">
        <f>IF('История отказов'!AE597="","",IF(AND(COUNTIF($CT$2:$CT$2,'История отказов'!AE597)=0,COUNTIFS('История отказов'!$F$5:F597,"ШГН",'История отказов'!$AE$5:AE597,'История отказов'!AE597)=1,'История отказов'!F597="ШГН"),593,""))</f>
        <v/>
      </c>
      <c r="DD594">
        <f>IF('История отказов'!AE597="","",IF(AND(COUNTIF($CU$2:$CU$3,'История отказов'!AE597)=0,COUNTIFS('История отказов'!$F$5:F597,"ЭЦН",'История отказов'!$AE$5:AE597,'История отказов'!AE597)=1,'История отказов'!F597="ЭЦН"),593,""))</f>
        <v/>
      </c>
      <c r="DE594">
        <f>IF('История отказов'!AE597="","",IF(AND(COUNTIF($CV$2:$CV$3,'История отказов'!AE597)=0,COUNTIFS('История отказов'!$F$5:F597,"ЭВН",'История отказов'!$AE$5:AE597,'История отказов'!AE597)=1,'История отказов'!F597="ЭВН"),593,""))</f>
        <v/>
      </c>
      <c r="DF594">
        <f>IF('История отказов'!AE597="","",IF(AND(COUNTIF($CX$2:$CX$2,'История отказов'!AE597)=0,COUNTIFS('История отказов'!$F$5:F597,"ШВН",'История отказов'!$AE$5:AE597,'История отказов'!AE597)=1,'История отказов'!F597="ШВН"),593,""))</f>
        <v/>
      </c>
      <c r="DG594">
        <f>IF('История отказов'!AE597="","",IF(AND(COUNTIF($CW$2:$CW$2,'История отказов'!AE597)=0,COUNTIFS('История отказов'!$F$5:F597,"НПУ-ВД",'История отказов'!$AE$5:AE597,'История отказов'!AE597)=1,'История отказов'!F597="НПУ-ВД"),593,""))</f>
        <v/>
      </c>
      <c r="DH594">
        <f>IF('История отказов'!AE597="","",IF(AND(COUNTIF($CY$2:$CY$6,'История отказов'!AE597)=0,COUNTIF('История отказов'!$AE$5:AE597,'История отказов'!AE597)=1),593,""))</f>
        <v/>
      </c>
      <c r="DI594">
        <f>IF('История отказов'!AK597="","",IF(AND(COUNTIF($CL$2:$CL$3,'История отказов'!AK597)=0,COUNTIF('История отказов'!$AK$5:AK597,'История отказов'!AK597)=1),593,""))</f>
        <v/>
      </c>
      <c r="DJ594">
        <f>IF('История отказов'!AU597="","",IF(AND(COUNTIF($CP$2:$CP$3,'История отказов'!AU597)=0,COUNTIF('История отказов'!$AU$5:AU597,'История отказов'!AU597)=1),593,""))</f>
        <v/>
      </c>
      <c r="DK594">
        <f>IF('История отказов'!AY597="","",IF(AND(COUNTIF($CR$2:$CR$2,'История отказов'!AY597)=0,COUNTIF('История отказов'!$AY$5:AY597,'История отказов'!AY597)=1),593,""))</f>
        <v/>
      </c>
      <c r="DL594">
        <f>IF(DB594="","",IF(AND(COUNTIF($DA$2:$DA$47,DB594)=0,COUNTIF($DB$2:DB594,DB594)=1),593,""))</f>
        <v/>
      </c>
    </row>
    <row r="595">
      <c r="A595" s="74" t="n"/>
      <c r="B595" s="75" t="n"/>
      <c r="C595" s="76" t="n"/>
      <c r="J595" s="62" t="n"/>
      <c r="K595" s="62" t="n"/>
      <c r="L595" s="62" t="n"/>
      <c r="M595" s="62" t="n"/>
      <c r="N595" s="62" t="n"/>
      <c r="DB595">
        <f>IF('История отказов'!AH598="","",'История отказов'!AH598)</f>
        <v/>
      </c>
      <c r="DC595">
        <f>IF('История отказов'!AE598="","",IF(AND(COUNTIF($CT$2:$CT$2,'История отказов'!AE598)=0,COUNTIFS('История отказов'!$F$5:F598,"ШГН",'История отказов'!$AE$5:AE598,'История отказов'!AE598)=1,'История отказов'!F598="ШГН"),594,""))</f>
        <v/>
      </c>
      <c r="DD595">
        <f>IF('История отказов'!AE598="","",IF(AND(COUNTIF($CU$2:$CU$3,'История отказов'!AE598)=0,COUNTIFS('История отказов'!$F$5:F598,"ЭЦН",'История отказов'!$AE$5:AE598,'История отказов'!AE598)=1,'История отказов'!F598="ЭЦН"),594,""))</f>
        <v/>
      </c>
      <c r="DE595">
        <f>IF('История отказов'!AE598="","",IF(AND(COUNTIF($CV$2:$CV$3,'История отказов'!AE598)=0,COUNTIFS('История отказов'!$F$5:F598,"ЭВН",'История отказов'!$AE$5:AE598,'История отказов'!AE598)=1,'История отказов'!F598="ЭВН"),594,""))</f>
        <v/>
      </c>
      <c r="DF595">
        <f>IF('История отказов'!AE598="","",IF(AND(COUNTIF($CX$2:$CX$2,'История отказов'!AE598)=0,COUNTIFS('История отказов'!$F$5:F598,"ШВН",'История отказов'!$AE$5:AE598,'История отказов'!AE598)=1,'История отказов'!F598="ШВН"),594,""))</f>
        <v/>
      </c>
      <c r="DG595">
        <f>IF('История отказов'!AE598="","",IF(AND(COUNTIF($CW$2:$CW$2,'История отказов'!AE598)=0,COUNTIFS('История отказов'!$F$5:F598,"НПУ-ВД",'История отказов'!$AE$5:AE598,'История отказов'!AE598)=1,'История отказов'!F598="НПУ-ВД"),594,""))</f>
        <v/>
      </c>
      <c r="DH595">
        <f>IF('История отказов'!AE598="","",IF(AND(COUNTIF($CY$2:$CY$6,'История отказов'!AE598)=0,COUNTIF('История отказов'!$AE$5:AE598,'История отказов'!AE598)=1),594,""))</f>
        <v/>
      </c>
      <c r="DI595">
        <f>IF('История отказов'!AK598="","",IF(AND(COUNTIF($CL$2:$CL$3,'История отказов'!AK598)=0,COUNTIF('История отказов'!$AK$5:AK598,'История отказов'!AK598)=1),594,""))</f>
        <v/>
      </c>
      <c r="DJ595">
        <f>IF('История отказов'!AU598="","",IF(AND(COUNTIF($CP$2:$CP$3,'История отказов'!AU598)=0,COUNTIF('История отказов'!$AU$5:AU598,'История отказов'!AU598)=1),594,""))</f>
        <v/>
      </c>
      <c r="DK595">
        <f>IF('История отказов'!AY598="","",IF(AND(COUNTIF($CR$2:$CR$2,'История отказов'!AY598)=0,COUNTIF('История отказов'!$AY$5:AY598,'История отказов'!AY598)=1),594,""))</f>
        <v/>
      </c>
      <c r="DL595">
        <f>IF(DB595="","",IF(AND(COUNTIF($DA$2:$DA$47,DB595)=0,COUNTIF($DB$2:DB595,DB595)=1),594,""))</f>
        <v/>
      </c>
    </row>
    <row r="596">
      <c r="A596" s="74" t="n"/>
      <c r="B596" s="75" t="n"/>
      <c r="C596" s="76" t="n"/>
      <c r="J596" s="62" t="n"/>
      <c r="K596" s="62" t="n"/>
      <c r="L596" s="62" t="n"/>
      <c r="M596" s="62" t="n"/>
      <c r="N596" s="62" t="n"/>
      <c r="DB596">
        <f>IF('История отказов'!AH599="","",'История отказов'!AH599)</f>
        <v/>
      </c>
      <c r="DC596">
        <f>IF('История отказов'!AE599="","",IF(AND(COUNTIF($CT$2:$CT$2,'История отказов'!AE599)=0,COUNTIFS('История отказов'!$F$5:F599,"ШГН",'История отказов'!$AE$5:AE599,'История отказов'!AE599)=1,'История отказов'!F599="ШГН"),595,""))</f>
        <v/>
      </c>
      <c r="DD596">
        <f>IF('История отказов'!AE599="","",IF(AND(COUNTIF($CU$2:$CU$3,'История отказов'!AE599)=0,COUNTIFS('История отказов'!$F$5:F599,"ЭЦН",'История отказов'!$AE$5:AE599,'История отказов'!AE599)=1,'История отказов'!F599="ЭЦН"),595,""))</f>
        <v/>
      </c>
      <c r="DE596">
        <f>IF('История отказов'!AE599="","",IF(AND(COUNTIF($CV$2:$CV$3,'История отказов'!AE599)=0,COUNTIFS('История отказов'!$F$5:F599,"ЭВН",'История отказов'!$AE$5:AE599,'История отказов'!AE599)=1,'История отказов'!F599="ЭВН"),595,""))</f>
        <v/>
      </c>
      <c r="DF596">
        <f>IF('История отказов'!AE599="","",IF(AND(COUNTIF($CX$2:$CX$2,'История отказов'!AE599)=0,COUNTIFS('История отказов'!$F$5:F599,"ШВН",'История отказов'!$AE$5:AE599,'История отказов'!AE599)=1,'История отказов'!F599="ШВН"),595,""))</f>
        <v/>
      </c>
      <c r="DG596">
        <f>IF('История отказов'!AE599="","",IF(AND(COUNTIF($CW$2:$CW$2,'История отказов'!AE599)=0,COUNTIFS('История отказов'!$F$5:F599,"НПУ-ВД",'История отказов'!$AE$5:AE599,'История отказов'!AE599)=1,'История отказов'!F599="НПУ-ВД"),595,""))</f>
        <v/>
      </c>
      <c r="DH596">
        <f>IF('История отказов'!AE599="","",IF(AND(COUNTIF($CY$2:$CY$6,'История отказов'!AE599)=0,COUNTIF('История отказов'!$AE$5:AE599,'История отказов'!AE599)=1),595,""))</f>
        <v/>
      </c>
      <c r="DI596">
        <f>IF('История отказов'!AK599="","",IF(AND(COUNTIF($CL$2:$CL$3,'История отказов'!AK599)=0,COUNTIF('История отказов'!$AK$5:AK599,'История отказов'!AK599)=1),595,""))</f>
        <v/>
      </c>
      <c r="DJ596">
        <f>IF('История отказов'!AU599="","",IF(AND(COUNTIF($CP$2:$CP$3,'История отказов'!AU599)=0,COUNTIF('История отказов'!$AU$5:AU599,'История отказов'!AU599)=1),595,""))</f>
        <v/>
      </c>
      <c r="DK596">
        <f>IF('История отказов'!AY599="","",IF(AND(COUNTIF($CR$2:$CR$2,'История отказов'!AY599)=0,COUNTIF('История отказов'!$AY$5:AY599,'История отказов'!AY599)=1),595,""))</f>
        <v/>
      </c>
      <c r="DL596">
        <f>IF(DB596="","",IF(AND(COUNTIF($DA$2:$DA$47,DB596)=0,COUNTIF($DB$2:DB596,DB596)=1),595,""))</f>
        <v/>
      </c>
    </row>
    <row r="597">
      <c r="A597" s="74" t="n"/>
      <c r="B597" s="75" t="n"/>
      <c r="C597" s="76" t="n"/>
      <c r="J597" s="62" t="n"/>
      <c r="K597" s="62" t="n"/>
      <c r="L597" s="62" t="n"/>
      <c r="M597" s="62" t="n"/>
      <c r="N597" s="62" t="n"/>
      <c r="DB597">
        <f>IF('История отказов'!AH600="","",'История отказов'!AH600)</f>
        <v/>
      </c>
      <c r="DC597">
        <f>IF('История отказов'!AE600="","",IF(AND(COUNTIF($CT$2:$CT$2,'История отказов'!AE600)=0,COUNTIFS('История отказов'!$F$5:F600,"ШГН",'История отказов'!$AE$5:AE600,'История отказов'!AE600)=1,'История отказов'!F600="ШГН"),596,""))</f>
        <v/>
      </c>
      <c r="DD597">
        <f>IF('История отказов'!AE600="","",IF(AND(COUNTIF($CU$2:$CU$3,'История отказов'!AE600)=0,COUNTIFS('История отказов'!$F$5:F600,"ЭЦН",'История отказов'!$AE$5:AE600,'История отказов'!AE600)=1,'История отказов'!F600="ЭЦН"),596,""))</f>
        <v/>
      </c>
      <c r="DE597">
        <f>IF('История отказов'!AE600="","",IF(AND(COUNTIF($CV$2:$CV$3,'История отказов'!AE600)=0,COUNTIFS('История отказов'!$F$5:F600,"ЭВН",'История отказов'!$AE$5:AE600,'История отказов'!AE600)=1,'История отказов'!F600="ЭВН"),596,""))</f>
        <v/>
      </c>
      <c r="DF597">
        <f>IF('История отказов'!AE600="","",IF(AND(COUNTIF($CX$2:$CX$2,'История отказов'!AE600)=0,COUNTIFS('История отказов'!$F$5:F600,"ШВН",'История отказов'!$AE$5:AE600,'История отказов'!AE600)=1,'История отказов'!F600="ШВН"),596,""))</f>
        <v/>
      </c>
      <c r="DG597">
        <f>IF('История отказов'!AE600="","",IF(AND(COUNTIF($CW$2:$CW$2,'История отказов'!AE600)=0,COUNTIFS('История отказов'!$F$5:F600,"НПУ-ВД",'История отказов'!$AE$5:AE600,'История отказов'!AE600)=1,'История отказов'!F600="НПУ-ВД"),596,""))</f>
        <v/>
      </c>
      <c r="DH597">
        <f>IF('История отказов'!AE600="","",IF(AND(COUNTIF($CY$2:$CY$6,'История отказов'!AE600)=0,COUNTIF('История отказов'!$AE$5:AE600,'История отказов'!AE600)=1),596,""))</f>
        <v/>
      </c>
      <c r="DI597">
        <f>IF('История отказов'!AK600="","",IF(AND(COUNTIF($CL$2:$CL$3,'История отказов'!AK600)=0,COUNTIF('История отказов'!$AK$5:AK600,'История отказов'!AK600)=1),596,""))</f>
        <v/>
      </c>
      <c r="DJ597">
        <f>IF('История отказов'!AU600="","",IF(AND(COUNTIF($CP$2:$CP$3,'История отказов'!AU600)=0,COUNTIF('История отказов'!$AU$5:AU600,'История отказов'!AU600)=1),596,""))</f>
        <v/>
      </c>
      <c r="DK597">
        <f>IF('История отказов'!AY600="","",IF(AND(COUNTIF($CR$2:$CR$2,'История отказов'!AY600)=0,COUNTIF('История отказов'!$AY$5:AY600,'История отказов'!AY600)=1),596,""))</f>
        <v/>
      </c>
      <c r="DL597">
        <f>IF(DB597="","",IF(AND(COUNTIF($DA$2:$DA$47,DB597)=0,COUNTIF($DB$2:DB597,DB597)=1),596,""))</f>
        <v/>
      </c>
    </row>
    <row r="598">
      <c r="A598" s="74" t="n"/>
      <c r="B598" s="75" t="n"/>
      <c r="C598" s="76" t="n"/>
      <c r="J598" s="62" t="n"/>
      <c r="K598" s="62" t="n"/>
      <c r="L598" s="62" t="n"/>
      <c r="M598" s="62" t="n"/>
      <c r="N598" s="62" t="n"/>
      <c r="DB598">
        <f>IF('История отказов'!AH601="","",'История отказов'!AH601)</f>
        <v/>
      </c>
      <c r="DC598">
        <f>IF('История отказов'!AE601="","",IF(AND(COUNTIF($CT$2:$CT$2,'История отказов'!AE601)=0,COUNTIFS('История отказов'!$F$5:F601,"ШГН",'История отказов'!$AE$5:AE601,'История отказов'!AE601)=1,'История отказов'!F601="ШГН"),597,""))</f>
        <v/>
      </c>
      <c r="DD598">
        <f>IF('История отказов'!AE601="","",IF(AND(COUNTIF($CU$2:$CU$3,'История отказов'!AE601)=0,COUNTIFS('История отказов'!$F$5:F601,"ЭЦН",'История отказов'!$AE$5:AE601,'История отказов'!AE601)=1,'История отказов'!F601="ЭЦН"),597,""))</f>
        <v/>
      </c>
      <c r="DE598">
        <f>IF('История отказов'!AE601="","",IF(AND(COUNTIF($CV$2:$CV$3,'История отказов'!AE601)=0,COUNTIFS('История отказов'!$F$5:F601,"ЭВН",'История отказов'!$AE$5:AE601,'История отказов'!AE601)=1,'История отказов'!F601="ЭВН"),597,""))</f>
        <v/>
      </c>
      <c r="DF598">
        <f>IF('История отказов'!AE601="","",IF(AND(COUNTIF($CX$2:$CX$2,'История отказов'!AE601)=0,COUNTIFS('История отказов'!$F$5:F601,"ШВН",'История отказов'!$AE$5:AE601,'История отказов'!AE601)=1,'История отказов'!F601="ШВН"),597,""))</f>
        <v/>
      </c>
      <c r="DG598">
        <f>IF('История отказов'!AE601="","",IF(AND(COUNTIF($CW$2:$CW$2,'История отказов'!AE601)=0,COUNTIFS('История отказов'!$F$5:F601,"НПУ-ВД",'История отказов'!$AE$5:AE601,'История отказов'!AE601)=1,'История отказов'!F601="НПУ-ВД"),597,""))</f>
        <v/>
      </c>
      <c r="DH598">
        <f>IF('История отказов'!AE601="","",IF(AND(COUNTIF($CY$2:$CY$6,'История отказов'!AE601)=0,COUNTIF('История отказов'!$AE$5:AE601,'История отказов'!AE601)=1),597,""))</f>
        <v/>
      </c>
      <c r="DI598">
        <f>IF('История отказов'!AK601="","",IF(AND(COUNTIF($CL$2:$CL$3,'История отказов'!AK601)=0,COUNTIF('История отказов'!$AK$5:AK601,'История отказов'!AK601)=1),597,""))</f>
        <v/>
      </c>
      <c r="DJ598">
        <f>IF('История отказов'!AU601="","",IF(AND(COUNTIF($CP$2:$CP$3,'История отказов'!AU601)=0,COUNTIF('История отказов'!$AU$5:AU601,'История отказов'!AU601)=1),597,""))</f>
        <v/>
      </c>
      <c r="DK598">
        <f>IF('История отказов'!AY601="","",IF(AND(COUNTIF($CR$2:$CR$2,'История отказов'!AY601)=0,COUNTIF('История отказов'!$AY$5:AY601,'История отказов'!AY601)=1),597,""))</f>
        <v/>
      </c>
      <c r="DL598">
        <f>IF(DB598="","",IF(AND(COUNTIF($DA$2:$DA$47,DB598)=0,COUNTIF($DB$2:DB598,DB598)=1),597,""))</f>
        <v/>
      </c>
    </row>
    <row r="599">
      <c r="A599" s="74" t="n"/>
      <c r="B599" s="75" t="n"/>
      <c r="C599" s="76" t="n"/>
      <c r="J599" s="62" t="n"/>
      <c r="K599" s="62" t="n"/>
      <c r="L599" s="62" t="n"/>
      <c r="M599" s="62" t="n"/>
      <c r="N599" s="62" t="n"/>
      <c r="DB599">
        <f>IF('История отказов'!AH602="","",'История отказов'!AH602)</f>
        <v/>
      </c>
      <c r="DC599">
        <f>IF('История отказов'!AE602="","",IF(AND(COUNTIF($CT$2:$CT$2,'История отказов'!AE602)=0,COUNTIFS('История отказов'!$F$5:F602,"ШГН",'История отказов'!$AE$5:AE602,'История отказов'!AE602)=1,'История отказов'!F602="ШГН"),598,""))</f>
        <v/>
      </c>
      <c r="DD599">
        <f>IF('История отказов'!AE602="","",IF(AND(COUNTIF($CU$2:$CU$3,'История отказов'!AE602)=0,COUNTIFS('История отказов'!$F$5:F602,"ЭЦН",'История отказов'!$AE$5:AE602,'История отказов'!AE602)=1,'История отказов'!F602="ЭЦН"),598,""))</f>
        <v/>
      </c>
      <c r="DE599">
        <f>IF('История отказов'!AE602="","",IF(AND(COUNTIF($CV$2:$CV$3,'История отказов'!AE602)=0,COUNTIFS('История отказов'!$F$5:F602,"ЭВН",'История отказов'!$AE$5:AE602,'История отказов'!AE602)=1,'История отказов'!F602="ЭВН"),598,""))</f>
        <v/>
      </c>
      <c r="DF599">
        <f>IF('История отказов'!AE602="","",IF(AND(COUNTIF($CX$2:$CX$2,'История отказов'!AE602)=0,COUNTIFS('История отказов'!$F$5:F602,"ШВН",'История отказов'!$AE$5:AE602,'История отказов'!AE602)=1,'История отказов'!F602="ШВН"),598,""))</f>
        <v/>
      </c>
      <c r="DG599">
        <f>IF('История отказов'!AE602="","",IF(AND(COUNTIF($CW$2:$CW$2,'История отказов'!AE602)=0,COUNTIFS('История отказов'!$F$5:F602,"НПУ-ВД",'История отказов'!$AE$5:AE602,'История отказов'!AE602)=1,'История отказов'!F602="НПУ-ВД"),598,""))</f>
        <v/>
      </c>
      <c r="DH599">
        <f>IF('История отказов'!AE602="","",IF(AND(COUNTIF($CY$2:$CY$6,'История отказов'!AE602)=0,COUNTIF('История отказов'!$AE$5:AE602,'История отказов'!AE602)=1),598,""))</f>
        <v/>
      </c>
      <c r="DI599">
        <f>IF('История отказов'!AK602="","",IF(AND(COUNTIF($CL$2:$CL$3,'История отказов'!AK602)=0,COUNTIF('История отказов'!$AK$5:AK602,'История отказов'!AK602)=1),598,""))</f>
        <v/>
      </c>
      <c r="DJ599">
        <f>IF('История отказов'!AU602="","",IF(AND(COUNTIF($CP$2:$CP$3,'История отказов'!AU602)=0,COUNTIF('История отказов'!$AU$5:AU602,'История отказов'!AU602)=1),598,""))</f>
        <v/>
      </c>
      <c r="DK599">
        <f>IF('История отказов'!AY602="","",IF(AND(COUNTIF($CR$2:$CR$2,'История отказов'!AY602)=0,COUNTIF('История отказов'!$AY$5:AY602,'История отказов'!AY602)=1),598,""))</f>
        <v/>
      </c>
      <c r="DL599">
        <f>IF(DB599="","",IF(AND(COUNTIF($DA$2:$DA$47,DB599)=0,COUNTIF($DB$2:DB599,DB599)=1),598,""))</f>
        <v/>
      </c>
    </row>
    <row r="600">
      <c r="A600" s="74" t="n"/>
      <c r="B600" s="75" t="n"/>
      <c r="C600" s="76" t="n"/>
      <c r="J600" s="62" t="n"/>
      <c r="K600" s="62" t="n"/>
      <c r="L600" s="62" t="n"/>
      <c r="M600" s="62" t="n"/>
      <c r="N600" s="62" t="n"/>
      <c r="DB600">
        <f>IF('История отказов'!AH603="","",'История отказов'!AH603)</f>
        <v/>
      </c>
      <c r="DC600">
        <f>IF('История отказов'!AE603="","",IF(AND(COUNTIF($CT$2:$CT$2,'История отказов'!AE603)=0,COUNTIFS('История отказов'!$F$5:F603,"ШГН",'История отказов'!$AE$5:AE603,'История отказов'!AE603)=1,'История отказов'!F603="ШГН"),599,""))</f>
        <v/>
      </c>
      <c r="DD600">
        <f>IF('История отказов'!AE603="","",IF(AND(COUNTIF($CU$2:$CU$3,'История отказов'!AE603)=0,COUNTIFS('История отказов'!$F$5:F603,"ЭЦН",'История отказов'!$AE$5:AE603,'История отказов'!AE603)=1,'История отказов'!F603="ЭЦН"),599,""))</f>
        <v/>
      </c>
      <c r="DE600">
        <f>IF('История отказов'!AE603="","",IF(AND(COUNTIF($CV$2:$CV$3,'История отказов'!AE603)=0,COUNTIFS('История отказов'!$F$5:F603,"ЭВН",'История отказов'!$AE$5:AE603,'История отказов'!AE603)=1,'История отказов'!F603="ЭВН"),599,""))</f>
        <v/>
      </c>
      <c r="DF600">
        <f>IF('История отказов'!AE603="","",IF(AND(COUNTIF($CX$2:$CX$2,'История отказов'!AE603)=0,COUNTIFS('История отказов'!$F$5:F603,"ШВН",'История отказов'!$AE$5:AE603,'История отказов'!AE603)=1,'История отказов'!F603="ШВН"),599,""))</f>
        <v/>
      </c>
      <c r="DG600">
        <f>IF('История отказов'!AE603="","",IF(AND(COUNTIF($CW$2:$CW$2,'История отказов'!AE603)=0,COUNTIFS('История отказов'!$F$5:F603,"НПУ-ВД",'История отказов'!$AE$5:AE603,'История отказов'!AE603)=1,'История отказов'!F603="НПУ-ВД"),599,""))</f>
        <v/>
      </c>
      <c r="DH600">
        <f>IF('История отказов'!AE603="","",IF(AND(COUNTIF($CY$2:$CY$6,'История отказов'!AE603)=0,COUNTIF('История отказов'!$AE$5:AE603,'История отказов'!AE603)=1),599,""))</f>
        <v/>
      </c>
      <c r="DI600">
        <f>IF('История отказов'!AK603="","",IF(AND(COUNTIF($CL$2:$CL$3,'История отказов'!AK603)=0,COUNTIF('История отказов'!$AK$5:AK603,'История отказов'!AK603)=1),599,""))</f>
        <v/>
      </c>
      <c r="DJ600">
        <f>IF('История отказов'!AU603="","",IF(AND(COUNTIF($CP$2:$CP$3,'История отказов'!AU603)=0,COUNTIF('История отказов'!$AU$5:AU603,'История отказов'!AU603)=1),599,""))</f>
        <v/>
      </c>
      <c r="DK600">
        <f>IF('История отказов'!AY603="","",IF(AND(COUNTIF($CR$2:$CR$2,'История отказов'!AY603)=0,COUNTIF('История отказов'!$AY$5:AY603,'История отказов'!AY603)=1),599,""))</f>
        <v/>
      </c>
      <c r="DL600">
        <f>IF(DB600="","",IF(AND(COUNTIF($DA$2:$DA$47,DB600)=0,COUNTIF($DB$2:DB600,DB600)=1),599,""))</f>
        <v/>
      </c>
    </row>
    <row r="601">
      <c r="A601" s="74" t="n"/>
      <c r="B601" s="75" t="n"/>
      <c r="C601" s="76" t="n"/>
      <c r="J601" s="62" t="n"/>
      <c r="K601" s="62" t="n"/>
      <c r="L601" s="62" t="n"/>
      <c r="M601" s="62" t="n"/>
      <c r="N601" s="62" t="n"/>
      <c r="DB601">
        <f>IF('История отказов'!AH604="","",'История отказов'!AH604)</f>
        <v/>
      </c>
      <c r="DC601">
        <f>IF('История отказов'!AE604="","",IF(AND(COUNTIF($CT$2:$CT$2,'История отказов'!AE604)=0,COUNTIFS('История отказов'!$F$5:F604,"ШГН",'История отказов'!$AE$5:AE604,'История отказов'!AE604)=1,'История отказов'!F604="ШГН"),600,""))</f>
        <v/>
      </c>
      <c r="DD601">
        <f>IF('История отказов'!AE604="","",IF(AND(COUNTIF($CU$2:$CU$3,'История отказов'!AE604)=0,COUNTIFS('История отказов'!$F$5:F604,"ЭЦН",'История отказов'!$AE$5:AE604,'История отказов'!AE604)=1,'История отказов'!F604="ЭЦН"),600,""))</f>
        <v/>
      </c>
      <c r="DE601">
        <f>IF('История отказов'!AE604="","",IF(AND(COUNTIF($CV$2:$CV$3,'История отказов'!AE604)=0,COUNTIFS('История отказов'!$F$5:F604,"ЭВН",'История отказов'!$AE$5:AE604,'История отказов'!AE604)=1,'История отказов'!F604="ЭВН"),600,""))</f>
        <v/>
      </c>
      <c r="DF601">
        <f>IF('История отказов'!AE604="","",IF(AND(COUNTIF($CX$2:$CX$2,'История отказов'!AE604)=0,COUNTIFS('История отказов'!$F$5:F604,"ШВН",'История отказов'!$AE$5:AE604,'История отказов'!AE604)=1,'История отказов'!F604="ШВН"),600,""))</f>
        <v/>
      </c>
      <c r="DG601">
        <f>IF('История отказов'!AE604="","",IF(AND(COUNTIF($CW$2:$CW$2,'История отказов'!AE604)=0,COUNTIFS('История отказов'!$F$5:F604,"НПУ-ВД",'История отказов'!$AE$5:AE604,'История отказов'!AE604)=1,'История отказов'!F604="НПУ-ВД"),600,""))</f>
        <v/>
      </c>
      <c r="DH601">
        <f>IF('История отказов'!AE604="","",IF(AND(COUNTIF($CY$2:$CY$6,'История отказов'!AE604)=0,COUNTIF('История отказов'!$AE$5:AE604,'История отказов'!AE604)=1),600,""))</f>
        <v/>
      </c>
      <c r="DI601">
        <f>IF('История отказов'!AK604="","",IF(AND(COUNTIF($CL$2:$CL$3,'История отказов'!AK604)=0,COUNTIF('История отказов'!$AK$5:AK604,'История отказов'!AK604)=1),600,""))</f>
        <v/>
      </c>
      <c r="DJ601">
        <f>IF('История отказов'!AU604="","",IF(AND(COUNTIF($CP$2:$CP$3,'История отказов'!AU604)=0,COUNTIF('История отказов'!$AU$5:AU604,'История отказов'!AU604)=1),600,""))</f>
        <v/>
      </c>
      <c r="DK601">
        <f>IF('История отказов'!AY604="","",IF(AND(COUNTIF($CR$2:$CR$2,'История отказов'!AY604)=0,COUNTIF('История отказов'!$AY$5:AY604,'История отказов'!AY604)=1),600,""))</f>
        <v/>
      </c>
      <c r="DL601">
        <f>IF(DB601="","",IF(AND(COUNTIF($DA$2:$DA$47,DB601)=0,COUNTIF($DB$2:DB601,DB601)=1),600,""))</f>
        <v/>
      </c>
    </row>
    <row r="602">
      <c r="A602" s="74" t="n"/>
      <c r="B602" s="75" t="n"/>
      <c r="C602" s="76" t="n"/>
      <c r="J602" s="62" t="n"/>
      <c r="K602" s="62" t="n"/>
      <c r="L602" s="62" t="n"/>
      <c r="M602" s="62" t="n"/>
      <c r="N602" s="62" t="n"/>
      <c r="DB602">
        <f>IF('История отказов'!AH605="","",'История отказов'!AH605)</f>
        <v/>
      </c>
      <c r="DC602">
        <f>IF('История отказов'!AE605="","",IF(AND(COUNTIF($CT$2:$CT$2,'История отказов'!AE605)=0,COUNTIFS('История отказов'!$F$5:F605,"ШГН",'История отказов'!$AE$5:AE605,'История отказов'!AE605)=1,'История отказов'!F605="ШГН"),601,""))</f>
        <v/>
      </c>
      <c r="DD602">
        <f>IF('История отказов'!AE605="","",IF(AND(COUNTIF($CU$2:$CU$3,'История отказов'!AE605)=0,COUNTIFS('История отказов'!$F$5:F605,"ЭЦН",'История отказов'!$AE$5:AE605,'История отказов'!AE605)=1,'История отказов'!F605="ЭЦН"),601,""))</f>
        <v/>
      </c>
      <c r="DE602">
        <f>IF('История отказов'!AE605="","",IF(AND(COUNTIF($CV$2:$CV$3,'История отказов'!AE605)=0,COUNTIFS('История отказов'!$F$5:F605,"ЭВН",'История отказов'!$AE$5:AE605,'История отказов'!AE605)=1,'История отказов'!F605="ЭВН"),601,""))</f>
        <v/>
      </c>
      <c r="DF602">
        <f>IF('История отказов'!AE605="","",IF(AND(COUNTIF($CX$2:$CX$2,'История отказов'!AE605)=0,COUNTIFS('История отказов'!$F$5:F605,"ШВН",'История отказов'!$AE$5:AE605,'История отказов'!AE605)=1,'История отказов'!F605="ШВН"),601,""))</f>
        <v/>
      </c>
      <c r="DG602">
        <f>IF('История отказов'!AE605="","",IF(AND(COUNTIF($CW$2:$CW$2,'История отказов'!AE605)=0,COUNTIFS('История отказов'!$F$5:F605,"НПУ-ВД",'История отказов'!$AE$5:AE605,'История отказов'!AE605)=1,'История отказов'!F605="НПУ-ВД"),601,""))</f>
        <v/>
      </c>
      <c r="DH602">
        <f>IF('История отказов'!AE605="","",IF(AND(COUNTIF($CY$2:$CY$6,'История отказов'!AE605)=0,COUNTIF('История отказов'!$AE$5:AE605,'История отказов'!AE605)=1),601,""))</f>
        <v/>
      </c>
      <c r="DI602">
        <f>IF('История отказов'!AK605="","",IF(AND(COUNTIF($CL$2:$CL$3,'История отказов'!AK605)=0,COUNTIF('История отказов'!$AK$5:AK605,'История отказов'!AK605)=1),601,""))</f>
        <v/>
      </c>
      <c r="DJ602">
        <f>IF('История отказов'!AU605="","",IF(AND(COUNTIF($CP$2:$CP$3,'История отказов'!AU605)=0,COUNTIF('История отказов'!$AU$5:AU605,'История отказов'!AU605)=1),601,""))</f>
        <v/>
      </c>
      <c r="DK602">
        <f>IF('История отказов'!AY605="","",IF(AND(COUNTIF($CR$2:$CR$2,'История отказов'!AY605)=0,COUNTIF('История отказов'!$AY$5:AY605,'История отказов'!AY605)=1),601,""))</f>
        <v/>
      </c>
      <c r="DL602">
        <f>IF(DB602="","",IF(AND(COUNTIF($DA$2:$DA$47,DB602)=0,COUNTIF($DB$2:DB602,DB602)=1),601,""))</f>
        <v/>
      </c>
    </row>
    <row r="603">
      <c r="A603" s="74" t="n"/>
      <c r="B603" s="75" t="n"/>
      <c r="C603" s="76" t="n"/>
      <c r="J603" s="62" t="n"/>
      <c r="K603" s="62" t="n"/>
      <c r="L603" s="62" t="n"/>
      <c r="M603" s="62" t="n"/>
      <c r="N603" s="62" t="n"/>
      <c r="DB603">
        <f>IF('История отказов'!AH606="","",'История отказов'!AH606)</f>
        <v/>
      </c>
      <c r="DC603">
        <f>IF('История отказов'!AE606="","",IF(AND(COUNTIF($CT$2:$CT$2,'История отказов'!AE606)=0,COUNTIFS('История отказов'!$F$5:F606,"ШГН",'История отказов'!$AE$5:AE606,'История отказов'!AE606)=1,'История отказов'!F606="ШГН"),602,""))</f>
        <v/>
      </c>
      <c r="DD603">
        <f>IF('История отказов'!AE606="","",IF(AND(COUNTIF($CU$2:$CU$3,'История отказов'!AE606)=0,COUNTIFS('История отказов'!$F$5:F606,"ЭЦН",'История отказов'!$AE$5:AE606,'История отказов'!AE606)=1,'История отказов'!F606="ЭЦН"),602,""))</f>
        <v/>
      </c>
      <c r="DE603">
        <f>IF('История отказов'!AE606="","",IF(AND(COUNTIF($CV$2:$CV$3,'История отказов'!AE606)=0,COUNTIFS('История отказов'!$F$5:F606,"ЭВН",'История отказов'!$AE$5:AE606,'История отказов'!AE606)=1,'История отказов'!F606="ЭВН"),602,""))</f>
        <v/>
      </c>
      <c r="DF603">
        <f>IF('История отказов'!AE606="","",IF(AND(COUNTIF($CX$2:$CX$2,'История отказов'!AE606)=0,COUNTIFS('История отказов'!$F$5:F606,"ШВН",'История отказов'!$AE$5:AE606,'История отказов'!AE606)=1,'История отказов'!F606="ШВН"),602,""))</f>
        <v/>
      </c>
      <c r="DG603">
        <f>IF('История отказов'!AE606="","",IF(AND(COUNTIF($CW$2:$CW$2,'История отказов'!AE606)=0,COUNTIFS('История отказов'!$F$5:F606,"НПУ-ВД",'История отказов'!$AE$5:AE606,'История отказов'!AE606)=1,'История отказов'!F606="НПУ-ВД"),602,""))</f>
        <v/>
      </c>
      <c r="DH603">
        <f>IF('История отказов'!AE606="","",IF(AND(COUNTIF($CY$2:$CY$6,'История отказов'!AE606)=0,COUNTIF('История отказов'!$AE$5:AE606,'История отказов'!AE606)=1),602,""))</f>
        <v/>
      </c>
      <c r="DI603">
        <f>IF('История отказов'!AK606="","",IF(AND(COUNTIF($CL$2:$CL$3,'История отказов'!AK606)=0,COUNTIF('История отказов'!$AK$5:AK606,'История отказов'!AK606)=1),602,""))</f>
        <v/>
      </c>
      <c r="DJ603">
        <f>IF('История отказов'!AU606="","",IF(AND(COUNTIF($CP$2:$CP$3,'История отказов'!AU606)=0,COUNTIF('История отказов'!$AU$5:AU606,'История отказов'!AU606)=1),602,""))</f>
        <v/>
      </c>
      <c r="DK603">
        <f>IF('История отказов'!AY606="","",IF(AND(COUNTIF($CR$2:$CR$2,'История отказов'!AY606)=0,COUNTIF('История отказов'!$AY$5:AY606,'История отказов'!AY606)=1),602,""))</f>
        <v/>
      </c>
      <c r="DL603">
        <f>IF(DB603="","",IF(AND(COUNTIF($DA$2:$DA$47,DB603)=0,COUNTIF($DB$2:DB603,DB603)=1),602,""))</f>
        <v/>
      </c>
    </row>
    <row r="604">
      <c r="A604" s="74" t="n"/>
      <c r="B604" s="75" t="n"/>
      <c r="C604" s="76" t="n"/>
      <c r="J604" s="62" t="n"/>
      <c r="K604" s="62" t="n"/>
      <c r="L604" s="62" t="n"/>
      <c r="M604" s="62" t="n"/>
      <c r="N604" s="62" t="n"/>
      <c r="DB604">
        <f>IF('История отказов'!AH607="","",'История отказов'!AH607)</f>
        <v/>
      </c>
      <c r="DC604">
        <f>IF('История отказов'!AE607="","",IF(AND(COUNTIF($CT$2:$CT$2,'История отказов'!AE607)=0,COUNTIFS('История отказов'!$F$5:F607,"ШГН",'История отказов'!$AE$5:AE607,'История отказов'!AE607)=1,'История отказов'!F607="ШГН"),603,""))</f>
        <v/>
      </c>
      <c r="DD604">
        <f>IF('История отказов'!AE607="","",IF(AND(COUNTIF($CU$2:$CU$3,'История отказов'!AE607)=0,COUNTIFS('История отказов'!$F$5:F607,"ЭЦН",'История отказов'!$AE$5:AE607,'История отказов'!AE607)=1,'История отказов'!F607="ЭЦН"),603,""))</f>
        <v/>
      </c>
      <c r="DE604">
        <f>IF('История отказов'!AE607="","",IF(AND(COUNTIF($CV$2:$CV$3,'История отказов'!AE607)=0,COUNTIFS('История отказов'!$F$5:F607,"ЭВН",'История отказов'!$AE$5:AE607,'История отказов'!AE607)=1,'История отказов'!F607="ЭВН"),603,""))</f>
        <v/>
      </c>
      <c r="DF604">
        <f>IF('История отказов'!AE607="","",IF(AND(COUNTIF($CX$2:$CX$2,'История отказов'!AE607)=0,COUNTIFS('История отказов'!$F$5:F607,"ШВН",'История отказов'!$AE$5:AE607,'История отказов'!AE607)=1,'История отказов'!F607="ШВН"),603,""))</f>
        <v/>
      </c>
      <c r="DG604">
        <f>IF('История отказов'!AE607="","",IF(AND(COUNTIF($CW$2:$CW$2,'История отказов'!AE607)=0,COUNTIFS('История отказов'!$F$5:F607,"НПУ-ВД",'История отказов'!$AE$5:AE607,'История отказов'!AE607)=1,'История отказов'!F607="НПУ-ВД"),603,""))</f>
        <v/>
      </c>
      <c r="DH604">
        <f>IF('История отказов'!AE607="","",IF(AND(COUNTIF($CY$2:$CY$6,'История отказов'!AE607)=0,COUNTIF('История отказов'!$AE$5:AE607,'История отказов'!AE607)=1),603,""))</f>
        <v/>
      </c>
      <c r="DI604">
        <f>IF('История отказов'!AK607="","",IF(AND(COUNTIF($CL$2:$CL$3,'История отказов'!AK607)=0,COUNTIF('История отказов'!$AK$5:AK607,'История отказов'!AK607)=1),603,""))</f>
        <v/>
      </c>
      <c r="DJ604">
        <f>IF('История отказов'!AU607="","",IF(AND(COUNTIF($CP$2:$CP$3,'История отказов'!AU607)=0,COUNTIF('История отказов'!$AU$5:AU607,'История отказов'!AU607)=1),603,""))</f>
        <v/>
      </c>
      <c r="DK604">
        <f>IF('История отказов'!AY607="","",IF(AND(COUNTIF($CR$2:$CR$2,'История отказов'!AY607)=0,COUNTIF('История отказов'!$AY$5:AY607,'История отказов'!AY607)=1),603,""))</f>
        <v/>
      </c>
      <c r="DL604">
        <f>IF(DB604="","",IF(AND(COUNTIF($DA$2:$DA$47,DB604)=0,COUNTIF($DB$2:DB604,DB604)=1),603,""))</f>
        <v/>
      </c>
    </row>
    <row r="605">
      <c r="A605" s="74" t="n"/>
      <c r="B605" s="75" t="n"/>
      <c r="C605" s="76" t="n"/>
      <c r="J605" s="62" t="n"/>
      <c r="K605" s="62" t="n"/>
      <c r="L605" s="62" t="n"/>
      <c r="M605" s="62" t="n"/>
      <c r="N605" s="62" t="n"/>
      <c r="DB605">
        <f>IF('История отказов'!AH608="","",'История отказов'!AH608)</f>
        <v/>
      </c>
      <c r="DC605">
        <f>IF('История отказов'!AE608="","",IF(AND(COUNTIF($CT$2:$CT$2,'История отказов'!AE608)=0,COUNTIFS('История отказов'!$F$5:F608,"ШГН",'История отказов'!$AE$5:AE608,'История отказов'!AE608)=1,'История отказов'!F608="ШГН"),604,""))</f>
        <v/>
      </c>
      <c r="DD605">
        <f>IF('История отказов'!AE608="","",IF(AND(COUNTIF($CU$2:$CU$3,'История отказов'!AE608)=0,COUNTIFS('История отказов'!$F$5:F608,"ЭЦН",'История отказов'!$AE$5:AE608,'История отказов'!AE608)=1,'История отказов'!F608="ЭЦН"),604,""))</f>
        <v/>
      </c>
      <c r="DE605">
        <f>IF('История отказов'!AE608="","",IF(AND(COUNTIF($CV$2:$CV$3,'История отказов'!AE608)=0,COUNTIFS('История отказов'!$F$5:F608,"ЭВН",'История отказов'!$AE$5:AE608,'История отказов'!AE608)=1,'История отказов'!F608="ЭВН"),604,""))</f>
        <v/>
      </c>
      <c r="DF605">
        <f>IF('История отказов'!AE608="","",IF(AND(COUNTIF($CX$2:$CX$2,'История отказов'!AE608)=0,COUNTIFS('История отказов'!$F$5:F608,"ШВН",'История отказов'!$AE$5:AE608,'История отказов'!AE608)=1,'История отказов'!F608="ШВН"),604,""))</f>
        <v/>
      </c>
      <c r="DG605">
        <f>IF('История отказов'!AE608="","",IF(AND(COUNTIF($CW$2:$CW$2,'История отказов'!AE608)=0,COUNTIFS('История отказов'!$F$5:F608,"НПУ-ВД",'История отказов'!$AE$5:AE608,'История отказов'!AE608)=1,'История отказов'!F608="НПУ-ВД"),604,""))</f>
        <v/>
      </c>
      <c r="DH605">
        <f>IF('История отказов'!AE608="","",IF(AND(COUNTIF($CY$2:$CY$6,'История отказов'!AE608)=0,COUNTIF('История отказов'!$AE$5:AE608,'История отказов'!AE608)=1),604,""))</f>
        <v/>
      </c>
      <c r="DI605">
        <f>IF('История отказов'!AK608="","",IF(AND(COUNTIF($CL$2:$CL$3,'История отказов'!AK608)=0,COUNTIF('История отказов'!$AK$5:AK608,'История отказов'!AK608)=1),604,""))</f>
        <v/>
      </c>
      <c r="DJ605">
        <f>IF('История отказов'!AU608="","",IF(AND(COUNTIF($CP$2:$CP$3,'История отказов'!AU608)=0,COUNTIF('История отказов'!$AU$5:AU608,'История отказов'!AU608)=1),604,""))</f>
        <v/>
      </c>
      <c r="DK605">
        <f>IF('История отказов'!AY608="","",IF(AND(COUNTIF($CR$2:$CR$2,'История отказов'!AY608)=0,COUNTIF('История отказов'!$AY$5:AY608,'История отказов'!AY608)=1),604,""))</f>
        <v/>
      </c>
      <c r="DL605">
        <f>IF(DB605="","",IF(AND(COUNTIF($DA$2:$DA$47,DB605)=0,COUNTIF($DB$2:DB605,DB605)=1),604,""))</f>
        <v/>
      </c>
    </row>
    <row r="606">
      <c r="A606" s="74" t="n"/>
      <c r="B606" s="75" t="n"/>
      <c r="C606" s="76" t="n"/>
      <c r="J606" s="62" t="n"/>
      <c r="K606" s="62" t="n"/>
      <c r="L606" s="62" t="n"/>
      <c r="M606" s="62" t="n"/>
      <c r="N606" s="62" t="n"/>
      <c r="DB606">
        <f>IF('История отказов'!AH609="","",'История отказов'!AH609)</f>
        <v/>
      </c>
      <c r="DC606">
        <f>IF('История отказов'!AE609="","",IF(AND(COUNTIF($CT$2:$CT$2,'История отказов'!AE609)=0,COUNTIFS('История отказов'!$F$5:F609,"ШГН",'История отказов'!$AE$5:AE609,'История отказов'!AE609)=1,'История отказов'!F609="ШГН"),605,""))</f>
        <v/>
      </c>
      <c r="DD606">
        <f>IF('История отказов'!AE609="","",IF(AND(COUNTIF($CU$2:$CU$3,'История отказов'!AE609)=0,COUNTIFS('История отказов'!$F$5:F609,"ЭЦН",'История отказов'!$AE$5:AE609,'История отказов'!AE609)=1,'История отказов'!F609="ЭЦН"),605,""))</f>
        <v/>
      </c>
      <c r="DE606">
        <f>IF('История отказов'!AE609="","",IF(AND(COUNTIF($CV$2:$CV$3,'История отказов'!AE609)=0,COUNTIFS('История отказов'!$F$5:F609,"ЭВН",'История отказов'!$AE$5:AE609,'История отказов'!AE609)=1,'История отказов'!F609="ЭВН"),605,""))</f>
        <v/>
      </c>
      <c r="DF606">
        <f>IF('История отказов'!AE609="","",IF(AND(COUNTIF($CX$2:$CX$2,'История отказов'!AE609)=0,COUNTIFS('История отказов'!$F$5:F609,"ШВН",'История отказов'!$AE$5:AE609,'История отказов'!AE609)=1,'История отказов'!F609="ШВН"),605,""))</f>
        <v/>
      </c>
      <c r="DG606">
        <f>IF('История отказов'!AE609="","",IF(AND(COUNTIF($CW$2:$CW$2,'История отказов'!AE609)=0,COUNTIFS('История отказов'!$F$5:F609,"НПУ-ВД",'История отказов'!$AE$5:AE609,'История отказов'!AE609)=1,'История отказов'!F609="НПУ-ВД"),605,""))</f>
        <v/>
      </c>
      <c r="DH606">
        <f>IF('История отказов'!AE609="","",IF(AND(COUNTIF($CY$2:$CY$6,'История отказов'!AE609)=0,COUNTIF('История отказов'!$AE$5:AE609,'История отказов'!AE609)=1),605,""))</f>
        <v/>
      </c>
      <c r="DI606">
        <f>IF('История отказов'!AK609="","",IF(AND(COUNTIF($CL$2:$CL$3,'История отказов'!AK609)=0,COUNTIF('История отказов'!$AK$5:AK609,'История отказов'!AK609)=1),605,""))</f>
        <v/>
      </c>
      <c r="DJ606">
        <f>IF('История отказов'!AU609="","",IF(AND(COUNTIF($CP$2:$CP$3,'История отказов'!AU609)=0,COUNTIF('История отказов'!$AU$5:AU609,'История отказов'!AU609)=1),605,""))</f>
        <v/>
      </c>
      <c r="DK606">
        <f>IF('История отказов'!AY609="","",IF(AND(COUNTIF($CR$2:$CR$2,'История отказов'!AY609)=0,COUNTIF('История отказов'!$AY$5:AY609,'История отказов'!AY609)=1),605,""))</f>
        <v/>
      </c>
      <c r="DL606">
        <f>IF(DB606="","",IF(AND(COUNTIF($DA$2:$DA$47,DB606)=0,COUNTIF($DB$2:DB606,DB606)=1),605,""))</f>
        <v/>
      </c>
    </row>
    <row r="607">
      <c r="A607" s="74" t="n"/>
      <c r="B607" s="75" t="n"/>
      <c r="C607" s="76" t="n"/>
      <c r="J607" s="62" t="n"/>
      <c r="K607" s="62" t="n"/>
      <c r="L607" s="62" t="n"/>
      <c r="M607" s="62" t="n"/>
      <c r="N607" s="62" t="n"/>
      <c r="DB607">
        <f>IF('История отказов'!AH610="","",'История отказов'!AH610)</f>
        <v/>
      </c>
      <c r="DC607">
        <f>IF('История отказов'!AE610="","",IF(AND(COUNTIF($CT$2:$CT$2,'История отказов'!AE610)=0,COUNTIFS('История отказов'!$F$5:F610,"ШГН",'История отказов'!$AE$5:AE610,'История отказов'!AE610)=1,'История отказов'!F610="ШГН"),606,""))</f>
        <v/>
      </c>
      <c r="DD607">
        <f>IF('История отказов'!AE610="","",IF(AND(COUNTIF($CU$2:$CU$3,'История отказов'!AE610)=0,COUNTIFS('История отказов'!$F$5:F610,"ЭЦН",'История отказов'!$AE$5:AE610,'История отказов'!AE610)=1,'История отказов'!F610="ЭЦН"),606,""))</f>
        <v/>
      </c>
      <c r="DE607">
        <f>IF('История отказов'!AE610="","",IF(AND(COUNTIF($CV$2:$CV$3,'История отказов'!AE610)=0,COUNTIFS('История отказов'!$F$5:F610,"ЭВН",'История отказов'!$AE$5:AE610,'История отказов'!AE610)=1,'История отказов'!F610="ЭВН"),606,""))</f>
        <v/>
      </c>
      <c r="DF607">
        <f>IF('История отказов'!AE610="","",IF(AND(COUNTIF($CX$2:$CX$2,'История отказов'!AE610)=0,COUNTIFS('История отказов'!$F$5:F610,"ШВН",'История отказов'!$AE$5:AE610,'История отказов'!AE610)=1,'История отказов'!F610="ШВН"),606,""))</f>
        <v/>
      </c>
      <c r="DG607">
        <f>IF('История отказов'!AE610="","",IF(AND(COUNTIF($CW$2:$CW$2,'История отказов'!AE610)=0,COUNTIFS('История отказов'!$F$5:F610,"НПУ-ВД",'История отказов'!$AE$5:AE610,'История отказов'!AE610)=1,'История отказов'!F610="НПУ-ВД"),606,""))</f>
        <v/>
      </c>
      <c r="DH607">
        <f>IF('История отказов'!AE610="","",IF(AND(COUNTIF($CY$2:$CY$6,'История отказов'!AE610)=0,COUNTIF('История отказов'!$AE$5:AE610,'История отказов'!AE610)=1),606,""))</f>
        <v/>
      </c>
      <c r="DI607">
        <f>IF('История отказов'!AK610="","",IF(AND(COUNTIF($CL$2:$CL$3,'История отказов'!AK610)=0,COUNTIF('История отказов'!$AK$5:AK610,'История отказов'!AK610)=1),606,""))</f>
        <v/>
      </c>
      <c r="DJ607">
        <f>IF('История отказов'!AU610="","",IF(AND(COUNTIF($CP$2:$CP$3,'История отказов'!AU610)=0,COUNTIF('История отказов'!$AU$5:AU610,'История отказов'!AU610)=1),606,""))</f>
        <v/>
      </c>
      <c r="DK607">
        <f>IF('История отказов'!AY610="","",IF(AND(COUNTIF($CR$2:$CR$2,'История отказов'!AY610)=0,COUNTIF('История отказов'!$AY$5:AY610,'История отказов'!AY610)=1),606,""))</f>
        <v/>
      </c>
      <c r="DL607">
        <f>IF(DB607="","",IF(AND(COUNTIF($DA$2:$DA$47,DB607)=0,COUNTIF($DB$2:DB607,DB607)=1),606,""))</f>
        <v/>
      </c>
    </row>
    <row r="608">
      <c r="A608" s="74" t="n"/>
      <c r="B608" s="75" t="n"/>
      <c r="C608" s="76" t="n"/>
      <c r="J608" s="62" t="n"/>
      <c r="K608" s="62" t="n"/>
      <c r="L608" s="62" t="n"/>
      <c r="M608" s="62" t="n"/>
      <c r="N608" s="62" t="n"/>
      <c r="DB608">
        <f>IF('История отказов'!AH611="","",'История отказов'!AH611)</f>
        <v/>
      </c>
      <c r="DC608">
        <f>IF('История отказов'!AE611="","",IF(AND(COUNTIF($CT$2:$CT$2,'История отказов'!AE611)=0,COUNTIFS('История отказов'!$F$5:F611,"ШГН",'История отказов'!$AE$5:AE611,'История отказов'!AE611)=1,'История отказов'!F611="ШГН"),607,""))</f>
        <v/>
      </c>
      <c r="DD608">
        <f>IF('История отказов'!AE611="","",IF(AND(COUNTIF($CU$2:$CU$3,'История отказов'!AE611)=0,COUNTIFS('История отказов'!$F$5:F611,"ЭЦН",'История отказов'!$AE$5:AE611,'История отказов'!AE611)=1,'История отказов'!F611="ЭЦН"),607,""))</f>
        <v/>
      </c>
      <c r="DE608">
        <f>IF('История отказов'!AE611="","",IF(AND(COUNTIF($CV$2:$CV$3,'История отказов'!AE611)=0,COUNTIFS('История отказов'!$F$5:F611,"ЭВН",'История отказов'!$AE$5:AE611,'История отказов'!AE611)=1,'История отказов'!F611="ЭВН"),607,""))</f>
        <v/>
      </c>
      <c r="DF608">
        <f>IF('История отказов'!AE611="","",IF(AND(COUNTIF($CX$2:$CX$2,'История отказов'!AE611)=0,COUNTIFS('История отказов'!$F$5:F611,"ШВН",'История отказов'!$AE$5:AE611,'История отказов'!AE611)=1,'История отказов'!F611="ШВН"),607,""))</f>
        <v/>
      </c>
      <c r="DG608">
        <f>IF('История отказов'!AE611="","",IF(AND(COUNTIF($CW$2:$CW$2,'История отказов'!AE611)=0,COUNTIFS('История отказов'!$F$5:F611,"НПУ-ВД",'История отказов'!$AE$5:AE611,'История отказов'!AE611)=1,'История отказов'!F611="НПУ-ВД"),607,""))</f>
        <v/>
      </c>
      <c r="DH608">
        <f>IF('История отказов'!AE611="","",IF(AND(COUNTIF($CY$2:$CY$6,'История отказов'!AE611)=0,COUNTIF('История отказов'!$AE$5:AE611,'История отказов'!AE611)=1),607,""))</f>
        <v/>
      </c>
      <c r="DI608">
        <f>IF('История отказов'!AK611="","",IF(AND(COUNTIF($CL$2:$CL$3,'История отказов'!AK611)=0,COUNTIF('История отказов'!$AK$5:AK611,'История отказов'!AK611)=1),607,""))</f>
        <v/>
      </c>
      <c r="DJ608">
        <f>IF('История отказов'!AU611="","",IF(AND(COUNTIF($CP$2:$CP$3,'История отказов'!AU611)=0,COUNTIF('История отказов'!$AU$5:AU611,'История отказов'!AU611)=1),607,""))</f>
        <v/>
      </c>
      <c r="DK608">
        <f>IF('История отказов'!AY611="","",IF(AND(COUNTIF($CR$2:$CR$2,'История отказов'!AY611)=0,COUNTIF('История отказов'!$AY$5:AY611,'История отказов'!AY611)=1),607,""))</f>
        <v/>
      </c>
      <c r="DL608">
        <f>IF(DB608="","",IF(AND(COUNTIF($DA$2:$DA$47,DB608)=0,COUNTIF($DB$2:DB608,DB608)=1),607,""))</f>
        <v/>
      </c>
    </row>
    <row r="609">
      <c r="A609" s="74" t="n"/>
      <c r="B609" s="75" t="n"/>
      <c r="C609" s="76" t="n"/>
      <c r="J609" s="62" t="n"/>
      <c r="K609" s="62" t="n"/>
      <c r="L609" s="62" t="n"/>
      <c r="M609" s="62" t="n"/>
      <c r="N609" s="62" t="n"/>
      <c r="DB609">
        <f>IF('История отказов'!AH612="","",'История отказов'!AH612)</f>
        <v/>
      </c>
      <c r="DC609">
        <f>IF('История отказов'!AE612="","",IF(AND(COUNTIF($CT$2:$CT$2,'История отказов'!AE612)=0,COUNTIFS('История отказов'!$F$5:F612,"ШГН",'История отказов'!$AE$5:AE612,'История отказов'!AE612)=1,'История отказов'!F612="ШГН"),608,""))</f>
        <v/>
      </c>
      <c r="DD609">
        <f>IF('История отказов'!AE612="","",IF(AND(COUNTIF($CU$2:$CU$3,'История отказов'!AE612)=0,COUNTIFS('История отказов'!$F$5:F612,"ЭЦН",'История отказов'!$AE$5:AE612,'История отказов'!AE612)=1,'История отказов'!F612="ЭЦН"),608,""))</f>
        <v/>
      </c>
      <c r="DE609">
        <f>IF('История отказов'!AE612="","",IF(AND(COUNTIF($CV$2:$CV$3,'История отказов'!AE612)=0,COUNTIFS('История отказов'!$F$5:F612,"ЭВН",'История отказов'!$AE$5:AE612,'История отказов'!AE612)=1,'История отказов'!F612="ЭВН"),608,""))</f>
        <v/>
      </c>
      <c r="DF609">
        <f>IF('История отказов'!AE612="","",IF(AND(COUNTIF($CX$2:$CX$2,'История отказов'!AE612)=0,COUNTIFS('История отказов'!$F$5:F612,"ШВН",'История отказов'!$AE$5:AE612,'История отказов'!AE612)=1,'История отказов'!F612="ШВН"),608,""))</f>
        <v/>
      </c>
      <c r="DG609">
        <f>IF('История отказов'!AE612="","",IF(AND(COUNTIF($CW$2:$CW$2,'История отказов'!AE612)=0,COUNTIFS('История отказов'!$F$5:F612,"НПУ-ВД",'История отказов'!$AE$5:AE612,'История отказов'!AE612)=1,'История отказов'!F612="НПУ-ВД"),608,""))</f>
        <v/>
      </c>
      <c r="DH609">
        <f>IF('История отказов'!AE612="","",IF(AND(COUNTIF($CY$2:$CY$6,'История отказов'!AE612)=0,COUNTIF('История отказов'!$AE$5:AE612,'История отказов'!AE612)=1),608,""))</f>
        <v/>
      </c>
      <c r="DI609">
        <f>IF('История отказов'!AK612="","",IF(AND(COUNTIF($CL$2:$CL$3,'История отказов'!AK612)=0,COUNTIF('История отказов'!$AK$5:AK612,'История отказов'!AK612)=1),608,""))</f>
        <v/>
      </c>
      <c r="DJ609">
        <f>IF('История отказов'!AU612="","",IF(AND(COUNTIF($CP$2:$CP$3,'История отказов'!AU612)=0,COUNTIF('История отказов'!$AU$5:AU612,'История отказов'!AU612)=1),608,""))</f>
        <v/>
      </c>
      <c r="DK609">
        <f>IF('История отказов'!AY612="","",IF(AND(COUNTIF($CR$2:$CR$2,'История отказов'!AY612)=0,COUNTIF('История отказов'!$AY$5:AY612,'История отказов'!AY612)=1),608,""))</f>
        <v/>
      </c>
      <c r="DL609">
        <f>IF(DB609="","",IF(AND(COUNTIF($DA$2:$DA$47,DB609)=0,COUNTIF($DB$2:DB609,DB609)=1),608,""))</f>
        <v/>
      </c>
    </row>
    <row r="610">
      <c r="A610" s="74" t="n"/>
      <c r="B610" s="75" t="n"/>
      <c r="C610" s="76" t="n"/>
      <c r="J610" s="62" t="n"/>
      <c r="K610" s="62" t="n"/>
      <c r="L610" s="62" t="n"/>
      <c r="M610" s="62" t="n"/>
      <c r="N610" s="62" t="n"/>
      <c r="DB610">
        <f>IF('История отказов'!AH613="","",'История отказов'!AH613)</f>
        <v/>
      </c>
      <c r="DC610">
        <f>IF('История отказов'!AE613="","",IF(AND(COUNTIF($CT$2:$CT$2,'История отказов'!AE613)=0,COUNTIFS('История отказов'!$F$5:F613,"ШГН",'История отказов'!$AE$5:AE613,'История отказов'!AE613)=1,'История отказов'!F613="ШГН"),609,""))</f>
        <v/>
      </c>
      <c r="DD610">
        <f>IF('История отказов'!AE613="","",IF(AND(COUNTIF($CU$2:$CU$3,'История отказов'!AE613)=0,COUNTIFS('История отказов'!$F$5:F613,"ЭЦН",'История отказов'!$AE$5:AE613,'История отказов'!AE613)=1,'История отказов'!F613="ЭЦН"),609,""))</f>
        <v/>
      </c>
      <c r="DE610">
        <f>IF('История отказов'!AE613="","",IF(AND(COUNTIF($CV$2:$CV$3,'История отказов'!AE613)=0,COUNTIFS('История отказов'!$F$5:F613,"ЭВН",'История отказов'!$AE$5:AE613,'История отказов'!AE613)=1,'История отказов'!F613="ЭВН"),609,""))</f>
        <v/>
      </c>
      <c r="DF610">
        <f>IF('История отказов'!AE613="","",IF(AND(COUNTIF($CX$2:$CX$2,'История отказов'!AE613)=0,COUNTIFS('История отказов'!$F$5:F613,"ШВН",'История отказов'!$AE$5:AE613,'История отказов'!AE613)=1,'История отказов'!F613="ШВН"),609,""))</f>
        <v/>
      </c>
      <c r="DG610">
        <f>IF('История отказов'!AE613="","",IF(AND(COUNTIF($CW$2:$CW$2,'История отказов'!AE613)=0,COUNTIFS('История отказов'!$F$5:F613,"НПУ-ВД",'История отказов'!$AE$5:AE613,'История отказов'!AE613)=1,'История отказов'!F613="НПУ-ВД"),609,""))</f>
        <v/>
      </c>
      <c r="DH610">
        <f>IF('История отказов'!AE613="","",IF(AND(COUNTIF($CY$2:$CY$6,'История отказов'!AE613)=0,COUNTIF('История отказов'!$AE$5:AE613,'История отказов'!AE613)=1),609,""))</f>
        <v/>
      </c>
      <c r="DI610">
        <f>IF('История отказов'!AK613="","",IF(AND(COUNTIF($CL$2:$CL$3,'История отказов'!AK613)=0,COUNTIF('История отказов'!$AK$5:AK613,'История отказов'!AK613)=1),609,""))</f>
        <v/>
      </c>
      <c r="DJ610">
        <f>IF('История отказов'!AU613="","",IF(AND(COUNTIF($CP$2:$CP$3,'История отказов'!AU613)=0,COUNTIF('История отказов'!$AU$5:AU613,'История отказов'!AU613)=1),609,""))</f>
        <v/>
      </c>
      <c r="DK610">
        <f>IF('История отказов'!AY613="","",IF(AND(COUNTIF($CR$2:$CR$2,'История отказов'!AY613)=0,COUNTIF('История отказов'!$AY$5:AY613,'История отказов'!AY613)=1),609,""))</f>
        <v/>
      </c>
      <c r="DL610">
        <f>IF(DB610="","",IF(AND(COUNTIF($DA$2:$DA$47,DB610)=0,COUNTIF($DB$2:DB610,DB610)=1),609,""))</f>
        <v/>
      </c>
    </row>
    <row r="611">
      <c r="A611" s="74" t="n"/>
      <c r="B611" s="75" t="n"/>
      <c r="C611" s="76" t="n"/>
      <c r="J611" s="62" t="n"/>
      <c r="K611" s="62" t="n"/>
      <c r="L611" s="62" t="n"/>
      <c r="M611" s="62" t="n"/>
      <c r="N611" s="62" t="n"/>
      <c r="DB611">
        <f>IF('История отказов'!AH614="","",'История отказов'!AH614)</f>
        <v/>
      </c>
      <c r="DC611">
        <f>IF('История отказов'!AE614="","",IF(AND(COUNTIF($CT$2:$CT$2,'История отказов'!AE614)=0,COUNTIFS('История отказов'!$F$5:F614,"ШГН",'История отказов'!$AE$5:AE614,'История отказов'!AE614)=1,'История отказов'!F614="ШГН"),610,""))</f>
        <v/>
      </c>
      <c r="DD611">
        <f>IF('История отказов'!AE614="","",IF(AND(COUNTIF($CU$2:$CU$3,'История отказов'!AE614)=0,COUNTIFS('История отказов'!$F$5:F614,"ЭЦН",'История отказов'!$AE$5:AE614,'История отказов'!AE614)=1,'История отказов'!F614="ЭЦН"),610,""))</f>
        <v/>
      </c>
      <c r="DE611">
        <f>IF('История отказов'!AE614="","",IF(AND(COUNTIF($CV$2:$CV$3,'История отказов'!AE614)=0,COUNTIFS('История отказов'!$F$5:F614,"ЭВН",'История отказов'!$AE$5:AE614,'История отказов'!AE614)=1,'История отказов'!F614="ЭВН"),610,""))</f>
        <v/>
      </c>
      <c r="DF611">
        <f>IF('История отказов'!AE614="","",IF(AND(COUNTIF($CX$2:$CX$2,'История отказов'!AE614)=0,COUNTIFS('История отказов'!$F$5:F614,"ШВН",'История отказов'!$AE$5:AE614,'История отказов'!AE614)=1,'История отказов'!F614="ШВН"),610,""))</f>
        <v/>
      </c>
      <c r="DG611">
        <f>IF('История отказов'!AE614="","",IF(AND(COUNTIF($CW$2:$CW$2,'История отказов'!AE614)=0,COUNTIFS('История отказов'!$F$5:F614,"НПУ-ВД",'История отказов'!$AE$5:AE614,'История отказов'!AE614)=1,'История отказов'!F614="НПУ-ВД"),610,""))</f>
        <v/>
      </c>
      <c r="DH611">
        <f>IF('История отказов'!AE614="","",IF(AND(COUNTIF($CY$2:$CY$6,'История отказов'!AE614)=0,COUNTIF('История отказов'!$AE$5:AE614,'История отказов'!AE614)=1),610,""))</f>
        <v/>
      </c>
      <c r="DI611">
        <f>IF('История отказов'!AK614="","",IF(AND(COUNTIF($CL$2:$CL$3,'История отказов'!AK614)=0,COUNTIF('История отказов'!$AK$5:AK614,'История отказов'!AK614)=1),610,""))</f>
        <v/>
      </c>
      <c r="DJ611">
        <f>IF('История отказов'!AU614="","",IF(AND(COUNTIF($CP$2:$CP$3,'История отказов'!AU614)=0,COUNTIF('История отказов'!$AU$5:AU614,'История отказов'!AU614)=1),610,""))</f>
        <v/>
      </c>
      <c r="DK611">
        <f>IF('История отказов'!AY614="","",IF(AND(COUNTIF($CR$2:$CR$2,'История отказов'!AY614)=0,COUNTIF('История отказов'!$AY$5:AY614,'История отказов'!AY614)=1),610,""))</f>
        <v/>
      </c>
      <c r="DL611">
        <f>IF(DB611="","",IF(AND(COUNTIF($DA$2:$DA$47,DB611)=0,COUNTIF($DB$2:DB611,DB611)=1),610,""))</f>
        <v/>
      </c>
    </row>
    <row r="612">
      <c r="A612" s="74" t="n"/>
      <c r="B612" s="75" t="n"/>
      <c r="C612" s="76" t="n"/>
      <c r="J612" s="62" t="n"/>
      <c r="K612" s="62" t="n"/>
      <c r="L612" s="62" t="n"/>
      <c r="M612" s="62" t="n"/>
      <c r="N612" s="62" t="n"/>
      <c r="DB612">
        <f>IF('История отказов'!AH615="","",'История отказов'!AH615)</f>
        <v/>
      </c>
      <c r="DC612">
        <f>IF('История отказов'!AE615="","",IF(AND(COUNTIF($CT$2:$CT$2,'История отказов'!AE615)=0,COUNTIFS('История отказов'!$F$5:F615,"ШГН",'История отказов'!$AE$5:AE615,'История отказов'!AE615)=1,'История отказов'!F615="ШГН"),611,""))</f>
        <v/>
      </c>
      <c r="DD612">
        <f>IF('История отказов'!AE615="","",IF(AND(COUNTIF($CU$2:$CU$3,'История отказов'!AE615)=0,COUNTIFS('История отказов'!$F$5:F615,"ЭЦН",'История отказов'!$AE$5:AE615,'История отказов'!AE615)=1,'История отказов'!F615="ЭЦН"),611,""))</f>
        <v/>
      </c>
      <c r="DE612">
        <f>IF('История отказов'!AE615="","",IF(AND(COUNTIF($CV$2:$CV$3,'История отказов'!AE615)=0,COUNTIFS('История отказов'!$F$5:F615,"ЭВН",'История отказов'!$AE$5:AE615,'История отказов'!AE615)=1,'История отказов'!F615="ЭВН"),611,""))</f>
        <v/>
      </c>
      <c r="DF612">
        <f>IF('История отказов'!AE615="","",IF(AND(COUNTIF($CX$2:$CX$2,'История отказов'!AE615)=0,COUNTIFS('История отказов'!$F$5:F615,"ШВН",'История отказов'!$AE$5:AE615,'История отказов'!AE615)=1,'История отказов'!F615="ШВН"),611,""))</f>
        <v/>
      </c>
      <c r="DG612">
        <f>IF('История отказов'!AE615="","",IF(AND(COUNTIF($CW$2:$CW$2,'История отказов'!AE615)=0,COUNTIFS('История отказов'!$F$5:F615,"НПУ-ВД",'История отказов'!$AE$5:AE615,'История отказов'!AE615)=1,'История отказов'!F615="НПУ-ВД"),611,""))</f>
        <v/>
      </c>
      <c r="DH612">
        <f>IF('История отказов'!AE615="","",IF(AND(COUNTIF($CY$2:$CY$6,'История отказов'!AE615)=0,COUNTIF('История отказов'!$AE$5:AE615,'История отказов'!AE615)=1),611,""))</f>
        <v/>
      </c>
      <c r="DI612">
        <f>IF('История отказов'!AK615="","",IF(AND(COUNTIF($CL$2:$CL$3,'История отказов'!AK615)=0,COUNTIF('История отказов'!$AK$5:AK615,'История отказов'!AK615)=1),611,""))</f>
        <v/>
      </c>
      <c r="DJ612">
        <f>IF('История отказов'!AU615="","",IF(AND(COUNTIF($CP$2:$CP$3,'История отказов'!AU615)=0,COUNTIF('История отказов'!$AU$5:AU615,'История отказов'!AU615)=1),611,""))</f>
        <v/>
      </c>
      <c r="DK612">
        <f>IF('История отказов'!AY615="","",IF(AND(COUNTIF($CR$2:$CR$2,'История отказов'!AY615)=0,COUNTIF('История отказов'!$AY$5:AY615,'История отказов'!AY615)=1),611,""))</f>
        <v/>
      </c>
      <c r="DL612">
        <f>IF(DB612="","",IF(AND(COUNTIF($DA$2:$DA$47,DB612)=0,COUNTIF($DB$2:DB612,DB612)=1),611,""))</f>
        <v/>
      </c>
    </row>
    <row r="613">
      <c r="A613" s="74" t="n"/>
      <c r="B613" s="75" t="n"/>
      <c r="C613" s="76" t="n"/>
      <c r="J613" s="62" t="n"/>
      <c r="K613" s="62" t="n"/>
      <c r="L613" s="62" t="n"/>
      <c r="M613" s="62" t="n"/>
      <c r="N613" s="62" t="n"/>
      <c r="DB613">
        <f>IF('История отказов'!AH616="","",'История отказов'!AH616)</f>
        <v/>
      </c>
      <c r="DC613">
        <f>IF('История отказов'!AE616="","",IF(AND(COUNTIF($CT$2:$CT$2,'История отказов'!AE616)=0,COUNTIFS('История отказов'!$F$5:F616,"ШГН",'История отказов'!$AE$5:AE616,'История отказов'!AE616)=1,'История отказов'!F616="ШГН"),612,""))</f>
        <v/>
      </c>
      <c r="DD613">
        <f>IF('История отказов'!AE616="","",IF(AND(COUNTIF($CU$2:$CU$3,'История отказов'!AE616)=0,COUNTIFS('История отказов'!$F$5:F616,"ЭЦН",'История отказов'!$AE$5:AE616,'История отказов'!AE616)=1,'История отказов'!F616="ЭЦН"),612,""))</f>
        <v/>
      </c>
      <c r="DE613">
        <f>IF('История отказов'!AE616="","",IF(AND(COUNTIF($CV$2:$CV$3,'История отказов'!AE616)=0,COUNTIFS('История отказов'!$F$5:F616,"ЭВН",'История отказов'!$AE$5:AE616,'История отказов'!AE616)=1,'История отказов'!F616="ЭВН"),612,""))</f>
        <v/>
      </c>
      <c r="DF613">
        <f>IF('История отказов'!AE616="","",IF(AND(COUNTIF($CX$2:$CX$2,'История отказов'!AE616)=0,COUNTIFS('История отказов'!$F$5:F616,"ШВН",'История отказов'!$AE$5:AE616,'История отказов'!AE616)=1,'История отказов'!F616="ШВН"),612,""))</f>
        <v/>
      </c>
      <c r="DG613">
        <f>IF('История отказов'!AE616="","",IF(AND(COUNTIF($CW$2:$CW$2,'История отказов'!AE616)=0,COUNTIFS('История отказов'!$F$5:F616,"НПУ-ВД",'История отказов'!$AE$5:AE616,'История отказов'!AE616)=1,'История отказов'!F616="НПУ-ВД"),612,""))</f>
        <v/>
      </c>
      <c r="DH613">
        <f>IF('История отказов'!AE616="","",IF(AND(COUNTIF($CY$2:$CY$6,'История отказов'!AE616)=0,COUNTIF('История отказов'!$AE$5:AE616,'История отказов'!AE616)=1),612,""))</f>
        <v/>
      </c>
      <c r="DI613">
        <f>IF('История отказов'!AK616="","",IF(AND(COUNTIF($CL$2:$CL$3,'История отказов'!AK616)=0,COUNTIF('История отказов'!$AK$5:AK616,'История отказов'!AK616)=1),612,""))</f>
        <v/>
      </c>
      <c r="DJ613">
        <f>IF('История отказов'!AU616="","",IF(AND(COUNTIF($CP$2:$CP$3,'История отказов'!AU616)=0,COUNTIF('История отказов'!$AU$5:AU616,'История отказов'!AU616)=1),612,""))</f>
        <v/>
      </c>
      <c r="DK613">
        <f>IF('История отказов'!AY616="","",IF(AND(COUNTIF($CR$2:$CR$2,'История отказов'!AY616)=0,COUNTIF('История отказов'!$AY$5:AY616,'История отказов'!AY616)=1),612,""))</f>
        <v/>
      </c>
      <c r="DL613">
        <f>IF(DB613="","",IF(AND(COUNTIF($DA$2:$DA$47,DB613)=0,COUNTIF($DB$2:DB613,DB613)=1),612,""))</f>
        <v/>
      </c>
    </row>
    <row r="614">
      <c r="A614" s="74" t="n"/>
      <c r="B614" s="75" t="n"/>
      <c r="C614" s="76" t="n"/>
      <c r="J614" s="62" t="n"/>
      <c r="K614" s="62" t="n"/>
      <c r="L614" s="62" t="n"/>
      <c r="M614" s="62" t="n"/>
      <c r="N614" s="62" t="n"/>
      <c r="DB614">
        <f>IF('История отказов'!AH617="","",'История отказов'!AH617)</f>
        <v/>
      </c>
      <c r="DC614">
        <f>IF('История отказов'!AE617="","",IF(AND(COUNTIF($CT$2:$CT$2,'История отказов'!AE617)=0,COUNTIFS('История отказов'!$F$5:F617,"ШГН",'История отказов'!$AE$5:AE617,'История отказов'!AE617)=1,'История отказов'!F617="ШГН"),613,""))</f>
        <v/>
      </c>
      <c r="DD614">
        <f>IF('История отказов'!AE617="","",IF(AND(COUNTIF($CU$2:$CU$3,'История отказов'!AE617)=0,COUNTIFS('История отказов'!$F$5:F617,"ЭЦН",'История отказов'!$AE$5:AE617,'История отказов'!AE617)=1,'История отказов'!F617="ЭЦН"),613,""))</f>
        <v/>
      </c>
      <c r="DE614">
        <f>IF('История отказов'!AE617="","",IF(AND(COUNTIF($CV$2:$CV$3,'История отказов'!AE617)=0,COUNTIFS('История отказов'!$F$5:F617,"ЭВН",'История отказов'!$AE$5:AE617,'История отказов'!AE617)=1,'История отказов'!F617="ЭВН"),613,""))</f>
        <v/>
      </c>
      <c r="DF614">
        <f>IF('История отказов'!AE617="","",IF(AND(COUNTIF($CX$2:$CX$2,'История отказов'!AE617)=0,COUNTIFS('История отказов'!$F$5:F617,"ШВН",'История отказов'!$AE$5:AE617,'История отказов'!AE617)=1,'История отказов'!F617="ШВН"),613,""))</f>
        <v/>
      </c>
      <c r="DG614">
        <f>IF('История отказов'!AE617="","",IF(AND(COUNTIF($CW$2:$CW$2,'История отказов'!AE617)=0,COUNTIFS('История отказов'!$F$5:F617,"НПУ-ВД",'История отказов'!$AE$5:AE617,'История отказов'!AE617)=1,'История отказов'!F617="НПУ-ВД"),613,""))</f>
        <v/>
      </c>
      <c r="DH614">
        <f>IF('История отказов'!AE617="","",IF(AND(COUNTIF($CY$2:$CY$6,'История отказов'!AE617)=0,COUNTIF('История отказов'!$AE$5:AE617,'История отказов'!AE617)=1),613,""))</f>
        <v/>
      </c>
      <c r="DI614">
        <f>IF('История отказов'!AK617="","",IF(AND(COUNTIF($CL$2:$CL$3,'История отказов'!AK617)=0,COUNTIF('История отказов'!$AK$5:AK617,'История отказов'!AK617)=1),613,""))</f>
        <v/>
      </c>
      <c r="DJ614">
        <f>IF('История отказов'!AU617="","",IF(AND(COUNTIF($CP$2:$CP$3,'История отказов'!AU617)=0,COUNTIF('История отказов'!$AU$5:AU617,'История отказов'!AU617)=1),613,""))</f>
        <v/>
      </c>
      <c r="DK614">
        <f>IF('История отказов'!AY617="","",IF(AND(COUNTIF($CR$2:$CR$2,'История отказов'!AY617)=0,COUNTIF('История отказов'!$AY$5:AY617,'История отказов'!AY617)=1),613,""))</f>
        <v/>
      </c>
      <c r="DL614">
        <f>IF(DB614="","",IF(AND(COUNTIF($DA$2:$DA$47,DB614)=0,COUNTIF($DB$2:DB614,DB614)=1),613,""))</f>
        <v/>
      </c>
    </row>
    <row r="615">
      <c r="A615" s="74" t="n"/>
      <c r="B615" s="75" t="n"/>
      <c r="C615" s="76" t="n"/>
      <c r="J615" s="62" t="n"/>
      <c r="K615" s="62" t="n"/>
      <c r="L615" s="62" t="n"/>
      <c r="M615" s="62" t="n"/>
      <c r="N615" s="62" t="n"/>
      <c r="DB615">
        <f>IF('История отказов'!AH618="","",'История отказов'!AH618)</f>
        <v/>
      </c>
      <c r="DC615">
        <f>IF('История отказов'!AE618="","",IF(AND(COUNTIF($CT$2:$CT$2,'История отказов'!AE618)=0,COUNTIFS('История отказов'!$F$5:F618,"ШГН",'История отказов'!$AE$5:AE618,'История отказов'!AE618)=1,'История отказов'!F618="ШГН"),614,""))</f>
        <v/>
      </c>
      <c r="DD615">
        <f>IF('История отказов'!AE618="","",IF(AND(COUNTIF($CU$2:$CU$3,'История отказов'!AE618)=0,COUNTIFS('История отказов'!$F$5:F618,"ЭЦН",'История отказов'!$AE$5:AE618,'История отказов'!AE618)=1,'История отказов'!F618="ЭЦН"),614,""))</f>
        <v/>
      </c>
      <c r="DE615">
        <f>IF('История отказов'!AE618="","",IF(AND(COUNTIF($CV$2:$CV$3,'История отказов'!AE618)=0,COUNTIFS('История отказов'!$F$5:F618,"ЭВН",'История отказов'!$AE$5:AE618,'История отказов'!AE618)=1,'История отказов'!F618="ЭВН"),614,""))</f>
        <v/>
      </c>
      <c r="DF615">
        <f>IF('История отказов'!AE618="","",IF(AND(COUNTIF($CX$2:$CX$2,'История отказов'!AE618)=0,COUNTIFS('История отказов'!$F$5:F618,"ШВН",'История отказов'!$AE$5:AE618,'История отказов'!AE618)=1,'История отказов'!F618="ШВН"),614,""))</f>
        <v/>
      </c>
      <c r="DG615">
        <f>IF('История отказов'!AE618="","",IF(AND(COUNTIF($CW$2:$CW$2,'История отказов'!AE618)=0,COUNTIFS('История отказов'!$F$5:F618,"НПУ-ВД",'История отказов'!$AE$5:AE618,'История отказов'!AE618)=1,'История отказов'!F618="НПУ-ВД"),614,""))</f>
        <v/>
      </c>
      <c r="DH615">
        <f>IF('История отказов'!AE618="","",IF(AND(COUNTIF($CY$2:$CY$6,'История отказов'!AE618)=0,COUNTIF('История отказов'!$AE$5:AE618,'История отказов'!AE618)=1),614,""))</f>
        <v/>
      </c>
      <c r="DI615">
        <f>IF('История отказов'!AK618="","",IF(AND(COUNTIF($CL$2:$CL$3,'История отказов'!AK618)=0,COUNTIF('История отказов'!$AK$5:AK618,'История отказов'!AK618)=1),614,""))</f>
        <v/>
      </c>
      <c r="DJ615">
        <f>IF('История отказов'!AU618="","",IF(AND(COUNTIF($CP$2:$CP$3,'История отказов'!AU618)=0,COUNTIF('История отказов'!$AU$5:AU618,'История отказов'!AU618)=1),614,""))</f>
        <v/>
      </c>
      <c r="DK615">
        <f>IF('История отказов'!AY618="","",IF(AND(COUNTIF($CR$2:$CR$2,'История отказов'!AY618)=0,COUNTIF('История отказов'!$AY$5:AY618,'История отказов'!AY618)=1),614,""))</f>
        <v/>
      </c>
      <c r="DL615">
        <f>IF(DB615="","",IF(AND(COUNTIF($DA$2:$DA$47,DB615)=0,COUNTIF($DB$2:DB615,DB615)=1),614,""))</f>
        <v/>
      </c>
    </row>
    <row r="616">
      <c r="A616" s="74" t="n"/>
      <c r="B616" s="75" t="n"/>
      <c r="C616" s="76" t="n"/>
      <c r="J616" s="62" t="n"/>
      <c r="K616" s="62" t="n"/>
      <c r="L616" s="62" t="n"/>
      <c r="M616" s="62" t="n"/>
      <c r="N616" s="62" t="n"/>
      <c r="DB616">
        <f>IF('История отказов'!AH619="","",'История отказов'!AH619)</f>
        <v/>
      </c>
      <c r="DC616">
        <f>IF('История отказов'!AE619="","",IF(AND(COUNTIF($CT$2:$CT$2,'История отказов'!AE619)=0,COUNTIFS('История отказов'!$F$5:F619,"ШГН",'История отказов'!$AE$5:AE619,'История отказов'!AE619)=1,'История отказов'!F619="ШГН"),615,""))</f>
        <v/>
      </c>
      <c r="DD616">
        <f>IF('История отказов'!AE619="","",IF(AND(COUNTIF($CU$2:$CU$3,'История отказов'!AE619)=0,COUNTIFS('История отказов'!$F$5:F619,"ЭЦН",'История отказов'!$AE$5:AE619,'История отказов'!AE619)=1,'История отказов'!F619="ЭЦН"),615,""))</f>
        <v/>
      </c>
      <c r="DE616">
        <f>IF('История отказов'!AE619="","",IF(AND(COUNTIF($CV$2:$CV$3,'История отказов'!AE619)=0,COUNTIFS('История отказов'!$F$5:F619,"ЭВН",'История отказов'!$AE$5:AE619,'История отказов'!AE619)=1,'История отказов'!F619="ЭВН"),615,""))</f>
        <v/>
      </c>
      <c r="DF616">
        <f>IF('История отказов'!AE619="","",IF(AND(COUNTIF($CX$2:$CX$2,'История отказов'!AE619)=0,COUNTIFS('История отказов'!$F$5:F619,"ШВН",'История отказов'!$AE$5:AE619,'История отказов'!AE619)=1,'История отказов'!F619="ШВН"),615,""))</f>
        <v/>
      </c>
      <c r="DG616">
        <f>IF('История отказов'!AE619="","",IF(AND(COUNTIF($CW$2:$CW$2,'История отказов'!AE619)=0,COUNTIFS('История отказов'!$F$5:F619,"НПУ-ВД",'История отказов'!$AE$5:AE619,'История отказов'!AE619)=1,'История отказов'!F619="НПУ-ВД"),615,""))</f>
        <v/>
      </c>
      <c r="DH616">
        <f>IF('История отказов'!AE619="","",IF(AND(COUNTIF($CY$2:$CY$6,'История отказов'!AE619)=0,COUNTIF('История отказов'!$AE$5:AE619,'История отказов'!AE619)=1),615,""))</f>
        <v/>
      </c>
      <c r="DI616">
        <f>IF('История отказов'!AK619="","",IF(AND(COUNTIF($CL$2:$CL$3,'История отказов'!AK619)=0,COUNTIF('История отказов'!$AK$5:AK619,'История отказов'!AK619)=1),615,""))</f>
        <v/>
      </c>
      <c r="DJ616">
        <f>IF('История отказов'!AU619="","",IF(AND(COUNTIF($CP$2:$CP$3,'История отказов'!AU619)=0,COUNTIF('История отказов'!$AU$5:AU619,'История отказов'!AU619)=1),615,""))</f>
        <v/>
      </c>
      <c r="DK616">
        <f>IF('История отказов'!AY619="","",IF(AND(COUNTIF($CR$2:$CR$2,'История отказов'!AY619)=0,COUNTIF('История отказов'!$AY$5:AY619,'История отказов'!AY619)=1),615,""))</f>
        <v/>
      </c>
      <c r="DL616">
        <f>IF(DB616="","",IF(AND(COUNTIF($DA$2:$DA$47,DB616)=0,COUNTIF($DB$2:DB616,DB616)=1),615,""))</f>
        <v/>
      </c>
    </row>
    <row r="617">
      <c r="A617" s="74" t="n"/>
      <c r="B617" s="75" t="n"/>
      <c r="C617" s="76" t="n"/>
      <c r="J617" s="62" t="n"/>
      <c r="K617" s="62" t="n"/>
      <c r="L617" s="62" t="n"/>
      <c r="M617" s="62" t="n"/>
      <c r="N617" s="62" t="n"/>
      <c r="DB617">
        <f>IF('История отказов'!AH620="","",'История отказов'!AH620)</f>
        <v/>
      </c>
      <c r="DC617">
        <f>IF('История отказов'!AE620="","",IF(AND(COUNTIF($CT$2:$CT$2,'История отказов'!AE620)=0,COUNTIFS('История отказов'!$F$5:F620,"ШГН",'История отказов'!$AE$5:AE620,'История отказов'!AE620)=1,'История отказов'!F620="ШГН"),616,""))</f>
        <v/>
      </c>
      <c r="DD617">
        <f>IF('История отказов'!AE620="","",IF(AND(COUNTIF($CU$2:$CU$3,'История отказов'!AE620)=0,COUNTIFS('История отказов'!$F$5:F620,"ЭЦН",'История отказов'!$AE$5:AE620,'История отказов'!AE620)=1,'История отказов'!F620="ЭЦН"),616,""))</f>
        <v/>
      </c>
      <c r="DE617">
        <f>IF('История отказов'!AE620="","",IF(AND(COUNTIF($CV$2:$CV$3,'История отказов'!AE620)=0,COUNTIFS('История отказов'!$F$5:F620,"ЭВН",'История отказов'!$AE$5:AE620,'История отказов'!AE620)=1,'История отказов'!F620="ЭВН"),616,""))</f>
        <v/>
      </c>
      <c r="DF617">
        <f>IF('История отказов'!AE620="","",IF(AND(COUNTIF($CX$2:$CX$2,'История отказов'!AE620)=0,COUNTIFS('История отказов'!$F$5:F620,"ШВН",'История отказов'!$AE$5:AE620,'История отказов'!AE620)=1,'История отказов'!F620="ШВН"),616,""))</f>
        <v/>
      </c>
      <c r="DG617">
        <f>IF('История отказов'!AE620="","",IF(AND(COUNTIF($CW$2:$CW$2,'История отказов'!AE620)=0,COUNTIFS('История отказов'!$F$5:F620,"НПУ-ВД",'История отказов'!$AE$5:AE620,'История отказов'!AE620)=1,'История отказов'!F620="НПУ-ВД"),616,""))</f>
        <v/>
      </c>
      <c r="DH617">
        <f>IF('История отказов'!AE620="","",IF(AND(COUNTIF($CY$2:$CY$6,'История отказов'!AE620)=0,COUNTIF('История отказов'!$AE$5:AE620,'История отказов'!AE620)=1),616,""))</f>
        <v/>
      </c>
      <c r="DI617">
        <f>IF('История отказов'!AK620="","",IF(AND(COUNTIF($CL$2:$CL$3,'История отказов'!AK620)=0,COUNTIF('История отказов'!$AK$5:AK620,'История отказов'!AK620)=1),616,""))</f>
        <v/>
      </c>
      <c r="DJ617">
        <f>IF('История отказов'!AU620="","",IF(AND(COUNTIF($CP$2:$CP$3,'История отказов'!AU620)=0,COUNTIF('История отказов'!$AU$5:AU620,'История отказов'!AU620)=1),616,""))</f>
        <v/>
      </c>
      <c r="DK617">
        <f>IF('История отказов'!AY620="","",IF(AND(COUNTIF($CR$2:$CR$2,'История отказов'!AY620)=0,COUNTIF('История отказов'!$AY$5:AY620,'История отказов'!AY620)=1),616,""))</f>
        <v/>
      </c>
      <c r="DL617">
        <f>IF(DB617="","",IF(AND(COUNTIF($DA$2:$DA$47,DB617)=0,COUNTIF($DB$2:DB617,DB617)=1),616,""))</f>
        <v/>
      </c>
    </row>
    <row r="618">
      <c r="A618" s="74" t="n"/>
      <c r="B618" s="75" t="n"/>
      <c r="C618" s="76" t="n"/>
      <c r="J618" s="62" t="n"/>
      <c r="K618" s="62" t="n"/>
      <c r="L618" s="62" t="n"/>
      <c r="M618" s="62" t="n"/>
      <c r="N618" s="62" t="n"/>
      <c r="DB618">
        <f>IF('История отказов'!AH621="","",'История отказов'!AH621)</f>
        <v/>
      </c>
      <c r="DC618">
        <f>IF('История отказов'!AE621="","",IF(AND(COUNTIF($CT$2:$CT$2,'История отказов'!AE621)=0,COUNTIFS('История отказов'!$F$5:F621,"ШГН",'История отказов'!$AE$5:AE621,'История отказов'!AE621)=1,'История отказов'!F621="ШГН"),617,""))</f>
        <v/>
      </c>
      <c r="DD618">
        <f>IF('История отказов'!AE621="","",IF(AND(COUNTIF($CU$2:$CU$3,'История отказов'!AE621)=0,COUNTIFS('История отказов'!$F$5:F621,"ЭЦН",'История отказов'!$AE$5:AE621,'История отказов'!AE621)=1,'История отказов'!F621="ЭЦН"),617,""))</f>
        <v/>
      </c>
      <c r="DE618">
        <f>IF('История отказов'!AE621="","",IF(AND(COUNTIF($CV$2:$CV$3,'История отказов'!AE621)=0,COUNTIFS('История отказов'!$F$5:F621,"ЭВН",'История отказов'!$AE$5:AE621,'История отказов'!AE621)=1,'История отказов'!F621="ЭВН"),617,""))</f>
        <v/>
      </c>
      <c r="DF618">
        <f>IF('История отказов'!AE621="","",IF(AND(COUNTIF($CX$2:$CX$2,'История отказов'!AE621)=0,COUNTIFS('История отказов'!$F$5:F621,"ШВН",'История отказов'!$AE$5:AE621,'История отказов'!AE621)=1,'История отказов'!F621="ШВН"),617,""))</f>
        <v/>
      </c>
      <c r="DG618">
        <f>IF('История отказов'!AE621="","",IF(AND(COUNTIF($CW$2:$CW$2,'История отказов'!AE621)=0,COUNTIFS('История отказов'!$F$5:F621,"НПУ-ВД",'История отказов'!$AE$5:AE621,'История отказов'!AE621)=1,'История отказов'!F621="НПУ-ВД"),617,""))</f>
        <v/>
      </c>
      <c r="DH618">
        <f>IF('История отказов'!AE621="","",IF(AND(COUNTIF($CY$2:$CY$6,'История отказов'!AE621)=0,COUNTIF('История отказов'!$AE$5:AE621,'История отказов'!AE621)=1),617,""))</f>
        <v/>
      </c>
      <c r="DI618">
        <f>IF('История отказов'!AK621="","",IF(AND(COUNTIF($CL$2:$CL$3,'История отказов'!AK621)=0,COUNTIF('История отказов'!$AK$5:AK621,'История отказов'!AK621)=1),617,""))</f>
        <v/>
      </c>
      <c r="DJ618">
        <f>IF('История отказов'!AU621="","",IF(AND(COUNTIF($CP$2:$CP$3,'История отказов'!AU621)=0,COUNTIF('История отказов'!$AU$5:AU621,'История отказов'!AU621)=1),617,""))</f>
        <v/>
      </c>
      <c r="DK618">
        <f>IF('История отказов'!AY621="","",IF(AND(COUNTIF($CR$2:$CR$2,'История отказов'!AY621)=0,COUNTIF('История отказов'!$AY$5:AY621,'История отказов'!AY621)=1),617,""))</f>
        <v/>
      </c>
      <c r="DL618">
        <f>IF(DB618="","",IF(AND(COUNTIF($DA$2:$DA$47,DB618)=0,COUNTIF($DB$2:DB618,DB618)=1),617,""))</f>
        <v/>
      </c>
    </row>
    <row r="619">
      <c r="A619" s="74" t="n"/>
      <c r="B619" s="75" t="n"/>
      <c r="C619" s="76" t="n"/>
      <c r="J619" s="62" t="n"/>
      <c r="K619" s="62" t="n"/>
      <c r="L619" s="62" t="n"/>
      <c r="M619" s="62" t="n"/>
      <c r="N619" s="62" t="n"/>
      <c r="DB619">
        <f>IF('История отказов'!AH622="","",'История отказов'!AH622)</f>
        <v/>
      </c>
      <c r="DC619">
        <f>IF('История отказов'!AE622="","",IF(AND(COUNTIF($CT$2:$CT$2,'История отказов'!AE622)=0,COUNTIFS('История отказов'!$F$5:F622,"ШГН",'История отказов'!$AE$5:AE622,'История отказов'!AE622)=1,'История отказов'!F622="ШГН"),618,""))</f>
        <v/>
      </c>
      <c r="DD619">
        <f>IF('История отказов'!AE622="","",IF(AND(COUNTIF($CU$2:$CU$3,'История отказов'!AE622)=0,COUNTIFS('История отказов'!$F$5:F622,"ЭЦН",'История отказов'!$AE$5:AE622,'История отказов'!AE622)=1,'История отказов'!F622="ЭЦН"),618,""))</f>
        <v/>
      </c>
      <c r="DE619">
        <f>IF('История отказов'!AE622="","",IF(AND(COUNTIF($CV$2:$CV$3,'История отказов'!AE622)=0,COUNTIFS('История отказов'!$F$5:F622,"ЭВН",'История отказов'!$AE$5:AE622,'История отказов'!AE622)=1,'История отказов'!F622="ЭВН"),618,""))</f>
        <v/>
      </c>
      <c r="DF619">
        <f>IF('История отказов'!AE622="","",IF(AND(COUNTIF($CX$2:$CX$2,'История отказов'!AE622)=0,COUNTIFS('История отказов'!$F$5:F622,"ШВН",'История отказов'!$AE$5:AE622,'История отказов'!AE622)=1,'История отказов'!F622="ШВН"),618,""))</f>
        <v/>
      </c>
      <c r="DG619">
        <f>IF('История отказов'!AE622="","",IF(AND(COUNTIF($CW$2:$CW$2,'История отказов'!AE622)=0,COUNTIFS('История отказов'!$F$5:F622,"НПУ-ВД",'История отказов'!$AE$5:AE622,'История отказов'!AE622)=1,'История отказов'!F622="НПУ-ВД"),618,""))</f>
        <v/>
      </c>
      <c r="DH619">
        <f>IF('История отказов'!AE622="","",IF(AND(COUNTIF($CY$2:$CY$6,'История отказов'!AE622)=0,COUNTIF('История отказов'!$AE$5:AE622,'История отказов'!AE622)=1),618,""))</f>
        <v/>
      </c>
      <c r="DI619">
        <f>IF('История отказов'!AK622="","",IF(AND(COUNTIF($CL$2:$CL$3,'История отказов'!AK622)=0,COUNTIF('История отказов'!$AK$5:AK622,'История отказов'!AK622)=1),618,""))</f>
        <v/>
      </c>
      <c r="DJ619">
        <f>IF('История отказов'!AU622="","",IF(AND(COUNTIF($CP$2:$CP$3,'История отказов'!AU622)=0,COUNTIF('История отказов'!$AU$5:AU622,'История отказов'!AU622)=1),618,""))</f>
        <v/>
      </c>
      <c r="DK619">
        <f>IF('История отказов'!AY622="","",IF(AND(COUNTIF($CR$2:$CR$2,'История отказов'!AY622)=0,COUNTIF('История отказов'!$AY$5:AY622,'История отказов'!AY622)=1),618,""))</f>
        <v/>
      </c>
      <c r="DL619">
        <f>IF(DB619="","",IF(AND(COUNTIF($DA$2:$DA$47,DB619)=0,COUNTIF($DB$2:DB619,DB619)=1),618,""))</f>
        <v/>
      </c>
    </row>
    <row r="620">
      <c r="A620" s="74" t="n"/>
      <c r="B620" s="75" t="n"/>
      <c r="C620" s="76" t="n"/>
      <c r="J620" s="62" t="n"/>
      <c r="K620" s="62" t="n"/>
      <c r="L620" s="62" t="n"/>
      <c r="M620" s="62" t="n"/>
      <c r="N620" s="62" t="n"/>
      <c r="DB620">
        <f>IF('История отказов'!AH623="","",'История отказов'!AH623)</f>
        <v/>
      </c>
      <c r="DC620">
        <f>IF('История отказов'!AE623="","",IF(AND(COUNTIF($CT$2:$CT$2,'История отказов'!AE623)=0,COUNTIFS('История отказов'!$F$5:F623,"ШГН",'История отказов'!$AE$5:AE623,'История отказов'!AE623)=1,'История отказов'!F623="ШГН"),619,""))</f>
        <v/>
      </c>
      <c r="DD620">
        <f>IF('История отказов'!AE623="","",IF(AND(COUNTIF($CU$2:$CU$3,'История отказов'!AE623)=0,COUNTIFS('История отказов'!$F$5:F623,"ЭЦН",'История отказов'!$AE$5:AE623,'История отказов'!AE623)=1,'История отказов'!F623="ЭЦН"),619,""))</f>
        <v/>
      </c>
      <c r="DE620">
        <f>IF('История отказов'!AE623="","",IF(AND(COUNTIF($CV$2:$CV$3,'История отказов'!AE623)=0,COUNTIFS('История отказов'!$F$5:F623,"ЭВН",'История отказов'!$AE$5:AE623,'История отказов'!AE623)=1,'История отказов'!F623="ЭВН"),619,""))</f>
        <v/>
      </c>
      <c r="DF620">
        <f>IF('История отказов'!AE623="","",IF(AND(COUNTIF($CX$2:$CX$2,'История отказов'!AE623)=0,COUNTIFS('История отказов'!$F$5:F623,"ШВН",'История отказов'!$AE$5:AE623,'История отказов'!AE623)=1,'История отказов'!F623="ШВН"),619,""))</f>
        <v/>
      </c>
      <c r="DG620">
        <f>IF('История отказов'!AE623="","",IF(AND(COUNTIF($CW$2:$CW$2,'История отказов'!AE623)=0,COUNTIFS('История отказов'!$F$5:F623,"НПУ-ВД",'История отказов'!$AE$5:AE623,'История отказов'!AE623)=1,'История отказов'!F623="НПУ-ВД"),619,""))</f>
        <v/>
      </c>
      <c r="DH620">
        <f>IF('История отказов'!AE623="","",IF(AND(COUNTIF($CY$2:$CY$6,'История отказов'!AE623)=0,COUNTIF('История отказов'!$AE$5:AE623,'История отказов'!AE623)=1),619,""))</f>
        <v/>
      </c>
      <c r="DI620">
        <f>IF('История отказов'!AK623="","",IF(AND(COUNTIF($CL$2:$CL$3,'История отказов'!AK623)=0,COUNTIF('История отказов'!$AK$5:AK623,'История отказов'!AK623)=1),619,""))</f>
        <v/>
      </c>
      <c r="DJ620">
        <f>IF('История отказов'!AU623="","",IF(AND(COUNTIF($CP$2:$CP$3,'История отказов'!AU623)=0,COUNTIF('История отказов'!$AU$5:AU623,'История отказов'!AU623)=1),619,""))</f>
        <v/>
      </c>
      <c r="DK620">
        <f>IF('История отказов'!AY623="","",IF(AND(COUNTIF($CR$2:$CR$2,'История отказов'!AY623)=0,COUNTIF('История отказов'!$AY$5:AY623,'История отказов'!AY623)=1),619,""))</f>
        <v/>
      </c>
      <c r="DL620">
        <f>IF(DB620="","",IF(AND(COUNTIF($DA$2:$DA$47,DB620)=0,COUNTIF($DB$2:DB620,DB620)=1),619,""))</f>
        <v/>
      </c>
    </row>
    <row r="621">
      <c r="A621" s="74" t="n"/>
      <c r="B621" s="75" t="n"/>
      <c r="C621" s="76" t="n"/>
      <c r="J621" s="62" t="n"/>
      <c r="K621" s="62" t="n"/>
      <c r="L621" s="62" t="n"/>
      <c r="M621" s="62" t="n"/>
      <c r="N621" s="62" t="n"/>
      <c r="DB621">
        <f>IF('История отказов'!AH624="","",'История отказов'!AH624)</f>
        <v/>
      </c>
      <c r="DC621">
        <f>IF('История отказов'!AE624="","",IF(AND(COUNTIF($CT$2:$CT$2,'История отказов'!AE624)=0,COUNTIFS('История отказов'!$F$5:F624,"ШГН",'История отказов'!$AE$5:AE624,'История отказов'!AE624)=1,'История отказов'!F624="ШГН"),620,""))</f>
        <v/>
      </c>
      <c r="DD621">
        <f>IF('История отказов'!AE624="","",IF(AND(COUNTIF($CU$2:$CU$3,'История отказов'!AE624)=0,COUNTIFS('История отказов'!$F$5:F624,"ЭЦН",'История отказов'!$AE$5:AE624,'История отказов'!AE624)=1,'История отказов'!F624="ЭЦН"),620,""))</f>
        <v/>
      </c>
      <c r="DE621">
        <f>IF('История отказов'!AE624="","",IF(AND(COUNTIF($CV$2:$CV$3,'История отказов'!AE624)=0,COUNTIFS('История отказов'!$F$5:F624,"ЭВН",'История отказов'!$AE$5:AE624,'История отказов'!AE624)=1,'История отказов'!F624="ЭВН"),620,""))</f>
        <v/>
      </c>
      <c r="DF621">
        <f>IF('История отказов'!AE624="","",IF(AND(COUNTIF($CX$2:$CX$2,'История отказов'!AE624)=0,COUNTIFS('История отказов'!$F$5:F624,"ШВН",'История отказов'!$AE$5:AE624,'История отказов'!AE624)=1,'История отказов'!F624="ШВН"),620,""))</f>
        <v/>
      </c>
      <c r="DG621">
        <f>IF('История отказов'!AE624="","",IF(AND(COUNTIF($CW$2:$CW$2,'История отказов'!AE624)=0,COUNTIFS('История отказов'!$F$5:F624,"НПУ-ВД",'История отказов'!$AE$5:AE624,'История отказов'!AE624)=1,'История отказов'!F624="НПУ-ВД"),620,""))</f>
        <v/>
      </c>
      <c r="DH621">
        <f>IF('История отказов'!AE624="","",IF(AND(COUNTIF($CY$2:$CY$6,'История отказов'!AE624)=0,COUNTIF('История отказов'!$AE$5:AE624,'История отказов'!AE624)=1),620,""))</f>
        <v/>
      </c>
      <c r="DI621">
        <f>IF('История отказов'!AK624="","",IF(AND(COUNTIF($CL$2:$CL$3,'История отказов'!AK624)=0,COUNTIF('История отказов'!$AK$5:AK624,'История отказов'!AK624)=1),620,""))</f>
        <v/>
      </c>
      <c r="DJ621">
        <f>IF('История отказов'!AU624="","",IF(AND(COUNTIF($CP$2:$CP$3,'История отказов'!AU624)=0,COUNTIF('История отказов'!$AU$5:AU624,'История отказов'!AU624)=1),620,""))</f>
        <v/>
      </c>
      <c r="DK621">
        <f>IF('История отказов'!AY624="","",IF(AND(COUNTIF($CR$2:$CR$2,'История отказов'!AY624)=0,COUNTIF('История отказов'!$AY$5:AY624,'История отказов'!AY624)=1),620,""))</f>
        <v/>
      </c>
      <c r="DL621">
        <f>IF(DB621="","",IF(AND(COUNTIF($DA$2:$DA$47,DB621)=0,COUNTIF($DB$2:DB621,DB621)=1),620,""))</f>
        <v/>
      </c>
    </row>
    <row r="622">
      <c r="A622" s="74" t="n"/>
      <c r="B622" s="75" t="n"/>
      <c r="C622" s="76" t="n"/>
      <c r="J622" s="62" t="n"/>
      <c r="K622" s="62" t="n"/>
      <c r="L622" s="62" t="n"/>
      <c r="M622" s="62" t="n"/>
      <c r="N622" s="62" t="n"/>
      <c r="DB622">
        <f>IF('История отказов'!AH625="","",'История отказов'!AH625)</f>
        <v/>
      </c>
      <c r="DC622">
        <f>IF('История отказов'!AE625="","",IF(AND(COUNTIF($CT$2:$CT$2,'История отказов'!AE625)=0,COUNTIFS('История отказов'!$F$5:F625,"ШГН",'История отказов'!$AE$5:AE625,'История отказов'!AE625)=1,'История отказов'!F625="ШГН"),621,""))</f>
        <v/>
      </c>
      <c r="DD622">
        <f>IF('История отказов'!AE625="","",IF(AND(COUNTIF($CU$2:$CU$3,'История отказов'!AE625)=0,COUNTIFS('История отказов'!$F$5:F625,"ЭЦН",'История отказов'!$AE$5:AE625,'История отказов'!AE625)=1,'История отказов'!F625="ЭЦН"),621,""))</f>
        <v/>
      </c>
      <c r="DE622">
        <f>IF('История отказов'!AE625="","",IF(AND(COUNTIF($CV$2:$CV$3,'История отказов'!AE625)=0,COUNTIFS('История отказов'!$F$5:F625,"ЭВН",'История отказов'!$AE$5:AE625,'История отказов'!AE625)=1,'История отказов'!F625="ЭВН"),621,""))</f>
        <v/>
      </c>
      <c r="DF622">
        <f>IF('История отказов'!AE625="","",IF(AND(COUNTIF($CX$2:$CX$2,'История отказов'!AE625)=0,COUNTIFS('История отказов'!$F$5:F625,"ШВН",'История отказов'!$AE$5:AE625,'История отказов'!AE625)=1,'История отказов'!F625="ШВН"),621,""))</f>
        <v/>
      </c>
      <c r="DG622">
        <f>IF('История отказов'!AE625="","",IF(AND(COUNTIF($CW$2:$CW$2,'История отказов'!AE625)=0,COUNTIFS('История отказов'!$F$5:F625,"НПУ-ВД",'История отказов'!$AE$5:AE625,'История отказов'!AE625)=1,'История отказов'!F625="НПУ-ВД"),621,""))</f>
        <v/>
      </c>
      <c r="DH622">
        <f>IF('История отказов'!AE625="","",IF(AND(COUNTIF($CY$2:$CY$6,'История отказов'!AE625)=0,COUNTIF('История отказов'!$AE$5:AE625,'История отказов'!AE625)=1),621,""))</f>
        <v/>
      </c>
      <c r="DI622">
        <f>IF('История отказов'!AK625="","",IF(AND(COUNTIF($CL$2:$CL$3,'История отказов'!AK625)=0,COUNTIF('История отказов'!$AK$5:AK625,'История отказов'!AK625)=1),621,""))</f>
        <v/>
      </c>
      <c r="DJ622">
        <f>IF('История отказов'!AU625="","",IF(AND(COUNTIF($CP$2:$CP$3,'История отказов'!AU625)=0,COUNTIF('История отказов'!$AU$5:AU625,'История отказов'!AU625)=1),621,""))</f>
        <v/>
      </c>
      <c r="DK622">
        <f>IF('История отказов'!AY625="","",IF(AND(COUNTIF($CR$2:$CR$2,'История отказов'!AY625)=0,COUNTIF('История отказов'!$AY$5:AY625,'История отказов'!AY625)=1),621,""))</f>
        <v/>
      </c>
      <c r="DL622">
        <f>IF(DB622="","",IF(AND(COUNTIF($DA$2:$DA$47,DB622)=0,COUNTIF($DB$2:DB622,DB622)=1),621,""))</f>
        <v/>
      </c>
    </row>
    <row r="623">
      <c r="A623" s="74" t="n"/>
      <c r="B623" s="75" t="n"/>
      <c r="C623" s="76" t="n"/>
      <c r="J623" s="62" t="n"/>
      <c r="K623" s="62" t="n"/>
      <c r="L623" s="62" t="n"/>
      <c r="M623" s="62" t="n"/>
      <c r="N623" s="62" t="n"/>
      <c r="DB623">
        <f>IF('История отказов'!AH626="","",'История отказов'!AH626)</f>
        <v/>
      </c>
      <c r="DC623">
        <f>IF('История отказов'!AE626="","",IF(AND(COUNTIF($CT$2:$CT$2,'История отказов'!AE626)=0,COUNTIFS('История отказов'!$F$5:F626,"ШГН",'История отказов'!$AE$5:AE626,'История отказов'!AE626)=1,'История отказов'!F626="ШГН"),622,""))</f>
        <v/>
      </c>
      <c r="DD623">
        <f>IF('История отказов'!AE626="","",IF(AND(COUNTIF($CU$2:$CU$3,'История отказов'!AE626)=0,COUNTIFS('История отказов'!$F$5:F626,"ЭЦН",'История отказов'!$AE$5:AE626,'История отказов'!AE626)=1,'История отказов'!F626="ЭЦН"),622,""))</f>
        <v/>
      </c>
      <c r="DE623">
        <f>IF('История отказов'!AE626="","",IF(AND(COUNTIF($CV$2:$CV$3,'История отказов'!AE626)=0,COUNTIFS('История отказов'!$F$5:F626,"ЭВН",'История отказов'!$AE$5:AE626,'История отказов'!AE626)=1,'История отказов'!F626="ЭВН"),622,""))</f>
        <v/>
      </c>
      <c r="DF623">
        <f>IF('История отказов'!AE626="","",IF(AND(COUNTIF($CX$2:$CX$2,'История отказов'!AE626)=0,COUNTIFS('История отказов'!$F$5:F626,"ШВН",'История отказов'!$AE$5:AE626,'История отказов'!AE626)=1,'История отказов'!F626="ШВН"),622,""))</f>
        <v/>
      </c>
      <c r="DG623">
        <f>IF('История отказов'!AE626="","",IF(AND(COUNTIF($CW$2:$CW$2,'История отказов'!AE626)=0,COUNTIFS('История отказов'!$F$5:F626,"НПУ-ВД",'История отказов'!$AE$5:AE626,'История отказов'!AE626)=1,'История отказов'!F626="НПУ-ВД"),622,""))</f>
        <v/>
      </c>
      <c r="DH623">
        <f>IF('История отказов'!AE626="","",IF(AND(COUNTIF($CY$2:$CY$6,'История отказов'!AE626)=0,COUNTIF('История отказов'!$AE$5:AE626,'История отказов'!AE626)=1),622,""))</f>
        <v/>
      </c>
      <c r="DI623">
        <f>IF('История отказов'!AK626="","",IF(AND(COUNTIF($CL$2:$CL$3,'История отказов'!AK626)=0,COUNTIF('История отказов'!$AK$5:AK626,'История отказов'!AK626)=1),622,""))</f>
        <v/>
      </c>
      <c r="DJ623">
        <f>IF('История отказов'!AU626="","",IF(AND(COUNTIF($CP$2:$CP$3,'История отказов'!AU626)=0,COUNTIF('История отказов'!$AU$5:AU626,'История отказов'!AU626)=1),622,""))</f>
        <v/>
      </c>
      <c r="DK623">
        <f>IF('История отказов'!AY626="","",IF(AND(COUNTIF($CR$2:$CR$2,'История отказов'!AY626)=0,COUNTIF('История отказов'!$AY$5:AY626,'История отказов'!AY626)=1),622,""))</f>
        <v/>
      </c>
      <c r="DL623">
        <f>IF(DB623="","",IF(AND(COUNTIF($DA$2:$DA$47,DB623)=0,COUNTIF($DB$2:DB623,DB623)=1),622,""))</f>
        <v/>
      </c>
    </row>
    <row r="624">
      <c r="A624" s="74" t="n"/>
      <c r="B624" s="75" t="n"/>
      <c r="C624" s="76" t="n"/>
      <c r="J624" s="62" t="n"/>
      <c r="K624" s="62" t="n"/>
      <c r="L624" s="62" t="n"/>
      <c r="M624" s="62" t="n"/>
      <c r="N624" s="62" t="n"/>
      <c r="DB624">
        <f>IF('История отказов'!AH627="","",'История отказов'!AH627)</f>
        <v/>
      </c>
      <c r="DC624">
        <f>IF('История отказов'!AE627="","",IF(AND(COUNTIF($CT$2:$CT$2,'История отказов'!AE627)=0,COUNTIFS('История отказов'!$F$5:F627,"ШГН",'История отказов'!$AE$5:AE627,'История отказов'!AE627)=1,'История отказов'!F627="ШГН"),623,""))</f>
        <v/>
      </c>
      <c r="DD624">
        <f>IF('История отказов'!AE627="","",IF(AND(COUNTIF($CU$2:$CU$3,'История отказов'!AE627)=0,COUNTIFS('История отказов'!$F$5:F627,"ЭЦН",'История отказов'!$AE$5:AE627,'История отказов'!AE627)=1,'История отказов'!F627="ЭЦН"),623,""))</f>
        <v/>
      </c>
      <c r="DE624">
        <f>IF('История отказов'!AE627="","",IF(AND(COUNTIF($CV$2:$CV$3,'История отказов'!AE627)=0,COUNTIFS('История отказов'!$F$5:F627,"ЭВН",'История отказов'!$AE$5:AE627,'История отказов'!AE627)=1,'История отказов'!F627="ЭВН"),623,""))</f>
        <v/>
      </c>
      <c r="DF624">
        <f>IF('История отказов'!AE627="","",IF(AND(COUNTIF($CX$2:$CX$2,'История отказов'!AE627)=0,COUNTIFS('История отказов'!$F$5:F627,"ШВН",'История отказов'!$AE$5:AE627,'История отказов'!AE627)=1,'История отказов'!F627="ШВН"),623,""))</f>
        <v/>
      </c>
      <c r="DG624">
        <f>IF('История отказов'!AE627="","",IF(AND(COUNTIF($CW$2:$CW$2,'История отказов'!AE627)=0,COUNTIFS('История отказов'!$F$5:F627,"НПУ-ВД",'История отказов'!$AE$5:AE627,'История отказов'!AE627)=1,'История отказов'!F627="НПУ-ВД"),623,""))</f>
        <v/>
      </c>
      <c r="DH624">
        <f>IF('История отказов'!AE627="","",IF(AND(COUNTIF($CY$2:$CY$6,'История отказов'!AE627)=0,COUNTIF('История отказов'!$AE$5:AE627,'История отказов'!AE627)=1),623,""))</f>
        <v/>
      </c>
      <c r="DI624">
        <f>IF('История отказов'!AK627="","",IF(AND(COUNTIF($CL$2:$CL$3,'История отказов'!AK627)=0,COUNTIF('История отказов'!$AK$5:AK627,'История отказов'!AK627)=1),623,""))</f>
        <v/>
      </c>
      <c r="DJ624">
        <f>IF('История отказов'!AU627="","",IF(AND(COUNTIF($CP$2:$CP$3,'История отказов'!AU627)=0,COUNTIF('История отказов'!$AU$5:AU627,'История отказов'!AU627)=1),623,""))</f>
        <v/>
      </c>
      <c r="DK624">
        <f>IF('История отказов'!AY627="","",IF(AND(COUNTIF($CR$2:$CR$2,'История отказов'!AY627)=0,COUNTIF('История отказов'!$AY$5:AY627,'История отказов'!AY627)=1),623,""))</f>
        <v/>
      </c>
      <c r="DL624">
        <f>IF(DB624="","",IF(AND(COUNTIF($DA$2:$DA$47,DB624)=0,COUNTIF($DB$2:DB624,DB624)=1),623,""))</f>
        <v/>
      </c>
    </row>
    <row r="625">
      <c r="A625" s="74" t="n"/>
      <c r="B625" s="75" t="n"/>
      <c r="C625" s="76" t="n"/>
      <c r="J625" s="62" t="n"/>
      <c r="K625" s="62" t="n"/>
      <c r="L625" s="62" t="n"/>
      <c r="M625" s="62" t="n"/>
      <c r="N625" s="62" t="n"/>
      <c r="DB625">
        <f>IF('История отказов'!AH628="","",'История отказов'!AH628)</f>
        <v/>
      </c>
      <c r="DC625">
        <f>IF('История отказов'!AE628="","",IF(AND(COUNTIF($CT$2:$CT$2,'История отказов'!AE628)=0,COUNTIFS('История отказов'!$F$5:F628,"ШГН",'История отказов'!$AE$5:AE628,'История отказов'!AE628)=1,'История отказов'!F628="ШГН"),624,""))</f>
        <v/>
      </c>
      <c r="DD625">
        <f>IF('История отказов'!AE628="","",IF(AND(COUNTIF($CU$2:$CU$3,'История отказов'!AE628)=0,COUNTIFS('История отказов'!$F$5:F628,"ЭЦН",'История отказов'!$AE$5:AE628,'История отказов'!AE628)=1,'История отказов'!F628="ЭЦН"),624,""))</f>
        <v/>
      </c>
      <c r="DE625">
        <f>IF('История отказов'!AE628="","",IF(AND(COUNTIF($CV$2:$CV$3,'История отказов'!AE628)=0,COUNTIFS('История отказов'!$F$5:F628,"ЭВН",'История отказов'!$AE$5:AE628,'История отказов'!AE628)=1,'История отказов'!F628="ЭВН"),624,""))</f>
        <v/>
      </c>
      <c r="DF625">
        <f>IF('История отказов'!AE628="","",IF(AND(COUNTIF($CX$2:$CX$2,'История отказов'!AE628)=0,COUNTIFS('История отказов'!$F$5:F628,"ШВН",'История отказов'!$AE$5:AE628,'История отказов'!AE628)=1,'История отказов'!F628="ШВН"),624,""))</f>
        <v/>
      </c>
      <c r="DG625">
        <f>IF('История отказов'!AE628="","",IF(AND(COUNTIF($CW$2:$CW$2,'История отказов'!AE628)=0,COUNTIFS('История отказов'!$F$5:F628,"НПУ-ВД",'История отказов'!$AE$5:AE628,'История отказов'!AE628)=1,'История отказов'!F628="НПУ-ВД"),624,""))</f>
        <v/>
      </c>
      <c r="DH625">
        <f>IF('История отказов'!AE628="","",IF(AND(COUNTIF($CY$2:$CY$6,'История отказов'!AE628)=0,COUNTIF('История отказов'!$AE$5:AE628,'История отказов'!AE628)=1),624,""))</f>
        <v/>
      </c>
      <c r="DI625">
        <f>IF('История отказов'!AK628="","",IF(AND(COUNTIF($CL$2:$CL$3,'История отказов'!AK628)=0,COUNTIF('История отказов'!$AK$5:AK628,'История отказов'!AK628)=1),624,""))</f>
        <v/>
      </c>
      <c r="DJ625">
        <f>IF('История отказов'!AU628="","",IF(AND(COUNTIF($CP$2:$CP$3,'История отказов'!AU628)=0,COUNTIF('История отказов'!$AU$5:AU628,'История отказов'!AU628)=1),624,""))</f>
        <v/>
      </c>
      <c r="DK625">
        <f>IF('История отказов'!AY628="","",IF(AND(COUNTIF($CR$2:$CR$2,'История отказов'!AY628)=0,COUNTIF('История отказов'!$AY$5:AY628,'История отказов'!AY628)=1),624,""))</f>
        <v/>
      </c>
      <c r="DL625">
        <f>IF(DB625="","",IF(AND(COUNTIF($DA$2:$DA$47,DB625)=0,COUNTIF($DB$2:DB625,DB625)=1),624,""))</f>
        <v/>
      </c>
    </row>
    <row r="626">
      <c r="A626" s="74" t="n"/>
      <c r="B626" s="75" t="n"/>
      <c r="C626" s="76" t="n"/>
      <c r="J626" s="62" t="n"/>
      <c r="K626" s="62" t="n"/>
      <c r="L626" s="62" t="n"/>
      <c r="M626" s="62" t="n"/>
      <c r="N626" s="62" t="n"/>
      <c r="DB626">
        <f>IF('История отказов'!AH629="","",'История отказов'!AH629)</f>
        <v/>
      </c>
      <c r="DC626">
        <f>IF('История отказов'!AE629="","",IF(AND(COUNTIF($CT$2:$CT$2,'История отказов'!AE629)=0,COUNTIFS('История отказов'!$F$5:F629,"ШГН",'История отказов'!$AE$5:AE629,'История отказов'!AE629)=1,'История отказов'!F629="ШГН"),625,""))</f>
        <v/>
      </c>
      <c r="DD626">
        <f>IF('История отказов'!AE629="","",IF(AND(COUNTIF($CU$2:$CU$3,'История отказов'!AE629)=0,COUNTIFS('История отказов'!$F$5:F629,"ЭЦН",'История отказов'!$AE$5:AE629,'История отказов'!AE629)=1,'История отказов'!F629="ЭЦН"),625,""))</f>
        <v/>
      </c>
      <c r="DE626">
        <f>IF('История отказов'!AE629="","",IF(AND(COUNTIF($CV$2:$CV$3,'История отказов'!AE629)=0,COUNTIFS('История отказов'!$F$5:F629,"ЭВН",'История отказов'!$AE$5:AE629,'История отказов'!AE629)=1,'История отказов'!F629="ЭВН"),625,""))</f>
        <v/>
      </c>
      <c r="DF626">
        <f>IF('История отказов'!AE629="","",IF(AND(COUNTIF($CX$2:$CX$2,'История отказов'!AE629)=0,COUNTIFS('История отказов'!$F$5:F629,"ШВН",'История отказов'!$AE$5:AE629,'История отказов'!AE629)=1,'История отказов'!F629="ШВН"),625,""))</f>
        <v/>
      </c>
      <c r="DG626">
        <f>IF('История отказов'!AE629="","",IF(AND(COUNTIF($CW$2:$CW$2,'История отказов'!AE629)=0,COUNTIFS('История отказов'!$F$5:F629,"НПУ-ВД",'История отказов'!$AE$5:AE629,'История отказов'!AE629)=1,'История отказов'!F629="НПУ-ВД"),625,""))</f>
        <v/>
      </c>
      <c r="DH626">
        <f>IF('История отказов'!AE629="","",IF(AND(COUNTIF($CY$2:$CY$6,'История отказов'!AE629)=0,COUNTIF('История отказов'!$AE$5:AE629,'История отказов'!AE629)=1),625,""))</f>
        <v/>
      </c>
      <c r="DI626">
        <f>IF('История отказов'!AK629="","",IF(AND(COUNTIF($CL$2:$CL$3,'История отказов'!AK629)=0,COUNTIF('История отказов'!$AK$5:AK629,'История отказов'!AK629)=1),625,""))</f>
        <v/>
      </c>
      <c r="DJ626">
        <f>IF('История отказов'!AU629="","",IF(AND(COUNTIF($CP$2:$CP$3,'История отказов'!AU629)=0,COUNTIF('История отказов'!$AU$5:AU629,'История отказов'!AU629)=1),625,""))</f>
        <v/>
      </c>
      <c r="DK626">
        <f>IF('История отказов'!AY629="","",IF(AND(COUNTIF($CR$2:$CR$2,'История отказов'!AY629)=0,COUNTIF('История отказов'!$AY$5:AY629,'История отказов'!AY629)=1),625,""))</f>
        <v/>
      </c>
      <c r="DL626">
        <f>IF(DB626="","",IF(AND(COUNTIF($DA$2:$DA$47,DB626)=0,COUNTIF($DB$2:DB626,DB626)=1),625,""))</f>
        <v/>
      </c>
    </row>
    <row r="627">
      <c r="A627" s="74" t="n"/>
      <c r="B627" s="75" t="n"/>
      <c r="C627" s="76" t="n"/>
      <c r="J627" s="62" t="n"/>
      <c r="K627" s="62" t="n"/>
      <c r="L627" s="62" t="n"/>
      <c r="M627" s="62" t="n"/>
      <c r="N627" s="62" t="n"/>
      <c r="DB627">
        <f>IF('История отказов'!AH630="","",'История отказов'!AH630)</f>
        <v/>
      </c>
      <c r="DC627">
        <f>IF('История отказов'!AE630="","",IF(AND(COUNTIF($CT$2:$CT$2,'История отказов'!AE630)=0,COUNTIFS('История отказов'!$F$5:F630,"ШГН",'История отказов'!$AE$5:AE630,'История отказов'!AE630)=1,'История отказов'!F630="ШГН"),626,""))</f>
        <v/>
      </c>
      <c r="DD627">
        <f>IF('История отказов'!AE630="","",IF(AND(COUNTIF($CU$2:$CU$3,'История отказов'!AE630)=0,COUNTIFS('История отказов'!$F$5:F630,"ЭЦН",'История отказов'!$AE$5:AE630,'История отказов'!AE630)=1,'История отказов'!F630="ЭЦН"),626,""))</f>
        <v/>
      </c>
      <c r="DE627">
        <f>IF('История отказов'!AE630="","",IF(AND(COUNTIF($CV$2:$CV$3,'История отказов'!AE630)=0,COUNTIFS('История отказов'!$F$5:F630,"ЭВН",'История отказов'!$AE$5:AE630,'История отказов'!AE630)=1,'История отказов'!F630="ЭВН"),626,""))</f>
        <v/>
      </c>
      <c r="DF627">
        <f>IF('История отказов'!AE630="","",IF(AND(COUNTIF($CX$2:$CX$2,'История отказов'!AE630)=0,COUNTIFS('История отказов'!$F$5:F630,"ШВН",'История отказов'!$AE$5:AE630,'История отказов'!AE630)=1,'История отказов'!F630="ШВН"),626,""))</f>
        <v/>
      </c>
      <c r="DG627">
        <f>IF('История отказов'!AE630="","",IF(AND(COUNTIF($CW$2:$CW$2,'История отказов'!AE630)=0,COUNTIFS('История отказов'!$F$5:F630,"НПУ-ВД",'История отказов'!$AE$5:AE630,'История отказов'!AE630)=1,'История отказов'!F630="НПУ-ВД"),626,""))</f>
        <v/>
      </c>
      <c r="DH627">
        <f>IF('История отказов'!AE630="","",IF(AND(COUNTIF($CY$2:$CY$6,'История отказов'!AE630)=0,COUNTIF('История отказов'!$AE$5:AE630,'История отказов'!AE630)=1),626,""))</f>
        <v/>
      </c>
      <c r="DI627">
        <f>IF('История отказов'!AK630="","",IF(AND(COUNTIF($CL$2:$CL$3,'История отказов'!AK630)=0,COUNTIF('История отказов'!$AK$5:AK630,'История отказов'!AK630)=1),626,""))</f>
        <v/>
      </c>
      <c r="DJ627">
        <f>IF('История отказов'!AU630="","",IF(AND(COUNTIF($CP$2:$CP$3,'История отказов'!AU630)=0,COUNTIF('История отказов'!$AU$5:AU630,'История отказов'!AU630)=1),626,""))</f>
        <v/>
      </c>
      <c r="DK627">
        <f>IF('История отказов'!AY630="","",IF(AND(COUNTIF($CR$2:$CR$2,'История отказов'!AY630)=0,COUNTIF('История отказов'!$AY$5:AY630,'История отказов'!AY630)=1),626,""))</f>
        <v/>
      </c>
      <c r="DL627">
        <f>IF(DB627="","",IF(AND(COUNTIF($DA$2:$DA$47,DB627)=0,COUNTIF($DB$2:DB627,DB627)=1),626,""))</f>
        <v/>
      </c>
    </row>
    <row r="628">
      <c r="A628" s="74" t="n"/>
      <c r="B628" s="75" t="n"/>
      <c r="C628" s="76" t="n"/>
      <c r="J628" s="62" t="n"/>
      <c r="K628" s="62" t="n"/>
      <c r="L628" s="62" t="n"/>
      <c r="M628" s="62" t="n"/>
      <c r="N628" s="62" t="n"/>
      <c r="DB628">
        <f>IF('История отказов'!AH631="","",'История отказов'!AH631)</f>
        <v/>
      </c>
      <c r="DC628">
        <f>IF('История отказов'!AE631="","",IF(AND(COUNTIF($CT$2:$CT$2,'История отказов'!AE631)=0,COUNTIFS('История отказов'!$F$5:F631,"ШГН",'История отказов'!$AE$5:AE631,'История отказов'!AE631)=1,'История отказов'!F631="ШГН"),627,""))</f>
        <v/>
      </c>
      <c r="DD628">
        <f>IF('История отказов'!AE631="","",IF(AND(COUNTIF($CU$2:$CU$3,'История отказов'!AE631)=0,COUNTIFS('История отказов'!$F$5:F631,"ЭЦН",'История отказов'!$AE$5:AE631,'История отказов'!AE631)=1,'История отказов'!F631="ЭЦН"),627,""))</f>
        <v/>
      </c>
      <c r="DE628">
        <f>IF('История отказов'!AE631="","",IF(AND(COUNTIF($CV$2:$CV$3,'История отказов'!AE631)=0,COUNTIFS('История отказов'!$F$5:F631,"ЭВН",'История отказов'!$AE$5:AE631,'История отказов'!AE631)=1,'История отказов'!F631="ЭВН"),627,""))</f>
        <v/>
      </c>
      <c r="DF628">
        <f>IF('История отказов'!AE631="","",IF(AND(COUNTIF($CX$2:$CX$2,'История отказов'!AE631)=0,COUNTIFS('История отказов'!$F$5:F631,"ШВН",'История отказов'!$AE$5:AE631,'История отказов'!AE631)=1,'История отказов'!F631="ШВН"),627,""))</f>
        <v/>
      </c>
      <c r="DG628">
        <f>IF('История отказов'!AE631="","",IF(AND(COUNTIF($CW$2:$CW$2,'История отказов'!AE631)=0,COUNTIFS('История отказов'!$F$5:F631,"НПУ-ВД",'История отказов'!$AE$5:AE631,'История отказов'!AE631)=1,'История отказов'!F631="НПУ-ВД"),627,""))</f>
        <v/>
      </c>
      <c r="DH628">
        <f>IF('История отказов'!AE631="","",IF(AND(COUNTIF($CY$2:$CY$6,'История отказов'!AE631)=0,COUNTIF('История отказов'!$AE$5:AE631,'История отказов'!AE631)=1),627,""))</f>
        <v/>
      </c>
      <c r="DI628">
        <f>IF('История отказов'!AK631="","",IF(AND(COUNTIF($CL$2:$CL$3,'История отказов'!AK631)=0,COUNTIF('История отказов'!$AK$5:AK631,'История отказов'!AK631)=1),627,""))</f>
        <v/>
      </c>
      <c r="DJ628">
        <f>IF('История отказов'!AU631="","",IF(AND(COUNTIF($CP$2:$CP$3,'История отказов'!AU631)=0,COUNTIF('История отказов'!$AU$5:AU631,'История отказов'!AU631)=1),627,""))</f>
        <v/>
      </c>
      <c r="DK628">
        <f>IF('История отказов'!AY631="","",IF(AND(COUNTIF($CR$2:$CR$2,'История отказов'!AY631)=0,COUNTIF('История отказов'!$AY$5:AY631,'История отказов'!AY631)=1),627,""))</f>
        <v/>
      </c>
      <c r="DL628">
        <f>IF(DB628="","",IF(AND(COUNTIF($DA$2:$DA$47,DB628)=0,COUNTIF($DB$2:DB628,DB628)=1),627,""))</f>
        <v/>
      </c>
    </row>
    <row r="629">
      <c r="A629" s="74" t="n"/>
      <c r="B629" s="75" t="n"/>
      <c r="C629" s="76" t="n"/>
      <c r="J629" s="62" t="n"/>
      <c r="K629" s="62" t="n"/>
      <c r="L629" s="62" t="n"/>
      <c r="M629" s="62" t="n"/>
      <c r="N629" s="62" t="n"/>
      <c r="DB629">
        <f>IF('История отказов'!AH632="","",'История отказов'!AH632)</f>
        <v/>
      </c>
      <c r="DC629">
        <f>IF('История отказов'!AE632="","",IF(AND(COUNTIF($CT$2:$CT$2,'История отказов'!AE632)=0,COUNTIFS('История отказов'!$F$5:F632,"ШГН",'История отказов'!$AE$5:AE632,'История отказов'!AE632)=1,'История отказов'!F632="ШГН"),628,""))</f>
        <v/>
      </c>
      <c r="DD629">
        <f>IF('История отказов'!AE632="","",IF(AND(COUNTIF($CU$2:$CU$3,'История отказов'!AE632)=0,COUNTIFS('История отказов'!$F$5:F632,"ЭЦН",'История отказов'!$AE$5:AE632,'История отказов'!AE632)=1,'История отказов'!F632="ЭЦН"),628,""))</f>
        <v/>
      </c>
      <c r="DE629">
        <f>IF('История отказов'!AE632="","",IF(AND(COUNTIF($CV$2:$CV$3,'История отказов'!AE632)=0,COUNTIFS('История отказов'!$F$5:F632,"ЭВН",'История отказов'!$AE$5:AE632,'История отказов'!AE632)=1,'История отказов'!F632="ЭВН"),628,""))</f>
        <v/>
      </c>
      <c r="DF629">
        <f>IF('История отказов'!AE632="","",IF(AND(COUNTIF($CX$2:$CX$2,'История отказов'!AE632)=0,COUNTIFS('История отказов'!$F$5:F632,"ШВН",'История отказов'!$AE$5:AE632,'История отказов'!AE632)=1,'История отказов'!F632="ШВН"),628,""))</f>
        <v/>
      </c>
      <c r="DG629">
        <f>IF('История отказов'!AE632="","",IF(AND(COUNTIF($CW$2:$CW$2,'История отказов'!AE632)=0,COUNTIFS('История отказов'!$F$5:F632,"НПУ-ВД",'История отказов'!$AE$5:AE632,'История отказов'!AE632)=1,'История отказов'!F632="НПУ-ВД"),628,""))</f>
        <v/>
      </c>
      <c r="DH629">
        <f>IF('История отказов'!AE632="","",IF(AND(COUNTIF($CY$2:$CY$6,'История отказов'!AE632)=0,COUNTIF('История отказов'!$AE$5:AE632,'История отказов'!AE632)=1),628,""))</f>
        <v/>
      </c>
      <c r="DI629">
        <f>IF('История отказов'!AK632="","",IF(AND(COUNTIF($CL$2:$CL$3,'История отказов'!AK632)=0,COUNTIF('История отказов'!$AK$5:AK632,'История отказов'!AK632)=1),628,""))</f>
        <v/>
      </c>
      <c r="DJ629">
        <f>IF('История отказов'!AU632="","",IF(AND(COUNTIF($CP$2:$CP$3,'История отказов'!AU632)=0,COUNTIF('История отказов'!$AU$5:AU632,'История отказов'!AU632)=1),628,""))</f>
        <v/>
      </c>
      <c r="DK629">
        <f>IF('История отказов'!AY632="","",IF(AND(COUNTIF($CR$2:$CR$2,'История отказов'!AY632)=0,COUNTIF('История отказов'!$AY$5:AY632,'История отказов'!AY632)=1),628,""))</f>
        <v/>
      </c>
      <c r="DL629">
        <f>IF(DB629="","",IF(AND(COUNTIF($DA$2:$DA$47,DB629)=0,COUNTIF($DB$2:DB629,DB629)=1),628,""))</f>
        <v/>
      </c>
    </row>
    <row r="630">
      <c r="A630" s="74" t="n"/>
      <c r="B630" s="75" t="n"/>
      <c r="C630" s="76" t="n"/>
      <c r="J630" s="62" t="n"/>
      <c r="K630" s="62" t="n"/>
      <c r="L630" s="62" t="n"/>
      <c r="M630" s="62" t="n"/>
      <c r="N630" s="62" t="n"/>
      <c r="DB630">
        <f>IF('История отказов'!AH633="","",'История отказов'!AH633)</f>
        <v/>
      </c>
      <c r="DC630">
        <f>IF('История отказов'!AE633="","",IF(AND(COUNTIF($CT$2:$CT$2,'История отказов'!AE633)=0,COUNTIFS('История отказов'!$F$5:F633,"ШГН",'История отказов'!$AE$5:AE633,'История отказов'!AE633)=1,'История отказов'!F633="ШГН"),629,""))</f>
        <v/>
      </c>
      <c r="DD630">
        <f>IF('История отказов'!AE633="","",IF(AND(COUNTIF($CU$2:$CU$3,'История отказов'!AE633)=0,COUNTIFS('История отказов'!$F$5:F633,"ЭЦН",'История отказов'!$AE$5:AE633,'История отказов'!AE633)=1,'История отказов'!F633="ЭЦН"),629,""))</f>
        <v/>
      </c>
      <c r="DE630">
        <f>IF('История отказов'!AE633="","",IF(AND(COUNTIF($CV$2:$CV$3,'История отказов'!AE633)=0,COUNTIFS('История отказов'!$F$5:F633,"ЭВН",'История отказов'!$AE$5:AE633,'История отказов'!AE633)=1,'История отказов'!F633="ЭВН"),629,""))</f>
        <v/>
      </c>
      <c r="DF630">
        <f>IF('История отказов'!AE633="","",IF(AND(COUNTIF($CX$2:$CX$2,'История отказов'!AE633)=0,COUNTIFS('История отказов'!$F$5:F633,"ШВН",'История отказов'!$AE$5:AE633,'История отказов'!AE633)=1,'История отказов'!F633="ШВН"),629,""))</f>
        <v/>
      </c>
      <c r="DG630">
        <f>IF('История отказов'!AE633="","",IF(AND(COUNTIF($CW$2:$CW$2,'История отказов'!AE633)=0,COUNTIFS('История отказов'!$F$5:F633,"НПУ-ВД",'История отказов'!$AE$5:AE633,'История отказов'!AE633)=1,'История отказов'!F633="НПУ-ВД"),629,""))</f>
        <v/>
      </c>
      <c r="DH630">
        <f>IF('История отказов'!AE633="","",IF(AND(COUNTIF($CY$2:$CY$6,'История отказов'!AE633)=0,COUNTIF('История отказов'!$AE$5:AE633,'История отказов'!AE633)=1),629,""))</f>
        <v/>
      </c>
      <c r="DI630">
        <f>IF('История отказов'!AK633="","",IF(AND(COUNTIF($CL$2:$CL$3,'История отказов'!AK633)=0,COUNTIF('История отказов'!$AK$5:AK633,'История отказов'!AK633)=1),629,""))</f>
        <v/>
      </c>
      <c r="DJ630">
        <f>IF('История отказов'!AU633="","",IF(AND(COUNTIF($CP$2:$CP$3,'История отказов'!AU633)=0,COUNTIF('История отказов'!$AU$5:AU633,'История отказов'!AU633)=1),629,""))</f>
        <v/>
      </c>
      <c r="DK630">
        <f>IF('История отказов'!AY633="","",IF(AND(COUNTIF($CR$2:$CR$2,'История отказов'!AY633)=0,COUNTIF('История отказов'!$AY$5:AY633,'История отказов'!AY633)=1),629,""))</f>
        <v/>
      </c>
      <c r="DL630">
        <f>IF(DB630="","",IF(AND(COUNTIF($DA$2:$DA$47,DB630)=0,COUNTIF($DB$2:DB630,DB630)=1),629,""))</f>
        <v/>
      </c>
    </row>
    <row r="631">
      <c r="A631" s="74" t="n"/>
      <c r="B631" s="75" t="n"/>
      <c r="C631" s="76" t="n"/>
      <c r="J631" s="62" t="n"/>
      <c r="K631" s="62" t="n"/>
      <c r="L631" s="62" t="n"/>
      <c r="M631" s="62" t="n"/>
      <c r="N631" s="62" t="n"/>
      <c r="DB631">
        <f>IF('История отказов'!AH634="","",'История отказов'!AH634)</f>
        <v/>
      </c>
      <c r="DC631">
        <f>IF('История отказов'!AE634="","",IF(AND(COUNTIF($CT$2:$CT$2,'История отказов'!AE634)=0,COUNTIFS('История отказов'!$F$5:F634,"ШГН",'История отказов'!$AE$5:AE634,'История отказов'!AE634)=1,'История отказов'!F634="ШГН"),630,""))</f>
        <v/>
      </c>
      <c r="DD631">
        <f>IF('История отказов'!AE634="","",IF(AND(COUNTIF($CU$2:$CU$3,'История отказов'!AE634)=0,COUNTIFS('История отказов'!$F$5:F634,"ЭЦН",'История отказов'!$AE$5:AE634,'История отказов'!AE634)=1,'История отказов'!F634="ЭЦН"),630,""))</f>
        <v/>
      </c>
      <c r="DE631">
        <f>IF('История отказов'!AE634="","",IF(AND(COUNTIF($CV$2:$CV$3,'История отказов'!AE634)=0,COUNTIFS('История отказов'!$F$5:F634,"ЭВН",'История отказов'!$AE$5:AE634,'История отказов'!AE634)=1,'История отказов'!F634="ЭВН"),630,""))</f>
        <v/>
      </c>
      <c r="DF631">
        <f>IF('История отказов'!AE634="","",IF(AND(COUNTIF($CX$2:$CX$2,'История отказов'!AE634)=0,COUNTIFS('История отказов'!$F$5:F634,"ШВН",'История отказов'!$AE$5:AE634,'История отказов'!AE634)=1,'История отказов'!F634="ШВН"),630,""))</f>
        <v/>
      </c>
      <c r="DG631">
        <f>IF('История отказов'!AE634="","",IF(AND(COUNTIF($CW$2:$CW$2,'История отказов'!AE634)=0,COUNTIFS('История отказов'!$F$5:F634,"НПУ-ВД",'История отказов'!$AE$5:AE634,'История отказов'!AE634)=1,'История отказов'!F634="НПУ-ВД"),630,""))</f>
        <v/>
      </c>
      <c r="DH631">
        <f>IF('История отказов'!AE634="","",IF(AND(COUNTIF($CY$2:$CY$6,'История отказов'!AE634)=0,COUNTIF('История отказов'!$AE$5:AE634,'История отказов'!AE634)=1),630,""))</f>
        <v/>
      </c>
      <c r="DI631">
        <f>IF('История отказов'!AK634="","",IF(AND(COUNTIF($CL$2:$CL$3,'История отказов'!AK634)=0,COUNTIF('История отказов'!$AK$5:AK634,'История отказов'!AK634)=1),630,""))</f>
        <v/>
      </c>
      <c r="DJ631">
        <f>IF('История отказов'!AU634="","",IF(AND(COUNTIF($CP$2:$CP$3,'История отказов'!AU634)=0,COUNTIF('История отказов'!$AU$5:AU634,'История отказов'!AU634)=1),630,""))</f>
        <v/>
      </c>
      <c r="DK631">
        <f>IF('История отказов'!AY634="","",IF(AND(COUNTIF($CR$2:$CR$2,'История отказов'!AY634)=0,COUNTIF('История отказов'!$AY$5:AY634,'История отказов'!AY634)=1),630,""))</f>
        <v/>
      </c>
      <c r="DL631">
        <f>IF(DB631="","",IF(AND(COUNTIF($DA$2:$DA$47,DB631)=0,COUNTIF($DB$2:DB631,DB631)=1),630,""))</f>
        <v/>
      </c>
    </row>
    <row r="632">
      <c r="A632" s="74" t="n"/>
      <c r="B632" s="75" t="n"/>
      <c r="C632" s="76" t="n"/>
      <c r="J632" s="62" t="n"/>
      <c r="K632" s="62" t="n"/>
      <c r="L632" s="62" t="n"/>
      <c r="M632" s="62" t="n"/>
      <c r="N632" s="62" t="n"/>
      <c r="DB632">
        <f>IF('История отказов'!AH635="","",'История отказов'!AH635)</f>
        <v/>
      </c>
      <c r="DC632">
        <f>IF('История отказов'!AE635="","",IF(AND(COUNTIF($CT$2:$CT$2,'История отказов'!AE635)=0,COUNTIFS('История отказов'!$F$5:F635,"ШГН",'История отказов'!$AE$5:AE635,'История отказов'!AE635)=1,'История отказов'!F635="ШГН"),631,""))</f>
        <v/>
      </c>
      <c r="DD632">
        <f>IF('История отказов'!AE635="","",IF(AND(COUNTIF($CU$2:$CU$3,'История отказов'!AE635)=0,COUNTIFS('История отказов'!$F$5:F635,"ЭЦН",'История отказов'!$AE$5:AE635,'История отказов'!AE635)=1,'История отказов'!F635="ЭЦН"),631,""))</f>
        <v/>
      </c>
      <c r="DE632">
        <f>IF('История отказов'!AE635="","",IF(AND(COUNTIF($CV$2:$CV$3,'История отказов'!AE635)=0,COUNTIFS('История отказов'!$F$5:F635,"ЭВН",'История отказов'!$AE$5:AE635,'История отказов'!AE635)=1,'История отказов'!F635="ЭВН"),631,""))</f>
        <v/>
      </c>
      <c r="DF632">
        <f>IF('История отказов'!AE635="","",IF(AND(COUNTIF($CX$2:$CX$2,'История отказов'!AE635)=0,COUNTIFS('История отказов'!$F$5:F635,"ШВН",'История отказов'!$AE$5:AE635,'История отказов'!AE635)=1,'История отказов'!F635="ШВН"),631,""))</f>
        <v/>
      </c>
      <c r="DG632">
        <f>IF('История отказов'!AE635="","",IF(AND(COUNTIF($CW$2:$CW$2,'История отказов'!AE635)=0,COUNTIFS('История отказов'!$F$5:F635,"НПУ-ВД",'История отказов'!$AE$5:AE635,'История отказов'!AE635)=1,'История отказов'!F635="НПУ-ВД"),631,""))</f>
        <v/>
      </c>
      <c r="DH632">
        <f>IF('История отказов'!AE635="","",IF(AND(COUNTIF($CY$2:$CY$6,'История отказов'!AE635)=0,COUNTIF('История отказов'!$AE$5:AE635,'История отказов'!AE635)=1),631,""))</f>
        <v/>
      </c>
      <c r="DI632">
        <f>IF('История отказов'!AK635="","",IF(AND(COUNTIF($CL$2:$CL$3,'История отказов'!AK635)=0,COUNTIF('История отказов'!$AK$5:AK635,'История отказов'!AK635)=1),631,""))</f>
        <v/>
      </c>
      <c r="DJ632">
        <f>IF('История отказов'!AU635="","",IF(AND(COUNTIF($CP$2:$CP$3,'История отказов'!AU635)=0,COUNTIF('История отказов'!$AU$5:AU635,'История отказов'!AU635)=1),631,""))</f>
        <v/>
      </c>
      <c r="DK632">
        <f>IF('История отказов'!AY635="","",IF(AND(COUNTIF($CR$2:$CR$2,'История отказов'!AY635)=0,COUNTIF('История отказов'!$AY$5:AY635,'История отказов'!AY635)=1),631,""))</f>
        <v/>
      </c>
      <c r="DL632">
        <f>IF(DB632="","",IF(AND(COUNTIF($DA$2:$DA$47,DB632)=0,COUNTIF($DB$2:DB632,DB632)=1),631,""))</f>
        <v/>
      </c>
    </row>
    <row r="633">
      <c r="A633" s="74" t="n"/>
      <c r="B633" s="75" t="n"/>
      <c r="C633" s="76" t="n"/>
      <c r="J633" s="62" t="n"/>
      <c r="K633" s="62" t="n"/>
      <c r="L633" s="62" t="n"/>
      <c r="M633" s="62" t="n"/>
      <c r="N633" s="62" t="n"/>
      <c r="DB633">
        <f>IF('История отказов'!AH636="","",'История отказов'!AH636)</f>
        <v/>
      </c>
      <c r="DC633">
        <f>IF('История отказов'!AE636="","",IF(AND(COUNTIF($CT$2:$CT$2,'История отказов'!AE636)=0,COUNTIFS('История отказов'!$F$5:F636,"ШГН",'История отказов'!$AE$5:AE636,'История отказов'!AE636)=1,'История отказов'!F636="ШГН"),632,""))</f>
        <v/>
      </c>
      <c r="DD633">
        <f>IF('История отказов'!AE636="","",IF(AND(COUNTIF($CU$2:$CU$3,'История отказов'!AE636)=0,COUNTIFS('История отказов'!$F$5:F636,"ЭЦН",'История отказов'!$AE$5:AE636,'История отказов'!AE636)=1,'История отказов'!F636="ЭЦН"),632,""))</f>
        <v/>
      </c>
      <c r="DE633">
        <f>IF('История отказов'!AE636="","",IF(AND(COUNTIF($CV$2:$CV$3,'История отказов'!AE636)=0,COUNTIFS('История отказов'!$F$5:F636,"ЭВН",'История отказов'!$AE$5:AE636,'История отказов'!AE636)=1,'История отказов'!F636="ЭВН"),632,""))</f>
        <v/>
      </c>
      <c r="DF633">
        <f>IF('История отказов'!AE636="","",IF(AND(COUNTIF($CX$2:$CX$2,'История отказов'!AE636)=0,COUNTIFS('История отказов'!$F$5:F636,"ШВН",'История отказов'!$AE$5:AE636,'История отказов'!AE636)=1,'История отказов'!F636="ШВН"),632,""))</f>
        <v/>
      </c>
      <c r="DG633">
        <f>IF('История отказов'!AE636="","",IF(AND(COUNTIF($CW$2:$CW$2,'История отказов'!AE636)=0,COUNTIFS('История отказов'!$F$5:F636,"НПУ-ВД",'История отказов'!$AE$5:AE636,'История отказов'!AE636)=1,'История отказов'!F636="НПУ-ВД"),632,""))</f>
        <v/>
      </c>
      <c r="DH633">
        <f>IF('История отказов'!AE636="","",IF(AND(COUNTIF($CY$2:$CY$6,'История отказов'!AE636)=0,COUNTIF('История отказов'!$AE$5:AE636,'История отказов'!AE636)=1),632,""))</f>
        <v/>
      </c>
      <c r="DI633">
        <f>IF('История отказов'!AK636="","",IF(AND(COUNTIF($CL$2:$CL$3,'История отказов'!AK636)=0,COUNTIF('История отказов'!$AK$5:AK636,'История отказов'!AK636)=1),632,""))</f>
        <v/>
      </c>
      <c r="DJ633">
        <f>IF('История отказов'!AU636="","",IF(AND(COUNTIF($CP$2:$CP$3,'История отказов'!AU636)=0,COUNTIF('История отказов'!$AU$5:AU636,'История отказов'!AU636)=1),632,""))</f>
        <v/>
      </c>
      <c r="DK633">
        <f>IF('История отказов'!AY636="","",IF(AND(COUNTIF($CR$2:$CR$2,'История отказов'!AY636)=0,COUNTIF('История отказов'!$AY$5:AY636,'История отказов'!AY636)=1),632,""))</f>
        <v/>
      </c>
      <c r="DL633">
        <f>IF(DB633="","",IF(AND(COUNTIF($DA$2:$DA$47,DB633)=0,COUNTIF($DB$2:DB633,DB633)=1),632,""))</f>
        <v/>
      </c>
    </row>
    <row r="634">
      <c r="A634" s="74" t="n"/>
      <c r="B634" s="75" t="n"/>
      <c r="C634" s="76" t="n"/>
      <c r="J634" s="62" t="n"/>
      <c r="K634" s="62" t="n"/>
      <c r="L634" s="62" t="n"/>
      <c r="M634" s="62" t="n"/>
      <c r="N634" s="62" t="n"/>
      <c r="DB634">
        <f>IF('История отказов'!AH637="","",'История отказов'!AH637)</f>
        <v/>
      </c>
      <c r="DC634">
        <f>IF('История отказов'!AE637="","",IF(AND(COUNTIF($CT$2:$CT$2,'История отказов'!AE637)=0,COUNTIFS('История отказов'!$F$5:F637,"ШГН",'История отказов'!$AE$5:AE637,'История отказов'!AE637)=1,'История отказов'!F637="ШГН"),633,""))</f>
        <v/>
      </c>
      <c r="DD634">
        <f>IF('История отказов'!AE637="","",IF(AND(COUNTIF($CU$2:$CU$3,'История отказов'!AE637)=0,COUNTIFS('История отказов'!$F$5:F637,"ЭЦН",'История отказов'!$AE$5:AE637,'История отказов'!AE637)=1,'История отказов'!F637="ЭЦН"),633,""))</f>
        <v/>
      </c>
      <c r="DE634">
        <f>IF('История отказов'!AE637="","",IF(AND(COUNTIF($CV$2:$CV$3,'История отказов'!AE637)=0,COUNTIFS('История отказов'!$F$5:F637,"ЭВН",'История отказов'!$AE$5:AE637,'История отказов'!AE637)=1,'История отказов'!F637="ЭВН"),633,""))</f>
        <v/>
      </c>
      <c r="DF634">
        <f>IF('История отказов'!AE637="","",IF(AND(COUNTIF($CX$2:$CX$2,'История отказов'!AE637)=0,COUNTIFS('История отказов'!$F$5:F637,"ШВН",'История отказов'!$AE$5:AE637,'История отказов'!AE637)=1,'История отказов'!F637="ШВН"),633,""))</f>
        <v/>
      </c>
      <c r="DG634">
        <f>IF('История отказов'!AE637="","",IF(AND(COUNTIF($CW$2:$CW$2,'История отказов'!AE637)=0,COUNTIFS('История отказов'!$F$5:F637,"НПУ-ВД",'История отказов'!$AE$5:AE637,'История отказов'!AE637)=1,'История отказов'!F637="НПУ-ВД"),633,""))</f>
        <v/>
      </c>
      <c r="DH634">
        <f>IF('История отказов'!AE637="","",IF(AND(COUNTIF($CY$2:$CY$6,'История отказов'!AE637)=0,COUNTIF('История отказов'!$AE$5:AE637,'История отказов'!AE637)=1),633,""))</f>
        <v/>
      </c>
      <c r="DI634">
        <f>IF('История отказов'!AK637="","",IF(AND(COUNTIF($CL$2:$CL$3,'История отказов'!AK637)=0,COUNTIF('История отказов'!$AK$5:AK637,'История отказов'!AK637)=1),633,""))</f>
        <v/>
      </c>
      <c r="DJ634">
        <f>IF('История отказов'!AU637="","",IF(AND(COUNTIF($CP$2:$CP$3,'История отказов'!AU637)=0,COUNTIF('История отказов'!$AU$5:AU637,'История отказов'!AU637)=1),633,""))</f>
        <v/>
      </c>
      <c r="DK634">
        <f>IF('История отказов'!AY637="","",IF(AND(COUNTIF($CR$2:$CR$2,'История отказов'!AY637)=0,COUNTIF('История отказов'!$AY$5:AY637,'История отказов'!AY637)=1),633,""))</f>
        <v/>
      </c>
      <c r="DL634">
        <f>IF(DB634="","",IF(AND(COUNTIF($DA$2:$DA$47,DB634)=0,COUNTIF($DB$2:DB634,DB634)=1),633,""))</f>
        <v/>
      </c>
    </row>
    <row r="635">
      <c r="A635" s="74" t="n"/>
      <c r="B635" s="75" t="n"/>
      <c r="C635" s="76" t="n"/>
      <c r="J635" s="62" t="n"/>
      <c r="K635" s="62" t="n"/>
      <c r="L635" s="62" t="n"/>
      <c r="M635" s="62" t="n"/>
      <c r="N635" s="62" t="n"/>
      <c r="DB635">
        <f>IF('История отказов'!AH638="","",'История отказов'!AH638)</f>
        <v/>
      </c>
      <c r="DC635">
        <f>IF('История отказов'!AE638="","",IF(AND(COUNTIF($CT$2:$CT$2,'История отказов'!AE638)=0,COUNTIFS('История отказов'!$F$5:F638,"ШГН",'История отказов'!$AE$5:AE638,'История отказов'!AE638)=1,'История отказов'!F638="ШГН"),634,""))</f>
        <v/>
      </c>
      <c r="DD635">
        <f>IF('История отказов'!AE638="","",IF(AND(COUNTIF($CU$2:$CU$3,'История отказов'!AE638)=0,COUNTIFS('История отказов'!$F$5:F638,"ЭЦН",'История отказов'!$AE$5:AE638,'История отказов'!AE638)=1,'История отказов'!F638="ЭЦН"),634,""))</f>
        <v/>
      </c>
      <c r="DE635">
        <f>IF('История отказов'!AE638="","",IF(AND(COUNTIF($CV$2:$CV$3,'История отказов'!AE638)=0,COUNTIFS('История отказов'!$F$5:F638,"ЭВН",'История отказов'!$AE$5:AE638,'История отказов'!AE638)=1,'История отказов'!F638="ЭВН"),634,""))</f>
        <v/>
      </c>
      <c r="DF635">
        <f>IF('История отказов'!AE638="","",IF(AND(COUNTIF($CX$2:$CX$2,'История отказов'!AE638)=0,COUNTIFS('История отказов'!$F$5:F638,"ШВН",'История отказов'!$AE$5:AE638,'История отказов'!AE638)=1,'История отказов'!F638="ШВН"),634,""))</f>
        <v/>
      </c>
      <c r="DG635">
        <f>IF('История отказов'!AE638="","",IF(AND(COUNTIF($CW$2:$CW$2,'История отказов'!AE638)=0,COUNTIFS('История отказов'!$F$5:F638,"НПУ-ВД",'История отказов'!$AE$5:AE638,'История отказов'!AE638)=1,'История отказов'!F638="НПУ-ВД"),634,""))</f>
        <v/>
      </c>
      <c r="DH635">
        <f>IF('История отказов'!AE638="","",IF(AND(COUNTIF($CY$2:$CY$6,'История отказов'!AE638)=0,COUNTIF('История отказов'!$AE$5:AE638,'История отказов'!AE638)=1),634,""))</f>
        <v/>
      </c>
      <c r="DI635">
        <f>IF('История отказов'!AK638="","",IF(AND(COUNTIF($CL$2:$CL$3,'История отказов'!AK638)=0,COUNTIF('История отказов'!$AK$5:AK638,'История отказов'!AK638)=1),634,""))</f>
        <v/>
      </c>
      <c r="DJ635">
        <f>IF('История отказов'!AU638="","",IF(AND(COUNTIF($CP$2:$CP$3,'История отказов'!AU638)=0,COUNTIF('История отказов'!$AU$5:AU638,'История отказов'!AU638)=1),634,""))</f>
        <v/>
      </c>
      <c r="DK635">
        <f>IF('История отказов'!AY638="","",IF(AND(COUNTIF($CR$2:$CR$2,'История отказов'!AY638)=0,COUNTIF('История отказов'!$AY$5:AY638,'История отказов'!AY638)=1),634,""))</f>
        <v/>
      </c>
      <c r="DL635">
        <f>IF(DB635="","",IF(AND(COUNTIF($DA$2:$DA$47,DB635)=0,COUNTIF($DB$2:DB635,DB635)=1),634,""))</f>
        <v/>
      </c>
    </row>
    <row r="636">
      <c r="A636" s="74" t="n"/>
      <c r="B636" s="75" t="n"/>
      <c r="C636" s="76" t="n"/>
      <c r="J636" s="62" t="n"/>
      <c r="K636" s="62" t="n"/>
      <c r="L636" s="62" t="n"/>
      <c r="M636" s="62" t="n"/>
      <c r="N636" s="62" t="n"/>
      <c r="DB636">
        <f>IF('История отказов'!AH639="","",'История отказов'!AH639)</f>
        <v/>
      </c>
      <c r="DC636">
        <f>IF('История отказов'!AE639="","",IF(AND(COUNTIF($CT$2:$CT$2,'История отказов'!AE639)=0,COUNTIFS('История отказов'!$F$5:F639,"ШГН",'История отказов'!$AE$5:AE639,'История отказов'!AE639)=1,'История отказов'!F639="ШГН"),635,""))</f>
        <v/>
      </c>
      <c r="DD636">
        <f>IF('История отказов'!AE639="","",IF(AND(COUNTIF($CU$2:$CU$3,'История отказов'!AE639)=0,COUNTIFS('История отказов'!$F$5:F639,"ЭЦН",'История отказов'!$AE$5:AE639,'История отказов'!AE639)=1,'История отказов'!F639="ЭЦН"),635,""))</f>
        <v/>
      </c>
      <c r="DE636">
        <f>IF('История отказов'!AE639="","",IF(AND(COUNTIF($CV$2:$CV$3,'История отказов'!AE639)=0,COUNTIFS('История отказов'!$F$5:F639,"ЭВН",'История отказов'!$AE$5:AE639,'История отказов'!AE639)=1,'История отказов'!F639="ЭВН"),635,""))</f>
        <v/>
      </c>
      <c r="DF636">
        <f>IF('История отказов'!AE639="","",IF(AND(COUNTIF($CX$2:$CX$2,'История отказов'!AE639)=0,COUNTIFS('История отказов'!$F$5:F639,"ШВН",'История отказов'!$AE$5:AE639,'История отказов'!AE639)=1,'История отказов'!F639="ШВН"),635,""))</f>
        <v/>
      </c>
      <c r="DG636">
        <f>IF('История отказов'!AE639="","",IF(AND(COUNTIF($CW$2:$CW$2,'История отказов'!AE639)=0,COUNTIFS('История отказов'!$F$5:F639,"НПУ-ВД",'История отказов'!$AE$5:AE639,'История отказов'!AE639)=1,'История отказов'!F639="НПУ-ВД"),635,""))</f>
        <v/>
      </c>
      <c r="DH636">
        <f>IF('История отказов'!AE639="","",IF(AND(COUNTIF($CY$2:$CY$6,'История отказов'!AE639)=0,COUNTIF('История отказов'!$AE$5:AE639,'История отказов'!AE639)=1),635,""))</f>
        <v/>
      </c>
      <c r="DI636">
        <f>IF('История отказов'!AK639="","",IF(AND(COUNTIF($CL$2:$CL$3,'История отказов'!AK639)=0,COUNTIF('История отказов'!$AK$5:AK639,'История отказов'!AK639)=1),635,""))</f>
        <v/>
      </c>
      <c r="DJ636">
        <f>IF('История отказов'!AU639="","",IF(AND(COUNTIF($CP$2:$CP$3,'История отказов'!AU639)=0,COUNTIF('История отказов'!$AU$5:AU639,'История отказов'!AU639)=1),635,""))</f>
        <v/>
      </c>
      <c r="DK636">
        <f>IF('История отказов'!AY639="","",IF(AND(COUNTIF($CR$2:$CR$2,'История отказов'!AY639)=0,COUNTIF('История отказов'!$AY$5:AY639,'История отказов'!AY639)=1),635,""))</f>
        <v/>
      </c>
      <c r="DL636">
        <f>IF(DB636="","",IF(AND(COUNTIF($DA$2:$DA$47,DB636)=0,COUNTIF($DB$2:DB636,DB636)=1),635,""))</f>
        <v/>
      </c>
    </row>
    <row r="637">
      <c r="A637" s="74" t="n"/>
      <c r="B637" s="75" t="n"/>
      <c r="C637" s="76" t="n"/>
      <c r="J637" s="62" t="n"/>
      <c r="K637" s="62" t="n"/>
      <c r="L637" s="62" t="n"/>
      <c r="M637" s="62" t="n"/>
      <c r="N637" s="62" t="n"/>
      <c r="DB637">
        <f>IF('История отказов'!AH640="","",'История отказов'!AH640)</f>
        <v/>
      </c>
      <c r="DC637">
        <f>IF('История отказов'!AE640="","",IF(AND(COUNTIF($CT$2:$CT$2,'История отказов'!AE640)=0,COUNTIFS('История отказов'!$F$5:F640,"ШГН",'История отказов'!$AE$5:AE640,'История отказов'!AE640)=1,'История отказов'!F640="ШГН"),636,""))</f>
        <v/>
      </c>
      <c r="DD637">
        <f>IF('История отказов'!AE640="","",IF(AND(COUNTIF($CU$2:$CU$3,'История отказов'!AE640)=0,COUNTIFS('История отказов'!$F$5:F640,"ЭЦН",'История отказов'!$AE$5:AE640,'История отказов'!AE640)=1,'История отказов'!F640="ЭЦН"),636,""))</f>
        <v/>
      </c>
      <c r="DE637">
        <f>IF('История отказов'!AE640="","",IF(AND(COUNTIF($CV$2:$CV$3,'История отказов'!AE640)=0,COUNTIFS('История отказов'!$F$5:F640,"ЭВН",'История отказов'!$AE$5:AE640,'История отказов'!AE640)=1,'История отказов'!F640="ЭВН"),636,""))</f>
        <v/>
      </c>
      <c r="DF637">
        <f>IF('История отказов'!AE640="","",IF(AND(COUNTIF($CX$2:$CX$2,'История отказов'!AE640)=0,COUNTIFS('История отказов'!$F$5:F640,"ШВН",'История отказов'!$AE$5:AE640,'История отказов'!AE640)=1,'История отказов'!F640="ШВН"),636,""))</f>
        <v/>
      </c>
      <c r="DG637">
        <f>IF('История отказов'!AE640="","",IF(AND(COUNTIF($CW$2:$CW$2,'История отказов'!AE640)=0,COUNTIFS('История отказов'!$F$5:F640,"НПУ-ВД",'История отказов'!$AE$5:AE640,'История отказов'!AE640)=1,'История отказов'!F640="НПУ-ВД"),636,""))</f>
        <v/>
      </c>
      <c r="DH637">
        <f>IF('История отказов'!AE640="","",IF(AND(COUNTIF($CY$2:$CY$6,'История отказов'!AE640)=0,COUNTIF('История отказов'!$AE$5:AE640,'История отказов'!AE640)=1),636,""))</f>
        <v/>
      </c>
      <c r="DI637">
        <f>IF('История отказов'!AK640="","",IF(AND(COUNTIF($CL$2:$CL$3,'История отказов'!AK640)=0,COUNTIF('История отказов'!$AK$5:AK640,'История отказов'!AK640)=1),636,""))</f>
        <v/>
      </c>
      <c r="DJ637">
        <f>IF('История отказов'!AU640="","",IF(AND(COUNTIF($CP$2:$CP$3,'История отказов'!AU640)=0,COUNTIF('История отказов'!$AU$5:AU640,'История отказов'!AU640)=1),636,""))</f>
        <v/>
      </c>
      <c r="DK637">
        <f>IF('История отказов'!AY640="","",IF(AND(COUNTIF($CR$2:$CR$2,'История отказов'!AY640)=0,COUNTIF('История отказов'!$AY$5:AY640,'История отказов'!AY640)=1),636,""))</f>
        <v/>
      </c>
      <c r="DL637">
        <f>IF(DB637="","",IF(AND(COUNTIF($DA$2:$DA$47,DB637)=0,COUNTIF($DB$2:DB637,DB637)=1),636,""))</f>
        <v/>
      </c>
    </row>
    <row r="638">
      <c r="A638" s="74" t="n"/>
      <c r="B638" s="75" t="n"/>
      <c r="C638" s="76" t="n"/>
      <c r="J638" s="62" t="n"/>
      <c r="K638" s="62" t="n"/>
      <c r="L638" s="62" t="n"/>
      <c r="M638" s="62" t="n"/>
      <c r="N638" s="62" t="n"/>
      <c r="DB638">
        <f>IF('История отказов'!AH641="","",'История отказов'!AH641)</f>
        <v/>
      </c>
      <c r="DC638">
        <f>IF('История отказов'!AE641="","",IF(AND(COUNTIF($CT$2:$CT$2,'История отказов'!AE641)=0,COUNTIFS('История отказов'!$F$5:F641,"ШГН",'История отказов'!$AE$5:AE641,'История отказов'!AE641)=1,'История отказов'!F641="ШГН"),637,""))</f>
        <v/>
      </c>
      <c r="DD638">
        <f>IF('История отказов'!AE641="","",IF(AND(COUNTIF($CU$2:$CU$3,'История отказов'!AE641)=0,COUNTIFS('История отказов'!$F$5:F641,"ЭЦН",'История отказов'!$AE$5:AE641,'История отказов'!AE641)=1,'История отказов'!F641="ЭЦН"),637,""))</f>
        <v/>
      </c>
      <c r="DE638">
        <f>IF('История отказов'!AE641="","",IF(AND(COUNTIF($CV$2:$CV$3,'История отказов'!AE641)=0,COUNTIFS('История отказов'!$F$5:F641,"ЭВН",'История отказов'!$AE$5:AE641,'История отказов'!AE641)=1,'История отказов'!F641="ЭВН"),637,""))</f>
        <v/>
      </c>
      <c r="DF638">
        <f>IF('История отказов'!AE641="","",IF(AND(COUNTIF($CX$2:$CX$2,'История отказов'!AE641)=0,COUNTIFS('История отказов'!$F$5:F641,"ШВН",'История отказов'!$AE$5:AE641,'История отказов'!AE641)=1,'История отказов'!F641="ШВН"),637,""))</f>
        <v/>
      </c>
      <c r="DG638">
        <f>IF('История отказов'!AE641="","",IF(AND(COUNTIF($CW$2:$CW$2,'История отказов'!AE641)=0,COUNTIFS('История отказов'!$F$5:F641,"НПУ-ВД",'История отказов'!$AE$5:AE641,'История отказов'!AE641)=1,'История отказов'!F641="НПУ-ВД"),637,""))</f>
        <v/>
      </c>
      <c r="DH638">
        <f>IF('История отказов'!AE641="","",IF(AND(COUNTIF($CY$2:$CY$6,'История отказов'!AE641)=0,COUNTIF('История отказов'!$AE$5:AE641,'История отказов'!AE641)=1),637,""))</f>
        <v/>
      </c>
      <c r="DI638">
        <f>IF('История отказов'!AK641="","",IF(AND(COUNTIF($CL$2:$CL$3,'История отказов'!AK641)=0,COUNTIF('История отказов'!$AK$5:AK641,'История отказов'!AK641)=1),637,""))</f>
        <v/>
      </c>
      <c r="DJ638">
        <f>IF('История отказов'!AU641="","",IF(AND(COUNTIF($CP$2:$CP$3,'История отказов'!AU641)=0,COUNTIF('История отказов'!$AU$5:AU641,'История отказов'!AU641)=1),637,""))</f>
        <v/>
      </c>
      <c r="DK638">
        <f>IF('История отказов'!AY641="","",IF(AND(COUNTIF($CR$2:$CR$2,'История отказов'!AY641)=0,COUNTIF('История отказов'!$AY$5:AY641,'История отказов'!AY641)=1),637,""))</f>
        <v/>
      </c>
      <c r="DL638">
        <f>IF(DB638="","",IF(AND(COUNTIF($DA$2:$DA$47,DB638)=0,COUNTIF($DB$2:DB638,DB638)=1),637,""))</f>
        <v/>
      </c>
    </row>
    <row r="639">
      <c r="A639" s="74" t="n"/>
      <c r="B639" s="75" t="n"/>
      <c r="C639" s="76" t="n"/>
      <c r="J639" s="62" t="n"/>
      <c r="K639" s="62" t="n"/>
      <c r="L639" s="62" t="n"/>
      <c r="M639" s="62" t="n"/>
      <c r="N639" s="62" t="n"/>
      <c r="DB639">
        <f>IF('История отказов'!AH642="","",'История отказов'!AH642)</f>
        <v/>
      </c>
      <c r="DC639">
        <f>IF('История отказов'!AE642="","",IF(AND(COUNTIF($CT$2:$CT$2,'История отказов'!AE642)=0,COUNTIFS('История отказов'!$F$5:F642,"ШГН",'История отказов'!$AE$5:AE642,'История отказов'!AE642)=1,'История отказов'!F642="ШГН"),638,""))</f>
        <v/>
      </c>
      <c r="DD639">
        <f>IF('История отказов'!AE642="","",IF(AND(COUNTIF($CU$2:$CU$3,'История отказов'!AE642)=0,COUNTIFS('История отказов'!$F$5:F642,"ЭЦН",'История отказов'!$AE$5:AE642,'История отказов'!AE642)=1,'История отказов'!F642="ЭЦН"),638,""))</f>
        <v/>
      </c>
      <c r="DE639">
        <f>IF('История отказов'!AE642="","",IF(AND(COUNTIF($CV$2:$CV$3,'История отказов'!AE642)=0,COUNTIFS('История отказов'!$F$5:F642,"ЭВН",'История отказов'!$AE$5:AE642,'История отказов'!AE642)=1,'История отказов'!F642="ЭВН"),638,""))</f>
        <v/>
      </c>
      <c r="DF639">
        <f>IF('История отказов'!AE642="","",IF(AND(COUNTIF($CX$2:$CX$2,'История отказов'!AE642)=0,COUNTIFS('История отказов'!$F$5:F642,"ШВН",'История отказов'!$AE$5:AE642,'История отказов'!AE642)=1,'История отказов'!F642="ШВН"),638,""))</f>
        <v/>
      </c>
      <c r="DG639">
        <f>IF('История отказов'!AE642="","",IF(AND(COUNTIF($CW$2:$CW$2,'История отказов'!AE642)=0,COUNTIFS('История отказов'!$F$5:F642,"НПУ-ВД",'История отказов'!$AE$5:AE642,'История отказов'!AE642)=1,'История отказов'!F642="НПУ-ВД"),638,""))</f>
        <v/>
      </c>
      <c r="DH639">
        <f>IF('История отказов'!AE642="","",IF(AND(COUNTIF($CY$2:$CY$6,'История отказов'!AE642)=0,COUNTIF('История отказов'!$AE$5:AE642,'История отказов'!AE642)=1),638,""))</f>
        <v/>
      </c>
      <c r="DI639">
        <f>IF('История отказов'!AK642="","",IF(AND(COUNTIF($CL$2:$CL$3,'История отказов'!AK642)=0,COUNTIF('История отказов'!$AK$5:AK642,'История отказов'!AK642)=1),638,""))</f>
        <v/>
      </c>
      <c r="DJ639">
        <f>IF('История отказов'!AU642="","",IF(AND(COUNTIF($CP$2:$CP$3,'История отказов'!AU642)=0,COUNTIF('История отказов'!$AU$5:AU642,'История отказов'!AU642)=1),638,""))</f>
        <v/>
      </c>
      <c r="DK639">
        <f>IF('История отказов'!AY642="","",IF(AND(COUNTIF($CR$2:$CR$2,'История отказов'!AY642)=0,COUNTIF('История отказов'!$AY$5:AY642,'История отказов'!AY642)=1),638,""))</f>
        <v/>
      </c>
      <c r="DL639">
        <f>IF(DB639="","",IF(AND(COUNTIF($DA$2:$DA$47,DB639)=0,COUNTIF($DB$2:DB639,DB639)=1),638,""))</f>
        <v/>
      </c>
    </row>
    <row r="640">
      <c r="A640" s="74" t="n"/>
      <c r="B640" s="75" t="n"/>
      <c r="C640" s="76" t="n"/>
      <c r="J640" s="62" t="n"/>
      <c r="K640" s="62" t="n"/>
      <c r="L640" s="62" t="n"/>
      <c r="M640" s="62" t="n"/>
      <c r="N640" s="62" t="n"/>
      <c r="DB640">
        <f>IF('История отказов'!AH643="","",'История отказов'!AH643)</f>
        <v/>
      </c>
      <c r="DC640">
        <f>IF('История отказов'!AE643="","",IF(AND(COUNTIF($CT$2:$CT$2,'История отказов'!AE643)=0,COUNTIFS('История отказов'!$F$5:F643,"ШГН",'История отказов'!$AE$5:AE643,'История отказов'!AE643)=1,'История отказов'!F643="ШГН"),639,""))</f>
        <v/>
      </c>
      <c r="DD640">
        <f>IF('История отказов'!AE643="","",IF(AND(COUNTIF($CU$2:$CU$3,'История отказов'!AE643)=0,COUNTIFS('История отказов'!$F$5:F643,"ЭЦН",'История отказов'!$AE$5:AE643,'История отказов'!AE643)=1,'История отказов'!F643="ЭЦН"),639,""))</f>
        <v/>
      </c>
      <c r="DE640">
        <f>IF('История отказов'!AE643="","",IF(AND(COUNTIF($CV$2:$CV$3,'История отказов'!AE643)=0,COUNTIFS('История отказов'!$F$5:F643,"ЭВН",'История отказов'!$AE$5:AE643,'История отказов'!AE643)=1,'История отказов'!F643="ЭВН"),639,""))</f>
        <v/>
      </c>
      <c r="DF640">
        <f>IF('История отказов'!AE643="","",IF(AND(COUNTIF($CX$2:$CX$2,'История отказов'!AE643)=0,COUNTIFS('История отказов'!$F$5:F643,"ШВН",'История отказов'!$AE$5:AE643,'История отказов'!AE643)=1,'История отказов'!F643="ШВН"),639,""))</f>
        <v/>
      </c>
      <c r="DG640">
        <f>IF('История отказов'!AE643="","",IF(AND(COUNTIF($CW$2:$CW$2,'История отказов'!AE643)=0,COUNTIFS('История отказов'!$F$5:F643,"НПУ-ВД",'История отказов'!$AE$5:AE643,'История отказов'!AE643)=1,'История отказов'!F643="НПУ-ВД"),639,""))</f>
        <v/>
      </c>
      <c r="DH640">
        <f>IF('История отказов'!AE643="","",IF(AND(COUNTIF($CY$2:$CY$6,'История отказов'!AE643)=0,COUNTIF('История отказов'!$AE$5:AE643,'История отказов'!AE643)=1),639,""))</f>
        <v/>
      </c>
      <c r="DI640">
        <f>IF('История отказов'!AK643="","",IF(AND(COUNTIF($CL$2:$CL$3,'История отказов'!AK643)=0,COUNTIF('История отказов'!$AK$5:AK643,'История отказов'!AK643)=1),639,""))</f>
        <v/>
      </c>
      <c r="DJ640">
        <f>IF('История отказов'!AU643="","",IF(AND(COUNTIF($CP$2:$CP$3,'История отказов'!AU643)=0,COUNTIF('История отказов'!$AU$5:AU643,'История отказов'!AU643)=1),639,""))</f>
        <v/>
      </c>
      <c r="DK640">
        <f>IF('История отказов'!AY643="","",IF(AND(COUNTIF($CR$2:$CR$2,'История отказов'!AY643)=0,COUNTIF('История отказов'!$AY$5:AY643,'История отказов'!AY643)=1),639,""))</f>
        <v/>
      </c>
      <c r="DL640">
        <f>IF(DB640="","",IF(AND(COUNTIF($DA$2:$DA$47,DB640)=0,COUNTIF($DB$2:DB640,DB640)=1),639,""))</f>
        <v/>
      </c>
    </row>
    <row r="641">
      <c r="A641" s="74" t="n"/>
      <c r="B641" s="75" t="n"/>
      <c r="C641" s="76" t="n"/>
      <c r="J641" s="62" t="n"/>
      <c r="K641" s="62" t="n"/>
      <c r="L641" s="62" t="n"/>
      <c r="M641" s="62" t="n"/>
      <c r="N641" s="62" t="n"/>
      <c r="DB641">
        <f>IF('История отказов'!AH644="","",'История отказов'!AH644)</f>
        <v/>
      </c>
      <c r="DC641">
        <f>IF('История отказов'!AE644="","",IF(AND(COUNTIF($CT$2:$CT$2,'История отказов'!AE644)=0,COUNTIFS('История отказов'!$F$5:F644,"ШГН",'История отказов'!$AE$5:AE644,'История отказов'!AE644)=1,'История отказов'!F644="ШГН"),640,""))</f>
        <v/>
      </c>
      <c r="DD641">
        <f>IF('История отказов'!AE644="","",IF(AND(COUNTIF($CU$2:$CU$3,'История отказов'!AE644)=0,COUNTIFS('История отказов'!$F$5:F644,"ЭЦН",'История отказов'!$AE$5:AE644,'История отказов'!AE644)=1,'История отказов'!F644="ЭЦН"),640,""))</f>
        <v/>
      </c>
      <c r="DE641">
        <f>IF('История отказов'!AE644="","",IF(AND(COUNTIF($CV$2:$CV$3,'История отказов'!AE644)=0,COUNTIFS('История отказов'!$F$5:F644,"ЭВН",'История отказов'!$AE$5:AE644,'История отказов'!AE644)=1,'История отказов'!F644="ЭВН"),640,""))</f>
        <v/>
      </c>
      <c r="DF641">
        <f>IF('История отказов'!AE644="","",IF(AND(COUNTIF($CX$2:$CX$2,'История отказов'!AE644)=0,COUNTIFS('История отказов'!$F$5:F644,"ШВН",'История отказов'!$AE$5:AE644,'История отказов'!AE644)=1,'История отказов'!F644="ШВН"),640,""))</f>
        <v/>
      </c>
      <c r="DG641">
        <f>IF('История отказов'!AE644="","",IF(AND(COUNTIF($CW$2:$CW$2,'История отказов'!AE644)=0,COUNTIFS('История отказов'!$F$5:F644,"НПУ-ВД",'История отказов'!$AE$5:AE644,'История отказов'!AE644)=1,'История отказов'!F644="НПУ-ВД"),640,""))</f>
        <v/>
      </c>
      <c r="DH641">
        <f>IF('История отказов'!AE644="","",IF(AND(COUNTIF($CY$2:$CY$6,'История отказов'!AE644)=0,COUNTIF('История отказов'!$AE$5:AE644,'История отказов'!AE644)=1),640,""))</f>
        <v/>
      </c>
      <c r="DI641">
        <f>IF('История отказов'!AK644="","",IF(AND(COUNTIF($CL$2:$CL$3,'История отказов'!AK644)=0,COUNTIF('История отказов'!$AK$5:AK644,'История отказов'!AK644)=1),640,""))</f>
        <v/>
      </c>
      <c r="DJ641">
        <f>IF('История отказов'!AU644="","",IF(AND(COUNTIF($CP$2:$CP$3,'История отказов'!AU644)=0,COUNTIF('История отказов'!$AU$5:AU644,'История отказов'!AU644)=1),640,""))</f>
        <v/>
      </c>
      <c r="DK641">
        <f>IF('История отказов'!AY644="","",IF(AND(COUNTIF($CR$2:$CR$2,'История отказов'!AY644)=0,COUNTIF('История отказов'!$AY$5:AY644,'История отказов'!AY644)=1),640,""))</f>
        <v/>
      </c>
      <c r="DL641">
        <f>IF(DB641="","",IF(AND(COUNTIF($DA$2:$DA$47,DB641)=0,COUNTIF($DB$2:DB641,DB641)=1),640,""))</f>
        <v/>
      </c>
    </row>
    <row r="642">
      <c r="A642" s="74" t="n"/>
      <c r="B642" s="75" t="n"/>
      <c r="C642" s="76" t="n"/>
      <c r="J642" s="62" t="n"/>
      <c r="K642" s="62" t="n"/>
      <c r="L642" s="62" t="n"/>
      <c r="M642" s="62" t="n"/>
      <c r="N642" s="62" t="n"/>
      <c r="DB642">
        <f>IF('История отказов'!AH645="","",'История отказов'!AH645)</f>
        <v/>
      </c>
      <c r="DC642">
        <f>IF('История отказов'!AE645="","",IF(AND(COUNTIF($CT$2:$CT$2,'История отказов'!AE645)=0,COUNTIFS('История отказов'!$F$5:F645,"ШГН",'История отказов'!$AE$5:AE645,'История отказов'!AE645)=1,'История отказов'!F645="ШГН"),641,""))</f>
        <v/>
      </c>
      <c r="DD642">
        <f>IF('История отказов'!AE645="","",IF(AND(COUNTIF($CU$2:$CU$3,'История отказов'!AE645)=0,COUNTIFS('История отказов'!$F$5:F645,"ЭЦН",'История отказов'!$AE$5:AE645,'История отказов'!AE645)=1,'История отказов'!F645="ЭЦН"),641,""))</f>
        <v/>
      </c>
      <c r="DE642">
        <f>IF('История отказов'!AE645="","",IF(AND(COUNTIF($CV$2:$CV$3,'История отказов'!AE645)=0,COUNTIFS('История отказов'!$F$5:F645,"ЭВН",'История отказов'!$AE$5:AE645,'История отказов'!AE645)=1,'История отказов'!F645="ЭВН"),641,""))</f>
        <v/>
      </c>
      <c r="DF642">
        <f>IF('История отказов'!AE645="","",IF(AND(COUNTIF($CX$2:$CX$2,'История отказов'!AE645)=0,COUNTIFS('История отказов'!$F$5:F645,"ШВН",'История отказов'!$AE$5:AE645,'История отказов'!AE645)=1,'История отказов'!F645="ШВН"),641,""))</f>
        <v/>
      </c>
      <c r="DG642">
        <f>IF('История отказов'!AE645="","",IF(AND(COUNTIF($CW$2:$CW$2,'История отказов'!AE645)=0,COUNTIFS('История отказов'!$F$5:F645,"НПУ-ВД",'История отказов'!$AE$5:AE645,'История отказов'!AE645)=1,'История отказов'!F645="НПУ-ВД"),641,""))</f>
        <v/>
      </c>
      <c r="DH642">
        <f>IF('История отказов'!AE645="","",IF(AND(COUNTIF($CY$2:$CY$6,'История отказов'!AE645)=0,COUNTIF('История отказов'!$AE$5:AE645,'История отказов'!AE645)=1),641,""))</f>
        <v/>
      </c>
      <c r="DI642">
        <f>IF('История отказов'!AK645="","",IF(AND(COUNTIF($CL$2:$CL$3,'История отказов'!AK645)=0,COUNTIF('История отказов'!$AK$5:AK645,'История отказов'!AK645)=1),641,""))</f>
        <v/>
      </c>
      <c r="DJ642">
        <f>IF('История отказов'!AU645="","",IF(AND(COUNTIF($CP$2:$CP$3,'История отказов'!AU645)=0,COUNTIF('История отказов'!$AU$5:AU645,'История отказов'!AU645)=1),641,""))</f>
        <v/>
      </c>
      <c r="DK642">
        <f>IF('История отказов'!AY645="","",IF(AND(COUNTIF($CR$2:$CR$2,'История отказов'!AY645)=0,COUNTIF('История отказов'!$AY$5:AY645,'История отказов'!AY645)=1),641,""))</f>
        <v/>
      </c>
      <c r="DL642">
        <f>IF(DB642="","",IF(AND(COUNTIF($DA$2:$DA$47,DB642)=0,COUNTIF($DB$2:DB642,DB642)=1),641,""))</f>
        <v/>
      </c>
    </row>
    <row r="643">
      <c r="A643" s="74" t="n"/>
      <c r="B643" s="75" t="n"/>
      <c r="C643" s="76" t="n"/>
      <c r="J643" s="62" t="n"/>
      <c r="K643" s="62" t="n"/>
      <c r="L643" s="62" t="n"/>
      <c r="M643" s="62" t="n"/>
      <c r="N643" s="62" t="n"/>
      <c r="DB643">
        <f>IF('История отказов'!AH646="","",'История отказов'!AH646)</f>
        <v/>
      </c>
      <c r="DC643">
        <f>IF('История отказов'!AE646="","",IF(AND(COUNTIF($CT$2:$CT$2,'История отказов'!AE646)=0,COUNTIFS('История отказов'!$F$5:F646,"ШГН",'История отказов'!$AE$5:AE646,'История отказов'!AE646)=1,'История отказов'!F646="ШГН"),642,""))</f>
        <v/>
      </c>
      <c r="DD643">
        <f>IF('История отказов'!AE646="","",IF(AND(COUNTIF($CU$2:$CU$3,'История отказов'!AE646)=0,COUNTIFS('История отказов'!$F$5:F646,"ЭЦН",'История отказов'!$AE$5:AE646,'История отказов'!AE646)=1,'История отказов'!F646="ЭЦН"),642,""))</f>
        <v/>
      </c>
      <c r="DE643">
        <f>IF('История отказов'!AE646="","",IF(AND(COUNTIF($CV$2:$CV$3,'История отказов'!AE646)=0,COUNTIFS('История отказов'!$F$5:F646,"ЭВН",'История отказов'!$AE$5:AE646,'История отказов'!AE646)=1,'История отказов'!F646="ЭВН"),642,""))</f>
        <v/>
      </c>
      <c r="DF643">
        <f>IF('История отказов'!AE646="","",IF(AND(COUNTIF($CX$2:$CX$2,'История отказов'!AE646)=0,COUNTIFS('История отказов'!$F$5:F646,"ШВН",'История отказов'!$AE$5:AE646,'История отказов'!AE646)=1,'История отказов'!F646="ШВН"),642,""))</f>
        <v/>
      </c>
      <c r="DG643">
        <f>IF('История отказов'!AE646="","",IF(AND(COUNTIF($CW$2:$CW$2,'История отказов'!AE646)=0,COUNTIFS('История отказов'!$F$5:F646,"НПУ-ВД",'История отказов'!$AE$5:AE646,'История отказов'!AE646)=1,'История отказов'!F646="НПУ-ВД"),642,""))</f>
        <v/>
      </c>
      <c r="DH643">
        <f>IF('История отказов'!AE646="","",IF(AND(COUNTIF($CY$2:$CY$6,'История отказов'!AE646)=0,COUNTIF('История отказов'!$AE$5:AE646,'История отказов'!AE646)=1),642,""))</f>
        <v/>
      </c>
      <c r="DI643">
        <f>IF('История отказов'!AK646="","",IF(AND(COUNTIF($CL$2:$CL$3,'История отказов'!AK646)=0,COUNTIF('История отказов'!$AK$5:AK646,'История отказов'!AK646)=1),642,""))</f>
        <v/>
      </c>
      <c r="DJ643">
        <f>IF('История отказов'!AU646="","",IF(AND(COUNTIF($CP$2:$CP$3,'История отказов'!AU646)=0,COUNTIF('История отказов'!$AU$5:AU646,'История отказов'!AU646)=1),642,""))</f>
        <v/>
      </c>
      <c r="DK643">
        <f>IF('История отказов'!AY646="","",IF(AND(COUNTIF($CR$2:$CR$2,'История отказов'!AY646)=0,COUNTIF('История отказов'!$AY$5:AY646,'История отказов'!AY646)=1),642,""))</f>
        <v/>
      </c>
      <c r="DL643">
        <f>IF(DB643="","",IF(AND(COUNTIF($DA$2:$DA$47,DB643)=0,COUNTIF($DB$2:DB643,DB643)=1),642,""))</f>
        <v/>
      </c>
    </row>
    <row r="644">
      <c r="A644" s="74" t="n"/>
      <c r="B644" s="75" t="n"/>
      <c r="C644" s="76" t="n"/>
      <c r="J644" s="62" t="n"/>
      <c r="K644" s="62" t="n"/>
      <c r="L644" s="62" t="n"/>
      <c r="M644" s="62" t="n"/>
      <c r="N644" s="62" t="n"/>
      <c r="DB644">
        <f>IF('История отказов'!AH647="","",'История отказов'!AH647)</f>
        <v/>
      </c>
      <c r="DC644">
        <f>IF('История отказов'!AE647="","",IF(AND(COUNTIF($CT$2:$CT$2,'История отказов'!AE647)=0,COUNTIFS('История отказов'!$F$5:F647,"ШГН",'История отказов'!$AE$5:AE647,'История отказов'!AE647)=1,'История отказов'!F647="ШГН"),643,""))</f>
        <v/>
      </c>
      <c r="DD644">
        <f>IF('История отказов'!AE647="","",IF(AND(COUNTIF($CU$2:$CU$3,'История отказов'!AE647)=0,COUNTIFS('История отказов'!$F$5:F647,"ЭЦН",'История отказов'!$AE$5:AE647,'История отказов'!AE647)=1,'История отказов'!F647="ЭЦН"),643,""))</f>
        <v/>
      </c>
      <c r="DE644">
        <f>IF('История отказов'!AE647="","",IF(AND(COUNTIF($CV$2:$CV$3,'История отказов'!AE647)=0,COUNTIFS('История отказов'!$F$5:F647,"ЭВН",'История отказов'!$AE$5:AE647,'История отказов'!AE647)=1,'История отказов'!F647="ЭВН"),643,""))</f>
        <v/>
      </c>
      <c r="DF644">
        <f>IF('История отказов'!AE647="","",IF(AND(COUNTIF($CX$2:$CX$2,'История отказов'!AE647)=0,COUNTIFS('История отказов'!$F$5:F647,"ШВН",'История отказов'!$AE$5:AE647,'История отказов'!AE647)=1,'История отказов'!F647="ШВН"),643,""))</f>
        <v/>
      </c>
      <c r="DG644">
        <f>IF('История отказов'!AE647="","",IF(AND(COUNTIF($CW$2:$CW$2,'История отказов'!AE647)=0,COUNTIFS('История отказов'!$F$5:F647,"НПУ-ВД",'История отказов'!$AE$5:AE647,'История отказов'!AE647)=1,'История отказов'!F647="НПУ-ВД"),643,""))</f>
        <v/>
      </c>
      <c r="DH644">
        <f>IF('История отказов'!AE647="","",IF(AND(COUNTIF($CY$2:$CY$6,'История отказов'!AE647)=0,COUNTIF('История отказов'!$AE$5:AE647,'История отказов'!AE647)=1),643,""))</f>
        <v/>
      </c>
      <c r="DI644">
        <f>IF('История отказов'!AK647="","",IF(AND(COUNTIF($CL$2:$CL$3,'История отказов'!AK647)=0,COUNTIF('История отказов'!$AK$5:AK647,'История отказов'!AK647)=1),643,""))</f>
        <v/>
      </c>
      <c r="DJ644">
        <f>IF('История отказов'!AU647="","",IF(AND(COUNTIF($CP$2:$CP$3,'История отказов'!AU647)=0,COUNTIF('История отказов'!$AU$5:AU647,'История отказов'!AU647)=1),643,""))</f>
        <v/>
      </c>
      <c r="DK644">
        <f>IF('История отказов'!AY647="","",IF(AND(COUNTIF($CR$2:$CR$2,'История отказов'!AY647)=0,COUNTIF('История отказов'!$AY$5:AY647,'История отказов'!AY647)=1),643,""))</f>
        <v/>
      </c>
      <c r="DL644">
        <f>IF(DB644="","",IF(AND(COUNTIF($DA$2:$DA$47,DB644)=0,COUNTIF($DB$2:DB644,DB644)=1),643,""))</f>
        <v/>
      </c>
    </row>
    <row r="645">
      <c r="A645" s="74" t="n"/>
      <c r="B645" s="75" t="n"/>
      <c r="C645" s="76" t="n"/>
      <c r="J645" s="62" t="n"/>
      <c r="K645" s="62" t="n"/>
      <c r="L645" s="62" t="n"/>
      <c r="M645" s="62" t="n"/>
      <c r="N645" s="62" t="n"/>
      <c r="DB645">
        <f>IF('История отказов'!AH648="","",'История отказов'!AH648)</f>
        <v/>
      </c>
      <c r="DC645">
        <f>IF('История отказов'!AE648="","",IF(AND(COUNTIF($CT$2:$CT$2,'История отказов'!AE648)=0,COUNTIFS('История отказов'!$F$5:F648,"ШГН",'История отказов'!$AE$5:AE648,'История отказов'!AE648)=1,'История отказов'!F648="ШГН"),644,""))</f>
        <v/>
      </c>
      <c r="DD645">
        <f>IF('История отказов'!AE648="","",IF(AND(COUNTIF($CU$2:$CU$3,'История отказов'!AE648)=0,COUNTIFS('История отказов'!$F$5:F648,"ЭЦН",'История отказов'!$AE$5:AE648,'История отказов'!AE648)=1,'История отказов'!F648="ЭЦН"),644,""))</f>
        <v/>
      </c>
      <c r="DE645">
        <f>IF('История отказов'!AE648="","",IF(AND(COUNTIF($CV$2:$CV$3,'История отказов'!AE648)=0,COUNTIFS('История отказов'!$F$5:F648,"ЭВН",'История отказов'!$AE$5:AE648,'История отказов'!AE648)=1,'История отказов'!F648="ЭВН"),644,""))</f>
        <v/>
      </c>
      <c r="DF645">
        <f>IF('История отказов'!AE648="","",IF(AND(COUNTIF($CX$2:$CX$2,'История отказов'!AE648)=0,COUNTIFS('История отказов'!$F$5:F648,"ШВН",'История отказов'!$AE$5:AE648,'История отказов'!AE648)=1,'История отказов'!F648="ШВН"),644,""))</f>
        <v/>
      </c>
      <c r="DG645">
        <f>IF('История отказов'!AE648="","",IF(AND(COUNTIF($CW$2:$CW$2,'История отказов'!AE648)=0,COUNTIFS('История отказов'!$F$5:F648,"НПУ-ВД",'История отказов'!$AE$5:AE648,'История отказов'!AE648)=1,'История отказов'!F648="НПУ-ВД"),644,""))</f>
        <v/>
      </c>
      <c r="DH645">
        <f>IF('История отказов'!AE648="","",IF(AND(COUNTIF($CY$2:$CY$6,'История отказов'!AE648)=0,COUNTIF('История отказов'!$AE$5:AE648,'История отказов'!AE648)=1),644,""))</f>
        <v/>
      </c>
      <c r="DI645">
        <f>IF('История отказов'!AK648="","",IF(AND(COUNTIF($CL$2:$CL$3,'История отказов'!AK648)=0,COUNTIF('История отказов'!$AK$5:AK648,'История отказов'!AK648)=1),644,""))</f>
        <v/>
      </c>
      <c r="DJ645">
        <f>IF('История отказов'!AU648="","",IF(AND(COUNTIF($CP$2:$CP$3,'История отказов'!AU648)=0,COUNTIF('История отказов'!$AU$5:AU648,'История отказов'!AU648)=1),644,""))</f>
        <v/>
      </c>
      <c r="DK645">
        <f>IF('История отказов'!AY648="","",IF(AND(COUNTIF($CR$2:$CR$2,'История отказов'!AY648)=0,COUNTIF('История отказов'!$AY$5:AY648,'История отказов'!AY648)=1),644,""))</f>
        <v/>
      </c>
      <c r="DL645">
        <f>IF(DB645="","",IF(AND(COUNTIF($DA$2:$DA$47,DB645)=0,COUNTIF($DB$2:DB645,DB645)=1),644,""))</f>
        <v/>
      </c>
    </row>
    <row r="646">
      <c r="A646" s="74" t="n"/>
      <c r="B646" s="75" t="n"/>
      <c r="C646" s="76" t="n"/>
      <c r="J646" s="62" t="n"/>
      <c r="K646" s="62" t="n"/>
      <c r="L646" s="62" t="n"/>
      <c r="M646" s="62" t="n"/>
      <c r="N646" s="62" t="n"/>
      <c r="DB646">
        <f>IF('История отказов'!AH649="","",'История отказов'!AH649)</f>
        <v/>
      </c>
      <c r="DC646">
        <f>IF('История отказов'!AE649="","",IF(AND(COUNTIF($CT$2:$CT$2,'История отказов'!AE649)=0,COUNTIFS('История отказов'!$F$5:F649,"ШГН",'История отказов'!$AE$5:AE649,'История отказов'!AE649)=1,'История отказов'!F649="ШГН"),645,""))</f>
        <v/>
      </c>
      <c r="DD646">
        <f>IF('История отказов'!AE649="","",IF(AND(COUNTIF($CU$2:$CU$3,'История отказов'!AE649)=0,COUNTIFS('История отказов'!$F$5:F649,"ЭЦН",'История отказов'!$AE$5:AE649,'История отказов'!AE649)=1,'История отказов'!F649="ЭЦН"),645,""))</f>
        <v/>
      </c>
      <c r="DE646">
        <f>IF('История отказов'!AE649="","",IF(AND(COUNTIF($CV$2:$CV$3,'История отказов'!AE649)=0,COUNTIFS('История отказов'!$F$5:F649,"ЭВН",'История отказов'!$AE$5:AE649,'История отказов'!AE649)=1,'История отказов'!F649="ЭВН"),645,""))</f>
        <v/>
      </c>
      <c r="DF646">
        <f>IF('История отказов'!AE649="","",IF(AND(COUNTIF($CX$2:$CX$2,'История отказов'!AE649)=0,COUNTIFS('История отказов'!$F$5:F649,"ШВН",'История отказов'!$AE$5:AE649,'История отказов'!AE649)=1,'История отказов'!F649="ШВН"),645,""))</f>
        <v/>
      </c>
      <c r="DG646">
        <f>IF('История отказов'!AE649="","",IF(AND(COUNTIF($CW$2:$CW$2,'История отказов'!AE649)=0,COUNTIFS('История отказов'!$F$5:F649,"НПУ-ВД",'История отказов'!$AE$5:AE649,'История отказов'!AE649)=1,'История отказов'!F649="НПУ-ВД"),645,""))</f>
        <v/>
      </c>
      <c r="DH646">
        <f>IF('История отказов'!AE649="","",IF(AND(COUNTIF($CY$2:$CY$6,'История отказов'!AE649)=0,COUNTIF('История отказов'!$AE$5:AE649,'История отказов'!AE649)=1),645,""))</f>
        <v/>
      </c>
      <c r="DI646">
        <f>IF('История отказов'!AK649="","",IF(AND(COUNTIF($CL$2:$CL$3,'История отказов'!AK649)=0,COUNTIF('История отказов'!$AK$5:AK649,'История отказов'!AK649)=1),645,""))</f>
        <v/>
      </c>
      <c r="DJ646">
        <f>IF('История отказов'!AU649="","",IF(AND(COUNTIF($CP$2:$CP$3,'История отказов'!AU649)=0,COUNTIF('История отказов'!$AU$5:AU649,'История отказов'!AU649)=1),645,""))</f>
        <v/>
      </c>
      <c r="DK646">
        <f>IF('История отказов'!AY649="","",IF(AND(COUNTIF($CR$2:$CR$2,'История отказов'!AY649)=0,COUNTIF('История отказов'!$AY$5:AY649,'История отказов'!AY649)=1),645,""))</f>
        <v/>
      </c>
      <c r="DL646">
        <f>IF(DB646="","",IF(AND(COUNTIF($DA$2:$DA$47,DB646)=0,COUNTIF($DB$2:DB646,DB646)=1),645,""))</f>
        <v/>
      </c>
    </row>
    <row r="647">
      <c r="A647" s="74" t="n"/>
      <c r="B647" s="75" t="n"/>
      <c r="C647" s="76" t="n"/>
      <c r="J647" s="62" t="n"/>
      <c r="K647" s="62" t="n"/>
      <c r="L647" s="62" t="n"/>
      <c r="M647" s="62" t="n"/>
      <c r="N647" s="62" t="n"/>
      <c r="DB647">
        <f>IF('История отказов'!AH650="","",'История отказов'!AH650)</f>
        <v/>
      </c>
      <c r="DC647">
        <f>IF('История отказов'!AE650="","",IF(AND(COUNTIF($CT$2:$CT$2,'История отказов'!AE650)=0,COUNTIFS('История отказов'!$F$5:F650,"ШГН",'История отказов'!$AE$5:AE650,'История отказов'!AE650)=1,'История отказов'!F650="ШГН"),646,""))</f>
        <v/>
      </c>
      <c r="DD647">
        <f>IF('История отказов'!AE650="","",IF(AND(COUNTIF($CU$2:$CU$3,'История отказов'!AE650)=0,COUNTIFS('История отказов'!$F$5:F650,"ЭЦН",'История отказов'!$AE$5:AE650,'История отказов'!AE650)=1,'История отказов'!F650="ЭЦН"),646,""))</f>
        <v/>
      </c>
      <c r="DE647">
        <f>IF('История отказов'!AE650="","",IF(AND(COUNTIF($CV$2:$CV$3,'История отказов'!AE650)=0,COUNTIFS('История отказов'!$F$5:F650,"ЭВН",'История отказов'!$AE$5:AE650,'История отказов'!AE650)=1,'История отказов'!F650="ЭВН"),646,""))</f>
        <v/>
      </c>
      <c r="DF647">
        <f>IF('История отказов'!AE650="","",IF(AND(COUNTIF($CX$2:$CX$2,'История отказов'!AE650)=0,COUNTIFS('История отказов'!$F$5:F650,"ШВН",'История отказов'!$AE$5:AE650,'История отказов'!AE650)=1,'История отказов'!F650="ШВН"),646,""))</f>
        <v/>
      </c>
      <c r="DG647">
        <f>IF('История отказов'!AE650="","",IF(AND(COUNTIF($CW$2:$CW$2,'История отказов'!AE650)=0,COUNTIFS('История отказов'!$F$5:F650,"НПУ-ВД",'История отказов'!$AE$5:AE650,'История отказов'!AE650)=1,'История отказов'!F650="НПУ-ВД"),646,""))</f>
        <v/>
      </c>
      <c r="DH647">
        <f>IF('История отказов'!AE650="","",IF(AND(COUNTIF($CY$2:$CY$6,'История отказов'!AE650)=0,COUNTIF('История отказов'!$AE$5:AE650,'История отказов'!AE650)=1),646,""))</f>
        <v/>
      </c>
      <c r="DI647">
        <f>IF('История отказов'!AK650="","",IF(AND(COUNTIF($CL$2:$CL$3,'История отказов'!AK650)=0,COUNTIF('История отказов'!$AK$5:AK650,'История отказов'!AK650)=1),646,""))</f>
        <v/>
      </c>
      <c r="DJ647">
        <f>IF('История отказов'!AU650="","",IF(AND(COUNTIF($CP$2:$CP$3,'История отказов'!AU650)=0,COUNTIF('История отказов'!$AU$5:AU650,'История отказов'!AU650)=1),646,""))</f>
        <v/>
      </c>
      <c r="DK647">
        <f>IF('История отказов'!AY650="","",IF(AND(COUNTIF($CR$2:$CR$2,'История отказов'!AY650)=0,COUNTIF('История отказов'!$AY$5:AY650,'История отказов'!AY650)=1),646,""))</f>
        <v/>
      </c>
      <c r="DL647">
        <f>IF(DB647="","",IF(AND(COUNTIF($DA$2:$DA$47,DB647)=0,COUNTIF($DB$2:DB647,DB647)=1),646,""))</f>
        <v/>
      </c>
    </row>
    <row r="648">
      <c r="A648" s="74" t="n"/>
      <c r="B648" s="75" t="n"/>
      <c r="C648" s="76" t="n"/>
      <c r="J648" s="62" t="n"/>
      <c r="K648" s="62" t="n"/>
      <c r="L648" s="62" t="n"/>
      <c r="M648" s="62" t="n"/>
      <c r="N648" s="62" t="n"/>
      <c r="DB648">
        <f>IF('История отказов'!AH651="","",'История отказов'!AH651)</f>
        <v/>
      </c>
      <c r="DC648">
        <f>IF('История отказов'!AE651="","",IF(AND(COUNTIF($CT$2:$CT$2,'История отказов'!AE651)=0,COUNTIFS('История отказов'!$F$5:F651,"ШГН",'История отказов'!$AE$5:AE651,'История отказов'!AE651)=1,'История отказов'!F651="ШГН"),647,""))</f>
        <v/>
      </c>
      <c r="DD648">
        <f>IF('История отказов'!AE651="","",IF(AND(COUNTIF($CU$2:$CU$3,'История отказов'!AE651)=0,COUNTIFS('История отказов'!$F$5:F651,"ЭЦН",'История отказов'!$AE$5:AE651,'История отказов'!AE651)=1,'История отказов'!F651="ЭЦН"),647,""))</f>
        <v/>
      </c>
      <c r="DE648">
        <f>IF('История отказов'!AE651="","",IF(AND(COUNTIF($CV$2:$CV$3,'История отказов'!AE651)=0,COUNTIFS('История отказов'!$F$5:F651,"ЭВН",'История отказов'!$AE$5:AE651,'История отказов'!AE651)=1,'История отказов'!F651="ЭВН"),647,""))</f>
        <v/>
      </c>
      <c r="DF648">
        <f>IF('История отказов'!AE651="","",IF(AND(COUNTIF($CX$2:$CX$2,'История отказов'!AE651)=0,COUNTIFS('История отказов'!$F$5:F651,"ШВН",'История отказов'!$AE$5:AE651,'История отказов'!AE651)=1,'История отказов'!F651="ШВН"),647,""))</f>
        <v/>
      </c>
      <c r="DG648">
        <f>IF('История отказов'!AE651="","",IF(AND(COUNTIF($CW$2:$CW$2,'История отказов'!AE651)=0,COUNTIFS('История отказов'!$F$5:F651,"НПУ-ВД",'История отказов'!$AE$5:AE651,'История отказов'!AE651)=1,'История отказов'!F651="НПУ-ВД"),647,""))</f>
        <v/>
      </c>
      <c r="DH648">
        <f>IF('История отказов'!AE651="","",IF(AND(COUNTIF($CY$2:$CY$6,'История отказов'!AE651)=0,COUNTIF('История отказов'!$AE$5:AE651,'История отказов'!AE651)=1),647,""))</f>
        <v/>
      </c>
      <c r="DI648">
        <f>IF('История отказов'!AK651="","",IF(AND(COUNTIF($CL$2:$CL$3,'История отказов'!AK651)=0,COUNTIF('История отказов'!$AK$5:AK651,'История отказов'!AK651)=1),647,""))</f>
        <v/>
      </c>
      <c r="DJ648">
        <f>IF('История отказов'!AU651="","",IF(AND(COUNTIF($CP$2:$CP$3,'История отказов'!AU651)=0,COUNTIF('История отказов'!$AU$5:AU651,'История отказов'!AU651)=1),647,""))</f>
        <v/>
      </c>
      <c r="DK648">
        <f>IF('История отказов'!AY651="","",IF(AND(COUNTIF($CR$2:$CR$2,'История отказов'!AY651)=0,COUNTIF('История отказов'!$AY$5:AY651,'История отказов'!AY651)=1),647,""))</f>
        <v/>
      </c>
      <c r="DL648">
        <f>IF(DB648="","",IF(AND(COUNTIF($DA$2:$DA$47,DB648)=0,COUNTIF($DB$2:DB648,DB648)=1),647,""))</f>
        <v/>
      </c>
    </row>
    <row r="649">
      <c r="A649" s="74" t="n"/>
      <c r="B649" s="75" t="n"/>
      <c r="C649" s="76" t="n"/>
      <c r="J649" s="62" t="n"/>
      <c r="K649" s="62" t="n"/>
      <c r="L649" s="62" t="n"/>
      <c r="M649" s="62" t="n"/>
      <c r="N649" s="62" t="n"/>
      <c r="DB649">
        <f>IF('История отказов'!AH652="","",'История отказов'!AH652)</f>
        <v/>
      </c>
      <c r="DC649">
        <f>IF('История отказов'!AE652="","",IF(AND(COUNTIF($CT$2:$CT$2,'История отказов'!AE652)=0,COUNTIFS('История отказов'!$F$5:F652,"ШГН",'История отказов'!$AE$5:AE652,'История отказов'!AE652)=1,'История отказов'!F652="ШГН"),648,""))</f>
        <v/>
      </c>
      <c r="DD649">
        <f>IF('История отказов'!AE652="","",IF(AND(COUNTIF($CU$2:$CU$3,'История отказов'!AE652)=0,COUNTIFS('История отказов'!$F$5:F652,"ЭЦН",'История отказов'!$AE$5:AE652,'История отказов'!AE652)=1,'История отказов'!F652="ЭЦН"),648,""))</f>
        <v/>
      </c>
      <c r="DE649">
        <f>IF('История отказов'!AE652="","",IF(AND(COUNTIF($CV$2:$CV$3,'История отказов'!AE652)=0,COUNTIFS('История отказов'!$F$5:F652,"ЭВН",'История отказов'!$AE$5:AE652,'История отказов'!AE652)=1,'История отказов'!F652="ЭВН"),648,""))</f>
        <v/>
      </c>
      <c r="DF649">
        <f>IF('История отказов'!AE652="","",IF(AND(COUNTIF($CX$2:$CX$2,'История отказов'!AE652)=0,COUNTIFS('История отказов'!$F$5:F652,"ШВН",'История отказов'!$AE$5:AE652,'История отказов'!AE652)=1,'История отказов'!F652="ШВН"),648,""))</f>
        <v/>
      </c>
      <c r="DG649">
        <f>IF('История отказов'!AE652="","",IF(AND(COUNTIF($CW$2:$CW$2,'История отказов'!AE652)=0,COUNTIFS('История отказов'!$F$5:F652,"НПУ-ВД",'История отказов'!$AE$5:AE652,'История отказов'!AE652)=1,'История отказов'!F652="НПУ-ВД"),648,""))</f>
        <v/>
      </c>
      <c r="DH649">
        <f>IF('История отказов'!AE652="","",IF(AND(COUNTIF($CY$2:$CY$6,'История отказов'!AE652)=0,COUNTIF('История отказов'!$AE$5:AE652,'История отказов'!AE652)=1),648,""))</f>
        <v/>
      </c>
      <c r="DI649">
        <f>IF('История отказов'!AK652="","",IF(AND(COUNTIF($CL$2:$CL$3,'История отказов'!AK652)=0,COUNTIF('История отказов'!$AK$5:AK652,'История отказов'!AK652)=1),648,""))</f>
        <v/>
      </c>
      <c r="DJ649">
        <f>IF('История отказов'!AU652="","",IF(AND(COUNTIF($CP$2:$CP$3,'История отказов'!AU652)=0,COUNTIF('История отказов'!$AU$5:AU652,'История отказов'!AU652)=1),648,""))</f>
        <v/>
      </c>
      <c r="DK649">
        <f>IF('История отказов'!AY652="","",IF(AND(COUNTIF($CR$2:$CR$2,'История отказов'!AY652)=0,COUNTIF('История отказов'!$AY$5:AY652,'История отказов'!AY652)=1),648,""))</f>
        <v/>
      </c>
      <c r="DL649">
        <f>IF(DB649="","",IF(AND(COUNTIF($DA$2:$DA$47,DB649)=0,COUNTIF($DB$2:DB649,DB649)=1),648,""))</f>
        <v/>
      </c>
    </row>
    <row r="650">
      <c r="A650" s="74" t="n"/>
      <c r="B650" s="75" t="n"/>
      <c r="C650" s="76" t="n"/>
      <c r="J650" s="62" t="n"/>
      <c r="K650" s="62" t="n"/>
      <c r="L650" s="62" t="n"/>
      <c r="M650" s="62" t="n"/>
      <c r="N650" s="62" t="n"/>
      <c r="DB650">
        <f>IF('История отказов'!AH653="","",'История отказов'!AH653)</f>
        <v/>
      </c>
      <c r="DC650">
        <f>IF('История отказов'!AE653="","",IF(AND(COUNTIF($CT$2:$CT$2,'История отказов'!AE653)=0,COUNTIFS('История отказов'!$F$5:F653,"ШГН",'История отказов'!$AE$5:AE653,'История отказов'!AE653)=1,'История отказов'!F653="ШГН"),649,""))</f>
        <v/>
      </c>
      <c r="DD650">
        <f>IF('История отказов'!AE653="","",IF(AND(COUNTIF($CU$2:$CU$3,'История отказов'!AE653)=0,COUNTIFS('История отказов'!$F$5:F653,"ЭЦН",'История отказов'!$AE$5:AE653,'История отказов'!AE653)=1,'История отказов'!F653="ЭЦН"),649,""))</f>
        <v/>
      </c>
      <c r="DE650">
        <f>IF('История отказов'!AE653="","",IF(AND(COUNTIF($CV$2:$CV$3,'История отказов'!AE653)=0,COUNTIFS('История отказов'!$F$5:F653,"ЭВН",'История отказов'!$AE$5:AE653,'История отказов'!AE653)=1,'История отказов'!F653="ЭВН"),649,""))</f>
        <v/>
      </c>
      <c r="DF650">
        <f>IF('История отказов'!AE653="","",IF(AND(COUNTIF($CX$2:$CX$2,'История отказов'!AE653)=0,COUNTIFS('История отказов'!$F$5:F653,"ШВН",'История отказов'!$AE$5:AE653,'История отказов'!AE653)=1,'История отказов'!F653="ШВН"),649,""))</f>
        <v/>
      </c>
      <c r="DG650">
        <f>IF('История отказов'!AE653="","",IF(AND(COUNTIF($CW$2:$CW$2,'История отказов'!AE653)=0,COUNTIFS('История отказов'!$F$5:F653,"НПУ-ВД",'История отказов'!$AE$5:AE653,'История отказов'!AE653)=1,'История отказов'!F653="НПУ-ВД"),649,""))</f>
        <v/>
      </c>
      <c r="DH650">
        <f>IF('История отказов'!AE653="","",IF(AND(COUNTIF($CY$2:$CY$6,'История отказов'!AE653)=0,COUNTIF('История отказов'!$AE$5:AE653,'История отказов'!AE653)=1),649,""))</f>
        <v/>
      </c>
      <c r="DI650">
        <f>IF('История отказов'!AK653="","",IF(AND(COUNTIF($CL$2:$CL$3,'История отказов'!AK653)=0,COUNTIF('История отказов'!$AK$5:AK653,'История отказов'!AK653)=1),649,""))</f>
        <v/>
      </c>
      <c r="DJ650">
        <f>IF('История отказов'!AU653="","",IF(AND(COUNTIF($CP$2:$CP$3,'История отказов'!AU653)=0,COUNTIF('История отказов'!$AU$5:AU653,'История отказов'!AU653)=1),649,""))</f>
        <v/>
      </c>
      <c r="DK650">
        <f>IF('История отказов'!AY653="","",IF(AND(COUNTIF($CR$2:$CR$2,'История отказов'!AY653)=0,COUNTIF('История отказов'!$AY$5:AY653,'История отказов'!AY653)=1),649,""))</f>
        <v/>
      </c>
      <c r="DL650">
        <f>IF(DB650="","",IF(AND(COUNTIF($DA$2:$DA$47,DB650)=0,COUNTIF($DB$2:DB650,DB650)=1),649,""))</f>
        <v/>
      </c>
    </row>
    <row r="651">
      <c r="A651" s="74" t="n"/>
      <c r="B651" s="75" t="n"/>
      <c r="C651" s="76" t="n"/>
      <c r="J651" s="62" t="n"/>
      <c r="K651" s="62" t="n"/>
      <c r="L651" s="62" t="n"/>
      <c r="M651" s="62" t="n"/>
      <c r="N651" s="62" t="n"/>
      <c r="DB651">
        <f>IF('История отказов'!AH654="","",'История отказов'!AH654)</f>
        <v/>
      </c>
      <c r="DC651">
        <f>IF('История отказов'!AE654="","",IF(AND(COUNTIF($CT$2:$CT$2,'История отказов'!AE654)=0,COUNTIFS('История отказов'!$F$5:F654,"ШГН",'История отказов'!$AE$5:AE654,'История отказов'!AE654)=1,'История отказов'!F654="ШГН"),650,""))</f>
        <v/>
      </c>
      <c r="DD651">
        <f>IF('История отказов'!AE654="","",IF(AND(COUNTIF($CU$2:$CU$3,'История отказов'!AE654)=0,COUNTIFS('История отказов'!$F$5:F654,"ЭЦН",'История отказов'!$AE$5:AE654,'История отказов'!AE654)=1,'История отказов'!F654="ЭЦН"),650,""))</f>
        <v/>
      </c>
      <c r="DE651">
        <f>IF('История отказов'!AE654="","",IF(AND(COUNTIF($CV$2:$CV$3,'История отказов'!AE654)=0,COUNTIFS('История отказов'!$F$5:F654,"ЭВН",'История отказов'!$AE$5:AE654,'История отказов'!AE654)=1,'История отказов'!F654="ЭВН"),650,""))</f>
        <v/>
      </c>
      <c r="DF651">
        <f>IF('История отказов'!AE654="","",IF(AND(COUNTIF($CX$2:$CX$2,'История отказов'!AE654)=0,COUNTIFS('История отказов'!$F$5:F654,"ШВН",'История отказов'!$AE$5:AE654,'История отказов'!AE654)=1,'История отказов'!F654="ШВН"),650,""))</f>
        <v/>
      </c>
      <c r="DG651">
        <f>IF('История отказов'!AE654="","",IF(AND(COUNTIF($CW$2:$CW$2,'История отказов'!AE654)=0,COUNTIFS('История отказов'!$F$5:F654,"НПУ-ВД",'История отказов'!$AE$5:AE654,'История отказов'!AE654)=1,'История отказов'!F654="НПУ-ВД"),650,""))</f>
        <v/>
      </c>
      <c r="DH651">
        <f>IF('История отказов'!AE654="","",IF(AND(COUNTIF($CY$2:$CY$6,'История отказов'!AE654)=0,COUNTIF('История отказов'!$AE$5:AE654,'История отказов'!AE654)=1),650,""))</f>
        <v/>
      </c>
      <c r="DI651">
        <f>IF('История отказов'!AK654="","",IF(AND(COUNTIF($CL$2:$CL$3,'История отказов'!AK654)=0,COUNTIF('История отказов'!$AK$5:AK654,'История отказов'!AK654)=1),650,""))</f>
        <v/>
      </c>
      <c r="DJ651">
        <f>IF('История отказов'!AU654="","",IF(AND(COUNTIF($CP$2:$CP$3,'История отказов'!AU654)=0,COUNTIF('История отказов'!$AU$5:AU654,'История отказов'!AU654)=1),650,""))</f>
        <v/>
      </c>
      <c r="DK651">
        <f>IF('История отказов'!AY654="","",IF(AND(COUNTIF($CR$2:$CR$2,'История отказов'!AY654)=0,COUNTIF('История отказов'!$AY$5:AY654,'История отказов'!AY654)=1),650,""))</f>
        <v/>
      </c>
      <c r="DL651">
        <f>IF(DB651="","",IF(AND(COUNTIF($DA$2:$DA$47,DB651)=0,COUNTIF($DB$2:DB651,DB651)=1),650,""))</f>
        <v/>
      </c>
    </row>
    <row r="652">
      <c r="A652" s="74" t="n"/>
      <c r="B652" s="75" t="n"/>
      <c r="C652" s="76" t="n"/>
      <c r="J652" s="62" t="n"/>
      <c r="K652" s="62" t="n"/>
      <c r="L652" s="62" t="n"/>
      <c r="M652" s="62" t="n"/>
      <c r="N652" s="62" t="n"/>
      <c r="DB652">
        <f>IF('История отказов'!AH655="","",'История отказов'!AH655)</f>
        <v/>
      </c>
      <c r="DC652">
        <f>IF('История отказов'!AE655="","",IF(AND(COUNTIF($CT$2:$CT$2,'История отказов'!AE655)=0,COUNTIFS('История отказов'!$F$5:F655,"ШГН",'История отказов'!$AE$5:AE655,'История отказов'!AE655)=1,'История отказов'!F655="ШГН"),651,""))</f>
        <v/>
      </c>
      <c r="DD652">
        <f>IF('История отказов'!AE655="","",IF(AND(COUNTIF($CU$2:$CU$3,'История отказов'!AE655)=0,COUNTIFS('История отказов'!$F$5:F655,"ЭЦН",'История отказов'!$AE$5:AE655,'История отказов'!AE655)=1,'История отказов'!F655="ЭЦН"),651,""))</f>
        <v/>
      </c>
      <c r="DE652">
        <f>IF('История отказов'!AE655="","",IF(AND(COUNTIF($CV$2:$CV$3,'История отказов'!AE655)=0,COUNTIFS('История отказов'!$F$5:F655,"ЭВН",'История отказов'!$AE$5:AE655,'История отказов'!AE655)=1,'История отказов'!F655="ЭВН"),651,""))</f>
        <v/>
      </c>
      <c r="DF652">
        <f>IF('История отказов'!AE655="","",IF(AND(COUNTIF($CX$2:$CX$2,'История отказов'!AE655)=0,COUNTIFS('История отказов'!$F$5:F655,"ШВН",'История отказов'!$AE$5:AE655,'История отказов'!AE655)=1,'История отказов'!F655="ШВН"),651,""))</f>
        <v/>
      </c>
      <c r="DG652">
        <f>IF('История отказов'!AE655="","",IF(AND(COUNTIF($CW$2:$CW$2,'История отказов'!AE655)=0,COUNTIFS('История отказов'!$F$5:F655,"НПУ-ВД",'История отказов'!$AE$5:AE655,'История отказов'!AE655)=1,'История отказов'!F655="НПУ-ВД"),651,""))</f>
        <v/>
      </c>
      <c r="DH652">
        <f>IF('История отказов'!AE655="","",IF(AND(COUNTIF($CY$2:$CY$6,'История отказов'!AE655)=0,COUNTIF('История отказов'!$AE$5:AE655,'История отказов'!AE655)=1),651,""))</f>
        <v/>
      </c>
      <c r="DI652">
        <f>IF('История отказов'!AK655="","",IF(AND(COUNTIF($CL$2:$CL$3,'История отказов'!AK655)=0,COUNTIF('История отказов'!$AK$5:AK655,'История отказов'!AK655)=1),651,""))</f>
        <v/>
      </c>
      <c r="DJ652">
        <f>IF('История отказов'!AU655="","",IF(AND(COUNTIF($CP$2:$CP$3,'История отказов'!AU655)=0,COUNTIF('История отказов'!$AU$5:AU655,'История отказов'!AU655)=1),651,""))</f>
        <v/>
      </c>
      <c r="DK652">
        <f>IF('История отказов'!AY655="","",IF(AND(COUNTIF($CR$2:$CR$2,'История отказов'!AY655)=0,COUNTIF('История отказов'!$AY$5:AY655,'История отказов'!AY655)=1),651,""))</f>
        <v/>
      </c>
      <c r="DL652">
        <f>IF(DB652="","",IF(AND(COUNTIF($DA$2:$DA$47,DB652)=0,COUNTIF($DB$2:DB652,DB652)=1),651,""))</f>
        <v/>
      </c>
    </row>
    <row r="653">
      <c r="A653" s="74" t="n"/>
      <c r="B653" s="75" t="n"/>
      <c r="C653" s="76" t="n"/>
      <c r="J653" s="62" t="n"/>
      <c r="K653" s="62" t="n"/>
      <c r="L653" s="62" t="n"/>
      <c r="M653" s="62" t="n"/>
      <c r="N653" s="62" t="n"/>
      <c r="DB653">
        <f>IF('История отказов'!AH656="","",'История отказов'!AH656)</f>
        <v/>
      </c>
      <c r="DC653">
        <f>IF('История отказов'!AE656="","",IF(AND(COUNTIF($CT$2:$CT$2,'История отказов'!AE656)=0,COUNTIFS('История отказов'!$F$5:F656,"ШГН",'История отказов'!$AE$5:AE656,'История отказов'!AE656)=1,'История отказов'!F656="ШГН"),652,""))</f>
        <v/>
      </c>
      <c r="DD653">
        <f>IF('История отказов'!AE656="","",IF(AND(COUNTIF($CU$2:$CU$3,'История отказов'!AE656)=0,COUNTIFS('История отказов'!$F$5:F656,"ЭЦН",'История отказов'!$AE$5:AE656,'История отказов'!AE656)=1,'История отказов'!F656="ЭЦН"),652,""))</f>
        <v/>
      </c>
      <c r="DE653">
        <f>IF('История отказов'!AE656="","",IF(AND(COUNTIF($CV$2:$CV$3,'История отказов'!AE656)=0,COUNTIFS('История отказов'!$F$5:F656,"ЭВН",'История отказов'!$AE$5:AE656,'История отказов'!AE656)=1,'История отказов'!F656="ЭВН"),652,""))</f>
        <v/>
      </c>
      <c r="DF653">
        <f>IF('История отказов'!AE656="","",IF(AND(COUNTIF($CX$2:$CX$2,'История отказов'!AE656)=0,COUNTIFS('История отказов'!$F$5:F656,"ШВН",'История отказов'!$AE$5:AE656,'История отказов'!AE656)=1,'История отказов'!F656="ШВН"),652,""))</f>
        <v/>
      </c>
      <c r="DG653">
        <f>IF('История отказов'!AE656="","",IF(AND(COUNTIF($CW$2:$CW$2,'История отказов'!AE656)=0,COUNTIFS('История отказов'!$F$5:F656,"НПУ-ВД",'История отказов'!$AE$5:AE656,'История отказов'!AE656)=1,'История отказов'!F656="НПУ-ВД"),652,""))</f>
        <v/>
      </c>
      <c r="DH653">
        <f>IF('История отказов'!AE656="","",IF(AND(COUNTIF($CY$2:$CY$6,'История отказов'!AE656)=0,COUNTIF('История отказов'!$AE$5:AE656,'История отказов'!AE656)=1),652,""))</f>
        <v/>
      </c>
      <c r="DI653">
        <f>IF('История отказов'!AK656="","",IF(AND(COUNTIF($CL$2:$CL$3,'История отказов'!AK656)=0,COUNTIF('История отказов'!$AK$5:AK656,'История отказов'!AK656)=1),652,""))</f>
        <v/>
      </c>
      <c r="DJ653">
        <f>IF('История отказов'!AU656="","",IF(AND(COUNTIF($CP$2:$CP$3,'История отказов'!AU656)=0,COUNTIF('История отказов'!$AU$5:AU656,'История отказов'!AU656)=1),652,""))</f>
        <v/>
      </c>
      <c r="DK653">
        <f>IF('История отказов'!AY656="","",IF(AND(COUNTIF($CR$2:$CR$2,'История отказов'!AY656)=0,COUNTIF('История отказов'!$AY$5:AY656,'История отказов'!AY656)=1),652,""))</f>
        <v/>
      </c>
      <c r="DL653">
        <f>IF(DB653="","",IF(AND(COUNTIF($DA$2:$DA$47,DB653)=0,COUNTIF($DB$2:DB653,DB653)=1),652,""))</f>
        <v/>
      </c>
    </row>
    <row r="654">
      <c r="A654" s="74" t="n"/>
      <c r="B654" s="75" t="n"/>
      <c r="C654" s="76" t="n"/>
      <c r="J654" s="62" t="n"/>
      <c r="K654" s="62" t="n"/>
      <c r="L654" s="62" t="n"/>
      <c r="M654" s="62" t="n"/>
      <c r="N654" s="62" t="n"/>
      <c r="DB654">
        <f>IF('История отказов'!AH657="","",'История отказов'!AH657)</f>
        <v/>
      </c>
      <c r="DC654">
        <f>IF('История отказов'!AE657="","",IF(AND(COUNTIF($CT$2:$CT$2,'История отказов'!AE657)=0,COUNTIFS('История отказов'!$F$5:F657,"ШГН",'История отказов'!$AE$5:AE657,'История отказов'!AE657)=1,'История отказов'!F657="ШГН"),653,""))</f>
        <v/>
      </c>
      <c r="DD654">
        <f>IF('История отказов'!AE657="","",IF(AND(COUNTIF($CU$2:$CU$3,'История отказов'!AE657)=0,COUNTIFS('История отказов'!$F$5:F657,"ЭЦН",'История отказов'!$AE$5:AE657,'История отказов'!AE657)=1,'История отказов'!F657="ЭЦН"),653,""))</f>
        <v/>
      </c>
      <c r="DE654">
        <f>IF('История отказов'!AE657="","",IF(AND(COUNTIF($CV$2:$CV$3,'История отказов'!AE657)=0,COUNTIFS('История отказов'!$F$5:F657,"ЭВН",'История отказов'!$AE$5:AE657,'История отказов'!AE657)=1,'История отказов'!F657="ЭВН"),653,""))</f>
        <v/>
      </c>
      <c r="DF654">
        <f>IF('История отказов'!AE657="","",IF(AND(COUNTIF($CX$2:$CX$2,'История отказов'!AE657)=0,COUNTIFS('История отказов'!$F$5:F657,"ШВН",'История отказов'!$AE$5:AE657,'История отказов'!AE657)=1,'История отказов'!F657="ШВН"),653,""))</f>
        <v/>
      </c>
      <c r="DG654">
        <f>IF('История отказов'!AE657="","",IF(AND(COUNTIF($CW$2:$CW$2,'История отказов'!AE657)=0,COUNTIFS('История отказов'!$F$5:F657,"НПУ-ВД",'История отказов'!$AE$5:AE657,'История отказов'!AE657)=1,'История отказов'!F657="НПУ-ВД"),653,""))</f>
        <v/>
      </c>
      <c r="DH654">
        <f>IF('История отказов'!AE657="","",IF(AND(COUNTIF($CY$2:$CY$6,'История отказов'!AE657)=0,COUNTIF('История отказов'!$AE$5:AE657,'История отказов'!AE657)=1),653,""))</f>
        <v/>
      </c>
      <c r="DI654">
        <f>IF('История отказов'!AK657="","",IF(AND(COUNTIF($CL$2:$CL$3,'История отказов'!AK657)=0,COUNTIF('История отказов'!$AK$5:AK657,'История отказов'!AK657)=1),653,""))</f>
        <v/>
      </c>
      <c r="DJ654">
        <f>IF('История отказов'!AU657="","",IF(AND(COUNTIF($CP$2:$CP$3,'История отказов'!AU657)=0,COUNTIF('История отказов'!$AU$5:AU657,'История отказов'!AU657)=1),653,""))</f>
        <v/>
      </c>
      <c r="DK654">
        <f>IF('История отказов'!AY657="","",IF(AND(COUNTIF($CR$2:$CR$2,'История отказов'!AY657)=0,COUNTIF('История отказов'!$AY$5:AY657,'История отказов'!AY657)=1),653,""))</f>
        <v/>
      </c>
      <c r="DL654">
        <f>IF(DB654="","",IF(AND(COUNTIF($DA$2:$DA$47,DB654)=0,COUNTIF($DB$2:DB654,DB654)=1),653,""))</f>
        <v/>
      </c>
    </row>
    <row r="655">
      <c r="A655" s="74" t="n"/>
      <c r="B655" s="75" t="n"/>
      <c r="C655" s="76" t="n"/>
      <c r="J655" s="62" t="n"/>
      <c r="K655" s="62" t="n"/>
      <c r="L655" s="62" t="n"/>
      <c r="M655" s="62" t="n"/>
      <c r="N655" s="62" t="n"/>
      <c r="DB655">
        <f>IF('История отказов'!AH658="","",'История отказов'!AH658)</f>
        <v/>
      </c>
      <c r="DC655">
        <f>IF('История отказов'!AE658="","",IF(AND(COUNTIF($CT$2:$CT$2,'История отказов'!AE658)=0,COUNTIFS('История отказов'!$F$5:F658,"ШГН",'История отказов'!$AE$5:AE658,'История отказов'!AE658)=1,'История отказов'!F658="ШГН"),654,""))</f>
        <v/>
      </c>
      <c r="DD655">
        <f>IF('История отказов'!AE658="","",IF(AND(COUNTIF($CU$2:$CU$3,'История отказов'!AE658)=0,COUNTIFS('История отказов'!$F$5:F658,"ЭЦН",'История отказов'!$AE$5:AE658,'История отказов'!AE658)=1,'История отказов'!F658="ЭЦН"),654,""))</f>
        <v/>
      </c>
      <c r="DE655">
        <f>IF('История отказов'!AE658="","",IF(AND(COUNTIF($CV$2:$CV$3,'История отказов'!AE658)=0,COUNTIFS('История отказов'!$F$5:F658,"ЭВН",'История отказов'!$AE$5:AE658,'История отказов'!AE658)=1,'История отказов'!F658="ЭВН"),654,""))</f>
        <v/>
      </c>
      <c r="DF655">
        <f>IF('История отказов'!AE658="","",IF(AND(COUNTIF($CX$2:$CX$2,'История отказов'!AE658)=0,COUNTIFS('История отказов'!$F$5:F658,"ШВН",'История отказов'!$AE$5:AE658,'История отказов'!AE658)=1,'История отказов'!F658="ШВН"),654,""))</f>
        <v/>
      </c>
      <c r="DG655">
        <f>IF('История отказов'!AE658="","",IF(AND(COUNTIF($CW$2:$CW$2,'История отказов'!AE658)=0,COUNTIFS('История отказов'!$F$5:F658,"НПУ-ВД",'История отказов'!$AE$5:AE658,'История отказов'!AE658)=1,'История отказов'!F658="НПУ-ВД"),654,""))</f>
        <v/>
      </c>
      <c r="DH655">
        <f>IF('История отказов'!AE658="","",IF(AND(COUNTIF($CY$2:$CY$6,'История отказов'!AE658)=0,COUNTIF('История отказов'!$AE$5:AE658,'История отказов'!AE658)=1),654,""))</f>
        <v/>
      </c>
      <c r="DI655">
        <f>IF('История отказов'!AK658="","",IF(AND(COUNTIF($CL$2:$CL$3,'История отказов'!AK658)=0,COUNTIF('История отказов'!$AK$5:AK658,'История отказов'!AK658)=1),654,""))</f>
        <v/>
      </c>
      <c r="DJ655">
        <f>IF('История отказов'!AU658="","",IF(AND(COUNTIF($CP$2:$CP$3,'История отказов'!AU658)=0,COUNTIF('История отказов'!$AU$5:AU658,'История отказов'!AU658)=1),654,""))</f>
        <v/>
      </c>
      <c r="DK655">
        <f>IF('История отказов'!AY658="","",IF(AND(COUNTIF($CR$2:$CR$2,'История отказов'!AY658)=0,COUNTIF('История отказов'!$AY$5:AY658,'История отказов'!AY658)=1),654,""))</f>
        <v/>
      </c>
      <c r="DL655">
        <f>IF(DB655="","",IF(AND(COUNTIF($DA$2:$DA$47,DB655)=0,COUNTIF($DB$2:DB655,DB655)=1),654,""))</f>
        <v/>
      </c>
    </row>
    <row r="656">
      <c r="A656" s="74" t="n"/>
      <c r="B656" s="75" t="n"/>
      <c r="C656" s="76" t="n"/>
      <c r="J656" s="62" t="n"/>
      <c r="K656" s="62" t="n"/>
      <c r="L656" s="62" t="n"/>
      <c r="M656" s="62" t="n"/>
      <c r="N656" s="62" t="n"/>
      <c r="DB656">
        <f>IF('История отказов'!AH659="","",'История отказов'!AH659)</f>
        <v/>
      </c>
      <c r="DC656">
        <f>IF('История отказов'!AE659="","",IF(AND(COUNTIF($CT$2:$CT$2,'История отказов'!AE659)=0,COUNTIFS('История отказов'!$F$5:F659,"ШГН",'История отказов'!$AE$5:AE659,'История отказов'!AE659)=1,'История отказов'!F659="ШГН"),655,""))</f>
        <v/>
      </c>
      <c r="DD656">
        <f>IF('История отказов'!AE659="","",IF(AND(COUNTIF($CU$2:$CU$3,'История отказов'!AE659)=0,COUNTIFS('История отказов'!$F$5:F659,"ЭЦН",'История отказов'!$AE$5:AE659,'История отказов'!AE659)=1,'История отказов'!F659="ЭЦН"),655,""))</f>
        <v/>
      </c>
      <c r="DE656">
        <f>IF('История отказов'!AE659="","",IF(AND(COUNTIF($CV$2:$CV$3,'История отказов'!AE659)=0,COUNTIFS('История отказов'!$F$5:F659,"ЭВН",'История отказов'!$AE$5:AE659,'История отказов'!AE659)=1,'История отказов'!F659="ЭВН"),655,""))</f>
        <v/>
      </c>
      <c r="DF656">
        <f>IF('История отказов'!AE659="","",IF(AND(COUNTIF($CX$2:$CX$2,'История отказов'!AE659)=0,COUNTIFS('История отказов'!$F$5:F659,"ШВН",'История отказов'!$AE$5:AE659,'История отказов'!AE659)=1,'История отказов'!F659="ШВН"),655,""))</f>
        <v/>
      </c>
      <c r="DG656">
        <f>IF('История отказов'!AE659="","",IF(AND(COUNTIF($CW$2:$CW$2,'История отказов'!AE659)=0,COUNTIFS('История отказов'!$F$5:F659,"НПУ-ВД",'История отказов'!$AE$5:AE659,'История отказов'!AE659)=1,'История отказов'!F659="НПУ-ВД"),655,""))</f>
        <v/>
      </c>
      <c r="DH656">
        <f>IF('История отказов'!AE659="","",IF(AND(COUNTIF($CY$2:$CY$6,'История отказов'!AE659)=0,COUNTIF('История отказов'!$AE$5:AE659,'История отказов'!AE659)=1),655,""))</f>
        <v/>
      </c>
      <c r="DI656">
        <f>IF('История отказов'!AK659="","",IF(AND(COUNTIF($CL$2:$CL$3,'История отказов'!AK659)=0,COUNTIF('История отказов'!$AK$5:AK659,'История отказов'!AK659)=1),655,""))</f>
        <v/>
      </c>
      <c r="DJ656">
        <f>IF('История отказов'!AU659="","",IF(AND(COUNTIF($CP$2:$CP$3,'История отказов'!AU659)=0,COUNTIF('История отказов'!$AU$5:AU659,'История отказов'!AU659)=1),655,""))</f>
        <v/>
      </c>
      <c r="DK656">
        <f>IF('История отказов'!AY659="","",IF(AND(COUNTIF($CR$2:$CR$2,'История отказов'!AY659)=0,COUNTIF('История отказов'!$AY$5:AY659,'История отказов'!AY659)=1),655,""))</f>
        <v/>
      </c>
      <c r="DL656">
        <f>IF(DB656="","",IF(AND(COUNTIF($DA$2:$DA$47,DB656)=0,COUNTIF($DB$2:DB656,DB656)=1),655,""))</f>
        <v/>
      </c>
    </row>
    <row r="657">
      <c r="A657" s="74" t="n"/>
      <c r="B657" s="75" t="n"/>
      <c r="C657" s="76" t="n"/>
      <c r="J657" s="62" t="n"/>
      <c r="K657" s="62" t="n"/>
      <c r="L657" s="62" t="n"/>
      <c r="M657" s="62" t="n"/>
      <c r="N657" s="62" t="n"/>
      <c r="DB657">
        <f>IF('История отказов'!AH660="","",'История отказов'!AH660)</f>
        <v/>
      </c>
      <c r="DC657">
        <f>IF('История отказов'!AE660="","",IF(AND(COUNTIF($CT$2:$CT$2,'История отказов'!AE660)=0,COUNTIFS('История отказов'!$F$5:F660,"ШГН",'История отказов'!$AE$5:AE660,'История отказов'!AE660)=1,'История отказов'!F660="ШГН"),656,""))</f>
        <v/>
      </c>
      <c r="DD657">
        <f>IF('История отказов'!AE660="","",IF(AND(COUNTIF($CU$2:$CU$3,'История отказов'!AE660)=0,COUNTIFS('История отказов'!$F$5:F660,"ЭЦН",'История отказов'!$AE$5:AE660,'История отказов'!AE660)=1,'История отказов'!F660="ЭЦН"),656,""))</f>
        <v/>
      </c>
      <c r="DE657">
        <f>IF('История отказов'!AE660="","",IF(AND(COUNTIF($CV$2:$CV$3,'История отказов'!AE660)=0,COUNTIFS('История отказов'!$F$5:F660,"ЭВН",'История отказов'!$AE$5:AE660,'История отказов'!AE660)=1,'История отказов'!F660="ЭВН"),656,""))</f>
        <v/>
      </c>
      <c r="DF657">
        <f>IF('История отказов'!AE660="","",IF(AND(COUNTIF($CX$2:$CX$2,'История отказов'!AE660)=0,COUNTIFS('История отказов'!$F$5:F660,"ШВН",'История отказов'!$AE$5:AE660,'История отказов'!AE660)=1,'История отказов'!F660="ШВН"),656,""))</f>
        <v/>
      </c>
      <c r="DG657">
        <f>IF('История отказов'!AE660="","",IF(AND(COUNTIF($CW$2:$CW$2,'История отказов'!AE660)=0,COUNTIFS('История отказов'!$F$5:F660,"НПУ-ВД",'История отказов'!$AE$5:AE660,'История отказов'!AE660)=1,'История отказов'!F660="НПУ-ВД"),656,""))</f>
        <v/>
      </c>
      <c r="DH657">
        <f>IF('История отказов'!AE660="","",IF(AND(COUNTIF($CY$2:$CY$6,'История отказов'!AE660)=0,COUNTIF('История отказов'!$AE$5:AE660,'История отказов'!AE660)=1),656,""))</f>
        <v/>
      </c>
      <c r="DI657">
        <f>IF('История отказов'!AK660="","",IF(AND(COUNTIF($CL$2:$CL$3,'История отказов'!AK660)=0,COUNTIF('История отказов'!$AK$5:AK660,'История отказов'!AK660)=1),656,""))</f>
        <v/>
      </c>
      <c r="DJ657">
        <f>IF('История отказов'!AU660="","",IF(AND(COUNTIF($CP$2:$CP$3,'История отказов'!AU660)=0,COUNTIF('История отказов'!$AU$5:AU660,'История отказов'!AU660)=1),656,""))</f>
        <v/>
      </c>
      <c r="DK657">
        <f>IF('История отказов'!AY660="","",IF(AND(COUNTIF($CR$2:$CR$2,'История отказов'!AY660)=0,COUNTIF('История отказов'!$AY$5:AY660,'История отказов'!AY660)=1),656,""))</f>
        <v/>
      </c>
      <c r="DL657">
        <f>IF(DB657="","",IF(AND(COUNTIF($DA$2:$DA$47,DB657)=0,COUNTIF($DB$2:DB657,DB657)=1),656,""))</f>
        <v/>
      </c>
    </row>
    <row r="658">
      <c r="A658" s="74" t="n"/>
      <c r="B658" s="75" t="n"/>
      <c r="C658" s="76" t="n"/>
      <c r="J658" s="62" t="n"/>
      <c r="K658" s="62" t="n"/>
      <c r="L658" s="62" t="n"/>
      <c r="M658" s="62" t="n"/>
      <c r="N658" s="62" t="n"/>
      <c r="DB658">
        <f>IF('История отказов'!AH661="","",'История отказов'!AH661)</f>
        <v/>
      </c>
      <c r="DC658">
        <f>IF('История отказов'!AE661="","",IF(AND(COUNTIF($CT$2:$CT$2,'История отказов'!AE661)=0,COUNTIFS('История отказов'!$F$5:F661,"ШГН",'История отказов'!$AE$5:AE661,'История отказов'!AE661)=1,'История отказов'!F661="ШГН"),657,""))</f>
        <v/>
      </c>
      <c r="DD658">
        <f>IF('История отказов'!AE661="","",IF(AND(COUNTIF($CU$2:$CU$3,'История отказов'!AE661)=0,COUNTIFS('История отказов'!$F$5:F661,"ЭЦН",'История отказов'!$AE$5:AE661,'История отказов'!AE661)=1,'История отказов'!F661="ЭЦН"),657,""))</f>
        <v/>
      </c>
      <c r="DE658">
        <f>IF('История отказов'!AE661="","",IF(AND(COUNTIF($CV$2:$CV$3,'История отказов'!AE661)=0,COUNTIFS('История отказов'!$F$5:F661,"ЭВН",'История отказов'!$AE$5:AE661,'История отказов'!AE661)=1,'История отказов'!F661="ЭВН"),657,""))</f>
        <v/>
      </c>
      <c r="DF658">
        <f>IF('История отказов'!AE661="","",IF(AND(COUNTIF($CX$2:$CX$2,'История отказов'!AE661)=0,COUNTIFS('История отказов'!$F$5:F661,"ШВН",'История отказов'!$AE$5:AE661,'История отказов'!AE661)=1,'История отказов'!F661="ШВН"),657,""))</f>
        <v/>
      </c>
      <c r="DG658">
        <f>IF('История отказов'!AE661="","",IF(AND(COUNTIF($CW$2:$CW$2,'История отказов'!AE661)=0,COUNTIFS('История отказов'!$F$5:F661,"НПУ-ВД",'История отказов'!$AE$5:AE661,'История отказов'!AE661)=1,'История отказов'!F661="НПУ-ВД"),657,""))</f>
        <v/>
      </c>
      <c r="DH658">
        <f>IF('История отказов'!AE661="","",IF(AND(COUNTIF($CY$2:$CY$6,'История отказов'!AE661)=0,COUNTIF('История отказов'!$AE$5:AE661,'История отказов'!AE661)=1),657,""))</f>
        <v/>
      </c>
      <c r="DI658">
        <f>IF('История отказов'!AK661="","",IF(AND(COUNTIF($CL$2:$CL$3,'История отказов'!AK661)=0,COUNTIF('История отказов'!$AK$5:AK661,'История отказов'!AK661)=1),657,""))</f>
        <v/>
      </c>
      <c r="DJ658">
        <f>IF('История отказов'!AU661="","",IF(AND(COUNTIF($CP$2:$CP$3,'История отказов'!AU661)=0,COUNTIF('История отказов'!$AU$5:AU661,'История отказов'!AU661)=1),657,""))</f>
        <v/>
      </c>
      <c r="DK658">
        <f>IF('История отказов'!AY661="","",IF(AND(COUNTIF($CR$2:$CR$2,'История отказов'!AY661)=0,COUNTIF('История отказов'!$AY$5:AY661,'История отказов'!AY661)=1),657,""))</f>
        <v/>
      </c>
      <c r="DL658">
        <f>IF(DB658="","",IF(AND(COUNTIF($DA$2:$DA$47,DB658)=0,COUNTIF($DB$2:DB658,DB658)=1),657,""))</f>
        <v/>
      </c>
    </row>
    <row r="659">
      <c r="A659" s="74" t="n"/>
      <c r="B659" s="75" t="n"/>
      <c r="C659" s="76" t="n"/>
      <c r="J659" s="62" t="n"/>
      <c r="K659" s="62" t="n"/>
      <c r="L659" s="62" t="n"/>
      <c r="M659" s="62" t="n"/>
      <c r="N659" s="62" t="n"/>
      <c r="DB659">
        <f>IF('История отказов'!AH662="","",'История отказов'!AH662)</f>
        <v/>
      </c>
      <c r="DC659">
        <f>IF('История отказов'!AE662="","",IF(AND(COUNTIF($CT$2:$CT$2,'История отказов'!AE662)=0,COUNTIFS('История отказов'!$F$5:F662,"ШГН",'История отказов'!$AE$5:AE662,'История отказов'!AE662)=1,'История отказов'!F662="ШГН"),658,""))</f>
        <v/>
      </c>
      <c r="DD659">
        <f>IF('История отказов'!AE662="","",IF(AND(COUNTIF($CU$2:$CU$3,'История отказов'!AE662)=0,COUNTIFS('История отказов'!$F$5:F662,"ЭЦН",'История отказов'!$AE$5:AE662,'История отказов'!AE662)=1,'История отказов'!F662="ЭЦН"),658,""))</f>
        <v/>
      </c>
      <c r="DE659">
        <f>IF('История отказов'!AE662="","",IF(AND(COUNTIF($CV$2:$CV$3,'История отказов'!AE662)=0,COUNTIFS('История отказов'!$F$5:F662,"ЭВН",'История отказов'!$AE$5:AE662,'История отказов'!AE662)=1,'История отказов'!F662="ЭВН"),658,""))</f>
        <v/>
      </c>
      <c r="DF659">
        <f>IF('История отказов'!AE662="","",IF(AND(COUNTIF($CX$2:$CX$2,'История отказов'!AE662)=0,COUNTIFS('История отказов'!$F$5:F662,"ШВН",'История отказов'!$AE$5:AE662,'История отказов'!AE662)=1,'История отказов'!F662="ШВН"),658,""))</f>
        <v/>
      </c>
      <c r="DG659">
        <f>IF('История отказов'!AE662="","",IF(AND(COUNTIF($CW$2:$CW$2,'История отказов'!AE662)=0,COUNTIFS('История отказов'!$F$5:F662,"НПУ-ВД",'История отказов'!$AE$5:AE662,'История отказов'!AE662)=1,'История отказов'!F662="НПУ-ВД"),658,""))</f>
        <v/>
      </c>
      <c r="DH659">
        <f>IF('История отказов'!AE662="","",IF(AND(COUNTIF($CY$2:$CY$6,'История отказов'!AE662)=0,COUNTIF('История отказов'!$AE$5:AE662,'История отказов'!AE662)=1),658,""))</f>
        <v/>
      </c>
      <c r="DI659">
        <f>IF('История отказов'!AK662="","",IF(AND(COUNTIF($CL$2:$CL$3,'История отказов'!AK662)=0,COUNTIF('История отказов'!$AK$5:AK662,'История отказов'!AK662)=1),658,""))</f>
        <v/>
      </c>
      <c r="DJ659">
        <f>IF('История отказов'!AU662="","",IF(AND(COUNTIF($CP$2:$CP$3,'История отказов'!AU662)=0,COUNTIF('История отказов'!$AU$5:AU662,'История отказов'!AU662)=1),658,""))</f>
        <v/>
      </c>
      <c r="DK659">
        <f>IF('История отказов'!AY662="","",IF(AND(COUNTIF($CR$2:$CR$2,'История отказов'!AY662)=0,COUNTIF('История отказов'!$AY$5:AY662,'История отказов'!AY662)=1),658,""))</f>
        <v/>
      </c>
      <c r="DL659">
        <f>IF(DB659="","",IF(AND(COUNTIF($DA$2:$DA$47,DB659)=0,COUNTIF($DB$2:DB659,DB659)=1),658,""))</f>
        <v/>
      </c>
    </row>
    <row r="660">
      <c r="A660" s="74" t="n"/>
      <c r="B660" s="75" t="n"/>
      <c r="C660" s="76" t="n"/>
      <c r="J660" s="62" t="n"/>
      <c r="K660" s="62" t="n"/>
      <c r="L660" s="62" t="n"/>
      <c r="M660" s="62" t="n"/>
      <c r="N660" s="62" t="n"/>
      <c r="DB660">
        <f>IF('История отказов'!AH663="","",'История отказов'!AH663)</f>
        <v/>
      </c>
      <c r="DC660">
        <f>IF('История отказов'!AE663="","",IF(AND(COUNTIF($CT$2:$CT$2,'История отказов'!AE663)=0,COUNTIFS('История отказов'!$F$5:F663,"ШГН",'История отказов'!$AE$5:AE663,'История отказов'!AE663)=1,'История отказов'!F663="ШГН"),659,""))</f>
        <v/>
      </c>
      <c r="DD660">
        <f>IF('История отказов'!AE663="","",IF(AND(COUNTIF($CU$2:$CU$3,'История отказов'!AE663)=0,COUNTIFS('История отказов'!$F$5:F663,"ЭЦН",'История отказов'!$AE$5:AE663,'История отказов'!AE663)=1,'История отказов'!F663="ЭЦН"),659,""))</f>
        <v/>
      </c>
      <c r="DE660">
        <f>IF('История отказов'!AE663="","",IF(AND(COUNTIF($CV$2:$CV$3,'История отказов'!AE663)=0,COUNTIFS('История отказов'!$F$5:F663,"ЭВН",'История отказов'!$AE$5:AE663,'История отказов'!AE663)=1,'История отказов'!F663="ЭВН"),659,""))</f>
        <v/>
      </c>
      <c r="DF660">
        <f>IF('История отказов'!AE663="","",IF(AND(COUNTIF($CX$2:$CX$2,'История отказов'!AE663)=0,COUNTIFS('История отказов'!$F$5:F663,"ШВН",'История отказов'!$AE$5:AE663,'История отказов'!AE663)=1,'История отказов'!F663="ШВН"),659,""))</f>
        <v/>
      </c>
      <c r="DG660">
        <f>IF('История отказов'!AE663="","",IF(AND(COUNTIF($CW$2:$CW$2,'История отказов'!AE663)=0,COUNTIFS('История отказов'!$F$5:F663,"НПУ-ВД",'История отказов'!$AE$5:AE663,'История отказов'!AE663)=1,'История отказов'!F663="НПУ-ВД"),659,""))</f>
        <v/>
      </c>
      <c r="DH660">
        <f>IF('История отказов'!AE663="","",IF(AND(COUNTIF($CY$2:$CY$6,'История отказов'!AE663)=0,COUNTIF('История отказов'!$AE$5:AE663,'История отказов'!AE663)=1),659,""))</f>
        <v/>
      </c>
      <c r="DI660">
        <f>IF('История отказов'!AK663="","",IF(AND(COUNTIF($CL$2:$CL$3,'История отказов'!AK663)=0,COUNTIF('История отказов'!$AK$5:AK663,'История отказов'!AK663)=1),659,""))</f>
        <v/>
      </c>
      <c r="DJ660">
        <f>IF('История отказов'!AU663="","",IF(AND(COUNTIF($CP$2:$CP$3,'История отказов'!AU663)=0,COUNTIF('История отказов'!$AU$5:AU663,'История отказов'!AU663)=1),659,""))</f>
        <v/>
      </c>
      <c r="DK660">
        <f>IF('История отказов'!AY663="","",IF(AND(COUNTIF($CR$2:$CR$2,'История отказов'!AY663)=0,COUNTIF('История отказов'!$AY$5:AY663,'История отказов'!AY663)=1),659,""))</f>
        <v/>
      </c>
      <c r="DL660">
        <f>IF(DB660="","",IF(AND(COUNTIF($DA$2:$DA$47,DB660)=0,COUNTIF($DB$2:DB660,DB660)=1),659,""))</f>
        <v/>
      </c>
    </row>
    <row r="661">
      <c r="A661" s="74" t="n"/>
      <c r="B661" s="75" t="n"/>
      <c r="C661" s="76" t="n"/>
      <c r="J661" s="62" t="n"/>
      <c r="K661" s="62" t="n"/>
      <c r="L661" s="62" t="n"/>
      <c r="M661" s="62" t="n"/>
      <c r="N661" s="62" t="n"/>
      <c r="DB661">
        <f>IF('История отказов'!AH664="","",'История отказов'!AH664)</f>
        <v/>
      </c>
      <c r="DC661">
        <f>IF('История отказов'!AE664="","",IF(AND(COUNTIF($CT$2:$CT$2,'История отказов'!AE664)=0,COUNTIFS('История отказов'!$F$5:F664,"ШГН",'История отказов'!$AE$5:AE664,'История отказов'!AE664)=1,'История отказов'!F664="ШГН"),660,""))</f>
        <v/>
      </c>
      <c r="DD661">
        <f>IF('История отказов'!AE664="","",IF(AND(COUNTIF($CU$2:$CU$3,'История отказов'!AE664)=0,COUNTIFS('История отказов'!$F$5:F664,"ЭЦН",'История отказов'!$AE$5:AE664,'История отказов'!AE664)=1,'История отказов'!F664="ЭЦН"),660,""))</f>
        <v/>
      </c>
      <c r="DE661">
        <f>IF('История отказов'!AE664="","",IF(AND(COUNTIF($CV$2:$CV$3,'История отказов'!AE664)=0,COUNTIFS('История отказов'!$F$5:F664,"ЭВН",'История отказов'!$AE$5:AE664,'История отказов'!AE664)=1,'История отказов'!F664="ЭВН"),660,""))</f>
        <v/>
      </c>
      <c r="DF661">
        <f>IF('История отказов'!AE664="","",IF(AND(COUNTIF($CX$2:$CX$2,'История отказов'!AE664)=0,COUNTIFS('История отказов'!$F$5:F664,"ШВН",'История отказов'!$AE$5:AE664,'История отказов'!AE664)=1,'История отказов'!F664="ШВН"),660,""))</f>
        <v/>
      </c>
      <c r="DG661">
        <f>IF('История отказов'!AE664="","",IF(AND(COUNTIF($CW$2:$CW$2,'История отказов'!AE664)=0,COUNTIFS('История отказов'!$F$5:F664,"НПУ-ВД",'История отказов'!$AE$5:AE664,'История отказов'!AE664)=1,'История отказов'!F664="НПУ-ВД"),660,""))</f>
        <v/>
      </c>
      <c r="DH661">
        <f>IF('История отказов'!AE664="","",IF(AND(COUNTIF($CY$2:$CY$6,'История отказов'!AE664)=0,COUNTIF('История отказов'!$AE$5:AE664,'История отказов'!AE664)=1),660,""))</f>
        <v/>
      </c>
      <c r="DI661">
        <f>IF('История отказов'!AK664="","",IF(AND(COUNTIF($CL$2:$CL$3,'История отказов'!AK664)=0,COUNTIF('История отказов'!$AK$5:AK664,'История отказов'!AK664)=1),660,""))</f>
        <v/>
      </c>
      <c r="DJ661">
        <f>IF('История отказов'!AU664="","",IF(AND(COUNTIF($CP$2:$CP$3,'История отказов'!AU664)=0,COUNTIF('История отказов'!$AU$5:AU664,'История отказов'!AU664)=1),660,""))</f>
        <v/>
      </c>
      <c r="DK661">
        <f>IF('История отказов'!AY664="","",IF(AND(COUNTIF($CR$2:$CR$2,'История отказов'!AY664)=0,COUNTIF('История отказов'!$AY$5:AY664,'История отказов'!AY664)=1),660,""))</f>
        <v/>
      </c>
      <c r="DL661">
        <f>IF(DB661="","",IF(AND(COUNTIF($DA$2:$DA$47,DB661)=0,COUNTIF($DB$2:DB661,DB661)=1),660,""))</f>
        <v/>
      </c>
    </row>
    <row r="662">
      <c r="A662" s="74" t="n"/>
      <c r="B662" s="75" t="n"/>
      <c r="C662" s="76" t="n"/>
      <c r="J662" s="62" t="n"/>
      <c r="K662" s="62" t="n"/>
      <c r="L662" s="62" t="n"/>
      <c r="M662" s="62" t="n"/>
      <c r="N662" s="62" t="n"/>
      <c r="DB662">
        <f>IF('История отказов'!AH665="","",'История отказов'!AH665)</f>
        <v/>
      </c>
      <c r="DC662">
        <f>IF('История отказов'!AE665="","",IF(AND(COUNTIF($CT$2:$CT$2,'История отказов'!AE665)=0,COUNTIFS('История отказов'!$F$5:F665,"ШГН",'История отказов'!$AE$5:AE665,'История отказов'!AE665)=1,'История отказов'!F665="ШГН"),661,""))</f>
        <v/>
      </c>
      <c r="DD662">
        <f>IF('История отказов'!AE665="","",IF(AND(COUNTIF($CU$2:$CU$3,'История отказов'!AE665)=0,COUNTIFS('История отказов'!$F$5:F665,"ЭЦН",'История отказов'!$AE$5:AE665,'История отказов'!AE665)=1,'История отказов'!F665="ЭЦН"),661,""))</f>
        <v/>
      </c>
      <c r="DE662">
        <f>IF('История отказов'!AE665="","",IF(AND(COUNTIF($CV$2:$CV$3,'История отказов'!AE665)=0,COUNTIFS('История отказов'!$F$5:F665,"ЭВН",'История отказов'!$AE$5:AE665,'История отказов'!AE665)=1,'История отказов'!F665="ЭВН"),661,""))</f>
        <v/>
      </c>
      <c r="DF662">
        <f>IF('История отказов'!AE665="","",IF(AND(COUNTIF($CX$2:$CX$2,'История отказов'!AE665)=0,COUNTIFS('История отказов'!$F$5:F665,"ШВН",'История отказов'!$AE$5:AE665,'История отказов'!AE665)=1,'История отказов'!F665="ШВН"),661,""))</f>
        <v/>
      </c>
      <c r="DG662">
        <f>IF('История отказов'!AE665="","",IF(AND(COUNTIF($CW$2:$CW$2,'История отказов'!AE665)=0,COUNTIFS('История отказов'!$F$5:F665,"НПУ-ВД",'История отказов'!$AE$5:AE665,'История отказов'!AE665)=1,'История отказов'!F665="НПУ-ВД"),661,""))</f>
        <v/>
      </c>
      <c r="DH662">
        <f>IF('История отказов'!AE665="","",IF(AND(COUNTIF($CY$2:$CY$6,'История отказов'!AE665)=0,COUNTIF('История отказов'!$AE$5:AE665,'История отказов'!AE665)=1),661,""))</f>
        <v/>
      </c>
      <c r="DI662">
        <f>IF('История отказов'!AK665="","",IF(AND(COUNTIF($CL$2:$CL$3,'История отказов'!AK665)=0,COUNTIF('История отказов'!$AK$5:AK665,'История отказов'!AK665)=1),661,""))</f>
        <v/>
      </c>
      <c r="DJ662">
        <f>IF('История отказов'!AU665="","",IF(AND(COUNTIF($CP$2:$CP$3,'История отказов'!AU665)=0,COUNTIF('История отказов'!$AU$5:AU665,'История отказов'!AU665)=1),661,""))</f>
        <v/>
      </c>
      <c r="DK662">
        <f>IF('История отказов'!AY665="","",IF(AND(COUNTIF($CR$2:$CR$2,'История отказов'!AY665)=0,COUNTIF('История отказов'!$AY$5:AY665,'История отказов'!AY665)=1),661,""))</f>
        <v/>
      </c>
      <c r="DL662">
        <f>IF(DB662="","",IF(AND(COUNTIF($DA$2:$DA$47,DB662)=0,COUNTIF($DB$2:DB662,DB662)=1),661,""))</f>
        <v/>
      </c>
    </row>
    <row r="663">
      <c r="A663" s="74" t="n"/>
      <c r="B663" s="75" t="n"/>
      <c r="C663" s="76" t="n"/>
      <c r="J663" s="62" t="n"/>
      <c r="K663" s="62" t="n"/>
      <c r="L663" s="62" t="n"/>
      <c r="M663" s="62" t="n"/>
      <c r="N663" s="62" t="n"/>
      <c r="DB663">
        <f>IF('История отказов'!AH666="","",'История отказов'!AH666)</f>
        <v/>
      </c>
      <c r="DC663">
        <f>IF('История отказов'!AE666="","",IF(AND(COUNTIF($CT$2:$CT$2,'История отказов'!AE666)=0,COUNTIFS('История отказов'!$F$5:F666,"ШГН",'История отказов'!$AE$5:AE666,'История отказов'!AE666)=1,'История отказов'!F666="ШГН"),662,""))</f>
        <v/>
      </c>
      <c r="DD663">
        <f>IF('История отказов'!AE666="","",IF(AND(COUNTIF($CU$2:$CU$3,'История отказов'!AE666)=0,COUNTIFS('История отказов'!$F$5:F666,"ЭЦН",'История отказов'!$AE$5:AE666,'История отказов'!AE666)=1,'История отказов'!F666="ЭЦН"),662,""))</f>
        <v/>
      </c>
      <c r="DE663">
        <f>IF('История отказов'!AE666="","",IF(AND(COUNTIF($CV$2:$CV$3,'История отказов'!AE666)=0,COUNTIFS('История отказов'!$F$5:F666,"ЭВН",'История отказов'!$AE$5:AE666,'История отказов'!AE666)=1,'История отказов'!F666="ЭВН"),662,""))</f>
        <v/>
      </c>
      <c r="DF663">
        <f>IF('История отказов'!AE666="","",IF(AND(COUNTIF($CX$2:$CX$2,'История отказов'!AE666)=0,COUNTIFS('История отказов'!$F$5:F666,"ШВН",'История отказов'!$AE$5:AE666,'История отказов'!AE666)=1,'История отказов'!F666="ШВН"),662,""))</f>
        <v/>
      </c>
      <c r="DG663">
        <f>IF('История отказов'!AE666="","",IF(AND(COUNTIF($CW$2:$CW$2,'История отказов'!AE666)=0,COUNTIFS('История отказов'!$F$5:F666,"НПУ-ВД",'История отказов'!$AE$5:AE666,'История отказов'!AE666)=1,'История отказов'!F666="НПУ-ВД"),662,""))</f>
        <v/>
      </c>
      <c r="DH663">
        <f>IF('История отказов'!AE666="","",IF(AND(COUNTIF($CY$2:$CY$6,'История отказов'!AE666)=0,COUNTIF('История отказов'!$AE$5:AE666,'История отказов'!AE666)=1),662,""))</f>
        <v/>
      </c>
      <c r="DI663">
        <f>IF('История отказов'!AK666="","",IF(AND(COUNTIF($CL$2:$CL$3,'История отказов'!AK666)=0,COUNTIF('История отказов'!$AK$5:AK666,'История отказов'!AK666)=1),662,""))</f>
        <v/>
      </c>
      <c r="DJ663">
        <f>IF('История отказов'!AU666="","",IF(AND(COUNTIF($CP$2:$CP$3,'История отказов'!AU666)=0,COUNTIF('История отказов'!$AU$5:AU666,'История отказов'!AU666)=1),662,""))</f>
        <v/>
      </c>
      <c r="DK663">
        <f>IF('История отказов'!AY666="","",IF(AND(COUNTIF($CR$2:$CR$2,'История отказов'!AY666)=0,COUNTIF('История отказов'!$AY$5:AY666,'История отказов'!AY666)=1),662,""))</f>
        <v/>
      </c>
      <c r="DL663">
        <f>IF(DB663="","",IF(AND(COUNTIF($DA$2:$DA$47,DB663)=0,COUNTIF($DB$2:DB663,DB663)=1),662,""))</f>
        <v/>
      </c>
    </row>
    <row r="664">
      <c r="A664" s="74" t="n"/>
      <c r="B664" s="75" t="n"/>
      <c r="C664" s="76" t="n"/>
      <c r="J664" s="62" t="n"/>
      <c r="K664" s="62" t="n"/>
      <c r="L664" s="62" t="n"/>
      <c r="M664" s="62" t="n"/>
      <c r="N664" s="62" t="n"/>
      <c r="DB664">
        <f>IF('История отказов'!AH667="","",'История отказов'!AH667)</f>
        <v/>
      </c>
      <c r="DC664">
        <f>IF('История отказов'!AE667="","",IF(AND(COUNTIF($CT$2:$CT$2,'История отказов'!AE667)=0,COUNTIFS('История отказов'!$F$5:F667,"ШГН",'История отказов'!$AE$5:AE667,'История отказов'!AE667)=1,'История отказов'!F667="ШГН"),663,""))</f>
        <v/>
      </c>
      <c r="DD664">
        <f>IF('История отказов'!AE667="","",IF(AND(COUNTIF($CU$2:$CU$3,'История отказов'!AE667)=0,COUNTIFS('История отказов'!$F$5:F667,"ЭЦН",'История отказов'!$AE$5:AE667,'История отказов'!AE667)=1,'История отказов'!F667="ЭЦН"),663,""))</f>
        <v/>
      </c>
      <c r="DE664">
        <f>IF('История отказов'!AE667="","",IF(AND(COUNTIF($CV$2:$CV$3,'История отказов'!AE667)=0,COUNTIFS('История отказов'!$F$5:F667,"ЭВН",'История отказов'!$AE$5:AE667,'История отказов'!AE667)=1,'История отказов'!F667="ЭВН"),663,""))</f>
        <v/>
      </c>
      <c r="DF664">
        <f>IF('История отказов'!AE667="","",IF(AND(COUNTIF($CX$2:$CX$2,'История отказов'!AE667)=0,COUNTIFS('История отказов'!$F$5:F667,"ШВН",'История отказов'!$AE$5:AE667,'История отказов'!AE667)=1,'История отказов'!F667="ШВН"),663,""))</f>
        <v/>
      </c>
      <c r="DG664">
        <f>IF('История отказов'!AE667="","",IF(AND(COUNTIF($CW$2:$CW$2,'История отказов'!AE667)=0,COUNTIFS('История отказов'!$F$5:F667,"НПУ-ВД",'История отказов'!$AE$5:AE667,'История отказов'!AE667)=1,'История отказов'!F667="НПУ-ВД"),663,""))</f>
        <v/>
      </c>
      <c r="DH664">
        <f>IF('История отказов'!AE667="","",IF(AND(COUNTIF($CY$2:$CY$6,'История отказов'!AE667)=0,COUNTIF('История отказов'!$AE$5:AE667,'История отказов'!AE667)=1),663,""))</f>
        <v/>
      </c>
      <c r="DI664">
        <f>IF('История отказов'!AK667="","",IF(AND(COUNTIF($CL$2:$CL$3,'История отказов'!AK667)=0,COUNTIF('История отказов'!$AK$5:AK667,'История отказов'!AK667)=1),663,""))</f>
        <v/>
      </c>
      <c r="DJ664">
        <f>IF('История отказов'!AU667="","",IF(AND(COUNTIF($CP$2:$CP$3,'История отказов'!AU667)=0,COUNTIF('История отказов'!$AU$5:AU667,'История отказов'!AU667)=1),663,""))</f>
        <v/>
      </c>
      <c r="DK664">
        <f>IF('История отказов'!AY667="","",IF(AND(COUNTIF($CR$2:$CR$2,'История отказов'!AY667)=0,COUNTIF('История отказов'!$AY$5:AY667,'История отказов'!AY667)=1),663,""))</f>
        <v/>
      </c>
      <c r="DL664">
        <f>IF(DB664="","",IF(AND(COUNTIF($DA$2:$DA$47,DB664)=0,COUNTIF($DB$2:DB664,DB664)=1),663,""))</f>
        <v/>
      </c>
    </row>
    <row r="665">
      <c r="A665" s="74" t="n"/>
      <c r="B665" s="75" t="n"/>
      <c r="C665" s="76" t="n"/>
      <c r="J665" s="62" t="n"/>
      <c r="K665" s="62" t="n"/>
      <c r="L665" s="62" t="n"/>
      <c r="M665" s="62" t="n"/>
      <c r="N665" s="62" t="n"/>
      <c r="DB665">
        <f>IF('История отказов'!AH668="","",'История отказов'!AH668)</f>
        <v/>
      </c>
      <c r="DC665">
        <f>IF('История отказов'!AE668="","",IF(AND(COUNTIF($CT$2:$CT$2,'История отказов'!AE668)=0,COUNTIFS('История отказов'!$F$5:F668,"ШГН",'История отказов'!$AE$5:AE668,'История отказов'!AE668)=1,'История отказов'!F668="ШГН"),664,""))</f>
        <v/>
      </c>
      <c r="DD665">
        <f>IF('История отказов'!AE668="","",IF(AND(COUNTIF($CU$2:$CU$3,'История отказов'!AE668)=0,COUNTIFS('История отказов'!$F$5:F668,"ЭЦН",'История отказов'!$AE$5:AE668,'История отказов'!AE668)=1,'История отказов'!F668="ЭЦН"),664,""))</f>
        <v/>
      </c>
      <c r="DE665">
        <f>IF('История отказов'!AE668="","",IF(AND(COUNTIF($CV$2:$CV$3,'История отказов'!AE668)=0,COUNTIFS('История отказов'!$F$5:F668,"ЭВН",'История отказов'!$AE$5:AE668,'История отказов'!AE668)=1,'История отказов'!F668="ЭВН"),664,""))</f>
        <v/>
      </c>
      <c r="DF665">
        <f>IF('История отказов'!AE668="","",IF(AND(COUNTIF($CX$2:$CX$2,'История отказов'!AE668)=0,COUNTIFS('История отказов'!$F$5:F668,"ШВН",'История отказов'!$AE$5:AE668,'История отказов'!AE668)=1,'История отказов'!F668="ШВН"),664,""))</f>
        <v/>
      </c>
      <c r="DG665">
        <f>IF('История отказов'!AE668="","",IF(AND(COUNTIF($CW$2:$CW$2,'История отказов'!AE668)=0,COUNTIFS('История отказов'!$F$5:F668,"НПУ-ВД",'История отказов'!$AE$5:AE668,'История отказов'!AE668)=1,'История отказов'!F668="НПУ-ВД"),664,""))</f>
        <v/>
      </c>
      <c r="DH665">
        <f>IF('История отказов'!AE668="","",IF(AND(COUNTIF($CY$2:$CY$6,'История отказов'!AE668)=0,COUNTIF('История отказов'!$AE$5:AE668,'История отказов'!AE668)=1),664,""))</f>
        <v/>
      </c>
      <c r="DI665">
        <f>IF('История отказов'!AK668="","",IF(AND(COUNTIF($CL$2:$CL$3,'История отказов'!AK668)=0,COUNTIF('История отказов'!$AK$5:AK668,'История отказов'!AK668)=1),664,""))</f>
        <v/>
      </c>
      <c r="DJ665">
        <f>IF('История отказов'!AU668="","",IF(AND(COUNTIF($CP$2:$CP$3,'История отказов'!AU668)=0,COUNTIF('История отказов'!$AU$5:AU668,'История отказов'!AU668)=1),664,""))</f>
        <v/>
      </c>
      <c r="DK665">
        <f>IF('История отказов'!AY668="","",IF(AND(COUNTIF($CR$2:$CR$2,'История отказов'!AY668)=0,COUNTIF('История отказов'!$AY$5:AY668,'История отказов'!AY668)=1),664,""))</f>
        <v/>
      </c>
      <c r="DL665">
        <f>IF(DB665="","",IF(AND(COUNTIF($DA$2:$DA$47,DB665)=0,COUNTIF($DB$2:DB665,DB665)=1),664,""))</f>
        <v/>
      </c>
    </row>
    <row r="666">
      <c r="A666" s="74" t="n"/>
      <c r="B666" s="75" t="n"/>
      <c r="C666" s="76" t="n"/>
      <c r="J666" s="62" t="n"/>
      <c r="K666" s="62" t="n"/>
      <c r="L666" s="62" t="n"/>
      <c r="M666" s="62" t="n"/>
      <c r="N666" s="62" t="n"/>
      <c r="DB666">
        <f>IF('История отказов'!AH669="","",'История отказов'!AH669)</f>
        <v/>
      </c>
      <c r="DC666">
        <f>IF('История отказов'!AE669="","",IF(AND(COUNTIF($CT$2:$CT$2,'История отказов'!AE669)=0,COUNTIFS('История отказов'!$F$5:F669,"ШГН",'История отказов'!$AE$5:AE669,'История отказов'!AE669)=1,'История отказов'!F669="ШГН"),665,""))</f>
        <v/>
      </c>
      <c r="DD666">
        <f>IF('История отказов'!AE669="","",IF(AND(COUNTIF($CU$2:$CU$3,'История отказов'!AE669)=0,COUNTIFS('История отказов'!$F$5:F669,"ЭЦН",'История отказов'!$AE$5:AE669,'История отказов'!AE669)=1,'История отказов'!F669="ЭЦН"),665,""))</f>
        <v/>
      </c>
      <c r="DE666">
        <f>IF('История отказов'!AE669="","",IF(AND(COUNTIF($CV$2:$CV$3,'История отказов'!AE669)=0,COUNTIFS('История отказов'!$F$5:F669,"ЭВН",'История отказов'!$AE$5:AE669,'История отказов'!AE669)=1,'История отказов'!F669="ЭВН"),665,""))</f>
        <v/>
      </c>
      <c r="DF666">
        <f>IF('История отказов'!AE669="","",IF(AND(COUNTIF($CX$2:$CX$2,'История отказов'!AE669)=0,COUNTIFS('История отказов'!$F$5:F669,"ШВН",'История отказов'!$AE$5:AE669,'История отказов'!AE669)=1,'История отказов'!F669="ШВН"),665,""))</f>
        <v/>
      </c>
      <c r="DG666">
        <f>IF('История отказов'!AE669="","",IF(AND(COUNTIF($CW$2:$CW$2,'История отказов'!AE669)=0,COUNTIFS('История отказов'!$F$5:F669,"НПУ-ВД",'История отказов'!$AE$5:AE669,'История отказов'!AE669)=1,'История отказов'!F669="НПУ-ВД"),665,""))</f>
        <v/>
      </c>
      <c r="DH666">
        <f>IF('История отказов'!AE669="","",IF(AND(COUNTIF($CY$2:$CY$6,'История отказов'!AE669)=0,COUNTIF('История отказов'!$AE$5:AE669,'История отказов'!AE669)=1),665,""))</f>
        <v/>
      </c>
      <c r="DI666">
        <f>IF('История отказов'!AK669="","",IF(AND(COUNTIF($CL$2:$CL$3,'История отказов'!AK669)=0,COUNTIF('История отказов'!$AK$5:AK669,'История отказов'!AK669)=1),665,""))</f>
        <v/>
      </c>
      <c r="DJ666">
        <f>IF('История отказов'!AU669="","",IF(AND(COUNTIF($CP$2:$CP$3,'История отказов'!AU669)=0,COUNTIF('История отказов'!$AU$5:AU669,'История отказов'!AU669)=1),665,""))</f>
        <v/>
      </c>
      <c r="DK666">
        <f>IF('История отказов'!AY669="","",IF(AND(COUNTIF($CR$2:$CR$2,'История отказов'!AY669)=0,COUNTIF('История отказов'!$AY$5:AY669,'История отказов'!AY669)=1),665,""))</f>
        <v/>
      </c>
      <c r="DL666">
        <f>IF(DB666="","",IF(AND(COUNTIF($DA$2:$DA$47,DB666)=0,COUNTIF($DB$2:DB666,DB666)=1),665,""))</f>
        <v/>
      </c>
    </row>
    <row r="667">
      <c r="A667" s="74" t="n"/>
      <c r="B667" s="75" t="n"/>
      <c r="C667" s="76" t="n"/>
      <c r="J667" s="62" t="n"/>
      <c r="K667" s="62" t="n"/>
      <c r="L667" s="62" t="n"/>
      <c r="M667" s="62" t="n"/>
      <c r="N667" s="62" t="n"/>
      <c r="DB667">
        <f>IF('История отказов'!AH670="","",'История отказов'!AH670)</f>
        <v/>
      </c>
      <c r="DC667">
        <f>IF('История отказов'!AE670="","",IF(AND(COUNTIF($CT$2:$CT$2,'История отказов'!AE670)=0,COUNTIFS('История отказов'!$F$5:F670,"ШГН",'История отказов'!$AE$5:AE670,'История отказов'!AE670)=1,'История отказов'!F670="ШГН"),666,""))</f>
        <v/>
      </c>
      <c r="DD667">
        <f>IF('История отказов'!AE670="","",IF(AND(COUNTIF($CU$2:$CU$3,'История отказов'!AE670)=0,COUNTIFS('История отказов'!$F$5:F670,"ЭЦН",'История отказов'!$AE$5:AE670,'История отказов'!AE670)=1,'История отказов'!F670="ЭЦН"),666,""))</f>
        <v/>
      </c>
      <c r="DE667">
        <f>IF('История отказов'!AE670="","",IF(AND(COUNTIF($CV$2:$CV$3,'История отказов'!AE670)=0,COUNTIFS('История отказов'!$F$5:F670,"ЭВН",'История отказов'!$AE$5:AE670,'История отказов'!AE670)=1,'История отказов'!F670="ЭВН"),666,""))</f>
        <v/>
      </c>
      <c r="DF667">
        <f>IF('История отказов'!AE670="","",IF(AND(COUNTIF($CX$2:$CX$2,'История отказов'!AE670)=0,COUNTIFS('История отказов'!$F$5:F670,"ШВН",'История отказов'!$AE$5:AE670,'История отказов'!AE670)=1,'История отказов'!F670="ШВН"),666,""))</f>
        <v/>
      </c>
      <c r="DG667">
        <f>IF('История отказов'!AE670="","",IF(AND(COUNTIF($CW$2:$CW$2,'История отказов'!AE670)=0,COUNTIFS('История отказов'!$F$5:F670,"НПУ-ВД",'История отказов'!$AE$5:AE670,'История отказов'!AE670)=1,'История отказов'!F670="НПУ-ВД"),666,""))</f>
        <v/>
      </c>
      <c r="DH667">
        <f>IF('История отказов'!AE670="","",IF(AND(COUNTIF($CY$2:$CY$6,'История отказов'!AE670)=0,COUNTIF('История отказов'!$AE$5:AE670,'История отказов'!AE670)=1),666,""))</f>
        <v/>
      </c>
      <c r="DI667">
        <f>IF('История отказов'!AK670="","",IF(AND(COUNTIF($CL$2:$CL$3,'История отказов'!AK670)=0,COUNTIF('История отказов'!$AK$5:AK670,'История отказов'!AK670)=1),666,""))</f>
        <v/>
      </c>
      <c r="DJ667">
        <f>IF('История отказов'!AU670="","",IF(AND(COUNTIF($CP$2:$CP$3,'История отказов'!AU670)=0,COUNTIF('История отказов'!$AU$5:AU670,'История отказов'!AU670)=1),666,""))</f>
        <v/>
      </c>
      <c r="DK667">
        <f>IF('История отказов'!AY670="","",IF(AND(COUNTIF($CR$2:$CR$2,'История отказов'!AY670)=0,COUNTIF('История отказов'!$AY$5:AY670,'История отказов'!AY670)=1),666,""))</f>
        <v/>
      </c>
      <c r="DL667">
        <f>IF(DB667="","",IF(AND(COUNTIF($DA$2:$DA$47,DB667)=0,COUNTIF($DB$2:DB667,DB667)=1),666,""))</f>
        <v/>
      </c>
    </row>
    <row r="668">
      <c r="A668" s="74" t="n"/>
      <c r="B668" s="75" t="n"/>
      <c r="C668" s="76" t="n"/>
      <c r="J668" s="62" t="n"/>
      <c r="K668" s="62" t="n"/>
      <c r="L668" s="62" t="n"/>
      <c r="M668" s="62" t="n"/>
      <c r="N668" s="62" t="n"/>
      <c r="DB668">
        <f>IF('История отказов'!AH671="","",'История отказов'!AH671)</f>
        <v/>
      </c>
      <c r="DC668">
        <f>IF('История отказов'!AE671="","",IF(AND(COUNTIF($CT$2:$CT$2,'История отказов'!AE671)=0,COUNTIFS('История отказов'!$F$5:F671,"ШГН",'История отказов'!$AE$5:AE671,'История отказов'!AE671)=1,'История отказов'!F671="ШГН"),667,""))</f>
        <v/>
      </c>
      <c r="DD668">
        <f>IF('История отказов'!AE671="","",IF(AND(COUNTIF($CU$2:$CU$3,'История отказов'!AE671)=0,COUNTIFS('История отказов'!$F$5:F671,"ЭЦН",'История отказов'!$AE$5:AE671,'История отказов'!AE671)=1,'История отказов'!F671="ЭЦН"),667,""))</f>
        <v/>
      </c>
      <c r="DE668">
        <f>IF('История отказов'!AE671="","",IF(AND(COUNTIF($CV$2:$CV$3,'История отказов'!AE671)=0,COUNTIFS('История отказов'!$F$5:F671,"ЭВН",'История отказов'!$AE$5:AE671,'История отказов'!AE671)=1,'История отказов'!F671="ЭВН"),667,""))</f>
        <v/>
      </c>
      <c r="DF668">
        <f>IF('История отказов'!AE671="","",IF(AND(COUNTIF($CX$2:$CX$2,'История отказов'!AE671)=0,COUNTIFS('История отказов'!$F$5:F671,"ШВН",'История отказов'!$AE$5:AE671,'История отказов'!AE671)=1,'История отказов'!F671="ШВН"),667,""))</f>
        <v/>
      </c>
      <c r="DG668">
        <f>IF('История отказов'!AE671="","",IF(AND(COUNTIF($CW$2:$CW$2,'История отказов'!AE671)=0,COUNTIFS('История отказов'!$F$5:F671,"НПУ-ВД",'История отказов'!$AE$5:AE671,'История отказов'!AE671)=1,'История отказов'!F671="НПУ-ВД"),667,""))</f>
        <v/>
      </c>
      <c r="DH668">
        <f>IF('История отказов'!AE671="","",IF(AND(COUNTIF($CY$2:$CY$6,'История отказов'!AE671)=0,COUNTIF('История отказов'!$AE$5:AE671,'История отказов'!AE671)=1),667,""))</f>
        <v/>
      </c>
      <c r="DI668">
        <f>IF('История отказов'!AK671="","",IF(AND(COUNTIF($CL$2:$CL$3,'История отказов'!AK671)=0,COUNTIF('История отказов'!$AK$5:AK671,'История отказов'!AK671)=1),667,""))</f>
        <v/>
      </c>
      <c r="DJ668">
        <f>IF('История отказов'!AU671="","",IF(AND(COUNTIF($CP$2:$CP$3,'История отказов'!AU671)=0,COUNTIF('История отказов'!$AU$5:AU671,'История отказов'!AU671)=1),667,""))</f>
        <v/>
      </c>
      <c r="DK668">
        <f>IF('История отказов'!AY671="","",IF(AND(COUNTIF($CR$2:$CR$2,'История отказов'!AY671)=0,COUNTIF('История отказов'!$AY$5:AY671,'История отказов'!AY671)=1),667,""))</f>
        <v/>
      </c>
      <c r="DL668">
        <f>IF(DB668="","",IF(AND(COUNTIF($DA$2:$DA$47,DB668)=0,COUNTIF($DB$2:DB668,DB668)=1),667,""))</f>
        <v/>
      </c>
    </row>
    <row r="669">
      <c r="A669" s="74" t="n"/>
      <c r="B669" s="75" t="n"/>
      <c r="C669" s="76" t="n"/>
      <c r="J669" s="62" t="n"/>
      <c r="K669" s="62" t="n"/>
      <c r="L669" s="62" t="n"/>
      <c r="M669" s="62" t="n"/>
      <c r="N669" s="62" t="n"/>
      <c r="DB669">
        <f>IF('История отказов'!AH672="","",'История отказов'!AH672)</f>
        <v/>
      </c>
      <c r="DC669">
        <f>IF('История отказов'!AE672="","",IF(AND(COUNTIF($CT$2:$CT$2,'История отказов'!AE672)=0,COUNTIFS('История отказов'!$F$5:F672,"ШГН",'История отказов'!$AE$5:AE672,'История отказов'!AE672)=1,'История отказов'!F672="ШГН"),668,""))</f>
        <v/>
      </c>
      <c r="DD669">
        <f>IF('История отказов'!AE672="","",IF(AND(COUNTIF($CU$2:$CU$3,'История отказов'!AE672)=0,COUNTIFS('История отказов'!$F$5:F672,"ЭЦН",'История отказов'!$AE$5:AE672,'История отказов'!AE672)=1,'История отказов'!F672="ЭЦН"),668,""))</f>
        <v/>
      </c>
      <c r="DE669">
        <f>IF('История отказов'!AE672="","",IF(AND(COUNTIF($CV$2:$CV$3,'История отказов'!AE672)=0,COUNTIFS('История отказов'!$F$5:F672,"ЭВН",'История отказов'!$AE$5:AE672,'История отказов'!AE672)=1,'История отказов'!F672="ЭВН"),668,""))</f>
        <v/>
      </c>
      <c r="DF669">
        <f>IF('История отказов'!AE672="","",IF(AND(COUNTIF($CX$2:$CX$2,'История отказов'!AE672)=0,COUNTIFS('История отказов'!$F$5:F672,"ШВН",'История отказов'!$AE$5:AE672,'История отказов'!AE672)=1,'История отказов'!F672="ШВН"),668,""))</f>
        <v/>
      </c>
      <c r="DG669">
        <f>IF('История отказов'!AE672="","",IF(AND(COUNTIF($CW$2:$CW$2,'История отказов'!AE672)=0,COUNTIFS('История отказов'!$F$5:F672,"НПУ-ВД",'История отказов'!$AE$5:AE672,'История отказов'!AE672)=1,'История отказов'!F672="НПУ-ВД"),668,""))</f>
        <v/>
      </c>
      <c r="DH669">
        <f>IF('История отказов'!AE672="","",IF(AND(COUNTIF($CY$2:$CY$6,'История отказов'!AE672)=0,COUNTIF('История отказов'!$AE$5:AE672,'История отказов'!AE672)=1),668,""))</f>
        <v/>
      </c>
      <c r="DI669">
        <f>IF('История отказов'!AK672="","",IF(AND(COUNTIF($CL$2:$CL$3,'История отказов'!AK672)=0,COUNTIF('История отказов'!$AK$5:AK672,'История отказов'!AK672)=1),668,""))</f>
        <v/>
      </c>
      <c r="DJ669">
        <f>IF('История отказов'!AU672="","",IF(AND(COUNTIF($CP$2:$CP$3,'История отказов'!AU672)=0,COUNTIF('История отказов'!$AU$5:AU672,'История отказов'!AU672)=1),668,""))</f>
        <v/>
      </c>
      <c r="DK669">
        <f>IF('История отказов'!AY672="","",IF(AND(COUNTIF($CR$2:$CR$2,'История отказов'!AY672)=0,COUNTIF('История отказов'!$AY$5:AY672,'История отказов'!AY672)=1),668,""))</f>
        <v/>
      </c>
      <c r="DL669">
        <f>IF(DB669="","",IF(AND(COUNTIF($DA$2:$DA$47,DB669)=0,COUNTIF($DB$2:DB669,DB669)=1),668,""))</f>
        <v/>
      </c>
    </row>
    <row r="670">
      <c r="A670" s="74" t="n"/>
      <c r="B670" s="75" t="n"/>
      <c r="C670" s="76" t="n"/>
      <c r="J670" s="62" t="n"/>
      <c r="K670" s="62" t="n"/>
      <c r="L670" s="62" t="n"/>
      <c r="M670" s="62" t="n"/>
      <c r="N670" s="62" t="n"/>
      <c r="DB670">
        <f>IF('История отказов'!AH673="","",'История отказов'!AH673)</f>
        <v/>
      </c>
      <c r="DC670">
        <f>IF('История отказов'!AE673="","",IF(AND(COUNTIF($CT$2:$CT$2,'История отказов'!AE673)=0,COUNTIFS('История отказов'!$F$5:F673,"ШГН",'История отказов'!$AE$5:AE673,'История отказов'!AE673)=1,'История отказов'!F673="ШГН"),669,""))</f>
        <v/>
      </c>
      <c r="DD670">
        <f>IF('История отказов'!AE673="","",IF(AND(COUNTIF($CU$2:$CU$3,'История отказов'!AE673)=0,COUNTIFS('История отказов'!$F$5:F673,"ЭЦН",'История отказов'!$AE$5:AE673,'История отказов'!AE673)=1,'История отказов'!F673="ЭЦН"),669,""))</f>
        <v/>
      </c>
      <c r="DE670">
        <f>IF('История отказов'!AE673="","",IF(AND(COUNTIF($CV$2:$CV$3,'История отказов'!AE673)=0,COUNTIFS('История отказов'!$F$5:F673,"ЭВН",'История отказов'!$AE$5:AE673,'История отказов'!AE673)=1,'История отказов'!F673="ЭВН"),669,""))</f>
        <v/>
      </c>
      <c r="DF670">
        <f>IF('История отказов'!AE673="","",IF(AND(COUNTIF($CX$2:$CX$2,'История отказов'!AE673)=0,COUNTIFS('История отказов'!$F$5:F673,"ШВН",'История отказов'!$AE$5:AE673,'История отказов'!AE673)=1,'История отказов'!F673="ШВН"),669,""))</f>
        <v/>
      </c>
      <c r="DG670">
        <f>IF('История отказов'!AE673="","",IF(AND(COUNTIF($CW$2:$CW$2,'История отказов'!AE673)=0,COUNTIFS('История отказов'!$F$5:F673,"НПУ-ВД",'История отказов'!$AE$5:AE673,'История отказов'!AE673)=1,'История отказов'!F673="НПУ-ВД"),669,""))</f>
        <v/>
      </c>
      <c r="DH670">
        <f>IF('История отказов'!AE673="","",IF(AND(COUNTIF($CY$2:$CY$6,'История отказов'!AE673)=0,COUNTIF('История отказов'!$AE$5:AE673,'История отказов'!AE673)=1),669,""))</f>
        <v/>
      </c>
      <c r="DI670">
        <f>IF('История отказов'!AK673="","",IF(AND(COUNTIF($CL$2:$CL$3,'История отказов'!AK673)=0,COUNTIF('История отказов'!$AK$5:AK673,'История отказов'!AK673)=1),669,""))</f>
        <v/>
      </c>
      <c r="DJ670">
        <f>IF('История отказов'!AU673="","",IF(AND(COUNTIF($CP$2:$CP$3,'История отказов'!AU673)=0,COUNTIF('История отказов'!$AU$5:AU673,'История отказов'!AU673)=1),669,""))</f>
        <v/>
      </c>
      <c r="DK670">
        <f>IF('История отказов'!AY673="","",IF(AND(COUNTIF($CR$2:$CR$2,'История отказов'!AY673)=0,COUNTIF('История отказов'!$AY$5:AY673,'История отказов'!AY673)=1),669,""))</f>
        <v/>
      </c>
      <c r="DL670">
        <f>IF(DB670="","",IF(AND(COUNTIF($DA$2:$DA$47,DB670)=0,COUNTIF($DB$2:DB670,DB670)=1),669,""))</f>
        <v/>
      </c>
    </row>
    <row r="671">
      <c r="A671" s="74" t="n"/>
      <c r="B671" s="75" t="n"/>
      <c r="C671" s="76" t="n"/>
      <c r="J671" s="62" t="n"/>
      <c r="K671" s="62" t="n"/>
      <c r="L671" s="62" t="n"/>
      <c r="M671" s="62" t="n"/>
      <c r="N671" s="62" t="n"/>
      <c r="DB671">
        <f>IF('История отказов'!AH674="","",'История отказов'!AH674)</f>
        <v/>
      </c>
      <c r="DC671">
        <f>IF('История отказов'!AE674="","",IF(AND(COUNTIF($CT$2:$CT$2,'История отказов'!AE674)=0,COUNTIFS('История отказов'!$F$5:F674,"ШГН",'История отказов'!$AE$5:AE674,'История отказов'!AE674)=1,'История отказов'!F674="ШГН"),670,""))</f>
        <v/>
      </c>
      <c r="DD671">
        <f>IF('История отказов'!AE674="","",IF(AND(COUNTIF($CU$2:$CU$3,'История отказов'!AE674)=0,COUNTIFS('История отказов'!$F$5:F674,"ЭЦН",'История отказов'!$AE$5:AE674,'История отказов'!AE674)=1,'История отказов'!F674="ЭЦН"),670,""))</f>
        <v/>
      </c>
      <c r="DE671">
        <f>IF('История отказов'!AE674="","",IF(AND(COUNTIF($CV$2:$CV$3,'История отказов'!AE674)=0,COUNTIFS('История отказов'!$F$5:F674,"ЭВН",'История отказов'!$AE$5:AE674,'История отказов'!AE674)=1,'История отказов'!F674="ЭВН"),670,""))</f>
        <v/>
      </c>
      <c r="DF671">
        <f>IF('История отказов'!AE674="","",IF(AND(COUNTIF($CX$2:$CX$2,'История отказов'!AE674)=0,COUNTIFS('История отказов'!$F$5:F674,"ШВН",'История отказов'!$AE$5:AE674,'История отказов'!AE674)=1,'История отказов'!F674="ШВН"),670,""))</f>
        <v/>
      </c>
      <c r="DG671">
        <f>IF('История отказов'!AE674="","",IF(AND(COUNTIF($CW$2:$CW$2,'История отказов'!AE674)=0,COUNTIFS('История отказов'!$F$5:F674,"НПУ-ВД",'История отказов'!$AE$5:AE674,'История отказов'!AE674)=1,'История отказов'!F674="НПУ-ВД"),670,""))</f>
        <v/>
      </c>
      <c r="DH671">
        <f>IF('История отказов'!AE674="","",IF(AND(COUNTIF($CY$2:$CY$6,'История отказов'!AE674)=0,COUNTIF('История отказов'!$AE$5:AE674,'История отказов'!AE674)=1),670,""))</f>
        <v/>
      </c>
      <c r="DI671">
        <f>IF('История отказов'!AK674="","",IF(AND(COUNTIF($CL$2:$CL$3,'История отказов'!AK674)=0,COUNTIF('История отказов'!$AK$5:AK674,'История отказов'!AK674)=1),670,""))</f>
        <v/>
      </c>
      <c r="DJ671">
        <f>IF('История отказов'!AU674="","",IF(AND(COUNTIF($CP$2:$CP$3,'История отказов'!AU674)=0,COUNTIF('История отказов'!$AU$5:AU674,'История отказов'!AU674)=1),670,""))</f>
        <v/>
      </c>
      <c r="DK671">
        <f>IF('История отказов'!AY674="","",IF(AND(COUNTIF($CR$2:$CR$2,'История отказов'!AY674)=0,COUNTIF('История отказов'!$AY$5:AY674,'История отказов'!AY674)=1),670,""))</f>
        <v/>
      </c>
      <c r="DL671">
        <f>IF(DB671="","",IF(AND(COUNTIF($DA$2:$DA$47,DB671)=0,COUNTIF($DB$2:DB671,DB671)=1),670,""))</f>
        <v/>
      </c>
    </row>
    <row r="672">
      <c r="A672" s="74" t="n"/>
      <c r="B672" s="75" t="n"/>
      <c r="C672" s="76" t="n"/>
      <c r="J672" s="62" t="n"/>
      <c r="K672" s="62" t="n"/>
      <c r="L672" s="62" t="n"/>
      <c r="M672" s="62" t="n"/>
      <c r="N672" s="62" t="n"/>
      <c r="DB672">
        <f>IF('История отказов'!AH675="","",'История отказов'!AH675)</f>
        <v/>
      </c>
      <c r="DC672">
        <f>IF('История отказов'!AE675="","",IF(AND(COUNTIF($CT$2:$CT$2,'История отказов'!AE675)=0,COUNTIFS('История отказов'!$F$5:F675,"ШГН",'История отказов'!$AE$5:AE675,'История отказов'!AE675)=1,'История отказов'!F675="ШГН"),671,""))</f>
        <v/>
      </c>
      <c r="DD672">
        <f>IF('История отказов'!AE675="","",IF(AND(COUNTIF($CU$2:$CU$3,'История отказов'!AE675)=0,COUNTIFS('История отказов'!$F$5:F675,"ЭЦН",'История отказов'!$AE$5:AE675,'История отказов'!AE675)=1,'История отказов'!F675="ЭЦН"),671,""))</f>
        <v/>
      </c>
      <c r="DE672">
        <f>IF('История отказов'!AE675="","",IF(AND(COUNTIF($CV$2:$CV$3,'История отказов'!AE675)=0,COUNTIFS('История отказов'!$F$5:F675,"ЭВН",'История отказов'!$AE$5:AE675,'История отказов'!AE675)=1,'История отказов'!F675="ЭВН"),671,""))</f>
        <v/>
      </c>
      <c r="DF672">
        <f>IF('История отказов'!AE675="","",IF(AND(COUNTIF($CX$2:$CX$2,'История отказов'!AE675)=0,COUNTIFS('История отказов'!$F$5:F675,"ШВН",'История отказов'!$AE$5:AE675,'История отказов'!AE675)=1,'История отказов'!F675="ШВН"),671,""))</f>
        <v/>
      </c>
      <c r="DG672">
        <f>IF('История отказов'!AE675="","",IF(AND(COUNTIF($CW$2:$CW$2,'История отказов'!AE675)=0,COUNTIFS('История отказов'!$F$5:F675,"НПУ-ВД",'История отказов'!$AE$5:AE675,'История отказов'!AE675)=1,'История отказов'!F675="НПУ-ВД"),671,""))</f>
        <v/>
      </c>
      <c r="DH672">
        <f>IF('История отказов'!AE675="","",IF(AND(COUNTIF($CY$2:$CY$6,'История отказов'!AE675)=0,COUNTIF('История отказов'!$AE$5:AE675,'История отказов'!AE675)=1),671,""))</f>
        <v/>
      </c>
      <c r="DI672">
        <f>IF('История отказов'!AK675="","",IF(AND(COUNTIF($CL$2:$CL$3,'История отказов'!AK675)=0,COUNTIF('История отказов'!$AK$5:AK675,'История отказов'!AK675)=1),671,""))</f>
        <v/>
      </c>
      <c r="DJ672">
        <f>IF('История отказов'!AU675="","",IF(AND(COUNTIF($CP$2:$CP$3,'История отказов'!AU675)=0,COUNTIF('История отказов'!$AU$5:AU675,'История отказов'!AU675)=1),671,""))</f>
        <v/>
      </c>
      <c r="DK672">
        <f>IF('История отказов'!AY675="","",IF(AND(COUNTIF($CR$2:$CR$2,'История отказов'!AY675)=0,COUNTIF('История отказов'!$AY$5:AY675,'История отказов'!AY675)=1),671,""))</f>
        <v/>
      </c>
      <c r="DL672">
        <f>IF(DB672="","",IF(AND(COUNTIF($DA$2:$DA$47,DB672)=0,COUNTIF($DB$2:DB672,DB672)=1),671,""))</f>
        <v/>
      </c>
    </row>
    <row r="673">
      <c r="A673" s="74" t="n"/>
      <c r="B673" s="75" t="n"/>
      <c r="C673" s="76" t="n"/>
      <c r="J673" s="62" t="n"/>
      <c r="K673" s="62" t="n"/>
      <c r="L673" s="62" t="n"/>
      <c r="M673" s="62" t="n"/>
      <c r="N673" s="62" t="n"/>
      <c r="DB673">
        <f>IF('История отказов'!AH676="","",'История отказов'!AH676)</f>
        <v/>
      </c>
      <c r="DC673">
        <f>IF('История отказов'!AE676="","",IF(AND(COUNTIF($CT$2:$CT$2,'История отказов'!AE676)=0,COUNTIFS('История отказов'!$F$5:F676,"ШГН",'История отказов'!$AE$5:AE676,'История отказов'!AE676)=1,'История отказов'!F676="ШГН"),672,""))</f>
        <v/>
      </c>
      <c r="DD673">
        <f>IF('История отказов'!AE676="","",IF(AND(COUNTIF($CU$2:$CU$3,'История отказов'!AE676)=0,COUNTIFS('История отказов'!$F$5:F676,"ЭЦН",'История отказов'!$AE$5:AE676,'История отказов'!AE676)=1,'История отказов'!F676="ЭЦН"),672,""))</f>
        <v/>
      </c>
      <c r="DE673">
        <f>IF('История отказов'!AE676="","",IF(AND(COUNTIF($CV$2:$CV$3,'История отказов'!AE676)=0,COUNTIFS('История отказов'!$F$5:F676,"ЭВН",'История отказов'!$AE$5:AE676,'История отказов'!AE676)=1,'История отказов'!F676="ЭВН"),672,""))</f>
        <v/>
      </c>
      <c r="DF673">
        <f>IF('История отказов'!AE676="","",IF(AND(COUNTIF($CX$2:$CX$2,'История отказов'!AE676)=0,COUNTIFS('История отказов'!$F$5:F676,"ШВН",'История отказов'!$AE$5:AE676,'История отказов'!AE676)=1,'История отказов'!F676="ШВН"),672,""))</f>
        <v/>
      </c>
      <c r="DG673">
        <f>IF('История отказов'!AE676="","",IF(AND(COUNTIF($CW$2:$CW$2,'История отказов'!AE676)=0,COUNTIFS('История отказов'!$F$5:F676,"НПУ-ВД",'История отказов'!$AE$5:AE676,'История отказов'!AE676)=1,'История отказов'!F676="НПУ-ВД"),672,""))</f>
        <v/>
      </c>
      <c r="DH673">
        <f>IF('История отказов'!AE676="","",IF(AND(COUNTIF($CY$2:$CY$6,'История отказов'!AE676)=0,COUNTIF('История отказов'!$AE$5:AE676,'История отказов'!AE676)=1),672,""))</f>
        <v/>
      </c>
      <c r="DI673">
        <f>IF('История отказов'!AK676="","",IF(AND(COUNTIF($CL$2:$CL$3,'История отказов'!AK676)=0,COUNTIF('История отказов'!$AK$5:AK676,'История отказов'!AK676)=1),672,""))</f>
        <v/>
      </c>
      <c r="DJ673">
        <f>IF('История отказов'!AU676="","",IF(AND(COUNTIF($CP$2:$CP$3,'История отказов'!AU676)=0,COUNTIF('История отказов'!$AU$5:AU676,'История отказов'!AU676)=1),672,""))</f>
        <v/>
      </c>
      <c r="DK673">
        <f>IF('История отказов'!AY676="","",IF(AND(COUNTIF($CR$2:$CR$2,'История отказов'!AY676)=0,COUNTIF('История отказов'!$AY$5:AY676,'История отказов'!AY676)=1),672,""))</f>
        <v/>
      </c>
      <c r="DL673">
        <f>IF(DB673="","",IF(AND(COUNTIF($DA$2:$DA$47,DB673)=0,COUNTIF($DB$2:DB673,DB673)=1),672,""))</f>
        <v/>
      </c>
    </row>
    <row r="674">
      <c r="A674" s="74" t="n"/>
      <c r="B674" s="75" t="n"/>
      <c r="C674" s="76" t="n"/>
      <c r="J674" s="62" t="n"/>
      <c r="K674" s="62" t="n"/>
      <c r="L674" s="62" t="n"/>
      <c r="M674" s="62" t="n"/>
      <c r="N674" s="62" t="n"/>
      <c r="DB674">
        <f>IF('История отказов'!AH677="","",'История отказов'!AH677)</f>
        <v/>
      </c>
      <c r="DC674">
        <f>IF('История отказов'!AE677="","",IF(AND(COUNTIF($CT$2:$CT$2,'История отказов'!AE677)=0,COUNTIFS('История отказов'!$F$5:F677,"ШГН",'История отказов'!$AE$5:AE677,'История отказов'!AE677)=1,'История отказов'!F677="ШГН"),673,""))</f>
        <v/>
      </c>
      <c r="DD674">
        <f>IF('История отказов'!AE677="","",IF(AND(COUNTIF($CU$2:$CU$3,'История отказов'!AE677)=0,COUNTIFS('История отказов'!$F$5:F677,"ЭЦН",'История отказов'!$AE$5:AE677,'История отказов'!AE677)=1,'История отказов'!F677="ЭЦН"),673,""))</f>
        <v/>
      </c>
      <c r="DE674">
        <f>IF('История отказов'!AE677="","",IF(AND(COUNTIF($CV$2:$CV$3,'История отказов'!AE677)=0,COUNTIFS('История отказов'!$F$5:F677,"ЭВН",'История отказов'!$AE$5:AE677,'История отказов'!AE677)=1,'История отказов'!F677="ЭВН"),673,""))</f>
        <v/>
      </c>
      <c r="DF674">
        <f>IF('История отказов'!AE677="","",IF(AND(COUNTIF($CX$2:$CX$2,'История отказов'!AE677)=0,COUNTIFS('История отказов'!$F$5:F677,"ШВН",'История отказов'!$AE$5:AE677,'История отказов'!AE677)=1,'История отказов'!F677="ШВН"),673,""))</f>
        <v/>
      </c>
      <c r="DG674">
        <f>IF('История отказов'!AE677="","",IF(AND(COUNTIF($CW$2:$CW$2,'История отказов'!AE677)=0,COUNTIFS('История отказов'!$F$5:F677,"НПУ-ВД",'История отказов'!$AE$5:AE677,'История отказов'!AE677)=1,'История отказов'!F677="НПУ-ВД"),673,""))</f>
        <v/>
      </c>
      <c r="DH674">
        <f>IF('История отказов'!AE677="","",IF(AND(COUNTIF($CY$2:$CY$6,'История отказов'!AE677)=0,COUNTIF('История отказов'!$AE$5:AE677,'История отказов'!AE677)=1),673,""))</f>
        <v/>
      </c>
      <c r="DI674">
        <f>IF('История отказов'!AK677="","",IF(AND(COUNTIF($CL$2:$CL$3,'История отказов'!AK677)=0,COUNTIF('История отказов'!$AK$5:AK677,'История отказов'!AK677)=1),673,""))</f>
        <v/>
      </c>
      <c r="DJ674">
        <f>IF('История отказов'!AU677="","",IF(AND(COUNTIF($CP$2:$CP$3,'История отказов'!AU677)=0,COUNTIF('История отказов'!$AU$5:AU677,'История отказов'!AU677)=1),673,""))</f>
        <v/>
      </c>
      <c r="DK674">
        <f>IF('История отказов'!AY677="","",IF(AND(COUNTIF($CR$2:$CR$2,'История отказов'!AY677)=0,COUNTIF('История отказов'!$AY$5:AY677,'История отказов'!AY677)=1),673,""))</f>
        <v/>
      </c>
      <c r="DL674">
        <f>IF(DB674="","",IF(AND(COUNTIF($DA$2:$DA$47,DB674)=0,COUNTIF($DB$2:DB674,DB674)=1),673,""))</f>
        <v/>
      </c>
    </row>
    <row r="675">
      <c r="A675" s="74" t="n"/>
      <c r="B675" s="75" t="n"/>
      <c r="C675" s="76" t="n"/>
      <c r="J675" s="62" t="n"/>
      <c r="K675" s="62" t="n"/>
      <c r="L675" s="62" t="n"/>
      <c r="M675" s="62" t="n"/>
      <c r="N675" s="62" t="n"/>
      <c r="DB675">
        <f>IF('История отказов'!AH678="","",'История отказов'!AH678)</f>
        <v/>
      </c>
      <c r="DC675">
        <f>IF('История отказов'!AE678="","",IF(AND(COUNTIF($CT$2:$CT$2,'История отказов'!AE678)=0,COUNTIFS('История отказов'!$F$5:F678,"ШГН",'История отказов'!$AE$5:AE678,'История отказов'!AE678)=1,'История отказов'!F678="ШГН"),674,""))</f>
        <v/>
      </c>
      <c r="DD675">
        <f>IF('История отказов'!AE678="","",IF(AND(COUNTIF($CU$2:$CU$3,'История отказов'!AE678)=0,COUNTIFS('История отказов'!$F$5:F678,"ЭЦН",'История отказов'!$AE$5:AE678,'История отказов'!AE678)=1,'История отказов'!F678="ЭЦН"),674,""))</f>
        <v/>
      </c>
      <c r="DE675">
        <f>IF('История отказов'!AE678="","",IF(AND(COUNTIF($CV$2:$CV$3,'История отказов'!AE678)=0,COUNTIFS('История отказов'!$F$5:F678,"ЭВН",'История отказов'!$AE$5:AE678,'История отказов'!AE678)=1,'История отказов'!F678="ЭВН"),674,""))</f>
        <v/>
      </c>
      <c r="DF675">
        <f>IF('История отказов'!AE678="","",IF(AND(COUNTIF($CX$2:$CX$2,'История отказов'!AE678)=0,COUNTIFS('История отказов'!$F$5:F678,"ШВН",'История отказов'!$AE$5:AE678,'История отказов'!AE678)=1,'История отказов'!F678="ШВН"),674,""))</f>
        <v/>
      </c>
      <c r="DG675">
        <f>IF('История отказов'!AE678="","",IF(AND(COUNTIF($CW$2:$CW$2,'История отказов'!AE678)=0,COUNTIFS('История отказов'!$F$5:F678,"НПУ-ВД",'История отказов'!$AE$5:AE678,'История отказов'!AE678)=1,'История отказов'!F678="НПУ-ВД"),674,""))</f>
        <v/>
      </c>
      <c r="DH675">
        <f>IF('История отказов'!AE678="","",IF(AND(COUNTIF($CY$2:$CY$6,'История отказов'!AE678)=0,COUNTIF('История отказов'!$AE$5:AE678,'История отказов'!AE678)=1),674,""))</f>
        <v/>
      </c>
      <c r="DI675">
        <f>IF('История отказов'!AK678="","",IF(AND(COUNTIF($CL$2:$CL$3,'История отказов'!AK678)=0,COUNTIF('История отказов'!$AK$5:AK678,'История отказов'!AK678)=1),674,""))</f>
        <v/>
      </c>
      <c r="DJ675">
        <f>IF('История отказов'!AU678="","",IF(AND(COUNTIF($CP$2:$CP$3,'История отказов'!AU678)=0,COUNTIF('История отказов'!$AU$5:AU678,'История отказов'!AU678)=1),674,""))</f>
        <v/>
      </c>
      <c r="DK675">
        <f>IF('История отказов'!AY678="","",IF(AND(COUNTIF($CR$2:$CR$2,'История отказов'!AY678)=0,COUNTIF('История отказов'!$AY$5:AY678,'История отказов'!AY678)=1),674,""))</f>
        <v/>
      </c>
      <c r="DL675">
        <f>IF(DB675="","",IF(AND(COUNTIF($DA$2:$DA$47,DB675)=0,COUNTIF($DB$2:DB675,DB675)=1),674,""))</f>
        <v/>
      </c>
    </row>
    <row r="676">
      <c r="A676" s="74" t="n"/>
      <c r="B676" s="75" t="n"/>
      <c r="C676" s="76" t="n"/>
      <c r="J676" s="62" t="n"/>
      <c r="K676" s="62" t="n"/>
      <c r="L676" s="62" t="n"/>
      <c r="M676" s="62" t="n"/>
      <c r="N676" s="62" t="n"/>
      <c r="DB676">
        <f>IF('История отказов'!AH679="","",'История отказов'!AH679)</f>
        <v/>
      </c>
      <c r="DC676">
        <f>IF('История отказов'!AE679="","",IF(AND(COUNTIF($CT$2:$CT$2,'История отказов'!AE679)=0,COUNTIFS('История отказов'!$F$5:F679,"ШГН",'История отказов'!$AE$5:AE679,'История отказов'!AE679)=1,'История отказов'!F679="ШГН"),675,""))</f>
        <v/>
      </c>
      <c r="DD676">
        <f>IF('История отказов'!AE679="","",IF(AND(COUNTIF($CU$2:$CU$3,'История отказов'!AE679)=0,COUNTIFS('История отказов'!$F$5:F679,"ЭЦН",'История отказов'!$AE$5:AE679,'История отказов'!AE679)=1,'История отказов'!F679="ЭЦН"),675,""))</f>
        <v/>
      </c>
      <c r="DE676">
        <f>IF('История отказов'!AE679="","",IF(AND(COUNTIF($CV$2:$CV$3,'История отказов'!AE679)=0,COUNTIFS('История отказов'!$F$5:F679,"ЭВН",'История отказов'!$AE$5:AE679,'История отказов'!AE679)=1,'История отказов'!F679="ЭВН"),675,""))</f>
        <v/>
      </c>
      <c r="DF676">
        <f>IF('История отказов'!AE679="","",IF(AND(COUNTIF($CX$2:$CX$2,'История отказов'!AE679)=0,COUNTIFS('История отказов'!$F$5:F679,"ШВН",'История отказов'!$AE$5:AE679,'История отказов'!AE679)=1,'История отказов'!F679="ШВН"),675,""))</f>
        <v/>
      </c>
      <c r="DG676">
        <f>IF('История отказов'!AE679="","",IF(AND(COUNTIF($CW$2:$CW$2,'История отказов'!AE679)=0,COUNTIFS('История отказов'!$F$5:F679,"НПУ-ВД",'История отказов'!$AE$5:AE679,'История отказов'!AE679)=1,'История отказов'!F679="НПУ-ВД"),675,""))</f>
        <v/>
      </c>
      <c r="DH676">
        <f>IF('История отказов'!AE679="","",IF(AND(COUNTIF($CY$2:$CY$6,'История отказов'!AE679)=0,COUNTIF('История отказов'!$AE$5:AE679,'История отказов'!AE679)=1),675,""))</f>
        <v/>
      </c>
      <c r="DI676">
        <f>IF('История отказов'!AK679="","",IF(AND(COUNTIF($CL$2:$CL$3,'История отказов'!AK679)=0,COUNTIF('История отказов'!$AK$5:AK679,'История отказов'!AK679)=1),675,""))</f>
        <v/>
      </c>
      <c r="DJ676">
        <f>IF('История отказов'!AU679="","",IF(AND(COUNTIF($CP$2:$CP$3,'История отказов'!AU679)=0,COUNTIF('История отказов'!$AU$5:AU679,'История отказов'!AU679)=1),675,""))</f>
        <v/>
      </c>
      <c r="DK676">
        <f>IF('История отказов'!AY679="","",IF(AND(COUNTIF($CR$2:$CR$2,'История отказов'!AY679)=0,COUNTIF('История отказов'!$AY$5:AY679,'История отказов'!AY679)=1),675,""))</f>
        <v/>
      </c>
      <c r="DL676">
        <f>IF(DB676="","",IF(AND(COUNTIF($DA$2:$DA$47,DB676)=0,COUNTIF($DB$2:DB676,DB676)=1),675,""))</f>
        <v/>
      </c>
    </row>
    <row r="677">
      <c r="A677" s="74" t="n"/>
      <c r="B677" s="75" t="n"/>
      <c r="C677" s="76" t="n"/>
      <c r="J677" s="62" t="n"/>
      <c r="K677" s="62" t="n"/>
      <c r="L677" s="62" t="n"/>
      <c r="M677" s="62" t="n"/>
      <c r="N677" s="62" t="n"/>
      <c r="DB677">
        <f>IF('История отказов'!AH680="","",'История отказов'!AH680)</f>
        <v/>
      </c>
      <c r="DC677">
        <f>IF('История отказов'!AE680="","",IF(AND(COUNTIF($CT$2:$CT$2,'История отказов'!AE680)=0,COUNTIFS('История отказов'!$F$5:F680,"ШГН",'История отказов'!$AE$5:AE680,'История отказов'!AE680)=1,'История отказов'!F680="ШГН"),676,""))</f>
        <v/>
      </c>
      <c r="DD677">
        <f>IF('История отказов'!AE680="","",IF(AND(COUNTIF($CU$2:$CU$3,'История отказов'!AE680)=0,COUNTIFS('История отказов'!$F$5:F680,"ЭЦН",'История отказов'!$AE$5:AE680,'История отказов'!AE680)=1,'История отказов'!F680="ЭЦН"),676,""))</f>
        <v/>
      </c>
      <c r="DE677">
        <f>IF('История отказов'!AE680="","",IF(AND(COUNTIF($CV$2:$CV$3,'История отказов'!AE680)=0,COUNTIFS('История отказов'!$F$5:F680,"ЭВН",'История отказов'!$AE$5:AE680,'История отказов'!AE680)=1,'История отказов'!F680="ЭВН"),676,""))</f>
        <v/>
      </c>
      <c r="DF677">
        <f>IF('История отказов'!AE680="","",IF(AND(COUNTIF($CX$2:$CX$2,'История отказов'!AE680)=0,COUNTIFS('История отказов'!$F$5:F680,"ШВН",'История отказов'!$AE$5:AE680,'История отказов'!AE680)=1,'История отказов'!F680="ШВН"),676,""))</f>
        <v/>
      </c>
      <c r="DG677">
        <f>IF('История отказов'!AE680="","",IF(AND(COUNTIF($CW$2:$CW$2,'История отказов'!AE680)=0,COUNTIFS('История отказов'!$F$5:F680,"НПУ-ВД",'История отказов'!$AE$5:AE680,'История отказов'!AE680)=1,'История отказов'!F680="НПУ-ВД"),676,""))</f>
        <v/>
      </c>
      <c r="DH677">
        <f>IF('История отказов'!AE680="","",IF(AND(COUNTIF($CY$2:$CY$6,'История отказов'!AE680)=0,COUNTIF('История отказов'!$AE$5:AE680,'История отказов'!AE680)=1),676,""))</f>
        <v/>
      </c>
      <c r="DI677">
        <f>IF('История отказов'!AK680="","",IF(AND(COUNTIF($CL$2:$CL$3,'История отказов'!AK680)=0,COUNTIF('История отказов'!$AK$5:AK680,'История отказов'!AK680)=1),676,""))</f>
        <v/>
      </c>
      <c r="DJ677">
        <f>IF('История отказов'!AU680="","",IF(AND(COUNTIF($CP$2:$CP$3,'История отказов'!AU680)=0,COUNTIF('История отказов'!$AU$5:AU680,'История отказов'!AU680)=1),676,""))</f>
        <v/>
      </c>
      <c r="DK677">
        <f>IF('История отказов'!AY680="","",IF(AND(COUNTIF($CR$2:$CR$2,'История отказов'!AY680)=0,COUNTIF('История отказов'!$AY$5:AY680,'История отказов'!AY680)=1),676,""))</f>
        <v/>
      </c>
      <c r="DL677">
        <f>IF(DB677="","",IF(AND(COUNTIF($DA$2:$DA$47,DB677)=0,COUNTIF($DB$2:DB677,DB677)=1),676,""))</f>
        <v/>
      </c>
    </row>
    <row r="678">
      <c r="A678" s="74" t="n"/>
      <c r="B678" s="75" t="n"/>
      <c r="C678" s="76" t="n"/>
      <c r="J678" s="62" t="n"/>
      <c r="K678" s="62" t="n"/>
      <c r="L678" s="62" t="n"/>
      <c r="M678" s="62" t="n"/>
      <c r="N678" s="62" t="n"/>
      <c r="DB678">
        <f>IF('История отказов'!AH681="","",'История отказов'!AH681)</f>
        <v/>
      </c>
      <c r="DC678">
        <f>IF('История отказов'!AE681="","",IF(AND(COUNTIF($CT$2:$CT$2,'История отказов'!AE681)=0,COUNTIFS('История отказов'!$F$5:F681,"ШГН",'История отказов'!$AE$5:AE681,'История отказов'!AE681)=1,'История отказов'!F681="ШГН"),677,""))</f>
        <v/>
      </c>
      <c r="DD678">
        <f>IF('История отказов'!AE681="","",IF(AND(COUNTIF($CU$2:$CU$3,'История отказов'!AE681)=0,COUNTIFS('История отказов'!$F$5:F681,"ЭЦН",'История отказов'!$AE$5:AE681,'История отказов'!AE681)=1,'История отказов'!F681="ЭЦН"),677,""))</f>
        <v/>
      </c>
      <c r="DE678">
        <f>IF('История отказов'!AE681="","",IF(AND(COUNTIF($CV$2:$CV$3,'История отказов'!AE681)=0,COUNTIFS('История отказов'!$F$5:F681,"ЭВН",'История отказов'!$AE$5:AE681,'История отказов'!AE681)=1,'История отказов'!F681="ЭВН"),677,""))</f>
        <v/>
      </c>
      <c r="DF678">
        <f>IF('История отказов'!AE681="","",IF(AND(COUNTIF($CX$2:$CX$2,'История отказов'!AE681)=0,COUNTIFS('История отказов'!$F$5:F681,"ШВН",'История отказов'!$AE$5:AE681,'История отказов'!AE681)=1,'История отказов'!F681="ШВН"),677,""))</f>
        <v/>
      </c>
      <c r="DG678">
        <f>IF('История отказов'!AE681="","",IF(AND(COUNTIF($CW$2:$CW$2,'История отказов'!AE681)=0,COUNTIFS('История отказов'!$F$5:F681,"НПУ-ВД",'История отказов'!$AE$5:AE681,'История отказов'!AE681)=1,'История отказов'!F681="НПУ-ВД"),677,""))</f>
        <v/>
      </c>
      <c r="DH678">
        <f>IF('История отказов'!AE681="","",IF(AND(COUNTIF($CY$2:$CY$6,'История отказов'!AE681)=0,COUNTIF('История отказов'!$AE$5:AE681,'История отказов'!AE681)=1),677,""))</f>
        <v/>
      </c>
      <c r="DI678">
        <f>IF('История отказов'!AK681="","",IF(AND(COUNTIF($CL$2:$CL$3,'История отказов'!AK681)=0,COUNTIF('История отказов'!$AK$5:AK681,'История отказов'!AK681)=1),677,""))</f>
        <v/>
      </c>
      <c r="DJ678">
        <f>IF('История отказов'!AU681="","",IF(AND(COUNTIF($CP$2:$CP$3,'История отказов'!AU681)=0,COUNTIF('История отказов'!$AU$5:AU681,'История отказов'!AU681)=1),677,""))</f>
        <v/>
      </c>
      <c r="DK678">
        <f>IF('История отказов'!AY681="","",IF(AND(COUNTIF($CR$2:$CR$2,'История отказов'!AY681)=0,COUNTIF('История отказов'!$AY$5:AY681,'История отказов'!AY681)=1),677,""))</f>
        <v/>
      </c>
      <c r="DL678">
        <f>IF(DB678="","",IF(AND(COUNTIF($DA$2:$DA$47,DB678)=0,COUNTIF($DB$2:DB678,DB678)=1),677,""))</f>
        <v/>
      </c>
    </row>
    <row r="679">
      <c r="A679" s="74" t="n"/>
      <c r="B679" s="75" t="n"/>
      <c r="C679" s="76" t="n"/>
      <c r="J679" s="62" t="n"/>
      <c r="K679" s="62" t="n"/>
      <c r="L679" s="62" t="n"/>
      <c r="M679" s="62" t="n"/>
      <c r="N679" s="62" t="n"/>
      <c r="DB679">
        <f>IF('История отказов'!AH682="","",'История отказов'!AH682)</f>
        <v/>
      </c>
      <c r="DC679">
        <f>IF('История отказов'!AE682="","",IF(AND(COUNTIF($CT$2:$CT$2,'История отказов'!AE682)=0,COUNTIFS('История отказов'!$F$5:F682,"ШГН",'История отказов'!$AE$5:AE682,'История отказов'!AE682)=1,'История отказов'!F682="ШГН"),678,""))</f>
        <v/>
      </c>
      <c r="DD679">
        <f>IF('История отказов'!AE682="","",IF(AND(COUNTIF($CU$2:$CU$3,'История отказов'!AE682)=0,COUNTIFS('История отказов'!$F$5:F682,"ЭЦН",'История отказов'!$AE$5:AE682,'История отказов'!AE682)=1,'История отказов'!F682="ЭЦН"),678,""))</f>
        <v/>
      </c>
      <c r="DE679">
        <f>IF('История отказов'!AE682="","",IF(AND(COUNTIF($CV$2:$CV$3,'История отказов'!AE682)=0,COUNTIFS('История отказов'!$F$5:F682,"ЭВН",'История отказов'!$AE$5:AE682,'История отказов'!AE682)=1,'История отказов'!F682="ЭВН"),678,""))</f>
        <v/>
      </c>
      <c r="DF679">
        <f>IF('История отказов'!AE682="","",IF(AND(COUNTIF($CX$2:$CX$2,'История отказов'!AE682)=0,COUNTIFS('История отказов'!$F$5:F682,"ШВН",'История отказов'!$AE$5:AE682,'История отказов'!AE682)=1,'История отказов'!F682="ШВН"),678,""))</f>
        <v/>
      </c>
      <c r="DG679">
        <f>IF('История отказов'!AE682="","",IF(AND(COUNTIF($CW$2:$CW$2,'История отказов'!AE682)=0,COUNTIFS('История отказов'!$F$5:F682,"НПУ-ВД",'История отказов'!$AE$5:AE682,'История отказов'!AE682)=1,'История отказов'!F682="НПУ-ВД"),678,""))</f>
        <v/>
      </c>
      <c r="DH679">
        <f>IF('История отказов'!AE682="","",IF(AND(COUNTIF($CY$2:$CY$6,'История отказов'!AE682)=0,COUNTIF('История отказов'!$AE$5:AE682,'История отказов'!AE682)=1),678,""))</f>
        <v/>
      </c>
      <c r="DI679">
        <f>IF('История отказов'!AK682="","",IF(AND(COUNTIF($CL$2:$CL$3,'История отказов'!AK682)=0,COUNTIF('История отказов'!$AK$5:AK682,'История отказов'!AK682)=1),678,""))</f>
        <v/>
      </c>
      <c r="DJ679">
        <f>IF('История отказов'!AU682="","",IF(AND(COUNTIF($CP$2:$CP$3,'История отказов'!AU682)=0,COUNTIF('История отказов'!$AU$5:AU682,'История отказов'!AU682)=1),678,""))</f>
        <v/>
      </c>
      <c r="DK679">
        <f>IF('История отказов'!AY682="","",IF(AND(COUNTIF($CR$2:$CR$2,'История отказов'!AY682)=0,COUNTIF('История отказов'!$AY$5:AY682,'История отказов'!AY682)=1),678,""))</f>
        <v/>
      </c>
      <c r="DL679">
        <f>IF(DB679="","",IF(AND(COUNTIF($DA$2:$DA$47,DB679)=0,COUNTIF($DB$2:DB679,DB679)=1),678,""))</f>
        <v/>
      </c>
    </row>
    <row r="680">
      <c r="A680" s="74" t="n"/>
      <c r="B680" s="75" t="n"/>
      <c r="C680" s="76" t="n"/>
      <c r="J680" s="62" t="n"/>
      <c r="K680" s="62" t="n"/>
      <c r="L680" s="62" t="n"/>
      <c r="M680" s="62" t="n"/>
      <c r="N680" s="62" t="n"/>
      <c r="DB680">
        <f>IF('История отказов'!AH683="","",'История отказов'!AH683)</f>
        <v/>
      </c>
      <c r="DC680">
        <f>IF('История отказов'!AE683="","",IF(AND(COUNTIF($CT$2:$CT$2,'История отказов'!AE683)=0,COUNTIFS('История отказов'!$F$5:F683,"ШГН",'История отказов'!$AE$5:AE683,'История отказов'!AE683)=1,'История отказов'!F683="ШГН"),679,""))</f>
        <v/>
      </c>
      <c r="DD680">
        <f>IF('История отказов'!AE683="","",IF(AND(COUNTIF($CU$2:$CU$3,'История отказов'!AE683)=0,COUNTIFS('История отказов'!$F$5:F683,"ЭЦН",'История отказов'!$AE$5:AE683,'История отказов'!AE683)=1,'История отказов'!F683="ЭЦН"),679,""))</f>
        <v/>
      </c>
      <c r="DE680">
        <f>IF('История отказов'!AE683="","",IF(AND(COUNTIF($CV$2:$CV$3,'История отказов'!AE683)=0,COUNTIFS('История отказов'!$F$5:F683,"ЭВН",'История отказов'!$AE$5:AE683,'История отказов'!AE683)=1,'История отказов'!F683="ЭВН"),679,""))</f>
        <v/>
      </c>
      <c r="DF680">
        <f>IF('История отказов'!AE683="","",IF(AND(COUNTIF($CX$2:$CX$2,'История отказов'!AE683)=0,COUNTIFS('История отказов'!$F$5:F683,"ШВН",'История отказов'!$AE$5:AE683,'История отказов'!AE683)=1,'История отказов'!F683="ШВН"),679,""))</f>
        <v/>
      </c>
      <c r="DG680">
        <f>IF('История отказов'!AE683="","",IF(AND(COUNTIF($CW$2:$CW$2,'История отказов'!AE683)=0,COUNTIFS('История отказов'!$F$5:F683,"НПУ-ВД",'История отказов'!$AE$5:AE683,'История отказов'!AE683)=1,'История отказов'!F683="НПУ-ВД"),679,""))</f>
        <v/>
      </c>
      <c r="DH680">
        <f>IF('История отказов'!AE683="","",IF(AND(COUNTIF($CY$2:$CY$6,'История отказов'!AE683)=0,COUNTIF('История отказов'!$AE$5:AE683,'История отказов'!AE683)=1),679,""))</f>
        <v/>
      </c>
      <c r="DI680">
        <f>IF('История отказов'!AK683="","",IF(AND(COUNTIF($CL$2:$CL$3,'История отказов'!AK683)=0,COUNTIF('История отказов'!$AK$5:AK683,'История отказов'!AK683)=1),679,""))</f>
        <v/>
      </c>
      <c r="DJ680">
        <f>IF('История отказов'!AU683="","",IF(AND(COUNTIF($CP$2:$CP$3,'История отказов'!AU683)=0,COUNTIF('История отказов'!$AU$5:AU683,'История отказов'!AU683)=1),679,""))</f>
        <v/>
      </c>
      <c r="DK680">
        <f>IF('История отказов'!AY683="","",IF(AND(COUNTIF($CR$2:$CR$2,'История отказов'!AY683)=0,COUNTIF('История отказов'!$AY$5:AY683,'История отказов'!AY683)=1),679,""))</f>
        <v/>
      </c>
      <c r="DL680">
        <f>IF(DB680="","",IF(AND(COUNTIF($DA$2:$DA$47,DB680)=0,COUNTIF($DB$2:DB680,DB680)=1),679,""))</f>
        <v/>
      </c>
    </row>
    <row r="681">
      <c r="A681" s="74" t="n"/>
      <c r="B681" s="75" t="n"/>
      <c r="C681" s="76" t="n"/>
      <c r="J681" s="62" t="n"/>
      <c r="K681" s="62" t="n"/>
      <c r="L681" s="62" t="n"/>
      <c r="M681" s="62" t="n"/>
      <c r="N681" s="62" t="n"/>
      <c r="DB681">
        <f>IF('История отказов'!AH684="","",'История отказов'!AH684)</f>
        <v/>
      </c>
      <c r="DC681">
        <f>IF('История отказов'!AE684="","",IF(AND(COUNTIF($CT$2:$CT$2,'История отказов'!AE684)=0,COUNTIFS('История отказов'!$F$5:F684,"ШГН",'История отказов'!$AE$5:AE684,'История отказов'!AE684)=1,'История отказов'!F684="ШГН"),680,""))</f>
        <v/>
      </c>
      <c r="DD681">
        <f>IF('История отказов'!AE684="","",IF(AND(COUNTIF($CU$2:$CU$3,'История отказов'!AE684)=0,COUNTIFS('История отказов'!$F$5:F684,"ЭЦН",'История отказов'!$AE$5:AE684,'История отказов'!AE684)=1,'История отказов'!F684="ЭЦН"),680,""))</f>
        <v/>
      </c>
      <c r="DE681">
        <f>IF('История отказов'!AE684="","",IF(AND(COUNTIF($CV$2:$CV$3,'История отказов'!AE684)=0,COUNTIFS('История отказов'!$F$5:F684,"ЭВН",'История отказов'!$AE$5:AE684,'История отказов'!AE684)=1,'История отказов'!F684="ЭВН"),680,""))</f>
        <v/>
      </c>
      <c r="DF681">
        <f>IF('История отказов'!AE684="","",IF(AND(COUNTIF($CX$2:$CX$2,'История отказов'!AE684)=0,COUNTIFS('История отказов'!$F$5:F684,"ШВН",'История отказов'!$AE$5:AE684,'История отказов'!AE684)=1,'История отказов'!F684="ШВН"),680,""))</f>
        <v/>
      </c>
      <c r="DG681">
        <f>IF('История отказов'!AE684="","",IF(AND(COUNTIF($CW$2:$CW$2,'История отказов'!AE684)=0,COUNTIFS('История отказов'!$F$5:F684,"НПУ-ВД",'История отказов'!$AE$5:AE684,'История отказов'!AE684)=1,'История отказов'!F684="НПУ-ВД"),680,""))</f>
        <v/>
      </c>
      <c r="DH681">
        <f>IF('История отказов'!AE684="","",IF(AND(COUNTIF($CY$2:$CY$6,'История отказов'!AE684)=0,COUNTIF('История отказов'!$AE$5:AE684,'История отказов'!AE684)=1),680,""))</f>
        <v/>
      </c>
      <c r="DI681">
        <f>IF('История отказов'!AK684="","",IF(AND(COUNTIF($CL$2:$CL$3,'История отказов'!AK684)=0,COUNTIF('История отказов'!$AK$5:AK684,'История отказов'!AK684)=1),680,""))</f>
        <v/>
      </c>
      <c r="DJ681">
        <f>IF('История отказов'!AU684="","",IF(AND(COUNTIF($CP$2:$CP$3,'История отказов'!AU684)=0,COUNTIF('История отказов'!$AU$5:AU684,'История отказов'!AU684)=1),680,""))</f>
        <v/>
      </c>
      <c r="DK681">
        <f>IF('История отказов'!AY684="","",IF(AND(COUNTIF($CR$2:$CR$2,'История отказов'!AY684)=0,COUNTIF('История отказов'!$AY$5:AY684,'История отказов'!AY684)=1),680,""))</f>
        <v/>
      </c>
      <c r="DL681">
        <f>IF(DB681="","",IF(AND(COUNTIF($DA$2:$DA$47,DB681)=0,COUNTIF($DB$2:DB681,DB681)=1),680,""))</f>
        <v/>
      </c>
    </row>
    <row r="682">
      <c r="A682" s="74" t="n"/>
      <c r="B682" s="75" t="n"/>
      <c r="C682" s="76" t="n"/>
      <c r="J682" s="62" t="n"/>
      <c r="K682" s="62" t="n"/>
      <c r="L682" s="62" t="n"/>
      <c r="M682" s="62" t="n"/>
      <c r="N682" s="62" t="n"/>
      <c r="DB682">
        <f>IF('История отказов'!AH685="","",'История отказов'!AH685)</f>
        <v/>
      </c>
      <c r="DC682">
        <f>IF('История отказов'!AE685="","",IF(AND(COUNTIF($CT$2:$CT$2,'История отказов'!AE685)=0,COUNTIFS('История отказов'!$F$5:F685,"ШГН",'История отказов'!$AE$5:AE685,'История отказов'!AE685)=1,'История отказов'!F685="ШГН"),681,""))</f>
        <v/>
      </c>
      <c r="DD682">
        <f>IF('История отказов'!AE685="","",IF(AND(COUNTIF($CU$2:$CU$3,'История отказов'!AE685)=0,COUNTIFS('История отказов'!$F$5:F685,"ЭЦН",'История отказов'!$AE$5:AE685,'История отказов'!AE685)=1,'История отказов'!F685="ЭЦН"),681,""))</f>
        <v/>
      </c>
      <c r="DE682">
        <f>IF('История отказов'!AE685="","",IF(AND(COUNTIF($CV$2:$CV$3,'История отказов'!AE685)=0,COUNTIFS('История отказов'!$F$5:F685,"ЭВН",'История отказов'!$AE$5:AE685,'История отказов'!AE685)=1,'История отказов'!F685="ЭВН"),681,""))</f>
        <v/>
      </c>
      <c r="DF682">
        <f>IF('История отказов'!AE685="","",IF(AND(COUNTIF($CX$2:$CX$2,'История отказов'!AE685)=0,COUNTIFS('История отказов'!$F$5:F685,"ШВН",'История отказов'!$AE$5:AE685,'История отказов'!AE685)=1,'История отказов'!F685="ШВН"),681,""))</f>
        <v/>
      </c>
      <c r="DG682">
        <f>IF('История отказов'!AE685="","",IF(AND(COUNTIF($CW$2:$CW$2,'История отказов'!AE685)=0,COUNTIFS('История отказов'!$F$5:F685,"НПУ-ВД",'История отказов'!$AE$5:AE685,'История отказов'!AE685)=1,'История отказов'!F685="НПУ-ВД"),681,""))</f>
        <v/>
      </c>
      <c r="DH682">
        <f>IF('История отказов'!AE685="","",IF(AND(COUNTIF($CY$2:$CY$6,'История отказов'!AE685)=0,COUNTIF('История отказов'!$AE$5:AE685,'История отказов'!AE685)=1),681,""))</f>
        <v/>
      </c>
      <c r="DI682">
        <f>IF('История отказов'!AK685="","",IF(AND(COUNTIF($CL$2:$CL$3,'История отказов'!AK685)=0,COUNTIF('История отказов'!$AK$5:AK685,'История отказов'!AK685)=1),681,""))</f>
        <v/>
      </c>
      <c r="DJ682">
        <f>IF('История отказов'!AU685="","",IF(AND(COUNTIF($CP$2:$CP$3,'История отказов'!AU685)=0,COUNTIF('История отказов'!$AU$5:AU685,'История отказов'!AU685)=1),681,""))</f>
        <v/>
      </c>
      <c r="DK682">
        <f>IF('История отказов'!AY685="","",IF(AND(COUNTIF($CR$2:$CR$2,'История отказов'!AY685)=0,COUNTIF('История отказов'!$AY$5:AY685,'История отказов'!AY685)=1),681,""))</f>
        <v/>
      </c>
      <c r="DL682">
        <f>IF(DB682="","",IF(AND(COUNTIF($DA$2:$DA$47,DB682)=0,COUNTIF($DB$2:DB682,DB682)=1),681,""))</f>
        <v/>
      </c>
    </row>
    <row r="683">
      <c r="A683" s="74" t="n"/>
      <c r="B683" s="75" t="n"/>
      <c r="C683" s="76" t="n"/>
      <c r="J683" s="62" t="n"/>
      <c r="K683" s="62" t="n"/>
      <c r="L683" s="62" t="n"/>
      <c r="M683" s="62" t="n"/>
      <c r="N683" s="62" t="n"/>
      <c r="DB683">
        <f>IF('История отказов'!AH686="","",'История отказов'!AH686)</f>
        <v/>
      </c>
      <c r="DC683">
        <f>IF('История отказов'!AE686="","",IF(AND(COUNTIF($CT$2:$CT$2,'История отказов'!AE686)=0,COUNTIFS('История отказов'!$F$5:F686,"ШГН",'История отказов'!$AE$5:AE686,'История отказов'!AE686)=1,'История отказов'!F686="ШГН"),682,""))</f>
        <v/>
      </c>
      <c r="DD683">
        <f>IF('История отказов'!AE686="","",IF(AND(COUNTIF($CU$2:$CU$3,'История отказов'!AE686)=0,COUNTIFS('История отказов'!$F$5:F686,"ЭЦН",'История отказов'!$AE$5:AE686,'История отказов'!AE686)=1,'История отказов'!F686="ЭЦН"),682,""))</f>
        <v/>
      </c>
      <c r="DE683">
        <f>IF('История отказов'!AE686="","",IF(AND(COUNTIF($CV$2:$CV$3,'История отказов'!AE686)=0,COUNTIFS('История отказов'!$F$5:F686,"ЭВН",'История отказов'!$AE$5:AE686,'История отказов'!AE686)=1,'История отказов'!F686="ЭВН"),682,""))</f>
        <v/>
      </c>
      <c r="DF683">
        <f>IF('История отказов'!AE686="","",IF(AND(COUNTIF($CX$2:$CX$2,'История отказов'!AE686)=0,COUNTIFS('История отказов'!$F$5:F686,"ШВН",'История отказов'!$AE$5:AE686,'История отказов'!AE686)=1,'История отказов'!F686="ШВН"),682,""))</f>
        <v/>
      </c>
      <c r="DG683">
        <f>IF('История отказов'!AE686="","",IF(AND(COUNTIF($CW$2:$CW$2,'История отказов'!AE686)=0,COUNTIFS('История отказов'!$F$5:F686,"НПУ-ВД",'История отказов'!$AE$5:AE686,'История отказов'!AE686)=1,'История отказов'!F686="НПУ-ВД"),682,""))</f>
        <v/>
      </c>
      <c r="DH683">
        <f>IF('История отказов'!AE686="","",IF(AND(COUNTIF($CY$2:$CY$6,'История отказов'!AE686)=0,COUNTIF('История отказов'!$AE$5:AE686,'История отказов'!AE686)=1),682,""))</f>
        <v/>
      </c>
      <c r="DI683">
        <f>IF('История отказов'!AK686="","",IF(AND(COUNTIF($CL$2:$CL$3,'История отказов'!AK686)=0,COUNTIF('История отказов'!$AK$5:AK686,'История отказов'!AK686)=1),682,""))</f>
        <v/>
      </c>
      <c r="DJ683">
        <f>IF('История отказов'!AU686="","",IF(AND(COUNTIF($CP$2:$CP$3,'История отказов'!AU686)=0,COUNTIF('История отказов'!$AU$5:AU686,'История отказов'!AU686)=1),682,""))</f>
        <v/>
      </c>
      <c r="DK683">
        <f>IF('История отказов'!AY686="","",IF(AND(COUNTIF($CR$2:$CR$2,'История отказов'!AY686)=0,COUNTIF('История отказов'!$AY$5:AY686,'История отказов'!AY686)=1),682,""))</f>
        <v/>
      </c>
      <c r="DL683">
        <f>IF(DB683="","",IF(AND(COUNTIF($DA$2:$DA$47,DB683)=0,COUNTIF($DB$2:DB683,DB683)=1),682,""))</f>
        <v/>
      </c>
    </row>
    <row r="684">
      <c r="A684" s="74" t="n"/>
      <c r="B684" s="75" t="n"/>
      <c r="C684" s="76" t="n"/>
      <c r="J684" s="62" t="n"/>
      <c r="K684" s="62" t="n"/>
      <c r="L684" s="62" t="n"/>
      <c r="M684" s="62" t="n"/>
      <c r="N684" s="62" t="n"/>
      <c r="DB684">
        <f>IF('История отказов'!AH687="","",'История отказов'!AH687)</f>
        <v/>
      </c>
      <c r="DC684">
        <f>IF('История отказов'!AE687="","",IF(AND(COUNTIF($CT$2:$CT$2,'История отказов'!AE687)=0,COUNTIFS('История отказов'!$F$5:F687,"ШГН",'История отказов'!$AE$5:AE687,'История отказов'!AE687)=1,'История отказов'!F687="ШГН"),683,""))</f>
        <v/>
      </c>
      <c r="DD684">
        <f>IF('История отказов'!AE687="","",IF(AND(COUNTIF($CU$2:$CU$3,'История отказов'!AE687)=0,COUNTIFS('История отказов'!$F$5:F687,"ЭЦН",'История отказов'!$AE$5:AE687,'История отказов'!AE687)=1,'История отказов'!F687="ЭЦН"),683,""))</f>
        <v/>
      </c>
      <c r="DE684">
        <f>IF('История отказов'!AE687="","",IF(AND(COUNTIF($CV$2:$CV$3,'История отказов'!AE687)=0,COUNTIFS('История отказов'!$F$5:F687,"ЭВН",'История отказов'!$AE$5:AE687,'История отказов'!AE687)=1,'История отказов'!F687="ЭВН"),683,""))</f>
        <v/>
      </c>
      <c r="DF684">
        <f>IF('История отказов'!AE687="","",IF(AND(COUNTIF($CX$2:$CX$2,'История отказов'!AE687)=0,COUNTIFS('История отказов'!$F$5:F687,"ШВН",'История отказов'!$AE$5:AE687,'История отказов'!AE687)=1,'История отказов'!F687="ШВН"),683,""))</f>
        <v/>
      </c>
      <c r="DG684">
        <f>IF('История отказов'!AE687="","",IF(AND(COUNTIF($CW$2:$CW$2,'История отказов'!AE687)=0,COUNTIFS('История отказов'!$F$5:F687,"НПУ-ВД",'История отказов'!$AE$5:AE687,'История отказов'!AE687)=1,'История отказов'!F687="НПУ-ВД"),683,""))</f>
        <v/>
      </c>
      <c r="DH684">
        <f>IF('История отказов'!AE687="","",IF(AND(COUNTIF($CY$2:$CY$6,'История отказов'!AE687)=0,COUNTIF('История отказов'!$AE$5:AE687,'История отказов'!AE687)=1),683,""))</f>
        <v/>
      </c>
      <c r="DI684">
        <f>IF('История отказов'!AK687="","",IF(AND(COUNTIF($CL$2:$CL$3,'История отказов'!AK687)=0,COUNTIF('История отказов'!$AK$5:AK687,'История отказов'!AK687)=1),683,""))</f>
        <v/>
      </c>
      <c r="DJ684">
        <f>IF('История отказов'!AU687="","",IF(AND(COUNTIF($CP$2:$CP$3,'История отказов'!AU687)=0,COUNTIF('История отказов'!$AU$5:AU687,'История отказов'!AU687)=1),683,""))</f>
        <v/>
      </c>
      <c r="DK684">
        <f>IF('История отказов'!AY687="","",IF(AND(COUNTIF($CR$2:$CR$2,'История отказов'!AY687)=0,COUNTIF('История отказов'!$AY$5:AY687,'История отказов'!AY687)=1),683,""))</f>
        <v/>
      </c>
      <c r="DL684">
        <f>IF(DB684="","",IF(AND(COUNTIF($DA$2:$DA$47,DB684)=0,COUNTIF($DB$2:DB684,DB684)=1),683,""))</f>
        <v/>
      </c>
    </row>
    <row r="685">
      <c r="A685" s="74" t="n"/>
      <c r="B685" s="75" t="n"/>
      <c r="C685" s="76" t="n"/>
      <c r="J685" s="62" t="n"/>
      <c r="K685" s="62" t="n"/>
      <c r="L685" s="62" t="n"/>
      <c r="M685" s="62" t="n"/>
      <c r="N685" s="62" t="n"/>
      <c r="DB685">
        <f>IF('История отказов'!AH688="","",'История отказов'!AH688)</f>
        <v/>
      </c>
      <c r="DC685">
        <f>IF('История отказов'!AE688="","",IF(AND(COUNTIF($CT$2:$CT$2,'История отказов'!AE688)=0,COUNTIFS('История отказов'!$F$5:F688,"ШГН",'История отказов'!$AE$5:AE688,'История отказов'!AE688)=1,'История отказов'!F688="ШГН"),684,""))</f>
        <v/>
      </c>
      <c r="DD685">
        <f>IF('История отказов'!AE688="","",IF(AND(COUNTIF($CU$2:$CU$3,'История отказов'!AE688)=0,COUNTIFS('История отказов'!$F$5:F688,"ЭЦН",'История отказов'!$AE$5:AE688,'История отказов'!AE688)=1,'История отказов'!F688="ЭЦН"),684,""))</f>
        <v/>
      </c>
      <c r="DE685">
        <f>IF('История отказов'!AE688="","",IF(AND(COUNTIF($CV$2:$CV$3,'История отказов'!AE688)=0,COUNTIFS('История отказов'!$F$5:F688,"ЭВН",'История отказов'!$AE$5:AE688,'История отказов'!AE688)=1,'История отказов'!F688="ЭВН"),684,""))</f>
        <v/>
      </c>
      <c r="DF685">
        <f>IF('История отказов'!AE688="","",IF(AND(COUNTIF($CX$2:$CX$2,'История отказов'!AE688)=0,COUNTIFS('История отказов'!$F$5:F688,"ШВН",'История отказов'!$AE$5:AE688,'История отказов'!AE688)=1,'История отказов'!F688="ШВН"),684,""))</f>
        <v/>
      </c>
      <c r="DG685">
        <f>IF('История отказов'!AE688="","",IF(AND(COUNTIF($CW$2:$CW$2,'История отказов'!AE688)=0,COUNTIFS('История отказов'!$F$5:F688,"НПУ-ВД",'История отказов'!$AE$5:AE688,'История отказов'!AE688)=1,'История отказов'!F688="НПУ-ВД"),684,""))</f>
        <v/>
      </c>
      <c r="DH685">
        <f>IF('История отказов'!AE688="","",IF(AND(COUNTIF($CY$2:$CY$6,'История отказов'!AE688)=0,COUNTIF('История отказов'!$AE$5:AE688,'История отказов'!AE688)=1),684,""))</f>
        <v/>
      </c>
      <c r="DI685">
        <f>IF('История отказов'!AK688="","",IF(AND(COUNTIF($CL$2:$CL$3,'История отказов'!AK688)=0,COUNTIF('История отказов'!$AK$5:AK688,'История отказов'!AK688)=1),684,""))</f>
        <v/>
      </c>
      <c r="DJ685">
        <f>IF('История отказов'!AU688="","",IF(AND(COUNTIF($CP$2:$CP$3,'История отказов'!AU688)=0,COUNTIF('История отказов'!$AU$5:AU688,'История отказов'!AU688)=1),684,""))</f>
        <v/>
      </c>
      <c r="DK685">
        <f>IF('История отказов'!AY688="","",IF(AND(COUNTIF($CR$2:$CR$2,'История отказов'!AY688)=0,COUNTIF('История отказов'!$AY$5:AY688,'История отказов'!AY688)=1),684,""))</f>
        <v/>
      </c>
      <c r="DL685">
        <f>IF(DB685="","",IF(AND(COUNTIF($DA$2:$DA$47,DB685)=0,COUNTIF($DB$2:DB685,DB685)=1),684,""))</f>
        <v/>
      </c>
    </row>
    <row r="686">
      <c r="A686" s="74" t="n"/>
      <c r="B686" s="75" t="n"/>
      <c r="C686" s="76" t="n"/>
      <c r="J686" s="62" t="n"/>
      <c r="K686" s="62" t="n"/>
      <c r="L686" s="62" t="n"/>
      <c r="M686" s="62" t="n"/>
      <c r="N686" s="62" t="n"/>
      <c r="DB686">
        <f>IF('История отказов'!AH689="","",'История отказов'!AH689)</f>
        <v/>
      </c>
      <c r="DC686">
        <f>IF('История отказов'!AE689="","",IF(AND(COUNTIF($CT$2:$CT$2,'История отказов'!AE689)=0,COUNTIFS('История отказов'!$F$5:F689,"ШГН",'История отказов'!$AE$5:AE689,'История отказов'!AE689)=1,'История отказов'!F689="ШГН"),685,""))</f>
        <v/>
      </c>
      <c r="DD686">
        <f>IF('История отказов'!AE689="","",IF(AND(COUNTIF($CU$2:$CU$3,'История отказов'!AE689)=0,COUNTIFS('История отказов'!$F$5:F689,"ЭЦН",'История отказов'!$AE$5:AE689,'История отказов'!AE689)=1,'История отказов'!F689="ЭЦН"),685,""))</f>
        <v/>
      </c>
      <c r="DE686">
        <f>IF('История отказов'!AE689="","",IF(AND(COUNTIF($CV$2:$CV$3,'История отказов'!AE689)=0,COUNTIFS('История отказов'!$F$5:F689,"ЭВН",'История отказов'!$AE$5:AE689,'История отказов'!AE689)=1,'История отказов'!F689="ЭВН"),685,""))</f>
        <v/>
      </c>
      <c r="DF686">
        <f>IF('История отказов'!AE689="","",IF(AND(COUNTIF($CX$2:$CX$2,'История отказов'!AE689)=0,COUNTIFS('История отказов'!$F$5:F689,"ШВН",'История отказов'!$AE$5:AE689,'История отказов'!AE689)=1,'История отказов'!F689="ШВН"),685,""))</f>
        <v/>
      </c>
      <c r="DG686">
        <f>IF('История отказов'!AE689="","",IF(AND(COUNTIF($CW$2:$CW$2,'История отказов'!AE689)=0,COUNTIFS('История отказов'!$F$5:F689,"НПУ-ВД",'История отказов'!$AE$5:AE689,'История отказов'!AE689)=1,'История отказов'!F689="НПУ-ВД"),685,""))</f>
        <v/>
      </c>
      <c r="DH686">
        <f>IF('История отказов'!AE689="","",IF(AND(COUNTIF($CY$2:$CY$6,'История отказов'!AE689)=0,COUNTIF('История отказов'!$AE$5:AE689,'История отказов'!AE689)=1),685,""))</f>
        <v/>
      </c>
      <c r="DI686">
        <f>IF('История отказов'!AK689="","",IF(AND(COUNTIF($CL$2:$CL$3,'История отказов'!AK689)=0,COUNTIF('История отказов'!$AK$5:AK689,'История отказов'!AK689)=1),685,""))</f>
        <v/>
      </c>
      <c r="DJ686">
        <f>IF('История отказов'!AU689="","",IF(AND(COUNTIF($CP$2:$CP$3,'История отказов'!AU689)=0,COUNTIF('История отказов'!$AU$5:AU689,'История отказов'!AU689)=1),685,""))</f>
        <v/>
      </c>
      <c r="DK686">
        <f>IF('История отказов'!AY689="","",IF(AND(COUNTIF($CR$2:$CR$2,'История отказов'!AY689)=0,COUNTIF('История отказов'!$AY$5:AY689,'История отказов'!AY689)=1),685,""))</f>
        <v/>
      </c>
      <c r="DL686">
        <f>IF(DB686="","",IF(AND(COUNTIF($DA$2:$DA$47,DB686)=0,COUNTIF($DB$2:DB686,DB686)=1),685,""))</f>
        <v/>
      </c>
    </row>
    <row r="687">
      <c r="A687" s="74" t="n"/>
      <c r="B687" s="75" t="n"/>
      <c r="C687" s="76" t="n"/>
      <c r="J687" s="62" t="n"/>
      <c r="K687" s="62" t="n"/>
      <c r="L687" s="62" t="n"/>
      <c r="M687" s="62" t="n"/>
      <c r="N687" s="62" t="n"/>
      <c r="DB687">
        <f>IF('История отказов'!AH690="","",'История отказов'!AH690)</f>
        <v/>
      </c>
      <c r="DC687">
        <f>IF('История отказов'!AE690="","",IF(AND(COUNTIF($CT$2:$CT$2,'История отказов'!AE690)=0,COUNTIFS('История отказов'!$F$5:F690,"ШГН",'История отказов'!$AE$5:AE690,'История отказов'!AE690)=1,'История отказов'!F690="ШГН"),686,""))</f>
        <v/>
      </c>
      <c r="DD687">
        <f>IF('История отказов'!AE690="","",IF(AND(COUNTIF($CU$2:$CU$3,'История отказов'!AE690)=0,COUNTIFS('История отказов'!$F$5:F690,"ЭЦН",'История отказов'!$AE$5:AE690,'История отказов'!AE690)=1,'История отказов'!F690="ЭЦН"),686,""))</f>
        <v/>
      </c>
      <c r="DE687">
        <f>IF('История отказов'!AE690="","",IF(AND(COUNTIF($CV$2:$CV$3,'История отказов'!AE690)=0,COUNTIFS('История отказов'!$F$5:F690,"ЭВН",'История отказов'!$AE$5:AE690,'История отказов'!AE690)=1,'История отказов'!F690="ЭВН"),686,""))</f>
        <v/>
      </c>
      <c r="DF687">
        <f>IF('История отказов'!AE690="","",IF(AND(COUNTIF($CX$2:$CX$2,'История отказов'!AE690)=0,COUNTIFS('История отказов'!$F$5:F690,"ШВН",'История отказов'!$AE$5:AE690,'История отказов'!AE690)=1,'История отказов'!F690="ШВН"),686,""))</f>
        <v/>
      </c>
      <c r="DG687">
        <f>IF('История отказов'!AE690="","",IF(AND(COUNTIF($CW$2:$CW$2,'История отказов'!AE690)=0,COUNTIFS('История отказов'!$F$5:F690,"НПУ-ВД",'История отказов'!$AE$5:AE690,'История отказов'!AE690)=1,'История отказов'!F690="НПУ-ВД"),686,""))</f>
        <v/>
      </c>
      <c r="DH687">
        <f>IF('История отказов'!AE690="","",IF(AND(COUNTIF($CY$2:$CY$6,'История отказов'!AE690)=0,COUNTIF('История отказов'!$AE$5:AE690,'История отказов'!AE690)=1),686,""))</f>
        <v/>
      </c>
      <c r="DI687">
        <f>IF('История отказов'!AK690="","",IF(AND(COUNTIF($CL$2:$CL$3,'История отказов'!AK690)=0,COUNTIF('История отказов'!$AK$5:AK690,'История отказов'!AK690)=1),686,""))</f>
        <v/>
      </c>
      <c r="DJ687">
        <f>IF('История отказов'!AU690="","",IF(AND(COUNTIF($CP$2:$CP$3,'История отказов'!AU690)=0,COUNTIF('История отказов'!$AU$5:AU690,'История отказов'!AU690)=1),686,""))</f>
        <v/>
      </c>
      <c r="DK687">
        <f>IF('История отказов'!AY690="","",IF(AND(COUNTIF($CR$2:$CR$2,'История отказов'!AY690)=0,COUNTIF('История отказов'!$AY$5:AY690,'История отказов'!AY690)=1),686,""))</f>
        <v/>
      </c>
      <c r="DL687">
        <f>IF(DB687="","",IF(AND(COUNTIF($DA$2:$DA$47,DB687)=0,COUNTIF($DB$2:DB687,DB687)=1),686,""))</f>
        <v/>
      </c>
    </row>
    <row r="688">
      <c r="A688" s="74" t="n"/>
      <c r="B688" s="75" t="n"/>
      <c r="C688" s="76" t="n"/>
      <c r="J688" s="62" t="n"/>
      <c r="K688" s="62" t="n"/>
      <c r="L688" s="62" t="n"/>
      <c r="M688" s="62" t="n"/>
      <c r="N688" s="62" t="n"/>
      <c r="DB688">
        <f>IF('История отказов'!AH691="","",'История отказов'!AH691)</f>
        <v/>
      </c>
      <c r="DC688">
        <f>IF('История отказов'!AE691="","",IF(AND(COUNTIF($CT$2:$CT$2,'История отказов'!AE691)=0,COUNTIFS('История отказов'!$F$5:F691,"ШГН",'История отказов'!$AE$5:AE691,'История отказов'!AE691)=1,'История отказов'!F691="ШГН"),687,""))</f>
        <v/>
      </c>
      <c r="DD688">
        <f>IF('История отказов'!AE691="","",IF(AND(COUNTIF($CU$2:$CU$3,'История отказов'!AE691)=0,COUNTIFS('История отказов'!$F$5:F691,"ЭЦН",'История отказов'!$AE$5:AE691,'История отказов'!AE691)=1,'История отказов'!F691="ЭЦН"),687,""))</f>
        <v/>
      </c>
      <c r="DE688">
        <f>IF('История отказов'!AE691="","",IF(AND(COUNTIF($CV$2:$CV$3,'История отказов'!AE691)=0,COUNTIFS('История отказов'!$F$5:F691,"ЭВН",'История отказов'!$AE$5:AE691,'История отказов'!AE691)=1,'История отказов'!F691="ЭВН"),687,""))</f>
        <v/>
      </c>
      <c r="DF688">
        <f>IF('История отказов'!AE691="","",IF(AND(COUNTIF($CX$2:$CX$2,'История отказов'!AE691)=0,COUNTIFS('История отказов'!$F$5:F691,"ШВН",'История отказов'!$AE$5:AE691,'История отказов'!AE691)=1,'История отказов'!F691="ШВН"),687,""))</f>
        <v/>
      </c>
      <c r="DG688">
        <f>IF('История отказов'!AE691="","",IF(AND(COUNTIF($CW$2:$CW$2,'История отказов'!AE691)=0,COUNTIFS('История отказов'!$F$5:F691,"НПУ-ВД",'История отказов'!$AE$5:AE691,'История отказов'!AE691)=1,'История отказов'!F691="НПУ-ВД"),687,""))</f>
        <v/>
      </c>
      <c r="DH688">
        <f>IF('История отказов'!AE691="","",IF(AND(COUNTIF($CY$2:$CY$6,'История отказов'!AE691)=0,COUNTIF('История отказов'!$AE$5:AE691,'История отказов'!AE691)=1),687,""))</f>
        <v/>
      </c>
      <c r="DI688">
        <f>IF('История отказов'!AK691="","",IF(AND(COUNTIF($CL$2:$CL$3,'История отказов'!AK691)=0,COUNTIF('История отказов'!$AK$5:AK691,'История отказов'!AK691)=1),687,""))</f>
        <v/>
      </c>
      <c r="DJ688">
        <f>IF('История отказов'!AU691="","",IF(AND(COUNTIF($CP$2:$CP$3,'История отказов'!AU691)=0,COUNTIF('История отказов'!$AU$5:AU691,'История отказов'!AU691)=1),687,""))</f>
        <v/>
      </c>
      <c r="DK688">
        <f>IF('История отказов'!AY691="","",IF(AND(COUNTIF($CR$2:$CR$2,'История отказов'!AY691)=0,COUNTIF('История отказов'!$AY$5:AY691,'История отказов'!AY691)=1),687,""))</f>
        <v/>
      </c>
      <c r="DL688">
        <f>IF(DB688="","",IF(AND(COUNTIF($DA$2:$DA$47,DB688)=0,COUNTIF($DB$2:DB688,DB688)=1),687,""))</f>
        <v/>
      </c>
    </row>
    <row r="689">
      <c r="A689" s="74" t="n"/>
      <c r="B689" s="75" t="n"/>
      <c r="C689" s="76" t="n"/>
      <c r="J689" s="62" t="n"/>
      <c r="K689" s="62" t="n"/>
      <c r="L689" s="62" t="n"/>
      <c r="M689" s="62" t="n"/>
      <c r="N689" s="62" t="n"/>
      <c r="DB689">
        <f>IF('История отказов'!AH692="","",'История отказов'!AH692)</f>
        <v/>
      </c>
      <c r="DC689">
        <f>IF('История отказов'!AE692="","",IF(AND(COUNTIF($CT$2:$CT$2,'История отказов'!AE692)=0,COUNTIFS('История отказов'!$F$5:F692,"ШГН",'История отказов'!$AE$5:AE692,'История отказов'!AE692)=1,'История отказов'!F692="ШГН"),688,""))</f>
        <v/>
      </c>
      <c r="DD689">
        <f>IF('История отказов'!AE692="","",IF(AND(COUNTIF($CU$2:$CU$3,'История отказов'!AE692)=0,COUNTIFS('История отказов'!$F$5:F692,"ЭЦН",'История отказов'!$AE$5:AE692,'История отказов'!AE692)=1,'История отказов'!F692="ЭЦН"),688,""))</f>
        <v/>
      </c>
      <c r="DE689">
        <f>IF('История отказов'!AE692="","",IF(AND(COUNTIF($CV$2:$CV$3,'История отказов'!AE692)=0,COUNTIFS('История отказов'!$F$5:F692,"ЭВН",'История отказов'!$AE$5:AE692,'История отказов'!AE692)=1,'История отказов'!F692="ЭВН"),688,""))</f>
        <v/>
      </c>
      <c r="DF689">
        <f>IF('История отказов'!AE692="","",IF(AND(COUNTIF($CX$2:$CX$2,'История отказов'!AE692)=0,COUNTIFS('История отказов'!$F$5:F692,"ШВН",'История отказов'!$AE$5:AE692,'История отказов'!AE692)=1,'История отказов'!F692="ШВН"),688,""))</f>
        <v/>
      </c>
      <c r="DG689">
        <f>IF('История отказов'!AE692="","",IF(AND(COUNTIF($CW$2:$CW$2,'История отказов'!AE692)=0,COUNTIFS('История отказов'!$F$5:F692,"НПУ-ВД",'История отказов'!$AE$5:AE692,'История отказов'!AE692)=1,'История отказов'!F692="НПУ-ВД"),688,""))</f>
        <v/>
      </c>
      <c r="DH689">
        <f>IF('История отказов'!AE692="","",IF(AND(COUNTIF($CY$2:$CY$6,'История отказов'!AE692)=0,COUNTIF('История отказов'!$AE$5:AE692,'История отказов'!AE692)=1),688,""))</f>
        <v/>
      </c>
      <c r="DI689">
        <f>IF('История отказов'!AK692="","",IF(AND(COUNTIF($CL$2:$CL$3,'История отказов'!AK692)=0,COUNTIF('История отказов'!$AK$5:AK692,'История отказов'!AK692)=1),688,""))</f>
        <v/>
      </c>
      <c r="DJ689">
        <f>IF('История отказов'!AU692="","",IF(AND(COUNTIF($CP$2:$CP$3,'История отказов'!AU692)=0,COUNTIF('История отказов'!$AU$5:AU692,'История отказов'!AU692)=1),688,""))</f>
        <v/>
      </c>
      <c r="DK689">
        <f>IF('История отказов'!AY692="","",IF(AND(COUNTIF($CR$2:$CR$2,'История отказов'!AY692)=0,COUNTIF('История отказов'!$AY$5:AY692,'История отказов'!AY692)=1),688,""))</f>
        <v/>
      </c>
      <c r="DL689">
        <f>IF(DB689="","",IF(AND(COUNTIF($DA$2:$DA$47,DB689)=0,COUNTIF($DB$2:DB689,DB689)=1),688,""))</f>
        <v/>
      </c>
    </row>
    <row r="690">
      <c r="A690" s="74" t="n"/>
      <c r="B690" s="75" t="n"/>
      <c r="C690" s="76" t="n"/>
      <c r="J690" s="62" t="n"/>
      <c r="K690" s="62" t="n"/>
      <c r="L690" s="62" t="n"/>
      <c r="M690" s="62" t="n"/>
      <c r="N690" s="62" t="n"/>
      <c r="DB690">
        <f>IF('История отказов'!AH693="","",'История отказов'!AH693)</f>
        <v/>
      </c>
      <c r="DC690">
        <f>IF('История отказов'!AE693="","",IF(AND(COUNTIF($CT$2:$CT$2,'История отказов'!AE693)=0,COUNTIFS('История отказов'!$F$5:F693,"ШГН",'История отказов'!$AE$5:AE693,'История отказов'!AE693)=1,'История отказов'!F693="ШГН"),689,""))</f>
        <v/>
      </c>
      <c r="DD690">
        <f>IF('История отказов'!AE693="","",IF(AND(COUNTIF($CU$2:$CU$3,'История отказов'!AE693)=0,COUNTIFS('История отказов'!$F$5:F693,"ЭЦН",'История отказов'!$AE$5:AE693,'История отказов'!AE693)=1,'История отказов'!F693="ЭЦН"),689,""))</f>
        <v/>
      </c>
      <c r="DE690">
        <f>IF('История отказов'!AE693="","",IF(AND(COUNTIF($CV$2:$CV$3,'История отказов'!AE693)=0,COUNTIFS('История отказов'!$F$5:F693,"ЭВН",'История отказов'!$AE$5:AE693,'История отказов'!AE693)=1,'История отказов'!F693="ЭВН"),689,""))</f>
        <v/>
      </c>
      <c r="DF690">
        <f>IF('История отказов'!AE693="","",IF(AND(COUNTIF($CX$2:$CX$2,'История отказов'!AE693)=0,COUNTIFS('История отказов'!$F$5:F693,"ШВН",'История отказов'!$AE$5:AE693,'История отказов'!AE693)=1,'История отказов'!F693="ШВН"),689,""))</f>
        <v/>
      </c>
      <c r="DG690">
        <f>IF('История отказов'!AE693="","",IF(AND(COUNTIF($CW$2:$CW$2,'История отказов'!AE693)=0,COUNTIFS('История отказов'!$F$5:F693,"НПУ-ВД",'История отказов'!$AE$5:AE693,'История отказов'!AE693)=1,'История отказов'!F693="НПУ-ВД"),689,""))</f>
        <v/>
      </c>
      <c r="DH690">
        <f>IF('История отказов'!AE693="","",IF(AND(COUNTIF($CY$2:$CY$6,'История отказов'!AE693)=0,COUNTIF('История отказов'!$AE$5:AE693,'История отказов'!AE693)=1),689,""))</f>
        <v/>
      </c>
      <c r="DI690">
        <f>IF('История отказов'!AK693="","",IF(AND(COUNTIF($CL$2:$CL$3,'История отказов'!AK693)=0,COUNTIF('История отказов'!$AK$5:AK693,'История отказов'!AK693)=1),689,""))</f>
        <v/>
      </c>
      <c r="DJ690">
        <f>IF('История отказов'!AU693="","",IF(AND(COUNTIF($CP$2:$CP$3,'История отказов'!AU693)=0,COUNTIF('История отказов'!$AU$5:AU693,'История отказов'!AU693)=1),689,""))</f>
        <v/>
      </c>
      <c r="DK690">
        <f>IF('История отказов'!AY693="","",IF(AND(COUNTIF($CR$2:$CR$2,'История отказов'!AY693)=0,COUNTIF('История отказов'!$AY$5:AY693,'История отказов'!AY693)=1),689,""))</f>
        <v/>
      </c>
      <c r="DL690">
        <f>IF(DB690="","",IF(AND(COUNTIF($DA$2:$DA$47,DB690)=0,COUNTIF($DB$2:DB690,DB690)=1),689,""))</f>
        <v/>
      </c>
    </row>
    <row r="691">
      <c r="A691" s="74" t="n"/>
      <c r="B691" s="75" t="n"/>
      <c r="C691" s="76" t="n"/>
      <c r="J691" s="62" t="n"/>
      <c r="K691" s="62" t="n"/>
      <c r="L691" s="62" t="n"/>
      <c r="M691" s="62" t="n"/>
      <c r="N691" s="62" t="n"/>
      <c r="DB691">
        <f>IF('История отказов'!AH694="","",'История отказов'!AH694)</f>
        <v/>
      </c>
      <c r="DC691">
        <f>IF('История отказов'!AE694="","",IF(AND(COUNTIF($CT$2:$CT$2,'История отказов'!AE694)=0,COUNTIFS('История отказов'!$F$5:F694,"ШГН",'История отказов'!$AE$5:AE694,'История отказов'!AE694)=1,'История отказов'!F694="ШГН"),690,""))</f>
        <v/>
      </c>
      <c r="DD691">
        <f>IF('История отказов'!AE694="","",IF(AND(COUNTIF($CU$2:$CU$3,'История отказов'!AE694)=0,COUNTIFS('История отказов'!$F$5:F694,"ЭЦН",'История отказов'!$AE$5:AE694,'История отказов'!AE694)=1,'История отказов'!F694="ЭЦН"),690,""))</f>
        <v/>
      </c>
      <c r="DE691">
        <f>IF('История отказов'!AE694="","",IF(AND(COUNTIF($CV$2:$CV$3,'История отказов'!AE694)=0,COUNTIFS('История отказов'!$F$5:F694,"ЭВН",'История отказов'!$AE$5:AE694,'История отказов'!AE694)=1,'История отказов'!F694="ЭВН"),690,""))</f>
        <v/>
      </c>
      <c r="DF691">
        <f>IF('История отказов'!AE694="","",IF(AND(COUNTIF($CX$2:$CX$2,'История отказов'!AE694)=0,COUNTIFS('История отказов'!$F$5:F694,"ШВН",'История отказов'!$AE$5:AE694,'История отказов'!AE694)=1,'История отказов'!F694="ШВН"),690,""))</f>
        <v/>
      </c>
      <c r="DG691">
        <f>IF('История отказов'!AE694="","",IF(AND(COUNTIF($CW$2:$CW$2,'История отказов'!AE694)=0,COUNTIFS('История отказов'!$F$5:F694,"НПУ-ВД",'История отказов'!$AE$5:AE694,'История отказов'!AE694)=1,'История отказов'!F694="НПУ-ВД"),690,""))</f>
        <v/>
      </c>
      <c r="DH691">
        <f>IF('История отказов'!AE694="","",IF(AND(COUNTIF($CY$2:$CY$6,'История отказов'!AE694)=0,COUNTIF('История отказов'!$AE$5:AE694,'История отказов'!AE694)=1),690,""))</f>
        <v/>
      </c>
      <c r="DI691">
        <f>IF('История отказов'!AK694="","",IF(AND(COUNTIF($CL$2:$CL$3,'История отказов'!AK694)=0,COUNTIF('История отказов'!$AK$5:AK694,'История отказов'!AK694)=1),690,""))</f>
        <v/>
      </c>
      <c r="DJ691">
        <f>IF('История отказов'!AU694="","",IF(AND(COUNTIF($CP$2:$CP$3,'История отказов'!AU694)=0,COUNTIF('История отказов'!$AU$5:AU694,'История отказов'!AU694)=1),690,""))</f>
        <v/>
      </c>
      <c r="DK691">
        <f>IF('История отказов'!AY694="","",IF(AND(COUNTIF($CR$2:$CR$2,'История отказов'!AY694)=0,COUNTIF('История отказов'!$AY$5:AY694,'История отказов'!AY694)=1),690,""))</f>
        <v/>
      </c>
      <c r="DL691">
        <f>IF(DB691="","",IF(AND(COUNTIF($DA$2:$DA$47,DB691)=0,COUNTIF($DB$2:DB691,DB691)=1),690,""))</f>
        <v/>
      </c>
    </row>
    <row r="692">
      <c r="A692" s="74" t="n"/>
      <c r="B692" s="75" t="n"/>
      <c r="C692" s="76" t="n"/>
      <c r="J692" s="62" t="n"/>
      <c r="K692" s="62" t="n"/>
      <c r="L692" s="62" t="n"/>
      <c r="M692" s="62" t="n"/>
      <c r="N692" s="62" t="n"/>
      <c r="DB692">
        <f>IF('История отказов'!AH695="","",'История отказов'!AH695)</f>
        <v/>
      </c>
      <c r="DC692">
        <f>IF('История отказов'!AE695="","",IF(AND(COUNTIF($CT$2:$CT$2,'История отказов'!AE695)=0,COUNTIFS('История отказов'!$F$5:F695,"ШГН",'История отказов'!$AE$5:AE695,'История отказов'!AE695)=1,'История отказов'!F695="ШГН"),691,""))</f>
        <v/>
      </c>
      <c r="DD692">
        <f>IF('История отказов'!AE695="","",IF(AND(COUNTIF($CU$2:$CU$3,'История отказов'!AE695)=0,COUNTIFS('История отказов'!$F$5:F695,"ЭЦН",'История отказов'!$AE$5:AE695,'История отказов'!AE695)=1,'История отказов'!F695="ЭЦН"),691,""))</f>
        <v/>
      </c>
      <c r="DE692">
        <f>IF('История отказов'!AE695="","",IF(AND(COUNTIF($CV$2:$CV$3,'История отказов'!AE695)=0,COUNTIFS('История отказов'!$F$5:F695,"ЭВН",'История отказов'!$AE$5:AE695,'История отказов'!AE695)=1,'История отказов'!F695="ЭВН"),691,""))</f>
        <v/>
      </c>
      <c r="DF692">
        <f>IF('История отказов'!AE695="","",IF(AND(COUNTIF($CX$2:$CX$2,'История отказов'!AE695)=0,COUNTIFS('История отказов'!$F$5:F695,"ШВН",'История отказов'!$AE$5:AE695,'История отказов'!AE695)=1,'История отказов'!F695="ШВН"),691,""))</f>
        <v/>
      </c>
      <c r="DG692">
        <f>IF('История отказов'!AE695="","",IF(AND(COUNTIF($CW$2:$CW$2,'История отказов'!AE695)=0,COUNTIFS('История отказов'!$F$5:F695,"НПУ-ВД",'История отказов'!$AE$5:AE695,'История отказов'!AE695)=1,'История отказов'!F695="НПУ-ВД"),691,""))</f>
        <v/>
      </c>
      <c r="DH692">
        <f>IF('История отказов'!AE695="","",IF(AND(COUNTIF($CY$2:$CY$6,'История отказов'!AE695)=0,COUNTIF('История отказов'!$AE$5:AE695,'История отказов'!AE695)=1),691,""))</f>
        <v/>
      </c>
      <c r="DI692">
        <f>IF('История отказов'!AK695="","",IF(AND(COUNTIF($CL$2:$CL$3,'История отказов'!AK695)=0,COUNTIF('История отказов'!$AK$5:AK695,'История отказов'!AK695)=1),691,""))</f>
        <v/>
      </c>
      <c r="DJ692">
        <f>IF('История отказов'!AU695="","",IF(AND(COUNTIF($CP$2:$CP$3,'История отказов'!AU695)=0,COUNTIF('История отказов'!$AU$5:AU695,'История отказов'!AU695)=1),691,""))</f>
        <v/>
      </c>
      <c r="DK692">
        <f>IF('История отказов'!AY695="","",IF(AND(COUNTIF($CR$2:$CR$2,'История отказов'!AY695)=0,COUNTIF('История отказов'!$AY$5:AY695,'История отказов'!AY695)=1),691,""))</f>
        <v/>
      </c>
      <c r="DL692">
        <f>IF(DB692="","",IF(AND(COUNTIF($DA$2:$DA$47,DB692)=0,COUNTIF($DB$2:DB692,DB692)=1),691,""))</f>
        <v/>
      </c>
    </row>
    <row r="693">
      <c r="A693" s="74" t="n"/>
      <c r="B693" s="75" t="n"/>
      <c r="C693" s="76" t="n"/>
      <c r="J693" s="62" t="n"/>
      <c r="K693" s="62" t="n"/>
      <c r="L693" s="62" t="n"/>
      <c r="M693" s="62" t="n"/>
      <c r="N693" s="62" t="n"/>
      <c r="DB693">
        <f>IF('История отказов'!AH696="","",'История отказов'!AH696)</f>
        <v/>
      </c>
      <c r="DC693">
        <f>IF('История отказов'!AE696="","",IF(AND(COUNTIF($CT$2:$CT$2,'История отказов'!AE696)=0,COUNTIFS('История отказов'!$F$5:F696,"ШГН",'История отказов'!$AE$5:AE696,'История отказов'!AE696)=1,'История отказов'!F696="ШГН"),692,""))</f>
        <v/>
      </c>
      <c r="DD693">
        <f>IF('История отказов'!AE696="","",IF(AND(COUNTIF($CU$2:$CU$3,'История отказов'!AE696)=0,COUNTIFS('История отказов'!$F$5:F696,"ЭЦН",'История отказов'!$AE$5:AE696,'История отказов'!AE696)=1,'История отказов'!F696="ЭЦН"),692,""))</f>
        <v/>
      </c>
      <c r="DE693">
        <f>IF('История отказов'!AE696="","",IF(AND(COUNTIF($CV$2:$CV$3,'История отказов'!AE696)=0,COUNTIFS('История отказов'!$F$5:F696,"ЭВН",'История отказов'!$AE$5:AE696,'История отказов'!AE696)=1,'История отказов'!F696="ЭВН"),692,""))</f>
        <v/>
      </c>
      <c r="DF693">
        <f>IF('История отказов'!AE696="","",IF(AND(COUNTIF($CX$2:$CX$2,'История отказов'!AE696)=0,COUNTIFS('История отказов'!$F$5:F696,"ШВН",'История отказов'!$AE$5:AE696,'История отказов'!AE696)=1,'История отказов'!F696="ШВН"),692,""))</f>
        <v/>
      </c>
      <c r="DG693">
        <f>IF('История отказов'!AE696="","",IF(AND(COUNTIF($CW$2:$CW$2,'История отказов'!AE696)=0,COUNTIFS('История отказов'!$F$5:F696,"НПУ-ВД",'История отказов'!$AE$5:AE696,'История отказов'!AE696)=1,'История отказов'!F696="НПУ-ВД"),692,""))</f>
        <v/>
      </c>
      <c r="DH693">
        <f>IF('История отказов'!AE696="","",IF(AND(COUNTIF($CY$2:$CY$6,'История отказов'!AE696)=0,COUNTIF('История отказов'!$AE$5:AE696,'История отказов'!AE696)=1),692,""))</f>
        <v/>
      </c>
      <c r="DI693">
        <f>IF('История отказов'!AK696="","",IF(AND(COUNTIF($CL$2:$CL$3,'История отказов'!AK696)=0,COUNTIF('История отказов'!$AK$5:AK696,'История отказов'!AK696)=1),692,""))</f>
        <v/>
      </c>
      <c r="DJ693">
        <f>IF('История отказов'!AU696="","",IF(AND(COUNTIF($CP$2:$CP$3,'История отказов'!AU696)=0,COUNTIF('История отказов'!$AU$5:AU696,'История отказов'!AU696)=1),692,""))</f>
        <v/>
      </c>
      <c r="DK693">
        <f>IF('История отказов'!AY696="","",IF(AND(COUNTIF($CR$2:$CR$2,'История отказов'!AY696)=0,COUNTIF('История отказов'!$AY$5:AY696,'История отказов'!AY696)=1),692,""))</f>
        <v/>
      </c>
      <c r="DL693">
        <f>IF(DB693="","",IF(AND(COUNTIF($DA$2:$DA$47,DB693)=0,COUNTIF($DB$2:DB693,DB693)=1),692,""))</f>
        <v/>
      </c>
    </row>
    <row r="694">
      <c r="A694" s="74" t="n"/>
      <c r="B694" s="75" t="n"/>
      <c r="C694" s="76" t="n"/>
      <c r="J694" s="62" t="n"/>
      <c r="K694" s="62" t="n"/>
      <c r="L694" s="62" t="n"/>
      <c r="M694" s="62" t="n"/>
      <c r="N694" s="62" t="n"/>
      <c r="DB694">
        <f>IF('История отказов'!AH697="","",'История отказов'!AH697)</f>
        <v/>
      </c>
      <c r="DC694">
        <f>IF('История отказов'!AE697="","",IF(AND(COUNTIF($CT$2:$CT$2,'История отказов'!AE697)=0,COUNTIFS('История отказов'!$F$5:F697,"ШГН",'История отказов'!$AE$5:AE697,'История отказов'!AE697)=1,'История отказов'!F697="ШГН"),693,""))</f>
        <v/>
      </c>
      <c r="DD694">
        <f>IF('История отказов'!AE697="","",IF(AND(COUNTIF($CU$2:$CU$3,'История отказов'!AE697)=0,COUNTIFS('История отказов'!$F$5:F697,"ЭЦН",'История отказов'!$AE$5:AE697,'История отказов'!AE697)=1,'История отказов'!F697="ЭЦН"),693,""))</f>
        <v/>
      </c>
      <c r="DE694">
        <f>IF('История отказов'!AE697="","",IF(AND(COUNTIF($CV$2:$CV$3,'История отказов'!AE697)=0,COUNTIFS('История отказов'!$F$5:F697,"ЭВН",'История отказов'!$AE$5:AE697,'История отказов'!AE697)=1,'История отказов'!F697="ЭВН"),693,""))</f>
        <v/>
      </c>
      <c r="DF694">
        <f>IF('История отказов'!AE697="","",IF(AND(COUNTIF($CX$2:$CX$2,'История отказов'!AE697)=0,COUNTIFS('История отказов'!$F$5:F697,"ШВН",'История отказов'!$AE$5:AE697,'История отказов'!AE697)=1,'История отказов'!F697="ШВН"),693,""))</f>
        <v/>
      </c>
      <c r="DG694">
        <f>IF('История отказов'!AE697="","",IF(AND(COUNTIF($CW$2:$CW$2,'История отказов'!AE697)=0,COUNTIFS('История отказов'!$F$5:F697,"НПУ-ВД",'История отказов'!$AE$5:AE697,'История отказов'!AE697)=1,'История отказов'!F697="НПУ-ВД"),693,""))</f>
        <v/>
      </c>
      <c r="DH694">
        <f>IF('История отказов'!AE697="","",IF(AND(COUNTIF($CY$2:$CY$6,'История отказов'!AE697)=0,COUNTIF('История отказов'!$AE$5:AE697,'История отказов'!AE697)=1),693,""))</f>
        <v/>
      </c>
      <c r="DI694">
        <f>IF('История отказов'!AK697="","",IF(AND(COUNTIF($CL$2:$CL$3,'История отказов'!AK697)=0,COUNTIF('История отказов'!$AK$5:AK697,'История отказов'!AK697)=1),693,""))</f>
        <v/>
      </c>
      <c r="DJ694">
        <f>IF('История отказов'!AU697="","",IF(AND(COUNTIF($CP$2:$CP$3,'История отказов'!AU697)=0,COUNTIF('История отказов'!$AU$5:AU697,'История отказов'!AU697)=1),693,""))</f>
        <v/>
      </c>
      <c r="DK694">
        <f>IF('История отказов'!AY697="","",IF(AND(COUNTIF($CR$2:$CR$2,'История отказов'!AY697)=0,COUNTIF('История отказов'!$AY$5:AY697,'История отказов'!AY697)=1),693,""))</f>
        <v/>
      </c>
      <c r="DL694">
        <f>IF(DB694="","",IF(AND(COUNTIF($DA$2:$DA$47,DB694)=0,COUNTIF($DB$2:DB694,DB694)=1),693,""))</f>
        <v/>
      </c>
    </row>
    <row r="695">
      <c r="A695" s="74" t="n"/>
      <c r="B695" s="75" t="n"/>
      <c r="C695" s="76" t="n"/>
      <c r="J695" s="62" t="n"/>
      <c r="K695" s="62" t="n"/>
      <c r="L695" s="62" t="n"/>
      <c r="M695" s="62" t="n"/>
      <c r="N695" s="62" t="n"/>
      <c r="DB695">
        <f>IF('История отказов'!AH698="","",'История отказов'!AH698)</f>
        <v/>
      </c>
      <c r="DC695">
        <f>IF('История отказов'!AE698="","",IF(AND(COUNTIF($CT$2:$CT$2,'История отказов'!AE698)=0,COUNTIFS('История отказов'!$F$5:F698,"ШГН",'История отказов'!$AE$5:AE698,'История отказов'!AE698)=1,'История отказов'!F698="ШГН"),694,""))</f>
        <v/>
      </c>
      <c r="DD695">
        <f>IF('История отказов'!AE698="","",IF(AND(COUNTIF($CU$2:$CU$3,'История отказов'!AE698)=0,COUNTIFS('История отказов'!$F$5:F698,"ЭЦН",'История отказов'!$AE$5:AE698,'История отказов'!AE698)=1,'История отказов'!F698="ЭЦН"),694,""))</f>
        <v/>
      </c>
      <c r="DE695">
        <f>IF('История отказов'!AE698="","",IF(AND(COUNTIF($CV$2:$CV$3,'История отказов'!AE698)=0,COUNTIFS('История отказов'!$F$5:F698,"ЭВН",'История отказов'!$AE$5:AE698,'История отказов'!AE698)=1,'История отказов'!F698="ЭВН"),694,""))</f>
        <v/>
      </c>
      <c r="DF695">
        <f>IF('История отказов'!AE698="","",IF(AND(COUNTIF($CX$2:$CX$2,'История отказов'!AE698)=0,COUNTIFS('История отказов'!$F$5:F698,"ШВН",'История отказов'!$AE$5:AE698,'История отказов'!AE698)=1,'История отказов'!F698="ШВН"),694,""))</f>
        <v/>
      </c>
      <c r="DG695">
        <f>IF('История отказов'!AE698="","",IF(AND(COUNTIF($CW$2:$CW$2,'История отказов'!AE698)=0,COUNTIFS('История отказов'!$F$5:F698,"НПУ-ВД",'История отказов'!$AE$5:AE698,'История отказов'!AE698)=1,'История отказов'!F698="НПУ-ВД"),694,""))</f>
        <v/>
      </c>
      <c r="DH695">
        <f>IF('История отказов'!AE698="","",IF(AND(COUNTIF($CY$2:$CY$6,'История отказов'!AE698)=0,COUNTIF('История отказов'!$AE$5:AE698,'История отказов'!AE698)=1),694,""))</f>
        <v/>
      </c>
      <c r="DI695">
        <f>IF('История отказов'!AK698="","",IF(AND(COUNTIF($CL$2:$CL$3,'История отказов'!AK698)=0,COUNTIF('История отказов'!$AK$5:AK698,'История отказов'!AK698)=1),694,""))</f>
        <v/>
      </c>
      <c r="DJ695">
        <f>IF('История отказов'!AU698="","",IF(AND(COUNTIF($CP$2:$CP$3,'История отказов'!AU698)=0,COUNTIF('История отказов'!$AU$5:AU698,'История отказов'!AU698)=1),694,""))</f>
        <v/>
      </c>
      <c r="DK695">
        <f>IF('История отказов'!AY698="","",IF(AND(COUNTIF($CR$2:$CR$2,'История отказов'!AY698)=0,COUNTIF('История отказов'!$AY$5:AY698,'История отказов'!AY698)=1),694,""))</f>
        <v/>
      </c>
      <c r="DL695">
        <f>IF(DB695="","",IF(AND(COUNTIF($DA$2:$DA$47,DB695)=0,COUNTIF($DB$2:DB695,DB695)=1),694,""))</f>
        <v/>
      </c>
    </row>
    <row r="696">
      <c r="A696" s="74" t="n"/>
      <c r="B696" s="75" t="n"/>
      <c r="C696" s="76" t="n"/>
      <c r="J696" s="62" t="n"/>
      <c r="K696" s="62" t="n"/>
      <c r="L696" s="62" t="n"/>
      <c r="M696" s="62" t="n"/>
      <c r="N696" s="62" t="n"/>
      <c r="DB696">
        <f>IF('История отказов'!AH699="","",'История отказов'!AH699)</f>
        <v/>
      </c>
      <c r="DC696">
        <f>IF('История отказов'!AE699="","",IF(AND(COUNTIF($CT$2:$CT$2,'История отказов'!AE699)=0,COUNTIFS('История отказов'!$F$5:F699,"ШГН",'История отказов'!$AE$5:AE699,'История отказов'!AE699)=1,'История отказов'!F699="ШГН"),695,""))</f>
        <v/>
      </c>
      <c r="DD696">
        <f>IF('История отказов'!AE699="","",IF(AND(COUNTIF($CU$2:$CU$3,'История отказов'!AE699)=0,COUNTIFS('История отказов'!$F$5:F699,"ЭЦН",'История отказов'!$AE$5:AE699,'История отказов'!AE699)=1,'История отказов'!F699="ЭЦН"),695,""))</f>
        <v/>
      </c>
      <c r="DE696">
        <f>IF('История отказов'!AE699="","",IF(AND(COUNTIF($CV$2:$CV$3,'История отказов'!AE699)=0,COUNTIFS('История отказов'!$F$5:F699,"ЭВН",'История отказов'!$AE$5:AE699,'История отказов'!AE699)=1,'История отказов'!F699="ЭВН"),695,""))</f>
        <v/>
      </c>
      <c r="DF696">
        <f>IF('История отказов'!AE699="","",IF(AND(COUNTIF($CX$2:$CX$2,'История отказов'!AE699)=0,COUNTIFS('История отказов'!$F$5:F699,"ШВН",'История отказов'!$AE$5:AE699,'История отказов'!AE699)=1,'История отказов'!F699="ШВН"),695,""))</f>
        <v/>
      </c>
      <c r="DG696">
        <f>IF('История отказов'!AE699="","",IF(AND(COUNTIF($CW$2:$CW$2,'История отказов'!AE699)=0,COUNTIFS('История отказов'!$F$5:F699,"НПУ-ВД",'История отказов'!$AE$5:AE699,'История отказов'!AE699)=1,'История отказов'!F699="НПУ-ВД"),695,""))</f>
        <v/>
      </c>
      <c r="DH696">
        <f>IF('История отказов'!AE699="","",IF(AND(COUNTIF($CY$2:$CY$6,'История отказов'!AE699)=0,COUNTIF('История отказов'!$AE$5:AE699,'История отказов'!AE699)=1),695,""))</f>
        <v/>
      </c>
      <c r="DI696">
        <f>IF('История отказов'!AK699="","",IF(AND(COUNTIF($CL$2:$CL$3,'История отказов'!AK699)=0,COUNTIF('История отказов'!$AK$5:AK699,'История отказов'!AK699)=1),695,""))</f>
        <v/>
      </c>
      <c r="DJ696">
        <f>IF('История отказов'!AU699="","",IF(AND(COUNTIF($CP$2:$CP$3,'История отказов'!AU699)=0,COUNTIF('История отказов'!$AU$5:AU699,'История отказов'!AU699)=1),695,""))</f>
        <v/>
      </c>
      <c r="DK696">
        <f>IF('История отказов'!AY699="","",IF(AND(COUNTIF($CR$2:$CR$2,'История отказов'!AY699)=0,COUNTIF('История отказов'!$AY$5:AY699,'История отказов'!AY699)=1),695,""))</f>
        <v/>
      </c>
      <c r="DL696">
        <f>IF(DB696="","",IF(AND(COUNTIF($DA$2:$DA$47,DB696)=0,COUNTIF($DB$2:DB696,DB696)=1),695,""))</f>
        <v/>
      </c>
    </row>
    <row r="697">
      <c r="A697" s="74" t="n"/>
      <c r="B697" s="75" t="n"/>
      <c r="C697" s="76" t="n"/>
      <c r="J697" s="62" t="n"/>
      <c r="K697" s="62" t="n"/>
      <c r="L697" s="62" t="n"/>
      <c r="M697" s="62" t="n"/>
      <c r="N697" s="62" t="n"/>
      <c r="DB697">
        <f>IF('История отказов'!AH700="","",'История отказов'!AH700)</f>
        <v/>
      </c>
      <c r="DC697">
        <f>IF('История отказов'!AE700="","",IF(AND(COUNTIF($CT$2:$CT$2,'История отказов'!AE700)=0,COUNTIFS('История отказов'!$F$5:F700,"ШГН",'История отказов'!$AE$5:AE700,'История отказов'!AE700)=1,'История отказов'!F700="ШГН"),696,""))</f>
        <v/>
      </c>
      <c r="DD697">
        <f>IF('История отказов'!AE700="","",IF(AND(COUNTIF($CU$2:$CU$3,'История отказов'!AE700)=0,COUNTIFS('История отказов'!$F$5:F700,"ЭЦН",'История отказов'!$AE$5:AE700,'История отказов'!AE700)=1,'История отказов'!F700="ЭЦН"),696,""))</f>
        <v/>
      </c>
      <c r="DE697">
        <f>IF('История отказов'!AE700="","",IF(AND(COUNTIF($CV$2:$CV$3,'История отказов'!AE700)=0,COUNTIFS('История отказов'!$F$5:F700,"ЭВН",'История отказов'!$AE$5:AE700,'История отказов'!AE700)=1,'История отказов'!F700="ЭВН"),696,""))</f>
        <v/>
      </c>
      <c r="DF697">
        <f>IF('История отказов'!AE700="","",IF(AND(COUNTIF($CX$2:$CX$2,'История отказов'!AE700)=0,COUNTIFS('История отказов'!$F$5:F700,"ШВН",'История отказов'!$AE$5:AE700,'История отказов'!AE700)=1,'История отказов'!F700="ШВН"),696,""))</f>
        <v/>
      </c>
      <c r="DG697">
        <f>IF('История отказов'!AE700="","",IF(AND(COUNTIF($CW$2:$CW$2,'История отказов'!AE700)=0,COUNTIFS('История отказов'!$F$5:F700,"НПУ-ВД",'История отказов'!$AE$5:AE700,'История отказов'!AE700)=1,'История отказов'!F700="НПУ-ВД"),696,""))</f>
        <v/>
      </c>
      <c r="DH697">
        <f>IF('История отказов'!AE700="","",IF(AND(COUNTIF($CY$2:$CY$6,'История отказов'!AE700)=0,COUNTIF('История отказов'!$AE$5:AE700,'История отказов'!AE700)=1),696,""))</f>
        <v/>
      </c>
      <c r="DI697">
        <f>IF('История отказов'!AK700="","",IF(AND(COUNTIF($CL$2:$CL$3,'История отказов'!AK700)=0,COUNTIF('История отказов'!$AK$5:AK700,'История отказов'!AK700)=1),696,""))</f>
        <v/>
      </c>
      <c r="DJ697">
        <f>IF('История отказов'!AU700="","",IF(AND(COUNTIF($CP$2:$CP$3,'История отказов'!AU700)=0,COUNTIF('История отказов'!$AU$5:AU700,'История отказов'!AU700)=1),696,""))</f>
        <v/>
      </c>
      <c r="DK697">
        <f>IF('История отказов'!AY700="","",IF(AND(COUNTIF($CR$2:$CR$2,'История отказов'!AY700)=0,COUNTIF('История отказов'!$AY$5:AY700,'История отказов'!AY700)=1),696,""))</f>
        <v/>
      </c>
      <c r="DL697">
        <f>IF(DB697="","",IF(AND(COUNTIF($DA$2:$DA$47,DB697)=0,COUNTIF($DB$2:DB697,DB697)=1),696,""))</f>
        <v/>
      </c>
    </row>
    <row r="698">
      <c r="A698" s="74" t="n"/>
      <c r="B698" s="75" t="n"/>
      <c r="C698" s="76" t="n"/>
      <c r="J698" s="62" t="n"/>
      <c r="K698" s="62" t="n"/>
      <c r="L698" s="62" t="n"/>
      <c r="M698" s="62" t="n"/>
      <c r="N698" s="62" t="n"/>
      <c r="DB698">
        <f>IF('История отказов'!AH701="","",'История отказов'!AH701)</f>
        <v/>
      </c>
      <c r="DC698">
        <f>IF('История отказов'!AE701="","",IF(AND(COUNTIF($CT$2:$CT$2,'История отказов'!AE701)=0,COUNTIFS('История отказов'!$F$5:F701,"ШГН",'История отказов'!$AE$5:AE701,'История отказов'!AE701)=1,'История отказов'!F701="ШГН"),697,""))</f>
        <v/>
      </c>
      <c r="DD698">
        <f>IF('История отказов'!AE701="","",IF(AND(COUNTIF($CU$2:$CU$3,'История отказов'!AE701)=0,COUNTIFS('История отказов'!$F$5:F701,"ЭЦН",'История отказов'!$AE$5:AE701,'История отказов'!AE701)=1,'История отказов'!F701="ЭЦН"),697,""))</f>
        <v/>
      </c>
      <c r="DE698">
        <f>IF('История отказов'!AE701="","",IF(AND(COUNTIF($CV$2:$CV$3,'История отказов'!AE701)=0,COUNTIFS('История отказов'!$F$5:F701,"ЭВН",'История отказов'!$AE$5:AE701,'История отказов'!AE701)=1,'История отказов'!F701="ЭВН"),697,""))</f>
        <v/>
      </c>
      <c r="DF698">
        <f>IF('История отказов'!AE701="","",IF(AND(COUNTIF($CX$2:$CX$2,'История отказов'!AE701)=0,COUNTIFS('История отказов'!$F$5:F701,"ШВН",'История отказов'!$AE$5:AE701,'История отказов'!AE701)=1,'История отказов'!F701="ШВН"),697,""))</f>
        <v/>
      </c>
      <c r="DG698">
        <f>IF('История отказов'!AE701="","",IF(AND(COUNTIF($CW$2:$CW$2,'История отказов'!AE701)=0,COUNTIFS('История отказов'!$F$5:F701,"НПУ-ВД",'История отказов'!$AE$5:AE701,'История отказов'!AE701)=1,'История отказов'!F701="НПУ-ВД"),697,""))</f>
        <v/>
      </c>
      <c r="DH698">
        <f>IF('История отказов'!AE701="","",IF(AND(COUNTIF($CY$2:$CY$6,'История отказов'!AE701)=0,COUNTIF('История отказов'!$AE$5:AE701,'История отказов'!AE701)=1),697,""))</f>
        <v/>
      </c>
      <c r="DI698">
        <f>IF('История отказов'!AK701="","",IF(AND(COUNTIF($CL$2:$CL$3,'История отказов'!AK701)=0,COUNTIF('История отказов'!$AK$5:AK701,'История отказов'!AK701)=1),697,""))</f>
        <v/>
      </c>
      <c r="DJ698">
        <f>IF('История отказов'!AU701="","",IF(AND(COUNTIF($CP$2:$CP$3,'История отказов'!AU701)=0,COUNTIF('История отказов'!$AU$5:AU701,'История отказов'!AU701)=1),697,""))</f>
        <v/>
      </c>
      <c r="DK698">
        <f>IF('История отказов'!AY701="","",IF(AND(COUNTIF($CR$2:$CR$2,'История отказов'!AY701)=0,COUNTIF('История отказов'!$AY$5:AY701,'История отказов'!AY701)=1),697,""))</f>
        <v/>
      </c>
      <c r="DL698">
        <f>IF(DB698="","",IF(AND(COUNTIF($DA$2:$DA$47,DB698)=0,COUNTIF($DB$2:DB698,DB698)=1),697,""))</f>
        <v/>
      </c>
    </row>
    <row r="699">
      <c r="A699" s="74" t="n"/>
      <c r="B699" s="75" t="n"/>
      <c r="C699" s="76" t="n"/>
      <c r="J699" s="62" t="n"/>
      <c r="K699" s="62" t="n"/>
      <c r="L699" s="62" t="n"/>
      <c r="M699" s="62" t="n"/>
      <c r="N699" s="62" t="n"/>
      <c r="DB699">
        <f>IF('История отказов'!AH702="","",'История отказов'!AH702)</f>
        <v/>
      </c>
      <c r="DC699">
        <f>IF('История отказов'!AE702="","",IF(AND(COUNTIF($CT$2:$CT$2,'История отказов'!AE702)=0,COUNTIFS('История отказов'!$F$5:F702,"ШГН",'История отказов'!$AE$5:AE702,'История отказов'!AE702)=1,'История отказов'!F702="ШГН"),698,""))</f>
        <v/>
      </c>
      <c r="DD699">
        <f>IF('История отказов'!AE702="","",IF(AND(COUNTIF($CU$2:$CU$3,'История отказов'!AE702)=0,COUNTIFS('История отказов'!$F$5:F702,"ЭЦН",'История отказов'!$AE$5:AE702,'История отказов'!AE702)=1,'История отказов'!F702="ЭЦН"),698,""))</f>
        <v/>
      </c>
      <c r="DE699">
        <f>IF('История отказов'!AE702="","",IF(AND(COUNTIF($CV$2:$CV$3,'История отказов'!AE702)=0,COUNTIFS('История отказов'!$F$5:F702,"ЭВН",'История отказов'!$AE$5:AE702,'История отказов'!AE702)=1,'История отказов'!F702="ЭВН"),698,""))</f>
        <v/>
      </c>
      <c r="DF699">
        <f>IF('История отказов'!AE702="","",IF(AND(COUNTIF($CX$2:$CX$2,'История отказов'!AE702)=0,COUNTIFS('История отказов'!$F$5:F702,"ШВН",'История отказов'!$AE$5:AE702,'История отказов'!AE702)=1,'История отказов'!F702="ШВН"),698,""))</f>
        <v/>
      </c>
      <c r="DG699">
        <f>IF('История отказов'!AE702="","",IF(AND(COUNTIF($CW$2:$CW$2,'История отказов'!AE702)=0,COUNTIFS('История отказов'!$F$5:F702,"НПУ-ВД",'История отказов'!$AE$5:AE702,'История отказов'!AE702)=1,'История отказов'!F702="НПУ-ВД"),698,""))</f>
        <v/>
      </c>
      <c r="DH699">
        <f>IF('История отказов'!AE702="","",IF(AND(COUNTIF($CY$2:$CY$6,'История отказов'!AE702)=0,COUNTIF('История отказов'!$AE$5:AE702,'История отказов'!AE702)=1),698,""))</f>
        <v/>
      </c>
      <c r="DI699">
        <f>IF('История отказов'!AK702="","",IF(AND(COUNTIF($CL$2:$CL$3,'История отказов'!AK702)=0,COUNTIF('История отказов'!$AK$5:AK702,'История отказов'!AK702)=1),698,""))</f>
        <v/>
      </c>
      <c r="DJ699">
        <f>IF('История отказов'!AU702="","",IF(AND(COUNTIF($CP$2:$CP$3,'История отказов'!AU702)=0,COUNTIF('История отказов'!$AU$5:AU702,'История отказов'!AU702)=1),698,""))</f>
        <v/>
      </c>
      <c r="DK699">
        <f>IF('История отказов'!AY702="","",IF(AND(COUNTIF($CR$2:$CR$2,'История отказов'!AY702)=0,COUNTIF('История отказов'!$AY$5:AY702,'История отказов'!AY702)=1),698,""))</f>
        <v/>
      </c>
      <c r="DL699">
        <f>IF(DB699="","",IF(AND(COUNTIF($DA$2:$DA$47,DB699)=0,COUNTIF($DB$2:DB699,DB699)=1),698,""))</f>
        <v/>
      </c>
    </row>
    <row r="700">
      <c r="A700" s="74" t="n"/>
      <c r="B700" s="75" t="n"/>
      <c r="C700" s="76" t="n"/>
      <c r="J700" s="62" t="n"/>
      <c r="K700" s="62" t="n"/>
      <c r="L700" s="62" t="n"/>
      <c r="M700" s="62" t="n"/>
      <c r="N700" s="62" t="n"/>
      <c r="DB700">
        <f>IF('История отказов'!AH703="","",'История отказов'!AH703)</f>
        <v/>
      </c>
      <c r="DC700">
        <f>IF('История отказов'!AE703="","",IF(AND(COUNTIF($CT$2:$CT$2,'История отказов'!AE703)=0,COUNTIFS('История отказов'!$F$5:F703,"ШГН",'История отказов'!$AE$5:AE703,'История отказов'!AE703)=1,'История отказов'!F703="ШГН"),699,""))</f>
        <v/>
      </c>
      <c r="DD700">
        <f>IF('История отказов'!AE703="","",IF(AND(COUNTIF($CU$2:$CU$3,'История отказов'!AE703)=0,COUNTIFS('История отказов'!$F$5:F703,"ЭЦН",'История отказов'!$AE$5:AE703,'История отказов'!AE703)=1,'История отказов'!F703="ЭЦН"),699,""))</f>
        <v/>
      </c>
      <c r="DE700">
        <f>IF('История отказов'!AE703="","",IF(AND(COUNTIF($CV$2:$CV$3,'История отказов'!AE703)=0,COUNTIFS('История отказов'!$F$5:F703,"ЭВН",'История отказов'!$AE$5:AE703,'История отказов'!AE703)=1,'История отказов'!F703="ЭВН"),699,""))</f>
        <v/>
      </c>
      <c r="DF700">
        <f>IF('История отказов'!AE703="","",IF(AND(COUNTIF($CX$2:$CX$2,'История отказов'!AE703)=0,COUNTIFS('История отказов'!$F$5:F703,"ШВН",'История отказов'!$AE$5:AE703,'История отказов'!AE703)=1,'История отказов'!F703="ШВН"),699,""))</f>
        <v/>
      </c>
      <c r="DG700">
        <f>IF('История отказов'!AE703="","",IF(AND(COUNTIF($CW$2:$CW$2,'История отказов'!AE703)=0,COUNTIFS('История отказов'!$F$5:F703,"НПУ-ВД",'История отказов'!$AE$5:AE703,'История отказов'!AE703)=1,'История отказов'!F703="НПУ-ВД"),699,""))</f>
        <v/>
      </c>
      <c r="DH700">
        <f>IF('История отказов'!AE703="","",IF(AND(COUNTIF($CY$2:$CY$6,'История отказов'!AE703)=0,COUNTIF('История отказов'!$AE$5:AE703,'История отказов'!AE703)=1),699,""))</f>
        <v/>
      </c>
      <c r="DI700">
        <f>IF('История отказов'!AK703="","",IF(AND(COUNTIF($CL$2:$CL$3,'История отказов'!AK703)=0,COUNTIF('История отказов'!$AK$5:AK703,'История отказов'!AK703)=1),699,""))</f>
        <v/>
      </c>
      <c r="DJ700">
        <f>IF('История отказов'!AU703="","",IF(AND(COUNTIF($CP$2:$CP$3,'История отказов'!AU703)=0,COUNTIF('История отказов'!$AU$5:AU703,'История отказов'!AU703)=1),699,""))</f>
        <v/>
      </c>
      <c r="DK700">
        <f>IF('История отказов'!AY703="","",IF(AND(COUNTIF($CR$2:$CR$2,'История отказов'!AY703)=0,COUNTIF('История отказов'!$AY$5:AY703,'История отказов'!AY703)=1),699,""))</f>
        <v/>
      </c>
      <c r="DL700">
        <f>IF(DB700="","",IF(AND(COUNTIF($DA$2:$DA$47,DB700)=0,COUNTIF($DB$2:DB700,DB700)=1),699,""))</f>
        <v/>
      </c>
    </row>
    <row r="701">
      <c r="A701" s="74" t="n"/>
      <c r="B701" s="75" t="n"/>
      <c r="C701" s="76" t="n"/>
      <c r="J701" s="62" t="n"/>
      <c r="K701" s="62" t="n"/>
      <c r="L701" s="62" t="n"/>
      <c r="M701" s="62" t="n"/>
      <c r="N701" s="62" t="n"/>
      <c r="DB701">
        <f>IF('История отказов'!AH704="","",'История отказов'!AH704)</f>
        <v/>
      </c>
      <c r="DC701">
        <f>IF('История отказов'!AE704="","",IF(AND(COUNTIF($CT$2:$CT$2,'История отказов'!AE704)=0,COUNTIFS('История отказов'!$F$5:F704,"ШГН",'История отказов'!$AE$5:AE704,'История отказов'!AE704)=1,'История отказов'!F704="ШГН"),700,""))</f>
        <v/>
      </c>
      <c r="DD701">
        <f>IF('История отказов'!AE704="","",IF(AND(COUNTIF($CU$2:$CU$3,'История отказов'!AE704)=0,COUNTIFS('История отказов'!$F$5:F704,"ЭЦН",'История отказов'!$AE$5:AE704,'История отказов'!AE704)=1,'История отказов'!F704="ЭЦН"),700,""))</f>
        <v/>
      </c>
      <c r="DE701">
        <f>IF('История отказов'!AE704="","",IF(AND(COUNTIF($CV$2:$CV$3,'История отказов'!AE704)=0,COUNTIFS('История отказов'!$F$5:F704,"ЭВН",'История отказов'!$AE$5:AE704,'История отказов'!AE704)=1,'История отказов'!F704="ЭВН"),700,""))</f>
        <v/>
      </c>
      <c r="DF701">
        <f>IF('История отказов'!AE704="","",IF(AND(COUNTIF($CX$2:$CX$2,'История отказов'!AE704)=0,COUNTIFS('История отказов'!$F$5:F704,"ШВН",'История отказов'!$AE$5:AE704,'История отказов'!AE704)=1,'История отказов'!F704="ШВН"),700,""))</f>
        <v/>
      </c>
      <c r="DG701">
        <f>IF('История отказов'!AE704="","",IF(AND(COUNTIF($CW$2:$CW$2,'История отказов'!AE704)=0,COUNTIFS('История отказов'!$F$5:F704,"НПУ-ВД",'История отказов'!$AE$5:AE704,'История отказов'!AE704)=1,'История отказов'!F704="НПУ-ВД"),700,""))</f>
        <v/>
      </c>
      <c r="DH701">
        <f>IF('История отказов'!AE704="","",IF(AND(COUNTIF($CY$2:$CY$6,'История отказов'!AE704)=0,COUNTIF('История отказов'!$AE$5:AE704,'История отказов'!AE704)=1),700,""))</f>
        <v/>
      </c>
      <c r="DI701">
        <f>IF('История отказов'!AK704="","",IF(AND(COUNTIF($CL$2:$CL$3,'История отказов'!AK704)=0,COUNTIF('История отказов'!$AK$5:AK704,'История отказов'!AK704)=1),700,""))</f>
        <v/>
      </c>
      <c r="DJ701">
        <f>IF('История отказов'!AU704="","",IF(AND(COUNTIF($CP$2:$CP$3,'История отказов'!AU704)=0,COUNTIF('История отказов'!$AU$5:AU704,'История отказов'!AU704)=1),700,""))</f>
        <v/>
      </c>
      <c r="DK701">
        <f>IF('История отказов'!AY704="","",IF(AND(COUNTIF($CR$2:$CR$2,'История отказов'!AY704)=0,COUNTIF('История отказов'!$AY$5:AY704,'История отказов'!AY704)=1),700,""))</f>
        <v/>
      </c>
      <c r="DL701">
        <f>IF(DB701="","",IF(AND(COUNTIF($DA$2:$DA$47,DB701)=0,COUNTIF($DB$2:DB701,DB701)=1),700,""))</f>
        <v/>
      </c>
    </row>
    <row r="702">
      <c r="A702" s="74" t="n"/>
      <c r="B702" s="75" t="n"/>
      <c r="C702" s="76" t="n"/>
      <c r="J702" s="62" t="n"/>
      <c r="K702" s="62" t="n"/>
      <c r="L702" s="62" t="n"/>
      <c r="M702" s="62" t="n"/>
      <c r="N702" s="62" t="n"/>
      <c r="DB702">
        <f>IF('История отказов'!AH705="","",'История отказов'!AH705)</f>
        <v/>
      </c>
      <c r="DC702">
        <f>IF('История отказов'!AE705="","",IF(AND(COUNTIF($CT$2:$CT$2,'История отказов'!AE705)=0,COUNTIFS('История отказов'!$F$5:F705,"ШГН",'История отказов'!$AE$5:AE705,'История отказов'!AE705)=1,'История отказов'!F705="ШГН"),701,""))</f>
        <v/>
      </c>
      <c r="DD702">
        <f>IF('История отказов'!AE705="","",IF(AND(COUNTIF($CU$2:$CU$3,'История отказов'!AE705)=0,COUNTIFS('История отказов'!$F$5:F705,"ЭЦН",'История отказов'!$AE$5:AE705,'История отказов'!AE705)=1,'История отказов'!F705="ЭЦН"),701,""))</f>
        <v/>
      </c>
      <c r="DE702">
        <f>IF('История отказов'!AE705="","",IF(AND(COUNTIF($CV$2:$CV$3,'История отказов'!AE705)=0,COUNTIFS('История отказов'!$F$5:F705,"ЭВН",'История отказов'!$AE$5:AE705,'История отказов'!AE705)=1,'История отказов'!F705="ЭВН"),701,""))</f>
        <v/>
      </c>
      <c r="DF702">
        <f>IF('История отказов'!AE705="","",IF(AND(COUNTIF($CX$2:$CX$2,'История отказов'!AE705)=0,COUNTIFS('История отказов'!$F$5:F705,"ШВН",'История отказов'!$AE$5:AE705,'История отказов'!AE705)=1,'История отказов'!F705="ШВН"),701,""))</f>
        <v/>
      </c>
      <c r="DG702">
        <f>IF('История отказов'!AE705="","",IF(AND(COUNTIF($CW$2:$CW$2,'История отказов'!AE705)=0,COUNTIFS('История отказов'!$F$5:F705,"НПУ-ВД",'История отказов'!$AE$5:AE705,'История отказов'!AE705)=1,'История отказов'!F705="НПУ-ВД"),701,""))</f>
        <v/>
      </c>
      <c r="DH702">
        <f>IF('История отказов'!AE705="","",IF(AND(COUNTIF($CY$2:$CY$6,'История отказов'!AE705)=0,COUNTIF('История отказов'!$AE$5:AE705,'История отказов'!AE705)=1),701,""))</f>
        <v/>
      </c>
      <c r="DI702">
        <f>IF('История отказов'!AK705="","",IF(AND(COUNTIF($CL$2:$CL$3,'История отказов'!AK705)=0,COUNTIF('История отказов'!$AK$5:AK705,'История отказов'!AK705)=1),701,""))</f>
        <v/>
      </c>
      <c r="DJ702">
        <f>IF('История отказов'!AU705="","",IF(AND(COUNTIF($CP$2:$CP$3,'История отказов'!AU705)=0,COUNTIF('История отказов'!$AU$5:AU705,'История отказов'!AU705)=1),701,""))</f>
        <v/>
      </c>
      <c r="DK702">
        <f>IF('История отказов'!AY705="","",IF(AND(COUNTIF($CR$2:$CR$2,'История отказов'!AY705)=0,COUNTIF('История отказов'!$AY$5:AY705,'История отказов'!AY705)=1),701,""))</f>
        <v/>
      </c>
      <c r="DL702">
        <f>IF(DB702="","",IF(AND(COUNTIF($DA$2:$DA$47,DB702)=0,COUNTIF($DB$2:DB702,DB702)=1),701,""))</f>
        <v/>
      </c>
    </row>
    <row r="703">
      <c r="A703" s="74" t="n"/>
      <c r="B703" s="75" t="n"/>
      <c r="C703" s="76" t="n"/>
      <c r="J703" s="62" t="n"/>
      <c r="K703" s="62" t="n"/>
      <c r="L703" s="62" t="n"/>
      <c r="M703" s="62" t="n"/>
      <c r="N703" s="62" t="n"/>
      <c r="DB703">
        <f>IF('История отказов'!AH706="","",'История отказов'!AH706)</f>
        <v/>
      </c>
      <c r="DC703">
        <f>IF('История отказов'!AE706="","",IF(AND(COUNTIF($CT$2:$CT$2,'История отказов'!AE706)=0,COUNTIFS('История отказов'!$F$5:F706,"ШГН",'История отказов'!$AE$5:AE706,'История отказов'!AE706)=1,'История отказов'!F706="ШГН"),702,""))</f>
        <v/>
      </c>
      <c r="DD703">
        <f>IF('История отказов'!AE706="","",IF(AND(COUNTIF($CU$2:$CU$3,'История отказов'!AE706)=0,COUNTIFS('История отказов'!$F$5:F706,"ЭЦН",'История отказов'!$AE$5:AE706,'История отказов'!AE706)=1,'История отказов'!F706="ЭЦН"),702,""))</f>
        <v/>
      </c>
      <c r="DE703">
        <f>IF('История отказов'!AE706="","",IF(AND(COUNTIF($CV$2:$CV$3,'История отказов'!AE706)=0,COUNTIFS('История отказов'!$F$5:F706,"ЭВН",'История отказов'!$AE$5:AE706,'История отказов'!AE706)=1,'История отказов'!F706="ЭВН"),702,""))</f>
        <v/>
      </c>
      <c r="DF703">
        <f>IF('История отказов'!AE706="","",IF(AND(COUNTIF($CX$2:$CX$2,'История отказов'!AE706)=0,COUNTIFS('История отказов'!$F$5:F706,"ШВН",'История отказов'!$AE$5:AE706,'История отказов'!AE706)=1,'История отказов'!F706="ШВН"),702,""))</f>
        <v/>
      </c>
      <c r="DG703">
        <f>IF('История отказов'!AE706="","",IF(AND(COUNTIF($CW$2:$CW$2,'История отказов'!AE706)=0,COUNTIFS('История отказов'!$F$5:F706,"НПУ-ВД",'История отказов'!$AE$5:AE706,'История отказов'!AE706)=1,'История отказов'!F706="НПУ-ВД"),702,""))</f>
        <v/>
      </c>
      <c r="DH703">
        <f>IF('История отказов'!AE706="","",IF(AND(COUNTIF($CY$2:$CY$6,'История отказов'!AE706)=0,COUNTIF('История отказов'!$AE$5:AE706,'История отказов'!AE706)=1),702,""))</f>
        <v/>
      </c>
      <c r="DI703">
        <f>IF('История отказов'!AK706="","",IF(AND(COUNTIF($CL$2:$CL$3,'История отказов'!AK706)=0,COUNTIF('История отказов'!$AK$5:AK706,'История отказов'!AK706)=1),702,""))</f>
        <v/>
      </c>
      <c r="DJ703">
        <f>IF('История отказов'!AU706="","",IF(AND(COUNTIF($CP$2:$CP$3,'История отказов'!AU706)=0,COUNTIF('История отказов'!$AU$5:AU706,'История отказов'!AU706)=1),702,""))</f>
        <v/>
      </c>
      <c r="DK703">
        <f>IF('История отказов'!AY706="","",IF(AND(COUNTIF($CR$2:$CR$2,'История отказов'!AY706)=0,COUNTIF('История отказов'!$AY$5:AY706,'История отказов'!AY706)=1),702,""))</f>
        <v/>
      </c>
      <c r="DL703">
        <f>IF(DB703="","",IF(AND(COUNTIF($DA$2:$DA$47,DB703)=0,COUNTIF($DB$2:DB703,DB703)=1),702,""))</f>
        <v/>
      </c>
    </row>
    <row r="704">
      <c r="A704" s="74" t="n"/>
      <c r="B704" s="75" t="n"/>
      <c r="C704" s="76" t="n"/>
      <c r="J704" s="62" t="n"/>
      <c r="K704" s="62" t="n"/>
      <c r="L704" s="62" t="n"/>
      <c r="M704" s="62" t="n"/>
      <c r="N704" s="62" t="n"/>
      <c r="DB704">
        <f>IF('История отказов'!AH707="","",'История отказов'!AH707)</f>
        <v/>
      </c>
      <c r="DC704">
        <f>IF('История отказов'!AE707="","",IF(AND(COUNTIF($CT$2:$CT$2,'История отказов'!AE707)=0,COUNTIFS('История отказов'!$F$5:F707,"ШГН",'История отказов'!$AE$5:AE707,'История отказов'!AE707)=1,'История отказов'!F707="ШГН"),703,""))</f>
        <v/>
      </c>
      <c r="DD704">
        <f>IF('История отказов'!AE707="","",IF(AND(COUNTIF($CU$2:$CU$3,'История отказов'!AE707)=0,COUNTIFS('История отказов'!$F$5:F707,"ЭЦН",'История отказов'!$AE$5:AE707,'История отказов'!AE707)=1,'История отказов'!F707="ЭЦН"),703,""))</f>
        <v/>
      </c>
      <c r="DE704">
        <f>IF('История отказов'!AE707="","",IF(AND(COUNTIF($CV$2:$CV$3,'История отказов'!AE707)=0,COUNTIFS('История отказов'!$F$5:F707,"ЭВН",'История отказов'!$AE$5:AE707,'История отказов'!AE707)=1,'История отказов'!F707="ЭВН"),703,""))</f>
        <v/>
      </c>
      <c r="DF704">
        <f>IF('История отказов'!AE707="","",IF(AND(COUNTIF($CX$2:$CX$2,'История отказов'!AE707)=0,COUNTIFS('История отказов'!$F$5:F707,"ШВН",'История отказов'!$AE$5:AE707,'История отказов'!AE707)=1,'История отказов'!F707="ШВН"),703,""))</f>
        <v/>
      </c>
      <c r="DG704">
        <f>IF('История отказов'!AE707="","",IF(AND(COUNTIF($CW$2:$CW$2,'История отказов'!AE707)=0,COUNTIFS('История отказов'!$F$5:F707,"НПУ-ВД",'История отказов'!$AE$5:AE707,'История отказов'!AE707)=1,'История отказов'!F707="НПУ-ВД"),703,""))</f>
        <v/>
      </c>
      <c r="DH704">
        <f>IF('История отказов'!AE707="","",IF(AND(COUNTIF($CY$2:$CY$6,'История отказов'!AE707)=0,COUNTIF('История отказов'!$AE$5:AE707,'История отказов'!AE707)=1),703,""))</f>
        <v/>
      </c>
      <c r="DI704">
        <f>IF('История отказов'!AK707="","",IF(AND(COUNTIF($CL$2:$CL$3,'История отказов'!AK707)=0,COUNTIF('История отказов'!$AK$5:AK707,'История отказов'!AK707)=1),703,""))</f>
        <v/>
      </c>
      <c r="DJ704">
        <f>IF('История отказов'!AU707="","",IF(AND(COUNTIF($CP$2:$CP$3,'История отказов'!AU707)=0,COUNTIF('История отказов'!$AU$5:AU707,'История отказов'!AU707)=1),703,""))</f>
        <v/>
      </c>
      <c r="DK704">
        <f>IF('История отказов'!AY707="","",IF(AND(COUNTIF($CR$2:$CR$2,'История отказов'!AY707)=0,COUNTIF('История отказов'!$AY$5:AY707,'История отказов'!AY707)=1),703,""))</f>
        <v/>
      </c>
      <c r="DL704">
        <f>IF(DB704="","",IF(AND(COUNTIF($DA$2:$DA$47,DB704)=0,COUNTIF($DB$2:DB704,DB704)=1),703,""))</f>
        <v/>
      </c>
    </row>
    <row r="705">
      <c r="A705" s="74" t="n"/>
      <c r="B705" s="75" t="n"/>
      <c r="C705" s="76" t="n"/>
      <c r="J705" s="62" t="n"/>
      <c r="K705" s="62" t="n"/>
      <c r="L705" s="62" t="n"/>
      <c r="M705" s="62" t="n"/>
      <c r="N705" s="62" t="n"/>
      <c r="DB705">
        <f>IF('История отказов'!AH708="","",'История отказов'!AH708)</f>
        <v/>
      </c>
      <c r="DC705">
        <f>IF('История отказов'!AE708="","",IF(AND(COUNTIF($CT$2:$CT$2,'История отказов'!AE708)=0,COUNTIFS('История отказов'!$F$5:F708,"ШГН",'История отказов'!$AE$5:AE708,'История отказов'!AE708)=1,'История отказов'!F708="ШГН"),704,""))</f>
        <v/>
      </c>
      <c r="DD705">
        <f>IF('История отказов'!AE708="","",IF(AND(COUNTIF($CU$2:$CU$3,'История отказов'!AE708)=0,COUNTIFS('История отказов'!$F$5:F708,"ЭЦН",'История отказов'!$AE$5:AE708,'История отказов'!AE708)=1,'История отказов'!F708="ЭЦН"),704,""))</f>
        <v/>
      </c>
      <c r="DE705">
        <f>IF('История отказов'!AE708="","",IF(AND(COUNTIF($CV$2:$CV$3,'История отказов'!AE708)=0,COUNTIFS('История отказов'!$F$5:F708,"ЭВН",'История отказов'!$AE$5:AE708,'История отказов'!AE708)=1,'История отказов'!F708="ЭВН"),704,""))</f>
        <v/>
      </c>
      <c r="DF705">
        <f>IF('История отказов'!AE708="","",IF(AND(COUNTIF($CX$2:$CX$2,'История отказов'!AE708)=0,COUNTIFS('История отказов'!$F$5:F708,"ШВН",'История отказов'!$AE$5:AE708,'История отказов'!AE708)=1,'История отказов'!F708="ШВН"),704,""))</f>
        <v/>
      </c>
      <c r="DG705">
        <f>IF('История отказов'!AE708="","",IF(AND(COUNTIF($CW$2:$CW$2,'История отказов'!AE708)=0,COUNTIFS('История отказов'!$F$5:F708,"НПУ-ВД",'История отказов'!$AE$5:AE708,'История отказов'!AE708)=1,'История отказов'!F708="НПУ-ВД"),704,""))</f>
        <v/>
      </c>
      <c r="DH705">
        <f>IF('История отказов'!AE708="","",IF(AND(COUNTIF($CY$2:$CY$6,'История отказов'!AE708)=0,COUNTIF('История отказов'!$AE$5:AE708,'История отказов'!AE708)=1),704,""))</f>
        <v/>
      </c>
      <c r="DI705">
        <f>IF('История отказов'!AK708="","",IF(AND(COUNTIF($CL$2:$CL$3,'История отказов'!AK708)=0,COUNTIF('История отказов'!$AK$5:AK708,'История отказов'!AK708)=1),704,""))</f>
        <v/>
      </c>
      <c r="DJ705">
        <f>IF('История отказов'!AU708="","",IF(AND(COUNTIF($CP$2:$CP$3,'История отказов'!AU708)=0,COUNTIF('История отказов'!$AU$5:AU708,'История отказов'!AU708)=1),704,""))</f>
        <v/>
      </c>
      <c r="DK705">
        <f>IF('История отказов'!AY708="","",IF(AND(COUNTIF($CR$2:$CR$2,'История отказов'!AY708)=0,COUNTIF('История отказов'!$AY$5:AY708,'История отказов'!AY708)=1),704,""))</f>
        <v/>
      </c>
      <c r="DL705">
        <f>IF(DB705="","",IF(AND(COUNTIF($DA$2:$DA$47,DB705)=0,COUNTIF($DB$2:DB705,DB705)=1),704,""))</f>
        <v/>
      </c>
    </row>
    <row r="706">
      <c r="A706" s="74" t="n"/>
      <c r="B706" s="75" t="n"/>
      <c r="C706" s="76" t="n"/>
      <c r="J706" s="62" t="n"/>
      <c r="K706" s="62" t="n"/>
      <c r="L706" s="62" t="n"/>
      <c r="M706" s="62" t="n"/>
      <c r="N706" s="62" t="n"/>
      <c r="DB706">
        <f>IF('История отказов'!AH709="","",'История отказов'!AH709)</f>
        <v/>
      </c>
      <c r="DC706">
        <f>IF('История отказов'!AE709="","",IF(AND(COUNTIF($CT$2:$CT$2,'История отказов'!AE709)=0,COUNTIFS('История отказов'!$F$5:F709,"ШГН",'История отказов'!$AE$5:AE709,'История отказов'!AE709)=1,'История отказов'!F709="ШГН"),705,""))</f>
        <v/>
      </c>
      <c r="DD706">
        <f>IF('История отказов'!AE709="","",IF(AND(COUNTIF($CU$2:$CU$3,'История отказов'!AE709)=0,COUNTIFS('История отказов'!$F$5:F709,"ЭЦН",'История отказов'!$AE$5:AE709,'История отказов'!AE709)=1,'История отказов'!F709="ЭЦН"),705,""))</f>
        <v/>
      </c>
      <c r="DE706">
        <f>IF('История отказов'!AE709="","",IF(AND(COUNTIF($CV$2:$CV$3,'История отказов'!AE709)=0,COUNTIFS('История отказов'!$F$5:F709,"ЭВН",'История отказов'!$AE$5:AE709,'История отказов'!AE709)=1,'История отказов'!F709="ЭВН"),705,""))</f>
        <v/>
      </c>
      <c r="DF706">
        <f>IF('История отказов'!AE709="","",IF(AND(COUNTIF($CX$2:$CX$2,'История отказов'!AE709)=0,COUNTIFS('История отказов'!$F$5:F709,"ШВН",'История отказов'!$AE$5:AE709,'История отказов'!AE709)=1,'История отказов'!F709="ШВН"),705,""))</f>
        <v/>
      </c>
      <c r="DG706">
        <f>IF('История отказов'!AE709="","",IF(AND(COUNTIF($CW$2:$CW$2,'История отказов'!AE709)=0,COUNTIFS('История отказов'!$F$5:F709,"НПУ-ВД",'История отказов'!$AE$5:AE709,'История отказов'!AE709)=1,'История отказов'!F709="НПУ-ВД"),705,""))</f>
        <v/>
      </c>
      <c r="DH706">
        <f>IF('История отказов'!AE709="","",IF(AND(COUNTIF($CY$2:$CY$6,'История отказов'!AE709)=0,COUNTIF('История отказов'!$AE$5:AE709,'История отказов'!AE709)=1),705,""))</f>
        <v/>
      </c>
      <c r="DI706">
        <f>IF('История отказов'!AK709="","",IF(AND(COUNTIF($CL$2:$CL$3,'История отказов'!AK709)=0,COUNTIF('История отказов'!$AK$5:AK709,'История отказов'!AK709)=1),705,""))</f>
        <v/>
      </c>
      <c r="DJ706">
        <f>IF('История отказов'!AU709="","",IF(AND(COUNTIF($CP$2:$CP$3,'История отказов'!AU709)=0,COUNTIF('История отказов'!$AU$5:AU709,'История отказов'!AU709)=1),705,""))</f>
        <v/>
      </c>
      <c r="DK706">
        <f>IF('История отказов'!AY709="","",IF(AND(COUNTIF($CR$2:$CR$2,'История отказов'!AY709)=0,COUNTIF('История отказов'!$AY$5:AY709,'История отказов'!AY709)=1),705,""))</f>
        <v/>
      </c>
      <c r="DL706">
        <f>IF(DB706="","",IF(AND(COUNTIF($DA$2:$DA$47,DB706)=0,COUNTIF($DB$2:DB706,DB706)=1),705,""))</f>
        <v/>
      </c>
    </row>
    <row r="707">
      <c r="A707" s="74" t="n"/>
      <c r="B707" s="75" t="n"/>
      <c r="C707" s="76" t="n"/>
      <c r="J707" s="62" t="n"/>
      <c r="K707" s="62" t="n"/>
      <c r="L707" s="62" t="n"/>
      <c r="M707" s="62" t="n"/>
      <c r="N707" s="62" t="n"/>
      <c r="DB707">
        <f>IF('История отказов'!AH710="","",'История отказов'!AH710)</f>
        <v/>
      </c>
      <c r="DC707">
        <f>IF('История отказов'!AE710="","",IF(AND(COUNTIF($CT$2:$CT$2,'История отказов'!AE710)=0,COUNTIFS('История отказов'!$F$5:F710,"ШГН",'История отказов'!$AE$5:AE710,'История отказов'!AE710)=1,'История отказов'!F710="ШГН"),706,""))</f>
        <v/>
      </c>
      <c r="DD707">
        <f>IF('История отказов'!AE710="","",IF(AND(COUNTIF($CU$2:$CU$3,'История отказов'!AE710)=0,COUNTIFS('История отказов'!$F$5:F710,"ЭЦН",'История отказов'!$AE$5:AE710,'История отказов'!AE710)=1,'История отказов'!F710="ЭЦН"),706,""))</f>
        <v/>
      </c>
      <c r="DE707">
        <f>IF('История отказов'!AE710="","",IF(AND(COUNTIF($CV$2:$CV$3,'История отказов'!AE710)=0,COUNTIFS('История отказов'!$F$5:F710,"ЭВН",'История отказов'!$AE$5:AE710,'История отказов'!AE710)=1,'История отказов'!F710="ЭВН"),706,""))</f>
        <v/>
      </c>
      <c r="DF707">
        <f>IF('История отказов'!AE710="","",IF(AND(COUNTIF($CX$2:$CX$2,'История отказов'!AE710)=0,COUNTIFS('История отказов'!$F$5:F710,"ШВН",'История отказов'!$AE$5:AE710,'История отказов'!AE710)=1,'История отказов'!F710="ШВН"),706,""))</f>
        <v/>
      </c>
      <c r="DG707">
        <f>IF('История отказов'!AE710="","",IF(AND(COUNTIF($CW$2:$CW$2,'История отказов'!AE710)=0,COUNTIFS('История отказов'!$F$5:F710,"НПУ-ВД",'История отказов'!$AE$5:AE710,'История отказов'!AE710)=1,'История отказов'!F710="НПУ-ВД"),706,""))</f>
        <v/>
      </c>
      <c r="DH707">
        <f>IF('История отказов'!AE710="","",IF(AND(COUNTIF($CY$2:$CY$6,'История отказов'!AE710)=0,COUNTIF('История отказов'!$AE$5:AE710,'История отказов'!AE710)=1),706,""))</f>
        <v/>
      </c>
      <c r="DI707">
        <f>IF('История отказов'!AK710="","",IF(AND(COUNTIF($CL$2:$CL$3,'История отказов'!AK710)=0,COUNTIF('История отказов'!$AK$5:AK710,'История отказов'!AK710)=1),706,""))</f>
        <v/>
      </c>
      <c r="DJ707">
        <f>IF('История отказов'!AU710="","",IF(AND(COUNTIF($CP$2:$CP$3,'История отказов'!AU710)=0,COUNTIF('История отказов'!$AU$5:AU710,'История отказов'!AU710)=1),706,""))</f>
        <v/>
      </c>
      <c r="DK707">
        <f>IF('История отказов'!AY710="","",IF(AND(COUNTIF($CR$2:$CR$2,'История отказов'!AY710)=0,COUNTIF('История отказов'!$AY$5:AY710,'История отказов'!AY710)=1),706,""))</f>
        <v/>
      </c>
      <c r="DL707">
        <f>IF(DB707="","",IF(AND(COUNTIF($DA$2:$DA$47,DB707)=0,COUNTIF($DB$2:DB707,DB707)=1),706,""))</f>
        <v/>
      </c>
    </row>
    <row r="708">
      <c r="A708" s="74" t="n"/>
      <c r="B708" s="75" t="n"/>
      <c r="C708" s="76" t="n"/>
      <c r="J708" s="62" t="n"/>
      <c r="K708" s="62" t="n"/>
      <c r="L708" s="62" t="n"/>
      <c r="M708" s="62" t="n"/>
      <c r="N708" s="62" t="n"/>
      <c r="DB708">
        <f>IF('История отказов'!AH711="","",'История отказов'!AH711)</f>
        <v/>
      </c>
      <c r="DC708">
        <f>IF('История отказов'!AE711="","",IF(AND(COUNTIF($CT$2:$CT$2,'История отказов'!AE711)=0,COUNTIFS('История отказов'!$F$5:F711,"ШГН",'История отказов'!$AE$5:AE711,'История отказов'!AE711)=1,'История отказов'!F711="ШГН"),707,""))</f>
        <v/>
      </c>
      <c r="DD708">
        <f>IF('История отказов'!AE711="","",IF(AND(COUNTIF($CU$2:$CU$3,'История отказов'!AE711)=0,COUNTIFS('История отказов'!$F$5:F711,"ЭЦН",'История отказов'!$AE$5:AE711,'История отказов'!AE711)=1,'История отказов'!F711="ЭЦН"),707,""))</f>
        <v/>
      </c>
      <c r="DE708">
        <f>IF('История отказов'!AE711="","",IF(AND(COUNTIF($CV$2:$CV$3,'История отказов'!AE711)=0,COUNTIFS('История отказов'!$F$5:F711,"ЭВН",'История отказов'!$AE$5:AE711,'История отказов'!AE711)=1,'История отказов'!F711="ЭВН"),707,""))</f>
        <v/>
      </c>
      <c r="DF708">
        <f>IF('История отказов'!AE711="","",IF(AND(COUNTIF($CX$2:$CX$2,'История отказов'!AE711)=0,COUNTIFS('История отказов'!$F$5:F711,"ШВН",'История отказов'!$AE$5:AE711,'История отказов'!AE711)=1,'История отказов'!F711="ШВН"),707,""))</f>
        <v/>
      </c>
      <c r="DG708">
        <f>IF('История отказов'!AE711="","",IF(AND(COUNTIF($CW$2:$CW$2,'История отказов'!AE711)=0,COUNTIFS('История отказов'!$F$5:F711,"НПУ-ВД",'История отказов'!$AE$5:AE711,'История отказов'!AE711)=1,'История отказов'!F711="НПУ-ВД"),707,""))</f>
        <v/>
      </c>
      <c r="DH708">
        <f>IF('История отказов'!AE711="","",IF(AND(COUNTIF($CY$2:$CY$6,'История отказов'!AE711)=0,COUNTIF('История отказов'!$AE$5:AE711,'История отказов'!AE711)=1),707,""))</f>
        <v/>
      </c>
      <c r="DI708">
        <f>IF('История отказов'!AK711="","",IF(AND(COUNTIF($CL$2:$CL$3,'История отказов'!AK711)=0,COUNTIF('История отказов'!$AK$5:AK711,'История отказов'!AK711)=1),707,""))</f>
        <v/>
      </c>
      <c r="DJ708">
        <f>IF('История отказов'!AU711="","",IF(AND(COUNTIF($CP$2:$CP$3,'История отказов'!AU711)=0,COUNTIF('История отказов'!$AU$5:AU711,'История отказов'!AU711)=1),707,""))</f>
        <v/>
      </c>
      <c r="DK708">
        <f>IF('История отказов'!AY711="","",IF(AND(COUNTIF($CR$2:$CR$2,'История отказов'!AY711)=0,COUNTIF('История отказов'!$AY$5:AY711,'История отказов'!AY711)=1),707,""))</f>
        <v/>
      </c>
      <c r="DL708">
        <f>IF(DB708="","",IF(AND(COUNTIF($DA$2:$DA$47,DB708)=0,COUNTIF($DB$2:DB708,DB708)=1),707,""))</f>
        <v/>
      </c>
    </row>
    <row r="709">
      <c r="A709" s="74" t="n"/>
      <c r="B709" s="75" t="n"/>
      <c r="C709" s="76" t="n"/>
      <c r="J709" s="62" t="n"/>
      <c r="K709" s="62" t="n"/>
      <c r="L709" s="62" t="n"/>
      <c r="M709" s="62" t="n"/>
      <c r="N709" s="62" t="n"/>
      <c r="DB709">
        <f>IF('История отказов'!AH712="","",'История отказов'!AH712)</f>
        <v/>
      </c>
      <c r="DC709">
        <f>IF('История отказов'!AE712="","",IF(AND(COUNTIF($CT$2:$CT$2,'История отказов'!AE712)=0,COUNTIFS('История отказов'!$F$5:F712,"ШГН",'История отказов'!$AE$5:AE712,'История отказов'!AE712)=1,'История отказов'!F712="ШГН"),708,""))</f>
        <v/>
      </c>
      <c r="DD709">
        <f>IF('История отказов'!AE712="","",IF(AND(COUNTIF($CU$2:$CU$3,'История отказов'!AE712)=0,COUNTIFS('История отказов'!$F$5:F712,"ЭЦН",'История отказов'!$AE$5:AE712,'История отказов'!AE712)=1,'История отказов'!F712="ЭЦН"),708,""))</f>
        <v/>
      </c>
      <c r="DE709">
        <f>IF('История отказов'!AE712="","",IF(AND(COUNTIF($CV$2:$CV$3,'История отказов'!AE712)=0,COUNTIFS('История отказов'!$F$5:F712,"ЭВН",'История отказов'!$AE$5:AE712,'История отказов'!AE712)=1,'История отказов'!F712="ЭВН"),708,""))</f>
        <v/>
      </c>
      <c r="DF709">
        <f>IF('История отказов'!AE712="","",IF(AND(COUNTIF($CX$2:$CX$2,'История отказов'!AE712)=0,COUNTIFS('История отказов'!$F$5:F712,"ШВН",'История отказов'!$AE$5:AE712,'История отказов'!AE712)=1,'История отказов'!F712="ШВН"),708,""))</f>
        <v/>
      </c>
      <c r="DG709">
        <f>IF('История отказов'!AE712="","",IF(AND(COUNTIF($CW$2:$CW$2,'История отказов'!AE712)=0,COUNTIFS('История отказов'!$F$5:F712,"НПУ-ВД",'История отказов'!$AE$5:AE712,'История отказов'!AE712)=1,'История отказов'!F712="НПУ-ВД"),708,""))</f>
        <v/>
      </c>
      <c r="DH709">
        <f>IF('История отказов'!AE712="","",IF(AND(COUNTIF($CY$2:$CY$6,'История отказов'!AE712)=0,COUNTIF('История отказов'!$AE$5:AE712,'История отказов'!AE712)=1),708,""))</f>
        <v/>
      </c>
      <c r="DI709">
        <f>IF('История отказов'!AK712="","",IF(AND(COUNTIF($CL$2:$CL$3,'История отказов'!AK712)=0,COUNTIF('История отказов'!$AK$5:AK712,'История отказов'!AK712)=1),708,""))</f>
        <v/>
      </c>
      <c r="DJ709">
        <f>IF('История отказов'!AU712="","",IF(AND(COUNTIF($CP$2:$CP$3,'История отказов'!AU712)=0,COUNTIF('История отказов'!$AU$5:AU712,'История отказов'!AU712)=1),708,""))</f>
        <v/>
      </c>
      <c r="DK709">
        <f>IF('История отказов'!AY712="","",IF(AND(COUNTIF($CR$2:$CR$2,'История отказов'!AY712)=0,COUNTIF('История отказов'!$AY$5:AY712,'История отказов'!AY712)=1),708,""))</f>
        <v/>
      </c>
      <c r="DL709">
        <f>IF(DB709="","",IF(AND(COUNTIF($DA$2:$DA$47,DB709)=0,COUNTIF($DB$2:DB709,DB709)=1),708,""))</f>
        <v/>
      </c>
    </row>
    <row r="710">
      <c r="A710" s="74" t="n"/>
      <c r="B710" s="75" t="n"/>
      <c r="C710" s="76" t="n"/>
      <c r="J710" s="62" t="n"/>
      <c r="K710" s="62" t="n"/>
      <c r="L710" s="62" t="n"/>
      <c r="M710" s="62" t="n"/>
      <c r="N710" s="62" t="n"/>
      <c r="DB710">
        <f>IF('История отказов'!AH713="","",'История отказов'!AH713)</f>
        <v/>
      </c>
      <c r="DC710">
        <f>IF('История отказов'!AE713="","",IF(AND(COUNTIF($CT$2:$CT$2,'История отказов'!AE713)=0,COUNTIFS('История отказов'!$F$5:F713,"ШГН",'История отказов'!$AE$5:AE713,'История отказов'!AE713)=1,'История отказов'!F713="ШГН"),709,""))</f>
        <v/>
      </c>
      <c r="DD710">
        <f>IF('История отказов'!AE713="","",IF(AND(COUNTIF($CU$2:$CU$3,'История отказов'!AE713)=0,COUNTIFS('История отказов'!$F$5:F713,"ЭЦН",'История отказов'!$AE$5:AE713,'История отказов'!AE713)=1,'История отказов'!F713="ЭЦН"),709,""))</f>
        <v/>
      </c>
      <c r="DE710">
        <f>IF('История отказов'!AE713="","",IF(AND(COUNTIF($CV$2:$CV$3,'История отказов'!AE713)=0,COUNTIFS('История отказов'!$F$5:F713,"ЭВН",'История отказов'!$AE$5:AE713,'История отказов'!AE713)=1,'История отказов'!F713="ЭВН"),709,""))</f>
        <v/>
      </c>
      <c r="DF710">
        <f>IF('История отказов'!AE713="","",IF(AND(COUNTIF($CX$2:$CX$2,'История отказов'!AE713)=0,COUNTIFS('История отказов'!$F$5:F713,"ШВН",'История отказов'!$AE$5:AE713,'История отказов'!AE713)=1,'История отказов'!F713="ШВН"),709,""))</f>
        <v/>
      </c>
      <c r="DG710">
        <f>IF('История отказов'!AE713="","",IF(AND(COUNTIF($CW$2:$CW$2,'История отказов'!AE713)=0,COUNTIFS('История отказов'!$F$5:F713,"НПУ-ВД",'История отказов'!$AE$5:AE713,'История отказов'!AE713)=1,'История отказов'!F713="НПУ-ВД"),709,""))</f>
        <v/>
      </c>
      <c r="DH710">
        <f>IF('История отказов'!AE713="","",IF(AND(COUNTIF($CY$2:$CY$6,'История отказов'!AE713)=0,COUNTIF('История отказов'!$AE$5:AE713,'История отказов'!AE713)=1),709,""))</f>
        <v/>
      </c>
      <c r="DI710">
        <f>IF('История отказов'!AK713="","",IF(AND(COUNTIF($CL$2:$CL$3,'История отказов'!AK713)=0,COUNTIF('История отказов'!$AK$5:AK713,'История отказов'!AK713)=1),709,""))</f>
        <v/>
      </c>
      <c r="DJ710">
        <f>IF('История отказов'!AU713="","",IF(AND(COUNTIF($CP$2:$CP$3,'История отказов'!AU713)=0,COUNTIF('История отказов'!$AU$5:AU713,'История отказов'!AU713)=1),709,""))</f>
        <v/>
      </c>
      <c r="DK710">
        <f>IF('История отказов'!AY713="","",IF(AND(COUNTIF($CR$2:$CR$2,'История отказов'!AY713)=0,COUNTIF('История отказов'!$AY$5:AY713,'История отказов'!AY713)=1),709,""))</f>
        <v/>
      </c>
      <c r="DL710">
        <f>IF(DB710="","",IF(AND(COUNTIF($DA$2:$DA$47,DB710)=0,COUNTIF($DB$2:DB710,DB710)=1),709,""))</f>
        <v/>
      </c>
    </row>
    <row r="711">
      <c r="A711" s="74" t="n"/>
      <c r="B711" s="75" t="n"/>
      <c r="C711" s="76" t="n"/>
      <c r="J711" s="62" t="n"/>
      <c r="K711" s="62" t="n"/>
      <c r="L711" s="62" t="n"/>
      <c r="M711" s="62" t="n"/>
      <c r="N711" s="62" t="n"/>
      <c r="DB711">
        <f>IF('История отказов'!AH714="","",'История отказов'!AH714)</f>
        <v/>
      </c>
      <c r="DC711">
        <f>IF('История отказов'!AE714="","",IF(AND(COUNTIF($CT$2:$CT$2,'История отказов'!AE714)=0,COUNTIFS('История отказов'!$F$5:F714,"ШГН",'История отказов'!$AE$5:AE714,'История отказов'!AE714)=1,'История отказов'!F714="ШГН"),710,""))</f>
        <v/>
      </c>
      <c r="DD711">
        <f>IF('История отказов'!AE714="","",IF(AND(COUNTIF($CU$2:$CU$3,'История отказов'!AE714)=0,COUNTIFS('История отказов'!$F$5:F714,"ЭЦН",'История отказов'!$AE$5:AE714,'История отказов'!AE714)=1,'История отказов'!F714="ЭЦН"),710,""))</f>
        <v/>
      </c>
      <c r="DE711">
        <f>IF('История отказов'!AE714="","",IF(AND(COUNTIF($CV$2:$CV$3,'История отказов'!AE714)=0,COUNTIFS('История отказов'!$F$5:F714,"ЭВН",'История отказов'!$AE$5:AE714,'История отказов'!AE714)=1,'История отказов'!F714="ЭВН"),710,""))</f>
        <v/>
      </c>
      <c r="DF711">
        <f>IF('История отказов'!AE714="","",IF(AND(COUNTIF($CX$2:$CX$2,'История отказов'!AE714)=0,COUNTIFS('История отказов'!$F$5:F714,"ШВН",'История отказов'!$AE$5:AE714,'История отказов'!AE714)=1,'История отказов'!F714="ШВН"),710,""))</f>
        <v/>
      </c>
      <c r="DG711">
        <f>IF('История отказов'!AE714="","",IF(AND(COUNTIF($CW$2:$CW$2,'История отказов'!AE714)=0,COUNTIFS('История отказов'!$F$5:F714,"НПУ-ВД",'История отказов'!$AE$5:AE714,'История отказов'!AE714)=1,'История отказов'!F714="НПУ-ВД"),710,""))</f>
        <v/>
      </c>
      <c r="DH711">
        <f>IF('История отказов'!AE714="","",IF(AND(COUNTIF($CY$2:$CY$6,'История отказов'!AE714)=0,COUNTIF('История отказов'!$AE$5:AE714,'История отказов'!AE714)=1),710,""))</f>
        <v/>
      </c>
      <c r="DI711">
        <f>IF('История отказов'!AK714="","",IF(AND(COUNTIF($CL$2:$CL$3,'История отказов'!AK714)=0,COUNTIF('История отказов'!$AK$5:AK714,'История отказов'!AK714)=1),710,""))</f>
        <v/>
      </c>
      <c r="DJ711">
        <f>IF('История отказов'!AU714="","",IF(AND(COUNTIF($CP$2:$CP$3,'История отказов'!AU714)=0,COUNTIF('История отказов'!$AU$5:AU714,'История отказов'!AU714)=1),710,""))</f>
        <v/>
      </c>
      <c r="DK711">
        <f>IF('История отказов'!AY714="","",IF(AND(COUNTIF($CR$2:$CR$2,'История отказов'!AY714)=0,COUNTIF('История отказов'!$AY$5:AY714,'История отказов'!AY714)=1),710,""))</f>
        <v/>
      </c>
      <c r="DL711">
        <f>IF(DB711="","",IF(AND(COUNTIF($DA$2:$DA$47,DB711)=0,COUNTIF($DB$2:DB711,DB711)=1),710,""))</f>
        <v/>
      </c>
    </row>
    <row r="712">
      <c r="A712" s="74" t="n"/>
      <c r="B712" s="75" t="n"/>
      <c r="C712" s="76" t="n"/>
      <c r="J712" s="62" t="n"/>
      <c r="K712" s="62" t="n"/>
      <c r="L712" s="62" t="n"/>
      <c r="M712" s="62" t="n"/>
      <c r="N712" s="62" t="n"/>
      <c r="DB712">
        <f>IF('История отказов'!AH715="","",'История отказов'!AH715)</f>
        <v/>
      </c>
      <c r="DC712">
        <f>IF('История отказов'!AE715="","",IF(AND(COUNTIF($CT$2:$CT$2,'История отказов'!AE715)=0,COUNTIFS('История отказов'!$F$5:F715,"ШГН",'История отказов'!$AE$5:AE715,'История отказов'!AE715)=1,'История отказов'!F715="ШГН"),711,""))</f>
        <v/>
      </c>
      <c r="DD712">
        <f>IF('История отказов'!AE715="","",IF(AND(COUNTIF($CU$2:$CU$3,'История отказов'!AE715)=0,COUNTIFS('История отказов'!$F$5:F715,"ЭЦН",'История отказов'!$AE$5:AE715,'История отказов'!AE715)=1,'История отказов'!F715="ЭЦН"),711,""))</f>
        <v/>
      </c>
      <c r="DE712">
        <f>IF('История отказов'!AE715="","",IF(AND(COUNTIF($CV$2:$CV$3,'История отказов'!AE715)=0,COUNTIFS('История отказов'!$F$5:F715,"ЭВН",'История отказов'!$AE$5:AE715,'История отказов'!AE715)=1,'История отказов'!F715="ЭВН"),711,""))</f>
        <v/>
      </c>
      <c r="DF712">
        <f>IF('История отказов'!AE715="","",IF(AND(COUNTIF($CX$2:$CX$2,'История отказов'!AE715)=0,COUNTIFS('История отказов'!$F$5:F715,"ШВН",'История отказов'!$AE$5:AE715,'История отказов'!AE715)=1,'История отказов'!F715="ШВН"),711,""))</f>
        <v/>
      </c>
      <c r="DG712">
        <f>IF('История отказов'!AE715="","",IF(AND(COUNTIF($CW$2:$CW$2,'История отказов'!AE715)=0,COUNTIFS('История отказов'!$F$5:F715,"НПУ-ВД",'История отказов'!$AE$5:AE715,'История отказов'!AE715)=1,'История отказов'!F715="НПУ-ВД"),711,""))</f>
        <v/>
      </c>
      <c r="DH712">
        <f>IF('История отказов'!AE715="","",IF(AND(COUNTIF($CY$2:$CY$6,'История отказов'!AE715)=0,COUNTIF('История отказов'!$AE$5:AE715,'История отказов'!AE715)=1),711,""))</f>
        <v/>
      </c>
      <c r="DI712">
        <f>IF('История отказов'!AK715="","",IF(AND(COUNTIF($CL$2:$CL$3,'История отказов'!AK715)=0,COUNTIF('История отказов'!$AK$5:AK715,'История отказов'!AK715)=1),711,""))</f>
        <v/>
      </c>
      <c r="DJ712">
        <f>IF('История отказов'!AU715="","",IF(AND(COUNTIF($CP$2:$CP$3,'История отказов'!AU715)=0,COUNTIF('История отказов'!$AU$5:AU715,'История отказов'!AU715)=1),711,""))</f>
        <v/>
      </c>
      <c r="DK712">
        <f>IF('История отказов'!AY715="","",IF(AND(COUNTIF($CR$2:$CR$2,'История отказов'!AY715)=0,COUNTIF('История отказов'!$AY$5:AY715,'История отказов'!AY715)=1),711,""))</f>
        <v/>
      </c>
      <c r="DL712">
        <f>IF(DB712="","",IF(AND(COUNTIF($DA$2:$DA$47,DB712)=0,COUNTIF($DB$2:DB712,DB712)=1),711,""))</f>
        <v/>
      </c>
    </row>
    <row r="713">
      <c r="A713" s="74" t="n"/>
      <c r="B713" s="75" t="n"/>
      <c r="C713" s="76" t="n"/>
      <c r="J713" s="62" t="n"/>
      <c r="K713" s="62" t="n"/>
      <c r="L713" s="62" t="n"/>
      <c r="M713" s="62" t="n"/>
      <c r="N713" s="62" t="n"/>
      <c r="DB713">
        <f>IF('История отказов'!AH716="","",'История отказов'!AH716)</f>
        <v/>
      </c>
      <c r="DC713">
        <f>IF('История отказов'!AE716="","",IF(AND(COUNTIF($CT$2:$CT$2,'История отказов'!AE716)=0,COUNTIFS('История отказов'!$F$5:F716,"ШГН",'История отказов'!$AE$5:AE716,'История отказов'!AE716)=1,'История отказов'!F716="ШГН"),712,""))</f>
        <v/>
      </c>
      <c r="DD713">
        <f>IF('История отказов'!AE716="","",IF(AND(COUNTIF($CU$2:$CU$3,'История отказов'!AE716)=0,COUNTIFS('История отказов'!$F$5:F716,"ЭЦН",'История отказов'!$AE$5:AE716,'История отказов'!AE716)=1,'История отказов'!F716="ЭЦН"),712,""))</f>
        <v/>
      </c>
      <c r="DE713">
        <f>IF('История отказов'!AE716="","",IF(AND(COUNTIF($CV$2:$CV$3,'История отказов'!AE716)=0,COUNTIFS('История отказов'!$F$5:F716,"ЭВН",'История отказов'!$AE$5:AE716,'История отказов'!AE716)=1,'История отказов'!F716="ЭВН"),712,""))</f>
        <v/>
      </c>
      <c r="DF713">
        <f>IF('История отказов'!AE716="","",IF(AND(COUNTIF($CX$2:$CX$2,'История отказов'!AE716)=0,COUNTIFS('История отказов'!$F$5:F716,"ШВН",'История отказов'!$AE$5:AE716,'История отказов'!AE716)=1,'История отказов'!F716="ШВН"),712,""))</f>
        <v/>
      </c>
      <c r="DG713">
        <f>IF('История отказов'!AE716="","",IF(AND(COUNTIF($CW$2:$CW$2,'История отказов'!AE716)=0,COUNTIFS('История отказов'!$F$5:F716,"НПУ-ВД",'История отказов'!$AE$5:AE716,'История отказов'!AE716)=1,'История отказов'!F716="НПУ-ВД"),712,""))</f>
        <v/>
      </c>
      <c r="DH713">
        <f>IF('История отказов'!AE716="","",IF(AND(COUNTIF($CY$2:$CY$6,'История отказов'!AE716)=0,COUNTIF('История отказов'!$AE$5:AE716,'История отказов'!AE716)=1),712,""))</f>
        <v/>
      </c>
      <c r="DI713">
        <f>IF('История отказов'!AK716="","",IF(AND(COUNTIF($CL$2:$CL$3,'История отказов'!AK716)=0,COUNTIF('История отказов'!$AK$5:AK716,'История отказов'!AK716)=1),712,""))</f>
        <v/>
      </c>
      <c r="DJ713">
        <f>IF('История отказов'!AU716="","",IF(AND(COUNTIF($CP$2:$CP$3,'История отказов'!AU716)=0,COUNTIF('История отказов'!$AU$5:AU716,'История отказов'!AU716)=1),712,""))</f>
        <v/>
      </c>
      <c r="DK713">
        <f>IF('История отказов'!AY716="","",IF(AND(COUNTIF($CR$2:$CR$2,'История отказов'!AY716)=0,COUNTIF('История отказов'!$AY$5:AY716,'История отказов'!AY716)=1),712,""))</f>
        <v/>
      </c>
      <c r="DL713">
        <f>IF(DB713="","",IF(AND(COUNTIF($DA$2:$DA$47,DB713)=0,COUNTIF($DB$2:DB713,DB713)=1),712,""))</f>
        <v/>
      </c>
    </row>
    <row r="714">
      <c r="A714" s="74" t="n"/>
      <c r="B714" s="75" t="n"/>
      <c r="C714" s="76" t="n"/>
      <c r="J714" s="62" t="n"/>
      <c r="K714" s="62" t="n"/>
      <c r="L714" s="62" t="n"/>
      <c r="M714" s="62" t="n"/>
      <c r="N714" s="62" t="n"/>
      <c r="DB714">
        <f>IF('История отказов'!AH717="","",'История отказов'!AH717)</f>
        <v/>
      </c>
      <c r="DC714">
        <f>IF('История отказов'!AE717="","",IF(AND(COUNTIF($CT$2:$CT$2,'История отказов'!AE717)=0,COUNTIFS('История отказов'!$F$5:F717,"ШГН",'История отказов'!$AE$5:AE717,'История отказов'!AE717)=1,'История отказов'!F717="ШГН"),713,""))</f>
        <v/>
      </c>
      <c r="DD714">
        <f>IF('История отказов'!AE717="","",IF(AND(COUNTIF($CU$2:$CU$3,'История отказов'!AE717)=0,COUNTIFS('История отказов'!$F$5:F717,"ЭЦН",'История отказов'!$AE$5:AE717,'История отказов'!AE717)=1,'История отказов'!F717="ЭЦН"),713,""))</f>
        <v/>
      </c>
      <c r="DE714">
        <f>IF('История отказов'!AE717="","",IF(AND(COUNTIF($CV$2:$CV$3,'История отказов'!AE717)=0,COUNTIFS('История отказов'!$F$5:F717,"ЭВН",'История отказов'!$AE$5:AE717,'История отказов'!AE717)=1,'История отказов'!F717="ЭВН"),713,""))</f>
        <v/>
      </c>
      <c r="DF714">
        <f>IF('История отказов'!AE717="","",IF(AND(COUNTIF($CX$2:$CX$2,'История отказов'!AE717)=0,COUNTIFS('История отказов'!$F$5:F717,"ШВН",'История отказов'!$AE$5:AE717,'История отказов'!AE717)=1,'История отказов'!F717="ШВН"),713,""))</f>
        <v/>
      </c>
      <c r="DG714">
        <f>IF('История отказов'!AE717="","",IF(AND(COUNTIF($CW$2:$CW$2,'История отказов'!AE717)=0,COUNTIFS('История отказов'!$F$5:F717,"НПУ-ВД",'История отказов'!$AE$5:AE717,'История отказов'!AE717)=1,'История отказов'!F717="НПУ-ВД"),713,""))</f>
        <v/>
      </c>
      <c r="DH714">
        <f>IF('История отказов'!AE717="","",IF(AND(COUNTIF($CY$2:$CY$6,'История отказов'!AE717)=0,COUNTIF('История отказов'!$AE$5:AE717,'История отказов'!AE717)=1),713,""))</f>
        <v/>
      </c>
      <c r="DI714">
        <f>IF('История отказов'!AK717="","",IF(AND(COUNTIF($CL$2:$CL$3,'История отказов'!AK717)=0,COUNTIF('История отказов'!$AK$5:AK717,'История отказов'!AK717)=1),713,""))</f>
        <v/>
      </c>
      <c r="DJ714">
        <f>IF('История отказов'!AU717="","",IF(AND(COUNTIF($CP$2:$CP$3,'История отказов'!AU717)=0,COUNTIF('История отказов'!$AU$5:AU717,'История отказов'!AU717)=1),713,""))</f>
        <v/>
      </c>
      <c r="DK714">
        <f>IF('История отказов'!AY717="","",IF(AND(COUNTIF($CR$2:$CR$2,'История отказов'!AY717)=0,COUNTIF('История отказов'!$AY$5:AY717,'История отказов'!AY717)=1),713,""))</f>
        <v/>
      </c>
      <c r="DL714">
        <f>IF(DB714="","",IF(AND(COUNTIF($DA$2:$DA$47,DB714)=0,COUNTIF($DB$2:DB714,DB714)=1),713,""))</f>
        <v/>
      </c>
    </row>
    <row r="715">
      <c r="A715" s="74" t="n"/>
      <c r="B715" s="75" t="n"/>
      <c r="C715" s="76" t="n"/>
      <c r="J715" s="62" t="n"/>
      <c r="K715" s="62" t="n"/>
      <c r="L715" s="62" t="n"/>
      <c r="M715" s="62" t="n"/>
      <c r="N715" s="62" t="n"/>
      <c r="DB715">
        <f>IF('История отказов'!AH718="","",'История отказов'!AH718)</f>
        <v/>
      </c>
      <c r="DC715">
        <f>IF('История отказов'!AE718="","",IF(AND(COUNTIF($CT$2:$CT$2,'История отказов'!AE718)=0,COUNTIFS('История отказов'!$F$5:F718,"ШГН",'История отказов'!$AE$5:AE718,'История отказов'!AE718)=1,'История отказов'!F718="ШГН"),714,""))</f>
        <v/>
      </c>
      <c r="DD715">
        <f>IF('История отказов'!AE718="","",IF(AND(COUNTIF($CU$2:$CU$3,'История отказов'!AE718)=0,COUNTIFS('История отказов'!$F$5:F718,"ЭЦН",'История отказов'!$AE$5:AE718,'История отказов'!AE718)=1,'История отказов'!F718="ЭЦН"),714,""))</f>
        <v/>
      </c>
      <c r="DE715">
        <f>IF('История отказов'!AE718="","",IF(AND(COUNTIF($CV$2:$CV$3,'История отказов'!AE718)=0,COUNTIFS('История отказов'!$F$5:F718,"ЭВН",'История отказов'!$AE$5:AE718,'История отказов'!AE718)=1,'История отказов'!F718="ЭВН"),714,""))</f>
        <v/>
      </c>
      <c r="DF715">
        <f>IF('История отказов'!AE718="","",IF(AND(COUNTIF($CX$2:$CX$2,'История отказов'!AE718)=0,COUNTIFS('История отказов'!$F$5:F718,"ШВН",'История отказов'!$AE$5:AE718,'История отказов'!AE718)=1,'История отказов'!F718="ШВН"),714,""))</f>
        <v/>
      </c>
      <c r="DG715">
        <f>IF('История отказов'!AE718="","",IF(AND(COUNTIF($CW$2:$CW$2,'История отказов'!AE718)=0,COUNTIFS('История отказов'!$F$5:F718,"НПУ-ВД",'История отказов'!$AE$5:AE718,'История отказов'!AE718)=1,'История отказов'!F718="НПУ-ВД"),714,""))</f>
        <v/>
      </c>
      <c r="DH715">
        <f>IF('История отказов'!AE718="","",IF(AND(COUNTIF($CY$2:$CY$6,'История отказов'!AE718)=0,COUNTIF('История отказов'!$AE$5:AE718,'История отказов'!AE718)=1),714,""))</f>
        <v/>
      </c>
      <c r="DI715">
        <f>IF('История отказов'!AK718="","",IF(AND(COUNTIF($CL$2:$CL$3,'История отказов'!AK718)=0,COUNTIF('История отказов'!$AK$5:AK718,'История отказов'!AK718)=1),714,""))</f>
        <v/>
      </c>
      <c r="DJ715">
        <f>IF('История отказов'!AU718="","",IF(AND(COUNTIF($CP$2:$CP$3,'История отказов'!AU718)=0,COUNTIF('История отказов'!$AU$5:AU718,'История отказов'!AU718)=1),714,""))</f>
        <v/>
      </c>
      <c r="DK715">
        <f>IF('История отказов'!AY718="","",IF(AND(COUNTIF($CR$2:$CR$2,'История отказов'!AY718)=0,COUNTIF('История отказов'!$AY$5:AY718,'История отказов'!AY718)=1),714,""))</f>
        <v/>
      </c>
      <c r="DL715">
        <f>IF(DB715="","",IF(AND(COUNTIF($DA$2:$DA$47,DB715)=0,COUNTIF($DB$2:DB715,DB715)=1),714,""))</f>
        <v/>
      </c>
    </row>
    <row r="716">
      <c r="A716" s="74" t="n"/>
      <c r="B716" s="75" t="n"/>
      <c r="C716" s="76" t="n"/>
      <c r="J716" s="62" t="n"/>
      <c r="K716" s="62" t="n"/>
      <c r="L716" s="62" t="n"/>
      <c r="M716" s="62" t="n"/>
      <c r="N716" s="62" t="n"/>
      <c r="DB716">
        <f>IF('История отказов'!AH719="","",'История отказов'!AH719)</f>
        <v/>
      </c>
      <c r="DC716">
        <f>IF('История отказов'!AE719="","",IF(AND(COUNTIF($CT$2:$CT$2,'История отказов'!AE719)=0,COUNTIFS('История отказов'!$F$5:F719,"ШГН",'История отказов'!$AE$5:AE719,'История отказов'!AE719)=1,'История отказов'!F719="ШГН"),715,""))</f>
        <v/>
      </c>
      <c r="DD716">
        <f>IF('История отказов'!AE719="","",IF(AND(COUNTIF($CU$2:$CU$3,'История отказов'!AE719)=0,COUNTIFS('История отказов'!$F$5:F719,"ЭЦН",'История отказов'!$AE$5:AE719,'История отказов'!AE719)=1,'История отказов'!F719="ЭЦН"),715,""))</f>
        <v/>
      </c>
      <c r="DE716">
        <f>IF('История отказов'!AE719="","",IF(AND(COUNTIF($CV$2:$CV$3,'История отказов'!AE719)=0,COUNTIFS('История отказов'!$F$5:F719,"ЭВН",'История отказов'!$AE$5:AE719,'История отказов'!AE719)=1,'История отказов'!F719="ЭВН"),715,""))</f>
        <v/>
      </c>
      <c r="DF716">
        <f>IF('История отказов'!AE719="","",IF(AND(COUNTIF($CX$2:$CX$2,'История отказов'!AE719)=0,COUNTIFS('История отказов'!$F$5:F719,"ШВН",'История отказов'!$AE$5:AE719,'История отказов'!AE719)=1,'История отказов'!F719="ШВН"),715,""))</f>
        <v/>
      </c>
      <c r="DG716">
        <f>IF('История отказов'!AE719="","",IF(AND(COUNTIF($CW$2:$CW$2,'История отказов'!AE719)=0,COUNTIFS('История отказов'!$F$5:F719,"НПУ-ВД",'История отказов'!$AE$5:AE719,'История отказов'!AE719)=1,'История отказов'!F719="НПУ-ВД"),715,""))</f>
        <v/>
      </c>
      <c r="DH716">
        <f>IF('История отказов'!AE719="","",IF(AND(COUNTIF($CY$2:$CY$6,'История отказов'!AE719)=0,COUNTIF('История отказов'!$AE$5:AE719,'История отказов'!AE719)=1),715,""))</f>
        <v/>
      </c>
      <c r="DI716">
        <f>IF('История отказов'!AK719="","",IF(AND(COUNTIF($CL$2:$CL$3,'История отказов'!AK719)=0,COUNTIF('История отказов'!$AK$5:AK719,'История отказов'!AK719)=1),715,""))</f>
        <v/>
      </c>
      <c r="DJ716">
        <f>IF('История отказов'!AU719="","",IF(AND(COUNTIF($CP$2:$CP$3,'История отказов'!AU719)=0,COUNTIF('История отказов'!$AU$5:AU719,'История отказов'!AU719)=1),715,""))</f>
        <v/>
      </c>
      <c r="DK716">
        <f>IF('История отказов'!AY719="","",IF(AND(COUNTIF($CR$2:$CR$2,'История отказов'!AY719)=0,COUNTIF('История отказов'!$AY$5:AY719,'История отказов'!AY719)=1),715,""))</f>
        <v/>
      </c>
      <c r="DL716">
        <f>IF(DB716="","",IF(AND(COUNTIF($DA$2:$DA$47,DB716)=0,COUNTIF($DB$2:DB716,DB716)=1),715,""))</f>
        <v/>
      </c>
    </row>
    <row r="717">
      <c r="A717" s="74" t="n"/>
      <c r="B717" s="75" t="n"/>
      <c r="C717" s="76" t="n"/>
      <c r="J717" s="62" t="n"/>
      <c r="K717" s="62" t="n"/>
      <c r="L717" s="62" t="n"/>
      <c r="M717" s="62" t="n"/>
      <c r="N717" s="62" t="n"/>
      <c r="DB717">
        <f>IF('История отказов'!AH720="","",'История отказов'!AH720)</f>
        <v/>
      </c>
      <c r="DC717">
        <f>IF('История отказов'!AE720="","",IF(AND(COUNTIF($CT$2:$CT$2,'История отказов'!AE720)=0,COUNTIFS('История отказов'!$F$5:F720,"ШГН",'История отказов'!$AE$5:AE720,'История отказов'!AE720)=1,'История отказов'!F720="ШГН"),716,""))</f>
        <v/>
      </c>
      <c r="DD717">
        <f>IF('История отказов'!AE720="","",IF(AND(COUNTIF($CU$2:$CU$3,'История отказов'!AE720)=0,COUNTIFS('История отказов'!$F$5:F720,"ЭЦН",'История отказов'!$AE$5:AE720,'История отказов'!AE720)=1,'История отказов'!F720="ЭЦН"),716,""))</f>
        <v/>
      </c>
      <c r="DE717">
        <f>IF('История отказов'!AE720="","",IF(AND(COUNTIF($CV$2:$CV$3,'История отказов'!AE720)=0,COUNTIFS('История отказов'!$F$5:F720,"ЭВН",'История отказов'!$AE$5:AE720,'История отказов'!AE720)=1,'История отказов'!F720="ЭВН"),716,""))</f>
        <v/>
      </c>
      <c r="DF717">
        <f>IF('История отказов'!AE720="","",IF(AND(COUNTIF($CX$2:$CX$2,'История отказов'!AE720)=0,COUNTIFS('История отказов'!$F$5:F720,"ШВН",'История отказов'!$AE$5:AE720,'История отказов'!AE720)=1,'История отказов'!F720="ШВН"),716,""))</f>
        <v/>
      </c>
      <c r="DG717">
        <f>IF('История отказов'!AE720="","",IF(AND(COUNTIF($CW$2:$CW$2,'История отказов'!AE720)=0,COUNTIFS('История отказов'!$F$5:F720,"НПУ-ВД",'История отказов'!$AE$5:AE720,'История отказов'!AE720)=1,'История отказов'!F720="НПУ-ВД"),716,""))</f>
        <v/>
      </c>
      <c r="DH717">
        <f>IF('История отказов'!AE720="","",IF(AND(COUNTIF($CY$2:$CY$6,'История отказов'!AE720)=0,COUNTIF('История отказов'!$AE$5:AE720,'История отказов'!AE720)=1),716,""))</f>
        <v/>
      </c>
      <c r="DI717">
        <f>IF('История отказов'!AK720="","",IF(AND(COUNTIF($CL$2:$CL$3,'История отказов'!AK720)=0,COUNTIF('История отказов'!$AK$5:AK720,'История отказов'!AK720)=1),716,""))</f>
        <v/>
      </c>
      <c r="DJ717">
        <f>IF('История отказов'!AU720="","",IF(AND(COUNTIF($CP$2:$CP$3,'История отказов'!AU720)=0,COUNTIF('История отказов'!$AU$5:AU720,'История отказов'!AU720)=1),716,""))</f>
        <v/>
      </c>
      <c r="DK717">
        <f>IF('История отказов'!AY720="","",IF(AND(COUNTIF($CR$2:$CR$2,'История отказов'!AY720)=0,COUNTIF('История отказов'!$AY$5:AY720,'История отказов'!AY720)=1),716,""))</f>
        <v/>
      </c>
      <c r="DL717">
        <f>IF(DB717="","",IF(AND(COUNTIF($DA$2:$DA$47,DB717)=0,COUNTIF($DB$2:DB717,DB717)=1),716,""))</f>
        <v/>
      </c>
    </row>
    <row r="718">
      <c r="A718" s="74" t="n"/>
      <c r="B718" s="75" t="n"/>
      <c r="C718" s="76" t="n"/>
      <c r="J718" s="62" t="n"/>
      <c r="K718" s="62" t="n"/>
      <c r="L718" s="62" t="n"/>
      <c r="M718" s="62" t="n"/>
      <c r="N718" s="62" t="n"/>
      <c r="DB718">
        <f>IF('История отказов'!AH721="","",'История отказов'!AH721)</f>
        <v/>
      </c>
      <c r="DC718">
        <f>IF('История отказов'!AE721="","",IF(AND(COUNTIF($CT$2:$CT$2,'История отказов'!AE721)=0,COUNTIFS('История отказов'!$F$5:F721,"ШГН",'История отказов'!$AE$5:AE721,'История отказов'!AE721)=1,'История отказов'!F721="ШГН"),717,""))</f>
        <v/>
      </c>
      <c r="DD718">
        <f>IF('История отказов'!AE721="","",IF(AND(COUNTIF($CU$2:$CU$3,'История отказов'!AE721)=0,COUNTIFS('История отказов'!$F$5:F721,"ЭЦН",'История отказов'!$AE$5:AE721,'История отказов'!AE721)=1,'История отказов'!F721="ЭЦН"),717,""))</f>
        <v/>
      </c>
      <c r="DE718">
        <f>IF('История отказов'!AE721="","",IF(AND(COUNTIF($CV$2:$CV$3,'История отказов'!AE721)=0,COUNTIFS('История отказов'!$F$5:F721,"ЭВН",'История отказов'!$AE$5:AE721,'История отказов'!AE721)=1,'История отказов'!F721="ЭВН"),717,""))</f>
        <v/>
      </c>
      <c r="DF718">
        <f>IF('История отказов'!AE721="","",IF(AND(COUNTIF($CX$2:$CX$2,'История отказов'!AE721)=0,COUNTIFS('История отказов'!$F$5:F721,"ШВН",'История отказов'!$AE$5:AE721,'История отказов'!AE721)=1,'История отказов'!F721="ШВН"),717,""))</f>
        <v/>
      </c>
      <c r="DG718">
        <f>IF('История отказов'!AE721="","",IF(AND(COUNTIF($CW$2:$CW$2,'История отказов'!AE721)=0,COUNTIFS('История отказов'!$F$5:F721,"НПУ-ВД",'История отказов'!$AE$5:AE721,'История отказов'!AE721)=1,'История отказов'!F721="НПУ-ВД"),717,""))</f>
        <v/>
      </c>
      <c r="DH718">
        <f>IF('История отказов'!AE721="","",IF(AND(COUNTIF($CY$2:$CY$6,'История отказов'!AE721)=0,COUNTIF('История отказов'!$AE$5:AE721,'История отказов'!AE721)=1),717,""))</f>
        <v/>
      </c>
      <c r="DI718">
        <f>IF('История отказов'!AK721="","",IF(AND(COUNTIF($CL$2:$CL$3,'История отказов'!AK721)=0,COUNTIF('История отказов'!$AK$5:AK721,'История отказов'!AK721)=1),717,""))</f>
        <v/>
      </c>
      <c r="DJ718">
        <f>IF('История отказов'!AU721="","",IF(AND(COUNTIF($CP$2:$CP$3,'История отказов'!AU721)=0,COUNTIF('История отказов'!$AU$5:AU721,'История отказов'!AU721)=1),717,""))</f>
        <v/>
      </c>
      <c r="DK718">
        <f>IF('История отказов'!AY721="","",IF(AND(COUNTIF($CR$2:$CR$2,'История отказов'!AY721)=0,COUNTIF('История отказов'!$AY$5:AY721,'История отказов'!AY721)=1),717,""))</f>
        <v/>
      </c>
      <c r="DL718">
        <f>IF(DB718="","",IF(AND(COUNTIF($DA$2:$DA$47,DB718)=0,COUNTIF($DB$2:DB718,DB718)=1),717,""))</f>
        <v/>
      </c>
    </row>
    <row r="719">
      <c r="A719" s="74" t="n"/>
      <c r="B719" s="75" t="n"/>
      <c r="C719" s="76" t="n"/>
      <c r="J719" s="62" t="n"/>
      <c r="K719" s="62" t="n"/>
      <c r="L719" s="62" t="n"/>
      <c r="M719" s="62" t="n"/>
      <c r="N719" s="62" t="n"/>
      <c r="DB719">
        <f>IF('История отказов'!AH722="","",'История отказов'!AH722)</f>
        <v/>
      </c>
      <c r="DC719">
        <f>IF('История отказов'!AE722="","",IF(AND(COUNTIF($CT$2:$CT$2,'История отказов'!AE722)=0,COUNTIFS('История отказов'!$F$5:F722,"ШГН",'История отказов'!$AE$5:AE722,'История отказов'!AE722)=1,'История отказов'!F722="ШГН"),718,""))</f>
        <v/>
      </c>
      <c r="DD719">
        <f>IF('История отказов'!AE722="","",IF(AND(COUNTIF($CU$2:$CU$3,'История отказов'!AE722)=0,COUNTIFS('История отказов'!$F$5:F722,"ЭЦН",'История отказов'!$AE$5:AE722,'История отказов'!AE722)=1,'История отказов'!F722="ЭЦН"),718,""))</f>
        <v/>
      </c>
      <c r="DE719">
        <f>IF('История отказов'!AE722="","",IF(AND(COUNTIF($CV$2:$CV$3,'История отказов'!AE722)=0,COUNTIFS('История отказов'!$F$5:F722,"ЭВН",'История отказов'!$AE$5:AE722,'История отказов'!AE722)=1,'История отказов'!F722="ЭВН"),718,""))</f>
        <v/>
      </c>
      <c r="DF719">
        <f>IF('История отказов'!AE722="","",IF(AND(COUNTIF($CX$2:$CX$2,'История отказов'!AE722)=0,COUNTIFS('История отказов'!$F$5:F722,"ШВН",'История отказов'!$AE$5:AE722,'История отказов'!AE722)=1,'История отказов'!F722="ШВН"),718,""))</f>
        <v/>
      </c>
      <c r="DG719">
        <f>IF('История отказов'!AE722="","",IF(AND(COUNTIF($CW$2:$CW$2,'История отказов'!AE722)=0,COUNTIFS('История отказов'!$F$5:F722,"НПУ-ВД",'История отказов'!$AE$5:AE722,'История отказов'!AE722)=1,'История отказов'!F722="НПУ-ВД"),718,""))</f>
        <v/>
      </c>
      <c r="DH719">
        <f>IF('История отказов'!AE722="","",IF(AND(COUNTIF($CY$2:$CY$6,'История отказов'!AE722)=0,COUNTIF('История отказов'!$AE$5:AE722,'История отказов'!AE722)=1),718,""))</f>
        <v/>
      </c>
      <c r="DI719">
        <f>IF('История отказов'!AK722="","",IF(AND(COUNTIF($CL$2:$CL$3,'История отказов'!AK722)=0,COUNTIF('История отказов'!$AK$5:AK722,'История отказов'!AK722)=1),718,""))</f>
        <v/>
      </c>
      <c r="DJ719">
        <f>IF('История отказов'!AU722="","",IF(AND(COUNTIF($CP$2:$CP$3,'История отказов'!AU722)=0,COUNTIF('История отказов'!$AU$5:AU722,'История отказов'!AU722)=1),718,""))</f>
        <v/>
      </c>
      <c r="DK719">
        <f>IF('История отказов'!AY722="","",IF(AND(COUNTIF($CR$2:$CR$2,'История отказов'!AY722)=0,COUNTIF('История отказов'!$AY$5:AY722,'История отказов'!AY722)=1),718,""))</f>
        <v/>
      </c>
      <c r="DL719">
        <f>IF(DB719="","",IF(AND(COUNTIF($DA$2:$DA$47,DB719)=0,COUNTIF($DB$2:DB719,DB719)=1),718,""))</f>
        <v/>
      </c>
    </row>
    <row r="720">
      <c r="A720" s="74" t="n"/>
      <c r="B720" s="75" t="n"/>
      <c r="C720" s="76" t="n"/>
      <c r="J720" s="62" t="n"/>
      <c r="K720" s="62" t="n"/>
      <c r="L720" s="62" t="n"/>
      <c r="M720" s="62" t="n"/>
      <c r="N720" s="62" t="n"/>
      <c r="DB720">
        <f>IF('История отказов'!AH723="","",'История отказов'!AH723)</f>
        <v/>
      </c>
      <c r="DC720">
        <f>IF('История отказов'!AE723="","",IF(AND(COUNTIF($CT$2:$CT$2,'История отказов'!AE723)=0,COUNTIFS('История отказов'!$F$5:F723,"ШГН",'История отказов'!$AE$5:AE723,'История отказов'!AE723)=1,'История отказов'!F723="ШГН"),719,""))</f>
        <v/>
      </c>
      <c r="DD720">
        <f>IF('История отказов'!AE723="","",IF(AND(COUNTIF($CU$2:$CU$3,'История отказов'!AE723)=0,COUNTIFS('История отказов'!$F$5:F723,"ЭЦН",'История отказов'!$AE$5:AE723,'История отказов'!AE723)=1,'История отказов'!F723="ЭЦН"),719,""))</f>
        <v/>
      </c>
      <c r="DE720">
        <f>IF('История отказов'!AE723="","",IF(AND(COUNTIF($CV$2:$CV$3,'История отказов'!AE723)=0,COUNTIFS('История отказов'!$F$5:F723,"ЭВН",'История отказов'!$AE$5:AE723,'История отказов'!AE723)=1,'История отказов'!F723="ЭВН"),719,""))</f>
        <v/>
      </c>
      <c r="DF720">
        <f>IF('История отказов'!AE723="","",IF(AND(COUNTIF($CX$2:$CX$2,'История отказов'!AE723)=0,COUNTIFS('История отказов'!$F$5:F723,"ШВН",'История отказов'!$AE$5:AE723,'История отказов'!AE723)=1,'История отказов'!F723="ШВН"),719,""))</f>
        <v/>
      </c>
      <c r="DG720">
        <f>IF('История отказов'!AE723="","",IF(AND(COUNTIF($CW$2:$CW$2,'История отказов'!AE723)=0,COUNTIFS('История отказов'!$F$5:F723,"НПУ-ВД",'История отказов'!$AE$5:AE723,'История отказов'!AE723)=1,'История отказов'!F723="НПУ-ВД"),719,""))</f>
        <v/>
      </c>
      <c r="DH720">
        <f>IF('История отказов'!AE723="","",IF(AND(COUNTIF($CY$2:$CY$6,'История отказов'!AE723)=0,COUNTIF('История отказов'!$AE$5:AE723,'История отказов'!AE723)=1),719,""))</f>
        <v/>
      </c>
      <c r="DI720">
        <f>IF('История отказов'!AK723="","",IF(AND(COUNTIF($CL$2:$CL$3,'История отказов'!AK723)=0,COUNTIF('История отказов'!$AK$5:AK723,'История отказов'!AK723)=1),719,""))</f>
        <v/>
      </c>
      <c r="DJ720">
        <f>IF('История отказов'!AU723="","",IF(AND(COUNTIF($CP$2:$CP$3,'История отказов'!AU723)=0,COUNTIF('История отказов'!$AU$5:AU723,'История отказов'!AU723)=1),719,""))</f>
        <v/>
      </c>
      <c r="DK720">
        <f>IF('История отказов'!AY723="","",IF(AND(COUNTIF($CR$2:$CR$2,'История отказов'!AY723)=0,COUNTIF('История отказов'!$AY$5:AY723,'История отказов'!AY723)=1),719,""))</f>
        <v/>
      </c>
      <c r="DL720">
        <f>IF(DB720="","",IF(AND(COUNTIF($DA$2:$DA$47,DB720)=0,COUNTIF($DB$2:DB720,DB720)=1),719,""))</f>
        <v/>
      </c>
    </row>
    <row r="721">
      <c r="A721" s="74" t="n"/>
      <c r="B721" s="75" t="n"/>
      <c r="C721" s="76" t="n"/>
      <c r="J721" s="62" t="n"/>
      <c r="K721" s="62" t="n"/>
      <c r="L721" s="62" t="n"/>
      <c r="M721" s="62" t="n"/>
      <c r="N721" s="62" t="n"/>
      <c r="DB721">
        <f>IF('История отказов'!AH724="","",'История отказов'!AH724)</f>
        <v/>
      </c>
      <c r="DC721">
        <f>IF('История отказов'!AE724="","",IF(AND(COUNTIF($CT$2:$CT$2,'История отказов'!AE724)=0,COUNTIFS('История отказов'!$F$5:F724,"ШГН",'История отказов'!$AE$5:AE724,'История отказов'!AE724)=1,'История отказов'!F724="ШГН"),720,""))</f>
        <v/>
      </c>
      <c r="DD721">
        <f>IF('История отказов'!AE724="","",IF(AND(COUNTIF($CU$2:$CU$3,'История отказов'!AE724)=0,COUNTIFS('История отказов'!$F$5:F724,"ЭЦН",'История отказов'!$AE$5:AE724,'История отказов'!AE724)=1,'История отказов'!F724="ЭЦН"),720,""))</f>
        <v/>
      </c>
      <c r="DE721">
        <f>IF('История отказов'!AE724="","",IF(AND(COUNTIF($CV$2:$CV$3,'История отказов'!AE724)=0,COUNTIFS('История отказов'!$F$5:F724,"ЭВН",'История отказов'!$AE$5:AE724,'История отказов'!AE724)=1,'История отказов'!F724="ЭВН"),720,""))</f>
        <v/>
      </c>
      <c r="DF721">
        <f>IF('История отказов'!AE724="","",IF(AND(COUNTIF($CX$2:$CX$2,'История отказов'!AE724)=0,COUNTIFS('История отказов'!$F$5:F724,"ШВН",'История отказов'!$AE$5:AE724,'История отказов'!AE724)=1,'История отказов'!F724="ШВН"),720,""))</f>
        <v/>
      </c>
      <c r="DG721">
        <f>IF('История отказов'!AE724="","",IF(AND(COUNTIF($CW$2:$CW$2,'История отказов'!AE724)=0,COUNTIFS('История отказов'!$F$5:F724,"НПУ-ВД",'История отказов'!$AE$5:AE724,'История отказов'!AE724)=1,'История отказов'!F724="НПУ-ВД"),720,""))</f>
        <v/>
      </c>
      <c r="DH721">
        <f>IF('История отказов'!AE724="","",IF(AND(COUNTIF($CY$2:$CY$6,'История отказов'!AE724)=0,COUNTIF('История отказов'!$AE$5:AE724,'История отказов'!AE724)=1),720,""))</f>
        <v/>
      </c>
      <c r="DI721">
        <f>IF('История отказов'!AK724="","",IF(AND(COUNTIF($CL$2:$CL$3,'История отказов'!AK724)=0,COUNTIF('История отказов'!$AK$5:AK724,'История отказов'!AK724)=1),720,""))</f>
        <v/>
      </c>
      <c r="DJ721">
        <f>IF('История отказов'!AU724="","",IF(AND(COUNTIF($CP$2:$CP$3,'История отказов'!AU724)=0,COUNTIF('История отказов'!$AU$5:AU724,'История отказов'!AU724)=1),720,""))</f>
        <v/>
      </c>
      <c r="DK721">
        <f>IF('История отказов'!AY724="","",IF(AND(COUNTIF($CR$2:$CR$2,'История отказов'!AY724)=0,COUNTIF('История отказов'!$AY$5:AY724,'История отказов'!AY724)=1),720,""))</f>
        <v/>
      </c>
      <c r="DL721">
        <f>IF(DB721="","",IF(AND(COUNTIF($DA$2:$DA$47,DB721)=0,COUNTIF($DB$2:DB721,DB721)=1),720,""))</f>
        <v/>
      </c>
    </row>
    <row r="722">
      <c r="A722" s="74" t="n"/>
      <c r="B722" s="75" t="n"/>
      <c r="C722" s="76" t="n"/>
      <c r="J722" s="62" t="n"/>
      <c r="K722" s="62" t="n"/>
      <c r="L722" s="62" t="n"/>
      <c r="M722" s="62" t="n"/>
      <c r="N722" s="62" t="n"/>
      <c r="DB722">
        <f>IF('История отказов'!AH725="","",'История отказов'!AH725)</f>
        <v/>
      </c>
      <c r="DC722">
        <f>IF('История отказов'!AE725="","",IF(AND(COUNTIF($CT$2:$CT$2,'История отказов'!AE725)=0,COUNTIFS('История отказов'!$F$5:F725,"ШГН",'История отказов'!$AE$5:AE725,'История отказов'!AE725)=1,'История отказов'!F725="ШГН"),721,""))</f>
        <v/>
      </c>
      <c r="DD722">
        <f>IF('История отказов'!AE725="","",IF(AND(COUNTIF($CU$2:$CU$3,'История отказов'!AE725)=0,COUNTIFS('История отказов'!$F$5:F725,"ЭЦН",'История отказов'!$AE$5:AE725,'История отказов'!AE725)=1,'История отказов'!F725="ЭЦН"),721,""))</f>
        <v/>
      </c>
      <c r="DE722">
        <f>IF('История отказов'!AE725="","",IF(AND(COUNTIF($CV$2:$CV$3,'История отказов'!AE725)=0,COUNTIFS('История отказов'!$F$5:F725,"ЭВН",'История отказов'!$AE$5:AE725,'История отказов'!AE725)=1,'История отказов'!F725="ЭВН"),721,""))</f>
        <v/>
      </c>
      <c r="DF722">
        <f>IF('История отказов'!AE725="","",IF(AND(COUNTIF($CX$2:$CX$2,'История отказов'!AE725)=0,COUNTIFS('История отказов'!$F$5:F725,"ШВН",'История отказов'!$AE$5:AE725,'История отказов'!AE725)=1,'История отказов'!F725="ШВН"),721,""))</f>
        <v/>
      </c>
      <c r="DG722">
        <f>IF('История отказов'!AE725="","",IF(AND(COUNTIF($CW$2:$CW$2,'История отказов'!AE725)=0,COUNTIFS('История отказов'!$F$5:F725,"НПУ-ВД",'История отказов'!$AE$5:AE725,'История отказов'!AE725)=1,'История отказов'!F725="НПУ-ВД"),721,""))</f>
        <v/>
      </c>
      <c r="DH722">
        <f>IF('История отказов'!AE725="","",IF(AND(COUNTIF($CY$2:$CY$6,'История отказов'!AE725)=0,COUNTIF('История отказов'!$AE$5:AE725,'История отказов'!AE725)=1),721,""))</f>
        <v/>
      </c>
      <c r="DI722">
        <f>IF('История отказов'!AK725="","",IF(AND(COUNTIF($CL$2:$CL$3,'История отказов'!AK725)=0,COUNTIF('История отказов'!$AK$5:AK725,'История отказов'!AK725)=1),721,""))</f>
        <v/>
      </c>
      <c r="DJ722">
        <f>IF('История отказов'!AU725="","",IF(AND(COUNTIF($CP$2:$CP$3,'История отказов'!AU725)=0,COUNTIF('История отказов'!$AU$5:AU725,'История отказов'!AU725)=1),721,""))</f>
        <v/>
      </c>
      <c r="DK722">
        <f>IF('История отказов'!AY725="","",IF(AND(COUNTIF($CR$2:$CR$2,'История отказов'!AY725)=0,COUNTIF('История отказов'!$AY$5:AY725,'История отказов'!AY725)=1),721,""))</f>
        <v/>
      </c>
      <c r="DL722">
        <f>IF(DB722="","",IF(AND(COUNTIF($DA$2:$DA$47,DB722)=0,COUNTIF($DB$2:DB722,DB722)=1),721,""))</f>
        <v/>
      </c>
    </row>
    <row r="723">
      <c r="A723" s="74" t="n"/>
      <c r="B723" s="75" t="n"/>
      <c r="C723" s="76" t="n"/>
      <c r="J723" s="62" t="n"/>
      <c r="K723" s="62" t="n"/>
      <c r="L723" s="62" t="n"/>
      <c r="M723" s="62" t="n"/>
      <c r="N723" s="62" t="n"/>
      <c r="DB723">
        <f>IF('История отказов'!AH726="","",'История отказов'!AH726)</f>
        <v/>
      </c>
      <c r="DC723">
        <f>IF('История отказов'!AE726="","",IF(AND(COUNTIF($CT$2:$CT$2,'История отказов'!AE726)=0,COUNTIFS('История отказов'!$F$5:F726,"ШГН",'История отказов'!$AE$5:AE726,'История отказов'!AE726)=1,'История отказов'!F726="ШГН"),722,""))</f>
        <v/>
      </c>
      <c r="DD723">
        <f>IF('История отказов'!AE726="","",IF(AND(COUNTIF($CU$2:$CU$3,'История отказов'!AE726)=0,COUNTIFS('История отказов'!$F$5:F726,"ЭЦН",'История отказов'!$AE$5:AE726,'История отказов'!AE726)=1,'История отказов'!F726="ЭЦН"),722,""))</f>
        <v/>
      </c>
      <c r="DE723">
        <f>IF('История отказов'!AE726="","",IF(AND(COUNTIF($CV$2:$CV$3,'История отказов'!AE726)=0,COUNTIFS('История отказов'!$F$5:F726,"ЭВН",'История отказов'!$AE$5:AE726,'История отказов'!AE726)=1,'История отказов'!F726="ЭВН"),722,""))</f>
        <v/>
      </c>
      <c r="DF723">
        <f>IF('История отказов'!AE726="","",IF(AND(COUNTIF($CX$2:$CX$2,'История отказов'!AE726)=0,COUNTIFS('История отказов'!$F$5:F726,"ШВН",'История отказов'!$AE$5:AE726,'История отказов'!AE726)=1,'История отказов'!F726="ШВН"),722,""))</f>
        <v/>
      </c>
      <c r="DG723">
        <f>IF('История отказов'!AE726="","",IF(AND(COUNTIF($CW$2:$CW$2,'История отказов'!AE726)=0,COUNTIFS('История отказов'!$F$5:F726,"НПУ-ВД",'История отказов'!$AE$5:AE726,'История отказов'!AE726)=1,'История отказов'!F726="НПУ-ВД"),722,""))</f>
        <v/>
      </c>
      <c r="DH723">
        <f>IF('История отказов'!AE726="","",IF(AND(COUNTIF($CY$2:$CY$6,'История отказов'!AE726)=0,COUNTIF('История отказов'!$AE$5:AE726,'История отказов'!AE726)=1),722,""))</f>
        <v/>
      </c>
      <c r="DI723">
        <f>IF('История отказов'!AK726="","",IF(AND(COUNTIF($CL$2:$CL$3,'История отказов'!AK726)=0,COUNTIF('История отказов'!$AK$5:AK726,'История отказов'!AK726)=1),722,""))</f>
        <v/>
      </c>
      <c r="DJ723">
        <f>IF('История отказов'!AU726="","",IF(AND(COUNTIF($CP$2:$CP$3,'История отказов'!AU726)=0,COUNTIF('История отказов'!$AU$5:AU726,'История отказов'!AU726)=1),722,""))</f>
        <v/>
      </c>
      <c r="DK723">
        <f>IF('История отказов'!AY726="","",IF(AND(COUNTIF($CR$2:$CR$2,'История отказов'!AY726)=0,COUNTIF('История отказов'!$AY$5:AY726,'История отказов'!AY726)=1),722,""))</f>
        <v/>
      </c>
      <c r="DL723">
        <f>IF(DB723="","",IF(AND(COUNTIF($DA$2:$DA$47,DB723)=0,COUNTIF($DB$2:DB723,DB723)=1),722,""))</f>
        <v/>
      </c>
    </row>
    <row r="724">
      <c r="A724" s="74" t="n"/>
      <c r="B724" s="75" t="n"/>
      <c r="C724" s="76" t="n"/>
      <c r="J724" s="62" t="n"/>
      <c r="K724" s="62" t="n"/>
      <c r="L724" s="62" t="n"/>
      <c r="M724" s="62" t="n"/>
      <c r="N724" s="62" t="n"/>
      <c r="DB724">
        <f>IF('История отказов'!AH727="","",'История отказов'!AH727)</f>
        <v/>
      </c>
      <c r="DC724">
        <f>IF('История отказов'!AE727="","",IF(AND(COUNTIF($CT$2:$CT$2,'История отказов'!AE727)=0,COUNTIFS('История отказов'!$F$5:F727,"ШГН",'История отказов'!$AE$5:AE727,'История отказов'!AE727)=1,'История отказов'!F727="ШГН"),723,""))</f>
        <v/>
      </c>
      <c r="DD724">
        <f>IF('История отказов'!AE727="","",IF(AND(COUNTIF($CU$2:$CU$3,'История отказов'!AE727)=0,COUNTIFS('История отказов'!$F$5:F727,"ЭЦН",'История отказов'!$AE$5:AE727,'История отказов'!AE727)=1,'История отказов'!F727="ЭЦН"),723,""))</f>
        <v/>
      </c>
      <c r="DE724">
        <f>IF('История отказов'!AE727="","",IF(AND(COUNTIF($CV$2:$CV$3,'История отказов'!AE727)=0,COUNTIFS('История отказов'!$F$5:F727,"ЭВН",'История отказов'!$AE$5:AE727,'История отказов'!AE727)=1,'История отказов'!F727="ЭВН"),723,""))</f>
        <v/>
      </c>
      <c r="DF724">
        <f>IF('История отказов'!AE727="","",IF(AND(COUNTIF($CX$2:$CX$2,'История отказов'!AE727)=0,COUNTIFS('История отказов'!$F$5:F727,"ШВН",'История отказов'!$AE$5:AE727,'История отказов'!AE727)=1,'История отказов'!F727="ШВН"),723,""))</f>
        <v/>
      </c>
      <c r="DG724">
        <f>IF('История отказов'!AE727="","",IF(AND(COUNTIF($CW$2:$CW$2,'История отказов'!AE727)=0,COUNTIFS('История отказов'!$F$5:F727,"НПУ-ВД",'История отказов'!$AE$5:AE727,'История отказов'!AE727)=1,'История отказов'!F727="НПУ-ВД"),723,""))</f>
        <v/>
      </c>
      <c r="DH724">
        <f>IF('История отказов'!AE727="","",IF(AND(COUNTIF($CY$2:$CY$6,'История отказов'!AE727)=0,COUNTIF('История отказов'!$AE$5:AE727,'История отказов'!AE727)=1),723,""))</f>
        <v/>
      </c>
      <c r="DI724">
        <f>IF('История отказов'!AK727="","",IF(AND(COUNTIF($CL$2:$CL$3,'История отказов'!AK727)=0,COUNTIF('История отказов'!$AK$5:AK727,'История отказов'!AK727)=1),723,""))</f>
        <v/>
      </c>
      <c r="DJ724">
        <f>IF('История отказов'!AU727="","",IF(AND(COUNTIF($CP$2:$CP$3,'История отказов'!AU727)=0,COUNTIF('История отказов'!$AU$5:AU727,'История отказов'!AU727)=1),723,""))</f>
        <v/>
      </c>
      <c r="DK724">
        <f>IF('История отказов'!AY727="","",IF(AND(COUNTIF($CR$2:$CR$2,'История отказов'!AY727)=0,COUNTIF('История отказов'!$AY$5:AY727,'История отказов'!AY727)=1),723,""))</f>
        <v/>
      </c>
      <c r="DL724">
        <f>IF(DB724="","",IF(AND(COUNTIF($DA$2:$DA$47,DB724)=0,COUNTIF($DB$2:DB724,DB724)=1),723,""))</f>
        <v/>
      </c>
    </row>
    <row r="725">
      <c r="A725" s="74" t="n"/>
      <c r="B725" s="75" t="n"/>
      <c r="C725" s="76" t="n"/>
      <c r="J725" s="62" t="n"/>
      <c r="K725" s="62" t="n"/>
      <c r="L725" s="62" t="n"/>
      <c r="M725" s="62" t="n"/>
      <c r="N725" s="62" t="n"/>
      <c r="DB725">
        <f>IF('История отказов'!AH728="","",'История отказов'!AH728)</f>
        <v/>
      </c>
      <c r="DC725">
        <f>IF('История отказов'!AE728="","",IF(AND(COUNTIF($CT$2:$CT$2,'История отказов'!AE728)=0,COUNTIFS('История отказов'!$F$5:F728,"ШГН",'История отказов'!$AE$5:AE728,'История отказов'!AE728)=1,'История отказов'!F728="ШГН"),724,""))</f>
        <v/>
      </c>
      <c r="DD725">
        <f>IF('История отказов'!AE728="","",IF(AND(COUNTIF($CU$2:$CU$3,'История отказов'!AE728)=0,COUNTIFS('История отказов'!$F$5:F728,"ЭЦН",'История отказов'!$AE$5:AE728,'История отказов'!AE728)=1,'История отказов'!F728="ЭЦН"),724,""))</f>
        <v/>
      </c>
      <c r="DE725">
        <f>IF('История отказов'!AE728="","",IF(AND(COUNTIF($CV$2:$CV$3,'История отказов'!AE728)=0,COUNTIFS('История отказов'!$F$5:F728,"ЭВН",'История отказов'!$AE$5:AE728,'История отказов'!AE728)=1,'История отказов'!F728="ЭВН"),724,""))</f>
        <v/>
      </c>
      <c r="DF725">
        <f>IF('История отказов'!AE728="","",IF(AND(COUNTIF($CX$2:$CX$2,'История отказов'!AE728)=0,COUNTIFS('История отказов'!$F$5:F728,"ШВН",'История отказов'!$AE$5:AE728,'История отказов'!AE728)=1,'История отказов'!F728="ШВН"),724,""))</f>
        <v/>
      </c>
      <c r="DG725">
        <f>IF('История отказов'!AE728="","",IF(AND(COUNTIF($CW$2:$CW$2,'История отказов'!AE728)=0,COUNTIFS('История отказов'!$F$5:F728,"НПУ-ВД",'История отказов'!$AE$5:AE728,'История отказов'!AE728)=1,'История отказов'!F728="НПУ-ВД"),724,""))</f>
        <v/>
      </c>
      <c r="DH725">
        <f>IF('История отказов'!AE728="","",IF(AND(COUNTIF($CY$2:$CY$6,'История отказов'!AE728)=0,COUNTIF('История отказов'!$AE$5:AE728,'История отказов'!AE728)=1),724,""))</f>
        <v/>
      </c>
      <c r="DI725">
        <f>IF('История отказов'!AK728="","",IF(AND(COUNTIF($CL$2:$CL$3,'История отказов'!AK728)=0,COUNTIF('История отказов'!$AK$5:AK728,'История отказов'!AK728)=1),724,""))</f>
        <v/>
      </c>
      <c r="DJ725">
        <f>IF('История отказов'!AU728="","",IF(AND(COUNTIF($CP$2:$CP$3,'История отказов'!AU728)=0,COUNTIF('История отказов'!$AU$5:AU728,'История отказов'!AU728)=1),724,""))</f>
        <v/>
      </c>
      <c r="DK725">
        <f>IF('История отказов'!AY728="","",IF(AND(COUNTIF($CR$2:$CR$2,'История отказов'!AY728)=0,COUNTIF('История отказов'!$AY$5:AY728,'История отказов'!AY728)=1),724,""))</f>
        <v/>
      </c>
      <c r="DL725">
        <f>IF(DB725="","",IF(AND(COUNTIF($DA$2:$DA$47,DB725)=0,COUNTIF($DB$2:DB725,DB725)=1),724,""))</f>
        <v/>
      </c>
    </row>
    <row r="726">
      <c r="A726" s="74" t="n"/>
      <c r="B726" s="75" t="n"/>
      <c r="C726" s="76" t="n"/>
      <c r="J726" s="62" t="n"/>
      <c r="K726" s="62" t="n"/>
      <c r="L726" s="62" t="n"/>
      <c r="M726" s="62" t="n"/>
      <c r="N726" s="62" t="n"/>
      <c r="DB726">
        <f>IF('История отказов'!AH729="","",'История отказов'!AH729)</f>
        <v/>
      </c>
      <c r="DC726">
        <f>IF('История отказов'!AE729="","",IF(AND(COUNTIF($CT$2:$CT$2,'История отказов'!AE729)=0,COUNTIFS('История отказов'!$F$5:F729,"ШГН",'История отказов'!$AE$5:AE729,'История отказов'!AE729)=1,'История отказов'!F729="ШГН"),725,""))</f>
        <v/>
      </c>
      <c r="DD726">
        <f>IF('История отказов'!AE729="","",IF(AND(COUNTIF($CU$2:$CU$3,'История отказов'!AE729)=0,COUNTIFS('История отказов'!$F$5:F729,"ЭЦН",'История отказов'!$AE$5:AE729,'История отказов'!AE729)=1,'История отказов'!F729="ЭЦН"),725,""))</f>
        <v/>
      </c>
      <c r="DE726">
        <f>IF('История отказов'!AE729="","",IF(AND(COUNTIF($CV$2:$CV$3,'История отказов'!AE729)=0,COUNTIFS('История отказов'!$F$5:F729,"ЭВН",'История отказов'!$AE$5:AE729,'История отказов'!AE729)=1,'История отказов'!F729="ЭВН"),725,""))</f>
        <v/>
      </c>
      <c r="DF726">
        <f>IF('История отказов'!AE729="","",IF(AND(COUNTIF($CX$2:$CX$2,'История отказов'!AE729)=0,COUNTIFS('История отказов'!$F$5:F729,"ШВН",'История отказов'!$AE$5:AE729,'История отказов'!AE729)=1,'История отказов'!F729="ШВН"),725,""))</f>
        <v/>
      </c>
      <c r="DG726">
        <f>IF('История отказов'!AE729="","",IF(AND(COUNTIF($CW$2:$CW$2,'История отказов'!AE729)=0,COUNTIFS('История отказов'!$F$5:F729,"НПУ-ВД",'История отказов'!$AE$5:AE729,'История отказов'!AE729)=1,'История отказов'!F729="НПУ-ВД"),725,""))</f>
        <v/>
      </c>
      <c r="DH726">
        <f>IF('История отказов'!AE729="","",IF(AND(COUNTIF($CY$2:$CY$6,'История отказов'!AE729)=0,COUNTIF('История отказов'!$AE$5:AE729,'История отказов'!AE729)=1),725,""))</f>
        <v/>
      </c>
      <c r="DI726">
        <f>IF('История отказов'!AK729="","",IF(AND(COUNTIF($CL$2:$CL$3,'История отказов'!AK729)=0,COUNTIF('История отказов'!$AK$5:AK729,'История отказов'!AK729)=1),725,""))</f>
        <v/>
      </c>
      <c r="DJ726">
        <f>IF('История отказов'!AU729="","",IF(AND(COUNTIF($CP$2:$CP$3,'История отказов'!AU729)=0,COUNTIF('История отказов'!$AU$5:AU729,'История отказов'!AU729)=1),725,""))</f>
        <v/>
      </c>
      <c r="DK726">
        <f>IF('История отказов'!AY729="","",IF(AND(COUNTIF($CR$2:$CR$2,'История отказов'!AY729)=0,COUNTIF('История отказов'!$AY$5:AY729,'История отказов'!AY729)=1),725,""))</f>
        <v/>
      </c>
      <c r="DL726">
        <f>IF(DB726="","",IF(AND(COUNTIF($DA$2:$DA$47,DB726)=0,COUNTIF($DB$2:DB726,DB726)=1),725,""))</f>
        <v/>
      </c>
    </row>
    <row r="727">
      <c r="A727" s="74" t="n"/>
      <c r="B727" s="75" t="n"/>
      <c r="C727" s="76" t="n"/>
      <c r="J727" s="62" t="n"/>
      <c r="K727" s="62" t="n"/>
      <c r="L727" s="62" t="n"/>
      <c r="M727" s="62" t="n"/>
      <c r="N727" s="62" t="n"/>
      <c r="DB727">
        <f>IF('История отказов'!AH730="","",'История отказов'!AH730)</f>
        <v/>
      </c>
      <c r="DC727">
        <f>IF('История отказов'!AE730="","",IF(AND(COUNTIF($CT$2:$CT$2,'История отказов'!AE730)=0,COUNTIFS('История отказов'!$F$5:F730,"ШГН",'История отказов'!$AE$5:AE730,'История отказов'!AE730)=1,'История отказов'!F730="ШГН"),726,""))</f>
        <v/>
      </c>
      <c r="DD727">
        <f>IF('История отказов'!AE730="","",IF(AND(COUNTIF($CU$2:$CU$3,'История отказов'!AE730)=0,COUNTIFS('История отказов'!$F$5:F730,"ЭЦН",'История отказов'!$AE$5:AE730,'История отказов'!AE730)=1,'История отказов'!F730="ЭЦН"),726,""))</f>
        <v/>
      </c>
      <c r="DE727">
        <f>IF('История отказов'!AE730="","",IF(AND(COUNTIF($CV$2:$CV$3,'История отказов'!AE730)=0,COUNTIFS('История отказов'!$F$5:F730,"ЭВН",'История отказов'!$AE$5:AE730,'История отказов'!AE730)=1,'История отказов'!F730="ЭВН"),726,""))</f>
        <v/>
      </c>
      <c r="DF727">
        <f>IF('История отказов'!AE730="","",IF(AND(COUNTIF($CX$2:$CX$2,'История отказов'!AE730)=0,COUNTIFS('История отказов'!$F$5:F730,"ШВН",'История отказов'!$AE$5:AE730,'История отказов'!AE730)=1,'История отказов'!F730="ШВН"),726,""))</f>
        <v/>
      </c>
      <c r="DG727">
        <f>IF('История отказов'!AE730="","",IF(AND(COUNTIF($CW$2:$CW$2,'История отказов'!AE730)=0,COUNTIFS('История отказов'!$F$5:F730,"НПУ-ВД",'История отказов'!$AE$5:AE730,'История отказов'!AE730)=1,'История отказов'!F730="НПУ-ВД"),726,""))</f>
        <v/>
      </c>
      <c r="DH727">
        <f>IF('История отказов'!AE730="","",IF(AND(COUNTIF($CY$2:$CY$6,'История отказов'!AE730)=0,COUNTIF('История отказов'!$AE$5:AE730,'История отказов'!AE730)=1),726,""))</f>
        <v/>
      </c>
      <c r="DI727">
        <f>IF('История отказов'!AK730="","",IF(AND(COUNTIF($CL$2:$CL$3,'История отказов'!AK730)=0,COUNTIF('История отказов'!$AK$5:AK730,'История отказов'!AK730)=1),726,""))</f>
        <v/>
      </c>
      <c r="DJ727">
        <f>IF('История отказов'!AU730="","",IF(AND(COUNTIF($CP$2:$CP$3,'История отказов'!AU730)=0,COUNTIF('История отказов'!$AU$5:AU730,'История отказов'!AU730)=1),726,""))</f>
        <v/>
      </c>
      <c r="DK727">
        <f>IF('История отказов'!AY730="","",IF(AND(COUNTIF($CR$2:$CR$2,'История отказов'!AY730)=0,COUNTIF('История отказов'!$AY$5:AY730,'История отказов'!AY730)=1),726,""))</f>
        <v/>
      </c>
      <c r="DL727">
        <f>IF(DB727="","",IF(AND(COUNTIF($DA$2:$DA$47,DB727)=0,COUNTIF($DB$2:DB727,DB727)=1),726,""))</f>
        <v/>
      </c>
    </row>
    <row r="728">
      <c r="A728" s="74" t="n"/>
      <c r="B728" s="75" t="n"/>
      <c r="C728" s="76" t="n"/>
      <c r="J728" s="62" t="n"/>
      <c r="K728" s="62" t="n"/>
      <c r="L728" s="62" t="n"/>
      <c r="M728" s="62" t="n"/>
      <c r="N728" s="62" t="n"/>
      <c r="DB728">
        <f>IF('История отказов'!AH731="","",'История отказов'!AH731)</f>
        <v/>
      </c>
      <c r="DC728">
        <f>IF('История отказов'!AE731="","",IF(AND(COUNTIF($CT$2:$CT$2,'История отказов'!AE731)=0,COUNTIFS('История отказов'!$F$5:F731,"ШГН",'История отказов'!$AE$5:AE731,'История отказов'!AE731)=1,'История отказов'!F731="ШГН"),727,""))</f>
        <v/>
      </c>
      <c r="DD728">
        <f>IF('История отказов'!AE731="","",IF(AND(COUNTIF($CU$2:$CU$3,'История отказов'!AE731)=0,COUNTIFS('История отказов'!$F$5:F731,"ЭЦН",'История отказов'!$AE$5:AE731,'История отказов'!AE731)=1,'История отказов'!F731="ЭЦН"),727,""))</f>
        <v/>
      </c>
      <c r="DE728">
        <f>IF('История отказов'!AE731="","",IF(AND(COUNTIF($CV$2:$CV$3,'История отказов'!AE731)=0,COUNTIFS('История отказов'!$F$5:F731,"ЭВН",'История отказов'!$AE$5:AE731,'История отказов'!AE731)=1,'История отказов'!F731="ЭВН"),727,""))</f>
        <v/>
      </c>
      <c r="DF728">
        <f>IF('История отказов'!AE731="","",IF(AND(COUNTIF($CX$2:$CX$2,'История отказов'!AE731)=0,COUNTIFS('История отказов'!$F$5:F731,"ШВН",'История отказов'!$AE$5:AE731,'История отказов'!AE731)=1,'История отказов'!F731="ШВН"),727,""))</f>
        <v/>
      </c>
      <c r="DG728">
        <f>IF('История отказов'!AE731="","",IF(AND(COUNTIF($CW$2:$CW$2,'История отказов'!AE731)=0,COUNTIFS('История отказов'!$F$5:F731,"НПУ-ВД",'История отказов'!$AE$5:AE731,'История отказов'!AE731)=1,'История отказов'!F731="НПУ-ВД"),727,""))</f>
        <v/>
      </c>
      <c r="DH728">
        <f>IF('История отказов'!AE731="","",IF(AND(COUNTIF($CY$2:$CY$6,'История отказов'!AE731)=0,COUNTIF('История отказов'!$AE$5:AE731,'История отказов'!AE731)=1),727,""))</f>
        <v/>
      </c>
      <c r="DI728">
        <f>IF('История отказов'!AK731="","",IF(AND(COUNTIF($CL$2:$CL$3,'История отказов'!AK731)=0,COUNTIF('История отказов'!$AK$5:AK731,'История отказов'!AK731)=1),727,""))</f>
        <v/>
      </c>
      <c r="DJ728">
        <f>IF('История отказов'!AU731="","",IF(AND(COUNTIF($CP$2:$CP$3,'История отказов'!AU731)=0,COUNTIF('История отказов'!$AU$5:AU731,'История отказов'!AU731)=1),727,""))</f>
        <v/>
      </c>
      <c r="DK728">
        <f>IF('История отказов'!AY731="","",IF(AND(COUNTIF($CR$2:$CR$2,'История отказов'!AY731)=0,COUNTIF('История отказов'!$AY$5:AY731,'История отказов'!AY731)=1),727,""))</f>
        <v/>
      </c>
      <c r="DL728">
        <f>IF(DB728="","",IF(AND(COUNTIF($DA$2:$DA$47,DB728)=0,COUNTIF($DB$2:DB728,DB728)=1),727,""))</f>
        <v/>
      </c>
    </row>
    <row r="729">
      <c r="A729" s="74" t="n"/>
      <c r="B729" s="75" t="n"/>
      <c r="C729" s="76" t="n"/>
      <c r="J729" s="62" t="n"/>
      <c r="K729" s="62" t="n"/>
      <c r="L729" s="62" t="n"/>
      <c r="M729" s="62" t="n"/>
      <c r="N729" s="62" t="n"/>
      <c r="DB729">
        <f>IF('История отказов'!AH732="","",'История отказов'!AH732)</f>
        <v/>
      </c>
      <c r="DC729">
        <f>IF('История отказов'!AE732="","",IF(AND(COUNTIF($CT$2:$CT$2,'История отказов'!AE732)=0,COUNTIFS('История отказов'!$F$5:F732,"ШГН",'История отказов'!$AE$5:AE732,'История отказов'!AE732)=1,'История отказов'!F732="ШГН"),728,""))</f>
        <v/>
      </c>
      <c r="DD729">
        <f>IF('История отказов'!AE732="","",IF(AND(COUNTIF($CU$2:$CU$3,'История отказов'!AE732)=0,COUNTIFS('История отказов'!$F$5:F732,"ЭЦН",'История отказов'!$AE$5:AE732,'История отказов'!AE732)=1,'История отказов'!F732="ЭЦН"),728,""))</f>
        <v/>
      </c>
      <c r="DE729">
        <f>IF('История отказов'!AE732="","",IF(AND(COUNTIF($CV$2:$CV$3,'История отказов'!AE732)=0,COUNTIFS('История отказов'!$F$5:F732,"ЭВН",'История отказов'!$AE$5:AE732,'История отказов'!AE732)=1,'История отказов'!F732="ЭВН"),728,""))</f>
        <v/>
      </c>
      <c r="DF729">
        <f>IF('История отказов'!AE732="","",IF(AND(COUNTIF($CX$2:$CX$2,'История отказов'!AE732)=0,COUNTIFS('История отказов'!$F$5:F732,"ШВН",'История отказов'!$AE$5:AE732,'История отказов'!AE732)=1,'История отказов'!F732="ШВН"),728,""))</f>
        <v/>
      </c>
      <c r="DG729">
        <f>IF('История отказов'!AE732="","",IF(AND(COUNTIF($CW$2:$CW$2,'История отказов'!AE732)=0,COUNTIFS('История отказов'!$F$5:F732,"НПУ-ВД",'История отказов'!$AE$5:AE732,'История отказов'!AE732)=1,'История отказов'!F732="НПУ-ВД"),728,""))</f>
        <v/>
      </c>
      <c r="DH729">
        <f>IF('История отказов'!AE732="","",IF(AND(COUNTIF($CY$2:$CY$6,'История отказов'!AE732)=0,COUNTIF('История отказов'!$AE$5:AE732,'История отказов'!AE732)=1),728,""))</f>
        <v/>
      </c>
      <c r="DI729">
        <f>IF('История отказов'!AK732="","",IF(AND(COUNTIF($CL$2:$CL$3,'История отказов'!AK732)=0,COUNTIF('История отказов'!$AK$5:AK732,'История отказов'!AK732)=1),728,""))</f>
        <v/>
      </c>
      <c r="DJ729">
        <f>IF('История отказов'!AU732="","",IF(AND(COUNTIF($CP$2:$CP$3,'История отказов'!AU732)=0,COUNTIF('История отказов'!$AU$5:AU732,'История отказов'!AU732)=1),728,""))</f>
        <v/>
      </c>
      <c r="DK729">
        <f>IF('История отказов'!AY732="","",IF(AND(COUNTIF($CR$2:$CR$2,'История отказов'!AY732)=0,COUNTIF('История отказов'!$AY$5:AY732,'История отказов'!AY732)=1),728,""))</f>
        <v/>
      </c>
      <c r="DL729">
        <f>IF(DB729="","",IF(AND(COUNTIF($DA$2:$DA$47,DB729)=0,COUNTIF($DB$2:DB729,DB729)=1),728,""))</f>
        <v/>
      </c>
    </row>
    <row r="730">
      <c r="A730" s="74" t="n"/>
      <c r="B730" s="75" t="n"/>
      <c r="C730" s="76" t="n"/>
      <c r="J730" s="62" t="n"/>
      <c r="K730" s="62" t="n"/>
      <c r="L730" s="62" t="n"/>
      <c r="M730" s="62" t="n"/>
      <c r="N730" s="62" t="n"/>
      <c r="DB730">
        <f>IF('История отказов'!AH733="","",'История отказов'!AH733)</f>
        <v/>
      </c>
      <c r="DC730">
        <f>IF('История отказов'!AE733="","",IF(AND(COUNTIF($CT$2:$CT$2,'История отказов'!AE733)=0,COUNTIFS('История отказов'!$F$5:F733,"ШГН",'История отказов'!$AE$5:AE733,'История отказов'!AE733)=1,'История отказов'!F733="ШГН"),729,""))</f>
        <v/>
      </c>
      <c r="DD730">
        <f>IF('История отказов'!AE733="","",IF(AND(COUNTIF($CU$2:$CU$3,'История отказов'!AE733)=0,COUNTIFS('История отказов'!$F$5:F733,"ЭЦН",'История отказов'!$AE$5:AE733,'История отказов'!AE733)=1,'История отказов'!F733="ЭЦН"),729,""))</f>
        <v/>
      </c>
      <c r="DE730">
        <f>IF('История отказов'!AE733="","",IF(AND(COUNTIF($CV$2:$CV$3,'История отказов'!AE733)=0,COUNTIFS('История отказов'!$F$5:F733,"ЭВН",'История отказов'!$AE$5:AE733,'История отказов'!AE733)=1,'История отказов'!F733="ЭВН"),729,""))</f>
        <v/>
      </c>
      <c r="DF730">
        <f>IF('История отказов'!AE733="","",IF(AND(COUNTIF($CX$2:$CX$2,'История отказов'!AE733)=0,COUNTIFS('История отказов'!$F$5:F733,"ШВН",'История отказов'!$AE$5:AE733,'История отказов'!AE733)=1,'История отказов'!F733="ШВН"),729,""))</f>
        <v/>
      </c>
      <c r="DG730">
        <f>IF('История отказов'!AE733="","",IF(AND(COUNTIF($CW$2:$CW$2,'История отказов'!AE733)=0,COUNTIFS('История отказов'!$F$5:F733,"НПУ-ВД",'История отказов'!$AE$5:AE733,'История отказов'!AE733)=1,'История отказов'!F733="НПУ-ВД"),729,""))</f>
        <v/>
      </c>
      <c r="DH730">
        <f>IF('История отказов'!AE733="","",IF(AND(COUNTIF($CY$2:$CY$6,'История отказов'!AE733)=0,COUNTIF('История отказов'!$AE$5:AE733,'История отказов'!AE733)=1),729,""))</f>
        <v/>
      </c>
      <c r="DI730">
        <f>IF('История отказов'!AK733="","",IF(AND(COUNTIF($CL$2:$CL$3,'История отказов'!AK733)=0,COUNTIF('История отказов'!$AK$5:AK733,'История отказов'!AK733)=1),729,""))</f>
        <v/>
      </c>
      <c r="DJ730">
        <f>IF('История отказов'!AU733="","",IF(AND(COUNTIF($CP$2:$CP$3,'История отказов'!AU733)=0,COUNTIF('История отказов'!$AU$5:AU733,'История отказов'!AU733)=1),729,""))</f>
        <v/>
      </c>
      <c r="DK730">
        <f>IF('История отказов'!AY733="","",IF(AND(COUNTIF($CR$2:$CR$2,'История отказов'!AY733)=0,COUNTIF('История отказов'!$AY$5:AY733,'История отказов'!AY733)=1),729,""))</f>
        <v/>
      </c>
      <c r="DL730">
        <f>IF(DB730="","",IF(AND(COUNTIF($DA$2:$DA$47,DB730)=0,COUNTIF($DB$2:DB730,DB730)=1),729,""))</f>
        <v/>
      </c>
    </row>
    <row r="731">
      <c r="A731" s="74" t="n"/>
      <c r="B731" s="75" t="n"/>
      <c r="C731" s="76" t="n"/>
      <c r="J731" s="62" t="n"/>
      <c r="K731" s="62" t="n"/>
      <c r="L731" s="62" t="n"/>
      <c r="M731" s="62" t="n"/>
      <c r="N731" s="62" t="n"/>
      <c r="DB731">
        <f>IF('История отказов'!AH734="","",'История отказов'!AH734)</f>
        <v/>
      </c>
      <c r="DC731">
        <f>IF('История отказов'!AE734="","",IF(AND(COUNTIF($CT$2:$CT$2,'История отказов'!AE734)=0,COUNTIFS('История отказов'!$F$5:F734,"ШГН",'История отказов'!$AE$5:AE734,'История отказов'!AE734)=1,'История отказов'!F734="ШГН"),730,""))</f>
        <v/>
      </c>
      <c r="DD731">
        <f>IF('История отказов'!AE734="","",IF(AND(COUNTIF($CU$2:$CU$3,'История отказов'!AE734)=0,COUNTIFS('История отказов'!$F$5:F734,"ЭЦН",'История отказов'!$AE$5:AE734,'История отказов'!AE734)=1,'История отказов'!F734="ЭЦН"),730,""))</f>
        <v/>
      </c>
      <c r="DE731">
        <f>IF('История отказов'!AE734="","",IF(AND(COUNTIF($CV$2:$CV$3,'История отказов'!AE734)=0,COUNTIFS('История отказов'!$F$5:F734,"ЭВН",'История отказов'!$AE$5:AE734,'История отказов'!AE734)=1,'История отказов'!F734="ЭВН"),730,""))</f>
        <v/>
      </c>
      <c r="DF731">
        <f>IF('История отказов'!AE734="","",IF(AND(COUNTIF($CX$2:$CX$2,'История отказов'!AE734)=0,COUNTIFS('История отказов'!$F$5:F734,"ШВН",'История отказов'!$AE$5:AE734,'История отказов'!AE734)=1,'История отказов'!F734="ШВН"),730,""))</f>
        <v/>
      </c>
      <c r="DG731">
        <f>IF('История отказов'!AE734="","",IF(AND(COUNTIF($CW$2:$CW$2,'История отказов'!AE734)=0,COUNTIFS('История отказов'!$F$5:F734,"НПУ-ВД",'История отказов'!$AE$5:AE734,'История отказов'!AE734)=1,'История отказов'!F734="НПУ-ВД"),730,""))</f>
        <v/>
      </c>
      <c r="DH731">
        <f>IF('История отказов'!AE734="","",IF(AND(COUNTIF($CY$2:$CY$6,'История отказов'!AE734)=0,COUNTIF('История отказов'!$AE$5:AE734,'История отказов'!AE734)=1),730,""))</f>
        <v/>
      </c>
      <c r="DI731">
        <f>IF('История отказов'!AK734="","",IF(AND(COUNTIF($CL$2:$CL$3,'История отказов'!AK734)=0,COUNTIF('История отказов'!$AK$5:AK734,'История отказов'!AK734)=1),730,""))</f>
        <v/>
      </c>
      <c r="DJ731">
        <f>IF('История отказов'!AU734="","",IF(AND(COUNTIF($CP$2:$CP$3,'История отказов'!AU734)=0,COUNTIF('История отказов'!$AU$5:AU734,'История отказов'!AU734)=1),730,""))</f>
        <v/>
      </c>
      <c r="DK731">
        <f>IF('История отказов'!AY734="","",IF(AND(COUNTIF($CR$2:$CR$2,'История отказов'!AY734)=0,COUNTIF('История отказов'!$AY$5:AY734,'История отказов'!AY734)=1),730,""))</f>
        <v/>
      </c>
      <c r="DL731">
        <f>IF(DB731="","",IF(AND(COUNTIF($DA$2:$DA$47,DB731)=0,COUNTIF($DB$2:DB731,DB731)=1),730,""))</f>
        <v/>
      </c>
    </row>
    <row r="732">
      <c r="A732" s="74" t="n"/>
      <c r="B732" s="75" t="n"/>
      <c r="C732" s="76" t="n"/>
      <c r="J732" s="62" t="n"/>
      <c r="K732" s="62" t="n"/>
      <c r="L732" s="62" t="n"/>
      <c r="M732" s="62" t="n"/>
      <c r="N732" s="62" t="n"/>
      <c r="DB732">
        <f>IF('История отказов'!AH735="","",'История отказов'!AH735)</f>
        <v/>
      </c>
      <c r="DC732">
        <f>IF('История отказов'!AE735="","",IF(AND(COUNTIF($CT$2:$CT$2,'История отказов'!AE735)=0,COUNTIFS('История отказов'!$F$5:F735,"ШГН",'История отказов'!$AE$5:AE735,'История отказов'!AE735)=1,'История отказов'!F735="ШГН"),731,""))</f>
        <v/>
      </c>
      <c r="DD732">
        <f>IF('История отказов'!AE735="","",IF(AND(COUNTIF($CU$2:$CU$3,'История отказов'!AE735)=0,COUNTIFS('История отказов'!$F$5:F735,"ЭЦН",'История отказов'!$AE$5:AE735,'История отказов'!AE735)=1,'История отказов'!F735="ЭЦН"),731,""))</f>
        <v/>
      </c>
      <c r="DE732">
        <f>IF('История отказов'!AE735="","",IF(AND(COUNTIF($CV$2:$CV$3,'История отказов'!AE735)=0,COUNTIFS('История отказов'!$F$5:F735,"ЭВН",'История отказов'!$AE$5:AE735,'История отказов'!AE735)=1,'История отказов'!F735="ЭВН"),731,""))</f>
        <v/>
      </c>
      <c r="DF732">
        <f>IF('История отказов'!AE735="","",IF(AND(COUNTIF($CX$2:$CX$2,'История отказов'!AE735)=0,COUNTIFS('История отказов'!$F$5:F735,"ШВН",'История отказов'!$AE$5:AE735,'История отказов'!AE735)=1,'История отказов'!F735="ШВН"),731,""))</f>
        <v/>
      </c>
      <c r="DG732">
        <f>IF('История отказов'!AE735="","",IF(AND(COUNTIF($CW$2:$CW$2,'История отказов'!AE735)=0,COUNTIFS('История отказов'!$F$5:F735,"НПУ-ВД",'История отказов'!$AE$5:AE735,'История отказов'!AE735)=1,'История отказов'!F735="НПУ-ВД"),731,""))</f>
        <v/>
      </c>
      <c r="DH732">
        <f>IF('История отказов'!AE735="","",IF(AND(COUNTIF($CY$2:$CY$6,'История отказов'!AE735)=0,COUNTIF('История отказов'!$AE$5:AE735,'История отказов'!AE735)=1),731,""))</f>
        <v/>
      </c>
      <c r="DI732">
        <f>IF('История отказов'!AK735="","",IF(AND(COUNTIF($CL$2:$CL$3,'История отказов'!AK735)=0,COUNTIF('История отказов'!$AK$5:AK735,'История отказов'!AK735)=1),731,""))</f>
        <v/>
      </c>
      <c r="DJ732">
        <f>IF('История отказов'!AU735="","",IF(AND(COUNTIF($CP$2:$CP$3,'История отказов'!AU735)=0,COUNTIF('История отказов'!$AU$5:AU735,'История отказов'!AU735)=1),731,""))</f>
        <v/>
      </c>
      <c r="DK732">
        <f>IF('История отказов'!AY735="","",IF(AND(COUNTIF($CR$2:$CR$2,'История отказов'!AY735)=0,COUNTIF('История отказов'!$AY$5:AY735,'История отказов'!AY735)=1),731,""))</f>
        <v/>
      </c>
      <c r="DL732">
        <f>IF(DB732="","",IF(AND(COUNTIF($DA$2:$DA$47,DB732)=0,COUNTIF($DB$2:DB732,DB732)=1),731,""))</f>
        <v/>
      </c>
    </row>
    <row r="733">
      <c r="A733" s="74" t="n"/>
      <c r="B733" s="75" t="n"/>
      <c r="C733" s="76" t="n"/>
      <c r="J733" s="62" t="n"/>
      <c r="K733" s="62" t="n"/>
      <c r="L733" s="62" t="n"/>
      <c r="M733" s="62" t="n"/>
      <c r="N733" s="62" t="n"/>
      <c r="DB733">
        <f>IF('История отказов'!AH736="","",'История отказов'!AH736)</f>
        <v/>
      </c>
      <c r="DC733">
        <f>IF('История отказов'!AE736="","",IF(AND(COUNTIF($CT$2:$CT$2,'История отказов'!AE736)=0,COUNTIFS('История отказов'!$F$5:F736,"ШГН",'История отказов'!$AE$5:AE736,'История отказов'!AE736)=1,'История отказов'!F736="ШГН"),732,""))</f>
        <v/>
      </c>
      <c r="DD733">
        <f>IF('История отказов'!AE736="","",IF(AND(COUNTIF($CU$2:$CU$3,'История отказов'!AE736)=0,COUNTIFS('История отказов'!$F$5:F736,"ЭЦН",'История отказов'!$AE$5:AE736,'История отказов'!AE736)=1,'История отказов'!F736="ЭЦН"),732,""))</f>
        <v/>
      </c>
      <c r="DE733">
        <f>IF('История отказов'!AE736="","",IF(AND(COUNTIF($CV$2:$CV$3,'История отказов'!AE736)=0,COUNTIFS('История отказов'!$F$5:F736,"ЭВН",'История отказов'!$AE$5:AE736,'История отказов'!AE736)=1,'История отказов'!F736="ЭВН"),732,""))</f>
        <v/>
      </c>
      <c r="DF733">
        <f>IF('История отказов'!AE736="","",IF(AND(COUNTIF($CX$2:$CX$2,'История отказов'!AE736)=0,COUNTIFS('История отказов'!$F$5:F736,"ШВН",'История отказов'!$AE$5:AE736,'История отказов'!AE736)=1,'История отказов'!F736="ШВН"),732,""))</f>
        <v/>
      </c>
      <c r="DG733">
        <f>IF('История отказов'!AE736="","",IF(AND(COUNTIF($CW$2:$CW$2,'История отказов'!AE736)=0,COUNTIFS('История отказов'!$F$5:F736,"НПУ-ВД",'История отказов'!$AE$5:AE736,'История отказов'!AE736)=1,'История отказов'!F736="НПУ-ВД"),732,""))</f>
        <v/>
      </c>
      <c r="DH733">
        <f>IF('История отказов'!AE736="","",IF(AND(COUNTIF($CY$2:$CY$6,'История отказов'!AE736)=0,COUNTIF('История отказов'!$AE$5:AE736,'История отказов'!AE736)=1),732,""))</f>
        <v/>
      </c>
      <c r="DI733">
        <f>IF('История отказов'!AK736="","",IF(AND(COUNTIF($CL$2:$CL$3,'История отказов'!AK736)=0,COUNTIF('История отказов'!$AK$5:AK736,'История отказов'!AK736)=1),732,""))</f>
        <v/>
      </c>
      <c r="DJ733">
        <f>IF('История отказов'!AU736="","",IF(AND(COUNTIF($CP$2:$CP$3,'История отказов'!AU736)=0,COUNTIF('История отказов'!$AU$5:AU736,'История отказов'!AU736)=1),732,""))</f>
        <v/>
      </c>
      <c r="DK733">
        <f>IF('История отказов'!AY736="","",IF(AND(COUNTIF($CR$2:$CR$2,'История отказов'!AY736)=0,COUNTIF('История отказов'!$AY$5:AY736,'История отказов'!AY736)=1),732,""))</f>
        <v/>
      </c>
      <c r="DL733">
        <f>IF(DB733="","",IF(AND(COUNTIF($DA$2:$DA$47,DB733)=0,COUNTIF($DB$2:DB733,DB733)=1),732,""))</f>
        <v/>
      </c>
    </row>
    <row r="734">
      <c r="A734" s="74" t="n"/>
      <c r="B734" s="75" t="n"/>
      <c r="C734" s="76" t="n"/>
      <c r="J734" s="62" t="n"/>
      <c r="K734" s="62" t="n"/>
      <c r="L734" s="62" t="n"/>
      <c r="M734" s="62" t="n"/>
      <c r="N734" s="62" t="n"/>
      <c r="DB734">
        <f>IF('История отказов'!AH737="","",'История отказов'!AH737)</f>
        <v/>
      </c>
      <c r="DC734">
        <f>IF('История отказов'!AE737="","",IF(AND(COUNTIF($CT$2:$CT$2,'История отказов'!AE737)=0,COUNTIFS('История отказов'!$F$5:F737,"ШГН",'История отказов'!$AE$5:AE737,'История отказов'!AE737)=1,'История отказов'!F737="ШГН"),733,""))</f>
        <v/>
      </c>
      <c r="DD734">
        <f>IF('История отказов'!AE737="","",IF(AND(COUNTIF($CU$2:$CU$3,'История отказов'!AE737)=0,COUNTIFS('История отказов'!$F$5:F737,"ЭЦН",'История отказов'!$AE$5:AE737,'История отказов'!AE737)=1,'История отказов'!F737="ЭЦН"),733,""))</f>
        <v/>
      </c>
      <c r="DE734">
        <f>IF('История отказов'!AE737="","",IF(AND(COUNTIF($CV$2:$CV$3,'История отказов'!AE737)=0,COUNTIFS('История отказов'!$F$5:F737,"ЭВН",'История отказов'!$AE$5:AE737,'История отказов'!AE737)=1,'История отказов'!F737="ЭВН"),733,""))</f>
        <v/>
      </c>
      <c r="DF734">
        <f>IF('История отказов'!AE737="","",IF(AND(COUNTIF($CX$2:$CX$2,'История отказов'!AE737)=0,COUNTIFS('История отказов'!$F$5:F737,"ШВН",'История отказов'!$AE$5:AE737,'История отказов'!AE737)=1,'История отказов'!F737="ШВН"),733,""))</f>
        <v/>
      </c>
      <c r="DG734">
        <f>IF('История отказов'!AE737="","",IF(AND(COUNTIF($CW$2:$CW$2,'История отказов'!AE737)=0,COUNTIFS('История отказов'!$F$5:F737,"НПУ-ВД",'История отказов'!$AE$5:AE737,'История отказов'!AE737)=1,'История отказов'!F737="НПУ-ВД"),733,""))</f>
        <v/>
      </c>
      <c r="DH734">
        <f>IF('История отказов'!AE737="","",IF(AND(COUNTIF($CY$2:$CY$6,'История отказов'!AE737)=0,COUNTIF('История отказов'!$AE$5:AE737,'История отказов'!AE737)=1),733,""))</f>
        <v/>
      </c>
      <c r="DI734">
        <f>IF('История отказов'!AK737="","",IF(AND(COUNTIF($CL$2:$CL$3,'История отказов'!AK737)=0,COUNTIF('История отказов'!$AK$5:AK737,'История отказов'!AK737)=1),733,""))</f>
        <v/>
      </c>
      <c r="DJ734">
        <f>IF('История отказов'!AU737="","",IF(AND(COUNTIF($CP$2:$CP$3,'История отказов'!AU737)=0,COUNTIF('История отказов'!$AU$5:AU737,'История отказов'!AU737)=1),733,""))</f>
        <v/>
      </c>
      <c r="DK734">
        <f>IF('История отказов'!AY737="","",IF(AND(COUNTIF($CR$2:$CR$2,'История отказов'!AY737)=0,COUNTIF('История отказов'!$AY$5:AY737,'История отказов'!AY737)=1),733,""))</f>
        <v/>
      </c>
      <c r="DL734">
        <f>IF(DB734="","",IF(AND(COUNTIF($DA$2:$DA$47,DB734)=0,COUNTIF($DB$2:DB734,DB734)=1),733,""))</f>
        <v/>
      </c>
    </row>
    <row r="735">
      <c r="A735" s="74" t="n"/>
      <c r="B735" s="75" t="n"/>
      <c r="C735" s="76" t="n"/>
      <c r="J735" s="62" t="n"/>
      <c r="K735" s="62" t="n"/>
      <c r="L735" s="62" t="n"/>
      <c r="M735" s="62" t="n"/>
      <c r="N735" s="62" t="n"/>
      <c r="DB735">
        <f>IF('История отказов'!AH738="","",'История отказов'!AH738)</f>
        <v/>
      </c>
      <c r="DC735">
        <f>IF('История отказов'!AE738="","",IF(AND(COUNTIF($CT$2:$CT$2,'История отказов'!AE738)=0,COUNTIFS('История отказов'!$F$5:F738,"ШГН",'История отказов'!$AE$5:AE738,'История отказов'!AE738)=1,'История отказов'!F738="ШГН"),734,""))</f>
        <v/>
      </c>
      <c r="DD735">
        <f>IF('История отказов'!AE738="","",IF(AND(COUNTIF($CU$2:$CU$3,'История отказов'!AE738)=0,COUNTIFS('История отказов'!$F$5:F738,"ЭЦН",'История отказов'!$AE$5:AE738,'История отказов'!AE738)=1,'История отказов'!F738="ЭЦН"),734,""))</f>
        <v/>
      </c>
      <c r="DE735">
        <f>IF('История отказов'!AE738="","",IF(AND(COUNTIF($CV$2:$CV$3,'История отказов'!AE738)=0,COUNTIFS('История отказов'!$F$5:F738,"ЭВН",'История отказов'!$AE$5:AE738,'История отказов'!AE738)=1,'История отказов'!F738="ЭВН"),734,""))</f>
        <v/>
      </c>
      <c r="DF735">
        <f>IF('История отказов'!AE738="","",IF(AND(COUNTIF($CX$2:$CX$2,'История отказов'!AE738)=0,COUNTIFS('История отказов'!$F$5:F738,"ШВН",'История отказов'!$AE$5:AE738,'История отказов'!AE738)=1,'История отказов'!F738="ШВН"),734,""))</f>
        <v/>
      </c>
      <c r="DG735">
        <f>IF('История отказов'!AE738="","",IF(AND(COUNTIF($CW$2:$CW$2,'История отказов'!AE738)=0,COUNTIFS('История отказов'!$F$5:F738,"НПУ-ВД",'История отказов'!$AE$5:AE738,'История отказов'!AE738)=1,'История отказов'!F738="НПУ-ВД"),734,""))</f>
        <v/>
      </c>
      <c r="DH735">
        <f>IF('История отказов'!AE738="","",IF(AND(COUNTIF($CY$2:$CY$6,'История отказов'!AE738)=0,COUNTIF('История отказов'!$AE$5:AE738,'История отказов'!AE738)=1),734,""))</f>
        <v/>
      </c>
      <c r="DI735">
        <f>IF('История отказов'!AK738="","",IF(AND(COUNTIF($CL$2:$CL$3,'История отказов'!AK738)=0,COUNTIF('История отказов'!$AK$5:AK738,'История отказов'!AK738)=1),734,""))</f>
        <v/>
      </c>
      <c r="DJ735">
        <f>IF('История отказов'!AU738="","",IF(AND(COUNTIF($CP$2:$CP$3,'История отказов'!AU738)=0,COUNTIF('История отказов'!$AU$5:AU738,'История отказов'!AU738)=1),734,""))</f>
        <v/>
      </c>
      <c r="DK735">
        <f>IF('История отказов'!AY738="","",IF(AND(COUNTIF($CR$2:$CR$2,'История отказов'!AY738)=0,COUNTIF('История отказов'!$AY$5:AY738,'История отказов'!AY738)=1),734,""))</f>
        <v/>
      </c>
      <c r="DL735">
        <f>IF(DB735="","",IF(AND(COUNTIF($DA$2:$DA$47,DB735)=0,COUNTIF($DB$2:DB735,DB735)=1),734,""))</f>
        <v/>
      </c>
    </row>
    <row r="736">
      <c r="A736" s="74" t="n"/>
      <c r="B736" s="75" t="n"/>
      <c r="C736" s="76" t="n"/>
      <c r="J736" s="62" t="n"/>
      <c r="K736" s="62" t="n"/>
      <c r="L736" s="62" t="n"/>
      <c r="M736" s="62" t="n"/>
      <c r="N736" s="62" t="n"/>
      <c r="DB736">
        <f>IF('История отказов'!AH739="","",'История отказов'!AH739)</f>
        <v/>
      </c>
      <c r="DC736">
        <f>IF('История отказов'!AE739="","",IF(AND(COUNTIF($CT$2:$CT$2,'История отказов'!AE739)=0,COUNTIFS('История отказов'!$F$5:F739,"ШГН",'История отказов'!$AE$5:AE739,'История отказов'!AE739)=1,'История отказов'!F739="ШГН"),735,""))</f>
        <v/>
      </c>
      <c r="DD736">
        <f>IF('История отказов'!AE739="","",IF(AND(COUNTIF($CU$2:$CU$3,'История отказов'!AE739)=0,COUNTIFS('История отказов'!$F$5:F739,"ЭЦН",'История отказов'!$AE$5:AE739,'История отказов'!AE739)=1,'История отказов'!F739="ЭЦН"),735,""))</f>
        <v/>
      </c>
      <c r="DE736">
        <f>IF('История отказов'!AE739="","",IF(AND(COUNTIF($CV$2:$CV$3,'История отказов'!AE739)=0,COUNTIFS('История отказов'!$F$5:F739,"ЭВН",'История отказов'!$AE$5:AE739,'История отказов'!AE739)=1,'История отказов'!F739="ЭВН"),735,""))</f>
        <v/>
      </c>
      <c r="DF736">
        <f>IF('История отказов'!AE739="","",IF(AND(COUNTIF($CX$2:$CX$2,'История отказов'!AE739)=0,COUNTIFS('История отказов'!$F$5:F739,"ШВН",'История отказов'!$AE$5:AE739,'История отказов'!AE739)=1,'История отказов'!F739="ШВН"),735,""))</f>
        <v/>
      </c>
      <c r="DG736">
        <f>IF('История отказов'!AE739="","",IF(AND(COUNTIF($CW$2:$CW$2,'История отказов'!AE739)=0,COUNTIFS('История отказов'!$F$5:F739,"НПУ-ВД",'История отказов'!$AE$5:AE739,'История отказов'!AE739)=1,'История отказов'!F739="НПУ-ВД"),735,""))</f>
        <v/>
      </c>
      <c r="DH736">
        <f>IF('История отказов'!AE739="","",IF(AND(COUNTIF($CY$2:$CY$6,'История отказов'!AE739)=0,COUNTIF('История отказов'!$AE$5:AE739,'История отказов'!AE739)=1),735,""))</f>
        <v/>
      </c>
      <c r="DI736">
        <f>IF('История отказов'!AK739="","",IF(AND(COUNTIF($CL$2:$CL$3,'История отказов'!AK739)=0,COUNTIF('История отказов'!$AK$5:AK739,'История отказов'!AK739)=1),735,""))</f>
        <v/>
      </c>
      <c r="DJ736">
        <f>IF('История отказов'!AU739="","",IF(AND(COUNTIF($CP$2:$CP$3,'История отказов'!AU739)=0,COUNTIF('История отказов'!$AU$5:AU739,'История отказов'!AU739)=1),735,""))</f>
        <v/>
      </c>
      <c r="DK736">
        <f>IF('История отказов'!AY739="","",IF(AND(COUNTIF($CR$2:$CR$2,'История отказов'!AY739)=0,COUNTIF('История отказов'!$AY$5:AY739,'История отказов'!AY739)=1),735,""))</f>
        <v/>
      </c>
      <c r="DL736">
        <f>IF(DB736="","",IF(AND(COUNTIF($DA$2:$DA$47,DB736)=0,COUNTIF($DB$2:DB736,DB736)=1),735,""))</f>
        <v/>
      </c>
    </row>
    <row r="737">
      <c r="A737" s="74" t="n"/>
      <c r="B737" s="75" t="n"/>
      <c r="C737" s="76" t="n"/>
      <c r="J737" s="62" t="n"/>
      <c r="K737" s="62" t="n"/>
      <c r="L737" s="62" t="n"/>
      <c r="M737" s="62" t="n"/>
      <c r="N737" s="62" t="n"/>
      <c r="DB737">
        <f>IF('История отказов'!AH740="","",'История отказов'!AH740)</f>
        <v/>
      </c>
      <c r="DC737">
        <f>IF('История отказов'!AE740="","",IF(AND(COUNTIF($CT$2:$CT$2,'История отказов'!AE740)=0,COUNTIFS('История отказов'!$F$5:F740,"ШГН",'История отказов'!$AE$5:AE740,'История отказов'!AE740)=1,'История отказов'!F740="ШГН"),736,""))</f>
        <v/>
      </c>
      <c r="DD737">
        <f>IF('История отказов'!AE740="","",IF(AND(COUNTIF($CU$2:$CU$3,'История отказов'!AE740)=0,COUNTIFS('История отказов'!$F$5:F740,"ЭЦН",'История отказов'!$AE$5:AE740,'История отказов'!AE740)=1,'История отказов'!F740="ЭЦН"),736,""))</f>
        <v/>
      </c>
      <c r="DE737">
        <f>IF('История отказов'!AE740="","",IF(AND(COUNTIF($CV$2:$CV$3,'История отказов'!AE740)=0,COUNTIFS('История отказов'!$F$5:F740,"ЭВН",'История отказов'!$AE$5:AE740,'История отказов'!AE740)=1,'История отказов'!F740="ЭВН"),736,""))</f>
        <v/>
      </c>
      <c r="DF737">
        <f>IF('История отказов'!AE740="","",IF(AND(COUNTIF($CX$2:$CX$2,'История отказов'!AE740)=0,COUNTIFS('История отказов'!$F$5:F740,"ШВН",'История отказов'!$AE$5:AE740,'История отказов'!AE740)=1,'История отказов'!F740="ШВН"),736,""))</f>
        <v/>
      </c>
      <c r="DG737">
        <f>IF('История отказов'!AE740="","",IF(AND(COUNTIF($CW$2:$CW$2,'История отказов'!AE740)=0,COUNTIFS('История отказов'!$F$5:F740,"НПУ-ВД",'История отказов'!$AE$5:AE740,'История отказов'!AE740)=1,'История отказов'!F740="НПУ-ВД"),736,""))</f>
        <v/>
      </c>
      <c r="DH737">
        <f>IF('История отказов'!AE740="","",IF(AND(COUNTIF($CY$2:$CY$6,'История отказов'!AE740)=0,COUNTIF('История отказов'!$AE$5:AE740,'История отказов'!AE740)=1),736,""))</f>
        <v/>
      </c>
      <c r="DI737">
        <f>IF('История отказов'!AK740="","",IF(AND(COUNTIF($CL$2:$CL$3,'История отказов'!AK740)=0,COUNTIF('История отказов'!$AK$5:AK740,'История отказов'!AK740)=1),736,""))</f>
        <v/>
      </c>
      <c r="DJ737">
        <f>IF('История отказов'!AU740="","",IF(AND(COUNTIF($CP$2:$CP$3,'История отказов'!AU740)=0,COUNTIF('История отказов'!$AU$5:AU740,'История отказов'!AU740)=1),736,""))</f>
        <v/>
      </c>
      <c r="DK737">
        <f>IF('История отказов'!AY740="","",IF(AND(COUNTIF($CR$2:$CR$2,'История отказов'!AY740)=0,COUNTIF('История отказов'!$AY$5:AY740,'История отказов'!AY740)=1),736,""))</f>
        <v/>
      </c>
      <c r="DL737">
        <f>IF(DB737="","",IF(AND(COUNTIF($DA$2:$DA$47,DB737)=0,COUNTIF($DB$2:DB737,DB737)=1),736,""))</f>
        <v/>
      </c>
    </row>
    <row r="738">
      <c r="A738" s="74" t="n"/>
      <c r="B738" s="75" t="n"/>
      <c r="C738" s="76" t="n"/>
      <c r="J738" s="62" t="n"/>
      <c r="K738" s="62" t="n"/>
      <c r="L738" s="62" t="n"/>
      <c r="M738" s="62" t="n"/>
      <c r="N738" s="62" t="n"/>
      <c r="DB738">
        <f>IF('История отказов'!AH741="","",'История отказов'!AH741)</f>
        <v/>
      </c>
      <c r="DC738">
        <f>IF('История отказов'!AE741="","",IF(AND(COUNTIF($CT$2:$CT$2,'История отказов'!AE741)=0,COUNTIFS('История отказов'!$F$5:F741,"ШГН",'История отказов'!$AE$5:AE741,'История отказов'!AE741)=1,'История отказов'!F741="ШГН"),737,""))</f>
        <v/>
      </c>
      <c r="DD738">
        <f>IF('История отказов'!AE741="","",IF(AND(COUNTIF($CU$2:$CU$3,'История отказов'!AE741)=0,COUNTIFS('История отказов'!$F$5:F741,"ЭЦН",'История отказов'!$AE$5:AE741,'История отказов'!AE741)=1,'История отказов'!F741="ЭЦН"),737,""))</f>
        <v/>
      </c>
      <c r="DE738">
        <f>IF('История отказов'!AE741="","",IF(AND(COUNTIF($CV$2:$CV$3,'История отказов'!AE741)=0,COUNTIFS('История отказов'!$F$5:F741,"ЭВН",'История отказов'!$AE$5:AE741,'История отказов'!AE741)=1,'История отказов'!F741="ЭВН"),737,""))</f>
        <v/>
      </c>
      <c r="DF738">
        <f>IF('История отказов'!AE741="","",IF(AND(COUNTIF($CX$2:$CX$2,'История отказов'!AE741)=0,COUNTIFS('История отказов'!$F$5:F741,"ШВН",'История отказов'!$AE$5:AE741,'История отказов'!AE741)=1,'История отказов'!F741="ШВН"),737,""))</f>
        <v/>
      </c>
      <c r="DG738">
        <f>IF('История отказов'!AE741="","",IF(AND(COUNTIF($CW$2:$CW$2,'История отказов'!AE741)=0,COUNTIFS('История отказов'!$F$5:F741,"НПУ-ВД",'История отказов'!$AE$5:AE741,'История отказов'!AE741)=1,'История отказов'!F741="НПУ-ВД"),737,""))</f>
        <v/>
      </c>
      <c r="DH738">
        <f>IF('История отказов'!AE741="","",IF(AND(COUNTIF($CY$2:$CY$6,'История отказов'!AE741)=0,COUNTIF('История отказов'!$AE$5:AE741,'История отказов'!AE741)=1),737,""))</f>
        <v/>
      </c>
      <c r="DI738">
        <f>IF('История отказов'!AK741="","",IF(AND(COUNTIF($CL$2:$CL$3,'История отказов'!AK741)=0,COUNTIF('История отказов'!$AK$5:AK741,'История отказов'!AK741)=1),737,""))</f>
        <v/>
      </c>
      <c r="DJ738">
        <f>IF('История отказов'!AU741="","",IF(AND(COUNTIF($CP$2:$CP$3,'История отказов'!AU741)=0,COUNTIF('История отказов'!$AU$5:AU741,'История отказов'!AU741)=1),737,""))</f>
        <v/>
      </c>
      <c r="DK738">
        <f>IF('История отказов'!AY741="","",IF(AND(COUNTIF($CR$2:$CR$2,'История отказов'!AY741)=0,COUNTIF('История отказов'!$AY$5:AY741,'История отказов'!AY741)=1),737,""))</f>
        <v/>
      </c>
      <c r="DL738">
        <f>IF(DB738="","",IF(AND(COUNTIF($DA$2:$DA$47,DB738)=0,COUNTIF($DB$2:DB738,DB738)=1),737,""))</f>
        <v/>
      </c>
    </row>
    <row r="739">
      <c r="A739" s="74" t="n"/>
      <c r="B739" s="75" t="n"/>
      <c r="C739" s="76" t="n"/>
      <c r="J739" s="62" t="n"/>
      <c r="K739" s="62" t="n"/>
      <c r="L739" s="62" t="n"/>
      <c r="M739" s="62" t="n"/>
      <c r="N739" s="62" t="n"/>
      <c r="DB739">
        <f>IF('История отказов'!AH742="","",'История отказов'!AH742)</f>
        <v/>
      </c>
      <c r="DC739">
        <f>IF('История отказов'!AE742="","",IF(AND(COUNTIF($CT$2:$CT$2,'История отказов'!AE742)=0,COUNTIFS('История отказов'!$F$5:F742,"ШГН",'История отказов'!$AE$5:AE742,'История отказов'!AE742)=1,'История отказов'!F742="ШГН"),738,""))</f>
        <v/>
      </c>
      <c r="DD739">
        <f>IF('История отказов'!AE742="","",IF(AND(COUNTIF($CU$2:$CU$3,'История отказов'!AE742)=0,COUNTIFS('История отказов'!$F$5:F742,"ЭЦН",'История отказов'!$AE$5:AE742,'История отказов'!AE742)=1,'История отказов'!F742="ЭЦН"),738,""))</f>
        <v/>
      </c>
      <c r="DE739">
        <f>IF('История отказов'!AE742="","",IF(AND(COUNTIF($CV$2:$CV$3,'История отказов'!AE742)=0,COUNTIFS('История отказов'!$F$5:F742,"ЭВН",'История отказов'!$AE$5:AE742,'История отказов'!AE742)=1,'История отказов'!F742="ЭВН"),738,""))</f>
        <v/>
      </c>
      <c r="DF739">
        <f>IF('История отказов'!AE742="","",IF(AND(COUNTIF($CX$2:$CX$2,'История отказов'!AE742)=0,COUNTIFS('История отказов'!$F$5:F742,"ШВН",'История отказов'!$AE$5:AE742,'История отказов'!AE742)=1,'История отказов'!F742="ШВН"),738,""))</f>
        <v/>
      </c>
      <c r="DG739">
        <f>IF('История отказов'!AE742="","",IF(AND(COUNTIF($CW$2:$CW$2,'История отказов'!AE742)=0,COUNTIFS('История отказов'!$F$5:F742,"НПУ-ВД",'История отказов'!$AE$5:AE742,'История отказов'!AE742)=1,'История отказов'!F742="НПУ-ВД"),738,""))</f>
        <v/>
      </c>
      <c r="DH739">
        <f>IF('История отказов'!AE742="","",IF(AND(COUNTIF($CY$2:$CY$6,'История отказов'!AE742)=0,COUNTIF('История отказов'!$AE$5:AE742,'История отказов'!AE742)=1),738,""))</f>
        <v/>
      </c>
      <c r="DI739">
        <f>IF('История отказов'!AK742="","",IF(AND(COUNTIF($CL$2:$CL$3,'История отказов'!AK742)=0,COUNTIF('История отказов'!$AK$5:AK742,'История отказов'!AK742)=1),738,""))</f>
        <v/>
      </c>
      <c r="DJ739">
        <f>IF('История отказов'!AU742="","",IF(AND(COUNTIF($CP$2:$CP$3,'История отказов'!AU742)=0,COUNTIF('История отказов'!$AU$5:AU742,'История отказов'!AU742)=1),738,""))</f>
        <v/>
      </c>
      <c r="DK739">
        <f>IF('История отказов'!AY742="","",IF(AND(COUNTIF($CR$2:$CR$2,'История отказов'!AY742)=0,COUNTIF('История отказов'!$AY$5:AY742,'История отказов'!AY742)=1),738,""))</f>
        <v/>
      </c>
      <c r="DL739">
        <f>IF(DB739="","",IF(AND(COUNTIF($DA$2:$DA$47,DB739)=0,COUNTIF($DB$2:DB739,DB739)=1),738,""))</f>
        <v/>
      </c>
    </row>
    <row r="740">
      <c r="A740" s="74" t="n"/>
      <c r="B740" s="75" t="n"/>
      <c r="C740" s="76" t="n"/>
      <c r="J740" s="62" t="n"/>
      <c r="K740" s="62" t="n"/>
      <c r="L740" s="62" t="n"/>
      <c r="M740" s="62" t="n"/>
      <c r="N740" s="62" t="n"/>
      <c r="DB740">
        <f>IF('История отказов'!AH743="","",'История отказов'!AH743)</f>
        <v/>
      </c>
      <c r="DC740">
        <f>IF('История отказов'!AE743="","",IF(AND(COUNTIF($CT$2:$CT$2,'История отказов'!AE743)=0,COUNTIFS('История отказов'!$F$5:F743,"ШГН",'История отказов'!$AE$5:AE743,'История отказов'!AE743)=1,'История отказов'!F743="ШГН"),739,""))</f>
        <v/>
      </c>
      <c r="DD740">
        <f>IF('История отказов'!AE743="","",IF(AND(COUNTIF($CU$2:$CU$3,'История отказов'!AE743)=0,COUNTIFS('История отказов'!$F$5:F743,"ЭЦН",'История отказов'!$AE$5:AE743,'История отказов'!AE743)=1,'История отказов'!F743="ЭЦН"),739,""))</f>
        <v/>
      </c>
      <c r="DE740">
        <f>IF('История отказов'!AE743="","",IF(AND(COUNTIF($CV$2:$CV$3,'История отказов'!AE743)=0,COUNTIFS('История отказов'!$F$5:F743,"ЭВН",'История отказов'!$AE$5:AE743,'История отказов'!AE743)=1,'История отказов'!F743="ЭВН"),739,""))</f>
        <v/>
      </c>
      <c r="DF740">
        <f>IF('История отказов'!AE743="","",IF(AND(COUNTIF($CX$2:$CX$2,'История отказов'!AE743)=0,COUNTIFS('История отказов'!$F$5:F743,"ШВН",'История отказов'!$AE$5:AE743,'История отказов'!AE743)=1,'История отказов'!F743="ШВН"),739,""))</f>
        <v/>
      </c>
      <c r="DG740">
        <f>IF('История отказов'!AE743="","",IF(AND(COUNTIF($CW$2:$CW$2,'История отказов'!AE743)=0,COUNTIFS('История отказов'!$F$5:F743,"НПУ-ВД",'История отказов'!$AE$5:AE743,'История отказов'!AE743)=1,'История отказов'!F743="НПУ-ВД"),739,""))</f>
        <v/>
      </c>
      <c r="DH740">
        <f>IF('История отказов'!AE743="","",IF(AND(COUNTIF($CY$2:$CY$6,'История отказов'!AE743)=0,COUNTIF('История отказов'!$AE$5:AE743,'История отказов'!AE743)=1),739,""))</f>
        <v/>
      </c>
      <c r="DI740">
        <f>IF('История отказов'!AK743="","",IF(AND(COUNTIF($CL$2:$CL$3,'История отказов'!AK743)=0,COUNTIF('История отказов'!$AK$5:AK743,'История отказов'!AK743)=1),739,""))</f>
        <v/>
      </c>
      <c r="DJ740">
        <f>IF('История отказов'!AU743="","",IF(AND(COUNTIF($CP$2:$CP$3,'История отказов'!AU743)=0,COUNTIF('История отказов'!$AU$5:AU743,'История отказов'!AU743)=1),739,""))</f>
        <v/>
      </c>
      <c r="DK740">
        <f>IF('История отказов'!AY743="","",IF(AND(COUNTIF($CR$2:$CR$2,'История отказов'!AY743)=0,COUNTIF('История отказов'!$AY$5:AY743,'История отказов'!AY743)=1),739,""))</f>
        <v/>
      </c>
      <c r="DL740">
        <f>IF(DB740="","",IF(AND(COUNTIF($DA$2:$DA$47,DB740)=0,COUNTIF($DB$2:DB740,DB740)=1),739,""))</f>
        <v/>
      </c>
    </row>
    <row r="741">
      <c r="A741" s="74" t="n"/>
      <c r="B741" s="75" t="n"/>
      <c r="C741" s="76" t="n"/>
      <c r="J741" s="62" t="n"/>
      <c r="K741" s="62" t="n"/>
      <c r="L741" s="62" t="n"/>
      <c r="M741" s="62" t="n"/>
      <c r="N741" s="62" t="n"/>
      <c r="DB741">
        <f>IF('История отказов'!AH744="","",'История отказов'!AH744)</f>
        <v/>
      </c>
      <c r="DC741">
        <f>IF('История отказов'!AE744="","",IF(AND(COUNTIF($CT$2:$CT$2,'История отказов'!AE744)=0,COUNTIFS('История отказов'!$F$5:F744,"ШГН",'История отказов'!$AE$5:AE744,'История отказов'!AE744)=1,'История отказов'!F744="ШГН"),740,""))</f>
        <v/>
      </c>
      <c r="DD741">
        <f>IF('История отказов'!AE744="","",IF(AND(COUNTIF($CU$2:$CU$3,'История отказов'!AE744)=0,COUNTIFS('История отказов'!$F$5:F744,"ЭЦН",'История отказов'!$AE$5:AE744,'История отказов'!AE744)=1,'История отказов'!F744="ЭЦН"),740,""))</f>
        <v/>
      </c>
      <c r="DE741">
        <f>IF('История отказов'!AE744="","",IF(AND(COUNTIF($CV$2:$CV$3,'История отказов'!AE744)=0,COUNTIFS('История отказов'!$F$5:F744,"ЭВН",'История отказов'!$AE$5:AE744,'История отказов'!AE744)=1,'История отказов'!F744="ЭВН"),740,""))</f>
        <v/>
      </c>
      <c r="DF741">
        <f>IF('История отказов'!AE744="","",IF(AND(COUNTIF($CX$2:$CX$2,'История отказов'!AE744)=0,COUNTIFS('История отказов'!$F$5:F744,"ШВН",'История отказов'!$AE$5:AE744,'История отказов'!AE744)=1,'История отказов'!F744="ШВН"),740,""))</f>
        <v/>
      </c>
      <c r="DG741">
        <f>IF('История отказов'!AE744="","",IF(AND(COUNTIF($CW$2:$CW$2,'История отказов'!AE744)=0,COUNTIFS('История отказов'!$F$5:F744,"НПУ-ВД",'История отказов'!$AE$5:AE744,'История отказов'!AE744)=1,'История отказов'!F744="НПУ-ВД"),740,""))</f>
        <v/>
      </c>
      <c r="DH741">
        <f>IF('История отказов'!AE744="","",IF(AND(COUNTIF($CY$2:$CY$6,'История отказов'!AE744)=0,COUNTIF('История отказов'!$AE$5:AE744,'История отказов'!AE744)=1),740,""))</f>
        <v/>
      </c>
      <c r="DI741">
        <f>IF('История отказов'!AK744="","",IF(AND(COUNTIF($CL$2:$CL$3,'История отказов'!AK744)=0,COUNTIF('История отказов'!$AK$5:AK744,'История отказов'!AK744)=1),740,""))</f>
        <v/>
      </c>
      <c r="DJ741">
        <f>IF('История отказов'!AU744="","",IF(AND(COUNTIF($CP$2:$CP$3,'История отказов'!AU744)=0,COUNTIF('История отказов'!$AU$5:AU744,'История отказов'!AU744)=1),740,""))</f>
        <v/>
      </c>
      <c r="DK741">
        <f>IF('История отказов'!AY744="","",IF(AND(COUNTIF($CR$2:$CR$2,'История отказов'!AY744)=0,COUNTIF('История отказов'!$AY$5:AY744,'История отказов'!AY744)=1),740,""))</f>
        <v/>
      </c>
      <c r="DL741">
        <f>IF(DB741="","",IF(AND(COUNTIF($DA$2:$DA$47,DB741)=0,COUNTIF($DB$2:DB741,DB741)=1),740,""))</f>
        <v/>
      </c>
    </row>
    <row r="742">
      <c r="A742" s="74" t="n"/>
      <c r="B742" s="75" t="n"/>
      <c r="C742" s="76" t="n"/>
      <c r="J742" s="62" t="n"/>
      <c r="K742" s="62" t="n"/>
      <c r="L742" s="62" t="n"/>
      <c r="M742" s="62" t="n"/>
      <c r="N742" s="62" t="n"/>
      <c r="DB742">
        <f>IF('История отказов'!AH745="","",'История отказов'!AH745)</f>
        <v/>
      </c>
      <c r="DC742">
        <f>IF('История отказов'!AE745="","",IF(AND(COUNTIF($CT$2:$CT$2,'История отказов'!AE745)=0,COUNTIFS('История отказов'!$F$5:F745,"ШГН",'История отказов'!$AE$5:AE745,'История отказов'!AE745)=1,'История отказов'!F745="ШГН"),741,""))</f>
        <v/>
      </c>
      <c r="DD742">
        <f>IF('История отказов'!AE745="","",IF(AND(COUNTIF($CU$2:$CU$3,'История отказов'!AE745)=0,COUNTIFS('История отказов'!$F$5:F745,"ЭЦН",'История отказов'!$AE$5:AE745,'История отказов'!AE745)=1,'История отказов'!F745="ЭЦН"),741,""))</f>
        <v/>
      </c>
      <c r="DE742">
        <f>IF('История отказов'!AE745="","",IF(AND(COUNTIF($CV$2:$CV$3,'История отказов'!AE745)=0,COUNTIFS('История отказов'!$F$5:F745,"ЭВН",'История отказов'!$AE$5:AE745,'История отказов'!AE745)=1,'История отказов'!F745="ЭВН"),741,""))</f>
        <v/>
      </c>
      <c r="DF742">
        <f>IF('История отказов'!AE745="","",IF(AND(COUNTIF($CX$2:$CX$2,'История отказов'!AE745)=0,COUNTIFS('История отказов'!$F$5:F745,"ШВН",'История отказов'!$AE$5:AE745,'История отказов'!AE745)=1,'История отказов'!F745="ШВН"),741,""))</f>
        <v/>
      </c>
      <c r="DG742">
        <f>IF('История отказов'!AE745="","",IF(AND(COUNTIF($CW$2:$CW$2,'История отказов'!AE745)=0,COUNTIFS('История отказов'!$F$5:F745,"НПУ-ВД",'История отказов'!$AE$5:AE745,'История отказов'!AE745)=1,'История отказов'!F745="НПУ-ВД"),741,""))</f>
        <v/>
      </c>
      <c r="DH742">
        <f>IF('История отказов'!AE745="","",IF(AND(COUNTIF($CY$2:$CY$6,'История отказов'!AE745)=0,COUNTIF('История отказов'!$AE$5:AE745,'История отказов'!AE745)=1),741,""))</f>
        <v/>
      </c>
      <c r="DI742">
        <f>IF('История отказов'!AK745="","",IF(AND(COUNTIF($CL$2:$CL$3,'История отказов'!AK745)=0,COUNTIF('История отказов'!$AK$5:AK745,'История отказов'!AK745)=1),741,""))</f>
        <v/>
      </c>
      <c r="DJ742">
        <f>IF('История отказов'!AU745="","",IF(AND(COUNTIF($CP$2:$CP$3,'История отказов'!AU745)=0,COUNTIF('История отказов'!$AU$5:AU745,'История отказов'!AU745)=1),741,""))</f>
        <v/>
      </c>
      <c r="DK742">
        <f>IF('История отказов'!AY745="","",IF(AND(COUNTIF($CR$2:$CR$2,'История отказов'!AY745)=0,COUNTIF('История отказов'!$AY$5:AY745,'История отказов'!AY745)=1),741,""))</f>
        <v/>
      </c>
      <c r="DL742">
        <f>IF(DB742="","",IF(AND(COUNTIF($DA$2:$DA$47,DB742)=0,COUNTIF($DB$2:DB742,DB742)=1),741,""))</f>
        <v/>
      </c>
    </row>
    <row r="743">
      <c r="A743" s="74" t="n"/>
      <c r="B743" s="75" t="n"/>
      <c r="C743" s="76" t="n"/>
      <c r="J743" s="62" t="n"/>
      <c r="K743" s="62" t="n"/>
      <c r="L743" s="62" t="n"/>
      <c r="M743" s="62" t="n"/>
      <c r="N743" s="62" t="n"/>
      <c r="DB743">
        <f>IF('История отказов'!AH746="","",'История отказов'!AH746)</f>
        <v/>
      </c>
      <c r="DC743">
        <f>IF('История отказов'!AE746="","",IF(AND(COUNTIF($CT$2:$CT$2,'История отказов'!AE746)=0,COUNTIFS('История отказов'!$F$5:F746,"ШГН",'История отказов'!$AE$5:AE746,'История отказов'!AE746)=1,'История отказов'!F746="ШГН"),742,""))</f>
        <v/>
      </c>
      <c r="DD743">
        <f>IF('История отказов'!AE746="","",IF(AND(COUNTIF($CU$2:$CU$3,'История отказов'!AE746)=0,COUNTIFS('История отказов'!$F$5:F746,"ЭЦН",'История отказов'!$AE$5:AE746,'История отказов'!AE746)=1,'История отказов'!F746="ЭЦН"),742,""))</f>
        <v/>
      </c>
      <c r="DE743">
        <f>IF('История отказов'!AE746="","",IF(AND(COUNTIF($CV$2:$CV$3,'История отказов'!AE746)=0,COUNTIFS('История отказов'!$F$5:F746,"ЭВН",'История отказов'!$AE$5:AE746,'История отказов'!AE746)=1,'История отказов'!F746="ЭВН"),742,""))</f>
        <v/>
      </c>
      <c r="DF743">
        <f>IF('История отказов'!AE746="","",IF(AND(COUNTIF($CX$2:$CX$2,'История отказов'!AE746)=0,COUNTIFS('История отказов'!$F$5:F746,"ШВН",'История отказов'!$AE$5:AE746,'История отказов'!AE746)=1,'История отказов'!F746="ШВН"),742,""))</f>
        <v/>
      </c>
      <c r="DG743">
        <f>IF('История отказов'!AE746="","",IF(AND(COUNTIF($CW$2:$CW$2,'История отказов'!AE746)=0,COUNTIFS('История отказов'!$F$5:F746,"НПУ-ВД",'История отказов'!$AE$5:AE746,'История отказов'!AE746)=1,'История отказов'!F746="НПУ-ВД"),742,""))</f>
        <v/>
      </c>
      <c r="DH743">
        <f>IF('История отказов'!AE746="","",IF(AND(COUNTIF($CY$2:$CY$6,'История отказов'!AE746)=0,COUNTIF('История отказов'!$AE$5:AE746,'История отказов'!AE746)=1),742,""))</f>
        <v/>
      </c>
      <c r="DI743">
        <f>IF('История отказов'!AK746="","",IF(AND(COUNTIF($CL$2:$CL$3,'История отказов'!AK746)=0,COUNTIF('История отказов'!$AK$5:AK746,'История отказов'!AK746)=1),742,""))</f>
        <v/>
      </c>
      <c r="DJ743">
        <f>IF('История отказов'!AU746="","",IF(AND(COUNTIF($CP$2:$CP$3,'История отказов'!AU746)=0,COUNTIF('История отказов'!$AU$5:AU746,'История отказов'!AU746)=1),742,""))</f>
        <v/>
      </c>
      <c r="DK743">
        <f>IF('История отказов'!AY746="","",IF(AND(COUNTIF($CR$2:$CR$2,'История отказов'!AY746)=0,COUNTIF('История отказов'!$AY$5:AY746,'История отказов'!AY746)=1),742,""))</f>
        <v/>
      </c>
      <c r="DL743">
        <f>IF(DB743="","",IF(AND(COUNTIF($DA$2:$DA$47,DB743)=0,COUNTIF($DB$2:DB743,DB743)=1),742,""))</f>
        <v/>
      </c>
    </row>
    <row r="744">
      <c r="A744" s="74" t="n"/>
      <c r="B744" s="75" t="n"/>
      <c r="C744" s="76" t="n"/>
      <c r="J744" s="62" t="n"/>
      <c r="K744" s="62" t="n"/>
      <c r="L744" s="62" t="n"/>
      <c r="M744" s="62" t="n"/>
      <c r="N744" s="62" t="n"/>
      <c r="DB744">
        <f>IF('История отказов'!AH747="","",'История отказов'!AH747)</f>
        <v/>
      </c>
      <c r="DC744">
        <f>IF('История отказов'!AE747="","",IF(AND(COUNTIF($CT$2:$CT$2,'История отказов'!AE747)=0,COUNTIFS('История отказов'!$F$5:F747,"ШГН",'История отказов'!$AE$5:AE747,'История отказов'!AE747)=1,'История отказов'!F747="ШГН"),743,""))</f>
        <v/>
      </c>
      <c r="DD744">
        <f>IF('История отказов'!AE747="","",IF(AND(COUNTIF($CU$2:$CU$3,'История отказов'!AE747)=0,COUNTIFS('История отказов'!$F$5:F747,"ЭЦН",'История отказов'!$AE$5:AE747,'История отказов'!AE747)=1,'История отказов'!F747="ЭЦН"),743,""))</f>
        <v/>
      </c>
      <c r="DE744">
        <f>IF('История отказов'!AE747="","",IF(AND(COUNTIF($CV$2:$CV$3,'История отказов'!AE747)=0,COUNTIFS('История отказов'!$F$5:F747,"ЭВН",'История отказов'!$AE$5:AE747,'История отказов'!AE747)=1,'История отказов'!F747="ЭВН"),743,""))</f>
        <v/>
      </c>
      <c r="DF744">
        <f>IF('История отказов'!AE747="","",IF(AND(COUNTIF($CX$2:$CX$2,'История отказов'!AE747)=0,COUNTIFS('История отказов'!$F$5:F747,"ШВН",'История отказов'!$AE$5:AE747,'История отказов'!AE747)=1,'История отказов'!F747="ШВН"),743,""))</f>
        <v/>
      </c>
      <c r="DG744">
        <f>IF('История отказов'!AE747="","",IF(AND(COUNTIF($CW$2:$CW$2,'История отказов'!AE747)=0,COUNTIFS('История отказов'!$F$5:F747,"НПУ-ВД",'История отказов'!$AE$5:AE747,'История отказов'!AE747)=1,'История отказов'!F747="НПУ-ВД"),743,""))</f>
        <v/>
      </c>
      <c r="DH744">
        <f>IF('История отказов'!AE747="","",IF(AND(COUNTIF($CY$2:$CY$6,'История отказов'!AE747)=0,COUNTIF('История отказов'!$AE$5:AE747,'История отказов'!AE747)=1),743,""))</f>
        <v/>
      </c>
      <c r="DI744">
        <f>IF('История отказов'!AK747="","",IF(AND(COUNTIF($CL$2:$CL$3,'История отказов'!AK747)=0,COUNTIF('История отказов'!$AK$5:AK747,'История отказов'!AK747)=1),743,""))</f>
        <v/>
      </c>
      <c r="DJ744">
        <f>IF('История отказов'!AU747="","",IF(AND(COUNTIF($CP$2:$CP$3,'История отказов'!AU747)=0,COUNTIF('История отказов'!$AU$5:AU747,'История отказов'!AU747)=1),743,""))</f>
        <v/>
      </c>
      <c r="DK744">
        <f>IF('История отказов'!AY747="","",IF(AND(COUNTIF($CR$2:$CR$2,'История отказов'!AY747)=0,COUNTIF('История отказов'!$AY$5:AY747,'История отказов'!AY747)=1),743,""))</f>
        <v/>
      </c>
      <c r="DL744">
        <f>IF(DB744="","",IF(AND(COUNTIF($DA$2:$DA$47,DB744)=0,COUNTIF($DB$2:DB744,DB744)=1),743,""))</f>
        <v/>
      </c>
    </row>
    <row r="745">
      <c r="A745" s="74" t="n"/>
      <c r="B745" s="75" t="n"/>
      <c r="C745" s="76" t="n"/>
      <c r="J745" s="62" t="n"/>
      <c r="K745" s="62" t="n"/>
      <c r="L745" s="62" t="n"/>
      <c r="M745" s="62" t="n"/>
      <c r="N745" s="62" t="n"/>
      <c r="DB745">
        <f>IF('История отказов'!AH748="","",'История отказов'!AH748)</f>
        <v/>
      </c>
      <c r="DC745">
        <f>IF('История отказов'!AE748="","",IF(AND(COUNTIF($CT$2:$CT$2,'История отказов'!AE748)=0,COUNTIFS('История отказов'!$F$5:F748,"ШГН",'История отказов'!$AE$5:AE748,'История отказов'!AE748)=1,'История отказов'!F748="ШГН"),744,""))</f>
        <v/>
      </c>
      <c r="DD745">
        <f>IF('История отказов'!AE748="","",IF(AND(COUNTIF($CU$2:$CU$3,'История отказов'!AE748)=0,COUNTIFS('История отказов'!$F$5:F748,"ЭЦН",'История отказов'!$AE$5:AE748,'История отказов'!AE748)=1,'История отказов'!F748="ЭЦН"),744,""))</f>
        <v/>
      </c>
      <c r="DE745">
        <f>IF('История отказов'!AE748="","",IF(AND(COUNTIF($CV$2:$CV$3,'История отказов'!AE748)=0,COUNTIFS('История отказов'!$F$5:F748,"ЭВН",'История отказов'!$AE$5:AE748,'История отказов'!AE748)=1,'История отказов'!F748="ЭВН"),744,""))</f>
        <v/>
      </c>
      <c r="DF745">
        <f>IF('История отказов'!AE748="","",IF(AND(COUNTIF($CX$2:$CX$2,'История отказов'!AE748)=0,COUNTIFS('История отказов'!$F$5:F748,"ШВН",'История отказов'!$AE$5:AE748,'История отказов'!AE748)=1,'История отказов'!F748="ШВН"),744,""))</f>
        <v/>
      </c>
      <c r="DG745">
        <f>IF('История отказов'!AE748="","",IF(AND(COUNTIF($CW$2:$CW$2,'История отказов'!AE748)=0,COUNTIFS('История отказов'!$F$5:F748,"НПУ-ВД",'История отказов'!$AE$5:AE748,'История отказов'!AE748)=1,'История отказов'!F748="НПУ-ВД"),744,""))</f>
        <v/>
      </c>
      <c r="DH745">
        <f>IF('История отказов'!AE748="","",IF(AND(COUNTIF($CY$2:$CY$6,'История отказов'!AE748)=0,COUNTIF('История отказов'!$AE$5:AE748,'История отказов'!AE748)=1),744,""))</f>
        <v/>
      </c>
      <c r="DI745">
        <f>IF('История отказов'!AK748="","",IF(AND(COUNTIF($CL$2:$CL$3,'История отказов'!AK748)=0,COUNTIF('История отказов'!$AK$5:AK748,'История отказов'!AK748)=1),744,""))</f>
        <v/>
      </c>
      <c r="DJ745">
        <f>IF('История отказов'!AU748="","",IF(AND(COUNTIF($CP$2:$CP$3,'История отказов'!AU748)=0,COUNTIF('История отказов'!$AU$5:AU748,'История отказов'!AU748)=1),744,""))</f>
        <v/>
      </c>
      <c r="DK745">
        <f>IF('История отказов'!AY748="","",IF(AND(COUNTIF($CR$2:$CR$2,'История отказов'!AY748)=0,COUNTIF('История отказов'!$AY$5:AY748,'История отказов'!AY748)=1),744,""))</f>
        <v/>
      </c>
      <c r="DL745">
        <f>IF(DB745="","",IF(AND(COUNTIF($DA$2:$DA$47,DB745)=0,COUNTIF($DB$2:DB745,DB745)=1),744,""))</f>
        <v/>
      </c>
    </row>
    <row r="746">
      <c r="A746" s="74" t="n"/>
      <c r="B746" s="75" t="n"/>
      <c r="C746" s="76" t="n"/>
      <c r="J746" s="62" t="n"/>
      <c r="K746" s="62" t="n"/>
      <c r="L746" s="62" t="n"/>
      <c r="M746" s="62" t="n"/>
      <c r="N746" s="62" t="n"/>
      <c r="DB746">
        <f>IF('История отказов'!AH749="","",'История отказов'!AH749)</f>
        <v/>
      </c>
      <c r="DC746">
        <f>IF('История отказов'!AE749="","",IF(AND(COUNTIF($CT$2:$CT$2,'История отказов'!AE749)=0,COUNTIFS('История отказов'!$F$5:F749,"ШГН",'История отказов'!$AE$5:AE749,'История отказов'!AE749)=1,'История отказов'!F749="ШГН"),745,""))</f>
        <v/>
      </c>
      <c r="DD746">
        <f>IF('История отказов'!AE749="","",IF(AND(COUNTIF($CU$2:$CU$3,'История отказов'!AE749)=0,COUNTIFS('История отказов'!$F$5:F749,"ЭЦН",'История отказов'!$AE$5:AE749,'История отказов'!AE749)=1,'История отказов'!F749="ЭЦН"),745,""))</f>
        <v/>
      </c>
      <c r="DE746">
        <f>IF('История отказов'!AE749="","",IF(AND(COUNTIF($CV$2:$CV$3,'История отказов'!AE749)=0,COUNTIFS('История отказов'!$F$5:F749,"ЭВН",'История отказов'!$AE$5:AE749,'История отказов'!AE749)=1,'История отказов'!F749="ЭВН"),745,""))</f>
        <v/>
      </c>
      <c r="DF746">
        <f>IF('История отказов'!AE749="","",IF(AND(COUNTIF($CX$2:$CX$2,'История отказов'!AE749)=0,COUNTIFS('История отказов'!$F$5:F749,"ШВН",'История отказов'!$AE$5:AE749,'История отказов'!AE749)=1,'История отказов'!F749="ШВН"),745,""))</f>
        <v/>
      </c>
      <c r="DG746">
        <f>IF('История отказов'!AE749="","",IF(AND(COUNTIF($CW$2:$CW$2,'История отказов'!AE749)=0,COUNTIFS('История отказов'!$F$5:F749,"НПУ-ВД",'История отказов'!$AE$5:AE749,'История отказов'!AE749)=1,'История отказов'!F749="НПУ-ВД"),745,""))</f>
        <v/>
      </c>
      <c r="DH746">
        <f>IF('История отказов'!AE749="","",IF(AND(COUNTIF($CY$2:$CY$6,'История отказов'!AE749)=0,COUNTIF('История отказов'!$AE$5:AE749,'История отказов'!AE749)=1),745,""))</f>
        <v/>
      </c>
      <c r="DI746">
        <f>IF('История отказов'!AK749="","",IF(AND(COUNTIF($CL$2:$CL$3,'История отказов'!AK749)=0,COUNTIF('История отказов'!$AK$5:AK749,'История отказов'!AK749)=1),745,""))</f>
        <v/>
      </c>
      <c r="DJ746">
        <f>IF('История отказов'!AU749="","",IF(AND(COUNTIF($CP$2:$CP$3,'История отказов'!AU749)=0,COUNTIF('История отказов'!$AU$5:AU749,'История отказов'!AU749)=1),745,""))</f>
        <v/>
      </c>
      <c r="DK746">
        <f>IF('История отказов'!AY749="","",IF(AND(COUNTIF($CR$2:$CR$2,'История отказов'!AY749)=0,COUNTIF('История отказов'!$AY$5:AY749,'История отказов'!AY749)=1),745,""))</f>
        <v/>
      </c>
      <c r="DL746">
        <f>IF(DB746="","",IF(AND(COUNTIF($DA$2:$DA$47,DB746)=0,COUNTIF($DB$2:DB746,DB746)=1),745,""))</f>
        <v/>
      </c>
    </row>
    <row r="747">
      <c r="A747" s="74" t="n"/>
      <c r="B747" s="75" t="n"/>
      <c r="C747" s="76" t="n"/>
      <c r="J747" s="62" t="n"/>
      <c r="K747" s="62" t="n"/>
      <c r="L747" s="62" t="n"/>
      <c r="M747" s="62" t="n"/>
      <c r="N747" s="62" t="n"/>
      <c r="DB747">
        <f>IF('История отказов'!AH750="","",'История отказов'!AH750)</f>
        <v/>
      </c>
      <c r="DC747">
        <f>IF('История отказов'!AE750="","",IF(AND(COUNTIF($CT$2:$CT$2,'История отказов'!AE750)=0,COUNTIFS('История отказов'!$F$5:F750,"ШГН",'История отказов'!$AE$5:AE750,'История отказов'!AE750)=1,'История отказов'!F750="ШГН"),746,""))</f>
        <v/>
      </c>
      <c r="DD747">
        <f>IF('История отказов'!AE750="","",IF(AND(COUNTIF($CU$2:$CU$3,'История отказов'!AE750)=0,COUNTIFS('История отказов'!$F$5:F750,"ЭЦН",'История отказов'!$AE$5:AE750,'История отказов'!AE750)=1,'История отказов'!F750="ЭЦН"),746,""))</f>
        <v/>
      </c>
      <c r="DE747">
        <f>IF('История отказов'!AE750="","",IF(AND(COUNTIF($CV$2:$CV$3,'История отказов'!AE750)=0,COUNTIFS('История отказов'!$F$5:F750,"ЭВН",'История отказов'!$AE$5:AE750,'История отказов'!AE750)=1,'История отказов'!F750="ЭВН"),746,""))</f>
        <v/>
      </c>
      <c r="DF747">
        <f>IF('История отказов'!AE750="","",IF(AND(COUNTIF($CX$2:$CX$2,'История отказов'!AE750)=0,COUNTIFS('История отказов'!$F$5:F750,"ШВН",'История отказов'!$AE$5:AE750,'История отказов'!AE750)=1,'История отказов'!F750="ШВН"),746,""))</f>
        <v/>
      </c>
      <c r="DG747">
        <f>IF('История отказов'!AE750="","",IF(AND(COUNTIF($CW$2:$CW$2,'История отказов'!AE750)=0,COUNTIFS('История отказов'!$F$5:F750,"НПУ-ВД",'История отказов'!$AE$5:AE750,'История отказов'!AE750)=1,'История отказов'!F750="НПУ-ВД"),746,""))</f>
        <v/>
      </c>
      <c r="DH747">
        <f>IF('История отказов'!AE750="","",IF(AND(COUNTIF($CY$2:$CY$6,'История отказов'!AE750)=0,COUNTIF('История отказов'!$AE$5:AE750,'История отказов'!AE750)=1),746,""))</f>
        <v/>
      </c>
      <c r="DI747">
        <f>IF('История отказов'!AK750="","",IF(AND(COUNTIF($CL$2:$CL$3,'История отказов'!AK750)=0,COUNTIF('История отказов'!$AK$5:AK750,'История отказов'!AK750)=1),746,""))</f>
        <v/>
      </c>
      <c r="DJ747">
        <f>IF('История отказов'!AU750="","",IF(AND(COUNTIF($CP$2:$CP$3,'История отказов'!AU750)=0,COUNTIF('История отказов'!$AU$5:AU750,'История отказов'!AU750)=1),746,""))</f>
        <v/>
      </c>
      <c r="DK747">
        <f>IF('История отказов'!AY750="","",IF(AND(COUNTIF($CR$2:$CR$2,'История отказов'!AY750)=0,COUNTIF('История отказов'!$AY$5:AY750,'История отказов'!AY750)=1),746,""))</f>
        <v/>
      </c>
      <c r="DL747">
        <f>IF(DB747="","",IF(AND(COUNTIF($DA$2:$DA$47,DB747)=0,COUNTIF($DB$2:DB747,DB747)=1),746,""))</f>
        <v/>
      </c>
    </row>
    <row r="748">
      <c r="A748" s="74" t="n"/>
      <c r="B748" s="75" t="n"/>
      <c r="C748" s="76" t="n"/>
      <c r="J748" s="62" t="n"/>
      <c r="K748" s="62" t="n"/>
      <c r="L748" s="62" t="n"/>
      <c r="M748" s="62" t="n"/>
      <c r="N748" s="62" t="n"/>
      <c r="DB748">
        <f>IF('История отказов'!AH751="","",'История отказов'!AH751)</f>
        <v/>
      </c>
      <c r="DC748">
        <f>IF('История отказов'!AE751="","",IF(AND(COUNTIF($CT$2:$CT$2,'История отказов'!AE751)=0,COUNTIFS('История отказов'!$F$5:F751,"ШГН",'История отказов'!$AE$5:AE751,'История отказов'!AE751)=1,'История отказов'!F751="ШГН"),747,""))</f>
        <v/>
      </c>
      <c r="DD748">
        <f>IF('История отказов'!AE751="","",IF(AND(COUNTIF($CU$2:$CU$3,'История отказов'!AE751)=0,COUNTIFS('История отказов'!$F$5:F751,"ЭЦН",'История отказов'!$AE$5:AE751,'История отказов'!AE751)=1,'История отказов'!F751="ЭЦН"),747,""))</f>
        <v/>
      </c>
      <c r="DE748">
        <f>IF('История отказов'!AE751="","",IF(AND(COUNTIF($CV$2:$CV$3,'История отказов'!AE751)=0,COUNTIFS('История отказов'!$F$5:F751,"ЭВН",'История отказов'!$AE$5:AE751,'История отказов'!AE751)=1,'История отказов'!F751="ЭВН"),747,""))</f>
        <v/>
      </c>
      <c r="DF748">
        <f>IF('История отказов'!AE751="","",IF(AND(COUNTIF($CX$2:$CX$2,'История отказов'!AE751)=0,COUNTIFS('История отказов'!$F$5:F751,"ШВН",'История отказов'!$AE$5:AE751,'История отказов'!AE751)=1,'История отказов'!F751="ШВН"),747,""))</f>
        <v/>
      </c>
      <c r="DG748">
        <f>IF('История отказов'!AE751="","",IF(AND(COUNTIF($CW$2:$CW$2,'История отказов'!AE751)=0,COUNTIFS('История отказов'!$F$5:F751,"НПУ-ВД",'История отказов'!$AE$5:AE751,'История отказов'!AE751)=1,'История отказов'!F751="НПУ-ВД"),747,""))</f>
        <v/>
      </c>
      <c r="DH748">
        <f>IF('История отказов'!AE751="","",IF(AND(COUNTIF($CY$2:$CY$6,'История отказов'!AE751)=0,COUNTIF('История отказов'!$AE$5:AE751,'История отказов'!AE751)=1),747,""))</f>
        <v/>
      </c>
      <c r="DI748">
        <f>IF('История отказов'!AK751="","",IF(AND(COUNTIF($CL$2:$CL$3,'История отказов'!AK751)=0,COUNTIF('История отказов'!$AK$5:AK751,'История отказов'!AK751)=1),747,""))</f>
        <v/>
      </c>
      <c r="DJ748">
        <f>IF('История отказов'!AU751="","",IF(AND(COUNTIF($CP$2:$CP$3,'История отказов'!AU751)=0,COUNTIF('История отказов'!$AU$5:AU751,'История отказов'!AU751)=1),747,""))</f>
        <v/>
      </c>
      <c r="DK748">
        <f>IF('История отказов'!AY751="","",IF(AND(COUNTIF($CR$2:$CR$2,'История отказов'!AY751)=0,COUNTIF('История отказов'!$AY$5:AY751,'История отказов'!AY751)=1),747,""))</f>
        <v/>
      </c>
      <c r="DL748">
        <f>IF(DB748="","",IF(AND(COUNTIF($DA$2:$DA$47,DB748)=0,COUNTIF($DB$2:DB748,DB748)=1),747,""))</f>
        <v/>
      </c>
    </row>
    <row r="749">
      <c r="A749" s="74" t="n"/>
      <c r="B749" s="75" t="n"/>
      <c r="C749" s="76" t="n"/>
      <c r="J749" s="62" t="n"/>
      <c r="K749" s="62" t="n"/>
      <c r="L749" s="62" t="n"/>
      <c r="M749" s="62" t="n"/>
      <c r="N749" s="62" t="n"/>
      <c r="DB749">
        <f>IF('История отказов'!AH752="","",'История отказов'!AH752)</f>
        <v/>
      </c>
      <c r="DC749">
        <f>IF('История отказов'!AE752="","",IF(AND(COUNTIF($CT$2:$CT$2,'История отказов'!AE752)=0,COUNTIFS('История отказов'!$F$5:F752,"ШГН",'История отказов'!$AE$5:AE752,'История отказов'!AE752)=1,'История отказов'!F752="ШГН"),748,""))</f>
        <v/>
      </c>
      <c r="DD749">
        <f>IF('История отказов'!AE752="","",IF(AND(COUNTIF($CU$2:$CU$3,'История отказов'!AE752)=0,COUNTIFS('История отказов'!$F$5:F752,"ЭЦН",'История отказов'!$AE$5:AE752,'История отказов'!AE752)=1,'История отказов'!F752="ЭЦН"),748,""))</f>
        <v/>
      </c>
      <c r="DE749">
        <f>IF('История отказов'!AE752="","",IF(AND(COUNTIF($CV$2:$CV$3,'История отказов'!AE752)=0,COUNTIFS('История отказов'!$F$5:F752,"ЭВН",'История отказов'!$AE$5:AE752,'История отказов'!AE752)=1,'История отказов'!F752="ЭВН"),748,""))</f>
        <v/>
      </c>
      <c r="DF749">
        <f>IF('История отказов'!AE752="","",IF(AND(COUNTIF($CX$2:$CX$2,'История отказов'!AE752)=0,COUNTIFS('История отказов'!$F$5:F752,"ШВН",'История отказов'!$AE$5:AE752,'История отказов'!AE752)=1,'История отказов'!F752="ШВН"),748,""))</f>
        <v/>
      </c>
      <c r="DG749">
        <f>IF('История отказов'!AE752="","",IF(AND(COUNTIF($CW$2:$CW$2,'История отказов'!AE752)=0,COUNTIFS('История отказов'!$F$5:F752,"НПУ-ВД",'История отказов'!$AE$5:AE752,'История отказов'!AE752)=1,'История отказов'!F752="НПУ-ВД"),748,""))</f>
        <v/>
      </c>
      <c r="DH749">
        <f>IF('История отказов'!AE752="","",IF(AND(COUNTIF($CY$2:$CY$6,'История отказов'!AE752)=0,COUNTIF('История отказов'!$AE$5:AE752,'История отказов'!AE752)=1),748,""))</f>
        <v/>
      </c>
      <c r="DI749">
        <f>IF('История отказов'!AK752="","",IF(AND(COUNTIF($CL$2:$CL$3,'История отказов'!AK752)=0,COUNTIF('История отказов'!$AK$5:AK752,'История отказов'!AK752)=1),748,""))</f>
        <v/>
      </c>
      <c r="DJ749">
        <f>IF('История отказов'!AU752="","",IF(AND(COUNTIF($CP$2:$CP$3,'История отказов'!AU752)=0,COUNTIF('История отказов'!$AU$5:AU752,'История отказов'!AU752)=1),748,""))</f>
        <v/>
      </c>
      <c r="DK749">
        <f>IF('История отказов'!AY752="","",IF(AND(COUNTIF($CR$2:$CR$2,'История отказов'!AY752)=0,COUNTIF('История отказов'!$AY$5:AY752,'История отказов'!AY752)=1),748,""))</f>
        <v/>
      </c>
      <c r="DL749">
        <f>IF(DB749="","",IF(AND(COUNTIF($DA$2:$DA$47,DB749)=0,COUNTIF($DB$2:DB749,DB749)=1),748,""))</f>
        <v/>
      </c>
    </row>
    <row r="750">
      <c r="A750" s="74" t="n"/>
      <c r="B750" s="75" t="n"/>
      <c r="C750" s="76" t="n"/>
      <c r="J750" s="62" t="n"/>
      <c r="K750" s="62" t="n"/>
      <c r="L750" s="62" t="n"/>
      <c r="M750" s="62" t="n"/>
      <c r="N750" s="62" t="n"/>
      <c r="DB750">
        <f>IF('История отказов'!AH753="","",'История отказов'!AH753)</f>
        <v/>
      </c>
      <c r="DC750">
        <f>IF('История отказов'!AE753="","",IF(AND(COUNTIF($CT$2:$CT$2,'История отказов'!AE753)=0,COUNTIFS('История отказов'!$F$5:F753,"ШГН",'История отказов'!$AE$5:AE753,'История отказов'!AE753)=1,'История отказов'!F753="ШГН"),749,""))</f>
        <v/>
      </c>
      <c r="DD750">
        <f>IF('История отказов'!AE753="","",IF(AND(COUNTIF($CU$2:$CU$3,'История отказов'!AE753)=0,COUNTIFS('История отказов'!$F$5:F753,"ЭЦН",'История отказов'!$AE$5:AE753,'История отказов'!AE753)=1,'История отказов'!F753="ЭЦН"),749,""))</f>
        <v/>
      </c>
      <c r="DE750">
        <f>IF('История отказов'!AE753="","",IF(AND(COUNTIF($CV$2:$CV$3,'История отказов'!AE753)=0,COUNTIFS('История отказов'!$F$5:F753,"ЭВН",'История отказов'!$AE$5:AE753,'История отказов'!AE753)=1,'История отказов'!F753="ЭВН"),749,""))</f>
        <v/>
      </c>
      <c r="DF750">
        <f>IF('История отказов'!AE753="","",IF(AND(COUNTIF($CX$2:$CX$2,'История отказов'!AE753)=0,COUNTIFS('История отказов'!$F$5:F753,"ШВН",'История отказов'!$AE$5:AE753,'История отказов'!AE753)=1,'История отказов'!F753="ШВН"),749,""))</f>
        <v/>
      </c>
      <c r="DG750">
        <f>IF('История отказов'!AE753="","",IF(AND(COUNTIF($CW$2:$CW$2,'История отказов'!AE753)=0,COUNTIFS('История отказов'!$F$5:F753,"НПУ-ВД",'История отказов'!$AE$5:AE753,'История отказов'!AE753)=1,'История отказов'!F753="НПУ-ВД"),749,""))</f>
        <v/>
      </c>
      <c r="DH750">
        <f>IF('История отказов'!AE753="","",IF(AND(COUNTIF($CY$2:$CY$6,'История отказов'!AE753)=0,COUNTIF('История отказов'!$AE$5:AE753,'История отказов'!AE753)=1),749,""))</f>
        <v/>
      </c>
      <c r="DI750">
        <f>IF('История отказов'!AK753="","",IF(AND(COUNTIF($CL$2:$CL$3,'История отказов'!AK753)=0,COUNTIF('История отказов'!$AK$5:AK753,'История отказов'!AK753)=1),749,""))</f>
        <v/>
      </c>
      <c r="DJ750">
        <f>IF('История отказов'!AU753="","",IF(AND(COUNTIF($CP$2:$CP$3,'История отказов'!AU753)=0,COUNTIF('История отказов'!$AU$5:AU753,'История отказов'!AU753)=1),749,""))</f>
        <v/>
      </c>
      <c r="DK750">
        <f>IF('История отказов'!AY753="","",IF(AND(COUNTIF($CR$2:$CR$2,'История отказов'!AY753)=0,COUNTIF('История отказов'!$AY$5:AY753,'История отказов'!AY753)=1),749,""))</f>
        <v/>
      </c>
      <c r="DL750">
        <f>IF(DB750="","",IF(AND(COUNTIF($DA$2:$DA$47,DB750)=0,COUNTIF($DB$2:DB750,DB750)=1),749,""))</f>
        <v/>
      </c>
    </row>
    <row r="751">
      <c r="A751" s="74" t="n"/>
      <c r="B751" s="75" t="n"/>
      <c r="C751" s="76" t="n"/>
      <c r="J751" s="62" t="n"/>
      <c r="K751" s="62" t="n"/>
      <c r="L751" s="62" t="n"/>
      <c r="M751" s="62" t="n"/>
      <c r="N751" s="62" t="n"/>
      <c r="DB751">
        <f>IF('История отказов'!AH754="","",'История отказов'!AH754)</f>
        <v/>
      </c>
      <c r="DC751">
        <f>IF('История отказов'!AE754="","",IF(AND(COUNTIF($CT$2:$CT$2,'История отказов'!AE754)=0,COUNTIFS('История отказов'!$F$5:F754,"ШГН",'История отказов'!$AE$5:AE754,'История отказов'!AE754)=1,'История отказов'!F754="ШГН"),750,""))</f>
        <v/>
      </c>
      <c r="DD751">
        <f>IF('История отказов'!AE754="","",IF(AND(COUNTIF($CU$2:$CU$3,'История отказов'!AE754)=0,COUNTIFS('История отказов'!$F$5:F754,"ЭЦН",'История отказов'!$AE$5:AE754,'История отказов'!AE754)=1,'История отказов'!F754="ЭЦН"),750,""))</f>
        <v/>
      </c>
      <c r="DE751">
        <f>IF('История отказов'!AE754="","",IF(AND(COUNTIF($CV$2:$CV$3,'История отказов'!AE754)=0,COUNTIFS('История отказов'!$F$5:F754,"ЭВН",'История отказов'!$AE$5:AE754,'История отказов'!AE754)=1,'История отказов'!F754="ЭВН"),750,""))</f>
        <v/>
      </c>
      <c r="DF751">
        <f>IF('История отказов'!AE754="","",IF(AND(COUNTIF($CX$2:$CX$2,'История отказов'!AE754)=0,COUNTIFS('История отказов'!$F$5:F754,"ШВН",'История отказов'!$AE$5:AE754,'История отказов'!AE754)=1,'История отказов'!F754="ШВН"),750,""))</f>
        <v/>
      </c>
      <c r="DG751">
        <f>IF('История отказов'!AE754="","",IF(AND(COUNTIF($CW$2:$CW$2,'История отказов'!AE754)=0,COUNTIFS('История отказов'!$F$5:F754,"НПУ-ВД",'История отказов'!$AE$5:AE754,'История отказов'!AE754)=1,'История отказов'!F754="НПУ-ВД"),750,""))</f>
        <v/>
      </c>
      <c r="DH751">
        <f>IF('История отказов'!AE754="","",IF(AND(COUNTIF($CY$2:$CY$6,'История отказов'!AE754)=0,COUNTIF('История отказов'!$AE$5:AE754,'История отказов'!AE754)=1),750,""))</f>
        <v/>
      </c>
      <c r="DI751">
        <f>IF('История отказов'!AK754="","",IF(AND(COUNTIF($CL$2:$CL$3,'История отказов'!AK754)=0,COUNTIF('История отказов'!$AK$5:AK754,'История отказов'!AK754)=1),750,""))</f>
        <v/>
      </c>
      <c r="DJ751">
        <f>IF('История отказов'!AU754="","",IF(AND(COUNTIF($CP$2:$CP$3,'История отказов'!AU754)=0,COUNTIF('История отказов'!$AU$5:AU754,'История отказов'!AU754)=1),750,""))</f>
        <v/>
      </c>
      <c r="DK751">
        <f>IF('История отказов'!AY754="","",IF(AND(COUNTIF($CR$2:$CR$2,'История отказов'!AY754)=0,COUNTIF('История отказов'!$AY$5:AY754,'История отказов'!AY754)=1),750,""))</f>
        <v/>
      </c>
      <c r="DL751">
        <f>IF(DB751="","",IF(AND(COUNTIF($DA$2:$DA$47,DB751)=0,COUNTIF($DB$2:DB751,DB751)=1),750,""))</f>
        <v/>
      </c>
    </row>
    <row r="752">
      <c r="A752" s="74" t="n"/>
      <c r="B752" s="75" t="n"/>
      <c r="C752" s="76" t="n"/>
      <c r="J752" s="62" t="n"/>
      <c r="K752" s="62" t="n"/>
      <c r="L752" s="62" t="n"/>
      <c r="M752" s="62" t="n"/>
      <c r="N752" s="62" t="n"/>
      <c r="DB752">
        <f>IF('История отказов'!AH755="","",'История отказов'!AH755)</f>
        <v/>
      </c>
      <c r="DC752">
        <f>IF('История отказов'!AE755="","",IF(AND(COUNTIF($CT$2:$CT$2,'История отказов'!AE755)=0,COUNTIFS('История отказов'!$F$5:F755,"ШГН",'История отказов'!$AE$5:AE755,'История отказов'!AE755)=1,'История отказов'!F755="ШГН"),751,""))</f>
        <v/>
      </c>
      <c r="DD752">
        <f>IF('История отказов'!AE755="","",IF(AND(COUNTIF($CU$2:$CU$3,'История отказов'!AE755)=0,COUNTIFS('История отказов'!$F$5:F755,"ЭЦН",'История отказов'!$AE$5:AE755,'История отказов'!AE755)=1,'История отказов'!F755="ЭЦН"),751,""))</f>
        <v/>
      </c>
      <c r="DE752">
        <f>IF('История отказов'!AE755="","",IF(AND(COUNTIF($CV$2:$CV$3,'История отказов'!AE755)=0,COUNTIFS('История отказов'!$F$5:F755,"ЭВН",'История отказов'!$AE$5:AE755,'История отказов'!AE755)=1,'История отказов'!F755="ЭВН"),751,""))</f>
        <v/>
      </c>
      <c r="DF752">
        <f>IF('История отказов'!AE755="","",IF(AND(COUNTIF($CX$2:$CX$2,'История отказов'!AE755)=0,COUNTIFS('История отказов'!$F$5:F755,"ШВН",'История отказов'!$AE$5:AE755,'История отказов'!AE755)=1,'История отказов'!F755="ШВН"),751,""))</f>
        <v/>
      </c>
      <c r="DG752">
        <f>IF('История отказов'!AE755="","",IF(AND(COUNTIF($CW$2:$CW$2,'История отказов'!AE755)=0,COUNTIFS('История отказов'!$F$5:F755,"НПУ-ВД",'История отказов'!$AE$5:AE755,'История отказов'!AE755)=1,'История отказов'!F755="НПУ-ВД"),751,""))</f>
        <v/>
      </c>
      <c r="DH752">
        <f>IF('История отказов'!AE755="","",IF(AND(COUNTIF($CY$2:$CY$6,'История отказов'!AE755)=0,COUNTIF('История отказов'!$AE$5:AE755,'История отказов'!AE755)=1),751,""))</f>
        <v/>
      </c>
      <c r="DI752">
        <f>IF('История отказов'!AK755="","",IF(AND(COUNTIF($CL$2:$CL$3,'История отказов'!AK755)=0,COUNTIF('История отказов'!$AK$5:AK755,'История отказов'!AK755)=1),751,""))</f>
        <v/>
      </c>
      <c r="DJ752">
        <f>IF('История отказов'!AU755="","",IF(AND(COUNTIF($CP$2:$CP$3,'История отказов'!AU755)=0,COUNTIF('История отказов'!$AU$5:AU755,'История отказов'!AU755)=1),751,""))</f>
        <v/>
      </c>
      <c r="DK752">
        <f>IF('История отказов'!AY755="","",IF(AND(COUNTIF($CR$2:$CR$2,'История отказов'!AY755)=0,COUNTIF('История отказов'!$AY$5:AY755,'История отказов'!AY755)=1),751,""))</f>
        <v/>
      </c>
      <c r="DL752">
        <f>IF(DB752="","",IF(AND(COUNTIF($DA$2:$DA$47,DB752)=0,COUNTIF($DB$2:DB752,DB752)=1),751,""))</f>
        <v/>
      </c>
    </row>
    <row r="753">
      <c r="A753" s="74" t="n"/>
      <c r="B753" s="75" t="n"/>
      <c r="C753" s="76" t="n"/>
      <c r="J753" s="62" t="n"/>
      <c r="K753" s="62" t="n"/>
      <c r="L753" s="62" t="n"/>
      <c r="M753" s="62" t="n"/>
      <c r="N753" s="62" t="n"/>
      <c r="DB753">
        <f>IF('История отказов'!AH756="","",'История отказов'!AH756)</f>
        <v/>
      </c>
      <c r="DC753">
        <f>IF('История отказов'!AE756="","",IF(AND(COUNTIF($CT$2:$CT$2,'История отказов'!AE756)=0,COUNTIFS('История отказов'!$F$5:F756,"ШГН",'История отказов'!$AE$5:AE756,'История отказов'!AE756)=1,'История отказов'!F756="ШГН"),752,""))</f>
        <v/>
      </c>
      <c r="DD753">
        <f>IF('История отказов'!AE756="","",IF(AND(COUNTIF($CU$2:$CU$3,'История отказов'!AE756)=0,COUNTIFS('История отказов'!$F$5:F756,"ЭЦН",'История отказов'!$AE$5:AE756,'История отказов'!AE756)=1,'История отказов'!F756="ЭЦН"),752,""))</f>
        <v/>
      </c>
      <c r="DE753">
        <f>IF('История отказов'!AE756="","",IF(AND(COUNTIF($CV$2:$CV$3,'История отказов'!AE756)=0,COUNTIFS('История отказов'!$F$5:F756,"ЭВН",'История отказов'!$AE$5:AE756,'История отказов'!AE756)=1,'История отказов'!F756="ЭВН"),752,""))</f>
        <v/>
      </c>
      <c r="DF753">
        <f>IF('История отказов'!AE756="","",IF(AND(COUNTIF($CX$2:$CX$2,'История отказов'!AE756)=0,COUNTIFS('История отказов'!$F$5:F756,"ШВН",'История отказов'!$AE$5:AE756,'История отказов'!AE756)=1,'История отказов'!F756="ШВН"),752,""))</f>
        <v/>
      </c>
      <c r="DG753">
        <f>IF('История отказов'!AE756="","",IF(AND(COUNTIF($CW$2:$CW$2,'История отказов'!AE756)=0,COUNTIFS('История отказов'!$F$5:F756,"НПУ-ВД",'История отказов'!$AE$5:AE756,'История отказов'!AE756)=1,'История отказов'!F756="НПУ-ВД"),752,""))</f>
        <v/>
      </c>
      <c r="DH753">
        <f>IF('История отказов'!AE756="","",IF(AND(COUNTIF($CY$2:$CY$6,'История отказов'!AE756)=0,COUNTIF('История отказов'!$AE$5:AE756,'История отказов'!AE756)=1),752,""))</f>
        <v/>
      </c>
      <c r="DI753">
        <f>IF('История отказов'!AK756="","",IF(AND(COUNTIF($CL$2:$CL$3,'История отказов'!AK756)=0,COUNTIF('История отказов'!$AK$5:AK756,'История отказов'!AK756)=1),752,""))</f>
        <v/>
      </c>
      <c r="DJ753">
        <f>IF('История отказов'!AU756="","",IF(AND(COUNTIF($CP$2:$CP$3,'История отказов'!AU756)=0,COUNTIF('История отказов'!$AU$5:AU756,'История отказов'!AU756)=1),752,""))</f>
        <v/>
      </c>
      <c r="DK753">
        <f>IF('История отказов'!AY756="","",IF(AND(COUNTIF($CR$2:$CR$2,'История отказов'!AY756)=0,COUNTIF('История отказов'!$AY$5:AY756,'История отказов'!AY756)=1),752,""))</f>
        <v/>
      </c>
      <c r="DL753">
        <f>IF(DB753="","",IF(AND(COUNTIF($DA$2:$DA$47,DB753)=0,COUNTIF($DB$2:DB753,DB753)=1),752,""))</f>
        <v/>
      </c>
    </row>
    <row r="754">
      <c r="A754" s="74" t="n"/>
      <c r="B754" s="75" t="n"/>
      <c r="C754" s="76" t="n"/>
      <c r="J754" s="62" t="n"/>
      <c r="K754" s="62" t="n"/>
      <c r="L754" s="62" t="n"/>
      <c r="M754" s="62" t="n"/>
      <c r="N754" s="62" t="n"/>
      <c r="DB754">
        <f>IF('История отказов'!AH757="","",'История отказов'!AH757)</f>
        <v/>
      </c>
      <c r="DC754">
        <f>IF('История отказов'!AE757="","",IF(AND(COUNTIF($CT$2:$CT$2,'История отказов'!AE757)=0,COUNTIFS('История отказов'!$F$5:F757,"ШГН",'История отказов'!$AE$5:AE757,'История отказов'!AE757)=1,'История отказов'!F757="ШГН"),753,""))</f>
        <v/>
      </c>
      <c r="DD754">
        <f>IF('История отказов'!AE757="","",IF(AND(COUNTIF($CU$2:$CU$3,'История отказов'!AE757)=0,COUNTIFS('История отказов'!$F$5:F757,"ЭЦН",'История отказов'!$AE$5:AE757,'История отказов'!AE757)=1,'История отказов'!F757="ЭЦН"),753,""))</f>
        <v/>
      </c>
      <c r="DE754">
        <f>IF('История отказов'!AE757="","",IF(AND(COUNTIF($CV$2:$CV$3,'История отказов'!AE757)=0,COUNTIFS('История отказов'!$F$5:F757,"ЭВН",'История отказов'!$AE$5:AE757,'История отказов'!AE757)=1,'История отказов'!F757="ЭВН"),753,""))</f>
        <v/>
      </c>
      <c r="DF754">
        <f>IF('История отказов'!AE757="","",IF(AND(COUNTIF($CX$2:$CX$2,'История отказов'!AE757)=0,COUNTIFS('История отказов'!$F$5:F757,"ШВН",'История отказов'!$AE$5:AE757,'История отказов'!AE757)=1,'История отказов'!F757="ШВН"),753,""))</f>
        <v/>
      </c>
      <c r="DG754">
        <f>IF('История отказов'!AE757="","",IF(AND(COUNTIF($CW$2:$CW$2,'История отказов'!AE757)=0,COUNTIFS('История отказов'!$F$5:F757,"НПУ-ВД",'История отказов'!$AE$5:AE757,'История отказов'!AE757)=1,'История отказов'!F757="НПУ-ВД"),753,""))</f>
        <v/>
      </c>
      <c r="DH754">
        <f>IF('История отказов'!AE757="","",IF(AND(COUNTIF($CY$2:$CY$6,'История отказов'!AE757)=0,COUNTIF('История отказов'!$AE$5:AE757,'История отказов'!AE757)=1),753,""))</f>
        <v/>
      </c>
      <c r="DI754">
        <f>IF('История отказов'!AK757="","",IF(AND(COUNTIF($CL$2:$CL$3,'История отказов'!AK757)=0,COUNTIF('История отказов'!$AK$5:AK757,'История отказов'!AK757)=1),753,""))</f>
        <v/>
      </c>
      <c r="DJ754">
        <f>IF('История отказов'!AU757="","",IF(AND(COUNTIF($CP$2:$CP$3,'История отказов'!AU757)=0,COUNTIF('История отказов'!$AU$5:AU757,'История отказов'!AU757)=1),753,""))</f>
        <v/>
      </c>
      <c r="DK754">
        <f>IF('История отказов'!AY757="","",IF(AND(COUNTIF($CR$2:$CR$2,'История отказов'!AY757)=0,COUNTIF('История отказов'!$AY$5:AY757,'История отказов'!AY757)=1),753,""))</f>
        <v/>
      </c>
      <c r="DL754">
        <f>IF(DB754="","",IF(AND(COUNTIF($DA$2:$DA$47,DB754)=0,COUNTIF($DB$2:DB754,DB754)=1),753,""))</f>
        <v/>
      </c>
    </row>
    <row r="755">
      <c r="A755" s="74" t="n"/>
      <c r="B755" s="75" t="n"/>
      <c r="C755" s="76" t="n"/>
      <c r="J755" s="62" t="n"/>
      <c r="K755" s="62" t="n"/>
      <c r="L755" s="62" t="n"/>
      <c r="M755" s="62" t="n"/>
      <c r="N755" s="62" t="n"/>
      <c r="DB755">
        <f>IF('История отказов'!AH758="","",'История отказов'!AH758)</f>
        <v/>
      </c>
      <c r="DC755">
        <f>IF('История отказов'!AE758="","",IF(AND(COUNTIF($CT$2:$CT$2,'История отказов'!AE758)=0,COUNTIFS('История отказов'!$F$5:F758,"ШГН",'История отказов'!$AE$5:AE758,'История отказов'!AE758)=1,'История отказов'!F758="ШГН"),754,""))</f>
        <v/>
      </c>
      <c r="DD755">
        <f>IF('История отказов'!AE758="","",IF(AND(COUNTIF($CU$2:$CU$3,'История отказов'!AE758)=0,COUNTIFS('История отказов'!$F$5:F758,"ЭЦН",'История отказов'!$AE$5:AE758,'История отказов'!AE758)=1,'История отказов'!F758="ЭЦН"),754,""))</f>
        <v/>
      </c>
      <c r="DE755">
        <f>IF('История отказов'!AE758="","",IF(AND(COUNTIF($CV$2:$CV$3,'История отказов'!AE758)=0,COUNTIFS('История отказов'!$F$5:F758,"ЭВН",'История отказов'!$AE$5:AE758,'История отказов'!AE758)=1,'История отказов'!F758="ЭВН"),754,""))</f>
        <v/>
      </c>
      <c r="DF755">
        <f>IF('История отказов'!AE758="","",IF(AND(COUNTIF($CX$2:$CX$2,'История отказов'!AE758)=0,COUNTIFS('История отказов'!$F$5:F758,"ШВН",'История отказов'!$AE$5:AE758,'История отказов'!AE758)=1,'История отказов'!F758="ШВН"),754,""))</f>
        <v/>
      </c>
      <c r="DG755">
        <f>IF('История отказов'!AE758="","",IF(AND(COUNTIF($CW$2:$CW$2,'История отказов'!AE758)=0,COUNTIFS('История отказов'!$F$5:F758,"НПУ-ВД",'История отказов'!$AE$5:AE758,'История отказов'!AE758)=1,'История отказов'!F758="НПУ-ВД"),754,""))</f>
        <v/>
      </c>
      <c r="DH755">
        <f>IF('История отказов'!AE758="","",IF(AND(COUNTIF($CY$2:$CY$6,'История отказов'!AE758)=0,COUNTIF('История отказов'!$AE$5:AE758,'История отказов'!AE758)=1),754,""))</f>
        <v/>
      </c>
      <c r="DI755">
        <f>IF('История отказов'!AK758="","",IF(AND(COUNTIF($CL$2:$CL$3,'История отказов'!AK758)=0,COUNTIF('История отказов'!$AK$5:AK758,'История отказов'!AK758)=1),754,""))</f>
        <v/>
      </c>
      <c r="DJ755">
        <f>IF('История отказов'!AU758="","",IF(AND(COUNTIF($CP$2:$CP$3,'История отказов'!AU758)=0,COUNTIF('История отказов'!$AU$5:AU758,'История отказов'!AU758)=1),754,""))</f>
        <v/>
      </c>
      <c r="DK755">
        <f>IF('История отказов'!AY758="","",IF(AND(COUNTIF($CR$2:$CR$2,'История отказов'!AY758)=0,COUNTIF('История отказов'!$AY$5:AY758,'История отказов'!AY758)=1),754,""))</f>
        <v/>
      </c>
      <c r="DL755">
        <f>IF(DB755="","",IF(AND(COUNTIF($DA$2:$DA$47,DB755)=0,COUNTIF($DB$2:DB755,DB755)=1),754,""))</f>
        <v/>
      </c>
    </row>
    <row r="756">
      <c r="A756" s="74" t="n"/>
      <c r="B756" s="75" t="n"/>
      <c r="C756" s="76" t="n"/>
      <c r="J756" s="62" t="n"/>
      <c r="K756" s="62" t="n"/>
      <c r="L756" s="62" t="n"/>
      <c r="M756" s="62" t="n"/>
      <c r="N756" s="62" t="n"/>
      <c r="DB756">
        <f>IF('История отказов'!AH759="","",'История отказов'!AH759)</f>
        <v/>
      </c>
      <c r="DC756">
        <f>IF('История отказов'!AE759="","",IF(AND(COUNTIF($CT$2:$CT$2,'История отказов'!AE759)=0,COUNTIFS('История отказов'!$F$5:F759,"ШГН",'История отказов'!$AE$5:AE759,'История отказов'!AE759)=1,'История отказов'!F759="ШГН"),755,""))</f>
        <v/>
      </c>
      <c r="DD756">
        <f>IF('История отказов'!AE759="","",IF(AND(COUNTIF($CU$2:$CU$3,'История отказов'!AE759)=0,COUNTIFS('История отказов'!$F$5:F759,"ЭЦН",'История отказов'!$AE$5:AE759,'История отказов'!AE759)=1,'История отказов'!F759="ЭЦН"),755,""))</f>
        <v/>
      </c>
      <c r="DE756">
        <f>IF('История отказов'!AE759="","",IF(AND(COUNTIF($CV$2:$CV$3,'История отказов'!AE759)=0,COUNTIFS('История отказов'!$F$5:F759,"ЭВН",'История отказов'!$AE$5:AE759,'История отказов'!AE759)=1,'История отказов'!F759="ЭВН"),755,""))</f>
        <v/>
      </c>
      <c r="DF756">
        <f>IF('История отказов'!AE759="","",IF(AND(COUNTIF($CX$2:$CX$2,'История отказов'!AE759)=0,COUNTIFS('История отказов'!$F$5:F759,"ШВН",'История отказов'!$AE$5:AE759,'История отказов'!AE759)=1,'История отказов'!F759="ШВН"),755,""))</f>
        <v/>
      </c>
      <c r="DG756">
        <f>IF('История отказов'!AE759="","",IF(AND(COUNTIF($CW$2:$CW$2,'История отказов'!AE759)=0,COUNTIFS('История отказов'!$F$5:F759,"НПУ-ВД",'История отказов'!$AE$5:AE759,'История отказов'!AE759)=1,'История отказов'!F759="НПУ-ВД"),755,""))</f>
        <v/>
      </c>
      <c r="DH756">
        <f>IF('История отказов'!AE759="","",IF(AND(COUNTIF($CY$2:$CY$6,'История отказов'!AE759)=0,COUNTIF('История отказов'!$AE$5:AE759,'История отказов'!AE759)=1),755,""))</f>
        <v/>
      </c>
      <c r="DI756">
        <f>IF('История отказов'!AK759="","",IF(AND(COUNTIF($CL$2:$CL$3,'История отказов'!AK759)=0,COUNTIF('История отказов'!$AK$5:AK759,'История отказов'!AK759)=1),755,""))</f>
        <v/>
      </c>
      <c r="DJ756">
        <f>IF('История отказов'!AU759="","",IF(AND(COUNTIF($CP$2:$CP$3,'История отказов'!AU759)=0,COUNTIF('История отказов'!$AU$5:AU759,'История отказов'!AU759)=1),755,""))</f>
        <v/>
      </c>
      <c r="DK756">
        <f>IF('История отказов'!AY759="","",IF(AND(COUNTIF($CR$2:$CR$2,'История отказов'!AY759)=0,COUNTIF('История отказов'!$AY$5:AY759,'История отказов'!AY759)=1),755,""))</f>
        <v/>
      </c>
      <c r="DL756">
        <f>IF(DB756="","",IF(AND(COUNTIF($DA$2:$DA$47,DB756)=0,COUNTIF($DB$2:DB756,DB756)=1),755,""))</f>
        <v/>
      </c>
    </row>
    <row r="757">
      <c r="A757" s="74" t="n"/>
      <c r="B757" s="75" t="n"/>
      <c r="C757" s="76" t="n"/>
      <c r="J757" s="62" t="n"/>
      <c r="K757" s="62" t="n"/>
      <c r="L757" s="62" t="n"/>
      <c r="M757" s="62" t="n"/>
      <c r="N757" s="62" t="n"/>
      <c r="DB757">
        <f>IF('История отказов'!AH760="","",'История отказов'!AH760)</f>
        <v/>
      </c>
      <c r="DC757">
        <f>IF('История отказов'!AE760="","",IF(AND(COUNTIF($CT$2:$CT$2,'История отказов'!AE760)=0,COUNTIFS('История отказов'!$F$5:F760,"ШГН",'История отказов'!$AE$5:AE760,'История отказов'!AE760)=1,'История отказов'!F760="ШГН"),756,""))</f>
        <v/>
      </c>
      <c r="DD757">
        <f>IF('История отказов'!AE760="","",IF(AND(COUNTIF($CU$2:$CU$3,'История отказов'!AE760)=0,COUNTIFS('История отказов'!$F$5:F760,"ЭЦН",'История отказов'!$AE$5:AE760,'История отказов'!AE760)=1,'История отказов'!F760="ЭЦН"),756,""))</f>
        <v/>
      </c>
      <c r="DE757">
        <f>IF('История отказов'!AE760="","",IF(AND(COUNTIF($CV$2:$CV$3,'История отказов'!AE760)=0,COUNTIFS('История отказов'!$F$5:F760,"ЭВН",'История отказов'!$AE$5:AE760,'История отказов'!AE760)=1,'История отказов'!F760="ЭВН"),756,""))</f>
        <v/>
      </c>
      <c r="DF757">
        <f>IF('История отказов'!AE760="","",IF(AND(COUNTIF($CX$2:$CX$2,'История отказов'!AE760)=0,COUNTIFS('История отказов'!$F$5:F760,"ШВН",'История отказов'!$AE$5:AE760,'История отказов'!AE760)=1,'История отказов'!F760="ШВН"),756,""))</f>
        <v/>
      </c>
      <c r="DG757">
        <f>IF('История отказов'!AE760="","",IF(AND(COUNTIF($CW$2:$CW$2,'История отказов'!AE760)=0,COUNTIFS('История отказов'!$F$5:F760,"НПУ-ВД",'История отказов'!$AE$5:AE760,'История отказов'!AE760)=1,'История отказов'!F760="НПУ-ВД"),756,""))</f>
        <v/>
      </c>
      <c r="DH757">
        <f>IF('История отказов'!AE760="","",IF(AND(COUNTIF($CY$2:$CY$6,'История отказов'!AE760)=0,COUNTIF('История отказов'!$AE$5:AE760,'История отказов'!AE760)=1),756,""))</f>
        <v/>
      </c>
      <c r="DI757">
        <f>IF('История отказов'!AK760="","",IF(AND(COUNTIF($CL$2:$CL$3,'История отказов'!AK760)=0,COUNTIF('История отказов'!$AK$5:AK760,'История отказов'!AK760)=1),756,""))</f>
        <v/>
      </c>
      <c r="DJ757">
        <f>IF('История отказов'!AU760="","",IF(AND(COUNTIF($CP$2:$CP$3,'История отказов'!AU760)=0,COUNTIF('История отказов'!$AU$5:AU760,'История отказов'!AU760)=1),756,""))</f>
        <v/>
      </c>
      <c r="DK757">
        <f>IF('История отказов'!AY760="","",IF(AND(COUNTIF($CR$2:$CR$2,'История отказов'!AY760)=0,COUNTIF('История отказов'!$AY$5:AY760,'История отказов'!AY760)=1),756,""))</f>
        <v/>
      </c>
      <c r="DL757">
        <f>IF(DB757="","",IF(AND(COUNTIF($DA$2:$DA$47,DB757)=0,COUNTIF($DB$2:DB757,DB757)=1),756,""))</f>
        <v/>
      </c>
    </row>
    <row r="758">
      <c r="A758" s="74" t="n"/>
      <c r="B758" s="75" t="n"/>
      <c r="C758" s="76" t="n"/>
      <c r="J758" s="62" t="n"/>
      <c r="K758" s="62" t="n"/>
      <c r="L758" s="62" t="n"/>
      <c r="M758" s="62" t="n"/>
      <c r="N758" s="62" t="n"/>
      <c r="DB758">
        <f>IF('История отказов'!AH761="","",'История отказов'!AH761)</f>
        <v/>
      </c>
      <c r="DC758">
        <f>IF('История отказов'!AE761="","",IF(AND(COUNTIF($CT$2:$CT$2,'История отказов'!AE761)=0,COUNTIFS('История отказов'!$F$5:F761,"ШГН",'История отказов'!$AE$5:AE761,'История отказов'!AE761)=1,'История отказов'!F761="ШГН"),757,""))</f>
        <v/>
      </c>
      <c r="DD758">
        <f>IF('История отказов'!AE761="","",IF(AND(COUNTIF($CU$2:$CU$3,'История отказов'!AE761)=0,COUNTIFS('История отказов'!$F$5:F761,"ЭЦН",'История отказов'!$AE$5:AE761,'История отказов'!AE761)=1,'История отказов'!F761="ЭЦН"),757,""))</f>
        <v/>
      </c>
      <c r="DE758">
        <f>IF('История отказов'!AE761="","",IF(AND(COUNTIF($CV$2:$CV$3,'История отказов'!AE761)=0,COUNTIFS('История отказов'!$F$5:F761,"ЭВН",'История отказов'!$AE$5:AE761,'История отказов'!AE761)=1,'История отказов'!F761="ЭВН"),757,""))</f>
        <v/>
      </c>
      <c r="DF758">
        <f>IF('История отказов'!AE761="","",IF(AND(COUNTIF($CX$2:$CX$2,'История отказов'!AE761)=0,COUNTIFS('История отказов'!$F$5:F761,"ШВН",'История отказов'!$AE$5:AE761,'История отказов'!AE761)=1,'История отказов'!F761="ШВН"),757,""))</f>
        <v/>
      </c>
      <c r="DG758">
        <f>IF('История отказов'!AE761="","",IF(AND(COUNTIF($CW$2:$CW$2,'История отказов'!AE761)=0,COUNTIFS('История отказов'!$F$5:F761,"НПУ-ВД",'История отказов'!$AE$5:AE761,'История отказов'!AE761)=1,'История отказов'!F761="НПУ-ВД"),757,""))</f>
        <v/>
      </c>
      <c r="DH758">
        <f>IF('История отказов'!AE761="","",IF(AND(COUNTIF($CY$2:$CY$6,'История отказов'!AE761)=0,COUNTIF('История отказов'!$AE$5:AE761,'История отказов'!AE761)=1),757,""))</f>
        <v/>
      </c>
      <c r="DI758">
        <f>IF('История отказов'!AK761="","",IF(AND(COUNTIF($CL$2:$CL$3,'История отказов'!AK761)=0,COUNTIF('История отказов'!$AK$5:AK761,'История отказов'!AK761)=1),757,""))</f>
        <v/>
      </c>
      <c r="DJ758">
        <f>IF('История отказов'!AU761="","",IF(AND(COUNTIF($CP$2:$CP$3,'История отказов'!AU761)=0,COUNTIF('История отказов'!$AU$5:AU761,'История отказов'!AU761)=1),757,""))</f>
        <v/>
      </c>
      <c r="DK758">
        <f>IF('История отказов'!AY761="","",IF(AND(COUNTIF($CR$2:$CR$2,'История отказов'!AY761)=0,COUNTIF('История отказов'!$AY$5:AY761,'История отказов'!AY761)=1),757,""))</f>
        <v/>
      </c>
      <c r="DL758">
        <f>IF(DB758="","",IF(AND(COUNTIF($DA$2:$DA$47,DB758)=0,COUNTIF($DB$2:DB758,DB758)=1),757,""))</f>
        <v/>
      </c>
    </row>
    <row r="759">
      <c r="A759" s="74" t="n"/>
      <c r="B759" s="75" t="n"/>
      <c r="C759" s="76" t="n"/>
      <c r="J759" s="62" t="n"/>
      <c r="K759" s="62" t="n"/>
      <c r="L759" s="62" t="n"/>
      <c r="M759" s="62" t="n"/>
      <c r="N759" s="62" t="n"/>
      <c r="DB759">
        <f>IF('История отказов'!AH762="","",'История отказов'!AH762)</f>
        <v/>
      </c>
      <c r="DC759">
        <f>IF('История отказов'!AE762="","",IF(AND(COUNTIF($CT$2:$CT$2,'История отказов'!AE762)=0,COUNTIFS('История отказов'!$F$5:F762,"ШГН",'История отказов'!$AE$5:AE762,'История отказов'!AE762)=1,'История отказов'!F762="ШГН"),758,""))</f>
        <v/>
      </c>
      <c r="DD759">
        <f>IF('История отказов'!AE762="","",IF(AND(COUNTIF($CU$2:$CU$3,'История отказов'!AE762)=0,COUNTIFS('История отказов'!$F$5:F762,"ЭЦН",'История отказов'!$AE$5:AE762,'История отказов'!AE762)=1,'История отказов'!F762="ЭЦН"),758,""))</f>
        <v/>
      </c>
      <c r="DE759">
        <f>IF('История отказов'!AE762="","",IF(AND(COUNTIF($CV$2:$CV$3,'История отказов'!AE762)=0,COUNTIFS('История отказов'!$F$5:F762,"ЭВН",'История отказов'!$AE$5:AE762,'История отказов'!AE762)=1,'История отказов'!F762="ЭВН"),758,""))</f>
        <v/>
      </c>
      <c r="DF759">
        <f>IF('История отказов'!AE762="","",IF(AND(COUNTIF($CX$2:$CX$2,'История отказов'!AE762)=0,COUNTIFS('История отказов'!$F$5:F762,"ШВН",'История отказов'!$AE$5:AE762,'История отказов'!AE762)=1,'История отказов'!F762="ШВН"),758,""))</f>
        <v/>
      </c>
      <c r="DG759">
        <f>IF('История отказов'!AE762="","",IF(AND(COUNTIF($CW$2:$CW$2,'История отказов'!AE762)=0,COUNTIFS('История отказов'!$F$5:F762,"НПУ-ВД",'История отказов'!$AE$5:AE762,'История отказов'!AE762)=1,'История отказов'!F762="НПУ-ВД"),758,""))</f>
        <v/>
      </c>
      <c r="DH759">
        <f>IF('История отказов'!AE762="","",IF(AND(COUNTIF($CY$2:$CY$6,'История отказов'!AE762)=0,COUNTIF('История отказов'!$AE$5:AE762,'История отказов'!AE762)=1),758,""))</f>
        <v/>
      </c>
      <c r="DI759">
        <f>IF('История отказов'!AK762="","",IF(AND(COUNTIF($CL$2:$CL$3,'История отказов'!AK762)=0,COUNTIF('История отказов'!$AK$5:AK762,'История отказов'!AK762)=1),758,""))</f>
        <v/>
      </c>
      <c r="DJ759">
        <f>IF('История отказов'!AU762="","",IF(AND(COUNTIF($CP$2:$CP$3,'История отказов'!AU762)=0,COUNTIF('История отказов'!$AU$5:AU762,'История отказов'!AU762)=1),758,""))</f>
        <v/>
      </c>
      <c r="DK759">
        <f>IF('История отказов'!AY762="","",IF(AND(COUNTIF($CR$2:$CR$2,'История отказов'!AY762)=0,COUNTIF('История отказов'!$AY$5:AY762,'История отказов'!AY762)=1),758,""))</f>
        <v/>
      </c>
      <c r="DL759">
        <f>IF(DB759="","",IF(AND(COUNTIF($DA$2:$DA$47,DB759)=0,COUNTIF($DB$2:DB759,DB759)=1),758,""))</f>
        <v/>
      </c>
    </row>
    <row r="760">
      <c r="A760" s="74" t="n"/>
      <c r="B760" s="75" t="n"/>
      <c r="C760" s="76" t="n"/>
      <c r="J760" s="62" t="n"/>
      <c r="K760" s="62" t="n"/>
      <c r="L760" s="62" t="n"/>
      <c r="M760" s="62" t="n"/>
      <c r="N760" s="62" t="n"/>
      <c r="DB760">
        <f>IF('История отказов'!AH763="","",'История отказов'!AH763)</f>
        <v/>
      </c>
      <c r="DC760">
        <f>IF('История отказов'!AE763="","",IF(AND(COUNTIF($CT$2:$CT$2,'История отказов'!AE763)=0,COUNTIFS('История отказов'!$F$5:F763,"ШГН",'История отказов'!$AE$5:AE763,'История отказов'!AE763)=1,'История отказов'!F763="ШГН"),759,""))</f>
        <v/>
      </c>
      <c r="DD760">
        <f>IF('История отказов'!AE763="","",IF(AND(COUNTIF($CU$2:$CU$3,'История отказов'!AE763)=0,COUNTIFS('История отказов'!$F$5:F763,"ЭЦН",'История отказов'!$AE$5:AE763,'История отказов'!AE763)=1,'История отказов'!F763="ЭЦН"),759,""))</f>
        <v/>
      </c>
      <c r="DE760">
        <f>IF('История отказов'!AE763="","",IF(AND(COUNTIF($CV$2:$CV$3,'История отказов'!AE763)=0,COUNTIFS('История отказов'!$F$5:F763,"ЭВН",'История отказов'!$AE$5:AE763,'История отказов'!AE763)=1,'История отказов'!F763="ЭВН"),759,""))</f>
        <v/>
      </c>
      <c r="DF760">
        <f>IF('История отказов'!AE763="","",IF(AND(COUNTIF($CX$2:$CX$2,'История отказов'!AE763)=0,COUNTIFS('История отказов'!$F$5:F763,"ШВН",'История отказов'!$AE$5:AE763,'История отказов'!AE763)=1,'История отказов'!F763="ШВН"),759,""))</f>
        <v/>
      </c>
      <c r="DG760">
        <f>IF('История отказов'!AE763="","",IF(AND(COUNTIF($CW$2:$CW$2,'История отказов'!AE763)=0,COUNTIFS('История отказов'!$F$5:F763,"НПУ-ВД",'История отказов'!$AE$5:AE763,'История отказов'!AE763)=1,'История отказов'!F763="НПУ-ВД"),759,""))</f>
        <v/>
      </c>
      <c r="DH760">
        <f>IF('История отказов'!AE763="","",IF(AND(COUNTIF($CY$2:$CY$6,'История отказов'!AE763)=0,COUNTIF('История отказов'!$AE$5:AE763,'История отказов'!AE763)=1),759,""))</f>
        <v/>
      </c>
      <c r="DI760">
        <f>IF('История отказов'!AK763="","",IF(AND(COUNTIF($CL$2:$CL$3,'История отказов'!AK763)=0,COUNTIF('История отказов'!$AK$5:AK763,'История отказов'!AK763)=1),759,""))</f>
        <v/>
      </c>
      <c r="DJ760">
        <f>IF('История отказов'!AU763="","",IF(AND(COUNTIF($CP$2:$CP$3,'История отказов'!AU763)=0,COUNTIF('История отказов'!$AU$5:AU763,'История отказов'!AU763)=1),759,""))</f>
        <v/>
      </c>
      <c r="DK760">
        <f>IF('История отказов'!AY763="","",IF(AND(COUNTIF($CR$2:$CR$2,'История отказов'!AY763)=0,COUNTIF('История отказов'!$AY$5:AY763,'История отказов'!AY763)=1),759,""))</f>
        <v/>
      </c>
      <c r="DL760">
        <f>IF(DB760="","",IF(AND(COUNTIF($DA$2:$DA$47,DB760)=0,COUNTIF($DB$2:DB760,DB760)=1),759,""))</f>
        <v/>
      </c>
    </row>
    <row r="761">
      <c r="A761" s="74" t="n"/>
      <c r="B761" s="75" t="n"/>
      <c r="C761" s="76" t="n"/>
      <c r="J761" s="62" t="n"/>
      <c r="K761" s="62" t="n"/>
      <c r="L761" s="62" t="n"/>
      <c r="M761" s="62" t="n"/>
      <c r="N761" s="62" t="n"/>
      <c r="DB761">
        <f>IF('История отказов'!AH764="","",'История отказов'!AH764)</f>
        <v/>
      </c>
      <c r="DC761">
        <f>IF('История отказов'!AE764="","",IF(AND(COUNTIF($CT$2:$CT$2,'История отказов'!AE764)=0,COUNTIFS('История отказов'!$F$5:F764,"ШГН",'История отказов'!$AE$5:AE764,'История отказов'!AE764)=1,'История отказов'!F764="ШГН"),760,""))</f>
        <v/>
      </c>
      <c r="DD761">
        <f>IF('История отказов'!AE764="","",IF(AND(COUNTIF($CU$2:$CU$3,'История отказов'!AE764)=0,COUNTIFS('История отказов'!$F$5:F764,"ЭЦН",'История отказов'!$AE$5:AE764,'История отказов'!AE764)=1,'История отказов'!F764="ЭЦН"),760,""))</f>
        <v/>
      </c>
      <c r="DE761">
        <f>IF('История отказов'!AE764="","",IF(AND(COUNTIF($CV$2:$CV$3,'История отказов'!AE764)=0,COUNTIFS('История отказов'!$F$5:F764,"ЭВН",'История отказов'!$AE$5:AE764,'История отказов'!AE764)=1,'История отказов'!F764="ЭВН"),760,""))</f>
        <v/>
      </c>
      <c r="DF761">
        <f>IF('История отказов'!AE764="","",IF(AND(COUNTIF($CX$2:$CX$2,'История отказов'!AE764)=0,COUNTIFS('История отказов'!$F$5:F764,"ШВН",'История отказов'!$AE$5:AE764,'История отказов'!AE764)=1,'История отказов'!F764="ШВН"),760,""))</f>
        <v/>
      </c>
      <c r="DG761">
        <f>IF('История отказов'!AE764="","",IF(AND(COUNTIF($CW$2:$CW$2,'История отказов'!AE764)=0,COUNTIFS('История отказов'!$F$5:F764,"НПУ-ВД",'История отказов'!$AE$5:AE764,'История отказов'!AE764)=1,'История отказов'!F764="НПУ-ВД"),760,""))</f>
        <v/>
      </c>
      <c r="DH761">
        <f>IF('История отказов'!AE764="","",IF(AND(COUNTIF($CY$2:$CY$6,'История отказов'!AE764)=0,COUNTIF('История отказов'!$AE$5:AE764,'История отказов'!AE764)=1),760,""))</f>
        <v/>
      </c>
      <c r="DI761">
        <f>IF('История отказов'!AK764="","",IF(AND(COUNTIF($CL$2:$CL$3,'История отказов'!AK764)=0,COUNTIF('История отказов'!$AK$5:AK764,'История отказов'!AK764)=1),760,""))</f>
        <v/>
      </c>
      <c r="DJ761">
        <f>IF('История отказов'!AU764="","",IF(AND(COUNTIF($CP$2:$CP$3,'История отказов'!AU764)=0,COUNTIF('История отказов'!$AU$5:AU764,'История отказов'!AU764)=1),760,""))</f>
        <v/>
      </c>
      <c r="DK761">
        <f>IF('История отказов'!AY764="","",IF(AND(COUNTIF($CR$2:$CR$2,'История отказов'!AY764)=0,COUNTIF('История отказов'!$AY$5:AY764,'История отказов'!AY764)=1),760,""))</f>
        <v/>
      </c>
      <c r="DL761">
        <f>IF(DB761="","",IF(AND(COUNTIF($DA$2:$DA$47,DB761)=0,COUNTIF($DB$2:DB761,DB761)=1),760,""))</f>
        <v/>
      </c>
    </row>
    <row r="762">
      <c r="A762" s="74" t="n"/>
      <c r="B762" s="75" t="n"/>
      <c r="C762" s="76" t="n"/>
      <c r="J762" s="62" t="n"/>
      <c r="K762" s="62" t="n"/>
      <c r="L762" s="62" t="n"/>
      <c r="M762" s="62" t="n"/>
      <c r="N762" s="62" t="n"/>
      <c r="DB762">
        <f>IF('История отказов'!AH765="","",'История отказов'!AH765)</f>
        <v/>
      </c>
      <c r="DC762">
        <f>IF('История отказов'!AE765="","",IF(AND(COUNTIF($CT$2:$CT$2,'История отказов'!AE765)=0,COUNTIFS('История отказов'!$F$5:F765,"ШГН",'История отказов'!$AE$5:AE765,'История отказов'!AE765)=1,'История отказов'!F765="ШГН"),761,""))</f>
        <v/>
      </c>
      <c r="DD762">
        <f>IF('История отказов'!AE765="","",IF(AND(COUNTIF($CU$2:$CU$3,'История отказов'!AE765)=0,COUNTIFS('История отказов'!$F$5:F765,"ЭЦН",'История отказов'!$AE$5:AE765,'История отказов'!AE765)=1,'История отказов'!F765="ЭЦН"),761,""))</f>
        <v/>
      </c>
      <c r="DE762">
        <f>IF('История отказов'!AE765="","",IF(AND(COUNTIF($CV$2:$CV$3,'История отказов'!AE765)=0,COUNTIFS('История отказов'!$F$5:F765,"ЭВН",'История отказов'!$AE$5:AE765,'История отказов'!AE765)=1,'История отказов'!F765="ЭВН"),761,""))</f>
        <v/>
      </c>
      <c r="DF762">
        <f>IF('История отказов'!AE765="","",IF(AND(COUNTIF($CX$2:$CX$2,'История отказов'!AE765)=0,COUNTIFS('История отказов'!$F$5:F765,"ШВН",'История отказов'!$AE$5:AE765,'История отказов'!AE765)=1,'История отказов'!F765="ШВН"),761,""))</f>
        <v/>
      </c>
      <c r="DG762">
        <f>IF('История отказов'!AE765="","",IF(AND(COUNTIF($CW$2:$CW$2,'История отказов'!AE765)=0,COUNTIFS('История отказов'!$F$5:F765,"НПУ-ВД",'История отказов'!$AE$5:AE765,'История отказов'!AE765)=1,'История отказов'!F765="НПУ-ВД"),761,""))</f>
        <v/>
      </c>
      <c r="DH762">
        <f>IF('История отказов'!AE765="","",IF(AND(COUNTIF($CY$2:$CY$6,'История отказов'!AE765)=0,COUNTIF('История отказов'!$AE$5:AE765,'История отказов'!AE765)=1),761,""))</f>
        <v/>
      </c>
      <c r="DI762">
        <f>IF('История отказов'!AK765="","",IF(AND(COUNTIF($CL$2:$CL$3,'История отказов'!AK765)=0,COUNTIF('История отказов'!$AK$5:AK765,'История отказов'!AK765)=1),761,""))</f>
        <v/>
      </c>
      <c r="DJ762">
        <f>IF('История отказов'!AU765="","",IF(AND(COUNTIF($CP$2:$CP$3,'История отказов'!AU765)=0,COUNTIF('История отказов'!$AU$5:AU765,'История отказов'!AU765)=1),761,""))</f>
        <v/>
      </c>
      <c r="DK762">
        <f>IF('История отказов'!AY765="","",IF(AND(COUNTIF($CR$2:$CR$2,'История отказов'!AY765)=0,COUNTIF('История отказов'!$AY$5:AY765,'История отказов'!AY765)=1),761,""))</f>
        <v/>
      </c>
      <c r="DL762">
        <f>IF(DB762="","",IF(AND(COUNTIF($DA$2:$DA$47,DB762)=0,COUNTIF($DB$2:DB762,DB762)=1),761,""))</f>
        <v/>
      </c>
    </row>
    <row r="763">
      <c r="A763" s="74" t="n"/>
      <c r="B763" s="75" t="n"/>
      <c r="C763" s="76" t="n"/>
      <c r="J763" s="62" t="n"/>
      <c r="K763" s="62" t="n"/>
      <c r="L763" s="62" t="n"/>
      <c r="M763" s="62" t="n"/>
      <c r="N763" s="62" t="n"/>
      <c r="DB763">
        <f>IF('История отказов'!AH766="","",'История отказов'!AH766)</f>
        <v/>
      </c>
      <c r="DC763">
        <f>IF('История отказов'!AE766="","",IF(AND(COUNTIF($CT$2:$CT$2,'История отказов'!AE766)=0,COUNTIFS('История отказов'!$F$5:F766,"ШГН",'История отказов'!$AE$5:AE766,'История отказов'!AE766)=1,'История отказов'!F766="ШГН"),762,""))</f>
        <v/>
      </c>
      <c r="DD763">
        <f>IF('История отказов'!AE766="","",IF(AND(COUNTIF($CU$2:$CU$3,'История отказов'!AE766)=0,COUNTIFS('История отказов'!$F$5:F766,"ЭЦН",'История отказов'!$AE$5:AE766,'История отказов'!AE766)=1,'История отказов'!F766="ЭЦН"),762,""))</f>
        <v/>
      </c>
      <c r="DE763">
        <f>IF('История отказов'!AE766="","",IF(AND(COUNTIF($CV$2:$CV$3,'История отказов'!AE766)=0,COUNTIFS('История отказов'!$F$5:F766,"ЭВН",'История отказов'!$AE$5:AE766,'История отказов'!AE766)=1,'История отказов'!F766="ЭВН"),762,""))</f>
        <v/>
      </c>
      <c r="DF763">
        <f>IF('История отказов'!AE766="","",IF(AND(COUNTIF($CX$2:$CX$2,'История отказов'!AE766)=0,COUNTIFS('История отказов'!$F$5:F766,"ШВН",'История отказов'!$AE$5:AE766,'История отказов'!AE766)=1,'История отказов'!F766="ШВН"),762,""))</f>
        <v/>
      </c>
      <c r="DG763">
        <f>IF('История отказов'!AE766="","",IF(AND(COUNTIF($CW$2:$CW$2,'История отказов'!AE766)=0,COUNTIFS('История отказов'!$F$5:F766,"НПУ-ВД",'История отказов'!$AE$5:AE766,'История отказов'!AE766)=1,'История отказов'!F766="НПУ-ВД"),762,""))</f>
        <v/>
      </c>
      <c r="DH763">
        <f>IF('История отказов'!AE766="","",IF(AND(COUNTIF($CY$2:$CY$6,'История отказов'!AE766)=0,COUNTIF('История отказов'!$AE$5:AE766,'История отказов'!AE766)=1),762,""))</f>
        <v/>
      </c>
      <c r="DI763">
        <f>IF('История отказов'!AK766="","",IF(AND(COUNTIF($CL$2:$CL$3,'История отказов'!AK766)=0,COUNTIF('История отказов'!$AK$5:AK766,'История отказов'!AK766)=1),762,""))</f>
        <v/>
      </c>
      <c r="DJ763">
        <f>IF('История отказов'!AU766="","",IF(AND(COUNTIF($CP$2:$CP$3,'История отказов'!AU766)=0,COUNTIF('История отказов'!$AU$5:AU766,'История отказов'!AU766)=1),762,""))</f>
        <v/>
      </c>
      <c r="DK763">
        <f>IF('История отказов'!AY766="","",IF(AND(COUNTIF($CR$2:$CR$2,'История отказов'!AY766)=0,COUNTIF('История отказов'!$AY$5:AY766,'История отказов'!AY766)=1),762,""))</f>
        <v/>
      </c>
      <c r="DL763">
        <f>IF(DB763="","",IF(AND(COUNTIF($DA$2:$DA$47,DB763)=0,COUNTIF($DB$2:DB763,DB763)=1),762,""))</f>
        <v/>
      </c>
    </row>
    <row r="764">
      <c r="A764" s="74" t="n"/>
      <c r="B764" s="75" t="n"/>
      <c r="C764" s="76" t="n"/>
      <c r="J764" s="62" t="n"/>
      <c r="K764" s="62" t="n"/>
      <c r="L764" s="62" t="n"/>
      <c r="M764" s="62" t="n"/>
      <c r="N764" s="62" t="n"/>
      <c r="DB764">
        <f>IF('История отказов'!AH767="","",'История отказов'!AH767)</f>
        <v/>
      </c>
      <c r="DC764">
        <f>IF('История отказов'!AE767="","",IF(AND(COUNTIF($CT$2:$CT$2,'История отказов'!AE767)=0,COUNTIFS('История отказов'!$F$5:F767,"ШГН",'История отказов'!$AE$5:AE767,'История отказов'!AE767)=1,'История отказов'!F767="ШГН"),763,""))</f>
        <v/>
      </c>
      <c r="DD764">
        <f>IF('История отказов'!AE767="","",IF(AND(COUNTIF($CU$2:$CU$3,'История отказов'!AE767)=0,COUNTIFS('История отказов'!$F$5:F767,"ЭЦН",'История отказов'!$AE$5:AE767,'История отказов'!AE767)=1,'История отказов'!F767="ЭЦН"),763,""))</f>
        <v/>
      </c>
      <c r="DE764">
        <f>IF('История отказов'!AE767="","",IF(AND(COUNTIF($CV$2:$CV$3,'История отказов'!AE767)=0,COUNTIFS('История отказов'!$F$5:F767,"ЭВН",'История отказов'!$AE$5:AE767,'История отказов'!AE767)=1,'История отказов'!F767="ЭВН"),763,""))</f>
        <v/>
      </c>
      <c r="DF764">
        <f>IF('История отказов'!AE767="","",IF(AND(COUNTIF($CX$2:$CX$2,'История отказов'!AE767)=0,COUNTIFS('История отказов'!$F$5:F767,"ШВН",'История отказов'!$AE$5:AE767,'История отказов'!AE767)=1,'История отказов'!F767="ШВН"),763,""))</f>
        <v/>
      </c>
      <c r="DG764">
        <f>IF('История отказов'!AE767="","",IF(AND(COUNTIF($CW$2:$CW$2,'История отказов'!AE767)=0,COUNTIFS('История отказов'!$F$5:F767,"НПУ-ВД",'История отказов'!$AE$5:AE767,'История отказов'!AE767)=1,'История отказов'!F767="НПУ-ВД"),763,""))</f>
        <v/>
      </c>
      <c r="DH764">
        <f>IF('История отказов'!AE767="","",IF(AND(COUNTIF($CY$2:$CY$6,'История отказов'!AE767)=0,COUNTIF('История отказов'!$AE$5:AE767,'История отказов'!AE767)=1),763,""))</f>
        <v/>
      </c>
      <c r="DI764">
        <f>IF('История отказов'!AK767="","",IF(AND(COUNTIF($CL$2:$CL$3,'История отказов'!AK767)=0,COUNTIF('История отказов'!$AK$5:AK767,'История отказов'!AK767)=1),763,""))</f>
        <v/>
      </c>
      <c r="DJ764">
        <f>IF('История отказов'!AU767="","",IF(AND(COUNTIF($CP$2:$CP$3,'История отказов'!AU767)=0,COUNTIF('История отказов'!$AU$5:AU767,'История отказов'!AU767)=1),763,""))</f>
        <v/>
      </c>
      <c r="DK764">
        <f>IF('История отказов'!AY767="","",IF(AND(COUNTIF($CR$2:$CR$2,'История отказов'!AY767)=0,COUNTIF('История отказов'!$AY$5:AY767,'История отказов'!AY767)=1),763,""))</f>
        <v/>
      </c>
      <c r="DL764">
        <f>IF(DB764="","",IF(AND(COUNTIF($DA$2:$DA$47,DB764)=0,COUNTIF($DB$2:DB764,DB764)=1),763,""))</f>
        <v/>
      </c>
    </row>
    <row r="765">
      <c r="A765" s="74" t="n"/>
      <c r="B765" s="75" t="n"/>
      <c r="C765" s="76" t="n"/>
      <c r="J765" s="62" t="n"/>
      <c r="K765" s="62" t="n"/>
      <c r="L765" s="62" t="n"/>
      <c r="M765" s="62" t="n"/>
      <c r="N765" s="62" t="n"/>
      <c r="DB765">
        <f>IF('История отказов'!AH768="","",'История отказов'!AH768)</f>
        <v/>
      </c>
      <c r="DC765">
        <f>IF('История отказов'!AE768="","",IF(AND(COUNTIF($CT$2:$CT$2,'История отказов'!AE768)=0,COUNTIFS('История отказов'!$F$5:F768,"ШГН",'История отказов'!$AE$5:AE768,'История отказов'!AE768)=1,'История отказов'!F768="ШГН"),764,""))</f>
        <v/>
      </c>
      <c r="DD765">
        <f>IF('История отказов'!AE768="","",IF(AND(COUNTIF($CU$2:$CU$3,'История отказов'!AE768)=0,COUNTIFS('История отказов'!$F$5:F768,"ЭЦН",'История отказов'!$AE$5:AE768,'История отказов'!AE768)=1,'История отказов'!F768="ЭЦН"),764,""))</f>
        <v/>
      </c>
      <c r="DE765">
        <f>IF('История отказов'!AE768="","",IF(AND(COUNTIF($CV$2:$CV$3,'История отказов'!AE768)=0,COUNTIFS('История отказов'!$F$5:F768,"ЭВН",'История отказов'!$AE$5:AE768,'История отказов'!AE768)=1,'История отказов'!F768="ЭВН"),764,""))</f>
        <v/>
      </c>
      <c r="DF765">
        <f>IF('История отказов'!AE768="","",IF(AND(COUNTIF($CX$2:$CX$2,'История отказов'!AE768)=0,COUNTIFS('История отказов'!$F$5:F768,"ШВН",'История отказов'!$AE$5:AE768,'История отказов'!AE768)=1,'История отказов'!F768="ШВН"),764,""))</f>
        <v/>
      </c>
      <c r="DG765">
        <f>IF('История отказов'!AE768="","",IF(AND(COUNTIF($CW$2:$CW$2,'История отказов'!AE768)=0,COUNTIFS('История отказов'!$F$5:F768,"НПУ-ВД",'История отказов'!$AE$5:AE768,'История отказов'!AE768)=1,'История отказов'!F768="НПУ-ВД"),764,""))</f>
        <v/>
      </c>
      <c r="DH765">
        <f>IF('История отказов'!AE768="","",IF(AND(COUNTIF($CY$2:$CY$6,'История отказов'!AE768)=0,COUNTIF('История отказов'!$AE$5:AE768,'История отказов'!AE768)=1),764,""))</f>
        <v/>
      </c>
      <c r="DI765">
        <f>IF('История отказов'!AK768="","",IF(AND(COUNTIF($CL$2:$CL$3,'История отказов'!AK768)=0,COUNTIF('История отказов'!$AK$5:AK768,'История отказов'!AK768)=1),764,""))</f>
        <v/>
      </c>
      <c r="DJ765">
        <f>IF('История отказов'!AU768="","",IF(AND(COUNTIF($CP$2:$CP$3,'История отказов'!AU768)=0,COUNTIF('История отказов'!$AU$5:AU768,'История отказов'!AU768)=1),764,""))</f>
        <v/>
      </c>
      <c r="DK765">
        <f>IF('История отказов'!AY768="","",IF(AND(COUNTIF($CR$2:$CR$2,'История отказов'!AY768)=0,COUNTIF('История отказов'!$AY$5:AY768,'История отказов'!AY768)=1),764,""))</f>
        <v/>
      </c>
      <c r="DL765">
        <f>IF(DB765="","",IF(AND(COUNTIF($DA$2:$DA$47,DB765)=0,COUNTIF($DB$2:DB765,DB765)=1),764,""))</f>
        <v/>
      </c>
    </row>
    <row r="766">
      <c r="A766" s="74" t="n"/>
      <c r="B766" s="75" t="n"/>
      <c r="C766" s="76" t="n"/>
      <c r="J766" s="62" t="n"/>
      <c r="K766" s="62" t="n"/>
      <c r="L766" s="62" t="n"/>
      <c r="M766" s="62" t="n"/>
      <c r="N766" s="62" t="n"/>
      <c r="DB766">
        <f>IF('История отказов'!AH769="","",'История отказов'!AH769)</f>
        <v/>
      </c>
      <c r="DC766">
        <f>IF('История отказов'!AE769="","",IF(AND(COUNTIF($CT$2:$CT$2,'История отказов'!AE769)=0,COUNTIFS('История отказов'!$F$5:F769,"ШГН",'История отказов'!$AE$5:AE769,'История отказов'!AE769)=1,'История отказов'!F769="ШГН"),765,""))</f>
        <v/>
      </c>
      <c r="DD766">
        <f>IF('История отказов'!AE769="","",IF(AND(COUNTIF($CU$2:$CU$3,'История отказов'!AE769)=0,COUNTIFS('История отказов'!$F$5:F769,"ЭЦН",'История отказов'!$AE$5:AE769,'История отказов'!AE769)=1,'История отказов'!F769="ЭЦН"),765,""))</f>
        <v/>
      </c>
      <c r="DE766">
        <f>IF('История отказов'!AE769="","",IF(AND(COUNTIF($CV$2:$CV$3,'История отказов'!AE769)=0,COUNTIFS('История отказов'!$F$5:F769,"ЭВН",'История отказов'!$AE$5:AE769,'История отказов'!AE769)=1,'История отказов'!F769="ЭВН"),765,""))</f>
        <v/>
      </c>
      <c r="DF766">
        <f>IF('История отказов'!AE769="","",IF(AND(COUNTIF($CX$2:$CX$2,'История отказов'!AE769)=0,COUNTIFS('История отказов'!$F$5:F769,"ШВН",'История отказов'!$AE$5:AE769,'История отказов'!AE769)=1,'История отказов'!F769="ШВН"),765,""))</f>
        <v/>
      </c>
      <c r="DG766">
        <f>IF('История отказов'!AE769="","",IF(AND(COUNTIF($CW$2:$CW$2,'История отказов'!AE769)=0,COUNTIFS('История отказов'!$F$5:F769,"НПУ-ВД",'История отказов'!$AE$5:AE769,'История отказов'!AE769)=1,'История отказов'!F769="НПУ-ВД"),765,""))</f>
        <v/>
      </c>
      <c r="DH766">
        <f>IF('История отказов'!AE769="","",IF(AND(COUNTIF($CY$2:$CY$6,'История отказов'!AE769)=0,COUNTIF('История отказов'!$AE$5:AE769,'История отказов'!AE769)=1),765,""))</f>
        <v/>
      </c>
      <c r="DI766">
        <f>IF('История отказов'!AK769="","",IF(AND(COUNTIF($CL$2:$CL$3,'История отказов'!AK769)=0,COUNTIF('История отказов'!$AK$5:AK769,'История отказов'!AK769)=1),765,""))</f>
        <v/>
      </c>
      <c r="DJ766">
        <f>IF('История отказов'!AU769="","",IF(AND(COUNTIF($CP$2:$CP$3,'История отказов'!AU769)=0,COUNTIF('История отказов'!$AU$5:AU769,'История отказов'!AU769)=1),765,""))</f>
        <v/>
      </c>
      <c r="DK766">
        <f>IF('История отказов'!AY769="","",IF(AND(COUNTIF($CR$2:$CR$2,'История отказов'!AY769)=0,COUNTIF('История отказов'!$AY$5:AY769,'История отказов'!AY769)=1),765,""))</f>
        <v/>
      </c>
      <c r="DL766">
        <f>IF(DB766="","",IF(AND(COUNTIF($DA$2:$DA$47,DB766)=0,COUNTIF($DB$2:DB766,DB766)=1),765,""))</f>
        <v/>
      </c>
    </row>
    <row r="767">
      <c r="A767" s="74" t="n"/>
      <c r="B767" s="75" t="n"/>
      <c r="C767" s="76" t="n"/>
      <c r="J767" s="62" t="n"/>
      <c r="K767" s="62" t="n"/>
      <c r="L767" s="62" t="n"/>
      <c r="M767" s="62" t="n"/>
      <c r="N767" s="62" t="n"/>
      <c r="DB767">
        <f>IF('История отказов'!AH770="","",'История отказов'!AH770)</f>
        <v/>
      </c>
      <c r="DC767">
        <f>IF('История отказов'!AE770="","",IF(AND(COUNTIF($CT$2:$CT$2,'История отказов'!AE770)=0,COUNTIFS('История отказов'!$F$5:F770,"ШГН",'История отказов'!$AE$5:AE770,'История отказов'!AE770)=1,'История отказов'!F770="ШГН"),766,""))</f>
        <v/>
      </c>
      <c r="DD767">
        <f>IF('История отказов'!AE770="","",IF(AND(COUNTIF($CU$2:$CU$3,'История отказов'!AE770)=0,COUNTIFS('История отказов'!$F$5:F770,"ЭЦН",'История отказов'!$AE$5:AE770,'История отказов'!AE770)=1,'История отказов'!F770="ЭЦН"),766,""))</f>
        <v/>
      </c>
      <c r="DE767">
        <f>IF('История отказов'!AE770="","",IF(AND(COUNTIF($CV$2:$CV$3,'История отказов'!AE770)=0,COUNTIFS('История отказов'!$F$5:F770,"ЭВН",'История отказов'!$AE$5:AE770,'История отказов'!AE770)=1,'История отказов'!F770="ЭВН"),766,""))</f>
        <v/>
      </c>
      <c r="DF767">
        <f>IF('История отказов'!AE770="","",IF(AND(COUNTIF($CX$2:$CX$2,'История отказов'!AE770)=0,COUNTIFS('История отказов'!$F$5:F770,"ШВН",'История отказов'!$AE$5:AE770,'История отказов'!AE770)=1,'История отказов'!F770="ШВН"),766,""))</f>
        <v/>
      </c>
      <c r="DG767">
        <f>IF('История отказов'!AE770="","",IF(AND(COUNTIF($CW$2:$CW$2,'История отказов'!AE770)=0,COUNTIFS('История отказов'!$F$5:F770,"НПУ-ВД",'История отказов'!$AE$5:AE770,'История отказов'!AE770)=1,'История отказов'!F770="НПУ-ВД"),766,""))</f>
        <v/>
      </c>
      <c r="DH767">
        <f>IF('История отказов'!AE770="","",IF(AND(COUNTIF($CY$2:$CY$6,'История отказов'!AE770)=0,COUNTIF('История отказов'!$AE$5:AE770,'История отказов'!AE770)=1),766,""))</f>
        <v/>
      </c>
      <c r="DI767">
        <f>IF('История отказов'!AK770="","",IF(AND(COUNTIF($CL$2:$CL$3,'История отказов'!AK770)=0,COUNTIF('История отказов'!$AK$5:AK770,'История отказов'!AK770)=1),766,""))</f>
        <v/>
      </c>
      <c r="DJ767">
        <f>IF('История отказов'!AU770="","",IF(AND(COUNTIF($CP$2:$CP$3,'История отказов'!AU770)=0,COUNTIF('История отказов'!$AU$5:AU770,'История отказов'!AU770)=1),766,""))</f>
        <v/>
      </c>
      <c r="DK767">
        <f>IF('История отказов'!AY770="","",IF(AND(COUNTIF($CR$2:$CR$2,'История отказов'!AY770)=0,COUNTIF('История отказов'!$AY$5:AY770,'История отказов'!AY770)=1),766,""))</f>
        <v/>
      </c>
      <c r="DL767">
        <f>IF(DB767="","",IF(AND(COUNTIF($DA$2:$DA$47,DB767)=0,COUNTIF($DB$2:DB767,DB767)=1),766,""))</f>
        <v/>
      </c>
    </row>
    <row r="768">
      <c r="A768" s="74" t="n"/>
      <c r="B768" s="75" t="n"/>
      <c r="C768" s="76" t="n"/>
      <c r="J768" s="62" t="n"/>
      <c r="K768" s="62" t="n"/>
      <c r="L768" s="62" t="n"/>
      <c r="M768" s="62" t="n"/>
      <c r="N768" s="62" t="n"/>
      <c r="DB768">
        <f>IF('История отказов'!AH771="","",'История отказов'!AH771)</f>
        <v/>
      </c>
      <c r="DC768">
        <f>IF('История отказов'!AE771="","",IF(AND(COUNTIF($CT$2:$CT$2,'История отказов'!AE771)=0,COUNTIFS('История отказов'!$F$5:F771,"ШГН",'История отказов'!$AE$5:AE771,'История отказов'!AE771)=1,'История отказов'!F771="ШГН"),767,""))</f>
        <v/>
      </c>
      <c r="DD768">
        <f>IF('История отказов'!AE771="","",IF(AND(COUNTIF($CU$2:$CU$3,'История отказов'!AE771)=0,COUNTIFS('История отказов'!$F$5:F771,"ЭЦН",'История отказов'!$AE$5:AE771,'История отказов'!AE771)=1,'История отказов'!F771="ЭЦН"),767,""))</f>
        <v/>
      </c>
      <c r="DE768">
        <f>IF('История отказов'!AE771="","",IF(AND(COUNTIF($CV$2:$CV$3,'История отказов'!AE771)=0,COUNTIFS('История отказов'!$F$5:F771,"ЭВН",'История отказов'!$AE$5:AE771,'История отказов'!AE771)=1,'История отказов'!F771="ЭВН"),767,""))</f>
        <v/>
      </c>
      <c r="DF768">
        <f>IF('История отказов'!AE771="","",IF(AND(COUNTIF($CX$2:$CX$2,'История отказов'!AE771)=0,COUNTIFS('История отказов'!$F$5:F771,"ШВН",'История отказов'!$AE$5:AE771,'История отказов'!AE771)=1,'История отказов'!F771="ШВН"),767,""))</f>
        <v/>
      </c>
      <c r="DG768">
        <f>IF('История отказов'!AE771="","",IF(AND(COUNTIF($CW$2:$CW$2,'История отказов'!AE771)=0,COUNTIFS('История отказов'!$F$5:F771,"НПУ-ВД",'История отказов'!$AE$5:AE771,'История отказов'!AE771)=1,'История отказов'!F771="НПУ-ВД"),767,""))</f>
        <v/>
      </c>
      <c r="DH768">
        <f>IF('История отказов'!AE771="","",IF(AND(COUNTIF($CY$2:$CY$6,'История отказов'!AE771)=0,COUNTIF('История отказов'!$AE$5:AE771,'История отказов'!AE771)=1),767,""))</f>
        <v/>
      </c>
      <c r="DI768">
        <f>IF('История отказов'!AK771="","",IF(AND(COUNTIF($CL$2:$CL$3,'История отказов'!AK771)=0,COUNTIF('История отказов'!$AK$5:AK771,'История отказов'!AK771)=1),767,""))</f>
        <v/>
      </c>
      <c r="DJ768">
        <f>IF('История отказов'!AU771="","",IF(AND(COUNTIF($CP$2:$CP$3,'История отказов'!AU771)=0,COUNTIF('История отказов'!$AU$5:AU771,'История отказов'!AU771)=1),767,""))</f>
        <v/>
      </c>
      <c r="DK768">
        <f>IF('История отказов'!AY771="","",IF(AND(COUNTIF($CR$2:$CR$2,'История отказов'!AY771)=0,COUNTIF('История отказов'!$AY$5:AY771,'История отказов'!AY771)=1),767,""))</f>
        <v/>
      </c>
      <c r="DL768">
        <f>IF(DB768="","",IF(AND(COUNTIF($DA$2:$DA$47,DB768)=0,COUNTIF($DB$2:DB768,DB768)=1),767,""))</f>
        <v/>
      </c>
    </row>
    <row r="769">
      <c r="A769" s="74" t="n"/>
      <c r="B769" s="75" t="n"/>
      <c r="C769" s="76" t="n"/>
      <c r="J769" s="62" t="n"/>
      <c r="K769" s="62" t="n"/>
      <c r="L769" s="62" t="n"/>
      <c r="M769" s="62" t="n"/>
      <c r="N769" s="62" t="n"/>
      <c r="DB769">
        <f>IF('История отказов'!AH772="","",'История отказов'!AH772)</f>
        <v/>
      </c>
      <c r="DC769">
        <f>IF('История отказов'!AE772="","",IF(AND(COUNTIF($CT$2:$CT$2,'История отказов'!AE772)=0,COUNTIFS('История отказов'!$F$5:F772,"ШГН",'История отказов'!$AE$5:AE772,'История отказов'!AE772)=1,'История отказов'!F772="ШГН"),768,""))</f>
        <v/>
      </c>
      <c r="DD769">
        <f>IF('История отказов'!AE772="","",IF(AND(COUNTIF($CU$2:$CU$3,'История отказов'!AE772)=0,COUNTIFS('История отказов'!$F$5:F772,"ЭЦН",'История отказов'!$AE$5:AE772,'История отказов'!AE772)=1,'История отказов'!F772="ЭЦН"),768,""))</f>
        <v/>
      </c>
      <c r="DE769">
        <f>IF('История отказов'!AE772="","",IF(AND(COUNTIF($CV$2:$CV$3,'История отказов'!AE772)=0,COUNTIFS('История отказов'!$F$5:F772,"ЭВН",'История отказов'!$AE$5:AE772,'История отказов'!AE772)=1,'История отказов'!F772="ЭВН"),768,""))</f>
        <v/>
      </c>
      <c r="DF769">
        <f>IF('История отказов'!AE772="","",IF(AND(COUNTIF($CX$2:$CX$2,'История отказов'!AE772)=0,COUNTIFS('История отказов'!$F$5:F772,"ШВН",'История отказов'!$AE$5:AE772,'История отказов'!AE772)=1,'История отказов'!F772="ШВН"),768,""))</f>
        <v/>
      </c>
      <c r="DG769">
        <f>IF('История отказов'!AE772="","",IF(AND(COUNTIF($CW$2:$CW$2,'История отказов'!AE772)=0,COUNTIFS('История отказов'!$F$5:F772,"НПУ-ВД",'История отказов'!$AE$5:AE772,'История отказов'!AE772)=1,'История отказов'!F772="НПУ-ВД"),768,""))</f>
        <v/>
      </c>
      <c r="DH769">
        <f>IF('История отказов'!AE772="","",IF(AND(COUNTIF($CY$2:$CY$6,'История отказов'!AE772)=0,COUNTIF('История отказов'!$AE$5:AE772,'История отказов'!AE772)=1),768,""))</f>
        <v/>
      </c>
      <c r="DI769">
        <f>IF('История отказов'!AK772="","",IF(AND(COUNTIF($CL$2:$CL$3,'История отказов'!AK772)=0,COUNTIF('История отказов'!$AK$5:AK772,'История отказов'!AK772)=1),768,""))</f>
        <v/>
      </c>
      <c r="DJ769">
        <f>IF('История отказов'!AU772="","",IF(AND(COUNTIF($CP$2:$CP$3,'История отказов'!AU772)=0,COUNTIF('История отказов'!$AU$5:AU772,'История отказов'!AU772)=1),768,""))</f>
        <v/>
      </c>
      <c r="DK769">
        <f>IF('История отказов'!AY772="","",IF(AND(COUNTIF($CR$2:$CR$2,'История отказов'!AY772)=0,COUNTIF('История отказов'!$AY$5:AY772,'История отказов'!AY772)=1),768,""))</f>
        <v/>
      </c>
      <c r="DL769">
        <f>IF(DB769="","",IF(AND(COUNTIF($DA$2:$DA$47,DB769)=0,COUNTIF($DB$2:DB769,DB769)=1),768,""))</f>
        <v/>
      </c>
    </row>
    <row r="770">
      <c r="A770" s="74" t="n"/>
      <c r="B770" s="75" t="n"/>
      <c r="C770" s="76" t="n"/>
      <c r="J770" s="62" t="n"/>
      <c r="K770" s="62" t="n"/>
      <c r="L770" s="62" t="n"/>
      <c r="M770" s="62" t="n"/>
      <c r="N770" s="62" t="n"/>
      <c r="DB770">
        <f>IF('История отказов'!AH773="","",'История отказов'!AH773)</f>
        <v/>
      </c>
      <c r="DC770">
        <f>IF('История отказов'!AE773="","",IF(AND(COUNTIF($CT$2:$CT$2,'История отказов'!AE773)=0,COUNTIFS('История отказов'!$F$5:F773,"ШГН",'История отказов'!$AE$5:AE773,'История отказов'!AE773)=1,'История отказов'!F773="ШГН"),769,""))</f>
        <v/>
      </c>
      <c r="DD770">
        <f>IF('История отказов'!AE773="","",IF(AND(COUNTIF($CU$2:$CU$3,'История отказов'!AE773)=0,COUNTIFS('История отказов'!$F$5:F773,"ЭЦН",'История отказов'!$AE$5:AE773,'История отказов'!AE773)=1,'История отказов'!F773="ЭЦН"),769,""))</f>
        <v/>
      </c>
      <c r="DE770">
        <f>IF('История отказов'!AE773="","",IF(AND(COUNTIF($CV$2:$CV$3,'История отказов'!AE773)=0,COUNTIFS('История отказов'!$F$5:F773,"ЭВН",'История отказов'!$AE$5:AE773,'История отказов'!AE773)=1,'История отказов'!F773="ЭВН"),769,""))</f>
        <v/>
      </c>
      <c r="DF770">
        <f>IF('История отказов'!AE773="","",IF(AND(COUNTIF($CX$2:$CX$2,'История отказов'!AE773)=0,COUNTIFS('История отказов'!$F$5:F773,"ШВН",'История отказов'!$AE$5:AE773,'История отказов'!AE773)=1,'История отказов'!F773="ШВН"),769,""))</f>
        <v/>
      </c>
      <c r="DG770">
        <f>IF('История отказов'!AE773="","",IF(AND(COUNTIF($CW$2:$CW$2,'История отказов'!AE773)=0,COUNTIFS('История отказов'!$F$5:F773,"НПУ-ВД",'История отказов'!$AE$5:AE773,'История отказов'!AE773)=1,'История отказов'!F773="НПУ-ВД"),769,""))</f>
        <v/>
      </c>
      <c r="DH770">
        <f>IF('История отказов'!AE773="","",IF(AND(COUNTIF($CY$2:$CY$6,'История отказов'!AE773)=0,COUNTIF('История отказов'!$AE$5:AE773,'История отказов'!AE773)=1),769,""))</f>
        <v/>
      </c>
      <c r="DI770">
        <f>IF('История отказов'!AK773="","",IF(AND(COUNTIF($CL$2:$CL$3,'История отказов'!AK773)=0,COUNTIF('История отказов'!$AK$5:AK773,'История отказов'!AK773)=1),769,""))</f>
        <v/>
      </c>
      <c r="DJ770">
        <f>IF('История отказов'!AU773="","",IF(AND(COUNTIF($CP$2:$CP$3,'История отказов'!AU773)=0,COUNTIF('История отказов'!$AU$5:AU773,'История отказов'!AU773)=1),769,""))</f>
        <v/>
      </c>
      <c r="DK770">
        <f>IF('История отказов'!AY773="","",IF(AND(COUNTIF($CR$2:$CR$2,'История отказов'!AY773)=0,COUNTIF('История отказов'!$AY$5:AY773,'История отказов'!AY773)=1),769,""))</f>
        <v/>
      </c>
      <c r="DL770">
        <f>IF(DB770="","",IF(AND(COUNTIF($DA$2:$DA$47,DB770)=0,COUNTIF($DB$2:DB770,DB770)=1),769,""))</f>
        <v/>
      </c>
    </row>
    <row r="771">
      <c r="A771" s="74" t="n"/>
      <c r="B771" s="75" t="n"/>
      <c r="C771" s="76" t="n"/>
      <c r="J771" s="62" t="n"/>
      <c r="K771" s="62" t="n"/>
      <c r="L771" s="62" t="n"/>
      <c r="M771" s="62" t="n"/>
      <c r="N771" s="62" t="n"/>
      <c r="DB771">
        <f>IF('История отказов'!AH774="","",'История отказов'!AH774)</f>
        <v/>
      </c>
      <c r="DC771">
        <f>IF('История отказов'!AE774="","",IF(AND(COUNTIF($CT$2:$CT$2,'История отказов'!AE774)=0,COUNTIFS('История отказов'!$F$5:F774,"ШГН",'История отказов'!$AE$5:AE774,'История отказов'!AE774)=1,'История отказов'!F774="ШГН"),770,""))</f>
        <v/>
      </c>
      <c r="DD771">
        <f>IF('История отказов'!AE774="","",IF(AND(COUNTIF($CU$2:$CU$3,'История отказов'!AE774)=0,COUNTIFS('История отказов'!$F$5:F774,"ЭЦН",'История отказов'!$AE$5:AE774,'История отказов'!AE774)=1,'История отказов'!F774="ЭЦН"),770,""))</f>
        <v/>
      </c>
      <c r="DE771">
        <f>IF('История отказов'!AE774="","",IF(AND(COUNTIF($CV$2:$CV$3,'История отказов'!AE774)=0,COUNTIFS('История отказов'!$F$5:F774,"ЭВН",'История отказов'!$AE$5:AE774,'История отказов'!AE774)=1,'История отказов'!F774="ЭВН"),770,""))</f>
        <v/>
      </c>
      <c r="DF771">
        <f>IF('История отказов'!AE774="","",IF(AND(COUNTIF($CX$2:$CX$2,'История отказов'!AE774)=0,COUNTIFS('История отказов'!$F$5:F774,"ШВН",'История отказов'!$AE$5:AE774,'История отказов'!AE774)=1,'История отказов'!F774="ШВН"),770,""))</f>
        <v/>
      </c>
      <c r="DG771">
        <f>IF('История отказов'!AE774="","",IF(AND(COUNTIF($CW$2:$CW$2,'История отказов'!AE774)=0,COUNTIFS('История отказов'!$F$5:F774,"НПУ-ВД",'История отказов'!$AE$5:AE774,'История отказов'!AE774)=1,'История отказов'!F774="НПУ-ВД"),770,""))</f>
        <v/>
      </c>
      <c r="DH771">
        <f>IF('История отказов'!AE774="","",IF(AND(COUNTIF($CY$2:$CY$6,'История отказов'!AE774)=0,COUNTIF('История отказов'!$AE$5:AE774,'История отказов'!AE774)=1),770,""))</f>
        <v/>
      </c>
      <c r="DI771">
        <f>IF('История отказов'!AK774="","",IF(AND(COUNTIF($CL$2:$CL$3,'История отказов'!AK774)=0,COUNTIF('История отказов'!$AK$5:AK774,'История отказов'!AK774)=1),770,""))</f>
        <v/>
      </c>
      <c r="DJ771">
        <f>IF('История отказов'!AU774="","",IF(AND(COUNTIF($CP$2:$CP$3,'История отказов'!AU774)=0,COUNTIF('История отказов'!$AU$5:AU774,'История отказов'!AU774)=1),770,""))</f>
        <v/>
      </c>
      <c r="DK771">
        <f>IF('История отказов'!AY774="","",IF(AND(COUNTIF($CR$2:$CR$2,'История отказов'!AY774)=0,COUNTIF('История отказов'!$AY$5:AY774,'История отказов'!AY774)=1),770,""))</f>
        <v/>
      </c>
      <c r="DL771">
        <f>IF(DB771="","",IF(AND(COUNTIF($DA$2:$DA$47,DB771)=0,COUNTIF($DB$2:DB771,DB771)=1),770,""))</f>
        <v/>
      </c>
    </row>
    <row r="772">
      <c r="A772" s="74" t="n"/>
      <c r="B772" s="75" t="n"/>
      <c r="C772" s="76" t="n"/>
      <c r="J772" s="62" t="n"/>
      <c r="K772" s="62" t="n"/>
      <c r="L772" s="62" t="n"/>
      <c r="M772" s="62" t="n"/>
      <c r="N772" s="62" t="n"/>
      <c r="DB772">
        <f>IF('История отказов'!AH775="","",'История отказов'!AH775)</f>
        <v/>
      </c>
      <c r="DC772">
        <f>IF('История отказов'!AE775="","",IF(AND(COUNTIF($CT$2:$CT$2,'История отказов'!AE775)=0,COUNTIFS('История отказов'!$F$5:F775,"ШГН",'История отказов'!$AE$5:AE775,'История отказов'!AE775)=1,'История отказов'!F775="ШГН"),771,""))</f>
        <v/>
      </c>
      <c r="DD772">
        <f>IF('История отказов'!AE775="","",IF(AND(COUNTIF($CU$2:$CU$3,'История отказов'!AE775)=0,COUNTIFS('История отказов'!$F$5:F775,"ЭЦН",'История отказов'!$AE$5:AE775,'История отказов'!AE775)=1,'История отказов'!F775="ЭЦН"),771,""))</f>
        <v/>
      </c>
      <c r="DE772">
        <f>IF('История отказов'!AE775="","",IF(AND(COUNTIF($CV$2:$CV$3,'История отказов'!AE775)=0,COUNTIFS('История отказов'!$F$5:F775,"ЭВН",'История отказов'!$AE$5:AE775,'История отказов'!AE775)=1,'История отказов'!F775="ЭВН"),771,""))</f>
        <v/>
      </c>
      <c r="DF772">
        <f>IF('История отказов'!AE775="","",IF(AND(COUNTIF($CX$2:$CX$2,'История отказов'!AE775)=0,COUNTIFS('История отказов'!$F$5:F775,"ШВН",'История отказов'!$AE$5:AE775,'История отказов'!AE775)=1,'История отказов'!F775="ШВН"),771,""))</f>
        <v/>
      </c>
      <c r="DG772">
        <f>IF('История отказов'!AE775="","",IF(AND(COUNTIF($CW$2:$CW$2,'История отказов'!AE775)=0,COUNTIFS('История отказов'!$F$5:F775,"НПУ-ВД",'История отказов'!$AE$5:AE775,'История отказов'!AE775)=1,'История отказов'!F775="НПУ-ВД"),771,""))</f>
        <v/>
      </c>
      <c r="DH772">
        <f>IF('История отказов'!AE775="","",IF(AND(COUNTIF($CY$2:$CY$6,'История отказов'!AE775)=0,COUNTIF('История отказов'!$AE$5:AE775,'История отказов'!AE775)=1),771,""))</f>
        <v/>
      </c>
      <c r="DI772">
        <f>IF('История отказов'!AK775="","",IF(AND(COUNTIF($CL$2:$CL$3,'История отказов'!AK775)=0,COUNTIF('История отказов'!$AK$5:AK775,'История отказов'!AK775)=1),771,""))</f>
        <v/>
      </c>
      <c r="DJ772">
        <f>IF('История отказов'!AU775="","",IF(AND(COUNTIF($CP$2:$CP$3,'История отказов'!AU775)=0,COUNTIF('История отказов'!$AU$5:AU775,'История отказов'!AU775)=1),771,""))</f>
        <v/>
      </c>
      <c r="DK772">
        <f>IF('История отказов'!AY775="","",IF(AND(COUNTIF($CR$2:$CR$2,'История отказов'!AY775)=0,COUNTIF('История отказов'!$AY$5:AY775,'История отказов'!AY775)=1),771,""))</f>
        <v/>
      </c>
      <c r="DL772">
        <f>IF(DB772="","",IF(AND(COUNTIF($DA$2:$DA$47,DB772)=0,COUNTIF($DB$2:DB772,DB772)=1),771,""))</f>
        <v/>
      </c>
    </row>
    <row r="773">
      <c r="A773" s="74" t="n"/>
      <c r="B773" s="75" t="n"/>
      <c r="C773" s="76" t="n"/>
      <c r="J773" s="62" t="n"/>
      <c r="K773" s="62" t="n"/>
      <c r="L773" s="62" t="n"/>
      <c r="M773" s="62" t="n"/>
      <c r="N773" s="62" t="n"/>
      <c r="DB773">
        <f>IF('История отказов'!AH776="","",'История отказов'!AH776)</f>
        <v/>
      </c>
      <c r="DC773">
        <f>IF('История отказов'!AE776="","",IF(AND(COUNTIF($CT$2:$CT$2,'История отказов'!AE776)=0,COUNTIFS('История отказов'!$F$5:F776,"ШГН",'История отказов'!$AE$5:AE776,'История отказов'!AE776)=1,'История отказов'!F776="ШГН"),772,""))</f>
        <v/>
      </c>
      <c r="DD773">
        <f>IF('История отказов'!AE776="","",IF(AND(COUNTIF($CU$2:$CU$3,'История отказов'!AE776)=0,COUNTIFS('История отказов'!$F$5:F776,"ЭЦН",'История отказов'!$AE$5:AE776,'История отказов'!AE776)=1,'История отказов'!F776="ЭЦН"),772,""))</f>
        <v/>
      </c>
      <c r="DE773">
        <f>IF('История отказов'!AE776="","",IF(AND(COUNTIF($CV$2:$CV$3,'История отказов'!AE776)=0,COUNTIFS('История отказов'!$F$5:F776,"ЭВН",'История отказов'!$AE$5:AE776,'История отказов'!AE776)=1,'История отказов'!F776="ЭВН"),772,""))</f>
        <v/>
      </c>
      <c r="DF773">
        <f>IF('История отказов'!AE776="","",IF(AND(COUNTIF($CX$2:$CX$2,'История отказов'!AE776)=0,COUNTIFS('История отказов'!$F$5:F776,"ШВН",'История отказов'!$AE$5:AE776,'История отказов'!AE776)=1,'История отказов'!F776="ШВН"),772,""))</f>
        <v/>
      </c>
      <c r="DG773">
        <f>IF('История отказов'!AE776="","",IF(AND(COUNTIF($CW$2:$CW$2,'История отказов'!AE776)=0,COUNTIFS('История отказов'!$F$5:F776,"НПУ-ВД",'История отказов'!$AE$5:AE776,'История отказов'!AE776)=1,'История отказов'!F776="НПУ-ВД"),772,""))</f>
        <v/>
      </c>
      <c r="DH773">
        <f>IF('История отказов'!AE776="","",IF(AND(COUNTIF($CY$2:$CY$6,'История отказов'!AE776)=0,COUNTIF('История отказов'!$AE$5:AE776,'История отказов'!AE776)=1),772,""))</f>
        <v/>
      </c>
      <c r="DI773">
        <f>IF('История отказов'!AK776="","",IF(AND(COUNTIF($CL$2:$CL$3,'История отказов'!AK776)=0,COUNTIF('История отказов'!$AK$5:AK776,'История отказов'!AK776)=1),772,""))</f>
        <v/>
      </c>
      <c r="DJ773">
        <f>IF('История отказов'!AU776="","",IF(AND(COUNTIF($CP$2:$CP$3,'История отказов'!AU776)=0,COUNTIF('История отказов'!$AU$5:AU776,'История отказов'!AU776)=1),772,""))</f>
        <v/>
      </c>
      <c r="DK773">
        <f>IF('История отказов'!AY776="","",IF(AND(COUNTIF($CR$2:$CR$2,'История отказов'!AY776)=0,COUNTIF('История отказов'!$AY$5:AY776,'История отказов'!AY776)=1),772,""))</f>
        <v/>
      </c>
      <c r="DL773">
        <f>IF(DB773="","",IF(AND(COUNTIF($DA$2:$DA$47,DB773)=0,COUNTIF($DB$2:DB773,DB773)=1),772,""))</f>
        <v/>
      </c>
    </row>
    <row r="774">
      <c r="A774" s="74" t="n"/>
      <c r="B774" s="75" t="n"/>
      <c r="C774" s="76" t="n"/>
      <c r="J774" s="62" t="n"/>
      <c r="K774" s="62" t="n"/>
      <c r="L774" s="62" t="n"/>
      <c r="M774" s="62" t="n"/>
      <c r="N774" s="62" t="n"/>
      <c r="DB774">
        <f>IF('История отказов'!AH777="","",'История отказов'!AH777)</f>
        <v/>
      </c>
      <c r="DC774">
        <f>IF('История отказов'!AE777="","",IF(AND(COUNTIF($CT$2:$CT$2,'История отказов'!AE777)=0,COUNTIFS('История отказов'!$F$5:F777,"ШГН",'История отказов'!$AE$5:AE777,'История отказов'!AE777)=1,'История отказов'!F777="ШГН"),773,""))</f>
        <v/>
      </c>
      <c r="DD774">
        <f>IF('История отказов'!AE777="","",IF(AND(COUNTIF($CU$2:$CU$3,'История отказов'!AE777)=0,COUNTIFS('История отказов'!$F$5:F777,"ЭЦН",'История отказов'!$AE$5:AE777,'История отказов'!AE777)=1,'История отказов'!F777="ЭЦН"),773,""))</f>
        <v/>
      </c>
      <c r="DE774">
        <f>IF('История отказов'!AE777="","",IF(AND(COUNTIF($CV$2:$CV$3,'История отказов'!AE777)=0,COUNTIFS('История отказов'!$F$5:F777,"ЭВН",'История отказов'!$AE$5:AE777,'История отказов'!AE777)=1,'История отказов'!F777="ЭВН"),773,""))</f>
        <v/>
      </c>
      <c r="DF774">
        <f>IF('История отказов'!AE777="","",IF(AND(COUNTIF($CX$2:$CX$2,'История отказов'!AE777)=0,COUNTIFS('История отказов'!$F$5:F777,"ШВН",'История отказов'!$AE$5:AE777,'История отказов'!AE777)=1,'История отказов'!F777="ШВН"),773,""))</f>
        <v/>
      </c>
      <c r="DG774">
        <f>IF('История отказов'!AE777="","",IF(AND(COUNTIF($CW$2:$CW$2,'История отказов'!AE777)=0,COUNTIFS('История отказов'!$F$5:F777,"НПУ-ВД",'История отказов'!$AE$5:AE777,'История отказов'!AE777)=1,'История отказов'!F777="НПУ-ВД"),773,""))</f>
        <v/>
      </c>
      <c r="DH774">
        <f>IF('История отказов'!AE777="","",IF(AND(COUNTIF($CY$2:$CY$6,'История отказов'!AE777)=0,COUNTIF('История отказов'!$AE$5:AE777,'История отказов'!AE777)=1),773,""))</f>
        <v/>
      </c>
      <c r="DI774">
        <f>IF('История отказов'!AK777="","",IF(AND(COUNTIF($CL$2:$CL$3,'История отказов'!AK777)=0,COUNTIF('История отказов'!$AK$5:AK777,'История отказов'!AK777)=1),773,""))</f>
        <v/>
      </c>
      <c r="DJ774">
        <f>IF('История отказов'!AU777="","",IF(AND(COUNTIF($CP$2:$CP$3,'История отказов'!AU777)=0,COUNTIF('История отказов'!$AU$5:AU777,'История отказов'!AU777)=1),773,""))</f>
        <v/>
      </c>
      <c r="DK774">
        <f>IF('История отказов'!AY777="","",IF(AND(COUNTIF($CR$2:$CR$2,'История отказов'!AY777)=0,COUNTIF('История отказов'!$AY$5:AY777,'История отказов'!AY777)=1),773,""))</f>
        <v/>
      </c>
      <c r="DL774">
        <f>IF(DB774="","",IF(AND(COUNTIF($DA$2:$DA$47,DB774)=0,COUNTIF($DB$2:DB774,DB774)=1),773,""))</f>
        <v/>
      </c>
    </row>
    <row r="775">
      <c r="A775" s="74" t="n"/>
      <c r="B775" s="75" t="n"/>
      <c r="C775" s="76" t="n"/>
      <c r="J775" s="62" t="n"/>
      <c r="K775" s="62" t="n"/>
      <c r="L775" s="62" t="n"/>
      <c r="M775" s="62" t="n"/>
      <c r="N775" s="62" t="n"/>
      <c r="DB775">
        <f>IF('История отказов'!AH778="","",'История отказов'!AH778)</f>
        <v/>
      </c>
      <c r="DC775">
        <f>IF('История отказов'!AE778="","",IF(AND(COUNTIF($CT$2:$CT$2,'История отказов'!AE778)=0,COUNTIFS('История отказов'!$F$5:F778,"ШГН",'История отказов'!$AE$5:AE778,'История отказов'!AE778)=1,'История отказов'!F778="ШГН"),774,""))</f>
        <v/>
      </c>
      <c r="DD775">
        <f>IF('История отказов'!AE778="","",IF(AND(COUNTIF($CU$2:$CU$3,'История отказов'!AE778)=0,COUNTIFS('История отказов'!$F$5:F778,"ЭЦН",'История отказов'!$AE$5:AE778,'История отказов'!AE778)=1,'История отказов'!F778="ЭЦН"),774,""))</f>
        <v/>
      </c>
      <c r="DE775">
        <f>IF('История отказов'!AE778="","",IF(AND(COUNTIF($CV$2:$CV$3,'История отказов'!AE778)=0,COUNTIFS('История отказов'!$F$5:F778,"ЭВН",'История отказов'!$AE$5:AE778,'История отказов'!AE778)=1,'История отказов'!F778="ЭВН"),774,""))</f>
        <v/>
      </c>
      <c r="DF775">
        <f>IF('История отказов'!AE778="","",IF(AND(COUNTIF($CX$2:$CX$2,'История отказов'!AE778)=0,COUNTIFS('История отказов'!$F$5:F778,"ШВН",'История отказов'!$AE$5:AE778,'История отказов'!AE778)=1,'История отказов'!F778="ШВН"),774,""))</f>
        <v/>
      </c>
      <c r="DG775">
        <f>IF('История отказов'!AE778="","",IF(AND(COUNTIF($CW$2:$CW$2,'История отказов'!AE778)=0,COUNTIFS('История отказов'!$F$5:F778,"НПУ-ВД",'История отказов'!$AE$5:AE778,'История отказов'!AE778)=1,'История отказов'!F778="НПУ-ВД"),774,""))</f>
        <v/>
      </c>
      <c r="DH775">
        <f>IF('История отказов'!AE778="","",IF(AND(COUNTIF($CY$2:$CY$6,'История отказов'!AE778)=0,COUNTIF('История отказов'!$AE$5:AE778,'История отказов'!AE778)=1),774,""))</f>
        <v/>
      </c>
      <c r="DI775">
        <f>IF('История отказов'!AK778="","",IF(AND(COUNTIF($CL$2:$CL$3,'История отказов'!AK778)=0,COUNTIF('История отказов'!$AK$5:AK778,'История отказов'!AK778)=1),774,""))</f>
        <v/>
      </c>
      <c r="DJ775">
        <f>IF('История отказов'!AU778="","",IF(AND(COUNTIF($CP$2:$CP$3,'История отказов'!AU778)=0,COUNTIF('История отказов'!$AU$5:AU778,'История отказов'!AU778)=1),774,""))</f>
        <v/>
      </c>
      <c r="DK775">
        <f>IF('История отказов'!AY778="","",IF(AND(COUNTIF($CR$2:$CR$2,'История отказов'!AY778)=0,COUNTIF('История отказов'!$AY$5:AY778,'История отказов'!AY778)=1),774,""))</f>
        <v/>
      </c>
      <c r="DL775">
        <f>IF(DB775="","",IF(AND(COUNTIF($DA$2:$DA$47,DB775)=0,COUNTIF($DB$2:DB775,DB775)=1),774,""))</f>
        <v/>
      </c>
    </row>
    <row r="776">
      <c r="A776" s="74" t="n"/>
      <c r="B776" s="75" t="n"/>
      <c r="C776" s="76" t="n"/>
      <c r="J776" s="62" t="n"/>
      <c r="K776" s="62" t="n"/>
      <c r="L776" s="62" t="n"/>
      <c r="M776" s="62" t="n"/>
      <c r="N776" s="62" t="n"/>
      <c r="DB776">
        <f>IF('История отказов'!AH779="","",'История отказов'!AH779)</f>
        <v/>
      </c>
      <c r="DC776">
        <f>IF('История отказов'!AE779="","",IF(AND(COUNTIF($CT$2:$CT$2,'История отказов'!AE779)=0,COUNTIFS('История отказов'!$F$5:F779,"ШГН",'История отказов'!$AE$5:AE779,'История отказов'!AE779)=1,'История отказов'!F779="ШГН"),775,""))</f>
        <v/>
      </c>
      <c r="DD776">
        <f>IF('История отказов'!AE779="","",IF(AND(COUNTIF($CU$2:$CU$3,'История отказов'!AE779)=0,COUNTIFS('История отказов'!$F$5:F779,"ЭЦН",'История отказов'!$AE$5:AE779,'История отказов'!AE779)=1,'История отказов'!F779="ЭЦН"),775,""))</f>
        <v/>
      </c>
      <c r="DE776">
        <f>IF('История отказов'!AE779="","",IF(AND(COUNTIF($CV$2:$CV$3,'История отказов'!AE779)=0,COUNTIFS('История отказов'!$F$5:F779,"ЭВН",'История отказов'!$AE$5:AE779,'История отказов'!AE779)=1,'История отказов'!F779="ЭВН"),775,""))</f>
        <v/>
      </c>
      <c r="DF776">
        <f>IF('История отказов'!AE779="","",IF(AND(COUNTIF($CX$2:$CX$2,'История отказов'!AE779)=0,COUNTIFS('История отказов'!$F$5:F779,"ШВН",'История отказов'!$AE$5:AE779,'История отказов'!AE779)=1,'История отказов'!F779="ШВН"),775,""))</f>
        <v/>
      </c>
      <c r="DG776">
        <f>IF('История отказов'!AE779="","",IF(AND(COUNTIF($CW$2:$CW$2,'История отказов'!AE779)=0,COUNTIFS('История отказов'!$F$5:F779,"НПУ-ВД",'История отказов'!$AE$5:AE779,'История отказов'!AE779)=1,'История отказов'!F779="НПУ-ВД"),775,""))</f>
        <v/>
      </c>
      <c r="DH776">
        <f>IF('История отказов'!AE779="","",IF(AND(COUNTIF($CY$2:$CY$6,'История отказов'!AE779)=0,COUNTIF('История отказов'!$AE$5:AE779,'История отказов'!AE779)=1),775,""))</f>
        <v/>
      </c>
      <c r="DI776">
        <f>IF('История отказов'!AK779="","",IF(AND(COUNTIF($CL$2:$CL$3,'История отказов'!AK779)=0,COUNTIF('История отказов'!$AK$5:AK779,'История отказов'!AK779)=1),775,""))</f>
        <v/>
      </c>
      <c r="DJ776">
        <f>IF('История отказов'!AU779="","",IF(AND(COUNTIF($CP$2:$CP$3,'История отказов'!AU779)=0,COUNTIF('История отказов'!$AU$5:AU779,'История отказов'!AU779)=1),775,""))</f>
        <v/>
      </c>
      <c r="DK776">
        <f>IF('История отказов'!AY779="","",IF(AND(COUNTIF($CR$2:$CR$2,'История отказов'!AY779)=0,COUNTIF('История отказов'!$AY$5:AY779,'История отказов'!AY779)=1),775,""))</f>
        <v/>
      </c>
      <c r="DL776">
        <f>IF(DB776="","",IF(AND(COUNTIF($DA$2:$DA$47,DB776)=0,COUNTIF($DB$2:DB776,DB776)=1),775,""))</f>
        <v/>
      </c>
    </row>
    <row r="777">
      <c r="A777" s="74" t="n"/>
      <c r="B777" s="75" t="n"/>
      <c r="C777" s="76" t="n"/>
      <c r="J777" s="62" t="n"/>
      <c r="K777" s="62" t="n"/>
      <c r="L777" s="62" t="n"/>
      <c r="M777" s="62" t="n"/>
      <c r="N777" s="62" t="n"/>
      <c r="DB777">
        <f>IF('История отказов'!AH780="","",'История отказов'!AH780)</f>
        <v/>
      </c>
      <c r="DC777">
        <f>IF('История отказов'!AE780="","",IF(AND(COUNTIF($CT$2:$CT$2,'История отказов'!AE780)=0,COUNTIFS('История отказов'!$F$5:F780,"ШГН",'История отказов'!$AE$5:AE780,'История отказов'!AE780)=1,'История отказов'!F780="ШГН"),776,""))</f>
        <v/>
      </c>
      <c r="DD777">
        <f>IF('История отказов'!AE780="","",IF(AND(COUNTIF($CU$2:$CU$3,'История отказов'!AE780)=0,COUNTIFS('История отказов'!$F$5:F780,"ЭЦН",'История отказов'!$AE$5:AE780,'История отказов'!AE780)=1,'История отказов'!F780="ЭЦН"),776,""))</f>
        <v/>
      </c>
      <c r="DE777">
        <f>IF('История отказов'!AE780="","",IF(AND(COUNTIF($CV$2:$CV$3,'История отказов'!AE780)=0,COUNTIFS('История отказов'!$F$5:F780,"ЭВН",'История отказов'!$AE$5:AE780,'История отказов'!AE780)=1,'История отказов'!F780="ЭВН"),776,""))</f>
        <v/>
      </c>
      <c r="DF777">
        <f>IF('История отказов'!AE780="","",IF(AND(COUNTIF($CX$2:$CX$2,'История отказов'!AE780)=0,COUNTIFS('История отказов'!$F$5:F780,"ШВН",'История отказов'!$AE$5:AE780,'История отказов'!AE780)=1,'История отказов'!F780="ШВН"),776,""))</f>
        <v/>
      </c>
      <c r="DG777">
        <f>IF('История отказов'!AE780="","",IF(AND(COUNTIF($CW$2:$CW$2,'История отказов'!AE780)=0,COUNTIFS('История отказов'!$F$5:F780,"НПУ-ВД",'История отказов'!$AE$5:AE780,'История отказов'!AE780)=1,'История отказов'!F780="НПУ-ВД"),776,""))</f>
        <v/>
      </c>
      <c r="DH777">
        <f>IF('История отказов'!AE780="","",IF(AND(COUNTIF($CY$2:$CY$6,'История отказов'!AE780)=0,COUNTIF('История отказов'!$AE$5:AE780,'История отказов'!AE780)=1),776,""))</f>
        <v/>
      </c>
      <c r="DI777">
        <f>IF('История отказов'!AK780="","",IF(AND(COUNTIF($CL$2:$CL$3,'История отказов'!AK780)=0,COUNTIF('История отказов'!$AK$5:AK780,'История отказов'!AK780)=1),776,""))</f>
        <v/>
      </c>
      <c r="DJ777">
        <f>IF('История отказов'!AU780="","",IF(AND(COUNTIF($CP$2:$CP$3,'История отказов'!AU780)=0,COUNTIF('История отказов'!$AU$5:AU780,'История отказов'!AU780)=1),776,""))</f>
        <v/>
      </c>
      <c r="DK777">
        <f>IF('История отказов'!AY780="","",IF(AND(COUNTIF($CR$2:$CR$2,'История отказов'!AY780)=0,COUNTIF('История отказов'!$AY$5:AY780,'История отказов'!AY780)=1),776,""))</f>
        <v/>
      </c>
      <c r="DL777">
        <f>IF(DB777="","",IF(AND(COUNTIF($DA$2:$DA$47,DB777)=0,COUNTIF($DB$2:DB777,DB777)=1),776,""))</f>
        <v/>
      </c>
    </row>
    <row r="778">
      <c r="A778" s="74" t="n"/>
      <c r="B778" s="75" t="n"/>
      <c r="C778" s="76" t="n"/>
      <c r="J778" s="62" t="n"/>
      <c r="K778" s="62" t="n"/>
      <c r="L778" s="62" t="n"/>
      <c r="M778" s="62" t="n"/>
      <c r="N778" s="62" t="n"/>
      <c r="DB778">
        <f>IF('История отказов'!AH781="","",'История отказов'!AH781)</f>
        <v/>
      </c>
      <c r="DC778">
        <f>IF('История отказов'!AE781="","",IF(AND(COUNTIF($CT$2:$CT$2,'История отказов'!AE781)=0,COUNTIFS('История отказов'!$F$5:F781,"ШГН",'История отказов'!$AE$5:AE781,'История отказов'!AE781)=1,'История отказов'!F781="ШГН"),777,""))</f>
        <v/>
      </c>
      <c r="DD778">
        <f>IF('История отказов'!AE781="","",IF(AND(COUNTIF($CU$2:$CU$3,'История отказов'!AE781)=0,COUNTIFS('История отказов'!$F$5:F781,"ЭЦН",'История отказов'!$AE$5:AE781,'История отказов'!AE781)=1,'История отказов'!F781="ЭЦН"),777,""))</f>
        <v/>
      </c>
      <c r="DE778">
        <f>IF('История отказов'!AE781="","",IF(AND(COUNTIF($CV$2:$CV$3,'История отказов'!AE781)=0,COUNTIFS('История отказов'!$F$5:F781,"ЭВН",'История отказов'!$AE$5:AE781,'История отказов'!AE781)=1,'История отказов'!F781="ЭВН"),777,""))</f>
        <v/>
      </c>
      <c r="DF778">
        <f>IF('История отказов'!AE781="","",IF(AND(COUNTIF($CX$2:$CX$2,'История отказов'!AE781)=0,COUNTIFS('История отказов'!$F$5:F781,"ШВН",'История отказов'!$AE$5:AE781,'История отказов'!AE781)=1,'История отказов'!F781="ШВН"),777,""))</f>
        <v/>
      </c>
      <c r="DG778">
        <f>IF('История отказов'!AE781="","",IF(AND(COUNTIF($CW$2:$CW$2,'История отказов'!AE781)=0,COUNTIFS('История отказов'!$F$5:F781,"НПУ-ВД",'История отказов'!$AE$5:AE781,'История отказов'!AE781)=1,'История отказов'!F781="НПУ-ВД"),777,""))</f>
        <v/>
      </c>
      <c r="DH778">
        <f>IF('История отказов'!AE781="","",IF(AND(COUNTIF($CY$2:$CY$6,'История отказов'!AE781)=0,COUNTIF('История отказов'!$AE$5:AE781,'История отказов'!AE781)=1),777,""))</f>
        <v/>
      </c>
      <c r="DI778">
        <f>IF('История отказов'!AK781="","",IF(AND(COUNTIF($CL$2:$CL$3,'История отказов'!AK781)=0,COUNTIF('История отказов'!$AK$5:AK781,'История отказов'!AK781)=1),777,""))</f>
        <v/>
      </c>
      <c r="DJ778">
        <f>IF('История отказов'!AU781="","",IF(AND(COUNTIF($CP$2:$CP$3,'История отказов'!AU781)=0,COUNTIF('История отказов'!$AU$5:AU781,'История отказов'!AU781)=1),777,""))</f>
        <v/>
      </c>
      <c r="DK778">
        <f>IF('История отказов'!AY781="","",IF(AND(COUNTIF($CR$2:$CR$2,'История отказов'!AY781)=0,COUNTIF('История отказов'!$AY$5:AY781,'История отказов'!AY781)=1),777,""))</f>
        <v/>
      </c>
      <c r="DL778">
        <f>IF(DB778="","",IF(AND(COUNTIF($DA$2:$DA$47,DB778)=0,COUNTIF($DB$2:DB778,DB778)=1),777,""))</f>
        <v/>
      </c>
    </row>
    <row r="779">
      <c r="A779" s="74" t="n"/>
      <c r="B779" s="75" t="n"/>
      <c r="C779" s="76" t="n"/>
      <c r="J779" s="62" t="n"/>
      <c r="K779" s="62" t="n"/>
      <c r="L779" s="62" t="n"/>
      <c r="M779" s="62" t="n"/>
      <c r="N779" s="62" t="n"/>
      <c r="DB779">
        <f>IF('История отказов'!AH782="","",'История отказов'!AH782)</f>
        <v/>
      </c>
      <c r="DC779">
        <f>IF('История отказов'!AE782="","",IF(AND(COUNTIF($CT$2:$CT$2,'История отказов'!AE782)=0,COUNTIFS('История отказов'!$F$5:F782,"ШГН",'История отказов'!$AE$5:AE782,'История отказов'!AE782)=1,'История отказов'!F782="ШГН"),778,""))</f>
        <v/>
      </c>
      <c r="DD779">
        <f>IF('История отказов'!AE782="","",IF(AND(COUNTIF($CU$2:$CU$3,'История отказов'!AE782)=0,COUNTIFS('История отказов'!$F$5:F782,"ЭЦН",'История отказов'!$AE$5:AE782,'История отказов'!AE782)=1,'История отказов'!F782="ЭЦН"),778,""))</f>
        <v/>
      </c>
      <c r="DE779">
        <f>IF('История отказов'!AE782="","",IF(AND(COUNTIF($CV$2:$CV$3,'История отказов'!AE782)=0,COUNTIFS('История отказов'!$F$5:F782,"ЭВН",'История отказов'!$AE$5:AE782,'История отказов'!AE782)=1,'История отказов'!F782="ЭВН"),778,""))</f>
        <v/>
      </c>
      <c r="DF779">
        <f>IF('История отказов'!AE782="","",IF(AND(COUNTIF($CX$2:$CX$2,'История отказов'!AE782)=0,COUNTIFS('История отказов'!$F$5:F782,"ШВН",'История отказов'!$AE$5:AE782,'История отказов'!AE782)=1,'История отказов'!F782="ШВН"),778,""))</f>
        <v/>
      </c>
      <c r="DG779">
        <f>IF('История отказов'!AE782="","",IF(AND(COUNTIF($CW$2:$CW$2,'История отказов'!AE782)=0,COUNTIFS('История отказов'!$F$5:F782,"НПУ-ВД",'История отказов'!$AE$5:AE782,'История отказов'!AE782)=1,'История отказов'!F782="НПУ-ВД"),778,""))</f>
        <v/>
      </c>
      <c r="DH779">
        <f>IF('История отказов'!AE782="","",IF(AND(COUNTIF($CY$2:$CY$6,'История отказов'!AE782)=0,COUNTIF('История отказов'!$AE$5:AE782,'История отказов'!AE782)=1),778,""))</f>
        <v/>
      </c>
      <c r="DI779">
        <f>IF('История отказов'!AK782="","",IF(AND(COUNTIF($CL$2:$CL$3,'История отказов'!AK782)=0,COUNTIF('История отказов'!$AK$5:AK782,'История отказов'!AK782)=1),778,""))</f>
        <v/>
      </c>
      <c r="DJ779">
        <f>IF('История отказов'!AU782="","",IF(AND(COUNTIF($CP$2:$CP$3,'История отказов'!AU782)=0,COUNTIF('История отказов'!$AU$5:AU782,'История отказов'!AU782)=1),778,""))</f>
        <v/>
      </c>
      <c r="DK779">
        <f>IF('История отказов'!AY782="","",IF(AND(COUNTIF($CR$2:$CR$2,'История отказов'!AY782)=0,COUNTIF('История отказов'!$AY$5:AY782,'История отказов'!AY782)=1),778,""))</f>
        <v/>
      </c>
      <c r="DL779">
        <f>IF(DB779="","",IF(AND(COUNTIF($DA$2:$DA$47,DB779)=0,COUNTIF($DB$2:DB779,DB779)=1),778,""))</f>
        <v/>
      </c>
    </row>
    <row r="780">
      <c r="A780" s="74" t="n"/>
      <c r="B780" s="75" t="n"/>
      <c r="C780" s="76" t="n"/>
      <c r="J780" s="62" t="n"/>
      <c r="K780" s="62" t="n"/>
      <c r="L780" s="62" t="n"/>
      <c r="M780" s="62" t="n"/>
      <c r="N780" s="62" t="n"/>
      <c r="DB780">
        <f>IF('История отказов'!AH783="","",'История отказов'!AH783)</f>
        <v/>
      </c>
      <c r="DC780">
        <f>IF('История отказов'!AE783="","",IF(AND(COUNTIF($CT$2:$CT$2,'История отказов'!AE783)=0,COUNTIFS('История отказов'!$F$5:F783,"ШГН",'История отказов'!$AE$5:AE783,'История отказов'!AE783)=1,'История отказов'!F783="ШГН"),779,""))</f>
        <v/>
      </c>
      <c r="DD780">
        <f>IF('История отказов'!AE783="","",IF(AND(COUNTIF($CU$2:$CU$3,'История отказов'!AE783)=0,COUNTIFS('История отказов'!$F$5:F783,"ЭЦН",'История отказов'!$AE$5:AE783,'История отказов'!AE783)=1,'История отказов'!F783="ЭЦН"),779,""))</f>
        <v/>
      </c>
      <c r="DE780">
        <f>IF('История отказов'!AE783="","",IF(AND(COUNTIF($CV$2:$CV$3,'История отказов'!AE783)=0,COUNTIFS('История отказов'!$F$5:F783,"ЭВН",'История отказов'!$AE$5:AE783,'История отказов'!AE783)=1,'История отказов'!F783="ЭВН"),779,""))</f>
        <v/>
      </c>
      <c r="DF780">
        <f>IF('История отказов'!AE783="","",IF(AND(COUNTIF($CX$2:$CX$2,'История отказов'!AE783)=0,COUNTIFS('История отказов'!$F$5:F783,"ШВН",'История отказов'!$AE$5:AE783,'История отказов'!AE783)=1,'История отказов'!F783="ШВН"),779,""))</f>
        <v/>
      </c>
      <c r="DG780">
        <f>IF('История отказов'!AE783="","",IF(AND(COUNTIF($CW$2:$CW$2,'История отказов'!AE783)=0,COUNTIFS('История отказов'!$F$5:F783,"НПУ-ВД",'История отказов'!$AE$5:AE783,'История отказов'!AE783)=1,'История отказов'!F783="НПУ-ВД"),779,""))</f>
        <v/>
      </c>
      <c r="DH780">
        <f>IF('История отказов'!AE783="","",IF(AND(COUNTIF($CY$2:$CY$6,'История отказов'!AE783)=0,COUNTIF('История отказов'!$AE$5:AE783,'История отказов'!AE783)=1),779,""))</f>
        <v/>
      </c>
      <c r="DI780">
        <f>IF('История отказов'!AK783="","",IF(AND(COUNTIF($CL$2:$CL$3,'История отказов'!AK783)=0,COUNTIF('История отказов'!$AK$5:AK783,'История отказов'!AK783)=1),779,""))</f>
        <v/>
      </c>
      <c r="DJ780">
        <f>IF('История отказов'!AU783="","",IF(AND(COUNTIF($CP$2:$CP$3,'История отказов'!AU783)=0,COUNTIF('История отказов'!$AU$5:AU783,'История отказов'!AU783)=1),779,""))</f>
        <v/>
      </c>
      <c r="DK780">
        <f>IF('История отказов'!AY783="","",IF(AND(COUNTIF($CR$2:$CR$2,'История отказов'!AY783)=0,COUNTIF('История отказов'!$AY$5:AY783,'История отказов'!AY783)=1),779,""))</f>
        <v/>
      </c>
      <c r="DL780">
        <f>IF(DB780="","",IF(AND(COUNTIF($DA$2:$DA$47,DB780)=0,COUNTIF($DB$2:DB780,DB780)=1),779,""))</f>
        <v/>
      </c>
    </row>
    <row r="781">
      <c r="A781" s="74" t="n"/>
      <c r="B781" s="75" t="n"/>
      <c r="C781" s="76" t="n"/>
      <c r="J781" s="62" t="n"/>
      <c r="K781" s="62" t="n"/>
      <c r="L781" s="62" t="n"/>
      <c r="M781" s="62" t="n"/>
      <c r="N781" s="62" t="n"/>
      <c r="DB781">
        <f>IF('История отказов'!AH784="","",'История отказов'!AH784)</f>
        <v/>
      </c>
      <c r="DC781">
        <f>IF('История отказов'!AE784="","",IF(AND(COUNTIF($CT$2:$CT$2,'История отказов'!AE784)=0,COUNTIFS('История отказов'!$F$5:F784,"ШГН",'История отказов'!$AE$5:AE784,'История отказов'!AE784)=1,'История отказов'!F784="ШГН"),780,""))</f>
        <v/>
      </c>
      <c r="DD781">
        <f>IF('История отказов'!AE784="","",IF(AND(COUNTIF($CU$2:$CU$3,'История отказов'!AE784)=0,COUNTIFS('История отказов'!$F$5:F784,"ЭЦН",'История отказов'!$AE$5:AE784,'История отказов'!AE784)=1,'История отказов'!F784="ЭЦН"),780,""))</f>
        <v/>
      </c>
      <c r="DE781">
        <f>IF('История отказов'!AE784="","",IF(AND(COUNTIF($CV$2:$CV$3,'История отказов'!AE784)=0,COUNTIFS('История отказов'!$F$5:F784,"ЭВН",'История отказов'!$AE$5:AE784,'История отказов'!AE784)=1,'История отказов'!F784="ЭВН"),780,""))</f>
        <v/>
      </c>
      <c r="DF781">
        <f>IF('История отказов'!AE784="","",IF(AND(COUNTIF($CX$2:$CX$2,'История отказов'!AE784)=0,COUNTIFS('История отказов'!$F$5:F784,"ШВН",'История отказов'!$AE$5:AE784,'История отказов'!AE784)=1,'История отказов'!F784="ШВН"),780,""))</f>
        <v/>
      </c>
      <c r="DG781">
        <f>IF('История отказов'!AE784="","",IF(AND(COUNTIF($CW$2:$CW$2,'История отказов'!AE784)=0,COUNTIFS('История отказов'!$F$5:F784,"НПУ-ВД",'История отказов'!$AE$5:AE784,'История отказов'!AE784)=1,'История отказов'!F784="НПУ-ВД"),780,""))</f>
        <v/>
      </c>
      <c r="DH781">
        <f>IF('История отказов'!AE784="","",IF(AND(COUNTIF($CY$2:$CY$6,'История отказов'!AE784)=0,COUNTIF('История отказов'!$AE$5:AE784,'История отказов'!AE784)=1),780,""))</f>
        <v/>
      </c>
      <c r="DI781">
        <f>IF('История отказов'!AK784="","",IF(AND(COUNTIF($CL$2:$CL$3,'История отказов'!AK784)=0,COUNTIF('История отказов'!$AK$5:AK784,'История отказов'!AK784)=1),780,""))</f>
        <v/>
      </c>
      <c r="DJ781">
        <f>IF('История отказов'!AU784="","",IF(AND(COUNTIF($CP$2:$CP$3,'История отказов'!AU784)=0,COUNTIF('История отказов'!$AU$5:AU784,'История отказов'!AU784)=1),780,""))</f>
        <v/>
      </c>
      <c r="DK781">
        <f>IF('История отказов'!AY784="","",IF(AND(COUNTIF($CR$2:$CR$2,'История отказов'!AY784)=0,COUNTIF('История отказов'!$AY$5:AY784,'История отказов'!AY784)=1),780,""))</f>
        <v/>
      </c>
      <c r="DL781">
        <f>IF(DB781="","",IF(AND(COUNTIF($DA$2:$DA$47,DB781)=0,COUNTIF($DB$2:DB781,DB781)=1),780,""))</f>
        <v/>
      </c>
    </row>
    <row r="782">
      <c r="A782" s="74" t="n"/>
      <c r="B782" s="75" t="n"/>
      <c r="C782" s="76" t="n"/>
      <c r="J782" s="62" t="n"/>
      <c r="K782" s="62" t="n"/>
      <c r="L782" s="62" t="n"/>
      <c r="M782" s="62" t="n"/>
      <c r="N782" s="62" t="n"/>
      <c r="DB782">
        <f>IF('История отказов'!AH785="","",'История отказов'!AH785)</f>
        <v/>
      </c>
      <c r="DC782">
        <f>IF('История отказов'!AE785="","",IF(AND(COUNTIF($CT$2:$CT$2,'История отказов'!AE785)=0,COUNTIFS('История отказов'!$F$5:F785,"ШГН",'История отказов'!$AE$5:AE785,'История отказов'!AE785)=1,'История отказов'!F785="ШГН"),781,""))</f>
        <v/>
      </c>
      <c r="DD782">
        <f>IF('История отказов'!AE785="","",IF(AND(COUNTIF($CU$2:$CU$3,'История отказов'!AE785)=0,COUNTIFS('История отказов'!$F$5:F785,"ЭЦН",'История отказов'!$AE$5:AE785,'История отказов'!AE785)=1,'История отказов'!F785="ЭЦН"),781,""))</f>
        <v/>
      </c>
      <c r="DE782">
        <f>IF('История отказов'!AE785="","",IF(AND(COUNTIF($CV$2:$CV$3,'История отказов'!AE785)=0,COUNTIFS('История отказов'!$F$5:F785,"ЭВН",'История отказов'!$AE$5:AE785,'История отказов'!AE785)=1,'История отказов'!F785="ЭВН"),781,""))</f>
        <v/>
      </c>
      <c r="DF782">
        <f>IF('История отказов'!AE785="","",IF(AND(COUNTIF($CX$2:$CX$2,'История отказов'!AE785)=0,COUNTIFS('История отказов'!$F$5:F785,"ШВН",'История отказов'!$AE$5:AE785,'История отказов'!AE785)=1,'История отказов'!F785="ШВН"),781,""))</f>
        <v/>
      </c>
      <c r="DG782">
        <f>IF('История отказов'!AE785="","",IF(AND(COUNTIF($CW$2:$CW$2,'История отказов'!AE785)=0,COUNTIFS('История отказов'!$F$5:F785,"НПУ-ВД",'История отказов'!$AE$5:AE785,'История отказов'!AE785)=1,'История отказов'!F785="НПУ-ВД"),781,""))</f>
        <v/>
      </c>
      <c r="DH782">
        <f>IF('История отказов'!AE785="","",IF(AND(COUNTIF($CY$2:$CY$6,'История отказов'!AE785)=0,COUNTIF('История отказов'!$AE$5:AE785,'История отказов'!AE785)=1),781,""))</f>
        <v/>
      </c>
      <c r="DI782">
        <f>IF('История отказов'!AK785="","",IF(AND(COUNTIF($CL$2:$CL$3,'История отказов'!AK785)=0,COUNTIF('История отказов'!$AK$5:AK785,'История отказов'!AK785)=1),781,""))</f>
        <v/>
      </c>
      <c r="DJ782">
        <f>IF('История отказов'!AU785="","",IF(AND(COUNTIF($CP$2:$CP$3,'История отказов'!AU785)=0,COUNTIF('История отказов'!$AU$5:AU785,'История отказов'!AU785)=1),781,""))</f>
        <v/>
      </c>
      <c r="DK782">
        <f>IF('История отказов'!AY785="","",IF(AND(COUNTIF($CR$2:$CR$2,'История отказов'!AY785)=0,COUNTIF('История отказов'!$AY$5:AY785,'История отказов'!AY785)=1),781,""))</f>
        <v/>
      </c>
      <c r="DL782">
        <f>IF(DB782="","",IF(AND(COUNTIF($DA$2:$DA$47,DB782)=0,COUNTIF($DB$2:DB782,DB782)=1),781,""))</f>
        <v/>
      </c>
    </row>
    <row r="783">
      <c r="A783" s="74" t="n"/>
      <c r="B783" s="75" t="n"/>
      <c r="C783" s="76" t="n"/>
      <c r="J783" s="62" t="n"/>
      <c r="K783" s="62" t="n"/>
      <c r="L783" s="62" t="n"/>
      <c r="M783" s="62" t="n"/>
      <c r="N783" s="62" t="n"/>
      <c r="DB783">
        <f>IF('История отказов'!AH786="","",'История отказов'!AH786)</f>
        <v/>
      </c>
      <c r="DC783">
        <f>IF('История отказов'!AE786="","",IF(AND(COUNTIF($CT$2:$CT$2,'История отказов'!AE786)=0,COUNTIFS('История отказов'!$F$5:F786,"ШГН",'История отказов'!$AE$5:AE786,'История отказов'!AE786)=1,'История отказов'!F786="ШГН"),782,""))</f>
        <v/>
      </c>
      <c r="DD783">
        <f>IF('История отказов'!AE786="","",IF(AND(COUNTIF($CU$2:$CU$3,'История отказов'!AE786)=0,COUNTIFS('История отказов'!$F$5:F786,"ЭЦН",'История отказов'!$AE$5:AE786,'История отказов'!AE786)=1,'История отказов'!F786="ЭЦН"),782,""))</f>
        <v/>
      </c>
      <c r="DE783">
        <f>IF('История отказов'!AE786="","",IF(AND(COUNTIF($CV$2:$CV$3,'История отказов'!AE786)=0,COUNTIFS('История отказов'!$F$5:F786,"ЭВН",'История отказов'!$AE$5:AE786,'История отказов'!AE786)=1,'История отказов'!F786="ЭВН"),782,""))</f>
        <v/>
      </c>
      <c r="DF783">
        <f>IF('История отказов'!AE786="","",IF(AND(COUNTIF($CX$2:$CX$2,'История отказов'!AE786)=0,COUNTIFS('История отказов'!$F$5:F786,"ШВН",'История отказов'!$AE$5:AE786,'История отказов'!AE786)=1,'История отказов'!F786="ШВН"),782,""))</f>
        <v/>
      </c>
      <c r="DG783">
        <f>IF('История отказов'!AE786="","",IF(AND(COUNTIF($CW$2:$CW$2,'История отказов'!AE786)=0,COUNTIFS('История отказов'!$F$5:F786,"НПУ-ВД",'История отказов'!$AE$5:AE786,'История отказов'!AE786)=1,'История отказов'!F786="НПУ-ВД"),782,""))</f>
        <v/>
      </c>
      <c r="DH783">
        <f>IF('История отказов'!AE786="","",IF(AND(COUNTIF($CY$2:$CY$6,'История отказов'!AE786)=0,COUNTIF('История отказов'!$AE$5:AE786,'История отказов'!AE786)=1),782,""))</f>
        <v/>
      </c>
      <c r="DI783">
        <f>IF('История отказов'!AK786="","",IF(AND(COUNTIF($CL$2:$CL$3,'История отказов'!AK786)=0,COUNTIF('История отказов'!$AK$5:AK786,'История отказов'!AK786)=1),782,""))</f>
        <v/>
      </c>
      <c r="DJ783">
        <f>IF('История отказов'!AU786="","",IF(AND(COUNTIF($CP$2:$CP$3,'История отказов'!AU786)=0,COUNTIF('История отказов'!$AU$5:AU786,'История отказов'!AU786)=1),782,""))</f>
        <v/>
      </c>
      <c r="DK783">
        <f>IF('История отказов'!AY786="","",IF(AND(COUNTIF($CR$2:$CR$2,'История отказов'!AY786)=0,COUNTIF('История отказов'!$AY$5:AY786,'История отказов'!AY786)=1),782,""))</f>
        <v/>
      </c>
      <c r="DL783">
        <f>IF(DB783="","",IF(AND(COUNTIF($DA$2:$DA$47,DB783)=0,COUNTIF($DB$2:DB783,DB783)=1),782,""))</f>
        <v/>
      </c>
    </row>
    <row r="784">
      <c r="A784" s="74" t="n"/>
      <c r="B784" s="75" t="n"/>
      <c r="C784" s="76" t="n"/>
      <c r="J784" s="62" t="n"/>
      <c r="K784" s="62" t="n"/>
      <c r="L784" s="62" t="n"/>
      <c r="M784" s="62" t="n"/>
      <c r="N784" s="62" t="n"/>
      <c r="DB784">
        <f>IF('История отказов'!AH787="","",'История отказов'!AH787)</f>
        <v/>
      </c>
      <c r="DC784">
        <f>IF('История отказов'!AE787="","",IF(AND(COUNTIF($CT$2:$CT$2,'История отказов'!AE787)=0,COUNTIFS('История отказов'!$F$5:F787,"ШГН",'История отказов'!$AE$5:AE787,'История отказов'!AE787)=1,'История отказов'!F787="ШГН"),783,""))</f>
        <v/>
      </c>
      <c r="DD784">
        <f>IF('История отказов'!AE787="","",IF(AND(COUNTIF($CU$2:$CU$3,'История отказов'!AE787)=0,COUNTIFS('История отказов'!$F$5:F787,"ЭЦН",'История отказов'!$AE$5:AE787,'История отказов'!AE787)=1,'История отказов'!F787="ЭЦН"),783,""))</f>
        <v/>
      </c>
      <c r="DE784">
        <f>IF('История отказов'!AE787="","",IF(AND(COUNTIF($CV$2:$CV$3,'История отказов'!AE787)=0,COUNTIFS('История отказов'!$F$5:F787,"ЭВН",'История отказов'!$AE$5:AE787,'История отказов'!AE787)=1,'История отказов'!F787="ЭВН"),783,""))</f>
        <v/>
      </c>
      <c r="DF784">
        <f>IF('История отказов'!AE787="","",IF(AND(COUNTIF($CX$2:$CX$2,'История отказов'!AE787)=0,COUNTIFS('История отказов'!$F$5:F787,"ШВН",'История отказов'!$AE$5:AE787,'История отказов'!AE787)=1,'История отказов'!F787="ШВН"),783,""))</f>
        <v/>
      </c>
      <c r="DG784">
        <f>IF('История отказов'!AE787="","",IF(AND(COUNTIF($CW$2:$CW$2,'История отказов'!AE787)=0,COUNTIFS('История отказов'!$F$5:F787,"НПУ-ВД",'История отказов'!$AE$5:AE787,'История отказов'!AE787)=1,'История отказов'!F787="НПУ-ВД"),783,""))</f>
        <v/>
      </c>
      <c r="DH784">
        <f>IF('История отказов'!AE787="","",IF(AND(COUNTIF($CY$2:$CY$6,'История отказов'!AE787)=0,COUNTIF('История отказов'!$AE$5:AE787,'История отказов'!AE787)=1),783,""))</f>
        <v/>
      </c>
      <c r="DI784">
        <f>IF('История отказов'!AK787="","",IF(AND(COUNTIF($CL$2:$CL$3,'История отказов'!AK787)=0,COUNTIF('История отказов'!$AK$5:AK787,'История отказов'!AK787)=1),783,""))</f>
        <v/>
      </c>
      <c r="DJ784">
        <f>IF('История отказов'!AU787="","",IF(AND(COUNTIF($CP$2:$CP$3,'История отказов'!AU787)=0,COUNTIF('История отказов'!$AU$5:AU787,'История отказов'!AU787)=1),783,""))</f>
        <v/>
      </c>
      <c r="DK784">
        <f>IF('История отказов'!AY787="","",IF(AND(COUNTIF($CR$2:$CR$2,'История отказов'!AY787)=0,COUNTIF('История отказов'!$AY$5:AY787,'История отказов'!AY787)=1),783,""))</f>
        <v/>
      </c>
      <c r="DL784">
        <f>IF(DB784="","",IF(AND(COUNTIF($DA$2:$DA$47,DB784)=0,COUNTIF($DB$2:DB784,DB784)=1),783,""))</f>
        <v/>
      </c>
    </row>
    <row r="785">
      <c r="A785" s="74" t="n"/>
      <c r="B785" s="75" t="n"/>
      <c r="C785" s="76" t="n"/>
      <c r="J785" s="62" t="n"/>
      <c r="K785" s="62" t="n"/>
      <c r="L785" s="62" t="n"/>
      <c r="M785" s="62" t="n"/>
      <c r="N785" s="62" t="n"/>
      <c r="DB785">
        <f>IF('История отказов'!AH788="","",'История отказов'!AH788)</f>
        <v/>
      </c>
      <c r="DC785">
        <f>IF('История отказов'!AE788="","",IF(AND(COUNTIF($CT$2:$CT$2,'История отказов'!AE788)=0,COUNTIFS('История отказов'!$F$5:F788,"ШГН",'История отказов'!$AE$5:AE788,'История отказов'!AE788)=1,'История отказов'!F788="ШГН"),784,""))</f>
        <v/>
      </c>
      <c r="DD785">
        <f>IF('История отказов'!AE788="","",IF(AND(COUNTIF($CU$2:$CU$3,'История отказов'!AE788)=0,COUNTIFS('История отказов'!$F$5:F788,"ЭЦН",'История отказов'!$AE$5:AE788,'История отказов'!AE788)=1,'История отказов'!F788="ЭЦН"),784,""))</f>
        <v/>
      </c>
      <c r="DE785">
        <f>IF('История отказов'!AE788="","",IF(AND(COUNTIF($CV$2:$CV$3,'История отказов'!AE788)=0,COUNTIFS('История отказов'!$F$5:F788,"ЭВН",'История отказов'!$AE$5:AE788,'История отказов'!AE788)=1,'История отказов'!F788="ЭВН"),784,""))</f>
        <v/>
      </c>
      <c r="DF785">
        <f>IF('История отказов'!AE788="","",IF(AND(COUNTIF($CX$2:$CX$2,'История отказов'!AE788)=0,COUNTIFS('История отказов'!$F$5:F788,"ШВН",'История отказов'!$AE$5:AE788,'История отказов'!AE788)=1,'История отказов'!F788="ШВН"),784,""))</f>
        <v/>
      </c>
      <c r="DG785">
        <f>IF('История отказов'!AE788="","",IF(AND(COUNTIF($CW$2:$CW$2,'История отказов'!AE788)=0,COUNTIFS('История отказов'!$F$5:F788,"НПУ-ВД",'История отказов'!$AE$5:AE788,'История отказов'!AE788)=1,'История отказов'!F788="НПУ-ВД"),784,""))</f>
        <v/>
      </c>
      <c r="DH785">
        <f>IF('История отказов'!AE788="","",IF(AND(COUNTIF($CY$2:$CY$6,'История отказов'!AE788)=0,COUNTIF('История отказов'!$AE$5:AE788,'История отказов'!AE788)=1),784,""))</f>
        <v/>
      </c>
      <c r="DI785">
        <f>IF('История отказов'!AK788="","",IF(AND(COUNTIF($CL$2:$CL$3,'История отказов'!AK788)=0,COUNTIF('История отказов'!$AK$5:AK788,'История отказов'!AK788)=1),784,""))</f>
        <v/>
      </c>
      <c r="DJ785">
        <f>IF('История отказов'!AU788="","",IF(AND(COUNTIF($CP$2:$CP$3,'История отказов'!AU788)=0,COUNTIF('История отказов'!$AU$5:AU788,'История отказов'!AU788)=1),784,""))</f>
        <v/>
      </c>
      <c r="DK785">
        <f>IF('История отказов'!AY788="","",IF(AND(COUNTIF($CR$2:$CR$2,'История отказов'!AY788)=0,COUNTIF('История отказов'!$AY$5:AY788,'История отказов'!AY788)=1),784,""))</f>
        <v/>
      </c>
      <c r="DL785">
        <f>IF(DB785="","",IF(AND(COUNTIF($DA$2:$DA$47,DB785)=0,COUNTIF($DB$2:DB785,DB785)=1),784,""))</f>
        <v/>
      </c>
    </row>
    <row r="786">
      <c r="A786" s="74" t="n"/>
      <c r="B786" s="75" t="n"/>
      <c r="C786" s="76" t="n"/>
      <c r="J786" s="62" t="n"/>
      <c r="K786" s="62" t="n"/>
      <c r="L786" s="62" t="n"/>
      <c r="M786" s="62" t="n"/>
      <c r="N786" s="62" t="n"/>
      <c r="DB786">
        <f>IF('История отказов'!AH789="","",'История отказов'!AH789)</f>
        <v/>
      </c>
      <c r="DC786">
        <f>IF('История отказов'!AE789="","",IF(AND(COUNTIF($CT$2:$CT$2,'История отказов'!AE789)=0,COUNTIFS('История отказов'!$F$5:F789,"ШГН",'История отказов'!$AE$5:AE789,'История отказов'!AE789)=1,'История отказов'!F789="ШГН"),785,""))</f>
        <v/>
      </c>
      <c r="DD786">
        <f>IF('История отказов'!AE789="","",IF(AND(COUNTIF($CU$2:$CU$3,'История отказов'!AE789)=0,COUNTIFS('История отказов'!$F$5:F789,"ЭЦН",'История отказов'!$AE$5:AE789,'История отказов'!AE789)=1,'История отказов'!F789="ЭЦН"),785,""))</f>
        <v/>
      </c>
      <c r="DE786">
        <f>IF('История отказов'!AE789="","",IF(AND(COUNTIF($CV$2:$CV$3,'История отказов'!AE789)=0,COUNTIFS('История отказов'!$F$5:F789,"ЭВН",'История отказов'!$AE$5:AE789,'История отказов'!AE789)=1,'История отказов'!F789="ЭВН"),785,""))</f>
        <v/>
      </c>
      <c r="DF786">
        <f>IF('История отказов'!AE789="","",IF(AND(COUNTIF($CX$2:$CX$2,'История отказов'!AE789)=0,COUNTIFS('История отказов'!$F$5:F789,"ШВН",'История отказов'!$AE$5:AE789,'История отказов'!AE789)=1,'История отказов'!F789="ШВН"),785,""))</f>
        <v/>
      </c>
      <c r="DG786">
        <f>IF('История отказов'!AE789="","",IF(AND(COUNTIF($CW$2:$CW$2,'История отказов'!AE789)=0,COUNTIFS('История отказов'!$F$5:F789,"НПУ-ВД",'История отказов'!$AE$5:AE789,'История отказов'!AE789)=1,'История отказов'!F789="НПУ-ВД"),785,""))</f>
        <v/>
      </c>
      <c r="DH786">
        <f>IF('История отказов'!AE789="","",IF(AND(COUNTIF($CY$2:$CY$6,'История отказов'!AE789)=0,COUNTIF('История отказов'!$AE$5:AE789,'История отказов'!AE789)=1),785,""))</f>
        <v/>
      </c>
      <c r="DI786">
        <f>IF('История отказов'!AK789="","",IF(AND(COUNTIF($CL$2:$CL$3,'История отказов'!AK789)=0,COUNTIF('История отказов'!$AK$5:AK789,'История отказов'!AK789)=1),785,""))</f>
        <v/>
      </c>
      <c r="DJ786">
        <f>IF('История отказов'!AU789="","",IF(AND(COUNTIF($CP$2:$CP$3,'История отказов'!AU789)=0,COUNTIF('История отказов'!$AU$5:AU789,'История отказов'!AU789)=1),785,""))</f>
        <v/>
      </c>
      <c r="DK786">
        <f>IF('История отказов'!AY789="","",IF(AND(COUNTIF($CR$2:$CR$2,'История отказов'!AY789)=0,COUNTIF('История отказов'!$AY$5:AY789,'История отказов'!AY789)=1),785,""))</f>
        <v/>
      </c>
      <c r="DL786">
        <f>IF(DB786="","",IF(AND(COUNTIF($DA$2:$DA$47,DB786)=0,COUNTIF($DB$2:DB786,DB786)=1),785,""))</f>
        <v/>
      </c>
    </row>
    <row r="787">
      <c r="A787" s="74" t="n"/>
      <c r="B787" s="75" t="n"/>
      <c r="C787" s="76" t="n"/>
      <c r="J787" s="62" t="n"/>
      <c r="K787" s="62" t="n"/>
      <c r="L787" s="62" t="n"/>
      <c r="M787" s="62" t="n"/>
      <c r="N787" s="62" t="n"/>
      <c r="DB787">
        <f>IF('История отказов'!AH790="","",'История отказов'!AH790)</f>
        <v/>
      </c>
      <c r="DC787">
        <f>IF('История отказов'!AE790="","",IF(AND(COUNTIF($CT$2:$CT$2,'История отказов'!AE790)=0,COUNTIFS('История отказов'!$F$5:F790,"ШГН",'История отказов'!$AE$5:AE790,'История отказов'!AE790)=1,'История отказов'!F790="ШГН"),786,""))</f>
        <v/>
      </c>
      <c r="DD787">
        <f>IF('История отказов'!AE790="","",IF(AND(COUNTIF($CU$2:$CU$3,'История отказов'!AE790)=0,COUNTIFS('История отказов'!$F$5:F790,"ЭЦН",'История отказов'!$AE$5:AE790,'История отказов'!AE790)=1,'История отказов'!F790="ЭЦН"),786,""))</f>
        <v/>
      </c>
      <c r="DE787">
        <f>IF('История отказов'!AE790="","",IF(AND(COUNTIF($CV$2:$CV$3,'История отказов'!AE790)=0,COUNTIFS('История отказов'!$F$5:F790,"ЭВН",'История отказов'!$AE$5:AE790,'История отказов'!AE790)=1,'История отказов'!F790="ЭВН"),786,""))</f>
        <v/>
      </c>
      <c r="DF787">
        <f>IF('История отказов'!AE790="","",IF(AND(COUNTIF($CX$2:$CX$2,'История отказов'!AE790)=0,COUNTIFS('История отказов'!$F$5:F790,"ШВН",'История отказов'!$AE$5:AE790,'История отказов'!AE790)=1,'История отказов'!F790="ШВН"),786,""))</f>
        <v/>
      </c>
      <c r="DG787">
        <f>IF('История отказов'!AE790="","",IF(AND(COUNTIF($CW$2:$CW$2,'История отказов'!AE790)=0,COUNTIFS('История отказов'!$F$5:F790,"НПУ-ВД",'История отказов'!$AE$5:AE790,'История отказов'!AE790)=1,'История отказов'!F790="НПУ-ВД"),786,""))</f>
        <v/>
      </c>
      <c r="DH787">
        <f>IF('История отказов'!AE790="","",IF(AND(COUNTIF($CY$2:$CY$6,'История отказов'!AE790)=0,COUNTIF('История отказов'!$AE$5:AE790,'История отказов'!AE790)=1),786,""))</f>
        <v/>
      </c>
      <c r="DI787">
        <f>IF('История отказов'!AK790="","",IF(AND(COUNTIF($CL$2:$CL$3,'История отказов'!AK790)=0,COUNTIF('История отказов'!$AK$5:AK790,'История отказов'!AK790)=1),786,""))</f>
        <v/>
      </c>
      <c r="DJ787">
        <f>IF('История отказов'!AU790="","",IF(AND(COUNTIF($CP$2:$CP$3,'История отказов'!AU790)=0,COUNTIF('История отказов'!$AU$5:AU790,'История отказов'!AU790)=1),786,""))</f>
        <v/>
      </c>
      <c r="DK787">
        <f>IF('История отказов'!AY790="","",IF(AND(COUNTIF($CR$2:$CR$2,'История отказов'!AY790)=0,COUNTIF('История отказов'!$AY$5:AY790,'История отказов'!AY790)=1),786,""))</f>
        <v/>
      </c>
      <c r="DL787">
        <f>IF(DB787="","",IF(AND(COUNTIF($DA$2:$DA$47,DB787)=0,COUNTIF($DB$2:DB787,DB787)=1),786,""))</f>
        <v/>
      </c>
    </row>
    <row r="788">
      <c r="A788" s="74" t="n"/>
      <c r="B788" s="75" t="n"/>
      <c r="C788" s="76" t="n"/>
      <c r="J788" s="62" t="n"/>
      <c r="K788" s="62" t="n"/>
      <c r="L788" s="62" t="n"/>
      <c r="M788" s="62" t="n"/>
      <c r="N788" s="62" t="n"/>
      <c r="DB788">
        <f>IF('История отказов'!AH791="","",'История отказов'!AH791)</f>
        <v/>
      </c>
      <c r="DC788">
        <f>IF('История отказов'!AE791="","",IF(AND(COUNTIF($CT$2:$CT$2,'История отказов'!AE791)=0,COUNTIFS('История отказов'!$F$5:F791,"ШГН",'История отказов'!$AE$5:AE791,'История отказов'!AE791)=1,'История отказов'!F791="ШГН"),787,""))</f>
        <v/>
      </c>
      <c r="DD788">
        <f>IF('История отказов'!AE791="","",IF(AND(COUNTIF($CU$2:$CU$3,'История отказов'!AE791)=0,COUNTIFS('История отказов'!$F$5:F791,"ЭЦН",'История отказов'!$AE$5:AE791,'История отказов'!AE791)=1,'История отказов'!F791="ЭЦН"),787,""))</f>
        <v/>
      </c>
      <c r="DE788">
        <f>IF('История отказов'!AE791="","",IF(AND(COUNTIF($CV$2:$CV$3,'История отказов'!AE791)=0,COUNTIFS('История отказов'!$F$5:F791,"ЭВН",'История отказов'!$AE$5:AE791,'История отказов'!AE791)=1,'История отказов'!F791="ЭВН"),787,""))</f>
        <v/>
      </c>
      <c r="DF788">
        <f>IF('История отказов'!AE791="","",IF(AND(COUNTIF($CX$2:$CX$2,'История отказов'!AE791)=0,COUNTIFS('История отказов'!$F$5:F791,"ШВН",'История отказов'!$AE$5:AE791,'История отказов'!AE791)=1,'История отказов'!F791="ШВН"),787,""))</f>
        <v/>
      </c>
      <c r="DG788">
        <f>IF('История отказов'!AE791="","",IF(AND(COUNTIF($CW$2:$CW$2,'История отказов'!AE791)=0,COUNTIFS('История отказов'!$F$5:F791,"НПУ-ВД",'История отказов'!$AE$5:AE791,'История отказов'!AE791)=1,'История отказов'!F791="НПУ-ВД"),787,""))</f>
        <v/>
      </c>
      <c r="DH788">
        <f>IF('История отказов'!AE791="","",IF(AND(COUNTIF($CY$2:$CY$6,'История отказов'!AE791)=0,COUNTIF('История отказов'!$AE$5:AE791,'История отказов'!AE791)=1),787,""))</f>
        <v/>
      </c>
      <c r="DI788">
        <f>IF('История отказов'!AK791="","",IF(AND(COUNTIF($CL$2:$CL$3,'История отказов'!AK791)=0,COUNTIF('История отказов'!$AK$5:AK791,'История отказов'!AK791)=1),787,""))</f>
        <v/>
      </c>
      <c r="DJ788">
        <f>IF('История отказов'!AU791="","",IF(AND(COUNTIF($CP$2:$CP$3,'История отказов'!AU791)=0,COUNTIF('История отказов'!$AU$5:AU791,'История отказов'!AU791)=1),787,""))</f>
        <v/>
      </c>
      <c r="DK788">
        <f>IF('История отказов'!AY791="","",IF(AND(COUNTIF($CR$2:$CR$2,'История отказов'!AY791)=0,COUNTIF('История отказов'!$AY$5:AY791,'История отказов'!AY791)=1),787,""))</f>
        <v/>
      </c>
      <c r="DL788">
        <f>IF(DB788="","",IF(AND(COUNTIF($DA$2:$DA$47,DB788)=0,COUNTIF($DB$2:DB788,DB788)=1),787,""))</f>
        <v/>
      </c>
    </row>
    <row r="789">
      <c r="A789" s="74" t="n"/>
      <c r="B789" s="75" t="n"/>
      <c r="C789" s="76" t="n"/>
      <c r="J789" s="62" t="n"/>
      <c r="K789" s="62" t="n"/>
      <c r="L789" s="62" t="n"/>
      <c r="M789" s="62" t="n"/>
      <c r="N789" s="62" t="n"/>
      <c r="DB789">
        <f>IF('История отказов'!AH792="","",'История отказов'!AH792)</f>
        <v/>
      </c>
      <c r="DC789">
        <f>IF('История отказов'!AE792="","",IF(AND(COUNTIF($CT$2:$CT$2,'История отказов'!AE792)=0,COUNTIFS('История отказов'!$F$5:F792,"ШГН",'История отказов'!$AE$5:AE792,'История отказов'!AE792)=1,'История отказов'!F792="ШГН"),788,""))</f>
        <v/>
      </c>
      <c r="DD789">
        <f>IF('История отказов'!AE792="","",IF(AND(COUNTIF($CU$2:$CU$3,'История отказов'!AE792)=0,COUNTIFS('История отказов'!$F$5:F792,"ЭЦН",'История отказов'!$AE$5:AE792,'История отказов'!AE792)=1,'История отказов'!F792="ЭЦН"),788,""))</f>
        <v/>
      </c>
      <c r="DE789">
        <f>IF('История отказов'!AE792="","",IF(AND(COUNTIF($CV$2:$CV$3,'История отказов'!AE792)=0,COUNTIFS('История отказов'!$F$5:F792,"ЭВН",'История отказов'!$AE$5:AE792,'История отказов'!AE792)=1,'История отказов'!F792="ЭВН"),788,""))</f>
        <v/>
      </c>
      <c r="DF789">
        <f>IF('История отказов'!AE792="","",IF(AND(COUNTIF($CX$2:$CX$2,'История отказов'!AE792)=0,COUNTIFS('История отказов'!$F$5:F792,"ШВН",'История отказов'!$AE$5:AE792,'История отказов'!AE792)=1,'История отказов'!F792="ШВН"),788,""))</f>
        <v/>
      </c>
      <c r="DG789">
        <f>IF('История отказов'!AE792="","",IF(AND(COUNTIF($CW$2:$CW$2,'История отказов'!AE792)=0,COUNTIFS('История отказов'!$F$5:F792,"НПУ-ВД",'История отказов'!$AE$5:AE792,'История отказов'!AE792)=1,'История отказов'!F792="НПУ-ВД"),788,""))</f>
        <v/>
      </c>
      <c r="DH789">
        <f>IF('История отказов'!AE792="","",IF(AND(COUNTIF($CY$2:$CY$6,'История отказов'!AE792)=0,COUNTIF('История отказов'!$AE$5:AE792,'История отказов'!AE792)=1),788,""))</f>
        <v/>
      </c>
      <c r="DI789">
        <f>IF('История отказов'!AK792="","",IF(AND(COUNTIF($CL$2:$CL$3,'История отказов'!AK792)=0,COUNTIF('История отказов'!$AK$5:AK792,'История отказов'!AK792)=1),788,""))</f>
        <v/>
      </c>
      <c r="DJ789">
        <f>IF('История отказов'!AU792="","",IF(AND(COUNTIF($CP$2:$CP$3,'История отказов'!AU792)=0,COUNTIF('История отказов'!$AU$5:AU792,'История отказов'!AU792)=1),788,""))</f>
        <v/>
      </c>
      <c r="DK789">
        <f>IF('История отказов'!AY792="","",IF(AND(COUNTIF($CR$2:$CR$2,'История отказов'!AY792)=0,COUNTIF('История отказов'!$AY$5:AY792,'История отказов'!AY792)=1),788,""))</f>
        <v/>
      </c>
      <c r="DL789">
        <f>IF(DB789="","",IF(AND(COUNTIF($DA$2:$DA$47,DB789)=0,COUNTIF($DB$2:DB789,DB789)=1),788,""))</f>
        <v/>
      </c>
    </row>
    <row r="790">
      <c r="A790" s="74" t="n"/>
      <c r="B790" s="75" t="n"/>
      <c r="C790" s="76" t="n"/>
      <c r="J790" s="62" t="n"/>
      <c r="K790" s="62" t="n"/>
      <c r="L790" s="62" t="n"/>
      <c r="M790" s="62" t="n"/>
      <c r="N790" s="62" t="n"/>
      <c r="DB790">
        <f>IF('История отказов'!AH793="","",'История отказов'!AH793)</f>
        <v/>
      </c>
      <c r="DC790">
        <f>IF('История отказов'!AE793="","",IF(AND(COUNTIF($CT$2:$CT$2,'История отказов'!AE793)=0,COUNTIFS('История отказов'!$F$5:F793,"ШГН",'История отказов'!$AE$5:AE793,'История отказов'!AE793)=1,'История отказов'!F793="ШГН"),789,""))</f>
        <v/>
      </c>
      <c r="DD790">
        <f>IF('История отказов'!AE793="","",IF(AND(COUNTIF($CU$2:$CU$3,'История отказов'!AE793)=0,COUNTIFS('История отказов'!$F$5:F793,"ЭЦН",'История отказов'!$AE$5:AE793,'История отказов'!AE793)=1,'История отказов'!F793="ЭЦН"),789,""))</f>
        <v/>
      </c>
      <c r="DE790">
        <f>IF('История отказов'!AE793="","",IF(AND(COUNTIF($CV$2:$CV$3,'История отказов'!AE793)=0,COUNTIFS('История отказов'!$F$5:F793,"ЭВН",'История отказов'!$AE$5:AE793,'История отказов'!AE793)=1,'История отказов'!F793="ЭВН"),789,""))</f>
        <v/>
      </c>
      <c r="DF790">
        <f>IF('История отказов'!AE793="","",IF(AND(COUNTIF($CX$2:$CX$2,'История отказов'!AE793)=0,COUNTIFS('История отказов'!$F$5:F793,"ШВН",'История отказов'!$AE$5:AE793,'История отказов'!AE793)=1,'История отказов'!F793="ШВН"),789,""))</f>
        <v/>
      </c>
      <c r="DG790">
        <f>IF('История отказов'!AE793="","",IF(AND(COUNTIF($CW$2:$CW$2,'История отказов'!AE793)=0,COUNTIFS('История отказов'!$F$5:F793,"НПУ-ВД",'История отказов'!$AE$5:AE793,'История отказов'!AE793)=1,'История отказов'!F793="НПУ-ВД"),789,""))</f>
        <v/>
      </c>
      <c r="DH790">
        <f>IF('История отказов'!AE793="","",IF(AND(COUNTIF($CY$2:$CY$6,'История отказов'!AE793)=0,COUNTIF('История отказов'!$AE$5:AE793,'История отказов'!AE793)=1),789,""))</f>
        <v/>
      </c>
      <c r="DI790">
        <f>IF('История отказов'!AK793="","",IF(AND(COUNTIF($CL$2:$CL$3,'История отказов'!AK793)=0,COUNTIF('История отказов'!$AK$5:AK793,'История отказов'!AK793)=1),789,""))</f>
        <v/>
      </c>
      <c r="DJ790">
        <f>IF('История отказов'!AU793="","",IF(AND(COUNTIF($CP$2:$CP$3,'История отказов'!AU793)=0,COUNTIF('История отказов'!$AU$5:AU793,'История отказов'!AU793)=1),789,""))</f>
        <v/>
      </c>
      <c r="DK790">
        <f>IF('История отказов'!AY793="","",IF(AND(COUNTIF($CR$2:$CR$2,'История отказов'!AY793)=0,COUNTIF('История отказов'!$AY$5:AY793,'История отказов'!AY793)=1),789,""))</f>
        <v/>
      </c>
      <c r="DL790">
        <f>IF(DB790="","",IF(AND(COUNTIF($DA$2:$DA$47,DB790)=0,COUNTIF($DB$2:DB790,DB790)=1),789,""))</f>
        <v/>
      </c>
    </row>
    <row r="791">
      <c r="A791" s="74" t="n"/>
      <c r="B791" s="75" t="n"/>
      <c r="C791" s="76" t="n"/>
      <c r="J791" s="62" t="n"/>
      <c r="K791" s="62" t="n"/>
      <c r="L791" s="62" t="n"/>
      <c r="M791" s="62" t="n"/>
      <c r="N791" s="62" t="n"/>
      <c r="DB791">
        <f>IF('История отказов'!AH794="","",'История отказов'!AH794)</f>
        <v/>
      </c>
      <c r="DC791">
        <f>IF('История отказов'!AE794="","",IF(AND(COUNTIF($CT$2:$CT$2,'История отказов'!AE794)=0,COUNTIFS('История отказов'!$F$5:F794,"ШГН",'История отказов'!$AE$5:AE794,'История отказов'!AE794)=1,'История отказов'!F794="ШГН"),790,""))</f>
        <v/>
      </c>
      <c r="DD791">
        <f>IF('История отказов'!AE794="","",IF(AND(COUNTIF($CU$2:$CU$3,'История отказов'!AE794)=0,COUNTIFS('История отказов'!$F$5:F794,"ЭЦН",'История отказов'!$AE$5:AE794,'История отказов'!AE794)=1,'История отказов'!F794="ЭЦН"),790,""))</f>
        <v/>
      </c>
      <c r="DE791">
        <f>IF('История отказов'!AE794="","",IF(AND(COUNTIF($CV$2:$CV$3,'История отказов'!AE794)=0,COUNTIFS('История отказов'!$F$5:F794,"ЭВН",'История отказов'!$AE$5:AE794,'История отказов'!AE794)=1,'История отказов'!F794="ЭВН"),790,""))</f>
        <v/>
      </c>
      <c r="DF791">
        <f>IF('История отказов'!AE794="","",IF(AND(COUNTIF($CX$2:$CX$2,'История отказов'!AE794)=0,COUNTIFS('История отказов'!$F$5:F794,"ШВН",'История отказов'!$AE$5:AE794,'История отказов'!AE794)=1,'История отказов'!F794="ШВН"),790,""))</f>
        <v/>
      </c>
      <c r="DG791">
        <f>IF('История отказов'!AE794="","",IF(AND(COUNTIF($CW$2:$CW$2,'История отказов'!AE794)=0,COUNTIFS('История отказов'!$F$5:F794,"НПУ-ВД",'История отказов'!$AE$5:AE794,'История отказов'!AE794)=1,'История отказов'!F794="НПУ-ВД"),790,""))</f>
        <v/>
      </c>
      <c r="DH791">
        <f>IF('История отказов'!AE794="","",IF(AND(COUNTIF($CY$2:$CY$6,'История отказов'!AE794)=0,COUNTIF('История отказов'!$AE$5:AE794,'История отказов'!AE794)=1),790,""))</f>
        <v/>
      </c>
      <c r="DI791">
        <f>IF('История отказов'!AK794="","",IF(AND(COUNTIF($CL$2:$CL$3,'История отказов'!AK794)=0,COUNTIF('История отказов'!$AK$5:AK794,'История отказов'!AK794)=1),790,""))</f>
        <v/>
      </c>
      <c r="DJ791">
        <f>IF('История отказов'!AU794="","",IF(AND(COUNTIF($CP$2:$CP$3,'История отказов'!AU794)=0,COUNTIF('История отказов'!$AU$5:AU794,'История отказов'!AU794)=1),790,""))</f>
        <v/>
      </c>
      <c r="DK791">
        <f>IF('История отказов'!AY794="","",IF(AND(COUNTIF($CR$2:$CR$2,'История отказов'!AY794)=0,COUNTIF('История отказов'!$AY$5:AY794,'История отказов'!AY794)=1),790,""))</f>
        <v/>
      </c>
      <c r="DL791">
        <f>IF(DB791="","",IF(AND(COUNTIF($DA$2:$DA$47,DB791)=0,COUNTIF($DB$2:DB791,DB791)=1),790,""))</f>
        <v/>
      </c>
    </row>
    <row r="792">
      <c r="A792" s="74" t="n"/>
      <c r="B792" s="75" t="n"/>
      <c r="C792" s="76" t="n"/>
      <c r="J792" s="62" t="n"/>
      <c r="K792" s="62" t="n"/>
      <c r="L792" s="62" t="n"/>
      <c r="M792" s="62" t="n"/>
      <c r="N792" s="62" t="n"/>
      <c r="DB792">
        <f>IF('История отказов'!AH795="","",'История отказов'!AH795)</f>
        <v/>
      </c>
      <c r="DC792">
        <f>IF('История отказов'!AE795="","",IF(AND(COUNTIF($CT$2:$CT$2,'История отказов'!AE795)=0,COUNTIFS('История отказов'!$F$5:F795,"ШГН",'История отказов'!$AE$5:AE795,'История отказов'!AE795)=1,'История отказов'!F795="ШГН"),791,""))</f>
        <v/>
      </c>
      <c r="DD792">
        <f>IF('История отказов'!AE795="","",IF(AND(COUNTIF($CU$2:$CU$3,'История отказов'!AE795)=0,COUNTIFS('История отказов'!$F$5:F795,"ЭЦН",'История отказов'!$AE$5:AE795,'История отказов'!AE795)=1,'История отказов'!F795="ЭЦН"),791,""))</f>
        <v/>
      </c>
      <c r="DE792">
        <f>IF('История отказов'!AE795="","",IF(AND(COUNTIF($CV$2:$CV$3,'История отказов'!AE795)=0,COUNTIFS('История отказов'!$F$5:F795,"ЭВН",'История отказов'!$AE$5:AE795,'История отказов'!AE795)=1,'История отказов'!F795="ЭВН"),791,""))</f>
        <v/>
      </c>
      <c r="DF792">
        <f>IF('История отказов'!AE795="","",IF(AND(COUNTIF($CX$2:$CX$2,'История отказов'!AE795)=0,COUNTIFS('История отказов'!$F$5:F795,"ШВН",'История отказов'!$AE$5:AE795,'История отказов'!AE795)=1,'История отказов'!F795="ШВН"),791,""))</f>
        <v/>
      </c>
      <c r="DG792">
        <f>IF('История отказов'!AE795="","",IF(AND(COUNTIF($CW$2:$CW$2,'История отказов'!AE795)=0,COUNTIFS('История отказов'!$F$5:F795,"НПУ-ВД",'История отказов'!$AE$5:AE795,'История отказов'!AE795)=1,'История отказов'!F795="НПУ-ВД"),791,""))</f>
        <v/>
      </c>
      <c r="DH792">
        <f>IF('История отказов'!AE795="","",IF(AND(COUNTIF($CY$2:$CY$6,'История отказов'!AE795)=0,COUNTIF('История отказов'!$AE$5:AE795,'История отказов'!AE795)=1),791,""))</f>
        <v/>
      </c>
      <c r="DI792">
        <f>IF('История отказов'!AK795="","",IF(AND(COUNTIF($CL$2:$CL$3,'История отказов'!AK795)=0,COUNTIF('История отказов'!$AK$5:AK795,'История отказов'!AK795)=1),791,""))</f>
        <v/>
      </c>
      <c r="DJ792">
        <f>IF('История отказов'!AU795="","",IF(AND(COUNTIF($CP$2:$CP$3,'История отказов'!AU795)=0,COUNTIF('История отказов'!$AU$5:AU795,'История отказов'!AU795)=1),791,""))</f>
        <v/>
      </c>
      <c r="DK792">
        <f>IF('История отказов'!AY795="","",IF(AND(COUNTIF($CR$2:$CR$2,'История отказов'!AY795)=0,COUNTIF('История отказов'!$AY$5:AY795,'История отказов'!AY795)=1),791,""))</f>
        <v/>
      </c>
      <c r="DL792">
        <f>IF(DB792="","",IF(AND(COUNTIF($DA$2:$DA$47,DB792)=0,COUNTIF($DB$2:DB792,DB792)=1),791,""))</f>
        <v/>
      </c>
    </row>
    <row r="793">
      <c r="A793" s="74" t="n"/>
      <c r="B793" s="75" t="n"/>
      <c r="C793" s="76" t="n"/>
      <c r="J793" s="62" t="n"/>
      <c r="K793" s="62" t="n"/>
      <c r="L793" s="62" t="n"/>
      <c r="M793" s="62" t="n"/>
      <c r="N793" s="62" t="n"/>
      <c r="DB793">
        <f>IF('История отказов'!AH796="","",'История отказов'!AH796)</f>
        <v/>
      </c>
      <c r="DC793">
        <f>IF('История отказов'!AE796="","",IF(AND(COUNTIF($CT$2:$CT$2,'История отказов'!AE796)=0,COUNTIFS('История отказов'!$F$5:F796,"ШГН",'История отказов'!$AE$5:AE796,'История отказов'!AE796)=1,'История отказов'!F796="ШГН"),792,""))</f>
        <v/>
      </c>
      <c r="DD793">
        <f>IF('История отказов'!AE796="","",IF(AND(COUNTIF($CU$2:$CU$3,'История отказов'!AE796)=0,COUNTIFS('История отказов'!$F$5:F796,"ЭЦН",'История отказов'!$AE$5:AE796,'История отказов'!AE796)=1,'История отказов'!F796="ЭЦН"),792,""))</f>
        <v/>
      </c>
      <c r="DE793">
        <f>IF('История отказов'!AE796="","",IF(AND(COUNTIF($CV$2:$CV$3,'История отказов'!AE796)=0,COUNTIFS('История отказов'!$F$5:F796,"ЭВН",'История отказов'!$AE$5:AE796,'История отказов'!AE796)=1,'История отказов'!F796="ЭВН"),792,""))</f>
        <v/>
      </c>
      <c r="DF793">
        <f>IF('История отказов'!AE796="","",IF(AND(COUNTIF($CX$2:$CX$2,'История отказов'!AE796)=0,COUNTIFS('История отказов'!$F$5:F796,"ШВН",'История отказов'!$AE$5:AE796,'История отказов'!AE796)=1,'История отказов'!F796="ШВН"),792,""))</f>
        <v/>
      </c>
      <c r="DG793">
        <f>IF('История отказов'!AE796="","",IF(AND(COUNTIF($CW$2:$CW$2,'История отказов'!AE796)=0,COUNTIFS('История отказов'!$F$5:F796,"НПУ-ВД",'История отказов'!$AE$5:AE796,'История отказов'!AE796)=1,'История отказов'!F796="НПУ-ВД"),792,""))</f>
        <v/>
      </c>
      <c r="DH793">
        <f>IF('История отказов'!AE796="","",IF(AND(COUNTIF($CY$2:$CY$6,'История отказов'!AE796)=0,COUNTIF('История отказов'!$AE$5:AE796,'История отказов'!AE796)=1),792,""))</f>
        <v/>
      </c>
      <c r="DI793">
        <f>IF('История отказов'!AK796="","",IF(AND(COUNTIF($CL$2:$CL$3,'История отказов'!AK796)=0,COUNTIF('История отказов'!$AK$5:AK796,'История отказов'!AK796)=1),792,""))</f>
        <v/>
      </c>
      <c r="DJ793">
        <f>IF('История отказов'!AU796="","",IF(AND(COUNTIF($CP$2:$CP$3,'История отказов'!AU796)=0,COUNTIF('История отказов'!$AU$5:AU796,'История отказов'!AU796)=1),792,""))</f>
        <v/>
      </c>
      <c r="DK793">
        <f>IF('История отказов'!AY796="","",IF(AND(COUNTIF($CR$2:$CR$2,'История отказов'!AY796)=0,COUNTIF('История отказов'!$AY$5:AY796,'История отказов'!AY796)=1),792,""))</f>
        <v/>
      </c>
      <c r="DL793">
        <f>IF(DB793="","",IF(AND(COUNTIF($DA$2:$DA$47,DB793)=0,COUNTIF($DB$2:DB793,DB793)=1),792,""))</f>
        <v/>
      </c>
    </row>
    <row r="794">
      <c r="A794" s="74" t="n"/>
      <c r="B794" s="75" t="n"/>
      <c r="C794" s="76" t="n"/>
      <c r="J794" s="62" t="n"/>
      <c r="K794" s="62" t="n"/>
      <c r="L794" s="62" t="n"/>
      <c r="M794" s="62" t="n"/>
      <c r="N794" s="62" t="n"/>
      <c r="DB794">
        <f>IF('История отказов'!AH797="","",'История отказов'!AH797)</f>
        <v/>
      </c>
      <c r="DC794">
        <f>IF('История отказов'!AE797="","",IF(AND(COUNTIF($CT$2:$CT$2,'История отказов'!AE797)=0,COUNTIFS('История отказов'!$F$5:F797,"ШГН",'История отказов'!$AE$5:AE797,'История отказов'!AE797)=1,'История отказов'!F797="ШГН"),793,""))</f>
        <v/>
      </c>
      <c r="DD794">
        <f>IF('История отказов'!AE797="","",IF(AND(COUNTIF($CU$2:$CU$3,'История отказов'!AE797)=0,COUNTIFS('История отказов'!$F$5:F797,"ЭЦН",'История отказов'!$AE$5:AE797,'История отказов'!AE797)=1,'История отказов'!F797="ЭЦН"),793,""))</f>
        <v/>
      </c>
      <c r="DE794">
        <f>IF('История отказов'!AE797="","",IF(AND(COUNTIF($CV$2:$CV$3,'История отказов'!AE797)=0,COUNTIFS('История отказов'!$F$5:F797,"ЭВН",'История отказов'!$AE$5:AE797,'История отказов'!AE797)=1,'История отказов'!F797="ЭВН"),793,""))</f>
        <v/>
      </c>
      <c r="DF794">
        <f>IF('История отказов'!AE797="","",IF(AND(COUNTIF($CX$2:$CX$2,'История отказов'!AE797)=0,COUNTIFS('История отказов'!$F$5:F797,"ШВН",'История отказов'!$AE$5:AE797,'История отказов'!AE797)=1,'История отказов'!F797="ШВН"),793,""))</f>
        <v/>
      </c>
      <c r="DG794">
        <f>IF('История отказов'!AE797="","",IF(AND(COUNTIF($CW$2:$CW$2,'История отказов'!AE797)=0,COUNTIFS('История отказов'!$F$5:F797,"НПУ-ВД",'История отказов'!$AE$5:AE797,'История отказов'!AE797)=1,'История отказов'!F797="НПУ-ВД"),793,""))</f>
        <v/>
      </c>
      <c r="DH794">
        <f>IF('История отказов'!AE797="","",IF(AND(COUNTIF($CY$2:$CY$6,'История отказов'!AE797)=0,COUNTIF('История отказов'!$AE$5:AE797,'История отказов'!AE797)=1),793,""))</f>
        <v/>
      </c>
      <c r="DI794">
        <f>IF('История отказов'!AK797="","",IF(AND(COUNTIF($CL$2:$CL$3,'История отказов'!AK797)=0,COUNTIF('История отказов'!$AK$5:AK797,'История отказов'!AK797)=1),793,""))</f>
        <v/>
      </c>
      <c r="DJ794">
        <f>IF('История отказов'!AU797="","",IF(AND(COUNTIF($CP$2:$CP$3,'История отказов'!AU797)=0,COUNTIF('История отказов'!$AU$5:AU797,'История отказов'!AU797)=1),793,""))</f>
        <v/>
      </c>
      <c r="DK794">
        <f>IF('История отказов'!AY797="","",IF(AND(COUNTIF($CR$2:$CR$2,'История отказов'!AY797)=0,COUNTIF('История отказов'!$AY$5:AY797,'История отказов'!AY797)=1),793,""))</f>
        <v/>
      </c>
      <c r="DL794">
        <f>IF(DB794="","",IF(AND(COUNTIF($DA$2:$DA$47,DB794)=0,COUNTIF($DB$2:DB794,DB794)=1),793,""))</f>
        <v/>
      </c>
    </row>
    <row r="795">
      <c r="A795" s="74" t="n"/>
      <c r="B795" s="75" t="n"/>
      <c r="C795" s="76" t="n"/>
      <c r="J795" s="62" t="n"/>
      <c r="K795" s="62" t="n"/>
      <c r="L795" s="62" t="n"/>
      <c r="M795" s="62" t="n"/>
      <c r="N795" s="62" t="n"/>
      <c r="DB795">
        <f>IF('История отказов'!AH798="","",'История отказов'!AH798)</f>
        <v/>
      </c>
      <c r="DC795">
        <f>IF('История отказов'!AE798="","",IF(AND(COUNTIF($CT$2:$CT$2,'История отказов'!AE798)=0,COUNTIFS('История отказов'!$F$5:F798,"ШГН",'История отказов'!$AE$5:AE798,'История отказов'!AE798)=1,'История отказов'!F798="ШГН"),794,""))</f>
        <v/>
      </c>
      <c r="DD795">
        <f>IF('История отказов'!AE798="","",IF(AND(COUNTIF($CU$2:$CU$3,'История отказов'!AE798)=0,COUNTIFS('История отказов'!$F$5:F798,"ЭЦН",'История отказов'!$AE$5:AE798,'История отказов'!AE798)=1,'История отказов'!F798="ЭЦН"),794,""))</f>
        <v/>
      </c>
      <c r="DE795">
        <f>IF('История отказов'!AE798="","",IF(AND(COUNTIF($CV$2:$CV$3,'История отказов'!AE798)=0,COUNTIFS('История отказов'!$F$5:F798,"ЭВН",'История отказов'!$AE$5:AE798,'История отказов'!AE798)=1,'История отказов'!F798="ЭВН"),794,""))</f>
        <v/>
      </c>
      <c r="DF795">
        <f>IF('История отказов'!AE798="","",IF(AND(COUNTIF($CX$2:$CX$2,'История отказов'!AE798)=0,COUNTIFS('История отказов'!$F$5:F798,"ШВН",'История отказов'!$AE$5:AE798,'История отказов'!AE798)=1,'История отказов'!F798="ШВН"),794,""))</f>
        <v/>
      </c>
      <c r="DG795">
        <f>IF('История отказов'!AE798="","",IF(AND(COUNTIF($CW$2:$CW$2,'История отказов'!AE798)=0,COUNTIFS('История отказов'!$F$5:F798,"НПУ-ВД",'История отказов'!$AE$5:AE798,'История отказов'!AE798)=1,'История отказов'!F798="НПУ-ВД"),794,""))</f>
        <v/>
      </c>
      <c r="DH795">
        <f>IF('История отказов'!AE798="","",IF(AND(COUNTIF($CY$2:$CY$6,'История отказов'!AE798)=0,COUNTIF('История отказов'!$AE$5:AE798,'История отказов'!AE798)=1),794,""))</f>
        <v/>
      </c>
      <c r="DI795">
        <f>IF('История отказов'!AK798="","",IF(AND(COUNTIF($CL$2:$CL$3,'История отказов'!AK798)=0,COUNTIF('История отказов'!$AK$5:AK798,'История отказов'!AK798)=1),794,""))</f>
        <v/>
      </c>
      <c r="DJ795">
        <f>IF('История отказов'!AU798="","",IF(AND(COUNTIF($CP$2:$CP$3,'История отказов'!AU798)=0,COUNTIF('История отказов'!$AU$5:AU798,'История отказов'!AU798)=1),794,""))</f>
        <v/>
      </c>
      <c r="DK795">
        <f>IF('История отказов'!AY798="","",IF(AND(COUNTIF($CR$2:$CR$2,'История отказов'!AY798)=0,COUNTIF('История отказов'!$AY$5:AY798,'История отказов'!AY798)=1),794,""))</f>
        <v/>
      </c>
      <c r="DL795">
        <f>IF(DB795="","",IF(AND(COUNTIF($DA$2:$DA$47,DB795)=0,COUNTIF($DB$2:DB795,DB795)=1),794,""))</f>
        <v/>
      </c>
    </row>
    <row r="796">
      <c r="A796" s="74" t="n"/>
      <c r="B796" s="75" t="n"/>
      <c r="C796" s="76" t="n"/>
      <c r="J796" s="62" t="n"/>
      <c r="K796" s="62" t="n"/>
      <c r="L796" s="62" t="n"/>
      <c r="M796" s="62" t="n"/>
      <c r="N796" s="62" t="n"/>
      <c r="DB796">
        <f>IF('История отказов'!AH799="","",'История отказов'!AH799)</f>
        <v/>
      </c>
      <c r="DC796">
        <f>IF('История отказов'!AE799="","",IF(AND(COUNTIF($CT$2:$CT$2,'История отказов'!AE799)=0,COUNTIFS('История отказов'!$F$5:F799,"ШГН",'История отказов'!$AE$5:AE799,'История отказов'!AE799)=1,'История отказов'!F799="ШГН"),795,""))</f>
        <v/>
      </c>
      <c r="DD796">
        <f>IF('История отказов'!AE799="","",IF(AND(COUNTIF($CU$2:$CU$3,'История отказов'!AE799)=0,COUNTIFS('История отказов'!$F$5:F799,"ЭЦН",'История отказов'!$AE$5:AE799,'История отказов'!AE799)=1,'История отказов'!F799="ЭЦН"),795,""))</f>
        <v/>
      </c>
      <c r="DE796">
        <f>IF('История отказов'!AE799="","",IF(AND(COUNTIF($CV$2:$CV$3,'История отказов'!AE799)=0,COUNTIFS('История отказов'!$F$5:F799,"ЭВН",'История отказов'!$AE$5:AE799,'История отказов'!AE799)=1,'История отказов'!F799="ЭВН"),795,""))</f>
        <v/>
      </c>
      <c r="DF796">
        <f>IF('История отказов'!AE799="","",IF(AND(COUNTIF($CX$2:$CX$2,'История отказов'!AE799)=0,COUNTIFS('История отказов'!$F$5:F799,"ШВН",'История отказов'!$AE$5:AE799,'История отказов'!AE799)=1,'История отказов'!F799="ШВН"),795,""))</f>
        <v/>
      </c>
      <c r="DG796">
        <f>IF('История отказов'!AE799="","",IF(AND(COUNTIF($CW$2:$CW$2,'История отказов'!AE799)=0,COUNTIFS('История отказов'!$F$5:F799,"НПУ-ВД",'История отказов'!$AE$5:AE799,'История отказов'!AE799)=1,'История отказов'!F799="НПУ-ВД"),795,""))</f>
        <v/>
      </c>
      <c r="DH796">
        <f>IF('История отказов'!AE799="","",IF(AND(COUNTIF($CY$2:$CY$6,'История отказов'!AE799)=0,COUNTIF('История отказов'!$AE$5:AE799,'История отказов'!AE799)=1),795,""))</f>
        <v/>
      </c>
      <c r="DI796">
        <f>IF('История отказов'!AK799="","",IF(AND(COUNTIF($CL$2:$CL$3,'История отказов'!AK799)=0,COUNTIF('История отказов'!$AK$5:AK799,'История отказов'!AK799)=1),795,""))</f>
        <v/>
      </c>
      <c r="DJ796">
        <f>IF('История отказов'!AU799="","",IF(AND(COUNTIF($CP$2:$CP$3,'История отказов'!AU799)=0,COUNTIF('История отказов'!$AU$5:AU799,'История отказов'!AU799)=1),795,""))</f>
        <v/>
      </c>
      <c r="DK796">
        <f>IF('История отказов'!AY799="","",IF(AND(COUNTIF($CR$2:$CR$2,'История отказов'!AY799)=0,COUNTIF('История отказов'!$AY$5:AY799,'История отказов'!AY799)=1),795,""))</f>
        <v/>
      </c>
      <c r="DL796">
        <f>IF(DB796="","",IF(AND(COUNTIF($DA$2:$DA$47,DB796)=0,COUNTIF($DB$2:DB796,DB796)=1),795,""))</f>
        <v/>
      </c>
    </row>
    <row r="797">
      <c r="A797" s="74" t="n"/>
      <c r="B797" s="75" t="n"/>
      <c r="C797" s="76" t="n"/>
      <c r="J797" s="62" t="n"/>
      <c r="K797" s="62" t="n"/>
      <c r="L797" s="62" t="n"/>
      <c r="M797" s="62" t="n"/>
      <c r="N797" s="62" t="n"/>
      <c r="DB797">
        <f>IF('История отказов'!AH800="","",'История отказов'!AH800)</f>
        <v/>
      </c>
      <c r="DC797">
        <f>IF('История отказов'!AE800="","",IF(AND(COUNTIF($CT$2:$CT$2,'История отказов'!AE800)=0,COUNTIFS('История отказов'!$F$5:F800,"ШГН",'История отказов'!$AE$5:AE800,'История отказов'!AE800)=1,'История отказов'!F800="ШГН"),796,""))</f>
        <v/>
      </c>
      <c r="DD797">
        <f>IF('История отказов'!AE800="","",IF(AND(COUNTIF($CU$2:$CU$3,'История отказов'!AE800)=0,COUNTIFS('История отказов'!$F$5:F800,"ЭЦН",'История отказов'!$AE$5:AE800,'История отказов'!AE800)=1,'История отказов'!F800="ЭЦН"),796,""))</f>
        <v/>
      </c>
      <c r="DE797">
        <f>IF('История отказов'!AE800="","",IF(AND(COUNTIF($CV$2:$CV$3,'История отказов'!AE800)=0,COUNTIFS('История отказов'!$F$5:F800,"ЭВН",'История отказов'!$AE$5:AE800,'История отказов'!AE800)=1,'История отказов'!F800="ЭВН"),796,""))</f>
        <v/>
      </c>
      <c r="DF797">
        <f>IF('История отказов'!AE800="","",IF(AND(COUNTIF($CX$2:$CX$2,'История отказов'!AE800)=0,COUNTIFS('История отказов'!$F$5:F800,"ШВН",'История отказов'!$AE$5:AE800,'История отказов'!AE800)=1,'История отказов'!F800="ШВН"),796,""))</f>
        <v/>
      </c>
      <c r="DG797">
        <f>IF('История отказов'!AE800="","",IF(AND(COUNTIF($CW$2:$CW$2,'История отказов'!AE800)=0,COUNTIFS('История отказов'!$F$5:F800,"НПУ-ВД",'История отказов'!$AE$5:AE800,'История отказов'!AE800)=1,'История отказов'!F800="НПУ-ВД"),796,""))</f>
        <v/>
      </c>
      <c r="DH797">
        <f>IF('История отказов'!AE800="","",IF(AND(COUNTIF($CY$2:$CY$6,'История отказов'!AE800)=0,COUNTIF('История отказов'!$AE$5:AE800,'История отказов'!AE800)=1),796,""))</f>
        <v/>
      </c>
      <c r="DI797">
        <f>IF('История отказов'!AK800="","",IF(AND(COUNTIF($CL$2:$CL$3,'История отказов'!AK800)=0,COUNTIF('История отказов'!$AK$5:AK800,'История отказов'!AK800)=1),796,""))</f>
        <v/>
      </c>
      <c r="DJ797">
        <f>IF('История отказов'!AU800="","",IF(AND(COUNTIF($CP$2:$CP$3,'История отказов'!AU800)=0,COUNTIF('История отказов'!$AU$5:AU800,'История отказов'!AU800)=1),796,""))</f>
        <v/>
      </c>
      <c r="DK797">
        <f>IF('История отказов'!AY800="","",IF(AND(COUNTIF($CR$2:$CR$2,'История отказов'!AY800)=0,COUNTIF('История отказов'!$AY$5:AY800,'История отказов'!AY800)=1),796,""))</f>
        <v/>
      </c>
      <c r="DL797">
        <f>IF(DB797="","",IF(AND(COUNTIF($DA$2:$DA$47,DB797)=0,COUNTIF($DB$2:DB797,DB797)=1),796,""))</f>
        <v/>
      </c>
    </row>
    <row r="798">
      <c r="A798" s="74" t="n"/>
      <c r="B798" s="75" t="n"/>
      <c r="C798" s="76" t="n"/>
      <c r="J798" s="62" t="n"/>
      <c r="K798" s="62" t="n"/>
      <c r="L798" s="62" t="n"/>
      <c r="M798" s="62" t="n"/>
      <c r="N798" s="62" t="n"/>
      <c r="DB798">
        <f>IF('История отказов'!AH801="","",'История отказов'!AH801)</f>
        <v/>
      </c>
      <c r="DC798">
        <f>IF('История отказов'!AE801="","",IF(AND(COUNTIF($CT$2:$CT$2,'История отказов'!AE801)=0,COUNTIFS('История отказов'!$F$5:F801,"ШГН",'История отказов'!$AE$5:AE801,'История отказов'!AE801)=1,'История отказов'!F801="ШГН"),797,""))</f>
        <v/>
      </c>
      <c r="DD798">
        <f>IF('История отказов'!AE801="","",IF(AND(COUNTIF($CU$2:$CU$3,'История отказов'!AE801)=0,COUNTIFS('История отказов'!$F$5:F801,"ЭЦН",'История отказов'!$AE$5:AE801,'История отказов'!AE801)=1,'История отказов'!F801="ЭЦН"),797,""))</f>
        <v/>
      </c>
      <c r="DE798">
        <f>IF('История отказов'!AE801="","",IF(AND(COUNTIF($CV$2:$CV$3,'История отказов'!AE801)=0,COUNTIFS('История отказов'!$F$5:F801,"ЭВН",'История отказов'!$AE$5:AE801,'История отказов'!AE801)=1,'История отказов'!F801="ЭВН"),797,""))</f>
        <v/>
      </c>
      <c r="DF798">
        <f>IF('История отказов'!AE801="","",IF(AND(COUNTIF($CX$2:$CX$2,'История отказов'!AE801)=0,COUNTIFS('История отказов'!$F$5:F801,"ШВН",'История отказов'!$AE$5:AE801,'История отказов'!AE801)=1,'История отказов'!F801="ШВН"),797,""))</f>
        <v/>
      </c>
      <c r="DG798">
        <f>IF('История отказов'!AE801="","",IF(AND(COUNTIF($CW$2:$CW$2,'История отказов'!AE801)=0,COUNTIFS('История отказов'!$F$5:F801,"НПУ-ВД",'История отказов'!$AE$5:AE801,'История отказов'!AE801)=1,'История отказов'!F801="НПУ-ВД"),797,""))</f>
        <v/>
      </c>
      <c r="DH798">
        <f>IF('История отказов'!AE801="","",IF(AND(COUNTIF($CY$2:$CY$6,'История отказов'!AE801)=0,COUNTIF('История отказов'!$AE$5:AE801,'История отказов'!AE801)=1),797,""))</f>
        <v/>
      </c>
      <c r="DI798">
        <f>IF('История отказов'!AK801="","",IF(AND(COUNTIF($CL$2:$CL$3,'История отказов'!AK801)=0,COUNTIF('История отказов'!$AK$5:AK801,'История отказов'!AK801)=1),797,""))</f>
        <v/>
      </c>
      <c r="DJ798">
        <f>IF('История отказов'!AU801="","",IF(AND(COUNTIF($CP$2:$CP$3,'История отказов'!AU801)=0,COUNTIF('История отказов'!$AU$5:AU801,'История отказов'!AU801)=1),797,""))</f>
        <v/>
      </c>
      <c r="DK798">
        <f>IF('История отказов'!AY801="","",IF(AND(COUNTIF($CR$2:$CR$2,'История отказов'!AY801)=0,COUNTIF('История отказов'!$AY$5:AY801,'История отказов'!AY801)=1),797,""))</f>
        <v/>
      </c>
      <c r="DL798">
        <f>IF(DB798="","",IF(AND(COUNTIF($DA$2:$DA$47,DB798)=0,COUNTIF($DB$2:DB798,DB798)=1),797,""))</f>
        <v/>
      </c>
    </row>
    <row r="799">
      <c r="A799" s="74" t="n"/>
      <c r="B799" s="75" t="n"/>
      <c r="C799" s="76" t="n"/>
      <c r="J799" s="62" t="n"/>
      <c r="K799" s="62" t="n"/>
      <c r="L799" s="62" t="n"/>
      <c r="M799" s="62" t="n"/>
      <c r="N799" s="62" t="n"/>
      <c r="DB799">
        <f>IF('История отказов'!AH802="","",'История отказов'!AH802)</f>
        <v/>
      </c>
      <c r="DC799">
        <f>IF('История отказов'!AE802="","",IF(AND(COUNTIF($CT$2:$CT$2,'История отказов'!AE802)=0,COUNTIFS('История отказов'!$F$5:F802,"ШГН",'История отказов'!$AE$5:AE802,'История отказов'!AE802)=1,'История отказов'!F802="ШГН"),798,""))</f>
        <v/>
      </c>
      <c r="DD799">
        <f>IF('История отказов'!AE802="","",IF(AND(COUNTIF($CU$2:$CU$3,'История отказов'!AE802)=0,COUNTIFS('История отказов'!$F$5:F802,"ЭЦН",'История отказов'!$AE$5:AE802,'История отказов'!AE802)=1,'История отказов'!F802="ЭЦН"),798,""))</f>
        <v/>
      </c>
      <c r="DE799">
        <f>IF('История отказов'!AE802="","",IF(AND(COUNTIF($CV$2:$CV$3,'История отказов'!AE802)=0,COUNTIFS('История отказов'!$F$5:F802,"ЭВН",'История отказов'!$AE$5:AE802,'История отказов'!AE802)=1,'История отказов'!F802="ЭВН"),798,""))</f>
        <v/>
      </c>
      <c r="DF799">
        <f>IF('История отказов'!AE802="","",IF(AND(COUNTIF($CX$2:$CX$2,'История отказов'!AE802)=0,COUNTIFS('История отказов'!$F$5:F802,"ШВН",'История отказов'!$AE$5:AE802,'История отказов'!AE802)=1,'История отказов'!F802="ШВН"),798,""))</f>
        <v/>
      </c>
      <c r="DG799">
        <f>IF('История отказов'!AE802="","",IF(AND(COUNTIF($CW$2:$CW$2,'История отказов'!AE802)=0,COUNTIFS('История отказов'!$F$5:F802,"НПУ-ВД",'История отказов'!$AE$5:AE802,'История отказов'!AE802)=1,'История отказов'!F802="НПУ-ВД"),798,""))</f>
        <v/>
      </c>
      <c r="DH799">
        <f>IF('История отказов'!AE802="","",IF(AND(COUNTIF($CY$2:$CY$6,'История отказов'!AE802)=0,COUNTIF('История отказов'!$AE$5:AE802,'История отказов'!AE802)=1),798,""))</f>
        <v/>
      </c>
      <c r="DI799">
        <f>IF('История отказов'!AK802="","",IF(AND(COUNTIF($CL$2:$CL$3,'История отказов'!AK802)=0,COUNTIF('История отказов'!$AK$5:AK802,'История отказов'!AK802)=1),798,""))</f>
        <v/>
      </c>
      <c r="DJ799">
        <f>IF('История отказов'!AU802="","",IF(AND(COUNTIF($CP$2:$CP$3,'История отказов'!AU802)=0,COUNTIF('История отказов'!$AU$5:AU802,'История отказов'!AU802)=1),798,""))</f>
        <v/>
      </c>
      <c r="DK799">
        <f>IF('История отказов'!AY802="","",IF(AND(COUNTIF($CR$2:$CR$2,'История отказов'!AY802)=0,COUNTIF('История отказов'!$AY$5:AY802,'История отказов'!AY802)=1),798,""))</f>
        <v/>
      </c>
      <c r="DL799">
        <f>IF(DB799="","",IF(AND(COUNTIF($DA$2:$DA$47,DB799)=0,COUNTIF($DB$2:DB799,DB799)=1),798,""))</f>
        <v/>
      </c>
    </row>
    <row r="800">
      <c r="A800" s="74" t="n"/>
      <c r="B800" s="75" t="n"/>
      <c r="C800" s="76" t="n"/>
      <c r="J800" s="62" t="n"/>
      <c r="K800" s="62" t="n"/>
      <c r="L800" s="62" t="n"/>
      <c r="M800" s="62" t="n"/>
      <c r="N800" s="62" t="n"/>
      <c r="DB800">
        <f>IF('История отказов'!AH803="","",'История отказов'!AH803)</f>
        <v/>
      </c>
      <c r="DC800">
        <f>IF('История отказов'!AE803="","",IF(AND(COUNTIF($CT$2:$CT$2,'История отказов'!AE803)=0,COUNTIFS('История отказов'!$F$5:F803,"ШГН",'История отказов'!$AE$5:AE803,'История отказов'!AE803)=1,'История отказов'!F803="ШГН"),799,""))</f>
        <v/>
      </c>
      <c r="DD800">
        <f>IF('История отказов'!AE803="","",IF(AND(COUNTIF($CU$2:$CU$3,'История отказов'!AE803)=0,COUNTIFS('История отказов'!$F$5:F803,"ЭЦН",'История отказов'!$AE$5:AE803,'История отказов'!AE803)=1,'История отказов'!F803="ЭЦН"),799,""))</f>
        <v/>
      </c>
      <c r="DE800">
        <f>IF('История отказов'!AE803="","",IF(AND(COUNTIF($CV$2:$CV$3,'История отказов'!AE803)=0,COUNTIFS('История отказов'!$F$5:F803,"ЭВН",'История отказов'!$AE$5:AE803,'История отказов'!AE803)=1,'История отказов'!F803="ЭВН"),799,""))</f>
        <v/>
      </c>
      <c r="DF800">
        <f>IF('История отказов'!AE803="","",IF(AND(COUNTIF($CX$2:$CX$2,'История отказов'!AE803)=0,COUNTIFS('История отказов'!$F$5:F803,"ШВН",'История отказов'!$AE$5:AE803,'История отказов'!AE803)=1,'История отказов'!F803="ШВН"),799,""))</f>
        <v/>
      </c>
      <c r="DG800">
        <f>IF('История отказов'!AE803="","",IF(AND(COUNTIF($CW$2:$CW$2,'История отказов'!AE803)=0,COUNTIFS('История отказов'!$F$5:F803,"НПУ-ВД",'История отказов'!$AE$5:AE803,'История отказов'!AE803)=1,'История отказов'!F803="НПУ-ВД"),799,""))</f>
        <v/>
      </c>
      <c r="DH800">
        <f>IF('История отказов'!AE803="","",IF(AND(COUNTIF($CY$2:$CY$6,'История отказов'!AE803)=0,COUNTIF('История отказов'!$AE$5:AE803,'История отказов'!AE803)=1),799,""))</f>
        <v/>
      </c>
      <c r="DI800">
        <f>IF('История отказов'!AK803="","",IF(AND(COUNTIF($CL$2:$CL$3,'История отказов'!AK803)=0,COUNTIF('История отказов'!$AK$5:AK803,'История отказов'!AK803)=1),799,""))</f>
        <v/>
      </c>
      <c r="DJ800">
        <f>IF('История отказов'!AU803="","",IF(AND(COUNTIF($CP$2:$CP$3,'История отказов'!AU803)=0,COUNTIF('История отказов'!$AU$5:AU803,'История отказов'!AU803)=1),799,""))</f>
        <v/>
      </c>
      <c r="DK800">
        <f>IF('История отказов'!AY803="","",IF(AND(COUNTIF($CR$2:$CR$2,'История отказов'!AY803)=0,COUNTIF('История отказов'!$AY$5:AY803,'История отказов'!AY803)=1),799,""))</f>
        <v/>
      </c>
      <c r="DL800">
        <f>IF(DB800="","",IF(AND(COUNTIF($DA$2:$DA$47,DB800)=0,COUNTIF($DB$2:DB800,DB800)=1),799,""))</f>
        <v/>
      </c>
    </row>
    <row r="801">
      <c r="A801" s="74" t="n"/>
      <c r="B801" s="75" t="n"/>
      <c r="C801" s="76" t="n"/>
      <c r="DB801">
        <f>IF('История отказов'!AH804="","",'История отказов'!AH804)</f>
        <v/>
      </c>
      <c r="DC801">
        <f>IF('История отказов'!AE804="","",IF(AND(COUNTIF($CT$2:$CT$2,'История отказов'!AE804)=0,COUNTIFS('История отказов'!$F$5:F804,"ШГН",'История отказов'!$AE$5:AE804,'История отказов'!AE804)=1,'История отказов'!F804="ШГН"),800,""))</f>
        <v/>
      </c>
      <c r="DD801">
        <f>IF('История отказов'!AE804="","",IF(AND(COUNTIF($CU$2:$CU$3,'История отказов'!AE804)=0,COUNTIFS('История отказов'!$F$5:F804,"ЭЦН",'История отказов'!$AE$5:AE804,'История отказов'!AE804)=1,'История отказов'!F804="ЭЦН"),800,""))</f>
        <v/>
      </c>
      <c r="DE801">
        <f>IF('История отказов'!AE804="","",IF(AND(COUNTIF($CV$2:$CV$3,'История отказов'!AE804)=0,COUNTIFS('История отказов'!$F$5:F804,"ЭВН",'История отказов'!$AE$5:AE804,'История отказов'!AE804)=1,'История отказов'!F804="ЭВН"),800,""))</f>
        <v/>
      </c>
      <c r="DF801">
        <f>IF('История отказов'!AE804="","",IF(AND(COUNTIF($CX$2:$CX$2,'История отказов'!AE804)=0,COUNTIFS('История отказов'!$F$5:F804,"ШВН",'История отказов'!$AE$5:AE804,'История отказов'!AE804)=1,'История отказов'!F804="ШВН"),800,""))</f>
        <v/>
      </c>
      <c r="DG801">
        <f>IF('История отказов'!AE804="","",IF(AND(COUNTIF($CW$2:$CW$2,'История отказов'!AE804)=0,COUNTIFS('История отказов'!$F$5:F804,"НПУ-ВД",'История отказов'!$AE$5:AE804,'История отказов'!AE804)=1,'История отказов'!F804="НПУ-ВД"),800,""))</f>
        <v/>
      </c>
      <c r="DH801">
        <f>IF('История отказов'!AE804="","",IF(AND(COUNTIF($CY$2:$CY$6,'История отказов'!AE804)=0,COUNTIF('История отказов'!$AE$5:AE804,'История отказов'!AE804)=1),800,""))</f>
        <v/>
      </c>
      <c r="DI801">
        <f>IF('История отказов'!AK804="","",IF(AND(COUNTIF($CL$2:$CL$3,'История отказов'!AK804)=0,COUNTIF('История отказов'!$AK$5:AK804,'История отказов'!AK804)=1),800,""))</f>
        <v/>
      </c>
      <c r="DJ801">
        <f>IF('История отказов'!AU804="","",IF(AND(COUNTIF($CP$2:$CP$3,'История отказов'!AU804)=0,COUNTIF('История отказов'!$AU$5:AU804,'История отказов'!AU804)=1),800,""))</f>
        <v/>
      </c>
      <c r="DK801">
        <f>IF('История отказов'!AY804="","",IF(AND(COUNTIF($CR$2:$CR$2,'История отказов'!AY804)=0,COUNTIF('История отказов'!$AY$5:AY804,'История отказов'!AY804)=1),800,""))</f>
        <v/>
      </c>
      <c r="DL801">
        <f>IF(DB801="","",IF(AND(COUNTIF($DA$2:$DA$47,DB801)=0,COUNTIF($DB$2:DB801,DB801)=1),800,""))</f>
        <v/>
      </c>
    </row>
    <row r="802">
      <c r="A802" s="74" t="n"/>
      <c r="B802" s="75" t="n"/>
      <c r="C802" s="76" t="n"/>
      <c r="DB802">
        <f>IF('История отказов'!AH805="","",'История отказов'!AH805)</f>
        <v/>
      </c>
      <c r="DC802">
        <f>IF('История отказов'!AE805="","",IF(AND(COUNTIF($CT$2:$CT$2,'История отказов'!AE805)=0,COUNTIFS('История отказов'!$F$5:F805,"ШГН",'История отказов'!$AE$5:AE805,'История отказов'!AE805)=1,'История отказов'!F805="ШГН"),801,""))</f>
        <v/>
      </c>
      <c r="DD802">
        <f>IF('История отказов'!AE805="","",IF(AND(COUNTIF($CU$2:$CU$3,'История отказов'!AE805)=0,COUNTIFS('История отказов'!$F$5:F805,"ЭЦН",'История отказов'!$AE$5:AE805,'История отказов'!AE805)=1,'История отказов'!F805="ЭЦН"),801,""))</f>
        <v/>
      </c>
      <c r="DE802">
        <f>IF('История отказов'!AE805="","",IF(AND(COUNTIF($CV$2:$CV$3,'История отказов'!AE805)=0,COUNTIFS('История отказов'!$F$5:F805,"ЭВН",'История отказов'!$AE$5:AE805,'История отказов'!AE805)=1,'История отказов'!F805="ЭВН"),801,""))</f>
        <v/>
      </c>
      <c r="DF802">
        <f>IF('История отказов'!AE805="","",IF(AND(COUNTIF($CX$2:$CX$2,'История отказов'!AE805)=0,COUNTIFS('История отказов'!$F$5:F805,"ШВН",'История отказов'!$AE$5:AE805,'История отказов'!AE805)=1,'История отказов'!F805="ШВН"),801,""))</f>
        <v/>
      </c>
      <c r="DG802">
        <f>IF('История отказов'!AE805="","",IF(AND(COUNTIF($CW$2:$CW$2,'История отказов'!AE805)=0,COUNTIFS('История отказов'!$F$5:F805,"НПУ-ВД",'История отказов'!$AE$5:AE805,'История отказов'!AE805)=1,'История отказов'!F805="НПУ-ВД"),801,""))</f>
        <v/>
      </c>
      <c r="DH802">
        <f>IF('История отказов'!AE805="","",IF(AND(COUNTIF($CY$2:$CY$6,'История отказов'!AE805)=0,COUNTIF('История отказов'!$AE$5:AE805,'История отказов'!AE805)=1),801,""))</f>
        <v/>
      </c>
      <c r="DI802">
        <f>IF('История отказов'!AK805="","",IF(AND(COUNTIF($CL$2:$CL$3,'История отказов'!AK805)=0,COUNTIF('История отказов'!$AK$5:AK805,'История отказов'!AK805)=1),801,""))</f>
        <v/>
      </c>
      <c r="DJ802">
        <f>IF('История отказов'!AU805="","",IF(AND(COUNTIF($CP$2:$CP$3,'История отказов'!AU805)=0,COUNTIF('История отказов'!$AU$5:AU805,'История отказов'!AU805)=1),801,""))</f>
        <v/>
      </c>
      <c r="DK802">
        <f>IF('История отказов'!AY805="","",IF(AND(COUNTIF($CR$2:$CR$2,'История отказов'!AY805)=0,COUNTIF('История отказов'!$AY$5:AY805,'История отказов'!AY805)=1),801,""))</f>
        <v/>
      </c>
      <c r="DL802">
        <f>IF(DB802="","",IF(AND(COUNTIF($DA$2:$DA$47,DB802)=0,COUNTIF($DB$2:DB802,DB802)=1),801,""))</f>
        <v/>
      </c>
    </row>
    <row r="803">
      <c r="A803" s="74" t="n"/>
      <c r="B803" s="75" t="n"/>
      <c r="C803" s="76" t="n"/>
      <c r="DB803">
        <f>IF('История отказов'!AH806="","",'История отказов'!AH806)</f>
        <v/>
      </c>
      <c r="DC803">
        <f>IF('История отказов'!AE806="","",IF(AND(COUNTIF($CT$2:$CT$2,'История отказов'!AE806)=0,COUNTIFS('История отказов'!$F$5:F806,"ШГН",'История отказов'!$AE$5:AE806,'История отказов'!AE806)=1,'История отказов'!F806="ШГН"),802,""))</f>
        <v/>
      </c>
      <c r="DD803">
        <f>IF('История отказов'!AE806="","",IF(AND(COUNTIF($CU$2:$CU$3,'История отказов'!AE806)=0,COUNTIFS('История отказов'!$F$5:F806,"ЭЦН",'История отказов'!$AE$5:AE806,'История отказов'!AE806)=1,'История отказов'!F806="ЭЦН"),802,""))</f>
        <v/>
      </c>
      <c r="DE803">
        <f>IF('История отказов'!AE806="","",IF(AND(COUNTIF($CV$2:$CV$3,'История отказов'!AE806)=0,COUNTIFS('История отказов'!$F$5:F806,"ЭВН",'История отказов'!$AE$5:AE806,'История отказов'!AE806)=1,'История отказов'!F806="ЭВН"),802,""))</f>
        <v/>
      </c>
      <c r="DF803">
        <f>IF('История отказов'!AE806="","",IF(AND(COUNTIF($CX$2:$CX$2,'История отказов'!AE806)=0,COUNTIFS('История отказов'!$F$5:F806,"ШВН",'История отказов'!$AE$5:AE806,'История отказов'!AE806)=1,'История отказов'!F806="ШВН"),802,""))</f>
        <v/>
      </c>
      <c r="DG803">
        <f>IF('История отказов'!AE806="","",IF(AND(COUNTIF($CW$2:$CW$2,'История отказов'!AE806)=0,COUNTIFS('История отказов'!$F$5:F806,"НПУ-ВД",'История отказов'!$AE$5:AE806,'История отказов'!AE806)=1,'История отказов'!F806="НПУ-ВД"),802,""))</f>
        <v/>
      </c>
      <c r="DH803">
        <f>IF('История отказов'!AE806="","",IF(AND(COUNTIF($CY$2:$CY$6,'История отказов'!AE806)=0,COUNTIF('История отказов'!$AE$5:AE806,'История отказов'!AE806)=1),802,""))</f>
        <v/>
      </c>
      <c r="DI803">
        <f>IF('История отказов'!AK806="","",IF(AND(COUNTIF($CL$2:$CL$3,'История отказов'!AK806)=0,COUNTIF('История отказов'!$AK$5:AK806,'История отказов'!AK806)=1),802,""))</f>
        <v/>
      </c>
      <c r="DJ803">
        <f>IF('История отказов'!AU806="","",IF(AND(COUNTIF($CP$2:$CP$3,'История отказов'!AU806)=0,COUNTIF('История отказов'!$AU$5:AU806,'История отказов'!AU806)=1),802,""))</f>
        <v/>
      </c>
      <c r="DK803">
        <f>IF('История отказов'!AY806="","",IF(AND(COUNTIF($CR$2:$CR$2,'История отказов'!AY806)=0,COUNTIF('История отказов'!$AY$5:AY806,'История отказов'!AY806)=1),802,""))</f>
        <v/>
      </c>
      <c r="DL803">
        <f>IF(DB803="","",IF(AND(COUNTIF($DA$2:$DA$47,DB803)=0,COUNTIF($DB$2:DB803,DB803)=1),802,""))</f>
        <v/>
      </c>
    </row>
    <row r="804">
      <c r="A804" s="74" t="n"/>
      <c r="B804" s="75" t="n"/>
      <c r="C804" s="76" t="n"/>
      <c r="DB804">
        <f>IF('История отказов'!AH807="","",'История отказов'!AH807)</f>
        <v/>
      </c>
      <c r="DC804">
        <f>IF('История отказов'!AE807="","",IF(AND(COUNTIF($CT$2:$CT$2,'История отказов'!AE807)=0,COUNTIFS('История отказов'!$F$5:F807,"ШГН",'История отказов'!$AE$5:AE807,'История отказов'!AE807)=1,'История отказов'!F807="ШГН"),803,""))</f>
        <v/>
      </c>
      <c r="DD804">
        <f>IF('История отказов'!AE807="","",IF(AND(COUNTIF($CU$2:$CU$3,'История отказов'!AE807)=0,COUNTIFS('История отказов'!$F$5:F807,"ЭЦН",'История отказов'!$AE$5:AE807,'История отказов'!AE807)=1,'История отказов'!F807="ЭЦН"),803,""))</f>
        <v/>
      </c>
      <c r="DE804">
        <f>IF('История отказов'!AE807="","",IF(AND(COUNTIF($CV$2:$CV$3,'История отказов'!AE807)=0,COUNTIFS('История отказов'!$F$5:F807,"ЭВН",'История отказов'!$AE$5:AE807,'История отказов'!AE807)=1,'История отказов'!F807="ЭВН"),803,""))</f>
        <v/>
      </c>
      <c r="DF804">
        <f>IF('История отказов'!AE807="","",IF(AND(COUNTIF($CX$2:$CX$2,'История отказов'!AE807)=0,COUNTIFS('История отказов'!$F$5:F807,"ШВН",'История отказов'!$AE$5:AE807,'История отказов'!AE807)=1,'История отказов'!F807="ШВН"),803,""))</f>
        <v/>
      </c>
      <c r="DG804">
        <f>IF('История отказов'!AE807="","",IF(AND(COUNTIF($CW$2:$CW$2,'История отказов'!AE807)=0,COUNTIFS('История отказов'!$F$5:F807,"НПУ-ВД",'История отказов'!$AE$5:AE807,'История отказов'!AE807)=1,'История отказов'!F807="НПУ-ВД"),803,""))</f>
        <v/>
      </c>
      <c r="DH804">
        <f>IF('История отказов'!AE807="","",IF(AND(COUNTIF($CY$2:$CY$6,'История отказов'!AE807)=0,COUNTIF('История отказов'!$AE$5:AE807,'История отказов'!AE807)=1),803,""))</f>
        <v/>
      </c>
      <c r="DI804">
        <f>IF('История отказов'!AK807="","",IF(AND(COUNTIF($CL$2:$CL$3,'История отказов'!AK807)=0,COUNTIF('История отказов'!$AK$5:AK807,'История отказов'!AK807)=1),803,""))</f>
        <v/>
      </c>
      <c r="DJ804">
        <f>IF('История отказов'!AU807="","",IF(AND(COUNTIF($CP$2:$CP$3,'История отказов'!AU807)=0,COUNTIF('История отказов'!$AU$5:AU807,'История отказов'!AU807)=1),803,""))</f>
        <v/>
      </c>
      <c r="DK804">
        <f>IF('История отказов'!AY807="","",IF(AND(COUNTIF($CR$2:$CR$2,'История отказов'!AY807)=0,COUNTIF('История отказов'!$AY$5:AY807,'История отказов'!AY807)=1),803,""))</f>
        <v/>
      </c>
      <c r="DL804">
        <f>IF(DB804="","",IF(AND(COUNTIF($DA$2:$DA$47,DB804)=0,COUNTIF($DB$2:DB804,DB804)=1),803,""))</f>
        <v/>
      </c>
    </row>
    <row r="805">
      <c r="A805" s="74" t="n"/>
      <c r="B805" s="75" t="n"/>
      <c r="C805" s="76" t="n"/>
      <c r="DB805">
        <f>IF('История отказов'!AH808="","",'История отказов'!AH808)</f>
        <v/>
      </c>
      <c r="DC805">
        <f>IF('История отказов'!AE808="","",IF(AND(COUNTIF($CT$2:$CT$2,'История отказов'!AE808)=0,COUNTIFS('История отказов'!$F$5:F808,"ШГН",'История отказов'!$AE$5:AE808,'История отказов'!AE808)=1,'История отказов'!F808="ШГН"),804,""))</f>
        <v/>
      </c>
      <c r="DD805">
        <f>IF('История отказов'!AE808="","",IF(AND(COUNTIF($CU$2:$CU$3,'История отказов'!AE808)=0,COUNTIFS('История отказов'!$F$5:F808,"ЭЦН",'История отказов'!$AE$5:AE808,'История отказов'!AE808)=1,'История отказов'!F808="ЭЦН"),804,""))</f>
        <v/>
      </c>
      <c r="DE805">
        <f>IF('История отказов'!AE808="","",IF(AND(COUNTIF($CV$2:$CV$3,'История отказов'!AE808)=0,COUNTIFS('История отказов'!$F$5:F808,"ЭВН",'История отказов'!$AE$5:AE808,'История отказов'!AE808)=1,'История отказов'!F808="ЭВН"),804,""))</f>
        <v/>
      </c>
      <c r="DF805">
        <f>IF('История отказов'!AE808="","",IF(AND(COUNTIF($CX$2:$CX$2,'История отказов'!AE808)=0,COUNTIFS('История отказов'!$F$5:F808,"ШВН",'История отказов'!$AE$5:AE808,'История отказов'!AE808)=1,'История отказов'!F808="ШВН"),804,""))</f>
        <v/>
      </c>
      <c r="DG805">
        <f>IF('История отказов'!AE808="","",IF(AND(COUNTIF($CW$2:$CW$2,'История отказов'!AE808)=0,COUNTIFS('История отказов'!$F$5:F808,"НПУ-ВД",'История отказов'!$AE$5:AE808,'История отказов'!AE808)=1,'История отказов'!F808="НПУ-ВД"),804,""))</f>
        <v/>
      </c>
      <c r="DH805">
        <f>IF('История отказов'!AE808="","",IF(AND(COUNTIF($CY$2:$CY$6,'История отказов'!AE808)=0,COUNTIF('История отказов'!$AE$5:AE808,'История отказов'!AE808)=1),804,""))</f>
        <v/>
      </c>
      <c r="DI805">
        <f>IF('История отказов'!AK808="","",IF(AND(COUNTIF($CL$2:$CL$3,'История отказов'!AK808)=0,COUNTIF('История отказов'!$AK$5:AK808,'История отказов'!AK808)=1),804,""))</f>
        <v/>
      </c>
      <c r="DJ805">
        <f>IF('История отказов'!AU808="","",IF(AND(COUNTIF($CP$2:$CP$3,'История отказов'!AU808)=0,COUNTIF('История отказов'!$AU$5:AU808,'История отказов'!AU808)=1),804,""))</f>
        <v/>
      </c>
      <c r="DK805">
        <f>IF('История отказов'!AY808="","",IF(AND(COUNTIF($CR$2:$CR$2,'История отказов'!AY808)=0,COUNTIF('История отказов'!$AY$5:AY808,'История отказов'!AY808)=1),804,""))</f>
        <v/>
      </c>
      <c r="DL805">
        <f>IF(DB805="","",IF(AND(COUNTIF($DA$2:$DA$47,DB805)=0,COUNTIF($DB$2:DB805,DB805)=1),804,""))</f>
        <v/>
      </c>
    </row>
    <row r="806">
      <c r="A806" s="74" t="n"/>
      <c r="B806" s="75" t="n"/>
      <c r="C806" s="76" t="n"/>
      <c r="DB806">
        <f>IF('История отказов'!AH809="","",'История отказов'!AH809)</f>
        <v/>
      </c>
      <c r="DC806">
        <f>IF('История отказов'!AE809="","",IF(AND(COUNTIF($CT$2:$CT$2,'История отказов'!AE809)=0,COUNTIFS('История отказов'!$F$5:F809,"ШГН",'История отказов'!$AE$5:AE809,'История отказов'!AE809)=1,'История отказов'!F809="ШГН"),805,""))</f>
        <v/>
      </c>
      <c r="DD806">
        <f>IF('История отказов'!AE809="","",IF(AND(COUNTIF($CU$2:$CU$3,'История отказов'!AE809)=0,COUNTIFS('История отказов'!$F$5:F809,"ЭЦН",'История отказов'!$AE$5:AE809,'История отказов'!AE809)=1,'История отказов'!F809="ЭЦН"),805,""))</f>
        <v/>
      </c>
      <c r="DE806">
        <f>IF('История отказов'!AE809="","",IF(AND(COUNTIF($CV$2:$CV$3,'История отказов'!AE809)=0,COUNTIFS('История отказов'!$F$5:F809,"ЭВН",'История отказов'!$AE$5:AE809,'История отказов'!AE809)=1,'История отказов'!F809="ЭВН"),805,""))</f>
        <v/>
      </c>
      <c r="DF806">
        <f>IF('История отказов'!AE809="","",IF(AND(COUNTIF($CX$2:$CX$2,'История отказов'!AE809)=0,COUNTIFS('История отказов'!$F$5:F809,"ШВН",'История отказов'!$AE$5:AE809,'История отказов'!AE809)=1,'История отказов'!F809="ШВН"),805,""))</f>
        <v/>
      </c>
      <c r="DG806">
        <f>IF('История отказов'!AE809="","",IF(AND(COUNTIF($CW$2:$CW$2,'История отказов'!AE809)=0,COUNTIFS('История отказов'!$F$5:F809,"НПУ-ВД",'История отказов'!$AE$5:AE809,'История отказов'!AE809)=1,'История отказов'!F809="НПУ-ВД"),805,""))</f>
        <v/>
      </c>
      <c r="DH806">
        <f>IF('История отказов'!AE809="","",IF(AND(COUNTIF($CY$2:$CY$6,'История отказов'!AE809)=0,COUNTIF('История отказов'!$AE$5:AE809,'История отказов'!AE809)=1),805,""))</f>
        <v/>
      </c>
      <c r="DI806">
        <f>IF('История отказов'!AK809="","",IF(AND(COUNTIF($CL$2:$CL$3,'История отказов'!AK809)=0,COUNTIF('История отказов'!$AK$5:AK809,'История отказов'!AK809)=1),805,""))</f>
        <v/>
      </c>
      <c r="DJ806">
        <f>IF('История отказов'!AU809="","",IF(AND(COUNTIF($CP$2:$CP$3,'История отказов'!AU809)=0,COUNTIF('История отказов'!$AU$5:AU809,'История отказов'!AU809)=1),805,""))</f>
        <v/>
      </c>
      <c r="DK806">
        <f>IF('История отказов'!AY809="","",IF(AND(COUNTIF($CR$2:$CR$2,'История отказов'!AY809)=0,COUNTIF('История отказов'!$AY$5:AY809,'История отказов'!AY809)=1),805,""))</f>
        <v/>
      </c>
      <c r="DL806">
        <f>IF(DB806="","",IF(AND(COUNTIF($DA$2:$DA$47,DB806)=0,COUNTIF($DB$2:DB806,DB806)=1),805,""))</f>
        <v/>
      </c>
    </row>
    <row r="807">
      <c r="A807" s="74" t="n"/>
      <c r="B807" s="75" t="n"/>
      <c r="C807" s="76" t="n"/>
      <c r="DB807">
        <f>IF('История отказов'!AH810="","",'История отказов'!AH810)</f>
        <v/>
      </c>
      <c r="DC807">
        <f>IF('История отказов'!AE810="","",IF(AND(COUNTIF($CT$2:$CT$2,'История отказов'!AE810)=0,COUNTIFS('История отказов'!$F$5:F810,"ШГН",'История отказов'!$AE$5:AE810,'История отказов'!AE810)=1,'История отказов'!F810="ШГН"),806,""))</f>
        <v/>
      </c>
      <c r="DD807">
        <f>IF('История отказов'!AE810="","",IF(AND(COUNTIF($CU$2:$CU$3,'История отказов'!AE810)=0,COUNTIFS('История отказов'!$F$5:F810,"ЭЦН",'История отказов'!$AE$5:AE810,'История отказов'!AE810)=1,'История отказов'!F810="ЭЦН"),806,""))</f>
        <v/>
      </c>
      <c r="DE807">
        <f>IF('История отказов'!AE810="","",IF(AND(COUNTIF($CV$2:$CV$3,'История отказов'!AE810)=0,COUNTIFS('История отказов'!$F$5:F810,"ЭВН",'История отказов'!$AE$5:AE810,'История отказов'!AE810)=1,'История отказов'!F810="ЭВН"),806,""))</f>
        <v/>
      </c>
      <c r="DF807">
        <f>IF('История отказов'!AE810="","",IF(AND(COUNTIF($CX$2:$CX$2,'История отказов'!AE810)=0,COUNTIFS('История отказов'!$F$5:F810,"ШВН",'История отказов'!$AE$5:AE810,'История отказов'!AE810)=1,'История отказов'!F810="ШВН"),806,""))</f>
        <v/>
      </c>
      <c r="DG807">
        <f>IF('История отказов'!AE810="","",IF(AND(COUNTIF($CW$2:$CW$2,'История отказов'!AE810)=0,COUNTIFS('История отказов'!$F$5:F810,"НПУ-ВД",'История отказов'!$AE$5:AE810,'История отказов'!AE810)=1,'История отказов'!F810="НПУ-ВД"),806,""))</f>
        <v/>
      </c>
      <c r="DH807">
        <f>IF('История отказов'!AE810="","",IF(AND(COUNTIF($CY$2:$CY$6,'История отказов'!AE810)=0,COUNTIF('История отказов'!$AE$5:AE810,'История отказов'!AE810)=1),806,""))</f>
        <v/>
      </c>
      <c r="DI807">
        <f>IF('История отказов'!AK810="","",IF(AND(COUNTIF($CL$2:$CL$3,'История отказов'!AK810)=0,COUNTIF('История отказов'!$AK$5:AK810,'История отказов'!AK810)=1),806,""))</f>
        <v/>
      </c>
      <c r="DJ807">
        <f>IF('История отказов'!AU810="","",IF(AND(COUNTIF($CP$2:$CP$3,'История отказов'!AU810)=0,COUNTIF('История отказов'!$AU$5:AU810,'История отказов'!AU810)=1),806,""))</f>
        <v/>
      </c>
      <c r="DK807">
        <f>IF('История отказов'!AY810="","",IF(AND(COUNTIF($CR$2:$CR$2,'История отказов'!AY810)=0,COUNTIF('История отказов'!$AY$5:AY810,'История отказов'!AY810)=1),806,""))</f>
        <v/>
      </c>
      <c r="DL807">
        <f>IF(DB807="","",IF(AND(COUNTIF($DA$2:$DA$47,DB807)=0,COUNTIF($DB$2:DB807,DB807)=1),806,""))</f>
        <v/>
      </c>
    </row>
    <row r="808">
      <c r="A808" s="74" t="n"/>
      <c r="B808" s="75" t="n"/>
      <c r="C808" s="76" t="n"/>
      <c r="DB808">
        <f>IF('История отказов'!AH811="","",'История отказов'!AH811)</f>
        <v/>
      </c>
      <c r="DC808">
        <f>IF('История отказов'!AE811="","",IF(AND(COUNTIF($CT$2:$CT$2,'История отказов'!AE811)=0,COUNTIFS('История отказов'!$F$5:F811,"ШГН",'История отказов'!$AE$5:AE811,'История отказов'!AE811)=1,'История отказов'!F811="ШГН"),807,""))</f>
        <v/>
      </c>
      <c r="DD808">
        <f>IF('История отказов'!AE811="","",IF(AND(COUNTIF($CU$2:$CU$3,'История отказов'!AE811)=0,COUNTIFS('История отказов'!$F$5:F811,"ЭЦН",'История отказов'!$AE$5:AE811,'История отказов'!AE811)=1,'История отказов'!F811="ЭЦН"),807,""))</f>
        <v/>
      </c>
      <c r="DE808">
        <f>IF('История отказов'!AE811="","",IF(AND(COUNTIF($CV$2:$CV$3,'История отказов'!AE811)=0,COUNTIFS('История отказов'!$F$5:F811,"ЭВН",'История отказов'!$AE$5:AE811,'История отказов'!AE811)=1,'История отказов'!F811="ЭВН"),807,""))</f>
        <v/>
      </c>
      <c r="DF808">
        <f>IF('История отказов'!AE811="","",IF(AND(COUNTIF($CX$2:$CX$2,'История отказов'!AE811)=0,COUNTIFS('История отказов'!$F$5:F811,"ШВН",'История отказов'!$AE$5:AE811,'История отказов'!AE811)=1,'История отказов'!F811="ШВН"),807,""))</f>
        <v/>
      </c>
      <c r="DG808">
        <f>IF('История отказов'!AE811="","",IF(AND(COUNTIF($CW$2:$CW$2,'История отказов'!AE811)=0,COUNTIFS('История отказов'!$F$5:F811,"НПУ-ВД",'История отказов'!$AE$5:AE811,'История отказов'!AE811)=1,'История отказов'!F811="НПУ-ВД"),807,""))</f>
        <v/>
      </c>
      <c r="DH808">
        <f>IF('История отказов'!AE811="","",IF(AND(COUNTIF($CY$2:$CY$6,'История отказов'!AE811)=0,COUNTIF('История отказов'!$AE$5:AE811,'История отказов'!AE811)=1),807,""))</f>
        <v/>
      </c>
      <c r="DI808">
        <f>IF('История отказов'!AK811="","",IF(AND(COUNTIF($CL$2:$CL$3,'История отказов'!AK811)=0,COUNTIF('История отказов'!$AK$5:AK811,'История отказов'!AK811)=1),807,""))</f>
        <v/>
      </c>
      <c r="DJ808">
        <f>IF('История отказов'!AU811="","",IF(AND(COUNTIF($CP$2:$CP$3,'История отказов'!AU811)=0,COUNTIF('История отказов'!$AU$5:AU811,'История отказов'!AU811)=1),807,""))</f>
        <v/>
      </c>
      <c r="DK808">
        <f>IF('История отказов'!AY811="","",IF(AND(COUNTIF($CR$2:$CR$2,'История отказов'!AY811)=0,COUNTIF('История отказов'!$AY$5:AY811,'История отказов'!AY811)=1),807,""))</f>
        <v/>
      </c>
      <c r="DL808">
        <f>IF(DB808="","",IF(AND(COUNTIF($DA$2:$DA$47,DB808)=0,COUNTIF($DB$2:DB808,DB808)=1),807,""))</f>
        <v/>
      </c>
    </row>
    <row r="809">
      <c r="A809" s="74" t="n"/>
      <c r="B809" s="75" t="n"/>
      <c r="C809" s="76" t="n"/>
      <c r="DB809">
        <f>IF('История отказов'!AH812="","",'История отказов'!AH812)</f>
        <v/>
      </c>
      <c r="DC809">
        <f>IF('История отказов'!AE812="","",IF(AND(COUNTIF($CT$2:$CT$2,'История отказов'!AE812)=0,COUNTIFS('История отказов'!$F$5:F812,"ШГН",'История отказов'!$AE$5:AE812,'История отказов'!AE812)=1,'История отказов'!F812="ШГН"),808,""))</f>
        <v/>
      </c>
      <c r="DD809">
        <f>IF('История отказов'!AE812="","",IF(AND(COUNTIF($CU$2:$CU$3,'История отказов'!AE812)=0,COUNTIFS('История отказов'!$F$5:F812,"ЭЦН",'История отказов'!$AE$5:AE812,'История отказов'!AE812)=1,'История отказов'!F812="ЭЦН"),808,""))</f>
        <v/>
      </c>
      <c r="DE809">
        <f>IF('История отказов'!AE812="","",IF(AND(COUNTIF($CV$2:$CV$3,'История отказов'!AE812)=0,COUNTIFS('История отказов'!$F$5:F812,"ЭВН",'История отказов'!$AE$5:AE812,'История отказов'!AE812)=1,'История отказов'!F812="ЭВН"),808,""))</f>
        <v/>
      </c>
      <c r="DF809">
        <f>IF('История отказов'!AE812="","",IF(AND(COUNTIF($CX$2:$CX$2,'История отказов'!AE812)=0,COUNTIFS('История отказов'!$F$5:F812,"ШВН",'История отказов'!$AE$5:AE812,'История отказов'!AE812)=1,'История отказов'!F812="ШВН"),808,""))</f>
        <v/>
      </c>
      <c r="DG809">
        <f>IF('История отказов'!AE812="","",IF(AND(COUNTIF($CW$2:$CW$2,'История отказов'!AE812)=0,COUNTIFS('История отказов'!$F$5:F812,"НПУ-ВД",'История отказов'!$AE$5:AE812,'История отказов'!AE812)=1,'История отказов'!F812="НПУ-ВД"),808,""))</f>
        <v/>
      </c>
      <c r="DH809">
        <f>IF('История отказов'!AE812="","",IF(AND(COUNTIF($CY$2:$CY$6,'История отказов'!AE812)=0,COUNTIF('История отказов'!$AE$5:AE812,'История отказов'!AE812)=1),808,""))</f>
        <v/>
      </c>
      <c r="DI809">
        <f>IF('История отказов'!AK812="","",IF(AND(COUNTIF($CL$2:$CL$3,'История отказов'!AK812)=0,COUNTIF('История отказов'!$AK$5:AK812,'История отказов'!AK812)=1),808,""))</f>
        <v/>
      </c>
      <c r="DJ809">
        <f>IF('История отказов'!AU812="","",IF(AND(COUNTIF($CP$2:$CP$3,'История отказов'!AU812)=0,COUNTIF('История отказов'!$AU$5:AU812,'История отказов'!AU812)=1),808,""))</f>
        <v/>
      </c>
      <c r="DK809">
        <f>IF('История отказов'!AY812="","",IF(AND(COUNTIF($CR$2:$CR$2,'История отказов'!AY812)=0,COUNTIF('История отказов'!$AY$5:AY812,'История отказов'!AY812)=1),808,""))</f>
        <v/>
      </c>
      <c r="DL809">
        <f>IF(DB809="","",IF(AND(COUNTIF($DA$2:$DA$47,DB809)=0,COUNTIF($DB$2:DB809,DB809)=1),808,""))</f>
        <v/>
      </c>
    </row>
    <row r="810">
      <c r="A810" s="74" t="n"/>
      <c r="B810" s="75" t="n"/>
      <c r="C810" s="76" t="n"/>
      <c r="DB810">
        <f>IF('История отказов'!AH813="","",'История отказов'!AH813)</f>
        <v/>
      </c>
      <c r="DC810">
        <f>IF('История отказов'!AE813="","",IF(AND(COUNTIF($CT$2:$CT$2,'История отказов'!AE813)=0,COUNTIFS('История отказов'!$F$5:F813,"ШГН",'История отказов'!$AE$5:AE813,'История отказов'!AE813)=1,'История отказов'!F813="ШГН"),809,""))</f>
        <v/>
      </c>
      <c r="DD810">
        <f>IF('История отказов'!AE813="","",IF(AND(COUNTIF($CU$2:$CU$3,'История отказов'!AE813)=0,COUNTIFS('История отказов'!$F$5:F813,"ЭЦН",'История отказов'!$AE$5:AE813,'История отказов'!AE813)=1,'История отказов'!F813="ЭЦН"),809,""))</f>
        <v/>
      </c>
      <c r="DE810">
        <f>IF('История отказов'!AE813="","",IF(AND(COUNTIF($CV$2:$CV$3,'История отказов'!AE813)=0,COUNTIFS('История отказов'!$F$5:F813,"ЭВН",'История отказов'!$AE$5:AE813,'История отказов'!AE813)=1,'История отказов'!F813="ЭВН"),809,""))</f>
        <v/>
      </c>
      <c r="DF810">
        <f>IF('История отказов'!AE813="","",IF(AND(COUNTIF($CX$2:$CX$2,'История отказов'!AE813)=0,COUNTIFS('История отказов'!$F$5:F813,"ШВН",'История отказов'!$AE$5:AE813,'История отказов'!AE813)=1,'История отказов'!F813="ШВН"),809,""))</f>
        <v/>
      </c>
      <c r="DG810">
        <f>IF('История отказов'!AE813="","",IF(AND(COUNTIF($CW$2:$CW$2,'История отказов'!AE813)=0,COUNTIFS('История отказов'!$F$5:F813,"НПУ-ВД",'История отказов'!$AE$5:AE813,'История отказов'!AE813)=1,'История отказов'!F813="НПУ-ВД"),809,""))</f>
        <v/>
      </c>
      <c r="DH810">
        <f>IF('История отказов'!AE813="","",IF(AND(COUNTIF($CY$2:$CY$6,'История отказов'!AE813)=0,COUNTIF('История отказов'!$AE$5:AE813,'История отказов'!AE813)=1),809,""))</f>
        <v/>
      </c>
      <c r="DI810">
        <f>IF('История отказов'!AK813="","",IF(AND(COUNTIF($CL$2:$CL$3,'История отказов'!AK813)=0,COUNTIF('История отказов'!$AK$5:AK813,'История отказов'!AK813)=1),809,""))</f>
        <v/>
      </c>
      <c r="DJ810">
        <f>IF('История отказов'!AU813="","",IF(AND(COUNTIF($CP$2:$CP$3,'История отказов'!AU813)=0,COUNTIF('История отказов'!$AU$5:AU813,'История отказов'!AU813)=1),809,""))</f>
        <v/>
      </c>
      <c r="DK810">
        <f>IF('История отказов'!AY813="","",IF(AND(COUNTIF($CR$2:$CR$2,'История отказов'!AY813)=0,COUNTIF('История отказов'!$AY$5:AY813,'История отказов'!AY813)=1),809,""))</f>
        <v/>
      </c>
      <c r="DL810">
        <f>IF(DB810="","",IF(AND(COUNTIF($DA$2:$DA$47,DB810)=0,COUNTIF($DB$2:DB810,DB810)=1),809,""))</f>
        <v/>
      </c>
    </row>
    <row r="811">
      <c r="A811" s="74" t="n"/>
      <c r="B811" s="75" t="n"/>
      <c r="C811" s="76" t="n"/>
      <c r="DB811">
        <f>IF('История отказов'!AH814="","",'История отказов'!AH814)</f>
        <v/>
      </c>
      <c r="DC811">
        <f>IF('История отказов'!AE814="","",IF(AND(COUNTIF($CT$2:$CT$2,'История отказов'!AE814)=0,COUNTIFS('История отказов'!$F$5:F814,"ШГН",'История отказов'!$AE$5:AE814,'История отказов'!AE814)=1,'История отказов'!F814="ШГН"),810,""))</f>
        <v/>
      </c>
      <c r="DD811">
        <f>IF('История отказов'!AE814="","",IF(AND(COUNTIF($CU$2:$CU$3,'История отказов'!AE814)=0,COUNTIFS('История отказов'!$F$5:F814,"ЭЦН",'История отказов'!$AE$5:AE814,'История отказов'!AE814)=1,'История отказов'!F814="ЭЦН"),810,""))</f>
        <v/>
      </c>
      <c r="DE811">
        <f>IF('История отказов'!AE814="","",IF(AND(COUNTIF($CV$2:$CV$3,'История отказов'!AE814)=0,COUNTIFS('История отказов'!$F$5:F814,"ЭВН",'История отказов'!$AE$5:AE814,'История отказов'!AE814)=1,'История отказов'!F814="ЭВН"),810,""))</f>
        <v/>
      </c>
      <c r="DF811">
        <f>IF('История отказов'!AE814="","",IF(AND(COUNTIF($CX$2:$CX$2,'История отказов'!AE814)=0,COUNTIFS('История отказов'!$F$5:F814,"ШВН",'История отказов'!$AE$5:AE814,'История отказов'!AE814)=1,'История отказов'!F814="ШВН"),810,""))</f>
        <v/>
      </c>
      <c r="DG811">
        <f>IF('История отказов'!AE814="","",IF(AND(COUNTIF($CW$2:$CW$2,'История отказов'!AE814)=0,COUNTIFS('История отказов'!$F$5:F814,"НПУ-ВД",'История отказов'!$AE$5:AE814,'История отказов'!AE814)=1,'История отказов'!F814="НПУ-ВД"),810,""))</f>
        <v/>
      </c>
      <c r="DH811">
        <f>IF('История отказов'!AE814="","",IF(AND(COUNTIF($CY$2:$CY$6,'История отказов'!AE814)=0,COUNTIF('История отказов'!$AE$5:AE814,'История отказов'!AE814)=1),810,""))</f>
        <v/>
      </c>
      <c r="DI811">
        <f>IF('История отказов'!AK814="","",IF(AND(COUNTIF($CL$2:$CL$3,'История отказов'!AK814)=0,COUNTIF('История отказов'!$AK$5:AK814,'История отказов'!AK814)=1),810,""))</f>
        <v/>
      </c>
      <c r="DJ811">
        <f>IF('История отказов'!AU814="","",IF(AND(COUNTIF($CP$2:$CP$3,'История отказов'!AU814)=0,COUNTIF('История отказов'!$AU$5:AU814,'История отказов'!AU814)=1),810,""))</f>
        <v/>
      </c>
      <c r="DK811">
        <f>IF('История отказов'!AY814="","",IF(AND(COUNTIF($CR$2:$CR$2,'История отказов'!AY814)=0,COUNTIF('История отказов'!$AY$5:AY814,'История отказов'!AY814)=1),810,""))</f>
        <v/>
      </c>
      <c r="DL811">
        <f>IF(DB811="","",IF(AND(COUNTIF($DA$2:$DA$47,DB811)=0,COUNTIF($DB$2:DB811,DB811)=1),810,""))</f>
        <v/>
      </c>
    </row>
    <row r="812">
      <c r="A812" s="74" t="n"/>
      <c r="B812" s="75" t="n"/>
      <c r="C812" s="76" t="n"/>
      <c r="DB812">
        <f>IF('История отказов'!AH815="","",'История отказов'!AH815)</f>
        <v/>
      </c>
      <c r="DC812">
        <f>IF('История отказов'!AE815="","",IF(AND(COUNTIF($CT$2:$CT$2,'История отказов'!AE815)=0,COUNTIFS('История отказов'!$F$5:F815,"ШГН",'История отказов'!$AE$5:AE815,'История отказов'!AE815)=1,'История отказов'!F815="ШГН"),811,""))</f>
        <v/>
      </c>
      <c r="DD812">
        <f>IF('История отказов'!AE815="","",IF(AND(COUNTIF($CU$2:$CU$3,'История отказов'!AE815)=0,COUNTIFS('История отказов'!$F$5:F815,"ЭЦН",'История отказов'!$AE$5:AE815,'История отказов'!AE815)=1,'История отказов'!F815="ЭЦН"),811,""))</f>
        <v/>
      </c>
      <c r="DE812">
        <f>IF('История отказов'!AE815="","",IF(AND(COUNTIF($CV$2:$CV$3,'История отказов'!AE815)=0,COUNTIFS('История отказов'!$F$5:F815,"ЭВН",'История отказов'!$AE$5:AE815,'История отказов'!AE815)=1,'История отказов'!F815="ЭВН"),811,""))</f>
        <v/>
      </c>
      <c r="DF812">
        <f>IF('История отказов'!AE815="","",IF(AND(COUNTIF($CX$2:$CX$2,'История отказов'!AE815)=0,COUNTIFS('История отказов'!$F$5:F815,"ШВН",'История отказов'!$AE$5:AE815,'История отказов'!AE815)=1,'История отказов'!F815="ШВН"),811,""))</f>
        <v/>
      </c>
      <c r="DG812">
        <f>IF('История отказов'!AE815="","",IF(AND(COUNTIF($CW$2:$CW$2,'История отказов'!AE815)=0,COUNTIFS('История отказов'!$F$5:F815,"НПУ-ВД",'История отказов'!$AE$5:AE815,'История отказов'!AE815)=1,'История отказов'!F815="НПУ-ВД"),811,""))</f>
        <v/>
      </c>
      <c r="DH812">
        <f>IF('История отказов'!AE815="","",IF(AND(COUNTIF($CY$2:$CY$6,'История отказов'!AE815)=0,COUNTIF('История отказов'!$AE$5:AE815,'История отказов'!AE815)=1),811,""))</f>
        <v/>
      </c>
      <c r="DI812">
        <f>IF('История отказов'!AK815="","",IF(AND(COUNTIF($CL$2:$CL$3,'История отказов'!AK815)=0,COUNTIF('История отказов'!$AK$5:AK815,'История отказов'!AK815)=1),811,""))</f>
        <v/>
      </c>
      <c r="DJ812">
        <f>IF('История отказов'!AU815="","",IF(AND(COUNTIF($CP$2:$CP$3,'История отказов'!AU815)=0,COUNTIF('История отказов'!$AU$5:AU815,'История отказов'!AU815)=1),811,""))</f>
        <v/>
      </c>
      <c r="DK812">
        <f>IF('История отказов'!AY815="","",IF(AND(COUNTIF($CR$2:$CR$2,'История отказов'!AY815)=0,COUNTIF('История отказов'!$AY$5:AY815,'История отказов'!AY815)=1),811,""))</f>
        <v/>
      </c>
      <c r="DL812">
        <f>IF(DB812="","",IF(AND(COUNTIF($DA$2:$DA$47,DB812)=0,COUNTIF($DB$2:DB812,DB812)=1),811,""))</f>
        <v/>
      </c>
    </row>
    <row r="813">
      <c r="A813" s="74" t="n"/>
      <c r="B813" s="75" t="n"/>
      <c r="C813" s="76" t="n"/>
      <c r="DB813">
        <f>IF('История отказов'!AH816="","",'История отказов'!AH816)</f>
        <v/>
      </c>
      <c r="DC813">
        <f>IF('История отказов'!AE816="","",IF(AND(COUNTIF($CT$2:$CT$2,'История отказов'!AE816)=0,COUNTIFS('История отказов'!$F$5:F816,"ШГН",'История отказов'!$AE$5:AE816,'История отказов'!AE816)=1,'История отказов'!F816="ШГН"),812,""))</f>
        <v/>
      </c>
      <c r="DD813">
        <f>IF('История отказов'!AE816="","",IF(AND(COUNTIF($CU$2:$CU$3,'История отказов'!AE816)=0,COUNTIFS('История отказов'!$F$5:F816,"ЭЦН",'История отказов'!$AE$5:AE816,'История отказов'!AE816)=1,'История отказов'!F816="ЭЦН"),812,""))</f>
        <v/>
      </c>
      <c r="DE813">
        <f>IF('История отказов'!AE816="","",IF(AND(COUNTIF($CV$2:$CV$3,'История отказов'!AE816)=0,COUNTIFS('История отказов'!$F$5:F816,"ЭВН",'История отказов'!$AE$5:AE816,'История отказов'!AE816)=1,'История отказов'!F816="ЭВН"),812,""))</f>
        <v/>
      </c>
      <c r="DF813">
        <f>IF('История отказов'!AE816="","",IF(AND(COUNTIF($CX$2:$CX$2,'История отказов'!AE816)=0,COUNTIFS('История отказов'!$F$5:F816,"ШВН",'История отказов'!$AE$5:AE816,'История отказов'!AE816)=1,'История отказов'!F816="ШВН"),812,""))</f>
        <v/>
      </c>
      <c r="DG813">
        <f>IF('История отказов'!AE816="","",IF(AND(COUNTIF($CW$2:$CW$2,'История отказов'!AE816)=0,COUNTIFS('История отказов'!$F$5:F816,"НПУ-ВД",'История отказов'!$AE$5:AE816,'История отказов'!AE816)=1,'История отказов'!F816="НПУ-ВД"),812,""))</f>
        <v/>
      </c>
      <c r="DH813">
        <f>IF('История отказов'!AE816="","",IF(AND(COUNTIF($CY$2:$CY$6,'История отказов'!AE816)=0,COUNTIF('История отказов'!$AE$5:AE816,'История отказов'!AE816)=1),812,""))</f>
        <v/>
      </c>
      <c r="DI813">
        <f>IF('История отказов'!AK816="","",IF(AND(COUNTIF($CL$2:$CL$3,'История отказов'!AK816)=0,COUNTIF('История отказов'!$AK$5:AK816,'История отказов'!AK816)=1),812,""))</f>
        <v/>
      </c>
      <c r="DJ813">
        <f>IF('История отказов'!AU816="","",IF(AND(COUNTIF($CP$2:$CP$3,'История отказов'!AU816)=0,COUNTIF('История отказов'!$AU$5:AU816,'История отказов'!AU816)=1),812,""))</f>
        <v/>
      </c>
      <c r="DK813">
        <f>IF('История отказов'!AY816="","",IF(AND(COUNTIF($CR$2:$CR$2,'История отказов'!AY816)=0,COUNTIF('История отказов'!$AY$5:AY816,'История отказов'!AY816)=1),812,""))</f>
        <v/>
      </c>
      <c r="DL813">
        <f>IF(DB813="","",IF(AND(COUNTIF($DA$2:$DA$47,DB813)=0,COUNTIF($DB$2:DB813,DB813)=1),812,""))</f>
        <v/>
      </c>
    </row>
    <row r="814">
      <c r="A814" s="74" t="n"/>
      <c r="B814" s="75" t="n"/>
      <c r="C814" s="76" t="n"/>
      <c r="DB814">
        <f>IF('История отказов'!AH817="","",'История отказов'!AH817)</f>
        <v/>
      </c>
      <c r="DC814">
        <f>IF('История отказов'!AE817="","",IF(AND(COUNTIF($CT$2:$CT$2,'История отказов'!AE817)=0,COUNTIFS('История отказов'!$F$5:F817,"ШГН",'История отказов'!$AE$5:AE817,'История отказов'!AE817)=1,'История отказов'!F817="ШГН"),813,""))</f>
        <v/>
      </c>
      <c r="DD814">
        <f>IF('История отказов'!AE817="","",IF(AND(COUNTIF($CU$2:$CU$3,'История отказов'!AE817)=0,COUNTIFS('История отказов'!$F$5:F817,"ЭЦН",'История отказов'!$AE$5:AE817,'История отказов'!AE817)=1,'История отказов'!F817="ЭЦН"),813,""))</f>
        <v/>
      </c>
      <c r="DE814">
        <f>IF('История отказов'!AE817="","",IF(AND(COUNTIF($CV$2:$CV$3,'История отказов'!AE817)=0,COUNTIFS('История отказов'!$F$5:F817,"ЭВН",'История отказов'!$AE$5:AE817,'История отказов'!AE817)=1,'История отказов'!F817="ЭВН"),813,""))</f>
        <v/>
      </c>
      <c r="DF814">
        <f>IF('История отказов'!AE817="","",IF(AND(COUNTIF($CX$2:$CX$2,'История отказов'!AE817)=0,COUNTIFS('История отказов'!$F$5:F817,"ШВН",'История отказов'!$AE$5:AE817,'История отказов'!AE817)=1,'История отказов'!F817="ШВН"),813,""))</f>
        <v/>
      </c>
      <c r="DG814">
        <f>IF('История отказов'!AE817="","",IF(AND(COUNTIF($CW$2:$CW$2,'История отказов'!AE817)=0,COUNTIFS('История отказов'!$F$5:F817,"НПУ-ВД",'История отказов'!$AE$5:AE817,'История отказов'!AE817)=1,'История отказов'!F817="НПУ-ВД"),813,""))</f>
        <v/>
      </c>
      <c r="DH814">
        <f>IF('История отказов'!AE817="","",IF(AND(COUNTIF($CY$2:$CY$6,'История отказов'!AE817)=0,COUNTIF('История отказов'!$AE$5:AE817,'История отказов'!AE817)=1),813,""))</f>
        <v/>
      </c>
      <c r="DI814">
        <f>IF('История отказов'!AK817="","",IF(AND(COUNTIF($CL$2:$CL$3,'История отказов'!AK817)=0,COUNTIF('История отказов'!$AK$5:AK817,'История отказов'!AK817)=1),813,""))</f>
        <v/>
      </c>
      <c r="DJ814">
        <f>IF('История отказов'!AU817="","",IF(AND(COUNTIF($CP$2:$CP$3,'История отказов'!AU817)=0,COUNTIF('История отказов'!$AU$5:AU817,'История отказов'!AU817)=1),813,""))</f>
        <v/>
      </c>
      <c r="DK814">
        <f>IF('История отказов'!AY817="","",IF(AND(COUNTIF($CR$2:$CR$2,'История отказов'!AY817)=0,COUNTIF('История отказов'!$AY$5:AY817,'История отказов'!AY817)=1),813,""))</f>
        <v/>
      </c>
      <c r="DL814">
        <f>IF(DB814="","",IF(AND(COUNTIF($DA$2:$DA$47,DB814)=0,COUNTIF($DB$2:DB814,DB814)=1),813,""))</f>
        <v/>
      </c>
    </row>
    <row r="815">
      <c r="A815" s="74" t="n"/>
      <c r="B815" s="75" t="n"/>
      <c r="C815" s="76" t="n"/>
      <c r="DB815">
        <f>IF('История отказов'!AH818="","",'История отказов'!AH818)</f>
        <v/>
      </c>
      <c r="DC815">
        <f>IF('История отказов'!AE818="","",IF(AND(COUNTIF($CT$2:$CT$2,'История отказов'!AE818)=0,COUNTIFS('История отказов'!$F$5:F818,"ШГН",'История отказов'!$AE$5:AE818,'История отказов'!AE818)=1,'История отказов'!F818="ШГН"),814,""))</f>
        <v/>
      </c>
      <c r="DD815">
        <f>IF('История отказов'!AE818="","",IF(AND(COUNTIF($CU$2:$CU$3,'История отказов'!AE818)=0,COUNTIFS('История отказов'!$F$5:F818,"ЭЦН",'История отказов'!$AE$5:AE818,'История отказов'!AE818)=1,'История отказов'!F818="ЭЦН"),814,""))</f>
        <v/>
      </c>
      <c r="DE815">
        <f>IF('История отказов'!AE818="","",IF(AND(COUNTIF($CV$2:$CV$3,'История отказов'!AE818)=0,COUNTIFS('История отказов'!$F$5:F818,"ЭВН",'История отказов'!$AE$5:AE818,'История отказов'!AE818)=1,'История отказов'!F818="ЭВН"),814,""))</f>
        <v/>
      </c>
      <c r="DF815">
        <f>IF('История отказов'!AE818="","",IF(AND(COUNTIF($CX$2:$CX$2,'История отказов'!AE818)=0,COUNTIFS('История отказов'!$F$5:F818,"ШВН",'История отказов'!$AE$5:AE818,'История отказов'!AE818)=1,'История отказов'!F818="ШВН"),814,""))</f>
        <v/>
      </c>
      <c r="DG815">
        <f>IF('История отказов'!AE818="","",IF(AND(COUNTIF($CW$2:$CW$2,'История отказов'!AE818)=0,COUNTIFS('История отказов'!$F$5:F818,"НПУ-ВД",'История отказов'!$AE$5:AE818,'История отказов'!AE818)=1,'История отказов'!F818="НПУ-ВД"),814,""))</f>
        <v/>
      </c>
      <c r="DH815">
        <f>IF('История отказов'!AE818="","",IF(AND(COUNTIF($CY$2:$CY$6,'История отказов'!AE818)=0,COUNTIF('История отказов'!$AE$5:AE818,'История отказов'!AE818)=1),814,""))</f>
        <v/>
      </c>
      <c r="DI815">
        <f>IF('История отказов'!AK818="","",IF(AND(COUNTIF($CL$2:$CL$3,'История отказов'!AK818)=0,COUNTIF('История отказов'!$AK$5:AK818,'История отказов'!AK818)=1),814,""))</f>
        <v/>
      </c>
      <c r="DJ815">
        <f>IF('История отказов'!AU818="","",IF(AND(COUNTIF($CP$2:$CP$3,'История отказов'!AU818)=0,COUNTIF('История отказов'!$AU$5:AU818,'История отказов'!AU818)=1),814,""))</f>
        <v/>
      </c>
      <c r="DK815">
        <f>IF('История отказов'!AY818="","",IF(AND(COUNTIF($CR$2:$CR$2,'История отказов'!AY818)=0,COUNTIF('История отказов'!$AY$5:AY818,'История отказов'!AY818)=1),814,""))</f>
        <v/>
      </c>
      <c r="DL815">
        <f>IF(DB815="","",IF(AND(COUNTIF($DA$2:$DA$47,DB815)=0,COUNTIF($DB$2:DB815,DB815)=1),814,""))</f>
        <v/>
      </c>
    </row>
    <row r="816">
      <c r="A816" s="74" t="n"/>
      <c r="B816" s="75" t="n"/>
      <c r="C816" s="76" t="n"/>
      <c r="DB816">
        <f>IF('История отказов'!AH819="","",'История отказов'!AH819)</f>
        <v/>
      </c>
      <c r="DC816">
        <f>IF('История отказов'!AE819="","",IF(AND(COUNTIF($CT$2:$CT$2,'История отказов'!AE819)=0,COUNTIFS('История отказов'!$F$5:F819,"ШГН",'История отказов'!$AE$5:AE819,'История отказов'!AE819)=1,'История отказов'!F819="ШГН"),815,""))</f>
        <v/>
      </c>
      <c r="DD816">
        <f>IF('История отказов'!AE819="","",IF(AND(COUNTIF($CU$2:$CU$3,'История отказов'!AE819)=0,COUNTIFS('История отказов'!$F$5:F819,"ЭЦН",'История отказов'!$AE$5:AE819,'История отказов'!AE819)=1,'История отказов'!F819="ЭЦН"),815,""))</f>
        <v/>
      </c>
      <c r="DE816">
        <f>IF('История отказов'!AE819="","",IF(AND(COUNTIF($CV$2:$CV$3,'История отказов'!AE819)=0,COUNTIFS('История отказов'!$F$5:F819,"ЭВН",'История отказов'!$AE$5:AE819,'История отказов'!AE819)=1,'История отказов'!F819="ЭВН"),815,""))</f>
        <v/>
      </c>
      <c r="DF816">
        <f>IF('История отказов'!AE819="","",IF(AND(COUNTIF($CX$2:$CX$2,'История отказов'!AE819)=0,COUNTIFS('История отказов'!$F$5:F819,"ШВН",'История отказов'!$AE$5:AE819,'История отказов'!AE819)=1,'История отказов'!F819="ШВН"),815,""))</f>
        <v/>
      </c>
      <c r="DG816">
        <f>IF('История отказов'!AE819="","",IF(AND(COUNTIF($CW$2:$CW$2,'История отказов'!AE819)=0,COUNTIFS('История отказов'!$F$5:F819,"НПУ-ВД",'История отказов'!$AE$5:AE819,'История отказов'!AE819)=1,'История отказов'!F819="НПУ-ВД"),815,""))</f>
        <v/>
      </c>
      <c r="DH816">
        <f>IF('История отказов'!AE819="","",IF(AND(COUNTIF($CY$2:$CY$6,'История отказов'!AE819)=0,COUNTIF('История отказов'!$AE$5:AE819,'История отказов'!AE819)=1),815,""))</f>
        <v/>
      </c>
      <c r="DI816">
        <f>IF('История отказов'!AK819="","",IF(AND(COUNTIF($CL$2:$CL$3,'История отказов'!AK819)=0,COUNTIF('История отказов'!$AK$5:AK819,'История отказов'!AK819)=1),815,""))</f>
        <v/>
      </c>
      <c r="DJ816">
        <f>IF('История отказов'!AU819="","",IF(AND(COUNTIF($CP$2:$CP$3,'История отказов'!AU819)=0,COUNTIF('История отказов'!$AU$5:AU819,'История отказов'!AU819)=1),815,""))</f>
        <v/>
      </c>
      <c r="DK816">
        <f>IF('История отказов'!AY819="","",IF(AND(COUNTIF($CR$2:$CR$2,'История отказов'!AY819)=0,COUNTIF('История отказов'!$AY$5:AY819,'История отказов'!AY819)=1),815,""))</f>
        <v/>
      </c>
      <c r="DL816">
        <f>IF(DB816="","",IF(AND(COUNTIF($DA$2:$DA$47,DB816)=0,COUNTIF($DB$2:DB816,DB816)=1),815,""))</f>
        <v/>
      </c>
    </row>
    <row r="817">
      <c r="A817" s="74" t="n"/>
      <c r="B817" s="75" t="n"/>
      <c r="C817" s="76" t="n"/>
      <c r="DB817">
        <f>IF('История отказов'!AH820="","",'История отказов'!AH820)</f>
        <v/>
      </c>
      <c r="DC817">
        <f>IF('История отказов'!AE820="","",IF(AND(COUNTIF($CT$2:$CT$2,'История отказов'!AE820)=0,COUNTIFS('История отказов'!$F$5:F820,"ШГН",'История отказов'!$AE$5:AE820,'История отказов'!AE820)=1,'История отказов'!F820="ШГН"),816,""))</f>
        <v/>
      </c>
      <c r="DD817">
        <f>IF('История отказов'!AE820="","",IF(AND(COUNTIF($CU$2:$CU$3,'История отказов'!AE820)=0,COUNTIFS('История отказов'!$F$5:F820,"ЭЦН",'История отказов'!$AE$5:AE820,'История отказов'!AE820)=1,'История отказов'!F820="ЭЦН"),816,""))</f>
        <v/>
      </c>
      <c r="DE817">
        <f>IF('История отказов'!AE820="","",IF(AND(COUNTIF($CV$2:$CV$3,'История отказов'!AE820)=0,COUNTIFS('История отказов'!$F$5:F820,"ЭВН",'История отказов'!$AE$5:AE820,'История отказов'!AE820)=1,'История отказов'!F820="ЭВН"),816,""))</f>
        <v/>
      </c>
      <c r="DF817">
        <f>IF('История отказов'!AE820="","",IF(AND(COUNTIF($CX$2:$CX$2,'История отказов'!AE820)=0,COUNTIFS('История отказов'!$F$5:F820,"ШВН",'История отказов'!$AE$5:AE820,'История отказов'!AE820)=1,'История отказов'!F820="ШВН"),816,""))</f>
        <v/>
      </c>
      <c r="DG817">
        <f>IF('История отказов'!AE820="","",IF(AND(COUNTIF($CW$2:$CW$2,'История отказов'!AE820)=0,COUNTIFS('История отказов'!$F$5:F820,"НПУ-ВД",'История отказов'!$AE$5:AE820,'История отказов'!AE820)=1,'История отказов'!F820="НПУ-ВД"),816,""))</f>
        <v/>
      </c>
      <c r="DH817">
        <f>IF('История отказов'!AE820="","",IF(AND(COUNTIF($CY$2:$CY$6,'История отказов'!AE820)=0,COUNTIF('История отказов'!$AE$5:AE820,'История отказов'!AE820)=1),816,""))</f>
        <v/>
      </c>
      <c r="DI817">
        <f>IF('История отказов'!AK820="","",IF(AND(COUNTIF($CL$2:$CL$3,'История отказов'!AK820)=0,COUNTIF('История отказов'!$AK$5:AK820,'История отказов'!AK820)=1),816,""))</f>
        <v/>
      </c>
      <c r="DJ817">
        <f>IF('История отказов'!AU820="","",IF(AND(COUNTIF($CP$2:$CP$3,'История отказов'!AU820)=0,COUNTIF('История отказов'!$AU$5:AU820,'История отказов'!AU820)=1),816,""))</f>
        <v/>
      </c>
      <c r="DK817">
        <f>IF('История отказов'!AY820="","",IF(AND(COUNTIF($CR$2:$CR$2,'История отказов'!AY820)=0,COUNTIF('История отказов'!$AY$5:AY820,'История отказов'!AY820)=1),816,""))</f>
        <v/>
      </c>
      <c r="DL817">
        <f>IF(DB817="","",IF(AND(COUNTIF($DA$2:$DA$47,DB817)=0,COUNTIF($DB$2:DB817,DB817)=1),816,""))</f>
        <v/>
      </c>
    </row>
    <row r="818">
      <c r="A818" s="74" t="n"/>
      <c r="B818" s="75" t="n"/>
      <c r="C818" s="76" t="n"/>
      <c r="DB818">
        <f>IF('История отказов'!AH821="","",'История отказов'!AH821)</f>
        <v/>
      </c>
      <c r="DC818">
        <f>IF('История отказов'!AE821="","",IF(AND(COUNTIF($CT$2:$CT$2,'История отказов'!AE821)=0,COUNTIFS('История отказов'!$F$5:F821,"ШГН",'История отказов'!$AE$5:AE821,'История отказов'!AE821)=1,'История отказов'!F821="ШГН"),817,""))</f>
        <v/>
      </c>
      <c r="DD818">
        <f>IF('История отказов'!AE821="","",IF(AND(COUNTIF($CU$2:$CU$3,'История отказов'!AE821)=0,COUNTIFS('История отказов'!$F$5:F821,"ЭЦН",'История отказов'!$AE$5:AE821,'История отказов'!AE821)=1,'История отказов'!F821="ЭЦН"),817,""))</f>
        <v/>
      </c>
      <c r="DE818">
        <f>IF('История отказов'!AE821="","",IF(AND(COUNTIF($CV$2:$CV$3,'История отказов'!AE821)=0,COUNTIFS('История отказов'!$F$5:F821,"ЭВН",'История отказов'!$AE$5:AE821,'История отказов'!AE821)=1,'История отказов'!F821="ЭВН"),817,""))</f>
        <v/>
      </c>
      <c r="DF818">
        <f>IF('История отказов'!AE821="","",IF(AND(COUNTIF($CX$2:$CX$2,'История отказов'!AE821)=0,COUNTIFS('История отказов'!$F$5:F821,"ШВН",'История отказов'!$AE$5:AE821,'История отказов'!AE821)=1,'История отказов'!F821="ШВН"),817,""))</f>
        <v/>
      </c>
      <c r="DG818">
        <f>IF('История отказов'!AE821="","",IF(AND(COUNTIF($CW$2:$CW$2,'История отказов'!AE821)=0,COUNTIFS('История отказов'!$F$5:F821,"НПУ-ВД",'История отказов'!$AE$5:AE821,'История отказов'!AE821)=1,'История отказов'!F821="НПУ-ВД"),817,""))</f>
        <v/>
      </c>
      <c r="DH818">
        <f>IF('История отказов'!AE821="","",IF(AND(COUNTIF($CY$2:$CY$6,'История отказов'!AE821)=0,COUNTIF('История отказов'!$AE$5:AE821,'История отказов'!AE821)=1),817,""))</f>
        <v/>
      </c>
      <c r="DI818">
        <f>IF('История отказов'!AK821="","",IF(AND(COUNTIF($CL$2:$CL$3,'История отказов'!AK821)=0,COUNTIF('История отказов'!$AK$5:AK821,'История отказов'!AK821)=1),817,""))</f>
        <v/>
      </c>
      <c r="DJ818">
        <f>IF('История отказов'!AU821="","",IF(AND(COUNTIF($CP$2:$CP$3,'История отказов'!AU821)=0,COUNTIF('История отказов'!$AU$5:AU821,'История отказов'!AU821)=1),817,""))</f>
        <v/>
      </c>
      <c r="DK818">
        <f>IF('История отказов'!AY821="","",IF(AND(COUNTIF($CR$2:$CR$2,'История отказов'!AY821)=0,COUNTIF('История отказов'!$AY$5:AY821,'История отказов'!AY821)=1),817,""))</f>
        <v/>
      </c>
      <c r="DL818">
        <f>IF(DB818="","",IF(AND(COUNTIF($DA$2:$DA$47,DB818)=0,COUNTIF($DB$2:DB818,DB818)=1),817,""))</f>
        <v/>
      </c>
    </row>
    <row r="819">
      <c r="A819" s="74" t="n"/>
      <c r="B819" s="75" t="n"/>
      <c r="C819" s="76" t="n"/>
      <c r="DB819">
        <f>IF('История отказов'!AH822="","",'История отказов'!AH822)</f>
        <v/>
      </c>
      <c r="DC819">
        <f>IF('История отказов'!AE822="","",IF(AND(COUNTIF($CT$2:$CT$2,'История отказов'!AE822)=0,COUNTIFS('История отказов'!$F$5:F822,"ШГН",'История отказов'!$AE$5:AE822,'История отказов'!AE822)=1,'История отказов'!F822="ШГН"),818,""))</f>
        <v/>
      </c>
      <c r="DD819">
        <f>IF('История отказов'!AE822="","",IF(AND(COUNTIF($CU$2:$CU$3,'История отказов'!AE822)=0,COUNTIFS('История отказов'!$F$5:F822,"ЭЦН",'История отказов'!$AE$5:AE822,'История отказов'!AE822)=1,'История отказов'!F822="ЭЦН"),818,""))</f>
        <v/>
      </c>
      <c r="DE819">
        <f>IF('История отказов'!AE822="","",IF(AND(COUNTIF($CV$2:$CV$3,'История отказов'!AE822)=0,COUNTIFS('История отказов'!$F$5:F822,"ЭВН",'История отказов'!$AE$5:AE822,'История отказов'!AE822)=1,'История отказов'!F822="ЭВН"),818,""))</f>
        <v/>
      </c>
      <c r="DF819">
        <f>IF('История отказов'!AE822="","",IF(AND(COUNTIF($CX$2:$CX$2,'История отказов'!AE822)=0,COUNTIFS('История отказов'!$F$5:F822,"ШВН",'История отказов'!$AE$5:AE822,'История отказов'!AE822)=1,'История отказов'!F822="ШВН"),818,""))</f>
        <v/>
      </c>
      <c r="DG819">
        <f>IF('История отказов'!AE822="","",IF(AND(COUNTIF($CW$2:$CW$2,'История отказов'!AE822)=0,COUNTIFS('История отказов'!$F$5:F822,"НПУ-ВД",'История отказов'!$AE$5:AE822,'История отказов'!AE822)=1,'История отказов'!F822="НПУ-ВД"),818,""))</f>
        <v/>
      </c>
      <c r="DH819">
        <f>IF('История отказов'!AE822="","",IF(AND(COUNTIF($CY$2:$CY$6,'История отказов'!AE822)=0,COUNTIF('История отказов'!$AE$5:AE822,'История отказов'!AE822)=1),818,""))</f>
        <v/>
      </c>
      <c r="DI819">
        <f>IF('История отказов'!AK822="","",IF(AND(COUNTIF($CL$2:$CL$3,'История отказов'!AK822)=0,COUNTIF('История отказов'!$AK$5:AK822,'История отказов'!AK822)=1),818,""))</f>
        <v/>
      </c>
      <c r="DJ819">
        <f>IF('История отказов'!AU822="","",IF(AND(COUNTIF($CP$2:$CP$3,'История отказов'!AU822)=0,COUNTIF('История отказов'!$AU$5:AU822,'История отказов'!AU822)=1),818,""))</f>
        <v/>
      </c>
      <c r="DK819">
        <f>IF('История отказов'!AY822="","",IF(AND(COUNTIF($CR$2:$CR$2,'История отказов'!AY822)=0,COUNTIF('История отказов'!$AY$5:AY822,'История отказов'!AY822)=1),818,""))</f>
        <v/>
      </c>
      <c r="DL819">
        <f>IF(DB819="","",IF(AND(COUNTIF($DA$2:$DA$47,DB819)=0,COUNTIF($DB$2:DB819,DB819)=1),818,""))</f>
        <v/>
      </c>
    </row>
    <row r="820">
      <c r="A820" s="74" t="n"/>
      <c r="B820" s="75" t="n"/>
      <c r="C820" s="76" t="n"/>
      <c r="DB820">
        <f>IF('История отказов'!AH823="","",'История отказов'!AH823)</f>
        <v/>
      </c>
      <c r="DC820">
        <f>IF('История отказов'!AE823="","",IF(AND(COUNTIF($CT$2:$CT$2,'История отказов'!AE823)=0,COUNTIFS('История отказов'!$F$5:F823,"ШГН",'История отказов'!$AE$5:AE823,'История отказов'!AE823)=1,'История отказов'!F823="ШГН"),819,""))</f>
        <v/>
      </c>
      <c r="DD820">
        <f>IF('История отказов'!AE823="","",IF(AND(COUNTIF($CU$2:$CU$3,'История отказов'!AE823)=0,COUNTIFS('История отказов'!$F$5:F823,"ЭЦН",'История отказов'!$AE$5:AE823,'История отказов'!AE823)=1,'История отказов'!F823="ЭЦН"),819,""))</f>
        <v/>
      </c>
      <c r="DE820">
        <f>IF('История отказов'!AE823="","",IF(AND(COUNTIF($CV$2:$CV$3,'История отказов'!AE823)=0,COUNTIFS('История отказов'!$F$5:F823,"ЭВН",'История отказов'!$AE$5:AE823,'История отказов'!AE823)=1,'История отказов'!F823="ЭВН"),819,""))</f>
        <v/>
      </c>
      <c r="DF820">
        <f>IF('История отказов'!AE823="","",IF(AND(COUNTIF($CX$2:$CX$2,'История отказов'!AE823)=0,COUNTIFS('История отказов'!$F$5:F823,"ШВН",'История отказов'!$AE$5:AE823,'История отказов'!AE823)=1,'История отказов'!F823="ШВН"),819,""))</f>
        <v/>
      </c>
      <c r="DG820">
        <f>IF('История отказов'!AE823="","",IF(AND(COUNTIF($CW$2:$CW$2,'История отказов'!AE823)=0,COUNTIFS('История отказов'!$F$5:F823,"НПУ-ВД",'История отказов'!$AE$5:AE823,'История отказов'!AE823)=1,'История отказов'!F823="НПУ-ВД"),819,""))</f>
        <v/>
      </c>
      <c r="DH820">
        <f>IF('История отказов'!AE823="","",IF(AND(COUNTIF($CY$2:$CY$6,'История отказов'!AE823)=0,COUNTIF('История отказов'!$AE$5:AE823,'История отказов'!AE823)=1),819,""))</f>
        <v/>
      </c>
      <c r="DI820">
        <f>IF('История отказов'!AK823="","",IF(AND(COUNTIF($CL$2:$CL$3,'История отказов'!AK823)=0,COUNTIF('История отказов'!$AK$5:AK823,'История отказов'!AK823)=1),819,""))</f>
        <v/>
      </c>
      <c r="DJ820">
        <f>IF('История отказов'!AU823="","",IF(AND(COUNTIF($CP$2:$CP$3,'История отказов'!AU823)=0,COUNTIF('История отказов'!$AU$5:AU823,'История отказов'!AU823)=1),819,""))</f>
        <v/>
      </c>
      <c r="DK820">
        <f>IF('История отказов'!AY823="","",IF(AND(COUNTIF($CR$2:$CR$2,'История отказов'!AY823)=0,COUNTIF('История отказов'!$AY$5:AY823,'История отказов'!AY823)=1),819,""))</f>
        <v/>
      </c>
      <c r="DL820">
        <f>IF(DB820="","",IF(AND(COUNTIF($DA$2:$DA$47,DB820)=0,COUNTIF($DB$2:DB820,DB820)=1),819,""))</f>
        <v/>
      </c>
    </row>
    <row r="821">
      <c r="A821" s="74" t="n"/>
      <c r="B821" s="75" t="n"/>
      <c r="C821" s="76" t="n"/>
      <c r="DB821">
        <f>IF('История отказов'!AH824="","",'История отказов'!AH824)</f>
        <v/>
      </c>
      <c r="DC821">
        <f>IF('История отказов'!AE824="","",IF(AND(COUNTIF($CT$2:$CT$2,'История отказов'!AE824)=0,COUNTIFS('История отказов'!$F$5:F824,"ШГН",'История отказов'!$AE$5:AE824,'История отказов'!AE824)=1,'История отказов'!F824="ШГН"),820,""))</f>
        <v/>
      </c>
      <c r="DD821">
        <f>IF('История отказов'!AE824="","",IF(AND(COUNTIF($CU$2:$CU$3,'История отказов'!AE824)=0,COUNTIFS('История отказов'!$F$5:F824,"ЭЦН",'История отказов'!$AE$5:AE824,'История отказов'!AE824)=1,'История отказов'!F824="ЭЦН"),820,""))</f>
        <v/>
      </c>
      <c r="DE821">
        <f>IF('История отказов'!AE824="","",IF(AND(COUNTIF($CV$2:$CV$3,'История отказов'!AE824)=0,COUNTIFS('История отказов'!$F$5:F824,"ЭВН",'История отказов'!$AE$5:AE824,'История отказов'!AE824)=1,'История отказов'!F824="ЭВН"),820,""))</f>
        <v/>
      </c>
      <c r="DF821">
        <f>IF('История отказов'!AE824="","",IF(AND(COUNTIF($CX$2:$CX$2,'История отказов'!AE824)=0,COUNTIFS('История отказов'!$F$5:F824,"ШВН",'История отказов'!$AE$5:AE824,'История отказов'!AE824)=1,'История отказов'!F824="ШВН"),820,""))</f>
        <v/>
      </c>
      <c r="DG821">
        <f>IF('История отказов'!AE824="","",IF(AND(COUNTIF($CW$2:$CW$2,'История отказов'!AE824)=0,COUNTIFS('История отказов'!$F$5:F824,"НПУ-ВД",'История отказов'!$AE$5:AE824,'История отказов'!AE824)=1,'История отказов'!F824="НПУ-ВД"),820,""))</f>
        <v/>
      </c>
      <c r="DH821">
        <f>IF('История отказов'!AE824="","",IF(AND(COUNTIF($CY$2:$CY$6,'История отказов'!AE824)=0,COUNTIF('История отказов'!$AE$5:AE824,'История отказов'!AE824)=1),820,""))</f>
        <v/>
      </c>
      <c r="DI821">
        <f>IF('История отказов'!AK824="","",IF(AND(COUNTIF($CL$2:$CL$3,'История отказов'!AK824)=0,COUNTIF('История отказов'!$AK$5:AK824,'История отказов'!AK824)=1),820,""))</f>
        <v/>
      </c>
      <c r="DJ821">
        <f>IF('История отказов'!AU824="","",IF(AND(COUNTIF($CP$2:$CP$3,'История отказов'!AU824)=0,COUNTIF('История отказов'!$AU$5:AU824,'История отказов'!AU824)=1),820,""))</f>
        <v/>
      </c>
      <c r="DK821">
        <f>IF('История отказов'!AY824="","",IF(AND(COUNTIF($CR$2:$CR$2,'История отказов'!AY824)=0,COUNTIF('История отказов'!$AY$5:AY824,'История отказов'!AY824)=1),820,""))</f>
        <v/>
      </c>
      <c r="DL821">
        <f>IF(DB821="","",IF(AND(COUNTIF($DA$2:$DA$47,DB821)=0,COUNTIF($DB$2:DB821,DB821)=1),820,""))</f>
        <v/>
      </c>
    </row>
    <row r="822">
      <c r="A822" s="74" t="n"/>
      <c r="B822" s="75" t="n"/>
      <c r="C822" s="76" t="n"/>
      <c r="DB822">
        <f>IF('История отказов'!AH825="","",'История отказов'!AH825)</f>
        <v/>
      </c>
      <c r="DC822">
        <f>IF('История отказов'!AE825="","",IF(AND(COUNTIF($CT$2:$CT$2,'История отказов'!AE825)=0,COUNTIFS('История отказов'!$F$5:F825,"ШГН",'История отказов'!$AE$5:AE825,'История отказов'!AE825)=1,'История отказов'!F825="ШГН"),821,""))</f>
        <v/>
      </c>
      <c r="DD822">
        <f>IF('История отказов'!AE825="","",IF(AND(COUNTIF($CU$2:$CU$3,'История отказов'!AE825)=0,COUNTIFS('История отказов'!$F$5:F825,"ЭЦН",'История отказов'!$AE$5:AE825,'История отказов'!AE825)=1,'История отказов'!F825="ЭЦН"),821,""))</f>
        <v/>
      </c>
      <c r="DE822">
        <f>IF('История отказов'!AE825="","",IF(AND(COUNTIF($CV$2:$CV$3,'История отказов'!AE825)=0,COUNTIFS('История отказов'!$F$5:F825,"ЭВН",'История отказов'!$AE$5:AE825,'История отказов'!AE825)=1,'История отказов'!F825="ЭВН"),821,""))</f>
        <v/>
      </c>
      <c r="DF822">
        <f>IF('История отказов'!AE825="","",IF(AND(COUNTIF($CX$2:$CX$2,'История отказов'!AE825)=0,COUNTIFS('История отказов'!$F$5:F825,"ШВН",'История отказов'!$AE$5:AE825,'История отказов'!AE825)=1,'История отказов'!F825="ШВН"),821,""))</f>
        <v/>
      </c>
      <c r="DG822">
        <f>IF('История отказов'!AE825="","",IF(AND(COUNTIF($CW$2:$CW$2,'История отказов'!AE825)=0,COUNTIFS('История отказов'!$F$5:F825,"НПУ-ВД",'История отказов'!$AE$5:AE825,'История отказов'!AE825)=1,'История отказов'!F825="НПУ-ВД"),821,""))</f>
        <v/>
      </c>
      <c r="DH822">
        <f>IF('История отказов'!AE825="","",IF(AND(COUNTIF($CY$2:$CY$6,'История отказов'!AE825)=0,COUNTIF('История отказов'!$AE$5:AE825,'История отказов'!AE825)=1),821,""))</f>
        <v/>
      </c>
      <c r="DI822">
        <f>IF('История отказов'!AK825="","",IF(AND(COUNTIF($CL$2:$CL$3,'История отказов'!AK825)=0,COUNTIF('История отказов'!$AK$5:AK825,'История отказов'!AK825)=1),821,""))</f>
        <v/>
      </c>
      <c r="DJ822">
        <f>IF('История отказов'!AU825="","",IF(AND(COUNTIF($CP$2:$CP$3,'История отказов'!AU825)=0,COUNTIF('История отказов'!$AU$5:AU825,'История отказов'!AU825)=1),821,""))</f>
        <v/>
      </c>
      <c r="DK822">
        <f>IF('История отказов'!AY825="","",IF(AND(COUNTIF($CR$2:$CR$2,'История отказов'!AY825)=0,COUNTIF('История отказов'!$AY$5:AY825,'История отказов'!AY825)=1),821,""))</f>
        <v/>
      </c>
      <c r="DL822">
        <f>IF(DB822="","",IF(AND(COUNTIF($DA$2:$DA$47,DB822)=0,COUNTIF($DB$2:DB822,DB822)=1),821,""))</f>
        <v/>
      </c>
    </row>
    <row r="823">
      <c r="A823" s="74" t="n"/>
      <c r="B823" s="75" t="n"/>
      <c r="C823" s="76" t="n"/>
      <c r="DB823">
        <f>IF('История отказов'!AH826="","",'История отказов'!AH826)</f>
        <v/>
      </c>
      <c r="DC823">
        <f>IF('История отказов'!AE826="","",IF(AND(COUNTIF($CT$2:$CT$2,'История отказов'!AE826)=0,COUNTIFS('История отказов'!$F$5:F826,"ШГН",'История отказов'!$AE$5:AE826,'История отказов'!AE826)=1,'История отказов'!F826="ШГН"),822,""))</f>
        <v/>
      </c>
      <c r="DD823">
        <f>IF('История отказов'!AE826="","",IF(AND(COUNTIF($CU$2:$CU$3,'История отказов'!AE826)=0,COUNTIFS('История отказов'!$F$5:F826,"ЭЦН",'История отказов'!$AE$5:AE826,'История отказов'!AE826)=1,'История отказов'!F826="ЭЦН"),822,""))</f>
        <v/>
      </c>
      <c r="DE823">
        <f>IF('История отказов'!AE826="","",IF(AND(COUNTIF($CV$2:$CV$3,'История отказов'!AE826)=0,COUNTIFS('История отказов'!$F$5:F826,"ЭВН",'История отказов'!$AE$5:AE826,'История отказов'!AE826)=1,'История отказов'!F826="ЭВН"),822,""))</f>
        <v/>
      </c>
      <c r="DF823">
        <f>IF('История отказов'!AE826="","",IF(AND(COUNTIF($CX$2:$CX$2,'История отказов'!AE826)=0,COUNTIFS('История отказов'!$F$5:F826,"ШВН",'История отказов'!$AE$5:AE826,'История отказов'!AE826)=1,'История отказов'!F826="ШВН"),822,""))</f>
        <v/>
      </c>
      <c r="DG823">
        <f>IF('История отказов'!AE826="","",IF(AND(COUNTIF($CW$2:$CW$2,'История отказов'!AE826)=0,COUNTIFS('История отказов'!$F$5:F826,"НПУ-ВД",'История отказов'!$AE$5:AE826,'История отказов'!AE826)=1,'История отказов'!F826="НПУ-ВД"),822,""))</f>
        <v/>
      </c>
      <c r="DH823">
        <f>IF('История отказов'!AE826="","",IF(AND(COUNTIF($CY$2:$CY$6,'История отказов'!AE826)=0,COUNTIF('История отказов'!$AE$5:AE826,'История отказов'!AE826)=1),822,""))</f>
        <v/>
      </c>
      <c r="DI823">
        <f>IF('История отказов'!AK826="","",IF(AND(COUNTIF($CL$2:$CL$3,'История отказов'!AK826)=0,COUNTIF('История отказов'!$AK$5:AK826,'История отказов'!AK826)=1),822,""))</f>
        <v/>
      </c>
      <c r="DJ823">
        <f>IF('История отказов'!AU826="","",IF(AND(COUNTIF($CP$2:$CP$3,'История отказов'!AU826)=0,COUNTIF('История отказов'!$AU$5:AU826,'История отказов'!AU826)=1),822,""))</f>
        <v/>
      </c>
      <c r="DK823">
        <f>IF('История отказов'!AY826="","",IF(AND(COUNTIF($CR$2:$CR$2,'История отказов'!AY826)=0,COUNTIF('История отказов'!$AY$5:AY826,'История отказов'!AY826)=1),822,""))</f>
        <v/>
      </c>
      <c r="DL823">
        <f>IF(DB823="","",IF(AND(COUNTIF($DA$2:$DA$47,DB823)=0,COUNTIF($DB$2:DB823,DB823)=1),822,""))</f>
        <v/>
      </c>
    </row>
    <row r="824">
      <c r="A824" s="74" t="n"/>
      <c r="B824" s="75" t="n"/>
      <c r="C824" s="76" t="n"/>
      <c r="DB824">
        <f>IF('История отказов'!AH827="","",'История отказов'!AH827)</f>
        <v/>
      </c>
      <c r="DC824">
        <f>IF('История отказов'!AE827="","",IF(AND(COUNTIF($CT$2:$CT$2,'История отказов'!AE827)=0,COUNTIFS('История отказов'!$F$5:F827,"ШГН",'История отказов'!$AE$5:AE827,'История отказов'!AE827)=1,'История отказов'!F827="ШГН"),823,""))</f>
        <v/>
      </c>
      <c r="DD824">
        <f>IF('История отказов'!AE827="","",IF(AND(COUNTIF($CU$2:$CU$3,'История отказов'!AE827)=0,COUNTIFS('История отказов'!$F$5:F827,"ЭЦН",'История отказов'!$AE$5:AE827,'История отказов'!AE827)=1,'История отказов'!F827="ЭЦН"),823,""))</f>
        <v/>
      </c>
      <c r="DE824">
        <f>IF('История отказов'!AE827="","",IF(AND(COUNTIF($CV$2:$CV$3,'История отказов'!AE827)=0,COUNTIFS('История отказов'!$F$5:F827,"ЭВН",'История отказов'!$AE$5:AE827,'История отказов'!AE827)=1,'История отказов'!F827="ЭВН"),823,""))</f>
        <v/>
      </c>
      <c r="DF824">
        <f>IF('История отказов'!AE827="","",IF(AND(COUNTIF($CX$2:$CX$2,'История отказов'!AE827)=0,COUNTIFS('История отказов'!$F$5:F827,"ШВН",'История отказов'!$AE$5:AE827,'История отказов'!AE827)=1,'История отказов'!F827="ШВН"),823,""))</f>
        <v/>
      </c>
      <c r="DG824">
        <f>IF('История отказов'!AE827="","",IF(AND(COUNTIF($CW$2:$CW$2,'История отказов'!AE827)=0,COUNTIFS('История отказов'!$F$5:F827,"НПУ-ВД",'История отказов'!$AE$5:AE827,'История отказов'!AE827)=1,'История отказов'!F827="НПУ-ВД"),823,""))</f>
        <v/>
      </c>
      <c r="DH824">
        <f>IF('История отказов'!AE827="","",IF(AND(COUNTIF($CY$2:$CY$6,'История отказов'!AE827)=0,COUNTIF('История отказов'!$AE$5:AE827,'История отказов'!AE827)=1),823,""))</f>
        <v/>
      </c>
      <c r="DI824">
        <f>IF('История отказов'!AK827="","",IF(AND(COUNTIF($CL$2:$CL$3,'История отказов'!AK827)=0,COUNTIF('История отказов'!$AK$5:AK827,'История отказов'!AK827)=1),823,""))</f>
        <v/>
      </c>
      <c r="DJ824">
        <f>IF('История отказов'!AU827="","",IF(AND(COUNTIF($CP$2:$CP$3,'История отказов'!AU827)=0,COUNTIF('История отказов'!$AU$5:AU827,'История отказов'!AU827)=1),823,""))</f>
        <v/>
      </c>
      <c r="DK824">
        <f>IF('История отказов'!AY827="","",IF(AND(COUNTIF($CR$2:$CR$2,'История отказов'!AY827)=0,COUNTIF('История отказов'!$AY$5:AY827,'История отказов'!AY827)=1),823,""))</f>
        <v/>
      </c>
      <c r="DL824">
        <f>IF(DB824="","",IF(AND(COUNTIF($DA$2:$DA$47,DB824)=0,COUNTIF($DB$2:DB824,DB824)=1),823,""))</f>
        <v/>
      </c>
    </row>
    <row r="825">
      <c r="A825" s="74" t="n"/>
      <c r="B825" s="75" t="n"/>
      <c r="C825" s="76" t="n"/>
      <c r="DB825">
        <f>IF('История отказов'!AH828="","",'История отказов'!AH828)</f>
        <v/>
      </c>
      <c r="DC825">
        <f>IF('История отказов'!AE828="","",IF(AND(COUNTIF($CT$2:$CT$2,'История отказов'!AE828)=0,COUNTIFS('История отказов'!$F$5:F828,"ШГН",'История отказов'!$AE$5:AE828,'История отказов'!AE828)=1,'История отказов'!F828="ШГН"),824,""))</f>
        <v/>
      </c>
      <c r="DD825">
        <f>IF('История отказов'!AE828="","",IF(AND(COUNTIF($CU$2:$CU$3,'История отказов'!AE828)=0,COUNTIFS('История отказов'!$F$5:F828,"ЭЦН",'История отказов'!$AE$5:AE828,'История отказов'!AE828)=1,'История отказов'!F828="ЭЦН"),824,""))</f>
        <v/>
      </c>
      <c r="DE825">
        <f>IF('История отказов'!AE828="","",IF(AND(COUNTIF($CV$2:$CV$3,'История отказов'!AE828)=0,COUNTIFS('История отказов'!$F$5:F828,"ЭВН",'История отказов'!$AE$5:AE828,'История отказов'!AE828)=1,'История отказов'!F828="ЭВН"),824,""))</f>
        <v/>
      </c>
      <c r="DF825">
        <f>IF('История отказов'!AE828="","",IF(AND(COUNTIF($CX$2:$CX$2,'История отказов'!AE828)=0,COUNTIFS('История отказов'!$F$5:F828,"ШВН",'История отказов'!$AE$5:AE828,'История отказов'!AE828)=1,'История отказов'!F828="ШВН"),824,""))</f>
        <v/>
      </c>
      <c r="DG825">
        <f>IF('История отказов'!AE828="","",IF(AND(COUNTIF($CW$2:$CW$2,'История отказов'!AE828)=0,COUNTIFS('История отказов'!$F$5:F828,"НПУ-ВД",'История отказов'!$AE$5:AE828,'История отказов'!AE828)=1,'История отказов'!F828="НПУ-ВД"),824,""))</f>
        <v/>
      </c>
      <c r="DH825">
        <f>IF('История отказов'!AE828="","",IF(AND(COUNTIF($CY$2:$CY$6,'История отказов'!AE828)=0,COUNTIF('История отказов'!$AE$5:AE828,'История отказов'!AE828)=1),824,""))</f>
        <v/>
      </c>
      <c r="DI825">
        <f>IF('История отказов'!AK828="","",IF(AND(COUNTIF($CL$2:$CL$3,'История отказов'!AK828)=0,COUNTIF('История отказов'!$AK$5:AK828,'История отказов'!AK828)=1),824,""))</f>
        <v/>
      </c>
      <c r="DJ825">
        <f>IF('История отказов'!AU828="","",IF(AND(COUNTIF($CP$2:$CP$3,'История отказов'!AU828)=0,COUNTIF('История отказов'!$AU$5:AU828,'История отказов'!AU828)=1),824,""))</f>
        <v/>
      </c>
      <c r="DK825">
        <f>IF('История отказов'!AY828="","",IF(AND(COUNTIF($CR$2:$CR$2,'История отказов'!AY828)=0,COUNTIF('История отказов'!$AY$5:AY828,'История отказов'!AY828)=1),824,""))</f>
        <v/>
      </c>
      <c r="DL825">
        <f>IF(DB825="","",IF(AND(COUNTIF($DA$2:$DA$47,DB825)=0,COUNTIF($DB$2:DB825,DB825)=1),824,""))</f>
        <v/>
      </c>
    </row>
    <row r="826">
      <c r="A826" s="74" t="n"/>
      <c r="B826" s="75" t="n"/>
      <c r="C826" s="76" t="n"/>
      <c r="DB826">
        <f>IF('История отказов'!AH829="","",'История отказов'!AH829)</f>
        <v/>
      </c>
      <c r="DC826">
        <f>IF('История отказов'!AE829="","",IF(AND(COUNTIF($CT$2:$CT$2,'История отказов'!AE829)=0,COUNTIFS('История отказов'!$F$5:F829,"ШГН",'История отказов'!$AE$5:AE829,'История отказов'!AE829)=1,'История отказов'!F829="ШГН"),825,""))</f>
        <v/>
      </c>
      <c r="DD826">
        <f>IF('История отказов'!AE829="","",IF(AND(COUNTIF($CU$2:$CU$3,'История отказов'!AE829)=0,COUNTIFS('История отказов'!$F$5:F829,"ЭЦН",'История отказов'!$AE$5:AE829,'История отказов'!AE829)=1,'История отказов'!F829="ЭЦН"),825,""))</f>
        <v/>
      </c>
      <c r="DE826">
        <f>IF('История отказов'!AE829="","",IF(AND(COUNTIF($CV$2:$CV$3,'История отказов'!AE829)=0,COUNTIFS('История отказов'!$F$5:F829,"ЭВН",'История отказов'!$AE$5:AE829,'История отказов'!AE829)=1,'История отказов'!F829="ЭВН"),825,""))</f>
        <v/>
      </c>
      <c r="DF826">
        <f>IF('История отказов'!AE829="","",IF(AND(COUNTIF($CX$2:$CX$2,'История отказов'!AE829)=0,COUNTIFS('История отказов'!$F$5:F829,"ШВН",'История отказов'!$AE$5:AE829,'История отказов'!AE829)=1,'История отказов'!F829="ШВН"),825,""))</f>
        <v/>
      </c>
      <c r="DG826">
        <f>IF('История отказов'!AE829="","",IF(AND(COUNTIF($CW$2:$CW$2,'История отказов'!AE829)=0,COUNTIFS('История отказов'!$F$5:F829,"НПУ-ВД",'История отказов'!$AE$5:AE829,'История отказов'!AE829)=1,'История отказов'!F829="НПУ-ВД"),825,""))</f>
        <v/>
      </c>
      <c r="DH826">
        <f>IF('История отказов'!AE829="","",IF(AND(COUNTIF($CY$2:$CY$6,'История отказов'!AE829)=0,COUNTIF('История отказов'!$AE$5:AE829,'История отказов'!AE829)=1),825,""))</f>
        <v/>
      </c>
      <c r="DI826">
        <f>IF('История отказов'!AK829="","",IF(AND(COUNTIF($CL$2:$CL$3,'История отказов'!AK829)=0,COUNTIF('История отказов'!$AK$5:AK829,'История отказов'!AK829)=1),825,""))</f>
        <v/>
      </c>
      <c r="DJ826">
        <f>IF('История отказов'!AU829="","",IF(AND(COUNTIF($CP$2:$CP$3,'История отказов'!AU829)=0,COUNTIF('История отказов'!$AU$5:AU829,'История отказов'!AU829)=1),825,""))</f>
        <v/>
      </c>
      <c r="DK826">
        <f>IF('История отказов'!AY829="","",IF(AND(COUNTIF($CR$2:$CR$2,'История отказов'!AY829)=0,COUNTIF('История отказов'!$AY$5:AY829,'История отказов'!AY829)=1),825,""))</f>
        <v/>
      </c>
      <c r="DL826">
        <f>IF(DB826="","",IF(AND(COUNTIF($DA$2:$DA$47,DB826)=0,COUNTIF($DB$2:DB826,DB826)=1),825,""))</f>
        <v/>
      </c>
    </row>
    <row r="827">
      <c r="A827" s="74" t="n"/>
      <c r="B827" s="75" t="n"/>
      <c r="C827" s="76" t="n"/>
      <c r="DB827">
        <f>IF('История отказов'!AH830="","",'История отказов'!AH830)</f>
        <v/>
      </c>
      <c r="DC827">
        <f>IF('История отказов'!AE830="","",IF(AND(COUNTIF($CT$2:$CT$2,'История отказов'!AE830)=0,COUNTIFS('История отказов'!$F$5:F830,"ШГН",'История отказов'!$AE$5:AE830,'История отказов'!AE830)=1,'История отказов'!F830="ШГН"),826,""))</f>
        <v/>
      </c>
      <c r="DD827">
        <f>IF('История отказов'!AE830="","",IF(AND(COUNTIF($CU$2:$CU$3,'История отказов'!AE830)=0,COUNTIFS('История отказов'!$F$5:F830,"ЭЦН",'История отказов'!$AE$5:AE830,'История отказов'!AE830)=1,'История отказов'!F830="ЭЦН"),826,""))</f>
        <v/>
      </c>
      <c r="DE827">
        <f>IF('История отказов'!AE830="","",IF(AND(COUNTIF($CV$2:$CV$3,'История отказов'!AE830)=0,COUNTIFS('История отказов'!$F$5:F830,"ЭВН",'История отказов'!$AE$5:AE830,'История отказов'!AE830)=1,'История отказов'!F830="ЭВН"),826,""))</f>
        <v/>
      </c>
      <c r="DF827">
        <f>IF('История отказов'!AE830="","",IF(AND(COUNTIF($CX$2:$CX$2,'История отказов'!AE830)=0,COUNTIFS('История отказов'!$F$5:F830,"ШВН",'История отказов'!$AE$5:AE830,'История отказов'!AE830)=1,'История отказов'!F830="ШВН"),826,""))</f>
        <v/>
      </c>
      <c r="DG827">
        <f>IF('История отказов'!AE830="","",IF(AND(COUNTIF($CW$2:$CW$2,'История отказов'!AE830)=0,COUNTIFS('История отказов'!$F$5:F830,"НПУ-ВД",'История отказов'!$AE$5:AE830,'История отказов'!AE830)=1,'История отказов'!F830="НПУ-ВД"),826,""))</f>
        <v/>
      </c>
      <c r="DH827">
        <f>IF('История отказов'!AE830="","",IF(AND(COUNTIF($CY$2:$CY$6,'История отказов'!AE830)=0,COUNTIF('История отказов'!$AE$5:AE830,'История отказов'!AE830)=1),826,""))</f>
        <v/>
      </c>
      <c r="DI827">
        <f>IF('История отказов'!AK830="","",IF(AND(COUNTIF($CL$2:$CL$3,'История отказов'!AK830)=0,COUNTIF('История отказов'!$AK$5:AK830,'История отказов'!AK830)=1),826,""))</f>
        <v/>
      </c>
      <c r="DJ827">
        <f>IF('История отказов'!AU830="","",IF(AND(COUNTIF($CP$2:$CP$3,'История отказов'!AU830)=0,COUNTIF('История отказов'!$AU$5:AU830,'История отказов'!AU830)=1),826,""))</f>
        <v/>
      </c>
      <c r="DK827">
        <f>IF('История отказов'!AY830="","",IF(AND(COUNTIF($CR$2:$CR$2,'История отказов'!AY830)=0,COUNTIF('История отказов'!$AY$5:AY830,'История отказов'!AY830)=1),826,""))</f>
        <v/>
      </c>
      <c r="DL827">
        <f>IF(DB827="","",IF(AND(COUNTIF($DA$2:$DA$47,DB827)=0,COUNTIF($DB$2:DB827,DB827)=1),826,""))</f>
        <v/>
      </c>
    </row>
    <row r="828">
      <c r="A828" s="74" t="n"/>
      <c r="B828" s="75" t="n"/>
      <c r="C828" s="76" t="n"/>
      <c r="DB828">
        <f>IF('История отказов'!AH831="","",'История отказов'!AH831)</f>
        <v/>
      </c>
      <c r="DC828">
        <f>IF('История отказов'!AE831="","",IF(AND(COUNTIF($CT$2:$CT$2,'История отказов'!AE831)=0,COUNTIFS('История отказов'!$F$5:F831,"ШГН",'История отказов'!$AE$5:AE831,'История отказов'!AE831)=1,'История отказов'!F831="ШГН"),827,""))</f>
        <v/>
      </c>
      <c r="DD828">
        <f>IF('История отказов'!AE831="","",IF(AND(COUNTIF($CU$2:$CU$3,'История отказов'!AE831)=0,COUNTIFS('История отказов'!$F$5:F831,"ЭЦН",'История отказов'!$AE$5:AE831,'История отказов'!AE831)=1,'История отказов'!F831="ЭЦН"),827,""))</f>
        <v/>
      </c>
      <c r="DE828">
        <f>IF('История отказов'!AE831="","",IF(AND(COUNTIF($CV$2:$CV$3,'История отказов'!AE831)=0,COUNTIFS('История отказов'!$F$5:F831,"ЭВН",'История отказов'!$AE$5:AE831,'История отказов'!AE831)=1,'История отказов'!F831="ЭВН"),827,""))</f>
        <v/>
      </c>
      <c r="DF828">
        <f>IF('История отказов'!AE831="","",IF(AND(COUNTIF($CX$2:$CX$2,'История отказов'!AE831)=0,COUNTIFS('История отказов'!$F$5:F831,"ШВН",'История отказов'!$AE$5:AE831,'История отказов'!AE831)=1,'История отказов'!F831="ШВН"),827,""))</f>
        <v/>
      </c>
      <c r="DG828">
        <f>IF('История отказов'!AE831="","",IF(AND(COUNTIF($CW$2:$CW$2,'История отказов'!AE831)=0,COUNTIFS('История отказов'!$F$5:F831,"НПУ-ВД",'История отказов'!$AE$5:AE831,'История отказов'!AE831)=1,'История отказов'!F831="НПУ-ВД"),827,""))</f>
        <v/>
      </c>
      <c r="DH828">
        <f>IF('История отказов'!AE831="","",IF(AND(COUNTIF($CY$2:$CY$6,'История отказов'!AE831)=0,COUNTIF('История отказов'!$AE$5:AE831,'История отказов'!AE831)=1),827,""))</f>
        <v/>
      </c>
      <c r="DI828">
        <f>IF('История отказов'!AK831="","",IF(AND(COUNTIF($CL$2:$CL$3,'История отказов'!AK831)=0,COUNTIF('История отказов'!$AK$5:AK831,'История отказов'!AK831)=1),827,""))</f>
        <v/>
      </c>
      <c r="DJ828">
        <f>IF('История отказов'!AU831="","",IF(AND(COUNTIF($CP$2:$CP$3,'История отказов'!AU831)=0,COUNTIF('История отказов'!$AU$5:AU831,'История отказов'!AU831)=1),827,""))</f>
        <v/>
      </c>
      <c r="DK828">
        <f>IF('История отказов'!AY831="","",IF(AND(COUNTIF($CR$2:$CR$2,'История отказов'!AY831)=0,COUNTIF('История отказов'!$AY$5:AY831,'История отказов'!AY831)=1),827,""))</f>
        <v/>
      </c>
      <c r="DL828">
        <f>IF(DB828="","",IF(AND(COUNTIF($DA$2:$DA$47,DB828)=0,COUNTIF($DB$2:DB828,DB828)=1),827,""))</f>
        <v/>
      </c>
    </row>
    <row r="829">
      <c r="A829" s="74" t="n"/>
      <c r="B829" s="75" t="n"/>
      <c r="C829" s="76" t="n"/>
      <c r="DB829">
        <f>IF('История отказов'!AH832="","",'История отказов'!AH832)</f>
        <v/>
      </c>
      <c r="DC829">
        <f>IF('История отказов'!AE832="","",IF(AND(COUNTIF($CT$2:$CT$2,'История отказов'!AE832)=0,COUNTIFS('История отказов'!$F$5:F832,"ШГН",'История отказов'!$AE$5:AE832,'История отказов'!AE832)=1,'История отказов'!F832="ШГН"),828,""))</f>
        <v/>
      </c>
      <c r="DD829">
        <f>IF('История отказов'!AE832="","",IF(AND(COUNTIF($CU$2:$CU$3,'История отказов'!AE832)=0,COUNTIFS('История отказов'!$F$5:F832,"ЭЦН",'История отказов'!$AE$5:AE832,'История отказов'!AE832)=1,'История отказов'!F832="ЭЦН"),828,""))</f>
        <v/>
      </c>
      <c r="DE829">
        <f>IF('История отказов'!AE832="","",IF(AND(COUNTIF($CV$2:$CV$3,'История отказов'!AE832)=0,COUNTIFS('История отказов'!$F$5:F832,"ЭВН",'История отказов'!$AE$5:AE832,'История отказов'!AE832)=1,'История отказов'!F832="ЭВН"),828,""))</f>
        <v/>
      </c>
      <c r="DF829">
        <f>IF('История отказов'!AE832="","",IF(AND(COUNTIF($CX$2:$CX$2,'История отказов'!AE832)=0,COUNTIFS('История отказов'!$F$5:F832,"ШВН",'История отказов'!$AE$5:AE832,'История отказов'!AE832)=1,'История отказов'!F832="ШВН"),828,""))</f>
        <v/>
      </c>
      <c r="DG829">
        <f>IF('История отказов'!AE832="","",IF(AND(COUNTIF($CW$2:$CW$2,'История отказов'!AE832)=0,COUNTIFS('История отказов'!$F$5:F832,"НПУ-ВД",'История отказов'!$AE$5:AE832,'История отказов'!AE832)=1,'История отказов'!F832="НПУ-ВД"),828,""))</f>
        <v/>
      </c>
      <c r="DH829">
        <f>IF('История отказов'!AE832="","",IF(AND(COUNTIF($CY$2:$CY$6,'История отказов'!AE832)=0,COUNTIF('История отказов'!$AE$5:AE832,'История отказов'!AE832)=1),828,""))</f>
        <v/>
      </c>
      <c r="DI829">
        <f>IF('История отказов'!AK832="","",IF(AND(COUNTIF($CL$2:$CL$3,'История отказов'!AK832)=0,COUNTIF('История отказов'!$AK$5:AK832,'История отказов'!AK832)=1),828,""))</f>
        <v/>
      </c>
      <c r="DJ829">
        <f>IF('История отказов'!AU832="","",IF(AND(COUNTIF($CP$2:$CP$3,'История отказов'!AU832)=0,COUNTIF('История отказов'!$AU$5:AU832,'История отказов'!AU832)=1),828,""))</f>
        <v/>
      </c>
      <c r="DK829">
        <f>IF('История отказов'!AY832="","",IF(AND(COUNTIF($CR$2:$CR$2,'История отказов'!AY832)=0,COUNTIF('История отказов'!$AY$5:AY832,'История отказов'!AY832)=1),828,""))</f>
        <v/>
      </c>
      <c r="DL829">
        <f>IF(DB829="","",IF(AND(COUNTIF($DA$2:$DA$47,DB829)=0,COUNTIF($DB$2:DB829,DB829)=1),828,""))</f>
        <v/>
      </c>
    </row>
    <row r="830">
      <c r="A830" s="74" t="n"/>
      <c r="B830" s="75" t="n"/>
      <c r="C830" s="76" t="n"/>
      <c r="DB830">
        <f>IF('История отказов'!AH833="","",'История отказов'!AH833)</f>
        <v/>
      </c>
      <c r="DC830">
        <f>IF('История отказов'!AE833="","",IF(AND(COUNTIF($CT$2:$CT$2,'История отказов'!AE833)=0,COUNTIFS('История отказов'!$F$5:F833,"ШГН",'История отказов'!$AE$5:AE833,'История отказов'!AE833)=1,'История отказов'!F833="ШГН"),829,""))</f>
        <v/>
      </c>
      <c r="DD830">
        <f>IF('История отказов'!AE833="","",IF(AND(COUNTIF($CU$2:$CU$3,'История отказов'!AE833)=0,COUNTIFS('История отказов'!$F$5:F833,"ЭЦН",'История отказов'!$AE$5:AE833,'История отказов'!AE833)=1,'История отказов'!F833="ЭЦН"),829,""))</f>
        <v/>
      </c>
      <c r="DE830">
        <f>IF('История отказов'!AE833="","",IF(AND(COUNTIF($CV$2:$CV$3,'История отказов'!AE833)=0,COUNTIFS('История отказов'!$F$5:F833,"ЭВН",'История отказов'!$AE$5:AE833,'История отказов'!AE833)=1,'История отказов'!F833="ЭВН"),829,""))</f>
        <v/>
      </c>
      <c r="DF830">
        <f>IF('История отказов'!AE833="","",IF(AND(COUNTIF($CX$2:$CX$2,'История отказов'!AE833)=0,COUNTIFS('История отказов'!$F$5:F833,"ШВН",'История отказов'!$AE$5:AE833,'История отказов'!AE833)=1,'История отказов'!F833="ШВН"),829,""))</f>
        <v/>
      </c>
      <c r="DG830">
        <f>IF('История отказов'!AE833="","",IF(AND(COUNTIF($CW$2:$CW$2,'История отказов'!AE833)=0,COUNTIFS('История отказов'!$F$5:F833,"НПУ-ВД",'История отказов'!$AE$5:AE833,'История отказов'!AE833)=1,'История отказов'!F833="НПУ-ВД"),829,""))</f>
        <v/>
      </c>
      <c r="DH830">
        <f>IF('История отказов'!AE833="","",IF(AND(COUNTIF($CY$2:$CY$6,'История отказов'!AE833)=0,COUNTIF('История отказов'!$AE$5:AE833,'История отказов'!AE833)=1),829,""))</f>
        <v/>
      </c>
      <c r="DI830">
        <f>IF('История отказов'!AK833="","",IF(AND(COUNTIF($CL$2:$CL$3,'История отказов'!AK833)=0,COUNTIF('История отказов'!$AK$5:AK833,'История отказов'!AK833)=1),829,""))</f>
        <v/>
      </c>
      <c r="DJ830">
        <f>IF('История отказов'!AU833="","",IF(AND(COUNTIF($CP$2:$CP$3,'История отказов'!AU833)=0,COUNTIF('История отказов'!$AU$5:AU833,'История отказов'!AU833)=1),829,""))</f>
        <v/>
      </c>
      <c r="DK830">
        <f>IF('История отказов'!AY833="","",IF(AND(COUNTIF($CR$2:$CR$2,'История отказов'!AY833)=0,COUNTIF('История отказов'!$AY$5:AY833,'История отказов'!AY833)=1),829,""))</f>
        <v/>
      </c>
      <c r="DL830">
        <f>IF(DB830="","",IF(AND(COUNTIF($DA$2:$DA$47,DB830)=0,COUNTIF($DB$2:DB830,DB830)=1),829,""))</f>
        <v/>
      </c>
    </row>
    <row r="831">
      <c r="A831" s="74" t="n"/>
      <c r="B831" s="75" t="n"/>
      <c r="C831" s="76" t="n"/>
      <c r="DB831">
        <f>IF('История отказов'!AH834="","",'История отказов'!AH834)</f>
        <v/>
      </c>
      <c r="DC831">
        <f>IF('История отказов'!AE834="","",IF(AND(COUNTIF($CT$2:$CT$2,'История отказов'!AE834)=0,COUNTIFS('История отказов'!$F$5:F834,"ШГН",'История отказов'!$AE$5:AE834,'История отказов'!AE834)=1,'История отказов'!F834="ШГН"),830,""))</f>
        <v/>
      </c>
      <c r="DD831">
        <f>IF('История отказов'!AE834="","",IF(AND(COUNTIF($CU$2:$CU$3,'История отказов'!AE834)=0,COUNTIFS('История отказов'!$F$5:F834,"ЭЦН",'История отказов'!$AE$5:AE834,'История отказов'!AE834)=1,'История отказов'!F834="ЭЦН"),830,""))</f>
        <v/>
      </c>
      <c r="DE831">
        <f>IF('История отказов'!AE834="","",IF(AND(COUNTIF($CV$2:$CV$3,'История отказов'!AE834)=0,COUNTIFS('История отказов'!$F$5:F834,"ЭВН",'История отказов'!$AE$5:AE834,'История отказов'!AE834)=1,'История отказов'!F834="ЭВН"),830,""))</f>
        <v/>
      </c>
      <c r="DF831">
        <f>IF('История отказов'!AE834="","",IF(AND(COUNTIF($CX$2:$CX$2,'История отказов'!AE834)=0,COUNTIFS('История отказов'!$F$5:F834,"ШВН",'История отказов'!$AE$5:AE834,'История отказов'!AE834)=1,'История отказов'!F834="ШВН"),830,""))</f>
        <v/>
      </c>
      <c r="DG831">
        <f>IF('История отказов'!AE834="","",IF(AND(COUNTIF($CW$2:$CW$2,'История отказов'!AE834)=0,COUNTIFS('История отказов'!$F$5:F834,"НПУ-ВД",'История отказов'!$AE$5:AE834,'История отказов'!AE834)=1,'История отказов'!F834="НПУ-ВД"),830,""))</f>
        <v/>
      </c>
      <c r="DH831">
        <f>IF('История отказов'!AE834="","",IF(AND(COUNTIF($CY$2:$CY$6,'История отказов'!AE834)=0,COUNTIF('История отказов'!$AE$5:AE834,'История отказов'!AE834)=1),830,""))</f>
        <v/>
      </c>
      <c r="DI831">
        <f>IF('История отказов'!AK834="","",IF(AND(COUNTIF($CL$2:$CL$3,'История отказов'!AK834)=0,COUNTIF('История отказов'!$AK$5:AK834,'История отказов'!AK834)=1),830,""))</f>
        <v/>
      </c>
      <c r="DJ831">
        <f>IF('История отказов'!AU834="","",IF(AND(COUNTIF($CP$2:$CP$3,'История отказов'!AU834)=0,COUNTIF('История отказов'!$AU$5:AU834,'История отказов'!AU834)=1),830,""))</f>
        <v/>
      </c>
      <c r="DK831">
        <f>IF('История отказов'!AY834="","",IF(AND(COUNTIF($CR$2:$CR$2,'История отказов'!AY834)=0,COUNTIF('История отказов'!$AY$5:AY834,'История отказов'!AY834)=1),830,""))</f>
        <v/>
      </c>
      <c r="DL831">
        <f>IF(DB831="","",IF(AND(COUNTIF($DA$2:$DA$47,DB831)=0,COUNTIF($DB$2:DB831,DB831)=1),830,""))</f>
        <v/>
      </c>
    </row>
    <row r="832">
      <c r="A832" s="74" t="n"/>
      <c r="B832" s="75" t="n"/>
      <c r="C832" s="76" t="n"/>
      <c r="DB832">
        <f>IF('История отказов'!AH835="","",'История отказов'!AH835)</f>
        <v/>
      </c>
      <c r="DC832">
        <f>IF('История отказов'!AE835="","",IF(AND(COUNTIF($CT$2:$CT$2,'История отказов'!AE835)=0,COUNTIFS('История отказов'!$F$5:F835,"ШГН",'История отказов'!$AE$5:AE835,'История отказов'!AE835)=1,'История отказов'!F835="ШГН"),831,""))</f>
        <v/>
      </c>
      <c r="DD832">
        <f>IF('История отказов'!AE835="","",IF(AND(COUNTIF($CU$2:$CU$3,'История отказов'!AE835)=0,COUNTIFS('История отказов'!$F$5:F835,"ЭЦН",'История отказов'!$AE$5:AE835,'История отказов'!AE835)=1,'История отказов'!F835="ЭЦН"),831,""))</f>
        <v/>
      </c>
      <c r="DE832">
        <f>IF('История отказов'!AE835="","",IF(AND(COUNTIF($CV$2:$CV$3,'История отказов'!AE835)=0,COUNTIFS('История отказов'!$F$5:F835,"ЭВН",'История отказов'!$AE$5:AE835,'История отказов'!AE835)=1,'История отказов'!F835="ЭВН"),831,""))</f>
        <v/>
      </c>
      <c r="DF832">
        <f>IF('История отказов'!AE835="","",IF(AND(COUNTIF($CX$2:$CX$2,'История отказов'!AE835)=0,COUNTIFS('История отказов'!$F$5:F835,"ШВН",'История отказов'!$AE$5:AE835,'История отказов'!AE835)=1,'История отказов'!F835="ШВН"),831,""))</f>
        <v/>
      </c>
      <c r="DG832">
        <f>IF('История отказов'!AE835="","",IF(AND(COUNTIF($CW$2:$CW$2,'История отказов'!AE835)=0,COUNTIFS('История отказов'!$F$5:F835,"НПУ-ВД",'История отказов'!$AE$5:AE835,'История отказов'!AE835)=1,'История отказов'!F835="НПУ-ВД"),831,""))</f>
        <v/>
      </c>
      <c r="DH832">
        <f>IF('История отказов'!AE835="","",IF(AND(COUNTIF($CY$2:$CY$6,'История отказов'!AE835)=0,COUNTIF('История отказов'!$AE$5:AE835,'История отказов'!AE835)=1),831,""))</f>
        <v/>
      </c>
      <c r="DI832">
        <f>IF('История отказов'!AK835="","",IF(AND(COUNTIF($CL$2:$CL$3,'История отказов'!AK835)=0,COUNTIF('История отказов'!$AK$5:AK835,'История отказов'!AK835)=1),831,""))</f>
        <v/>
      </c>
      <c r="DJ832">
        <f>IF('История отказов'!AU835="","",IF(AND(COUNTIF($CP$2:$CP$3,'История отказов'!AU835)=0,COUNTIF('История отказов'!$AU$5:AU835,'История отказов'!AU835)=1),831,""))</f>
        <v/>
      </c>
      <c r="DK832">
        <f>IF('История отказов'!AY835="","",IF(AND(COUNTIF($CR$2:$CR$2,'История отказов'!AY835)=0,COUNTIF('История отказов'!$AY$5:AY835,'История отказов'!AY835)=1),831,""))</f>
        <v/>
      </c>
      <c r="DL832">
        <f>IF(DB832="","",IF(AND(COUNTIF($DA$2:$DA$47,DB832)=0,COUNTIF($DB$2:DB832,DB832)=1),831,""))</f>
        <v/>
      </c>
    </row>
    <row r="833">
      <c r="A833" s="74" t="n"/>
      <c r="B833" s="75" t="n"/>
      <c r="C833" s="76" t="n"/>
      <c r="DB833">
        <f>IF('История отказов'!AH836="","",'История отказов'!AH836)</f>
        <v/>
      </c>
      <c r="DC833">
        <f>IF('История отказов'!AE836="","",IF(AND(COUNTIF($CT$2:$CT$2,'История отказов'!AE836)=0,COUNTIFS('История отказов'!$F$5:F836,"ШГН",'История отказов'!$AE$5:AE836,'История отказов'!AE836)=1,'История отказов'!F836="ШГН"),832,""))</f>
        <v/>
      </c>
      <c r="DD833">
        <f>IF('История отказов'!AE836="","",IF(AND(COUNTIF($CU$2:$CU$3,'История отказов'!AE836)=0,COUNTIFS('История отказов'!$F$5:F836,"ЭЦН",'История отказов'!$AE$5:AE836,'История отказов'!AE836)=1,'История отказов'!F836="ЭЦН"),832,""))</f>
        <v/>
      </c>
      <c r="DE833">
        <f>IF('История отказов'!AE836="","",IF(AND(COUNTIF($CV$2:$CV$3,'История отказов'!AE836)=0,COUNTIFS('История отказов'!$F$5:F836,"ЭВН",'История отказов'!$AE$5:AE836,'История отказов'!AE836)=1,'История отказов'!F836="ЭВН"),832,""))</f>
        <v/>
      </c>
      <c r="DF833">
        <f>IF('История отказов'!AE836="","",IF(AND(COUNTIF($CX$2:$CX$2,'История отказов'!AE836)=0,COUNTIFS('История отказов'!$F$5:F836,"ШВН",'История отказов'!$AE$5:AE836,'История отказов'!AE836)=1,'История отказов'!F836="ШВН"),832,""))</f>
        <v/>
      </c>
      <c r="DG833">
        <f>IF('История отказов'!AE836="","",IF(AND(COUNTIF($CW$2:$CW$2,'История отказов'!AE836)=0,COUNTIFS('История отказов'!$F$5:F836,"НПУ-ВД",'История отказов'!$AE$5:AE836,'История отказов'!AE836)=1,'История отказов'!F836="НПУ-ВД"),832,""))</f>
        <v/>
      </c>
      <c r="DH833">
        <f>IF('История отказов'!AE836="","",IF(AND(COUNTIF($CY$2:$CY$6,'История отказов'!AE836)=0,COUNTIF('История отказов'!$AE$5:AE836,'История отказов'!AE836)=1),832,""))</f>
        <v/>
      </c>
      <c r="DI833">
        <f>IF('История отказов'!AK836="","",IF(AND(COUNTIF($CL$2:$CL$3,'История отказов'!AK836)=0,COUNTIF('История отказов'!$AK$5:AK836,'История отказов'!AK836)=1),832,""))</f>
        <v/>
      </c>
      <c r="DJ833">
        <f>IF('История отказов'!AU836="","",IF(AND(COUNTIF($CP$2:$CP$3,'История отказов'!AU836)=0,COUNTIF('История отказов'!$AU$5:AU836,'История отказов'!AU836)=1),832,""))</f>
        <v/>
      </c>
      <c r="DK833">
        <f>IF('История отказов'!AY836="","",IF(AND(COUNTIF($CR$2:$CR$2,'История отказов'!AY836)=0,COUNTIF('История отказов'!$AY$5:AY836,'История отказов'!AY836)=1),832,""))</f>
        <v/>
      </c>
      <c r="DL833">
        <f>IF(DB833="","",IF(AND(COUNTIF($DA$2:$DA$47,DB833)=0,COUNTIF($DB$2:DB833,DB833)=1),832,""))</f>
        <v/>
      </c>
    </row>
    <row r="834">
      <c r="A834" s="74" t="n"/>
      <c r="B834" s="75" t="n"/>
      <c r="C834" s="76" t="n"/>
      <c r="DB834">
        <f>IF('История отказов'!AH837="","",'История отказов'!AH837)</f>
        <v/>
      </c>
      <c r="DC834">
        <f>IF('История отказов'!AE837="","",IF(AND(COUNTIF($CT$2:$CT$2,'История отказов'!AE837)=0,COUNTIFS('История отказов'!$F$5:F837,"ШГН",'История отказов'!$AE$5:AE837,'История отказов'!AE837)=1,'История отказов'!F837="ШГН"),833,""))</f>
        <v/>
      </c>
      <c r="DD834">
        <f>IF('История отказов'!AE837="","",IF(AND(COUNTIF($CU$2:$CU$3,'История отказов'!AE837)=0,COUNTIFS('История отказов'!$F$5:F837,"ЭЦН",'История отказов'!$AE$5:AE837,'История отказов'!AE837)=1,'История отказов'!F837="ЭЦН"),833,""))</f>
        <v/>
      </c>
      <c r="DE834">
        <f>IF('История отказов'!AE837="","",IF(AND(COUNTIF($CV$2:$CV$3,'История отказов'!AE837)=0,COUNTIFS('История отказов'!$F$5:F837,"ЭВН",'История отказов'!$AE$5:AE837,'История отказов'!AE837)=1,'История отказов'!F837="ЭВН"),833,""))</f>
        <v/>
      </c>
      <c r="DF834">
        <f>IF('История отказов'!AE837="","",IF(AND(COUNTIF($CX$2:$CX$2,'История отказов'!AE837)=0,COUNTIFS('История отказов'!$F$5:F837,"ШВН",'История отказов'!$AE$5:AE837,'История отказов'!AE837)=1,'История отказов'!F837="ШВН"),833,""))</f>
        <v/>
      </c>
      <c r="DG834">
        <f>IF('История отказов'!AE837="","",IF(AND(COUNTIF($CW$2:$CW$2,'История отказов'!AE837)=0,COUNTIFS('История отказов'!$F$5:F837,"НПУ-ВД",'История отказов'!$AE$5:AE837,'История отказов'!AE837)=1,'История отказов'!F837="НПУ-ВД"),833,""))</f>
        <v/>
      </c>
      <c r="DH834">
        <f>IF('История отказов'!AE837="","",IF(AND(COUNTIF($CY$2:$CY$6,'История отказов'!AE837)=0,COUNTIF('История отказов'!$AE$5:AE837,'История отказов'!AE837)=1),833,""))</f>
        <v/>
      </c>
      <c r="DI834">
        <f>IF('История отказов'!AK837="","",IF(AND(COUNTIF($CL$2:$CL$3,'История отказов'!AK837)=0,COUNTIF('История отказов'!$AK$5:AK837,'История отказов'!AK837)=1),833,""))</f>
        <v/>
      </c>
      <c r="DJ834">
        <f>IF('История отказов'!AU837="","",IF(AND(COUNTIF($CP$2:$CP$3,'История отказов'!AU837)=0,COUNTIF('История отказов'!$AU$5:AU837,'История отказов'!AU837)=1),833,""))</f>
        <v/>
      </c>
      <c r="DK834">
        <f>IF('История отказов'!AY837="","",IF(AND(COUNTIF($CR$2:$CR$2,'История отказов'!AY837)=0,COUNTIF('История отказов'!$AY$5:AY837,'История отказов'!AY837)=1),833,""))</f>
        <v/>
      </c>
      <c r="DL834">
        <f>IF(DB834="","",IF(AND(COUNTIF($DA$2:$DA$47,DB834)=0,COUNTIF($DB$2:DB834,DB834)=1),833,""))</f>
        <v/>
      </c>
    </row>
    <row r="835">
      <c r="A835" s="74" t="n"/>
      <c r="B835" s="75" t="n"/>
      <c r="C835" s="76" t="n"/>
      <c r="DB835">
        <f>IF('История отказов'!AH838="","",'История отказов'!AH838)</f>
        <v/>
      </c>
      <c r="DC835">
        <f>IF('История отказов'!AE838="","",IF(AND(COUNTIF($CT$2:$CT$2,'История отказов'!AE838)=0,COUNTIFS('История отказов'!$F$5:F838,"ШГН",'История отказов'!$AE$5:AE838,'История отказов'!AE838)=1,'История отказов'!F838="ШГН"),834,""))</f>
        <v/>
      </c>
      <c r="DD835">
        <f>IF('История отказов'!AE838="","",IF(AND(COUNTIF($CU$2:$CU$3,'История отказов'!AE838)=0,COUNTIFS('История отказов'!$F$5:F838,"ЭЦН",'История отказов'!$AE$5:AE838,'История отказов'!AE838)=1,'История отказов'!F838="ЭЦН"),834,""))</f>
        <v/>
      </c>
      <c r="DE835">
        <f>IF('История отказов'!AE838="","",IF(AND(COUNTIF($CV$2:$CV$3,'История отказов'!AE838)=0,COUNTIFS('История отказов'!$F$5:F838,"ЭВН",'История отказов'!$AE$5:AE838,'История отказов'!AE838)=1,'История отказов'!F838="ЭВН"),834,""))</f>
        <v/>
      </c>
      <c r="DF835">
        <f>IF('История отказов'!AE838="","",IF(AND(COUNTIF($CX$2:$CX$2,'История отказов'!AE838)=0,COUNTIFS('История отказов'!$F$5:F838,"ШВН",'История отказов'!$AE$5:AE838,'История отказов'!AE838)=1,'История отказов'!F838="ШВН"),834,""))</f>
        <v/>
      </c>
      <c r="DG835">
        <f>IF('История отказов'!AE838="","",IF(AND(COUNTIF($CW$2:$CW$2,'История отказов'!AE838)=0,COUNTIFS('История отказов'!$F$5:F838,"НПУ-ВД",'История отказов'!$AE$5:AE838,'История отказов'!AE838)=1,'История отказов'!F838="НПУ-ВД"),834,""))</f>
        <v/>
      </c>
      <c r="DH835">
        <f>IF('История отказов'!AE838="","",IF(AND(COUNTIF($CY$2:$CY$6,'История отказов'!AE838)=0,COUNTIF('История отказов'!$AE$5:AE838,'История отказов'!AE838)=1),834,""))</f>
        <v/>
      </c>
      <c r="DI835">
        <f>IF('История отказов'!AK838="","",IF(AND(COUNTIF($CL$2:$CL$3,'История отказов'!AK838)=0,COUNTIF('История отказов'!$AK$5:AK838,'История отказов'!AK838)=1),834,""))</f>
        <v/>
      </c>
      <c r="DJ835">
        <f>IF('История отказов'!AU838="","",IF(AND(COUNTIF($CP$2:$CP$3,'История отказов'!AU838)=0,COUNTIF('История отказов'!$AU$5:AU838,'История отказов'!AU838)=1),834,""))</f>
        <v/>
      </c>
      <c r="DK835">
        <f>IF('История отказов'!AY838="","",IF(AND(COUNTIF($CR$2:$CR$2,'История отказов'!AY838)=0,COUNTIF('История отказов'!$AY$5:AY838,'История отказов'!AY838)=1),834,""))</f>
        <v/>
      </c>
      <c r="DL835">
        <f>IF(DB835="","",IF(AND(COUNTIF($DA$2:$DA$47,DB835)=0,COUNTIF($DB$2:DB835,DB835)=1),834,""))</f>
        <v/>
      </c>
    </row>
    <row r="836">
      <c r="A836" s="74" t="n"/>
      <c r="B836" s="75" t="n"/>
      <c r="C836" s="76" t="n"/>
      <c r="DB836">
        <f>IF('История отказов'!AH839="","",'История отказов'!AH839)</f>
        <v/>
      </c>
      <c r="DC836">
        <f>IF('История отказов'!AE839="","",IF(AND(COUNTIF($CT$2:$CT$2,'История отказов'!AE839)=0,COUNTIFS('История отказов'!$F$5:F839,"ШГН",'История отказов'!$AE$5:AE839,'История отказов'!AE839)=1,'История отказов'!F839="ШГН"),835,""))</f>
        <v/>
      </c>
      <c r="DD836">
        <f>IF('История отказов'!AE839="","",IF(AND(COUNTIF($CU$2:$CU$3,'История отказов'!AE839)=0,COUNTIFS('История отказов'!$F$5:F839,"ЭЦН",'История отказов'!$AE$5:AE839,'История отказов'!AE839)=1,'История отказов'!F839="ЭЦН"),835,""))</f>
        <v/>
      </c>
      <c r="DE836">
        <f>IF('История отказов'!AE839="","",IF(AND(COUNTIF($CV$2:$CV$3,'История отказов'!AE839)=0,COUNTIFS('История отказов'!$F$5:F839,"ЭВН",'История отказов'!$AE$5:AE839,'История отказов'!AE839)=1,'История отказов'!F839="ЭВН"),835,""))</f>
        <v/>
      </c>
      <c r="DF836">
        <f>IF('История отказов'!AE839="","",IF(AND(COUNTIF($CX$2:$CX$2,'История отказов'!AE839)=0,COUNTIFS('История отказов'!$F$5:F839,"ШВН",'История отказов'!$AE$5:AE839,'История отказов'!AE839)=1,'История отказов'!F839="ШВН"),835,""))</f>
        <v/>
      </c>
      <c r="DG836">
        <f>IF('История отказов'!AE839="","",IF(AND(COUNTIF($CW$2:$CW$2,'История отказов'!AE839)=0,COUNTIFS('История отказов'!$F$5:F839,"НПУ-ВД",'История отказов'!$AE$5:AE839,'История отказов'!AE839)=1,'История отказов'!F839="НПУ-ВД"),835,""))</f>
        <v/>
      </c>
      <c r="DH836">
        <f>IF('История отказов'!AE839="","",IF(AND(COUNTIF($CY$2:$CY$6,'История отказов'!AE839)=0,COUNTIF('История отказов'!$AE$5:AE839,'История отказов'!AE839)=1),835,""))</f>
        <v/>
      </c>
      <c r="DI836">
        <f>IF('История отказов'!AK839="","",IF(AND(COUNTIF($CL$2:$CL$3,'История отказов'!AK839)=0,COUNTIF('История отказов'!$AK$5:AK839,'История отказов'!AK839)=1),835,""))</f>
        <v/>
      </c>
      <c r="DJ836">
        <f>IF('История отказов'!AU839="","",IF(AND(COUNTIF($CP$2:$CP$3,'История отказов'!AU839)=0,COUNTIF('История отказов'!$AU$5:AU839,'История отказов'!AU839)=1),835,""))</f>
        <v/>
      </c>
      <c r="DK836">
        <f>IF('История отказов'!AY839="","",IF(AND(COUNTIF($CR$2:$CR$2,'История отказов'!AY839)=0,COUNTIF('История отказов'!$AY$5:AY839,'История отказов'!AY839)=1),835,""))</f>
        <v/>
      </c>
      <c r="DL836">
        <f>IF(DB836="","",IF(AND(COUNTIF($DA$2:$DA$47,DB836)=0,COUNTIF($DB$2:DB836,DB836)=1),835,""))</f>
        <v/>
      </c>
    </row>
    <row r="837">
      <c r="A837" s="74" t="n"/>
      <c r="B837" s="75" t="n"/>
      <c r="C837" s="76" t="n"/>
      <c r="DB837">
        <f>IF('История отказов'!AH840="","",'История отказов'!AH840)</f>
        <v/>
      </c>
      <c r="DC837">
        <f>IF('История отказов'!AE840="","",IF(AND(COUNTIF($CT$2:$CT$2,'История отказов'!AE840)=0,COUNTIFS('История отказов'!$F$5:F840,"ШГН",'История отказов'!$AE$5:AE840,'История отказов'!AE840)=1,'История отказов'!F840="ШГН"),836,""))</f>
        <v/>
      </c>
      <c r="DD837">
        <f>IF('История отказов'!AE840="","",IF(AND(COUNTIF($CU$2:$CU$3,'История отказов'!AE840)=0,COUNTIFS('История отказов'!$F$5:F840,"ЭЦН",'История отказов'!$AE$5:AE840,'История отказов'!AE840)=1,'История отказов'!F840="ЭЦН"),836,""))</f>
        <v/>
      </c>
      <c r="DE837">
        <f>IF('История отказов'!AE840="","",IF(AND(COUNTIF($CV$2:$CV$3,'История отказов'!AE840)=0,COUNTIFS('История отказов'!$F$5:F840,"ЭВН",'История отказов'!$AE$5:AE840,'История отказов'!AE840)=1,'История отказов'!F840="ЭВН"),836,""))</f>
        <v/>
      </c>
      <c r="DF837">
        <f>IF('История отказов'!AE840="","",IF(AND(COUNTIF($CX$2:$CX$2,'История отказов'!AE840)=0,COUNTIFS('История отказов'!$F$5:F840,"ШВН",'История отказов'!$AE$5:AE840,'История отказов'!AE840)=1,'История отказов'!F840="ШВН"),836,""))</f>
        <v/>
      </c>
      <c r="DG837">
        <f>IF('История отказов'!AE840="","",IF(AND(COUNTIF($CW$2:$CW$2,'История отказов'!AE840)=0,COUNTIFS('История отказов'!$F$5:F840,"НПУ-ВД",'История отказов'!$AE$5:AE840,'История отказов'!AE840)=1,'История отказов'!F840="НПУ-ВД"),836,""))</f>
        <v/>
      </c>
      <c r="DH837">
        <f>IF('История отказов'!AE840="","",IF(AND(COUNTIF($CY$2:$CY$6,'История отказов'!AE840)=0,COUNTIF('История отказов'!$AE$5:AE840,'История отказов'!AE840)=1),836,""))</f>
        <v/>
      </c>
      <c r="DI837">
        <f>IF('История отказов'!AK840="","",IF(AND(COUNTIF($CL$2:$CL$3,'История отказов'!AK840)=0,COUNTIF('История отказов'!$AK$5:AK840,'История отказов'!AK840)=1),836,""))</f>
        <v/>
      </c>
      <c r="DJ837">
        <f>IF('История отказов'!AU840="","",IF(AND(COUNTIF($CP$2:$CP$3,'История отказов'!AU840)=0,COUNTIF('История отказов'!$AU$5:AU840,'История отказов'!AU840)=1),836,""))</f>
        <v/>
      </c>
      <c r="DK837">
        <f>IF('История отказов'!AY840="","",IF(AND(COUNTIF($CR$2:$CR$2,'История отказов'!AY840)=0,COUNTIF('История отказов'!$AY$5:AY840,'История отказов'!AY840)=1),836,""))</f>
        <v/>
      </c>
      <c r="DL837">
        <f>IF(DB837="","",IF(AND(COUNTIF($DA$2:$DA$47,DB837)=0,COUNTIF($DB$2:DB837,DB837)=1),836,""))</f>
        <v/>
      </c>
    </row>
    <row r="838">
      <c r="A838" s="74" t="n"/>
      <c r="B838" s="75" t="n"/>
      <c r="C838" s="76" t="n"/>
      <c r="DB838">
        <f>IF('История отказов'!AH841="","",'История отказов'!AH841)</f>
        <v/>
      </c>
      <c r="DC838">
        <f>IF('История отказов'!AE841="","",IF(AND(COUNTIF($CT$2:$CT$2,'История отказов'!AE841)=0,COUNTIFS('История отказов'!$F$5:F841,"ШГН",'История отказов'!$AE$5:AE841,'История отказов'!AE841)=1,'История отказов'!F841="ШГН"),837,""))</f>
        <v/>
      </c>
      <c r="DD838">
        <f>IF('История отказов'!AE841="","",IF(AND(COUNTIF($CU$2:$CU$3,'История отказов'!AE841)=0,COUNTIFS('История отказов'!$F$5:F841,"ЭЦН",'История отказов'!$AE$5:AE841,'История отказов'!AE841)=1,'История отказов'!F841="ЭЦН"),837,""))</f>
        <v/>
      </c>
      <c r="DE838">
        <f>IF('История отказов'!AE841="","",IF(AND(COUNTIF($CV$2:$CV$3,'История отказов'!AE841)=0,COUNTIFS('История отказов'!$F$5:F841,"ЭВН",'История отказов'!$AE$5:AE841,'История отказов'!AE841)=1,'История отказов'!F841="ЭВН"),837,""))</f>
        <v/>
      </c>
      <c r="DF838">
        <f>IF('История отказов'!AE841="","",IF(AND(COUNTIF($CX$2:$CX$2,'История отказов'!AE841)=0,COUNTIFS('История отказов'!$F$5:F841,"ШВН",'История отказов'!$AE$5:AE841,'История отказов'!AE841)=1,'История отказов'!F841="ШВН"),837,""))</f>
        <v/>
      </c>
      <c r="DG838">
        <f>IF('История отказов'!AE841="","",IF(AND(COUNTIF($CW$2:$CW$2,'История отказов'!AE841)=0,COUNTIFS('История отказов'!$F$5:F841,"НПУ-ВД",'История отказов'!$AE$5:AE841,'История отказов'!AE841)=1,'История отказов'!F841="НПУ-ВД"),837,""))</f>
        <v/>
      </c>
      <c r="DH838">
        <f>IF('История отказов'!AE841="","",IF(AND(COUNTIF($CY$2:$CY$6,'История отказов'!AE841)=0,COUNTIF('История отказов'!$AE$5:AE841,'История отказов'!AE841)=1),837,""))</f>
        <v/>
      </c>
      <c r="DI838">
        <f>IF('История отказов'!AK841="","",IF(AND(COUNTIF($CL$2:$CL$3,'История отказов'!AK841)=0,COUNTIF('История отказов'!$AK$5:AK841,'История отказов'!AK841)=1),837,""))</f>
        <v/>
      </c>
      <c r="DJ838">
        <f>IF('История отказов'!AU841="","",IF(AND(COUNTIF($CP$2:$CP$3,'История отказов'!AU841)=0,COUNTIF('История отказов'!$AU$5:AU841,'История отказов'!AU841)=1),837,""))</f>
        <v/>
      </c>
      <c r="DK838">
        <f>IF('История отказов'!AY841="","",IF(AND(COUNTIF($CR$2:$CR$2,'История отказов'!AY841)=0,COUNTIF('История отказов'!$AY$5:AY841,'История отказов'!AY841)=1),837,""))</f>
        <v/>
      </c>
      <c r="DL838">
        <f>IF(DB838="","",IF(AND(COUNTIF($DA$2:$DA$47,DB838)=0,COUNTIF($DB$2:DB838,DB838)=1),837,""))</f>
        <v/>
      </c>
    </row>
    <row r="839">
      <c r="A839" s="74" t="n"/>
      <c r="B839" s="75" t="n"/>
      <c r="C839" s="76" t="n"/>
      <c r="DB839">
        <f>IF('История отказов'!AH842="","",'История отказов'!AH842)</f>
        <v/>
      </c>
      <c r="DC839">
        <f>IF('История отказов'!AE842="","",IF(AND(COUNTIF($CT$2:$CT$2,'История отказов'!AE842)=0,COUNTIFS('История отказов'!$F$5:F842,"ШГН",'История отказов'!$AE$5:AE842,'История отказов'!AE842)=1,'История отказов'!F842="ШГН"),838,""))</f>
        <v/>
      </c>
      <c r="DD839">
        <f>IF('История отказов'!AE842="","",IF(AND(COUNTIF($CU$2:$CU$3,'История отказов'!AE842)=0,COUNTIFS('История отказов'!$F$5:F842,"ЭЦН",'История отказов'!$AE$5:AE842,'История отказов'!AE842)=1,'История отказов'!F842="ЭЦН"),838,""))</f>
        <v/>
      </c>
      <c r="DE839">
        <f>IF('История отказов'!AE842="","",IF(AND(COUNTIF($CV$2:$CV$3,'История отказов'!AE842)=0,COUNTIFS('История отказов'!$F$5:F842,"ЭВН",'История отказов'!$AE$5:AE842,'История отказов'!AE842)=1,'История отказов'!F842="ЭВН"),838,""))</f>
        <v/>
      </c>
      <c r="DF839">
        <f>IF('История отказов'!AE842="","",IF(AND(COUNTIF($CX$2:$CX$2,'История отказов'!AE842)=0,COUNTIFS('История отказов'!$F$5:F842,"ШВН",'История отказов'!$AE$5:AE842,'История отказов'!AE842)=1,'История отказов'!F842="ШВН"),838,""))</f>
        <v/>
      </c>
      <c r="DG839">
        <f>IF('История отказов'!AE842="","",IF(AND(COUNTIF($CW$2:$CW$2,'История отказов'!AE842)=0,COUNTIFS('История отказов'!$F$5:F842,"НПУ-ВД",'История отказов'!$AE$5:AE842,'История отказов'!AE842)=1,'История отказов'!F842="НПУ-ВД"),838,""))</f>
        <v/>
      </c>
      <c r="DH839">
        <f>IF('История отказов'!AE842="","",IF(AND(COUNTIF($CY$2:$CY$6,'История отказов'!AE842)=0,COUNTIF('История отказов'!$AE$5:AE842,'История отказов'!AE842)=1),838,""))</f>
        <v/>
      </c>
      <c r="DI839">
        <f>IF('История отказов'!AK842="","",IF(AND(COUNTIF($CL$2:$CL$3,'История отказов'!AK842)=0,COUNTIF('История отказов'!$AK$5:AK842,'История отказов'!AK842)=1),838,""))</f>
        <v/>
      </c>
      <c r="DJ839">
        <f>IF('История отказов'!AU842="","",IF(AND(COUNTIF($CP$2:$CP$3,'История отказов'!AU842)=0,COUNTIF('История отказов'!$AU$5:AU842,'История отказов'!AU842)=1),838,""))</f>
        <v/>
      </c>
      <c r="DK839">
        <f>IF('История отказов'!AY842="","",IF(AND(COUNTIF($CR$2:$CR$2,'История отказов'!AY842)=0,COUNTIF('История отказов'!$AY$5:AY842,'История отказов'!AY842)=1),838,""))</f>
        <v/>
      </c>
      <c r="DL839">
        <f>IF(DB839="","",IF(AND(COUNTIF($DA$2:$DA$47,DB839)=0,COUNTIF($DB$2:DB839,DB839)=1),838,""))</f>
        <v/>
      </c>
    </row>
    <row r="840">
      <c r="A840" s="74" t="n"/>
      <c r="B840" s="75" t="n"/>
      <c r="C840" s="76" t="n"/>
      <c r="DB840">
        <f>IF('История отказов'!AH843="","",'История отказов'!AH843)</f>
        <v/>
      </c>
      <c r="DC840">
        <f>IF('История отказов'!AE843="","",IF(AND(COUNTIF($CT$2:$CT$2,'История отказов'!AE843)=0,COUNTIFS('История отказов'!$F$5:F843,"ШГН",'История отказов'!$AE$5:AE843,'История отказов'!AE843)=1,'История отказов'!F843="ШГН"),839,""))</f>
        <v/>
      </c>
      <c r="DD840">
        <f>IF('История отказов'!AE843="","",IF(AND(COUNTIF($CU$2:$CU$3,'История отказов'!AE843)=0,COUNTIFS('История отказов'!$F$5:F843,"ЭЦН",'История отказов'!$AE$5:AE843,'История отказов'!AE843)=1,'История отказов'!F843="ЭЦН"),839,""))</f>
        <v/>
      </c>
      <c r="DE840">
        <f>IF('История отказов'!AE843="","",IF(AND(COUNTIF($CV$2:$CV$3,'История отказов'!AE843)=0,COUNTIFS('История отказов'!$F$5:F843,"ЭВН",'История отказов'!$AE$5:AE843,'История отказов'!AE843)=1,'История отказов'!F843="ЭВН"),839,""))</f>
        <v/>
      </c>
      <c r="DF840">
        <f>IF('История отказов'!AE843="","",IF(AND(COUNTIF($CX$2:$CX$2,'История отказов'!AE843)=0,COUNTIFS('История отказов'!$F$5:F843,"ШВН",'История отказов'!$AE$5:AE843,'История отказов'!AE843)=1,'История отказов'!F843="ШВН"),839,""))</f>
        <v/>
      </c>
      <c r="DG840">
        <f>IF('История отказов'!AE843="","",IF(AND(COUNTIF($CW$2:$CW$2,'История отказов'!AE843)=0,COUNTIFS('История отказов'!$F$5:F843,"НПУ-ВД",'История отказов'!$AE$5:AE843,'История отказов'!AE843)=1,'История отказов'!F843="НПУ-ВД"),839,""))</f>
        <v/>
      </c>
      <c r="DH840">
        <f>IF('История отказов'!AE843="","",IF(AND(COUNTIF($CY$2:$CY$6,'История отказов'!AE843)=0,COUNTIF('История отказов'!$AE$5:AE843,'История отказов'!AE843)=1),839,""))</f>
        <v/>
      </c>
      <c r="DI840">
        <f>IF('История отказов'!AK843="","",IF(AND(COUNTIF($CL$2:$CL$3,'История отказов'!AK843)=0,COUNTIF('История отказов'!$AK$5:AK843,'История отказов'!AK843)=1),839,""))</f>
        <v/>
      </c>
      <c r="DJ840">
        <f>IF('История отказов'!AU843="","",IF(AND(COUNTIF($CP$2:$CP$3,'История отказов'!AU843)=0,COUNTIF('История отказов'!$AU$5:AU843,'История отказов'!AU843)=1),839,""))</f>
        <v/>
      </c>
      <c r="DK840">
        <f>IF('История отказов'!AY843="","",IF(AND(COUNTIF($CR$2:$CR$2,'История отказов'!AY843)=0,COUNTIF('История отказов'!$AY$5:AY843,'История отказов'!AY843)=1),839,""))</f>
        <v/>
      </c>
      <c r="DL840">
        <f>IF(DB840="","",IF(AND(COUNTIF($DA$2:$DA$47,DB840)=0,COUNTIF($DB$2:DB840,DB840)=1),839,""))</f>
        <v/>
      </c>
    </row>
    <row r="841">
      <c r="A841" s="74" t="n"/>
      <c r="B841" s="75" t="n"/>
      <c r="C841" s="76" t="n"/>
      <c r="DB841">
        <f>IF('История отказов'!AH844="","",'История отказов'!AH844)</f>
        <v/>
      </c>
      <c r="DC841">
        <f>IF('История отказов'!AE844="","",IF(AND(COUNTIF($CT$2:$CT$2,'История отказов'!AE844)=0,COUNTIFS('История отказов'!$F$5:F844,"ШГН",'История отказов'!$AE$5:AE844,'История отказов'!AE844)=1,'История отказов'!F844="ШГН"),840,""))</f>
        <v/>
      </c>
      <c r="DD841">
        <f>IF('История отказов'!AE844="","",IF(AND(COUNTIF($CU$2:$CU$3,'История отказов'!AE844)=0,COUNTIFS('История отказов'!$F$5:F844,"ЭЦН",'История отказов'!$AE$5:AE844,'История отказов'!AE844)=1,'История отказов'!F844="ЭЦН"),840,""))</f>
        <v/>
      </c>
      <c r="DE841">
        <f>IF('История отказов'!AE844="","",IF(AND(COUNTIF($CV$2:$CV$3,'История отказов'!AE844)=0,COUNTIFS('История отказов'!$F$5:F844,"ЭВН",'История отказов'!$AE$5:AE844,'История отказов'!AE844)=1,'История отказов'!F844="ЭВН"),840,""))</f>
        <v/>
      </c>
      <c r="DF841">
        <f>IF('История отказов'!AE844="","",IF(AND(COUNTIF($CX$2:$CX$2,'История отказов'!AE844)=0,COUNTIFS('История отказов'!$F$5:F844,"ШВН",'История отказов'!$AE$5:AE844,'История отказов'!AE844)=1,'История отказов'!F844="ШВН"),840,""))</f>
        <v/>
      </c>
      <c r="DG841">
        <f>IF('История отказов'!AE844="","",IF(AND(COUNTIF($CW$2:$CW$2,'История отказов'!AE844)=0,COUNTIFS('История отказов'!$F$5:F844,"НПУ-ВД",'История отказов'!$AE$5:AE844,'История отказов'!AE844)=1,'История отказов'!F844="НПУ-ВД"),840,""))</f>
        <v/>
      </c>
      <c r="DH841">
        <f>IF('История отказов'!AE844="","",IF(AND(COUNTIF($CY$2:$CY$6,'История отказов'!AE844)=0,COUNTIF('История отказов'!$AE$5:AE844,'История отказов'!AE844)=1),840,""))</f>
        <v/>
      </c>
      <c r="DI841">
        <f>IF('История отказов'!AK844="","",IF(AND(COUNTIF($CL$2:$CL$3,'История отказов'!AK844)=0,COUNTIF('История отказов'!$AK$5:AK844,'История отказов'!AK844)=1),840,""))</f>
        <v/>
      </c>
      <c r="DJ841">
        <f>IF('История отказов'!AU844="","",IF(AND(COUNTIF($CP$2:$CP$3,'История отказов'!AU844)=0,COUNTIF('История отказов'!$AU$5:AU844,'История отказов'!AU844)=1),840,""))</f>
        <v/>
      </c>
      <c r="DK841">
        <f>IF('История отказов'!AY844="","",IF(AND(COUNTIF($CR$2:$CR$2,'История отказов'!AY844)=0,COUNTIF('История отказов'!$AY$5:AY844,'История отказов'!AY844)=1),840,""))</f>
        <v/>
      </c>
      <c r="DL841">
        <f>IF(DB841="","",IF(AND(COUNTIF($DA$2:$DA$47,DB841)=0,COUNTIF($DB$2:DB841,DB841)=1),840,""))</f>
        <v/>
      </c>
    </row>
    <row r="842">
      <c r="A842" s="74" t="n"/>
      <c r="B842" s="75" t="n"/>
      <c r="C842" s="76" t="n"/>
      <c r="DB842">
        <f>IF('История отказов'!AH845="","",'История отказов'!AH845)</f>
        <v/>
      </c>
      <c r="DC842">
        <f>IF('История отказов'!AE845="","",IF(AND(COUNTIF($CT$2:$CT$2,'История отказов'!AE845)=0,COUNTIFS('История отказов'!$F$5:F845,"ШГН",'История отказов'!$AE$5:AE845,'История отказов'!AE845)=1,'История отказов'!F845="ШГН"),841,""))</f>
        <v/>
      </c>
      <c r="DD842">
        <f>IF('История отказов'!AE845="","",IF(AND(COUNTIF($CU$2:$CU$3,'История отказов'!AE845)=0,COUNTIFS('История отказов'!$F$5:F845,"ЭЦН",'История отказов'!$AE$5:AE845,'История отказов'!AE845)=1,'История отказов'!F845="ЭЦН"),841,""))</f>
        <v/>
      </c>
      <c r="DE842">
        <f>IF('История отказов'!AE845="","",IF(AND(COUNTIF($CV$2:$CV$3,'История отказов'!AE845)=0,COUNTIFS('История отказов'!$F$5:F845,"ЭВН",'История отказов'!$AE$5:AE845,'История отказов'!AE845)=1,'История отказов'!F845="ЭВН"),841,""))</f>
        <v/>
      </c>
      <c r="DF842">
        <f>IF('История отказов'!AE845="","",IF(AND(COUNTIF($CX$2:$CX$2,'История отказов'!AE845)=0,COUNTIFS('История отказов'!$F$5:F845,"ШВН",'История отказов'!$AE$5:AE845,'История отказов'!AE845)=1,'История отказов'!F845="ШВН"),841,""))</f>
        <v/>
      </c>
      <c r="DG842">
        <f>IF('История отказов'!AE845="","",IF(AND(COUNTIF($CW$2:$CW$2,'История отказов'!AE845)=0,COUNTIFS('История отказов'!$F$5:F845,"НПУ-ВД",'История отказов'!$AE$5:AE845,'История отказов'!AE845)=1,'История отказов'!F845="НПУ-ВД"),841,""))</f>
        <v/>
      </c>
      <c r="DH842">
        <f>IF('История отказов'!AE845="","",IF(AND(COUNTIF($CY$2:$CY$6,'История отказов'!AE845)=0,COUNTIF('История отказов'!$AE$5:AE845,'История отказов'!AE845)=1),841,""))</f>
        <v/>
      </c>
      <c r="DI842">
        <f>IF('История отказов'!AK845="","",IF(AND(COUNTIF($CL$2:$CL$3,'История отказов'!AK845)=0,COUNTIF('История отказов'!$AK$5:AK845,'История отказов'!AK845)=1),841,""))</f>
        <v/>
      </c>
      <c r="DJ842">
        <f>IF('История отказов'!AU845="","",IF(AND(COUNTIF($CP$2:$CP$3,'История отказов'!AU845)=0,COUNTIF('История отказов'!$AU$5:AU845,'История отказов'!AU845)=1),841,""))</f>
        <v/>
      </c>
      <c r="DK842">
        <f>IF('История отказов'!AY845="","",IF(AND(COUNTIF($CR$2:$CR$2,'История отказов'!AY845)=0,COUNTIF('История отказов'!$AY$5:AY845,'История отказов'!AY845)=1),841,""))</f>
        <v/>
      </c>
      <c r="DL842">
        <f>IF(DB842="","",IF(AND(COUNTIF($DA$2:$DA$47,DB842)=0,COUNTIF($DB$2:DB842,DB842)=1),841,""))</f>
        <v/>
      </c>
    </row>
    <row r="843">
      <c r="A843" s="74" t="n"/>
      <c r="B843" s="75" t="n"/>
      <c r="C843" s="76" t="n"/>
      <c r="DB843">
        <f>IF('История отказов'!AH846="","",'История отказов'!AH846)</f>
        <v/>
      </c>
      <c r="DC843">
        <f>IF('История отказов'!AE846="","",IF(AND(COUNTIF($CT$2:$CT$2,'История отказов'!AE846)=0,COUNTIFS('История отказов'!$F$5:F846,"ШГН",'История отказов'!$AE$5:AE846,'История отказов'!AE846)=1,'История отказов'!F846="ШГН"),842,""))</f>
        <v/>
      </c>
      <c r="DD843">
        <f>IF('История отказов'!AE846="","",IF(AND(COUNTIF($CU$2:$CU$3,'История отказов'!AE846)=0,COUNTIFS('История отказов'!$F$5:F846,"ЭЦН",'История отказов'!$AE$5:AE846,'История отказов'!AE846)=1,'История отказов'!F846="ЭЦН"),842,""))</f>
        <v/>
      </c>
      <c r="DE843">
        <f>IF('История отказов'!AE846="","",IF(AND(COUNTIF($CV$2:$CV$3,'История отказов'!AE846)=0,COUNTIFS('История отказов'!$F$5:F846,"ЭВН",'История отказов'!$AE$5:AE846,'История отказов'!AE846)=1,'История отказов'!F846="ЭВН"),842,""))</f>
        <v/>
      </c>
      <c r="DF843">
        <f>IF('История отказов'!AE846="","",IF(AND(COUNTIF($CX$2:$CX$2,'История отказов'!AE846)=0,COUNTIFS('История отказов'!$F$5:F846,"ШВН",'История отказов'!$AE$5:AE846,'История отказов'!AE846)=1,'История отказов'!F846="ШВН"),842,""))</f>
        <v/>
      </c>
      <c r="DG843">
        <f>IF('История отказов'!AE846="","",IF(AND(COUNTIF($CW$2:$CW$2,'История отказов'!AE846)=0,COUNTIFS('История отказов'!$F$5:F846,"НПУ-ВД",'История отказов'!$AE$5:AE846,'История отказов'!AE846)=1,'История отказов'!F846="НПУ-ВД"),842,""))</f>
        <v/>
      </c>
      <c r="DH843">
        <f>IF('История отказов'!AE846="","",IF(AND(COUNTIF($CY$2:$CY$6,'История отказов'!AE846)=0,COUNTIF('История отказов'!$AE$5:AE846,'История отказов'!AE846)=1),842,""))</f>
        <v/>
      </c>
      <c r="DI843">
        <f>IF('История отказов'!AK846="","",IF(AND(COUNTIF($CL$2:$CL$3,'История отказов'!AK846)=0,COUNTIF('История отказов'!$AK$5:AK846,'История отказов'!AK846)=1),842,""))</f>
        <v/>
      </c>
      <c r="DJ843">
        <f>IF('История отказов'!AU846="","",IF(AND(COUNTIF($CP$2:$CP$3,'История отказов'!AU846)=0,COUNTIF('История отказов'!$AU$5:AU846,'История отказов'!AU846)=1),842,""))</f>
        <v/>
      </c>
      <c r="DK843">
        <f>IF('История отказов'!AY846="","",IF(AND(COUNTIF($CR$2:$CR$2,'История отказов'!AY846)=0,COUNTIF('История отказов'!$AY$5:AY846,'История отказов'!AY846)=1),842,""))</f>
        <v/>
      </c>
      <c r="DL843">
        <f>IF(DB843="","",IF(AND(COUNTIF($DA$2:$DA$47,DB843)=0,COUNTIF($DB$2:DB843,DB843)=1),842,""))</f>
        <v/>
      </c>
    </row>
    <row r="844">
      <c r="A844" s="74" t="n"/>
      <c r="B844" s="75" t="n"/>
      <c r="C844" s="76" t="n"/>
      <c r="DB844">
        <f>IF('История отказов'!AH847="","",'История отказов'!AH847)</f>
        <v/>
      </c>
      <c r="DC844">
        <f>IF('История отказов'!AE847="","",IF(AND(COUNTIF($CT$2:$CT$2,'История отказов'!AE847)=0,COUNTIFS('История отказов'!$F$5:F847,"ШГН",'История отказов'!$AE$5:AE847,'История отказов'!AE847)=1,'История отказов'!F847="ШГН"),843,""))</f>
        <v/>
      </c>
      <c r="DD844">
        <f>IF('История отказов'!AE847="","",IF(AND(COUNTIF($CU$2:$CU$3,'История отказов'!AE847)=0,COUNTIFS('История отказов'!$F$5:F847,"ЭЦН",'История отказов'!$AE$5:AE847,'История отказов'!AE847)=1,'История отказов'!F847="ЭЦН"),843,""))</f>
        <v/>
      </c>
      <c r="DE844">
        <f>IF('История отказов'!AE847="","",IF(AND(COUNTIF($CV$2:$CV$3,'История отказов'!AE847)=0,COUNTIFS('История отказов'!$F$5:F847,"ЭВН",'История отказов'!$AE$5:AE847,'История отказов'!AE847)=1,'История отказов'!F847="ЭВН"),843,""))</f>
        <v/>
      </c>
      <c r="DF844">
        <f>IF('История отказов'!AE847="","",IF(AND(COUNTIF($CX$2:$CX$2,'История отказов'!AE847)=0,COUNTIFS('История отказов'!$F$5:F847,"ШВН",'История отказов'!$AE$5:AE847,'История отказов'!AE847)=1,'История отказов'!F847="ШВН"),843,""))</f>
        <v/>
      </c>
      <c r="DG844">
        <f>IF('История отказов'!AE847="","",IF(AND(COUNTIF($CW$2:$CW$2,'История отказов'!AE847)=0,COUNTIFS('История отказов'!$F$5:F847,"НПУ-ВД",'История отказов'!$AE$5:AE847,'История отказов'!AE847)=1,'История отказов'!F847="НПУ-ВД"),843,""))</f>
        <v/>
      </c>
      <c r="DH844">
        <f>IF('История отказов'!AE847="","",IF(AND(COUNTIF($CY$2:$CY$6,'История отказов'!AE847)=0,COUNTIF('История отказов'!$AE$5:AE847,'История отказов'!AE847)=1),843,""))</f>
        <v/>
      </c>
      <c r="DI844">
        <f>IF('История отказов'!AK847="","",IF(AND(COUNTIF($CL$2:$CL$3,'История отказов'!AK847)=0,COUNTIF('История отказов'!$AK$5:AK847,'История отказов'!AK847)=1),843,""))</f>
        <v/>
      </c>
      <c r="DJ844">
        <f>IF('История отказов'!AU847="","",IF(AND(COUNTIF($CP$2:$CP$3,'История отказов'!AU847)=0,COUNTIF('История отказов'!$AU$5:AU847,'История отказов'!AU847)=1),843,""))</f>
        <v/>
      </c>
      <c r="DK844">
        <f>IF('История отказов'!AY847="","",IF(AND(COUNTIF($CR$2:$CR$2,'История отказов'!AY847)=0,COUNTIF('История отказов'!$AY$5:AY847,'История отказов'!AY847)=1),843,""))</f>
        <v/>
      </c>
      <c r="DL844">
        <f>IF(DB844="","",IF(AND(COUNTIF($DA$2:$DA$47,DB844)=0,COUNTIF($DB$2:DB844,DB844)=1),843,""))</f>
        <v/>
      </c>
    </row>
    <row r="845">
      <c r="A845" s="74" t="n"/>
      <c r="B845" s="75" t="n"/>
      <c r="C845" s="76" t="n"/>
      <c r="DB845">
        <f>IF('История отказов'!AH848="","",'История отказов'!AH848)</f>
        <v/>
      </c>
      <c r="DC845">
        <f>IF('История отказов'!AE848="","",IF(AND(COUNTIF($CT$2:$CT$2,'История отказов'!AE848)=0,COUNTIFS('История отказов'!$F$5:F848,"ШГН",'История отказов'!$AE$5:AE848,'История отказов'!AE848)=1,'История отказов'!F848="ШГН"),844,""))</f>
        <v/>
      </c>
      <c r="DD845">
        <f>IF('История отказов'!AE848="","",IF(AND(COUNTIF($CU$2:$CU$3,'История отказов'!AE848)=0,COUNTIFS('История отказов'!$F$5:F848,"ЭЦН",'История отказов'!$AE$5:AE848,'История отказов'!AE848)=1,'История отказов'!F848="ЭЦН"),844,""))</f>
        <v/>
      </c>
      <c r="DE845">
        <f>IF('История отказов'!AE848="","",IF(AND(COUNTIF($CV$2:$CV$3,'История отказов'!AE848)=0,COUNTIFS('История отказов'!$F$5:F848,"ЭВН",'История отказов'!$AE$5:AE848,'История отказов'!AE848)=1,'История отказов'!F848="ЭВН"),844,""))</f>
        <v/>
      </c>
      <c r="DF845">
        <f>IF('История отказов'!AE848="","",IF(AND(COUNTIF($CX$2:$CX$2,'История отказов'!AE848)=0,COUNTIFS('История отказов'!$F$5:F848,"ШВН",'История отказов'!$AE$5:AE848,'История отказов'!AE848)=1,'История отказов'!F848="ШВН"),844,""))</f>
        <v/>
      </c>
      <c r="DG845">
        <f>IF('История отказов'!AE848="","",IF(AND(COUNTIF($CW$2:$CW$2,'История отказов'!AE848)=0,COUNTIFS('История отказов'!$F$5:F848,"НПУ-ВД",'История отказов'!$AE$5:AE848,'История отказов'!AE848)=1,'История отказов'!F848="НПУ-ВД"),844,""))</f>
        <v/>
      </c>
      <c r="DH845">
        <f>IF('История отказов'!AE848="","",IF(AND(COUNTIF($CY$2:$CY$6,'История отказов'!AE848)=0,COUNTIF('История отказов'!$AE$5:AE848,'История отказов'!AE848)=1),844,""))</f>
        <v/>
      </c>
      <c r="DI845">
        <f>IF('История отказов'!AK848="","",IF(AND(COUNTIF($CL$2:$CL$3,'История отказов'!AK848)=0,COUNTIF('История отказов'!$AK$5:AK848,'История отказов'!AK848)=1),844,""))</f>
        <v/>
      </c>
      <c r="DJ845">
        <f>IF('История отказов'!AU848="","",IF(AND(COUNTIF($CP$2:$CP$3,'История отказов'!AU848)=0,COUNTIF('История отказов'!$AU$5:AU848,'История отказов'!AU848)=1),844,""))</f>
        <v/>
      </c>
      <c r="DK845">
        <f>IF('История отказов'!AY848="","",IF(AND(COUNTIF($CR$2:$CR$2,'История отказов'!AY848)=0,COUNTIF('История отказов'!$AY$5:AY848,'История отказов'!AY848)=1),844,""))</f>
        <v/>
      </c>
      <c r="DL845">
        <f>IF(DB845="","",IF(AND(COUNTIF($DA$2:$DA$47,DB845)=0,COUNTIF($DB$2:DB845,DB845)=1),844,""))</f>
        <v/>
      </c>
    </row>
    <row r="846">
      <c r="A846" s="74" t="n"/>
      <c r="B846" s="75" t="n"/>
      <c r="C846" s="76" t="n"/>
      <c r="DB846">
        <f>IF('История отказов'!AH849="","",'История отказов'!AH849)</f>
        <v/>
      </c>
      <c r="DC846">
        <f>IF('История отказов'!AE849="","",IF(AND(COUNTIF($CT$2:$CT$2,'История отказов'!AE849)=0,COUNTIFS('История отказов'!$F$5:F849,"ШГН",'История отказов'!$AE$5:AE849,'История отказов'!AE849)=1,'История отказов'!F849="ШГН"),845,""))</f>
        <v/>
      </c>
      <c r="DD846">
        <f>IF('История отказов'!AE849="","",IF(AND(COUNTIF($CU$2:$CU$3,'История отказов'!AE849)=0,COUNTIFS('История отказов'!$F$5:F849,"ЭЦН",'История отказов'!$AE$5:AE849,'История отказов'!AE849)=1,'История отказов'!F849="ЭЦН"),845,""))</f>
        <v/>
      </c>
      <c r="DE846">
        <f>IF('История отказов'!AE849="","",IF(AND(COUNTIF($CV$2:$CV$3,'История отказов'!AE849)=0,COUNTIFS('История отказов'!$F$5:F849,"ЭВН",'История отказов'!$AE$5:AE849,'История отказов'!AE849)=1,'История отказов'!F849="ЭВН"),845,""))</f>
        <v/>
      </c>
      <c r="DF846">
        <f>IF('История отказов'!AE849="","",IF(AND(COUNTIF($CX$2:$CX$2,'История отказов'!AE849)=0,COUNTIFS('История отказов'!$F$5:F849,"ШВН",'История отказов'!$AE$5:AE849,'История отказов'!AE849)=1,'История отказов'!F849="ШВН"),845,""))</f>
        <v/>
      </c>
      <c r="DG846">
        <f>IF('История отказов'!AE849="","",IF(AND(COUNTIF($CW$2:$CW$2,'История отказов'!AE849)=0,COUNTIFS('История отказов'!$F$5:F849,"НПУ-ВД",'История отказов'!$AE$5:AE849,'История отказов'!AE849)=1,'История отказов'!F849="НПУ-ВД"),845,""))</f>
        <v/>
      </c>
      <c r="DH846">
        <f>IF('История отказов'!AE849="","",IF(AND(COUNTIF($CY$2:$CY$6,'История отказов'!AE849)=0,COUNTIF('История отказов'!$AE$5:AE849,'История отказов'!AE849)=1),845,""))</f>
        <v/>
      </c>
      <c r="DI846">
        <f>IF('История отказов'!AK849="","",IF(AND(COUNTIF($CL$2:$CL$3,'История отказов'!AK849)=0,COUNTIF('История отказов'!$AK$5:AK849,'История отказов'!AK849)=1),845,""))</f>
        <v/>
      </c>
      <c r="DJ846">
        <f>IF('История отказов'!AU849="","",IF(AND(COUNTIF($CP$2:$CP$3,'История отказов'!AU849)=0,COUNTIF('История отказов'!$AU$5:AU849,'История отказов'!AU849)=1),845,""))</f>
        <v/>
      </c>
      <c r="DK846">
        <f>IF('История отказов'!AY849="","",IF(AND(COUNTIF($CR$2:$CR$2,'История отказов'!AY849)=0,COUNTIF('История отказов'!$AY$5:AY849,'История отказов'!AY849)=1),845,""))</f>
        <v/>
      </c>
      <c r="DL846">
        <f>IF(DB846="","",IF(AND(COUNTIF($DA$2:$DA$47,DB846)=0,COUNTIF($DB$2:DB846,DB846)=1),845,""))</f>
        <v/>
      </c>
    </row>
    <row r="847">
      <c r="A847" s="74" t="n"/>
      <c r="B847" s="75" t="n"/>
      <c r="C847" s="76" t="n"/>
      <c r="DB847">
        <f>IF('История отказов'!AH850="","",'История отказов'!AH850)</f>
        <v/>
      </c>
      <c r="DC847">
        <f>IF('История отказов'!AE850="","",IF(AND(COUNTIF($CT$2:$CT$2,'История отказов'!AE850)=0,COUNTIFS('История отказов'!$F$5:F850,"ШГН",'История отказов'!$AE$5:AE850,'История отказов'!AE850)=1,'История отказов'!F850="ШГН"),846,""))</f>
        <v/>
      </c>
      <c r="DD847">
        <f>IF('История отказов'!AE850="","",IF(AND(COUNTIF($CU$2:$CU$3,'История отказов'!AE850)=0,COUNTIFS('История отказов'!$F$5:F850,"ЭЦН",'История отказов'!$AE$5:AE850,'История отказов'!AE850)=1,'История отказов'!F850="ЭЦН"),846,""))</f>
        <v/>
      </c>
      <c r="DE847">
        <f>IF('История отказов'!AE850="","",IF(AND(COUNTIF($CV$2:$CV$3,'История отказов'!AE850)=0,COUNTIFS('История отказов'!$F$5:F850,"ЭВН",'История отказов'!$AE$5:AE850,'История отказов'!AE850)=1,'История отказов'!F850="ЭВН"),846,""))</f>
        <v/>
      </c>
      <c r="DF847">
        <f>IF('История отказов'!AE850="","",IF(AND(COUNTIF($CX$2:$CX$2,'История отказов'!AE850)=0,COUNTIFS('История отказов'!$F$5:F850,"ШВН",'История отказов'!$AE$5:AE850,'История отказов'!AE850)=1,'История отказов'!F850="ШВН"),846,""))</f>
        <v/>
      </c>
      <c r="DG847">
        <f>IF('История отказов'!AE850="","",IF(AND(COUNTIF($CW$2:$CW$2,'История отказов'!AE850)=0,COUNTIFS('История отказов'!$F$5:F850,"НПУ-ВД",'История отказов'!$AE$5:AE850,'История отказов'!AE850)=1,'История отказов'!F850="НПУ-ВД"),846,""))</f>
        <v/>
      </c>
      <c r="DH847">
        <f>IF('История отказов'!AE850="","",IF(AND(COUNTIF($CY$2:$CY$6,'История отказов'!AE850)=0,COUNTIF('История отказов'!$AE$5:AE850,'История отказов'!AE850)=1),846,""))</f>
        <v/>
      </c>
      <c r="DI847">
        <f>IF('История отказов'!AK850="","",IF(AND(COUNTIF($CL$2:$CL$3,'История отказов'!AK850)=0,COUNTIF('История отказов'!$AK$5:AK850,'История отказов'!AK850)=1),846,""))</f>
        <v/>
      </c>
      <c r="DJ847">
        <f>IF('История отказов'!AU850="","",IF(AND(COUNTIF($CP$2:$CP$3,'История отказов'!AU850)=0,COUNTIF('История отказов'!$AU$5:AU850,'История отказов'!AU850)=1),846,""))</f>
        <v/>
      </c>
      <c r="DK847">
        <f>IF('История отказов'!AY850="","",IF(AND(COUNTIF($CR$2:$CR$2,'История отказов'!AY850)=0,COUNTIF('История отказов'!$AY$5:AY850,'История отказов'!AY850)=1),846,""))</f>
        <v/>
      </c>
      <c r="DL847">
        <f>IF(DB847="","",IF(AND(COUNTIF($DA$2:$DA$47,DB847)=0,COUNTIF($DB$2:DB847,DB847)=1),846,""))</f>
        <v/>
      </c>
    </row>
    <row r="848">
      <c r="A848" s="74" t="n"/>
      <c r="B848" s="75" t="n"/>
      <c r="C848" s="76" t="n"/>
      <c r="DB848">
        <f>IF('История отказов'!AH851="","",'История отказов'!AH851)</f>
        <v/>
      </c>
      <c r="DC848">
        <f>IF('История отказов'!AE851="","",IF(AND(COUNTIF($CT$2:$CT$2,'История отказов'!AE851)=0,COUNTIFS('История отказов'!$F$5:F851,"ШГН",'История отказов'!$AE$5:AE851,'История отказов'!AE851)=1,'История отказов'!F851="ШГН"),847,""))</f>
        <v/>
      </c>
      <c r="DD848">
        <f>IF('История отказов'!AE851="","",IF(AND(COUNTIF($CU$2:$CU$3,'История отказов'!AE851)=0,COUNTIFS('История отказов'!$F$5:F851,"ЭЦН",'История отказов'!$AE$5:AE851,'История отказов'!AE851)=1,'История отказов'!F851="ЭЦН"),847,""))</f>
        <v/>
      </c>
      <c r="DE848">
        <f>IF('История отказов'!AE851="","",IF(AND(COUNTIF($CV$2:$CV$3,'История отказов'!AE851)=0,COUNTIFS('История отказов'!$F$5:F851,"ЭВН",'История отказов'!$AE$5:AE851,'История отказов'!AE851)=1,'История отказов'!F851="ЭВН"),847,""))</f>
        <v/>
      </c>
      <c r="DF848">
        <f>IF('История отказов'!AE851="","",IF(AND(COUNTIF($CX$2:$CX$2,'История отказов'!AE851)=0,COUNTIFS('История отказов'!$F$5:F851,"ШВН",'История отказов'!$AE$5:AE851,'История отказов'!AE851)=1,'История отказов'!F851="ШВН"),847,""))</f>
        <v/>
      </c>
      <c r="DG848">
        <f>IF('История отказов'!AE851="","",IF(AND(COUNTIF($CW$2:$CW$2,'История отказов'!AE851)=0,COUNTIFS('История отказов'!$F$5:F851,"НПУ-ВД",'История отказов'!$AE$5:AE851,'История отказов'!AE851)=1,'История отказов'!F851="НПУ-ВД"),847,""))</f>
        <v/>
      </c>
      <c r="DH848">
        <f>IF('История отказов'!AE851="","",IF(AND(COUNTIF($CY$2:$CY$6,'История отказов'!AE851)=0,COUNTIF('История отказов'!$AE$5:AE851,'История отказов'!AE851)=1),847,""))</f>
        <v/>
      </c>
      <c r="DI848">
        <f>IF('История отказов'!AK851="","",IF(AND(COUNTIF($CL$2:$CL$3,'История отказов'!AK851)=0,COUNTIF('История отказов'!$AK$5:AK851,'История отказов'!AK851)=1),847,""))</f>
        <v/>
      </c>
      <c r="DJ848">
        <f>IF('История отказов'!AU851="","",IF(AND(COUNTIF($CP$2:$CP$3,'История отказов'!AU851)=0,COUNTIF('История отказов'!$AU$5:AU851,'История отказов'!AU851)=1),847,""))</f>
        <v/>
      </c>
      <c r="DK848">
        <f>IF('История отказов'!AY851="","",IF(AND(COUNTIF($CR$2:$CR$2,'История отказов'!AY851)=0,COUNTIF('История отказов'!$AY$5:AY851,'История отказов'!AY851)=1),847,""))</f>
        <v/>
      </c>
      <c r="DL848">
        <f>IF(DB848="","",IF(AND(COUNTIF($DA$2:$DA$47,DB848)=0,COUNTIF($DB$2:DB848,DB848)=1),847,""))</f>
        <v/>
      </c>
    </row>
    <row r="849">
      <c r="A849" s="74" t="n"/>
      <c r="B849" s="75" t="n"/>
      <c r="C849" s="76" t="n"/>
      <c r="DB849">
        <f>IF('История отказов'!AH852="","",'История отказов'!AH852)</f>
        <v/>
      </c>
      <c r="DC849">
        <f>IF('История отказов'!AE852="","",IF(AND(COUNTIF($CT$2:$CT$2,'История отказов'!AE852)=0,COUNTIFS('История отказов'!$F$5:F852,"ШГН",'История отказов'!$AE$5:AE852,'История отказов'!AE852)=1,'История отказов'!F852="ШГН"),848,""))</f>
        <v/>
      </c>
      <c r="DD849">
        <f>IF('История отказов'!AE852="","",IF(AND(COUNTIF($CU$2:$CU$3,'История отказов'!AE852)=0,COUNTIFS('История отказов'!$F$5:F852,"ЭЦН",'История отказов'!$AE$5:AE852,'История отказов'!AE852)=1,'История отказов'!F852="ЭЦН"),848,""))</f>
        <v/>
      </c>
      <c r="DE849">
        <f>IF('История отказов'!AE852="","",IF(AND(COUNTIF($CV$2:$CV$3,'История отказов'!AE852)=0,COUNTIFS('История отказов'!$F$5:F852,"ЭВН",'История отказов'!$AE$5:AE852,'История отказов'!AE852)=1,'История отказов'!F852="ЭВН"),848,""))</f>
        <v/>
      </c>
      <c r="DF849">
        <f>IF('История отказов'!AE852="","",IF(AND(COUNTIF($CX$2:$CX$2,'История отказов'!AE852)=0,COUNTIFS('История отказов'!$F$5:F852,"ШВН",'История отказов'!$AE$5:AE852,'История отказов'!AE852)=1,'История отказов'!F852="ШВН"),848,""))</f>
        <v/>
      </c>
      <c r="DG849">
        <f>IF('История отказов'!AE852="","",IF(AND(COUNTIF($CW$2:$CW$2,'История отказов'!AE852)=0,COUNTIFS('История отказов'!$F$5:F852,"НПУ-ВД",'История отказов'!$AE$5:AE852,'История отказов'!AE852)=1,'История отказов'!F852="НПУ-ВД"),848,""))</f>
        <v/>
      </c>
      <c r="DH849">
        <f>IF('История отказов'!AE852="","",IF(AND(COUNTIF($CY$2:$CY$6,'История отказов'!AE852)=0,COUNTIF('История отказов'!$AE$5:AE852,'История отказов'!AE852)=1),848,""))</f>
        <v/>
      </c>
      <c r="DI849">
        <f>IF('История отказов'!AK852="","",IF(AND(COUNTIF($CL$2:$CL$3,'История отказов'!AK852)=0,COUNTIF('История отказов'!$AK$5:AK852,'История отказов'!AK852)=1),848,""))</f>
        <v/>
      </c>
      <c r="DJ849">
        <f>IF('История отказов'!AU852="","",IF(AND(COUNTIF($CP$2:$CP$3,'История отказов'!AU852)=0,COUNTIF('История отказов'!$AU$5:AU852,'История отказов'!AU852)=1),848,""))</f>
        <v/>
      </c>
      <c r="DK849">
        <f>IF('История отказов'!AY852="","",IF(AND(COUNTIF($CR$2:$CR$2,'История отказов'!AY852)=0,COUNTIF('История отказов'!$AY$5:AY852,'История отказов'!AY852)=1),848,""))</f>
        <v/>
      </c>
      <c r="DL849">
        <f>IF(DB849="","",IF(AND(COUNTIF($DA$2:$DA$47,DB849)=0,COUNTIF($DB$2:DB849,DB849)=1),848,""))</f>
        <v/>
      </c>
    </row>
    <row r="850">
      <c r="A850" s="74" t="n"/>
      <c r="B850" s="75" t="n"/>
      <c r="C850" s="76" t="n"/>
      <c r="DB850">
        <f>IF('История отказов'!AH853="","",'История отказов'!AH853)</f>
        <v/>
      </c>
      <c r="DC850">
        <f>IF('История отказов'!AE853="","",IF(AND(COUNTIF($CT$2:$CT$2,'История отказов'!AE853)=0,COUNTIFS('История отказов'!$F$5:F853,"ШГН",'История отказов'!$AE$5:AE853,'История отказов'!AE853)=1,'История отказов'!F853="ШГН"),849,""))</f>
        <v/>
      </c>
      <c r="DD850">
        <f>IF('История отказов'!AE853="","",IF(AND(COUNTIF($CU$2:$CU$3,'История отказов'!AE853)=0,COUNTIFS('История отказов'!$F$5:F853,"ЭЦН",'История отказов'!$AE$5:AE853,'История отказов'!AE853)=1,'История отказов'!F853="ЭЦН"),849,""))</f>
        <v/>
      </c>
      <c r="DE850">
        <f>IF('История отказов'!AE853="","",IF(AND(COUNTIF($CV$2:$CV$3,'История отказов'!AE853)=0,COUNTIFS('История отказов'!$F$5:F853,"ЭВН",'История отказов'!$AE$5:AE853,'История отказов'!AE853)=1,'История отказов'!F853="ЭВН"),849,""))</f>
        <v/>
      </c>
      <c r="DF850">
        <f>IF('История отказов'!AE853="","",IF(AND(COUNTIF($CX$2:$CX$2,'История отказов'!AE853)=0,COUNTIFS('История отказов'!$F$5:F853,"ШВН",'История отказов'!$AE$5:AE853,'История отказов'!AE853)=1,'История отказов'!F853="ШВН"),849,""))</f>
        <v/>
      </c>
      <c r="DG850">
        <f>IF('История отказов'!AE853="","",IF(AND(COUNTIF($CW$2:$CW$2,'История отказов'!AE853)=0,COUNTIFS('История отказов'!$F$5:F853,"НПУ-ВД",'История отказов'!$AE$5:AE853,'История отказов'!AE853)=1,'История отказов'!F853="НПУ-ВД"),849,""))</f>
        <v/>
      </c>
      <c r="DH850">
        <f>IF('История отказов'!AE853="","",IF(AND(COUNTIF($CY$2:$CY$6,'История отказов'!AE853)=0,COUNTIF('История отказов'!$AE$5:AE853,'История отказов'!AE853)=1),849,""))</f>
        <v/>
      </c>
      <c r="DI850">
        <f>IF('История отказов'!AK853="","",IF(AND(COUNTIF($CL$2:$CL$3,'История отказов'!AK853)=0,COUNTIF('История отказов'!$AK$5:AK853,'История отказов'!AK853)=1),849,""))</f>
        <v/>
      </c>
      <c r="DJ850">
        <f>IF('История отказов'!AU853="","",IF(AND(COUNTIF($CP$2:$CP$3,'История отказов'!AU853)=0,COUNTIF('История отказов'!$AU$5:AU853,'История отказов'!AU853)=1),849,""))</f>
        <v/>
      </c>
      <c r="DK850">
        <f>IF('История отказов'!AY853="","",IF(AND(COUNTIF($CR$2:$CR$2,'История отказов'!AY853)=0,COUNTIF('История отказов'!$AY$5:AY853,'История отказов'!AY853)=1),849,""))</f>
        <v/>
      </c>
      <c r="DL850">
        <f>IF(DB850="","",IF(AND(COUNTIF($DA$2:$DA$47,DB850)=0,COUNTIF($DB$2:DB850,DB850)=1),849,""))</f>
        <v/>
      </c>
    </row>
    <row r="851">
      <c r="A851" s="74" t="n"/>
      <c r="B851" s="75" t="n"/>
      <c r="C851" s="76" t="n"/>
      <c r="DB851">
        <f>IF('История отказов'!AH854="","",'История отказов'!AH854)</f>
        <v/>
      </c>
      <c r="DC851">
        <f>IF('История отказов'!AE854="","",IF(AND(COUNTIF($CT$2:$CT$2,'История отказов'!AE854)=0,COUNTIFS('История отказов'!$F$5:F854,"ШГН",'История отказов'!$AE$5:AE854,'История отказов'!AE854)=1,'История отказов'!F854="ШГН"),850,""))</f>
        <v/>
      </c>
      <c r="DD851">
        <f>IF('История отказов'!AE854="","",IF(AND(COUNTIF($CU$2:$CU$3,'История отказов'!AE854)=0,COUNTIFS('История отказов'!$F$5:F854,"ЭЦН",'История отказов'!$AE$5:AE854,'История отказов'!AE854)=1,'История отказов'!F854="ЭЦН"),850,""))</f>
        <v/>
      </c>
      <c r="DE851">
        <f>IF('История отказов'!AE854="","",IF(AND(COUNTIF($CV$2:$CV$3,'История отказов'!AE854)=0,COUNTIFS('История отказов'!$F$5:F854,"ЭВН",'История отказов'!$AE$5:AE854,'История отказов'!AE854)=1,'История отказов'!F854="ЭВН"),850,""))</f>
        <v/>
      </c>
      <c r="DF851">
        <f>IF('История отказов'!AE854="","",IF(AND(COUNTIF($CX$2:$CX$2,'История отказов'!AE854)=0,COUNTIFS('История отказов'!$F$5:F854,"ШВН",'История отказов'!$AE$5:AE854,'История отказов'!AE854)=1,'История отказов'!F854="ШВН"),850,""))</f>
        <v/>
      </c>
      <c r="DG851">
        <f>IF('История отказов'!AE854="","",IF(AND(COUNTIF($CW$2:$CW$2,'История отказов'!AE854)=0,COUNTIFS('История отказов'!$F$5:F854,"НПУ-ВД",'История отказов'!$AE$5:AE854,'История отказов'!AE854)=1,'История отказов'!F854="НПУ-ВД"),850,""))</f>
        <v/>
      </c>
      <c r="DH851">
        <f>IF('История отказов'!AE854="","",IF(AND(COUNTIF($CY$2:$CY$6,'История отказов'!AE854)=0,COUNTIF('История отказов'!$AE$5:AE854,'История отказов'!AE854)=1),850,""))</f>
        <v/>
      </c>
      <c r="DI851">
        <f>IF('История отказов'!AK854="","",IF(AND(COUNTIF($CL$2:$CL$3,'История отказов'!AK854)=0,COUNTIF('История отказов'!$AK$5:AK854,'История отказов'!AK854)=1),850,""))</f>
        <v/>
      </c>
      <c r="DJ851">
        <f>IF('История отказов'!AU854="","",IF(AND(COUNTIF($CP$2:$CP$3,'История отказов'!AU854)=0,COUNTIF('История отказов'!$AU$5:AU854,'История отказов'!AU854)=1),850,""))</f>
        <v/>
      </c>
      <c r="DK851">
        <f>IF('История отказов'!AY854="","",IF(AND(COUNTIF($CR$2:$CR$2,'История отказов'!AY854)=0,COUNTIF('История отказов'!$AY$5:AY854,'История отказов'!AY854)=1),850,""))</f>
        <v/>
      </c>
      <c r="DL851">
        <f>IF(DB851="","",IF(AND(COUNTIF($DA$2:$DA$47,DB851)=0,COUNTIF($DB$2:DB851,DB851)=1),850,""))</f>
        <v/>
      </c>
    </row>
    <row r="852">
      <c r="A852" s="74" t="n"/>
      <c r="B852" s="75" t="n"/>
      <c r="C852" s="76" t="n"/>
      <c r="DB852">
        <f>IF('История отказов'!AH855="","",'История отказов'!AH855)</f>
        <v/>
      </c>
      <c r="DC852">
        <f>IF('История отказов'!AE855="","",IF(AND(COUNTIF($CT$2:$CT$2,'История отказов'!AE855)=0,COUNTIFS('История отказов'!$F$5:F855,"ШГН",'История отказов'!$AE$5:AE855,'История отказов'!AE855)=1,'История отказов'!F855="ШГН"),851,""))</f>
        <v/>
      </c>
      <c r="DD852">
        <f>IF('История отказов'!AE855="","",IF(AND(COUNTIF($CU$2:$CU$3,'История отказов'!AE855)=0,COUNTIFS('История отказов'!$F$5:F855,"ЭЦН",'История отказов'!$AE$5:AE855,'История отказов'!AE855)=1,'История отказов'!F855="ЭЦН"),851,""))</f>
        <v/>
      </c>
      <c r="DE852">
        <f>IF('История отказов'!AE855="","",IF(AND(COUNTIF($CV$2:$CV$3,'История отказов'!AE855)=0,COUNTIFS('История отказов'!$F$5:F855,"ЭВН",'История отказов'!$AE$5:AE855,'История отказов'!AE855)=1,'История отказов'!F855="ЭВН"),851,""))</f>
        <v/>
      </c>
      <c r="DF852">
        <f>IF('История отказов'!AE855="","",IF(AND(COUNTIF($CX$2:$CX$2,'История отказов'!AE855)=0,COUNTIFS('История отказов'!$F$5:F855,"ШВН",'История отказов'!$AE$5:AE855,'История отказов'!AE855)=1,'История отказов'!F855="ШВН"),851,""))</f>
        <v/>
      </c>
      <c r="DG852">
        <f>IF('История отказов'!AE855="","",IF(AND(COUNTIF($CW$2:$CW$2,'История отказов'!AE855)=0,COUNTIFS('История отказов'!$F$5:F855,"НПУ-ВД",'История отказов'!$AE$5:AE855,'История отказов'!AE855)=1,'История отказов'!F855="НПУ-ВД"),851,""))</f>
        <v/>
      </c>
      <c r="DH852">
        <f>IF('История отказов'!AE855="","",IF(AND(COUNTIF($CY$2:$CY$6,'История отказов'!AE855)=0,COUNTIF('История отказов'!$AE$5:AE855,'История отказов'!AE855)=1),851,""))</f>
        <v/>
      </c>
      <c r="DI852">
        <f>IF('История отказов'!AK855="","",IF(AND(COUNTIF($CL$2:$CL$3,'История отказов'!AK855)=0,COUNTIF('История отказов'!$AK$5:AK855,'История отказов'!AK855)=1),851,""))</f>
        <v/>
      </c>
      <c r="DJ852">
        <f>IF('История отказов'!AU855="","",IF(AND(COUNTIF($CP$2:$CP$3,'История отказов'!AU855)=0,COUNTIF('История отказов'!$AU$5:AU855,'История отказов'!AU855)=1),851,""))</f>
        <v/>
      </c>
      <c r="DK852">
        <f>IF('История отказов'!AY855="","",IF(AND(COUNTIF($CR$2:$CR$2,'История отказов'!AY855)=0,COUNTIF('История отказов'!$AY$5:AY855,'История отказов'!AY855)=1),851,""))</f>
        <v/>
      </c>
      <c r="DL852">
        <f>IF(DB852="","",IF(AND(COUNTIF($DA$2:$DA$47,DB852)=0,COUNTIF($DB$2:DB852,DB852)=1),851,""))</f>
        <v/>
      </c>
    </row>
    <row r="853">
      <c r="A853" s="74" t="n"/>
      <c r="B853" s="75" t="n"/>
      <c r="C853" s="76" t="n"/>
      <c r="DB853">
        <f>IF('История отказов'!AH856="","",'История отказов'!AH856)</f>
        <v/>
      </c>
      <c r="DC853">
        <f>IF('История отказов'!AE856="","",IF(AND(COUNTIF($CT$2:$CT$2,'История отказов'!AE856)=0,COUNTIFS('История отказов'!$F$5:F856,"ШГН",'История отказов'!$AE$5:AE856,'История отказов'!AE856)=1,'История отказов'!F856="ШГН"),852,""))</f>
        <v/>
      </c>
      <c r="DD853">
        <f>IF('История отказов'!AE856="","",IF(AND(COUNTIF($CU$2:$CU$3,'История отказов'!AE856)=0,COUNTIFS('История отказов'!$F$5:F856,"ЭЦН",'История отказов'!$AE$5:AE856,'История отказов'!AE856)=1,'История отказов'!F856="ЭЦН"),852,""))</f>
        <v/>
      </c>
      <c r="DE853">
        <f>IF('История отказов'!AE856="","",IF(AND(COUNTIF($CV$2:$CV$3,'История отказов'!AE856)=0,COUNTIFS('История отказов'!$F$5:F856,"ЭВН",'История отказов'!$AE$5:AE856,'История отказов'!AE856)=1,'История отказов'!F856="ЭВН"),852,""))</f>
        <v/>
      </c>
      <c r="DF853">
        <f>IF('История отказов'!AE856="","",IF(AND(COUNTIF($CX$2:$CX$2,'История отказов'!AE856)=0,COUNTIFS('История отказов'!$F$5:F856,"ШВН",'История отказов'!$AE$5:AE856,'История отказов'!AE856)=1,'История отказов'!F856="ШВН"),852,""))</f>
        <v/>
      </c>
      <c r="DG853">
        <f>IF('История отказов'!AE856="","",IF(AND(COUNTIF($CW$2:$CW$2,'История отказов'!AE856)=0,COUNTIFS('История отказов'!$F$5:F856,"НПУ-ВД",'История отказов'!$AE$5:AE856,'История отказов'!AE856)=1,'История отказов'!F856="НПУ-ВД"),852,""))</f>
        <v/>
      </c>
      <c r="DH853">
        <f>IF('История отказов'!AE856="","",IF(AND(COUNTIF($CY$2:$CY$6,'История отказов'!AE856)=0,COUNTIF('История отказов'!$AE$5:AE856,'История отказов'!AE856)=1),852,""))</f>
        <v/>
      </c>
      <c r="DI853">
        <f>IF('История отказов'!AK856="","",IF(AND(COUNTIF($CL$2:$CL$3,'История отказов'!AK856)=0,COUNTIF('История отказов'!$AK$5:AK856,'История отказов'!AK856)=1),852,""))</f>
        <v/>
      </c>
      <c r="DJ853">
        <f>IF('История отказов'!AU856="","",IF(AND(COUNTIF($CP$2:$CP$3,'История отказов'!AU856)=0,COUNTIF('История отказов'!$AU$5:AU856,'История отказов'!AU856)=1),852,""))</f>
        <v/>
      </c>
      <c r="DK853">
        <f>IF('История отказов'!AY856="","",IF(AND(COUNTIF($CR$2:$CR$2,'История отказов'!AY856)=0,COUNTIF('История отказов'!$AY$5:AY856,'История отказов'!AY856)=1),852,""))</f>
        <v/>
      </c>
      <c r="DL853">
        <f>IF(DB853="","",IF(AND(COUNTIF($DA$2:$DA$47,DB853)=0,COUNTIF($DB$2:DB853,DB853)=1),852,""))</f>
        <v/>
      </c>
    </row>
    <row r="854">
      <c r="A854" s="74" t="n"/>
      <c r="B854" s="75" t="n"/>
      <c r="C854" s="76" t="n"/>
      <c r="DB854">
        <f>IF('История отказов'!AH857="","",'История отказов'!AH857)</f>
        <v/>
      </c>
      <c r="DC854">
        <f>IF('История отказов'!AE857="","",IF(AND(COUNTIF($CT$2:$CT$2,'История отказов'!AE857)=0,COUNTIFS('История отказов'!$F$5:F857,"ШГН",'История отказов'!$AE$5:AE857,'История отказов'!AE857)=1,'История отказов'!F857="ШГН"),853,""))</f>
        <v/>
      </c>
      <c r="DD854">
        <f>IF('История отказов'!AE857="","",IF(AND(COUNTIF($CU$2:$CU$3,'История отказов'!AE857)=0,COUNTIFS('История отказов'!$F$5:F857,"ЭЦН",'История отказов'!$AE$5:AE857,'История отказов'!AE857)=1,'История отказов'!F857="ЭЦН"),853,""))</f>
        <v/>
      </c>
      <c r="DE854">
        <f>IF('История отказов'!AE857="","",IF(AND(COUNTIF($CV$2:$CV$3,'История отказов'!AE857)=0,COUNTIFS('История отказов'!$F$5:F857,"ЭВН",'История отказов'!$AE$5:AE857,'История отказов'!AE857)=1,'История отказов'!F857="ЭВН"),853,""))</f>
        <v/>
      </c>
      <c r="DF854">
        <f>IF('История отказов'!AE857="","",IF(AND(COUNTIF($CX$2:$CX$2,'История отказов'!AE857)=0,COUNTIFS('История отказов'!$F$5:F857,"ШВН",'История отказов'!$AE$5:AE857,'История отказов'!AE857)=1,'История отказов'!F857="ШВН"),853,""))</f>
        <v/>
      </c>
      <c r="DG854">
        <f>IF('История отказов'!AE857="","",IF(AND(COUNTIF($CW$2:$CW$2,'История отказов'!AE857)=0,COUNTIFS('История отказов'!$F$5:F857,"НПУ-ВД",'История отказов'!$AE$5:AE857,'История отказов'!AE857)=1,'История отказов'!F857="НПУ-ВД"),853,""))</f>
        <v/>
      </c>
      <c r="DH854">
        <f>IF('История отказов'!AE857="","",IF(AND(COUNTIF($CY$2:$CY$6,'История отказов'!AE857)=0,COUNTIF('История отказов'!$AE$5:AE857,'История отказов'!AE857)=1),853,""))</f>
        <v/>
      </c>
      <c r="DI854">
        <f>IF('История отказов'!AK857="","",IF(AND(COUNTIF($CL$2:$CL$3,'История отказов'!AK857)=0,COUNTIF('История отказов'!$AK$5:AK857,'История отказов'!AK857)=1),853,""))</f>
        <v/>
      </c>
      <c r="DJ854">
        <f>IF('История отказов'!AU857="","",IF(AND(COUNTIF($CP$2:$CP$3,'История отказов'!AU857)=0,COUNTIF('История отказов'!$AU$5:AU857,'История отказов'!AU857)=1),853,""))</f>
        <v/>
      </c>
      <c r="DK854">
        <f>IF('История отказов'!AY857="","",IF(AND(COUNTIF($CR$2:$CR$2,'История отказов'!AY857)=0,COUNTIF('История отказов'!$AY$5:AY857,'История отказов'!AY857)=1),853,""))</f>
        <v/>
      </c>
      <c r="DL854">
        <f>IF(DB854="","",IF(AND(COUNTIF($DA$2:$DA$47,DB854)=0,COUNTIF($DB$2:DB854,DB854)=1),853,""))</f>
        <v/>
      </c>
    </row>
    <row r="855">
      <c r="A855" s="74" t="n"/>
      <c r="B855" s="75" t="n"/>
      <c r="C855" s="76" t="n"/>
      <c r="DB855">
        <f>IF('История отказов'!AH858="","",'История отказов'!AH858)</f>
        <v/>
      </c>
      <c r="DC855">
        <f>IF('История отказов'!AE858="","",IF(AND(COUNTIF($CT$2:$CT$2,'История отказов'!AE858)=0,COUNTIFS('История отказов'!$F$5:F858,"ШГН",'История отказов'!$AE$5:AE858,'История отказов'!AE858)=1,'История отказов'!F858="ШГН"),854,""))</f>
        <v/>
      </c>
      <c r="DD855">
        <f>IF('История отказов'!AE858="","",IF(AND(COUNTIF($CU$2:$CU$3,'История отказов'!AE858)=0,COUNTIFS('История отказов'!$F$5:F858,"ЭЦН",'История отказов'!$AE$5:AE858,'История отказов'!AE858)=1,'История отказов'!F858="ЭЦН"),854,""))</f>
        <v/>
      </c>
      <c r="DE855">
        <f>IF('История отказов'!AE858="","",IF(AND(COUNTIF($CV$2:$CV$3,'История отказов'!AE858)=0,COUNTIFS('История отказов'!$F$5:F858,"ЭВН",'История отказов'!$AE$5:AE858,'История отказов'!AE858)=1,'История отказов'!F858="ЭВН"),854,""))</f>
        <v/>
      </c>
      <c r="DF855">
        <f>IF('История отказов'!AE858="","",IF(AND(COUNTIF($CX$2:$CX$2,'История отказов'!AE858)=0,COUNTIFS('История отказов'!$F$5:F858,"ШВН",'История отказов'!$AE$5:AE858,'История отказов'!AE858)=1,'История отказов'!F858="ШВН"),854,""))</f>
        <v/>
      </c>
      <c r="DG855">
        <f>IF('История отказов'!AE858="","",IF(AND(COUNTIF($CW$2:$CW$2,'История отказов'!AE858)=0,COUNTIFS('История отказов'!$F$5:F858,"НПУ-ВД",'История отказов'!$AE$5:AE858,'История отказов'!AE858)=1,'История отказов'!F858="НПУ-ВД"),854,""))</f>
        <v/>
      </c>
      <c r="DH855">
        <f>IF('История отказов'!AE858="","",IF(AND(COUNTIF($CY$2:$CY$6,'История отказов'!AE858)=0,COUNTIF('История отказов'!$AE$5:AE858,'История отказов'!AE858)=1),854,""))</f>
        <v/>
      </c>
      <c r="DI855">
        <f>IF('История отказов'!AK858="","",IF(AND(COUNTIF($CL$2:$CL$3,'История отказов'!AK858)=0,COUNTIF('История отказов'!$AK$5:AK858,'История отказов'!AK858)=1),854,""))</f>
        <v/>
      </c>
      <c r="DJ855">
        <f>IF('История отказов'!AU858="","",IF(AND(COUNTIF($CP$2:$CP$3,'История отказов'!AU858)=0,COUNTIF('История отказов'!$AU$5:AU858,'История отказов'!AU858)=1),854,""))</f>
        <v/>
      </c>
      <c r="DK855">
        <f>IF('История отказов'!AY858="","",IF(AND(COUNTIF($CR$2:$CR$2,'История отказов'!AY858)=0,COUNTIF('История отказов'!$AY$5:AY858,'История отказов'!AY858)=1),854,""))</f>
        <v/>
      </c>
      <c r="DL855">
        <f>IF(DB855="","",IF(AND(COUNTIF($DA$2:$DA$47,DB855)=0,COUNTIF($DB$2:DB855,DB855)=1),854,""))</f>
        <v/>
      </c>
    </row>
    <row r="856">
      <c r="A856" s="74" t="n"/>
      <c r="B856" s="75" t="n"/>
      <c r="C856" s="76" t="n"/>
      <c r="DB856">
        <f>IF('История отказов'!AH859="","",'История отказов'!AH859)</f>
        <v/>
      </c>
      <c r="DC856">
        <f>IF('История отказов'!AE859="","",IF(AND(COUNTIF($CT$2:$CT$2,'История отказов'!AE859)=0,COUNTIFS('История отказов'!$F$5:F859,"ШГН",'История отказов'!$AE$5:AE859,'История отказов'!AE859)=1,'История отказов'!F859="ШГН"),855,""))</f>
        <v/>
      </c>
      <c r="DD856">
        <f>IF('История отказов'!AE859="","",IF(AND(COUNTIF($CU$2:$CU$3,'История отказов'!AE859)=0,COUNTIFS('История отказов'!$F$5:F859,"ЭЦН",'История отказов'!$AE$5:AE859,'История отказов'!AE859)=1,'История отказов'!F859="ЭЦН"),855,""))</f>
        <v/>
      </c>
      <c r="DE856">
        <f>IF('История отказов'!AE859="","",IF(AND(COUNTIF($CV$2:$CV$3,'История отказов'!AE859)=0,COUNTIFS('История отказов'!$F$5:F859,"ЭВН",'История отказов'!$AE$5:AE859,'История отказов'!AE859)=1,'История отказов'!F859="ЭВН"),855,""))</f>
        <v/>
      </c>
      <c r="DF856">
        <f>IF('История отказов'!AE859="","",IF(AND(COUNTIF($CX$2:$CX$2,'История отказов'!AE859)=0,COUNTIFS('История отказов'!$F$5:F859,"ШВН",'История отказов'!$AE$5:AE859,'История отказов'!AE859)=1,'История отказов'!F859="ШВН"),855,""))</f>
        <v/>
      </c>
      <c r="DG856">
        <f>IF('История отказов'!AE859="","",IF(AND(COUNTIF($CW$2:$CW$2,'История отказов'!AE859)=0,COUNTIFS('История отказов'!$F$5:F859,"НПУ-ВД",'История отказов'!$AE$5:AE859,'История отказов'!AE859)=1,'История отказов'!F859="НПУ-ВД"),855,""))</f>
        <v/>
      </c>
      <c r="DH856">
        <f>IF('История отказов'!AE859="","",IF(AND(COUNTIF($CY$2:$CY$6,'История отказов'!AE859)=0,COUNTIF('История отказов'!$AE$5:AE859,'История отказов'!AE859)=1),855,""))</f>
        <v/>
      </c>
      <c r="DI856">
        <f>IF('История отказов'!AK859="","",IF(AND(COUNTIF($CL$2:$CL$3,'История отказов'!AK859)=0,COUNTIF('История отказов'!$AK$5:AK859,'История отказов'!AK859)=1),855,""))</f>
        <v/>
      </c>
      <c r="DJ856">
        <f>IF('История отказов'!AU859="","",IF(AND(COUNTIF($CP$2:$CP$3,'История отказов'!AU859)=0,COUNTIF('История отказов'!$AU$5:AU859,'История отказов'!AU859)=1),855,""))</f>
        <v/>
      </c>
      <c r="DK856">
        <f>IF('История отказов'!AY859="","",IF(AND(COUNTIF($CR$2:$CR$2,'История отказов'!AY859)=0,COUNTIF('История отказов'!$AY$5:AY859,'История отказов'!AY859)=1),855,""))</f>
        <v/>
      </c>
      <c r="DL856">
        <f>IF(DB856="","",IF(AND(COUNTIF($DA$2:$DA$47,DB856)=0,COUNTIF($DB$2:DB856,DB856)=1),855,""))</f>
        <v/>
      </c>
    </row>
    <row r="857">
      <c r="A857" s="74" t="n"/>
      <c r="B857" s="75" t="n"/>
      <c r="C857" s="76" t="n"/>
      <c r="DB857">
        <f>IF('История отказов'!AH860="","",'История отказов'!AH860)</f>
        <v/>
      </c>
      <c r="DC857">
        <f>IF('История отказов'!AE860="","",IF(AND(COUNTIF($CT$2:$CT$2,'История отказов'!AE860)=0,COUNTIFS('История отказов'!$F$5:F860,"ШГН",'История отказов'!$AE$5:AE860,'История отказов'!AE860)=1,'История отказов'!F860="ШГН"),856,""))</f>
        <v/>
      </c>
      <c r="DD857">
        <f>IF('История отказов'!AE860="","",IF(AND(COUNTIF($CU$2:$CU$3,'История отказов'!AE860)=0,COUNTIFS('История отказов'!$F$5:F860,"ЭЦН",'История отказов'!$AE$5:AE860,'История отказов'!AE860)=1,'История отказов'!F860="ЭЦН"),856,""))</f>
        <v/>
      </c>
      <c r="DE857">
        <f>IF('История отказов'!AE860="","",IF(AND(COUNTIF($CV$2:$CV$3,'История отказов'!AE860)=0,COUNTIFS('История отказов'!$F$5:F860,"ЭВН",'История отказов'!$AE$5:AE860,'История отказов'!AE860)=1,'История отказов'!F860="ЭВН"),856,""))</f>
        <v/>
      </c>
      <c r="DF857">
        <f>IF('История отказов'!AE860="","",IF(AND(COUNTIF($CX$2:$CX$2,'История отказов'!AE860)=0,COUNTIFS('История отказов'!$F$5:F860,"ШВН",'История отказов'!$AE$5:AE860,'История отказов'!AE860)=1,'История отказов'!F860="ШВН"),856,""))</f>
        <v/>
      </c>
      <c r="DG857">
        <f>IF('История отказов'!AE860="","",IF(AND(COUNTIF($CW$2:$CW$2,'История отказов'!AE860)=0,COUNTIFS('История отказов'!$F$5:F860,"НПУ-ВД",'История отказов'!$AE$5:AE860,'История отказов'!AE860)=1,'История отказов'!F860="НПУ-ВД"),856,""))</f>
        <v/>
      </c>
      <c r="DH857">
        <f>IF('История отказов'!AE860="","",IF(AND(COUNTIF($CY$2:$CY$6,'История отказов'!AE860)=0,COUNTIF('История отказов'!$AE$5:AE860,'История отказов'!AE860)=1),856,""))</f>
        <v/>
      </c>
      <c r="DI857">
        <f>IF('История отказов'!AK860="","",IF(AND(COUNTIF($CL$2:$CL$3,'История отказов'!AK860)=0,COUNTIF('История отказов'!$AK$5:AK860,'История отказов'!AK860)=1),856,""))</f>
        <v/>
      </c>
      <c r="DJ857">
        <f>IF('История отказов'!AU860="","",IF(AND(COUNTIF($CP$2:$CP$3,'История отказов'!AU860)=0,COUNTIF('История отказов'!$AU$5:AU860,'История отказов'!AU860)=1),856,""))</f>
        <v/>
      </c>
      <c r="DK857">
        <f>IF('История отказов'!AY860="","",IF(AND(COUNTIF($CR$2:$CR$2,'История отказов'!AY860)=0,COUNTIF('История отказов'!$AY$5:AY860,'История отказов'!AY860)=1),856,""))</f>
        <v/>
      </c>
      <c r="DL857">
        <f>IF(DB857="","",IF(AND(COUNTIF($DA$2:$DA$47,DB857)=0,COUNTIF($DB$2:DB857,DB857)=1),856,""))</f>
        <v/>
      </c>
    </row>
    <row r="858">
      <c r="A858" s="74" t="n"/>
      <c r="B858" s="75" t="n"/>
      <c r="C858" s="76" t="n"/>
      <c r="DB858">
        <f>IF('История отказов'!AH861="","",'История отказов'!AH861)</f>
        <v/>
      </c>
      <c r="DC858">
        <f>IF('История отказов'!AE861="","",IF(AND(COUNTIF($CT$2:$CT$2,'История отказов'!AE861)=0,COUNTIFS('История отказов'!$F$5:F861,"ШГН",'История отказов'!$AE$5:AE861,'История отказов'!AE861)=1,'История отказов'!F861="ШГН"),857,""))</f>
        <v/>
      </c>
      <c r="DD858">
        <f>IF('История отказов'!AE861="","",IF(AND(COUNTIF($CU$2:$CU$3,'История отказов'!AE861)=0,COUNTIFS('История отказов'!$F$5:F861,"ЭЦН",'История отказов'!$AE$5:AE861,'История отказов'!AE861)=1,'История отказов'!F861="ЭЦН"),857,""))</f>
        <v/>
      </c>
      <c r="DE858">
        <f>IF('История отказов'!AE861="","",IF(AND(COUNTIF($CV$2:$CV$3,'История отказов'!AE861)=0,COUNTIFS('История отказов'!$F$5:F861,"ЭВН",'История отказов'!$AE$5:AE861,'История отказов'!AE861)=1,'История отказов'!F861="ЭВН"),857,""))</f>
        <v/>
      </c>
      <c r="DF858">
        <f>IF('История отказов'!AE861="","",IF(AND(COUNTIF($CX$2:$CX$2,'История отказов'!AE861)=0,COUNTIFS('История отказов'!$F$5:F861,"ШВН",'История отказов'!$AE$5:AE861,'История отказов'!AE861)=1,'История отказов'!F861="ШВН"),857,""))</f>
        <v/>
      </c>
      <c r="DG858">
        <f>IF('История отказов'!AE861="","",IF(AND(COUNTIF($CW$2:$CW$2,'История отказов'!AE861)=0,COUNTIFS('История отказов'!$F$5:F861,"НПУ-ВД",'История отказов'!$AE$5:AE861,'История отказов'!AE861)=1,'История отказов'!F861="НПУ-ВД"),857,""))</f>
        <v/>
      </c>
      <c r="DH858">
        <f>IF('История отказов'!AE861="","",IF(AND(COUNTIF($CY$2:$CY$6,'История отказов'!AE861)=0,COUNTIF('История отказов'!$AE$5:AE861,'История отказов'!AE861)=1),857,""))</f>
        <v/>
      </c>
      <c r="DI858">
        <f>IF('История отказов'!AK861="","",IF(AND(COUNTIF($CL$2:$CL$3,'История отказов'!AK861)=0,COUNTIF('История отказов'!$AK$5:AK861,'История отказов'!AK861)=1),857,""))</f>
        <v/>
      </c>
      <c r="DJ858">
        <f>IF('История отказов'!AU861="","",IF(AND(COUNTIF($CP$2:$CP$3,'История отказов'!AU861)=0,COUNTIF('История отказов'!$AU$5:AU861,'История отказов'!AU861)=1),857,""))</f>
        <v/>
      </c>
      <c r="DK858">
        <f>IF('История отказов'!AY861="","",IF(AND(COUNTIF($CR$2:$CR$2,'История отказов'!AY861)=0,COUNTIF('История отказов'!$AY$5:AY861,'История отказов'!AY861)=1),857,""))</f>
        <v/>
      </c>
      <c r="DL858">
        <f>IF(DB858="","",IF(AND(COUNTIF($DA$2:$DA$47,DB858)=0,COUNTIF($DB$2:DB858,DB858)=1),857,""))</f>
        <v/>
      </c>
    </row>
    <row r="859">
      <c r="A859" s="74" t="n"/>
      <c r="B859" s="75" t="n"/>
      <c r="C859" s="76" t="n"/>
      <c r="DB859">
        <f>IF('История отказов'!AH862="","",'История отказов'!AH862)</f>
        <v/>
      </c>
      <c r="DC859">
        <f>IF('История отказов'!AE862="","",IF(AND(COUNTIF($CT$2:$CT$2,'История отказов'!AE862)=0,COUNTIFS('История отказов'!$F$5:F862,"ШГН",'История отказов'!$AE$5:AE862,'История отказов'!AE862)=1,'История отказов'!F862="ШГН"),858,""))</f>
        <v/>
      </c>
      <c r="DD859">
        <f>IF('История отказов'!AE862="","",IF(AND(COUNTIF($CU$2:$CU$3,'История отказов'!AE862)=0,COUNTIFS('История отказов'!$F$5:F862,"ЭЦН",'История отказов'!$AE$5:AE862,'История отказов'!AE862)=1,'История отказов'!F862="ЭЦН"),858,""))</f>
        <v/>
      </c>
      <c r="DE859">
        <f>IF('История отказов'!AE862="","",IF(AND(COUNTIF($CV$2:$CV$3,'История отказов'!AE862)=0,COUNTIFS('История отказов'!$F$5:F862,"ЭВН",'История отказов'!$AE$5:AE862,'История отказов'!AE862)=1,'История отказов'!F862="ЭВН"),858,""))</f>
        <v/>
      </c>
      <c r="DF859">
        <f>IF('История отказов'!AE862="","",IF(AND(COUNTIF($CX$2:$CX$2,'История отказов'!AE862)=0,COUNTIFS('История отказов'!$F$5:F862,"ШВН",'История отказов'!$AE$5:AE862,'История отказов'!AE862)=1,'История отказов'!F862="ШВН"),858,""))</f>
        <v/>
      </c>
      <c r="DG859">
        <f>IF('История отказов'!AE862="","",IF(AND(COUNTIF($CW$2:$CW$2,'История отказов'!AE862)=0,COUNTIFS('История отказов'!$F$5:F862,"НПУ-ВД",'История отказов'!$AE$5:AE862,'История отказов'!AE862)=1,'История отказов'!F862="НПУ-ВД"),858,""))</f>
        <v/>
      </c>
      <c r="DH859">
        <f>IF('История отказов'!AE862="","",IF(AND(COUNTIF($CY$2:$CY$6,'История отказов'!AE862)=0,COUNTIF('История отказов'!$AE$5:AE862,'История отказов'!AE862)=1),858,""))</f>
        <v/>
      </c>
      <c r="DI859">
        <f>IF('История отказов'!AK862="","",IF(AND(COUNTIF($CL$2:$CL$3,'История отказов'!AK862)=0,COUNTIF('История отказов'!$AK$5:AK862,'История отказов'!AK862)=1),858,""))</f>
        <v/>
      </c>
      <c r="DJ859">
        <f>IF('История отказов'!AU862="","",IF(AND(COUNTIF($CP$2:$CP$3,'История отказов'!AU862)=0,COUNTIF('История отказов'!$AU$5:AU862,'История отказов'!AU862)=1),858,""))</f>
        <v/>
      </c>
      <c r="DK859">
        <f>IF('История отказов'!AY862="","",IF(AND(COUNTIF($CR$2:$CR$2,'История отказов'!AY862)=0,COUNTIF('История отказов'!$AY$5:AY862,'История отказов'!AY862)=1),858,""))</f>
        <v/>
      </c>
      <c r="DL859">
        <f>IF(DB859="","",IF(AND(COUNTIF($DA$2:$DA$47,DB859)=0,COUNTIF($DB$2:DB859,DB859)=1),858,""))</f>
        <v/>
      </c>
    </row>
    <row r="860">
      <c r="A860" s="74" t="n"/>
      <c r="B860" s="75" t="n"/>
      <c r="C860" s="76" t="n"/>
      <c r="DB860">
        <f>IF('История отказов'!AH863="","",'История отказов'!AH863)</f>
        <v/>
      </c>
      <c r="DC860">
        <f>IF('История отказов'!AE863="","",IF(AND(COUNTIF($CT$2:$CT$2,'История отказов'!AE863)=0,COUNTIFS('История отказов'!$F$5:F863,"ШГН",'История отказов'!$AE$5:AE863,'История отказов'!AE863)=1,'История отказов'!F863="ШГН"),859,""))</f>
        <v/>
      </c>
      <c r="DD860">
        <f>IF('История отказов'!AE863="","",IF(AND(COUNTIF($CU$2:$CU$3,'История отказов'!AE863)=0,COUNTIFS('История отказов'!$F$5:F863,"ЭЦН",'История отказов'!$AE$5:AE863,'История отказов'!AE863)=1,'История отказов'!F863="ЭЦН"),859,""))</f>
        <v/>
      </c>
      <c r="DE860">
        <f>IF('История отказов'!AE863="","",IF(AND(COUNTIF($CV$2:$CV$3,'История отказов'!AE863)=0,COUNTIFS('История отказов'!$F$5:F863,"ЭВН",'История отказов'!$AE$5:AE863,'История отказов'!AE863)=1,'История отказов'!F863="ЭВН"),859,""))</f>
        <v/>
      </c>
      <c r="DF860">
        <f>IF('История отказов'!AE863="","",IF(AND(COUNTIF($CX$2:$CX$2,'История отказов'!AE863)=0,COUNTIFS('История отказов'!$F$5:F863,"ШВН",'История отказов'!$AE$5:AE863,'История отказов'!AE863)=1,'История отказов'!F863="ШВН"),859,""))</f>
        <v/>
      </c>
      <c r="DG860">
        <f>IF('История отказов'!AE863="","",IF(AND(COUNTIF($CW$2:$CW$2,'История отказов'!AE863)=0,COUNTIFS('История отказов'!$F$5:F863,"НПУ-ВД",'История отказов'!$AE$5:AE863,'История отказов'!AE863)=1,'История отказов'!F863="НПУ-ВД"),859,""))</f>
        <v/>
      </c>
      <c r="DH860">
        <f>IF('История отказов'!AE863="","",IF(AND(COUNTIF($CY$2:$CY$6,'История отказов'!AE863)=0,COUNTIF('История отказов'!$AE$5:AE863,'История отказов'!AE863)=1),859,""))</f>
        <v/>
      </c>
      <c r="DI860">
        <f>IF('История отказов'!AK863="","",IF(AND(COUNTIF($CL$2:$CL$3,'История отказов'!AK863)=0,COUNTIF('История отказов'!$AK$5:AK863,'История отказов'!AK863)=1),859,""))</f>
        <v/>
      </c>
      <c r="DJ860">
        <f>IF('История отказов'!AU863="","",IF(AND(COUNTIF($CP$2:$CP$3,'История отказов'!AU863)=0,COUNTIF('История отказов'!$AU$5:AU863,'История отказов'!AU863)=1),859,""))</f>
        <v/>
      </c>
      <c r="DK860">
        <f>IF('История отказов'!AY863="","",IF(AND(COUNTIF($CR$2:$CR$2,'История отказов'!AY863)=0,COUNTIF('История отказов'!$AY$5:AY863,'История отказов'!AY863)=1),859,""))</f>
        <v/>
      </c>
      <c r="DL860">
        <f>IF(DB860="","",IF(AND(COUNTIF($DA$2:$DA$47,DB860)=0,COUNTIF($DB$2:DB860,DB860)=1),859,""))</f>
        <v/>
      </c>
    </row>
    <row r="861">
      <c r="A861" s="74" t="n"/>
      <c r="B861" s="75" t="n"/>
      <c r="C861" s="76" t="n"/>
      <c r="DB861">
        <f>IF('История отказов'!AH864="","",'История отказов'!AH864)</f>
        <v/>
      </c>
      <c r="DC861">
        <f>IF('История отказов'!AE864="","",IF(AND(COUNTIF($CT$2:$CT$2,'История отказов'!AE864)=0,COUNTIFS('История отказов'!$F$5:F864,"ШГН",'История отказов'!$AE$5:AE864,'История отказов'!AE864)=1,'История отказов'!F864="ШГН"),860,""))</f>
        <v/>
      </c>
      <c r="DD861">
        <f>IF('История отказов'!AE864="","",IF(AND(COUNTIF($CU$2:$CU$3,'История отказов'!AE864)=0,COUNTIFS('История отказов'!$F$5:F864,"ЭЦН",'История отказов'!$AE$5:AE864,'История отказов'!AE864)=1,'История отказов'!F864="ЭЦН"),860,""))</f>
        <v/>
      </c>
      <c r="DE861">
        <f>IF('История отказов'!AE864="","",IF(AND(COUNTIF($CV$2:$CV$3,'История отказов'!AE864)=0,COUNTIFS('История отказов'!$F$5:F864,"ЭВН",'История отказов'!$AE$5:AE864,'История отказов'!AE864)=1,'История отказов'!F864="ЭВН"),860,""))</f>
        <v/>
      </c>
      <c r="DF861">
        <f>IF('История отказов'!AE864="","",IF(AND(COUNTIF($CX$2:$CX$2,'История отказов'!AE864)=0,COUNTIFS('История отказов'!$F$5:F864,"ШВН",'История отказов'!$AE$5:AE864,'История отказов'!AE864)=1,'История отказов'!F864="ШВН"),860,""))</f>
        <v/>
      </c>
      <c r="DG861">
        <f>IF('История отказов'!AE864="","",IF(AND(COUNTIF($CW$2:$CW$2,'История отказов'!AE864)=0,COUNTIFS('История отказов'!$F$5:F864,"НПУ-ВД",'История отказов'!$AE$5:AE864,'История отказов'!AE864)=1,'История отказов'!F864="НПУ-ВД"),860,""))</f>
        <v/>
      </c>
      <c r="DH861">
        <f>IF('История отказов'!AE864="","",IF(AND(COUNTIF($CY$2:$CY$6,'История отказов'!AE864)=0,COUNTIF('История отказов'!$AE$5:AE864,'История отказов'!AE864)=1),860,""))</f>
        <v/>
      </c>
      <c r="DI861">
        <f>IF('История отказов'!AK864="","",IF(AND(COUNTIF($CL$2:$CL$3,'История отказов'!AK864)=0,COUNTIF('История отказов'!$AK$5:AK864,'История отказов'!AK864)=1),860,""))</f>
        <v/>
      </c>
      <c r="DJ861">
        <f>IF('История отказов'!AU864="","",IF(AND(COUNTIF($CP$2:$CP$3,'История отказов'!AU864)=0,COUNTIF('История отказов'!$AU$5:AU864,'История отказов'!AU864)=1),860,""))</f>
        <v/>
      </c>
      <c r="DK861">
        <f>IF('История отказов'!AY864="","",IF(AND(COUNTIF($CR$2:$CR$2,'История отказов'!AY864)=0,COUNTIF('История отказов'!$AY$5:AY864,'История отказов'!AY864)=1),860,""))</f>
        <v/>
      </c>
      <c r="DL861">
        <f>IF(DB861="","",IF(AND(COUNTIF($DA$2:$DA$47,DB861)=0,COUNTIF($DB$2:DB861,DB861)=1),860,""))</f>
        <v/>
      </c>
    </row>
    <row r="862">
      <c r="A862" s="74" t="n"/>
      <c r="B862" s="75" t="n"/>
      <c r="C862" s="76" t="n"/>
      <c r="DB862">
        <f>IF('История отказов'!AH865="","",'История отказов'!AH865)</f>
        <v/>
      </c>
      <c r="DC862">
        <f>IF('История отказов'!AE865="","",IF(AND(COUNTIF($CT$2:$CT$2,'История отказов'!AE865)=0,COUNTIFS('История отказов'!$F$5:F865,"ШГН",'История отказов'!$AE$5:AE865,'История отказов'!AE865)=1,'История отказов'!F865="ШГН"),861,""))</f>
        <v/>
      </c>
      <c r="DD862">
        <f>IF('История отказов'!AE865="","",IF(AND(COUNTIF($CU$2:$CU$3,'История отказов'!AE865)=0,COUNTIFS('История отказов'!$F$5:F865,"ЭЦН",'История отказов'!$AE$5:AE865,'История отказов'!AE865)=1,'История отказов'!F865="ЭЦН"),861,""))</f>
        <v/>
      </c>
      <c r="DE862">
        <f>IF('История отказов'!AE865="","",IF(AND(COUNTIF($CV$2:$CV$3,'История отказов'!AE865)=0,COUNTIFS('История отказов'!$F$5:F865,"ЭВН",'История отказов'!$AE$5:AE865,'История отказов'!AE865)=1,'История отказов'!F865="ЭВН"),861,""))</f>
        <v/>
      </c>
      <c r="DF862">
        <f>IF('История отказов'!AE865="","",IF(AND(COUNTIF($CX$2:$CX$2,'История отказов'!AE865)=0,COUNTIFS('История отказов'!$F$5:F865,"ШВН",'История отказов'!$AE$5:AE865,'История отказов'!AE865)=1,'История отказов'!F865="ШВН"),861,""))</f>
        <v/>
      </c>
      <c r="DG862">
        <f>IF('История отказов'!AE865="","",IF(AND(COUNTIF($CW$2:$CW$2,'История отказов'!AE865)=0,COUNTIFS('История отказов'!$F$5:F865,"НПУ-ВД",'История отказов'!$AE$5:AE865,'История отказов'!AE865)=1,'История отказов'!F865="НПУ-ВД"),861,""))</f>
        <v/>
      </c>
      <c r="DH862">
        <f>IF('История отказов'!AE865="","",IF(AND(COUNTIF($CY$2:$CY$6,'История отказов'!AE865)=0,COUNTIF('История отказов'!$AE$5:AE865,'История отказов'!AE865)=1),861,""))</f>
        <v/>
      </c>
      <c r="DI862">
        <f>IF('История отказов'!AK865="","",IF(AND(COUNTIF($CL$2:$CL$3,'История отказов'!AK865)=0,COUNTIF('История отказов'!$AK$5:AK865,'История отказов'!AK865)=1),861,""))</f>
        <v/>
      </c>
      <c r="DJ862">
        <f>IF('История отказов'!AU865="","",IF(AND(COUNTIF($CP$2:$CP$3,'История отказов'!AU865)=0,COUNTIF('История отказов'!$AU$5:AU865,'История отказов'!AU865)=1),861,""))</f>
        <v/>
      </c>
      <c r="DK862">
        <f>IF('История отказов'!AY865="","",IF(AND(COUNTIF($CR$2:$CR$2,'История отказов'!AY865)=0,COUNTIF('История отказов'!$AY$5:AY865,'История отказов'!AY865)=1),861,""))</f>
        <v/>
      </c>
      <c r="DL862">
        <f>IF(DB862="","",IF(AND(COUNTIF($DA$2:$DA$47,DB862)=0,COUNTIF($DB$2:DB862,DB862)=1),861,""))</f>
        <v/>
      </c>
    </row>
    <row r="863">
      <c r="A863" s="74" t="n"/>
      <c r="B863" s="75" t="n"/>
      <c r="C863" s="76" t="n"/>
      <c r="DB863">
        <f>IF('История отказов'!AH866="","",'История отказов'!AH866)</f>
        <v/>
      </c>
      <c r="DC863">
        <f>IF('История отказов'!AE866="","",IF(AND(COUNTIF($CT$2:$CT$2,'История отказов'!AE866)=0,COUNTIFS('История отказов'!$F$5:F866,"ШГН",'История отказов'!$AE$5:AE866,'История отказов'!AE866)=1,'История отказов'!F866="ШГН"),862,""))</f>
        <v/>
      </c>
      <c r="DD863">
        <f>IF('История отказов'!AE866="","",IF(AND(COUNTIF($CU$2:$CU$3,'История отказов'!AE866)=0,COUNTIFS('История отказов'!$F$5:F866,"ЭЦН",'История отказов'!$AE$5:AE866,'История отказов'!AE866)=1,'История отказов'!F866="ЭЦН"),862,""))</f>
        <v/>
      </c>
      <c r="DE863">
        <f>IF('История отказов'!AE866="","",IF(AND(COUNTIF($CV$2:$CV$3,'История отказов'!AE866)=0,COUNTIFS('История отказов'!$F$5:F866,"ЭВН",'История отказов'!$AE$5:AE866,'История отказов'!AE866)=1,'История отказов'!F866="ЭВН"),862,""))</f>
        <v/>
      </c>
      <c r="DF863">
        <f>IF('История отказов'!AE866="","",IF(AND(COUNTIF($CX$2:$CX$2,'История отказов'!AE866)=0,COUNTIFS('История отказов'!$F$5:F866,"ШВН",'История отказов'!$AE$5:AE866,'История отказов'!AE866)=1,'История отказов'!F866="ШВН"),862,""))</f>
        <v/>
      </c>
      <c r="DG863">
        <f>IF('История отказов'!AE866="","",IF(AND(COUNTIF($CW$2:$CW$2,'История отказов'!AE866)=0,COUNTIFS('История отказов'!$F$5:F866,"НПУ-ВД",'История отказов'!$AE$5:AE866,'История отказов'!AE866)=1,'История отказов'!F866="НПУ-ВД"),862,""))</f>
        <v/>
      </c>
      <c r="DH863">
        <f>IF('История отказов'!AE866="","",IF(AND(COUNTIF($CY$2:$CY$6,'История отказов'!AE866)=0,COUNTIF('История отказов'!$AE$5:AE866,'История отказов'!AE866)=1),862,""))</f>
        <v/>
      </c>
      <c r="DI863">
        <f>IF('История отказов'!AK866="","",IF(AND(COUNTIF($CL$2:$CL$3,'История отказов'!AK866)=0,COUNTIF('История отказов'!$AK$5:AK866,'История отказов'!AK866)=1),862,""))</f>
        <v/>
      </c>
      <c r="DJ863">
        <f>IF('История отказов'!AU866="","",IF(AND(COUNTIF($CP$2:$CP$3,'История отказов'!AU866)=0,COUNTIF('История отказов'!$AU$5:AU866,'История отказов'!AU866)=1),862,""))</f>
        <v/>
      </c>
      <c r="DK863">
        <f>IF('История отказов'!AY866="","",IF(AND(COUNTIF($CR$2:$CR$2,'История отказов'!AY866)=0,COUNTIF('История отказов'!$AY$5:AY866,'История отказов'!AY866)=1),862,""))</f>
        <v/>
      </c>
      <c r="DL863">
        <f>IF(DB863="","",IF(AND(COUNTIF($DA$2:$DA$47,DB863)=0,COUNTIF($DB$2:DB863,DB863)=1),862,""))</f>
        <v/>
      </c>
    </row>
    <row r="864">
      <c r="A864" s="74" t="n"/>
      <c r="B864" s="75" t="n"/>
      <c r="C864" s="76" t="n"/>
      <c r="DB864">
        <f>IF('История отказов'!AH867="","",'История отказов'!AH867)</f>
        <v/>
      </c>
      <c r="DC864">
        <f>IF('История отказов'!AE867="","",IF(AND(COUNTIF($CT$2:$CT$2,'История отказов'!AE867)=0,COUNTIFS('История отказов'!$F$5:F867,"ШГН",'История отказов'!$AE$5:AE867,'История отказов'!AE867)=1,'История отказов'!F867="ШГН"),863,""))</f>
        <v/>
      </c>
      <c r="DD864">
        <f>IF('История отказов'!AE867="","",IF(AND(COUNTIF($CU$2:$CU$3,'История отказов'!AE867)=0,COUNTIFS('История отказов'!$F$5:F867,"ЭЦН",'История отказов'!$AE$5:AE867,'История отказов'!AE867)=1,'История отказов'!F867="ЭЦН"),863,""))</f>
        <v/>
      </c>
      <c r="DE864">
        <f>IF('История отказов'!AE867="","",IF(AND(COUNTIF($CV$2:$CV$3,'История отказов'!AE867)=0,COUNTIFS('История отказов'!$F$5:F867,"ЭВН",'История отказов'!$AE$5:AE867,'История отказов'!AE867)=1,'История отказов'!F867="ЭВН"),863,""))</f>
        <v/>
      </c>
      <c r="DF864">
        <f>IF('История отказов'!AE867="","",IF(AND(COUNTIF($CX$2:$CX$2,'История отказов'!AE867)=0,COUNTIFS('История отказов'!$F$5:F867,"ШВН",'История отказов'!$AE$5:AE867,'История отказов'!AE867)=1,'История отказов'!F867="ШВН"),863,""))</f>
        <v/>
      </c>
      <c r="DG864">
        <f>IF('История отказов'!AE867="","",IF(AND(COUNTIF($CW$2:$CW$2,'История отказов'!AE867)=0,COUNTIFS('История отказов'!$F$5:F867,"НПУ-ВД",'История отказов'!$AE$5:AE867,'История отказов'!AE867)=1,'История отказов'!F867="НПУ-ВД"),863,""))</f>
        <v/>
      </c>
      <c r="DH864">
        <f>IF('История отказов'!AE867="","",IF(AND(COUNTIF($CY$2:$CY$6,'История отказов'!AE867)=0,COUNTIF('История отказов'!$AE$5:AE867,'История отказов'!AE867)=1),863,""))</f>
        <v/>
      </c>
      <c r="DI864">
        <f>IF('История отказов'!AK867="","",IF(AND(COUNTIF($CL$2:$CL$3,'История отказов'!AK867)=0,COUNTIF('История отказов'!$AK$5:AK867,'История отказов'!AK867)=1),863,""))</f>
        <v/>
      </c>
      <c r="DJ864">
        <f>IF('История отказов'!AU867="","",IF(AND(COUNTIF($CP$2:$CP$3,'История отказов'!AU867)=0,COUNTIF('История отказов'!$AU$5:AU867,'История отказов'!AU867)=1),863,""))</f>
        <v/>
      </c>
      <c r="DK864">
        <f>IF('История отказов'!AY867="","",IF(AND(COUNTIF($CR$2:$CR$2,'История отказов'!AY867)=0,COUNTIF('История отказов'!$AY$5:AY867,'История отказов'!AY867)=1),863,""))</f>
        <v/>
      </c>
      <c r="DL864">
        <f>IF(DB864="","",IF(AND(COUNTIF($DA$2:$DA$47,DB864)=0,COUNTIF($DB$2:DB864,DB864)=1),863,""))</f>
        <v/>
      </c>
    </row>
    <row r="865">
      <c r="A865" s="74" t="n"/>
      <c r="B865" s="75" t="n"/>
      <c r="C865" s="76" t="n"/>
      <c r="DB865">
        <f>IF('История отказов'!AH868="","",'История отказов'!AH868)</f>
        <v/>
      </c>
      <c r="DC865">
        <f>IF('История отказов'!AE868="","",IF(AND(COUNTIF($CT$2:$CT$2,'История отказов'!AE868)=0,COUNTIFS('История отказов'!$F$5:F868,"ШГН",'История отказов'!$AE$5:AE868,'История отказов'!AE868)=1,'История отказов'!F868="ШГН"),864,""))</f>
        <v/>
      </c>
      <c r="DD865">
        <f>IF('История отказов'!AE868="","",IF(AND(COUNTIF($CU$2:$CU$3,'История отказов'!AE868)=0,COUNTIFS('История отказов'!$F$5:F868,"ЭЦН",'История отказов'!$AE$5:AE868,'История отказов'!AE868)=1,'История отказов'!F868="ЭЦН"),864,""))</f>
        <v/>
      </c>
      <c r="DE865">
        <f>IF('История отказов'!AE868="","",IF(AND(COUNTIF($CV$2:$CV$3,'История отказов'!AE868)=0,COUNTIFS('История отказов'!$F$5:F868,"ЭВН",'История отказов'!$AE$5:AE868,'История отказов'!AE868)=1,'История отказов'!F868="ЭВН"),864,""))</f>
        <v/>
      </c>
      <c r="DF865">
        <f>IF('История отказов'!AE868="","",IF(AND(COUNTIF($CX$2:$CX$2,'История отказов'!AE868)=0,COUNTIFS('История отказов'!$F$5:F868,"ШВН",'История отказов'!$AE$5:AE868,'История отказов'!AE868)=1,'История отказов'!F868="ШВН"),864,""))</f>
        <v/>
      </c>
      <c r="DG865">
        <f>IF('История отказов'!AE868="","",IF(AND(COUNTIF($CW$2:$CW$2,'История отказов'!AE868)=0,COUNTIFS('История отказов'!$F$5:F868,"НПУ-ВД",'История отказов'!$AE$5:AE868,'История отказов'!AE868)=1,'История отказов'!F868="НПУ-ВД"),864,""))</f>
        <v/>
      </c>
      <c r="DH865">
        <f>IF('История отказов'!AE868="","",IF(AND(COUNTIF($CY$2:$CY$6,'История отказов'!AE868)=0,COUNTIF('История отказов'!$AE$5:AE868,'История отказов'!AE868)=1),864,""))</f>
        <v/>
      </c>
      <c r="DI865">
        <f>IF('История отказов'!AK868="","",IF(AND(COUNTIF($CL$2:$CL$3,'История отказов'!AK868)=0,COUNTIF('История отказов'!$AK$5:AK868,'История отказов'!AK868)=1),864,""))</f>
        <v/>
      </c>
      <c r="DJ865">
        <f>IF('История отказов'!AU868="","",IF(AND(COUNTIF($CP$2:$CP$3,'История отказов'!AU868)=0,COUNTIF('История отказов'!$AU$5:AU868,'История отказов'!AU868)=1),864,""))</f>
        <v/>
      </c>
      <c r="DK865">
        <f>IF('История отказов'!AY868="","",IF(AND(COUNTIF($CR$2:$CR$2,'История отказов'!AY868)=0,COUNTIF('История отказов'!$AY$5:AY868,'История отказов'!AY868)=1),864,""))</f>
        <v/>
      </c>
      <c r="DL865">
        <f>IF(DB865="","",IF(AND(COUNTIF($DA$2:$DA$47,DB865)=0,COUNTIF($DB$2:DB865,DB865)=1),864,""))</f>
        <v/>
      </c>
    </row>
    <row r="866">
      <c r="A866" s="74" t="n"/>
      <c r="B866" s="75" t="n"/>
      <c r="C866" s="76" t="n"/>
      <c r="DB866">
        <f>IF('История отказов'!AH869="","",'История отказов'!AH869)</f>
        <v/>
      </c>
      <c r="DC866">
        <f>IF('История отказов'!AE869="","",IF(AND(COUNTIF($CT$2:$CT$2,'История отказов'!AE869)=0,COUNTIFS('История отказов'!$F$5:F869,"ШГН",'История отказов'!$AE$5:AE869,'История отказов'!AE869)=1,'История отказов'!F869="ШГН"),865,""))</f>
        <v/>
      </c>
      <c r="DD866">
        <f>IF('История отказов'!AE869="","",IF(AND(COUNTIF($CU$2:$CU$3,'История отказов'!AE869)=0,COUNTIFS('История отказов'!$F$5:F869,"ЭЦН",'История отказов'!$AE$5:AE869,'История отказов'!AE869)=1,'История отказов'!F869="ЭЦН"),865,""))</f>
        <v/>
      </c>
      <c r="DE866">
        <f>IF('История отказов'!AE869="","",IF(AND(COUNTIF($CV$2:$CV$3,'История отказов'!AE869)=0,COUNTIFS('История отказов'!$F$5:F869,"ЭВН",'История отказов'!$AE$5:AE869,'История отказов'!AE869)=1,'История отказов'!F869="ЭВН"),865,""))</f>
        <v/>
      </c>
      <c r="DF866">
        <f>IF('История отказов'!AE869="","",IF(AND(COUNTIF($CX$2:$CX$2,'История отказов'!AE869)=0,COUNTIFS('История отказов'!$F$5:F869,"ШВН",'История отказов'!$AE$5:AE869,'История отказов'!AE869)=1,'История отказов'!F869="ШВН"),865,""))</f>
        <v/>
      </c>
      <c r="DG866">
        <f>IF('История отказов'!AE869="","",IF(AND(COUNTIF($CW$2:$CW$2,'История отказов'!AE869)=0,COUNTIFS('История отказов'!$F$5:F869,"НПУ-ВД",'История отказов'!$AE$5:AE869,'История отказов'!AE869)=1,'История отказов'!F869="НПУ-ВД"),865,""))</f>
        <v/>
      </c>
      <c r="DH866">
        <f>IF('История отказов'!AE869="","",IF(AND(COUNTIF($CY$2:$CY$6,'История отказов'!AE869)=0,COUNTIF('История отказов'!$AE$5:AE869,'История отказов'!AE869)=1),865,""))</f>
        <v/>
      </c>
      <c r="DI866">
        <f>IF('История отказов'!AK869="","",IF(AND(COUNTIF($CL$2:$CL$3,'История отказов'!AK869)=0,COUNTIF('История отказов'!$AK$5:AK869,'История отказов'!AK869)=1),865,""))</f>
        <v/>
      </c>
      <c r="DJ866">
        <f>IF('История отказов'!AU869="","",IF(AND(COUNTIF($CP$2:$CP$3,'История отказов'!AU869)=0,COUNTIF('История отказов'!$AU$5:AU869,'История отказов'!AU869)=1),865,""))</f>
        <v/>
      </c>
      <c r="DK866">
        <f>IF('История отказов'!AY869="","",IF(AND(COUNTIF($CR$2:$CR$2,'История отказов'!AY869)=0,COUNTIF('История отказов'!$AY$5:AY869,'История отказов'!AY869)=1),865,""))</f>
        <v/>
      </c>
      <c r="DL866">
        <f>IF(DB866="","",IF(AND(COUNTIF($DA$2:$DA$47,DB866)=0,COUNTIF($DB$2:DB866,DB866)=1),865,""))</f>
        <v/>
      </c>
    </row>
    <row r="867">
      <c r="A867" s="74" t="n"/>
      <c r="B867" s="75" t="n"/>
      <c r="C867" s="76" t="n"/>
      <c r="DB867">
        <f>IF('История отказов'!AH870="","",'История отказов'!AH870)</f>
        <v/>
      </c>
      <c r="DC867">
        <f>IF('История отказов'!AE870="","",IF(AND(COUNTIF($CT$2:$CT$2,'История отказов'!AE870)=0,COUNTIFS('История отказов'!$F$5:F870,"ШГН",'История отказов'!$AE$5:AE870,'История отказов'!AE870)=1,'История отказов'!F870="ШГН"),866,""))</f>
        <v/>
      </c>
      <c r="DD867">
        <f>IF('История отказов'!AE870="","",IF(AND(COUNTIF($CU$2:$CU$3,'История отказов'!AE870)=0,COUNTIFS('История отказов'!$F$5:F870,"ЭЦН",'История отказов'!$AE$5:AE870,'История отказов'!AE870)=1,'История отказов'!F870="ЭЦН"),866,""))</f>
        <v/>
      </c>
      <c r="DE867">
        <f>IF('История отказов'!AE870="","",IF(AND(COUNTIF($CV$2:$CV$3,'История отказов'!AE870)=0,COUNTIFS('История отказов'!$F$5:F870,"ЭВН",'История отказов'!$AE$5:AE870,'История отказов'!AE870)=1,'История отказов'!F870="ЭВН"),866,""))</f>
        <v/>
      </c>
      <c r="DF867">
        <f>IF('История отказов'!AE870="","",IF(AND(COUNTIF($CX$2:$CX$2,'История отказов'!AE870)=0,COUNTIFS('История отказов'!$F$5:F870,"ШВН",'История отказов'!$AE$5:AE870,'История отказов'!AE870)=1,'История отказов'!F870="ШВН"),866,""))</f>
        <v/>
      </c>
      <c r="DG867">
        <f>IF('История отказов'!AE870="","",IF(AND(COUNTIF($CW$2:$CW$2,'История отказов'!AE870)=0,COUNTIFS('История отказов'!$F$5:F870,"НПУ-ВД",'История отказов'!$AE$5:AE870,'История отказов'!AE870)=1,'История отказов'!F870="НПУ-ВД"),866,""))</f>
        <v/>
      </c>
      <c r="DH867">
        <f>IF('История отказов'!AE870="","",IF(AND(COUNTIF($CY$2:$CY$6,'История отказов'!AE870)=0,COUNTIF('История отказов'!$AE$5:AE870,'История отказов'!AE870)=1),866,""))</f>
        <v/>
      </c>
      <c r="DI867">
        <f>IF('История отказов'!AK870="","",IF(AND(COUNTIF($CL$2:$CL$3,'История отказов'!AK870)=0,COUNTIF('История отказов'!$AK$5:AK870,'История отказов'!AK870)=1),866,""))</f>
        <v/>
      </c>
      <c r="DJ867">
        <f>IF('История отказов'!AU870="","",IF(AND(COUNTIF($CP$2:$CP$3,'История отказов'!AU870)=0,COUNTIF('История отказов'!$AU$5:AU870,'История отказов'!AU870)=1),866,""))</f>
        <v/>
      </c>
      <c r="DK867">
        <f>IF('История отказов'!AY870="","",IF(AND(COUNTIF($CR$2:$CR$2,'История отказов'!AY870)=0,COUNTIF('История отказов'!$AY$5:AY870,'История отказов'!AY870)=1),866,""))</f>
        <v/>
      </c>
      <c r="DL867">
        <f>IF(DB867="","",IF(AND(COUNTIF($DA$2:$DA$47,DB867)=0,COUNTIF($DB$2:DB867,DB867)=1),866,""))</f>
        <v/>
      </c>
    </row>
    <row r="868">
      <c r="A868" s="74" t="n"/>
      <c r="B868" s="75" t="n"/>
      <c r="C868" s="76" t="n"/>
      <c r="DB868">
        <f>IF('История отказов'!AH871="","",'История отказов'!AH871)</f>
        <v/>
      </c>
      <c r="DC868">
        <f>IF('История отказов'!AE871="","",IF(AND(COUNTIF($CT$2:$CT$2,'История отказов'!AE871)=0,COUNTIFS('История отказов'!$F$5:F871,"ШГН",'История отказов'!$AE$5:AE871,'История отказов'!AE871)=1,'История отказов'!F871="ШГН"),867,""))</f>
        <v/>
      </c>
      <c r="DD868">
        <f>IF('История отказов'!AE871="","",IF(AND(COUNTIF($CU$2:$CU$3,'История отказов'!AE871)=0,COUNTIFS('История отказов'!$F$5:F871,"ЭЦН",'История отказов'!$AE$5:AE871,'История отказов'!AE871)=1,'История отказов'!F871="ЭЦН"),867,""))</f>
        <v/>
      </c>
      <c r="DE868">
        <f>IF('История отказов'!AE871="","",IF(AND(COUNTIF($CV$2:$CV$3,'История отказов'!AE871)=0,COUNTIFS('История отказов'!$F$5:F871,"ЭВН",'История отказов'!$AE$5:AE871,'История отказов'!AE871)=1,'История отказов'!F871="ЭВН"),867,""))</f>
        <v/>
      </c>
      <c r="DF868">
        <f>IF('История отказов'!AE871="","",IF(AND(COUNTIF($CX$2:$CX$2,'История отказов'!AE871)=0,COUNTIFS('История отказов'!$F$5:F871,"ШВН",'История отказов'!$AE$5:AE871,'История отказов'!AE871)=1,'История отказов'!F871="ШВН"),867,""))</f>
        <v/>
      </c>
      <c r="DG868">
        <f>IF('История отказов'!AE871="","",IF(AND(COUNTIF($CW$2:$CW$2,'История отказов'!AE871)=0,COUNTIFS('История отказов'!$F$5:F871,"НПУ-ВД",'История отказов'!$AE$5:AE871,'История отказов'!AE871)=1,'История отказов'!F871="НПУ-ВД"),867,""))</f>
        <v/>
      </c>
      <c r="DH868">
        <f>IF('История отказов'!AE871="","",IF(AND(COUNTIF($CY$2:$CY$6,'История отказов'!AE871)=0,COUNTIF('История отказов'!$AE$5:AE871,'История отказов'!AE871)=1),867,""))</f>
        <v/>
      </c>
      <c r="DI868">
        <f>IF('История отказов'!AK871="","",IF(AND(COUNTIF($CL$2:$CL$3,'История отказов'!AK871)=0,COUNTIF('История отказов'!$AK$5:AK871,'История отказов'!AK871)=1),867,""))</f>
        <v/>
      </c>
      <c r="DJ868">
        <f>IF('История отказов'!AU871="","",IF(AND(COUNTIF($CP$2:$CP$3,'История отказов'!AU871)=0,COUNTIF('История отказов'!$AU$5:AU871,'История отказов'!AU871)=1),867,""))</f>
        <v/>
      </c>
      <c r="DK868">
        <f>IF('История отказов'!AY871="","",IF(AND(COUNTIF($CR$2:$CR$2,'История отказов'!AY871)=0,COUNTIF('История отказов'!$AY$5:AY871,'История отказов'!AY871)=1),867,""))</f>
        <v/>
      </c>
      <c r="DL868">
        <f>IF(DB868="","",IF(AND(COUNTIF($DA$2:$DA$47,DB868)=0,COUNTIF($DB$2:DB868,DB868)=1),867,""))</f>
        <v/>
      </c>
    </row>
    <row r="869">
      <c r="A869" s="74" t="n"/>
      <c r="B869" s="75" t="n"/>
      <c r="C869" s="76" t="n"/>
      <c r="DB869">
        <f>IF('История отказов'!AH872="","",'История отказов'!AH872)</f>
        <v/>
      </c>
      <c r="DC869">
        <f>IF('История отказов'!AE872="","",IF(AND(COUNTIF($CT$2:$CT$2,'История отказов'!AE872)=0,COUNTIFS('История отказов'!$F$5:F872,"ШГН",'История отказов'!$AE$5:AE872,'История отказов'!AE872)=1,'История отказов'!F872="ШГН"),868,""))</f>
        <v/>
      </c>
      <c r="DD869">
        <f>IF('История отказов'!AE872="","",IF(AND(COUNTIF($CU$2:$CU$3,'История отказов'!AE872)=0,COUNTIFS('История отказов'!$F$5:F872,"ЭЦН",'История отказов'!$AE$5:AE872,'История отказов'!AE872)=1,'История отказов'!F872="ЭЦН"),868,""))</f>
        <v/>
      </c>
      <c r="DE869">
        <f>IF('История отказов'!AE872="","",IF(AND(COUNTIF($CV$2:$CV$3,'История отказов'!AE872)=0,COUNTIFS('История отказов'!$F$5:F872,"ЭВН",'История отказов'!$AE$5:AE872,'История отказов'!AE872)=1,'История отказов'!F872="ЭВН"),868,""))</f>
        <v/>
      </c>
      <c r="DF869">
        <f>IF('История отказов'!AE872="","",IF(AND(COUNTIF($CX$2:$CX$2,'История отказов'!AE872)=0,COUNTIFS('История отказов'!$F$5:F872,"ШВН",'История отказов'!$AE$5:AE872,'История отказов'!AE872)=1,'История отказов'!F872="ШВН"),868,""))</f>
        <v/>
      </c>
      <c r="DG869">
        <f>IF('История отказов'!AE872="","",IF(AND(COUNTIF($CW$2:$CW$2,'История отказов'!AE872)=0,COUNTIFS('История отказов'!$F$5:F872,"НПУ-ВД",'История отказов'!$AE$5:AE872,'История отказов'!AE872)=1,'История отказов'!F872="НПУ-ВД"),868,""))</f>
        <v/>
      </c>
      <c r="DH869">
        <f>IF('История отказов'!AE872="","",IF(AND(COUNTIF($CY$2:$CY$6,'История отказов'!AE872)=0,COUNTIF('История отказов'!$AE$5:AE872,'История отказов'!AE872)=1),868,""))</f>
        <v/>
      </c>
      <c r="DI869">
        <f>IF('История отказов'!AK872="","",IF(AND(COUNTIF($CL$2:$CL$3,'История отказов'!AK872)=0,COUNTIF('История отказов'!$AK$5:AK872,'История отказов'!AK872)=1),868,""))</f>
        <v/>
      </c>
      <c r="DJ869">
        <f>IF('История отказов'!AU872="","",IF(AND(COUNTIF($CP$2:$CP$3,'История отказов'!AU872)=0,COUNTIF('История отказов'!$AU$5:AU872,'История отказов'!AU872)=1),868,""))</f>
        <v/>
      </c>
      <c r="DK869">
        <f>IF('История отказов'!AY872="","",IF(AND(COUNTIF($CR$2:$CR$2,'История отказов'!AY872)=0,COUNTIF('История отказов'!$AY$5:AY872,'История отказов'!AY872)=1),868,""))</f>
        <v/>
      </c>
      <c r="DL869">
        <f>IF(DB869="","",IF(AND(COUNTIF($DA$2:$DA$47,DB869)=0,COUNTIF($DB$2:DB869,DB869)=1),868,""))</f>
        <v/>
      </c>
    </row>
    <row r="870">
      <c r="A870" s="74" t="n"/>
      <c r="B870" s="75" t="n"/>
      <c r="C870" s="76" t="n"/>
      <c r="DB870">
        <f>IF('История отказов'!AH873="","",'История отказов'!AH873)</f>
        <v/>
      </c>
      <c r="DC870">
        <f>IF('История отказов'!AE873="","",IF(AND(COUNTIF($CT$2:$CT$2,'История отказов'!AE873)=0,COUNTIFS('История отказов'!$F$5:F873,"ШГН",'История отказов'!$AE$5:AE873,'История отказов'!AE873)=1,'История отказов'!F873="ШГН"),869,""))</f>
        <v/>
      </c>
      <c r="DD870">
        <f>IF('История отказов'!AE873="","",IF(AND(COUNTIF($CU$2:$CU$3,'История отказов'!AE873)=0,COUNTIFS('История отказов'!$F$5:F873,"ЭЦН",'История отказов'!$AE$5:AE873,'История отказов'!AE873)=1,'История отказов'!F873="ЭЦН"),869,""))</f>
        <v/>
      </c>
      <c r="DE870">
        <f>IF('История отказов'!AE873="","",IF(AND(COUNTIF($CV$2:$CV$3,'История отказов'!AE873)=0,COUNTIFS('История отказов'!$F$5:F873,"ЭВН",'История отказов'!$AE$5:AE873,'История отказов'!AE873)=1,'История отказов'!F873="ЭВН"),869,""))</f>
        <v/>
      </c>
      <c r="DF870">
        <f>IF('История отказов'!AE873="","",IF(AND(COUNTIF($CX$2:$CX$2,'История отказов'!AE873)=0,COUNTIFS('История отказов'!$F$5:F873,"ШВН",'История отказов'!$AE$5:AE873,'История отказов'!AE873)=1,'История отказов'!F873="ШВН"),869,""))</f>
        <v/>
      </c>
      <c r="DG870">
        <f>IF('История отказов'!AE873="","",IF(AND(COUNTIF($CW$2:$CW$2,'История отказов'!AE873)=0,COUNTIFS('История отказов'!$F$5:F873,"НПУ-ВД",'История отказов'!$AE$5:AE873,'История отказов'!AE873)=1,'История отказов'!F873="НПУ-ВД"),869,""))</f>
        <v/>
      </c>
      <c r="DH870">
        <f>IF('История отказов'!AE873="","",IF(AND(COUNTIF($CY$2:$CY$6,'История отказов'!AE873)=0,COUNTIF('История отказов'!$AE$5:AE873,'История отказов'!AE873)=1),869,""))</f>
        <v/>
      </c>
      <c r="DI870">
        <f>IF('История отказов'!AK873="","",IF(AND(COUNTIF($CL$2:$CL$3,'История отказов'!AK873)=0,COUNTIF('История отказов'!$AK$5:AK873,'История отказов'!AK873)=1),869,""))</f>
        <v/>
      </c>
      <c r="DJ870">
        <f>IF('История отказов'!AU873="","",IF(AND(COUNTIF($CP$2:$CP$3,'История отказов'!AU873)=0,COUNTIF('История отказов'!$AU$5:AU873,'История отказов'!AU873)=1),869,""))</f>
        <v/>
      </c>
      <c r="DK870">
        <f>IF('История отказов'!AY873="","",IF(AND(COUNTIF($CR$2:$CR$2,'История отказов'!AY873)=0,COUNTIF('История отказов'!$AY$5:AY873,'История отказов'!AY873)=1),869,""))</f>
        <v/>
      </c>
      <c r="DL870">
        <f>IF(DB870="","",IF(AND(COUNTIF($DA$2:$DA$47,DB870)=0,COUNTIF($DB$2:DB870,DB870)=1),869,""))</f>
        <v/>
      </c>
    </row>
    <row r="871">
      <c r="A871" s="74" t="n"/>
      <c r="B871" s="75" t="n"/>
      <c r="C871" s="76" t="n"/>
      <c r="DB871">
        <f>IF('История отказов'!AH874="","",'История отказов'!AH874)</f>
        <v/>
      </c>
      <c r="DC871">
        <f>IF('История отказов'!AE874="","",IF(AND(COUNTIF($CT$2:$CT$2,'История отказов'!AE874)=0,COUNTIFS('История отказов'!$F$5:F874,"ШГН",'История отказов'!$AE$5:AE874,'История отказов'!AE874)=1,'История отказов'!F874="ШГН"),870,""))</f>
        <v/>
      </c>
      <c r="DD871">
        <f>IF('История отказов'!AE874="","",IF(AND(COUNTIF($CU$2:$CU$3,'История отказов'!AE874)=0,COUNTIFS('История отказов'!$F$5:F874,"ЭЦН",'История отказов'!$AE$5:AE874,'История отказов'!AE874)=1,'История отказов'!F874="ЭЦН"),870,""))</f>
        <v/>
      </c>
      <c r="DE871">
        <f>IF('История отказов'!AE874="","",IF(AND(COUNTIF($CV$2:$CV$3,'История отказов'!AE874)=0,COUNTIFS('История отказов'!$F$5:F874,"ЭВН",'История отказов'!$AE$5:AE874,'История отказов'!AE874)=1,'История отказов'!F874="ЭВН"),870,""))</f>
        <v/>
      </c>
      <c r="DF871">
        <f>IF('История отказов'!AE874="","",IF(AND(COUNTIF($CX$2:$CX$2,'История отказов'!AE874)=0,COUNTIFS('История отказов'!$F$5:F874,"ШВН",'История отказов'!$AE$5:AE874,'История отказов'!AE874)=1,'История отказов'!F874="ШВН"),870,""))</f>
        <v/>
      </c>
      <c r="DG871">
        <f>IF('История отказов'!AE874="","",IF(AND(COUNTIF($CW$2:$CW$2,'История отказов'!AE874)=0,COUNTIFS('История отказов'!$F$5:F874,"НПУ-ВД",'История отказов'!$AE$5:AE874,'История отказов'!AE874)=1,'История отказов'!F874="НПУ-ВД"),870,""))</f>
        <v/>
      </c>
      <c r="DH871">
        <f>IF('История отказов'!AE874="","",IF(AND(COUNTIF($CY$2:$CY$6,'История отказов'!AE874)=0,COUNTIF('История отказов'!$AE$5:AE874,'История отказов'!AE874)=1),870,""))</f>
        <v/>
      </c>
      <c r="DI871">
        <f>IF('История отказов'!AK874="","",IF(AND(COUNTIF($CL$2:$CL$3,'История отказов'!AK874)=0,COUNTIF('История отказов'!$AK$5:AK874,'История отказов'!AK874)=1),870,""))</f>
        <v/>
      </c>
      <c r="DJ871">
        <f>IF('История отказов'!AU874="","",IF(AND(COUNTIF($CP$2:$CP$3,'История отказов'!AU874)=0,COUNTIF('История отказов'!$AU$5:AU874,'История отказов'!AU874)=1),870,""))</f>
        <v/>
      </c>
      <c r="DK871">
        <f>IF('История отказов'!AY874="","",IF(AND(COUNTIF($CR$2:$CR$2,'История отказов'!AY874)=0,COUNTIF('История отказов'!$AY$5:AY874,'История отказов'!AY874)=1),870,""))</f>
        <v/>
      </c>
      <c r="DL871">
        <f>IF(DB871="","",IF(AND(COUNTIF($DA$2:$DA$47,DB871)=0,COUNTIF($DB$2:DB871,DB871)=1),870,""))</f>
        <v/>
      </c>
    </row>
    <row r="872">
      <c r="A872" s="74" t="n"/>
      <c r="B872" s="75" t="n"/>
      <c r="C872" s="76" t="n"/>
      <c r="DB872">
        <f>IF('История отказов'!AH875="","",'История отказов'!AH875)</f>
        <v/>
      </c>
      <c r="DC872">
        <f>IF('История отказов'!AE875="","",IF(AND(COUNTIF($CT$2:$CT$2,'История отказов'!AE875)=0,COUNTIFS('История отказов'!$F$5:F875,"ШГН",'История отказов'!$AE$5:AE875,'История отказов'!AE875)=1,'История отказов'!F875="ШГН"),871,""))</f>
        <v/>
      </c>
      <c r="DD872">
        <f>IF('История отказов'!AE875="","",IF(AND(COUNTIF($CU$2:$CU$3,'История отказов'!AE875)=0,COUNTIFS('История отказов'!$F$5:F875,"ЭЦН",'История отказов'!$AE$5:AE875,'История отказов'!AE875)=1,'История отказов'!F875="ЭЦН"),871,""))</f>
        <v/>
      </c>
      <c r="DE872">
        <f>IF('История отказов'!AE875="","",IF(AND(COUNTIF($CV$2:$CV$3,'История отказов'!AE875)=0,COUNTIFS('История отказов'!$F$5:F875,"ЭВН",'История отказов'!$AE$5:AE875,'История отказов'!AE875)=1,'История отказов'!F875="ЭВН"),871,""))</f>
        <v/>
      </c>
      <c r="DF872">
        <f>IF('История отказов'!AE875="","",IF(AND(COUNTIF($CX$2:$CX$2,'История отказов'!AE875)=0,COUNTIFS('История отказов'!$F$5:F875,"ШВН",'История отказов'!$AE$5:AE875,'История отказов'!AE875)=1,'История отказов'!F875="ШВН"),871,""))</f>
        <v/>
      </c>
      <c r="DG872">
        <f>IF('История отказов'!AE875="","",IF(AND(COUNTIF($CW$2:$CW$2,'История отказов'!AE875)=0,COUNTIFS('История отказов'!$F$5:F875,"НПУ-ВД",'История отказов'!$AE$5:AE875,'История отказов'!AE875)=1,'История отказов'!F875="НПУ-ВД"),871,""))</f>
        <v/>
      </c>
      <c r="DH872">
        <f>IF('История отказов'!AE875="","",IF(AND(COUNTIF($CY$2:$CY$6,'История отказов'!AE875)=0,COUNTIF('История отказов'!$AE$5:AE875,'История отказов'!AE875)=1),871,""))</f>
        <v/>
      </c>
      <c r="DI872">
        <f>IF('История отказов'!AK875="","",IF(AND(COUNTIF($CL$2:$CL$3,'История отказов'!AK875)=0,COUNTIF('История отказов'!$AK$5:AK875,'История отказов'!AK875)=1),871,""))</f>
        <v/>
      </c>
      <c r="DJ872">
        <f>IF('История отказов'!AU875="","",IF(AND(COUNTIF($CP$2:$CP$3,'История отказов'!AU875)=0,COUNTIF('История отказов'!$AU$5:AU875,'История отказов'!AU875)=1),871,""))</f>
        <v/>
      </c>
      <c r="DK872">
        <f>IF('История отказов'!AY875="","",IF(AND(COUNTIF($CR$2:$CR$2,'История отказов'!AY875)=0,COUNTIF('История отказов'!$AY$5:AY875,'История отказов'!AY875)=1),871,""))</f>
        <v/>
      </c>
      <c r="DL872">
        <f>IF(DB872="","",IF(AND(COUNTIF($DA$2:$DA$47,DB872)=0,COUNTIF($DB$2:DB872,DB872)=1),871,""))</f>
        <v/>
      </c>
    </row>
    <row r="873">
      <c r="A873" s="74" t="n"/>
      <c r="B873" s="75" t="n"/>
      <c r="C873" s="76" t="n"/>
      <c r="DB873">
        <f>IF('История отказов'!AH876="","",'История отказов'!AH876)</f>
        <v/>
      </c>
      <c r="DC873">
        <f>IF('История отказов'!AE876="","",IF(AND(COUNTIF($CT$2:$CT$2,'История отказов'!AE876)=0,COUNTIFS('История отказов'!$F$5:F876,"ШГН",'История отказов'!$AE$5:AE876,'История отказов'!AE876)=1,'История отказов'!F876="ШГН"),872,""))</f>
        <v/>
      </c>
      <c r="DD873">
        <f>IF('История отказов'!AE876="","",IF(AND(COUNTIF($CU$2:$CU$3,'История отказов'!AE876)=0,COUNTIFS('История отказов'!$F$5:F876,"ЭЦН",'История отказов'!$AE$5:AE876,'История отказов'!AE876)=1,'История отказов'!F876="ЭЦН"),872,""))</f>
        <v/>
      </c>
      <c r="DE873">
        <f>IF('История отказов'!AE876="","",IF(AND(COUNTIF($CV$2:$CV$3,'История отказов'!AE876)=0,COUNTIFS('История отказов'!$F$5:F876,"ЭВН",'История отказов'!$AE$5:AE876,'История отказов'!AE876)=1,'История отказов'!F876="ЭВН"),872,""))</f>
        <v/>
      </c>
      <c r="DF873">
        <f>IF('История отказов'!AE876="","",IF(AND(COUNTIF($CX$2:$CX$2,'История отказов'!AE876)=0,COUNTIFS('История отказов'!$F$5:F876,"ШВН",'История отказов'!$AE$5:AE876,'История отказов'!AE876)=1,'История отказов'!F876="ШВН"),872,""))</f>
        <v/>
      </c>
      <c r="DG873">
        <f>IF('История отказов'!AE876="","",IF(AND(COUNTIF($CW$2:$CW$2,'История отказов'!AE876)=0,COUNTIFS('История отказов'!$F$5:F876,"НПУ-ВД",'История отказов'!$AE$5:AE876,'История отказов'!AE876)=1,'История отказов'!F876="НПУ-ВД"),872,""))</f>
        <v/>
      </c>
      <c r="DH873">
        <f>IF('История отказов'!AE876="","",IF(AND(COUNTIF($CY$2:$CY$6,'История отказов'!AE876)=0,COUNTIF('История отказов'!$AE$5:AE876,'История отказов'!AE876)=1),872,""))</f>
        <v/>
      </c>
      <c r="DI873">
        <f>IF('История отказов'!AK876="","",IF(AND(COUNTIF($CL$2:$CL$3,'История отказов'!AK876)=0,COUNTIF('История отказов'!$AK$5:AK876,'История отказов'!AK876)=1),872,""))</f>
        <v/>
      </c>
      <c r="DJ873">
        <f>IF('История отказов'!AU876="","",IF(AND(COUNTIF($CP$2:$CP$3,'История отказов'!AU876)=0,COUNTIF('История отказов'!$AU$5:AU876,'История отказов'!AU876)=1),872,""))</f>
        <v/>
      </c>
      <c r="DK873">
        <f>IF('История отказов'!AY876="","",IF(AND(COUNTIF($CR$2:$CR$2,'История отказов'!AY876)=0,COUNTIF('История отказов'!$AY$5:AY876,'История отказов'!AY876)=1),872,""))</f>
        <v/>
      </c>
      <c r="DL873">
        <f>IF(DB873="","",IF(AND(COUNTIF($DA$2:$DA$47,DB873)=0,COUNTIF($DB$2:DB873,DB873)=1),872,""))</f>
        <v/>
      </c>
    </row>
    <row r="874">
      <c r="A874" s="74" t="n"/>
      <c r="B874" s="75" t="n"/>
      <c r="C874" s="76" t="n"/>
      <c r="DB874">
        <f>IF('История отказов'!AH877="","",'История отказов'!AH877)</f>
        <v/>
      </c>
      <c r="DC874">
        <f>IF('История отказов'!AE877="","",IF(AND(COUNTIF($CT$2:$CT$2,'История отказов'!AE877)=0,COUNTIFS('История отказов'!$F$5:F877,"ШГН",'История отказов'!$AE$5:AE877,'История отказов'!AE877)=1,'История отказов'!F877="ШГН"),873,""))</f>
        <v/>
      </c>
      <c r="DD874">
        <f>IF('История отказов'!AE877="","",IF(AND(COUNTIF($CU$2:$CU$3,'История отказов'!AE877)=0,COUNTIFS('История отказов'!$F$5:F877,"ЭЦН",'История отказов'!$AE$5:AE877,'История отказов'!AE877)=1,'История отказов'!F877="ЭЦН"),873,""))</f>
        <v/>
      </c>
      <c r="DE874">
        <f>IF('История отказов'!AE877="","",IF(AND(COUNTIF($CV$2:$CV$3,'История отказов'!AE877)=0,COUNTIFS('История отказов'!$F$5:F877,"ЭВН",'История отказов'!$AE$5:AE877,'История отказов'!AE877)=1,'История отказов'!F877="ЭВН"),873,""))</f>
        <v/>
      </c>
      <c r="DF874">
        <f>IF('История отказов'!AE877="","",IF(AND(COUNTIF($CX$2:$CX$2,'История отказов'!AE877)=0,COUNTIFS('История отказов'!$F$5:F877,"ШВН",'История отказов'!$AE$5:AE877,'История отказов'!AE877)=1,'История отказов'!F877="ШВН"),873,""))</f>
        <v/>
      </c>
      <c r="DG874">
        <f>IF('История отказов'!AE877="","",IF(AND(COUNTIF($CW$2:$CW$2,'История отказов'!AE877)=0,COUNTIFS('История отказов'!$F$5:F877,"НПУ-ВД",'История отказов'!$AE$5:AE877,'История отказов'!AE877)=1,'История отказов'!F877="НПУ-ВД"),873,""))</f>
        <v/>
      </c>
      <c r="DH874">
        <f>IF('История отказов'!AE877="","",IF(AND(COUNTIF($CY$2:$CY$6,'История отказов'!AE877)=0,COUNTIF('История отказов'!$AE$5:AE877,'История отказов'!AE877)=1),873,""))</f>
        <v/>
      </c>
      <c r="DI874">
        <f>IF('История отказов'!AK877="","",IF(AND(COUNTIF($CL$2:$CL$3,'История отказов'!AK877)=0,COUNTIF('История отказов'!$AK$5:AK877,'История отказов'!AK877)=1),873,""))</f>
        <v/>
      </c>
      <c r="DJ874">
        <f>IF('История отказов'!AU877="","",IF(AND(COUNTIF($CP$2:$CP$3,'История отказов'!AU877)=0,COUNTIF('История отказов'!$AU$5:AU877,'История отказов'!AU877)=1),873,""))</f>
        <v/>
      </c>
      <c r="DK874">
        <f>IF('История отказов'!AY877="","",IF(AND(COUNTIF($CR$2:$CR$2,'История отказов'!AY877)=0,COUNTIF('История отказов'!$AY$5:AY877,'История отказов'!AY877)=1),873,""))</f>
        <v/>
      </c>
      <c r="DL874">
        <f>IF(DB874="","",IF(AND(COUNTIF($DA$2:$DA$47,DB874)=0,COUNTIF($DB$2:DB874,DB874)=1),873,""))</f>
        <v/>
      </c>
    </row>
    <row r="875">
      <c r="A875" s="74" t="n"/>
      <c r="B875" s="75" t="n"/>
      <c r="C875" s="76" t="n"/>
      <c r="DB875">
        <f>IF('История отказов'!AH878="","",'История отказов'!AH878)</f>
        <v/>
      </c>
      <c r="DC875">
        <f>IF('История отказов'!AE878="","",IF(AND(COUNTIF($CT$2:$CT$2,'История отказов'!AE878)=0,COUNTIFS('История отказов'!$F$5:F878,"ШГН",'История отказов'!$AE$5:AE878,'История отказов'!AE878)=1,'История отказов'!F878="ШГН"),874,""))</f>
        <v/>
      </c>
      <c r="DD875">
        <f>IF('История отказов'!AE878="","",IF(AND(COUNTIF($CU$2:$CU$3,'История отказов'!AE878)=0,COUNTIFS('История отказов'!$F$5:F878,"ЭЦН",'История отказов'!$AE$5:AE878,'История отказов'!AE878)=1,'История отказов'!F878="ЭЦН"),874,""))</f>
        <v/>
      </c>
      <c r="DE875">
        <f>IF('История отказов'!AE878="","",IF(AND(COUNTIF($CV$2:$CV$3,'История отказов'!AE878)=0,COUNTIFS('История отказов'!$F$5:F878,"ЭВН",'История отказов'!$AE$5:AE878,'История отказов'!AE878)=1,'История отказов'!F878="ЭВН"),874,""))</f>
        <v/>
      </c>
      <c r="DF875">
        <f>IF('История отказов'!AE878="","",IF(AND(COUNTIF($CX$2:$CX$2,'История отказов'!AE878)=0,COUNTIFS('История отказов'!$F$5:F878,"ШВН",'История отказов'!$AE$5:AE878,'История отказов'!AE878)=1,'История отказов'!F878="ШВН"),874,""))</f>
        <v/>
      </c>
      <c r="DG875">
        <f>IF('История отказов'!AE878="","",IF(AND(COUNTIF($CW$2:$CW$2,'История отказов'!AE878)=0,COUNTIFS('История отказов'!$F$5:F878,"НПУ-ВД",'История отказов'!$AE$5:AE878,'История отказов'!AE878)=1,'История отказов'!F878="НПУ-ВД"),874,""))</f>
        <v/>
      </c>
      <c r="DH875">
        <f>IF('История отказов'!AE878="","",IF(AND(COUNTIF($CY$2:$CY$6,'История отказов'!AE878)=0,COUNTIF('История отказов'!$AE$5:AE878,'История отказов'!AE878)=1),874,""))</f>
        <v/>
      </c>
      <c r="DI875">
        <f>IF('История отказов'!AK878="","",IF(AND(COUNTIF($CL$2:$CL$3,'История отказов'!AK878)=0,COUNTIF('История отказов'!$AK$5:AK878,'История отказов'!AK878)=1),874,""))</f>
        <v/>
      </c>
      <c r="DJ875">
        <f>IF('История отказов'!AU878="","",IF(AND(COUNTIF($CP$2:$CP$3,'История отказов'!AU878)=0,COUNTIF('История отказов'!$AU$5:AU878,'История отказов'!AU878)=1),874,""))</f>
        <v/>
      </c>
      <c r="DK875">
        <f>IF('История отказов'!AY878="","",IF(AND(COUNTIF($CR$2:$CR$2,'История отказов'!AY878)=0,COUNTIF('История отказов'!$AY$5:AY878,'История отказов'!AY878)=1),874,""))</f>
        <v/>
      </c>
      <c r="DL875">
        <f>IF(DB875="","",IF(AND(COUNTIF($DA$2:$DA$47,DB875)=0,COUNTIF($DB$2:DB875,DB875)=1),874,""))</f>
        <v/>
      </c>
    </row>
    <row r="876">
      <c r="A876" s="74" t="n"/>
      <c r="B876" s="75" t="n"/>
      <c r="C876" s="76" t="n"/>
      <c r="DB876">
        <f>IF('История отказов'!AH879="","",'История отказов'!AH879)</f>
        <v/>
      </c>
      <c r="DC876">
        <f>IF('История отказов'!AE879="","",IF(AND(COUNTIF($CT$2:$CT$2,'История отказов'!AE879)=0,COUNTIFS('История отказов'!$F$5:F879,"ШГН",'История отказов'!$AE$5:AE879,'История отказов'!AE879)=1,'История отказов'!F879="ШГН"),875,""))</f>
        <v/>
      </c>
      <c r="DD876">
        <f>IF('История отказов'!AE879="","",IF(AND(COUNTIF($CU$2:$CU$3,'История отказов'!AE879)=0,COUNTIFS('История отказов'!$F$5:F879,"ЭЦН",'История отказов'!$AE$5:AE879,'История отказов'!AE879)=1,'История отказов'!F879="ЭЦН"),875,""))</f>
        <v/>
      </c>
      <c r="DE876">
        <f>IF('История отказов'!AE879="","",IF(AND(COUNTIF($CV$2:$CV$3,'История отказов'!AE879)=0,COUNTIFS('История отказов'!$F$5:F879,"ЭВН",'История отказов'!$AE$5:AE879,'История отказов'!AE879)=1,'История отказов'!F879="ЭВН"),875,""))</f>
        <v/>
      </c>
      <c r="DF876">
        <f>IF('История отказов'!AE879="","",IF(AND(COUNTIF($CX$2:$CX$2,'История отказов'!AE879)=0,COUNTIFS('История отказов'!$F$5:F879,"ШВН",'История отказов'!$AE$5:AE879,'История отказов'!AE879)=1,'История отказов'!F879="ШВН"),875,""))</f>
        <v/>
      </c>
      <c r="DG876">
        <f>IF('История отказов'!AE879="","",IF(AND(COUNTIF($CW$2:$CW$2,'История отказов'!AE879)=0,COUNTIFS('История отказов'!$F$5:F879,"НПУ-ВД",'История отказов'!$AE$5:AE879,'История отказов'!AE879)=1,'История отказов'!F879="НПУ-ВД"),875,""))</f>
        <v/>
      </c>
      <c r="DH876">
        <f>IF('История отказов'!AE879="","",IF(AND(COUNTIF($CY$2:$CY$6,'История отказов'!AE879)=0,COUNTIF('История отказов'!$AE$5:AE879,'История отказов'!AE879)=1),875,""))</f>
        <v/>
      </c>
      <c r="DI876">
        <f>IF('История отказов'!AK879="","",IF(AND(COUNTIF($CL$2:$CL$3,'История отказов'!AK879)=0,COUNTIF('История отказов'!$AK$5:AK879,'История отказов'!AK879)=1),875,""))</f>
        <v/>
      </c>
      <c r="DJ876">
        <f>IF('История отказов'!AU879="","",IF(AND(COUNTIF($CP$2:$CP$3,'История отказов'!AU879)=0,COUNTIF('История отказов'!$AU$5:AU879,'История отказов'!AU879)=1),875,""))</f>
        <v/>
      </c>
      <c r="DK876">
        <f>IF('История отказов'!AY879="","",IF(AND(COUNTIF($CR$2:$CR$2,'История отказов'!AY879)=0,COUNTIF('История отказов'!$AY$5:AY879,'История отказов'!AY879)=1),875,""))</f>
        <v/>
      </c>
      <c r="DL876">
        <f>IF(DB876="","",IF(AND(COUNTIF($DA$2:$DA$47,DB876)=0,COUNTIF($DB$2:DB876,DB876)=1),875,""))</f>
        <v/>
      </c>
    </row>
    <row r="877">
      <c r="A877" s="74" t="n"/>
      <c r="B877" s="75" t="n"/>
      <c r="C877" s="76" t="n"/>
      <c r="DB877">
        <f>IF('История отказов'!AH880="","",'История отказов'!AH880)</f>
        <v/>
      </c>
      <c r="DC877">
        <f>IF('История отказов'!AE880="","",IF(AND(COUNTIF($CT$2:$CT$2,'История отказов'!AE880)=0,COUNTIFS('История отказов'!$F$5:F880,"ШГН",'История отказов'!$AE$5:AE880,'История отказов'!AE880)=1,'История отказов'!F880="ШГН"),876,""))</f>
        <v/>
      </c>
      <c r="DD877">
        <f>IF('История отказов'!AE880="","",IF(AND(COUNTIF($CU$2:$CU$3,'История отказов'!AE880)=0,COUNTIFS('История отказов'!$F$5:F880,"ЭЦН",'История отказов'!$AE$5:AE880,'История отказов'!AE880)=1,'История отказов'!F880="ЭЦН"),876,""))</f>
        <v/>
      </c>
      <c r="DE877">
        <f>IF('История отказов'!AE880="","",IF(AND(COUNTIF($CV$2:$CV$3,'История отказов'!AE880)=0,COUNTIFS('История отказов'!$F$5:F880,"ЭВН",'История отказов'!$AE$5:AE880,'История отказов'!AE880)=1,'История отказов'!F880="ЭВН"),876,""))</f>
        <v/>
      </c>
      <c r="DF877">
        <f>IF('История отказов'!AE880="","",IF(AND(COUNTIF($CX$2:$CX$2,'История отказов'!AE880)=0,COUNTIFS('История отказов'!$F$5:F880,"ШВН",'История отказов'!$AE$5:AE880,'История отказов'!AE880)=1,'История отказов'!F880="ШВН"),876,""))</f>
        <v/>
      </c>
      <c r="DG877">
        <f>IF('История отказов'!AE880="","",IF(AND(COUNTIF($CW$2:$CW$2,'История отказов'!AE880)=0,COUNTIFS('История отказов'!$F$5:F880,"НПУ-ВД",'История отказов'!$AE$5:AE880,'История отказов'!AE880)=1,'История отказов'!F880="НПУ-ВД"),876,""))</f>
        <v/>
      </c>
      <c r="DH877">
        <f>IF('История отказов'!AE880="","",IF(AND(COUNTIF($CY$2:$CY$6,'История отказов'!AE880)=0,COUNTIF('История отказов'!$AE$5:AE880,'История отказов'!AE880)=1),876,""))</f>
        <v/>
      </c>
      <c r="DI877">
        <f>IF('История отказов'!AK880="","",IF(AND(COUNTIF($CL$2:$CL$3,'История отказов'!AK880)=0,COUNTIF('История отказов'!$AK$5:AK880,'История отказов'!AK880)=1),876,""))</f>
        <v/>
      </c>
      <c r="DJ877">
        <f>IF('История отказов'!AU880="","",IF(AND(COUNTIF($CP$2:$CP$3,'История отказов'!AU880)=0,COUNTIF('История отказов'!$AU$5:AU880,'История отказов'!AU880)=1),876,""))</f>
        <v/>
      </c>
      <c r="DK877">
        <f>IF('История отказов'!AY880="","",IF(AND(COUNTIF($CR$2:$CR$2,'История отказов'!AY880)=0,COUNTIF('История отказов'!$AY$5:AY880,'История отказов'!AY880)=1),876,""))</f>
        <v/>
      </c>
      <c r="DL877">
        <f>IF(DB877="","",IF(AND(COUNTIF($DA$2:$DA$47,DB877)=0,COUNTIF($DB$2:DB877,DB877)=1),876,""))</f>
        <v/>
      </c>
    </row>
    <row r="878">
      <c r="A878" s="74" t="n"/>
      <c r="B878" s="75" t="n"/>
      <c r="C878" s="76" t="n"/>
      <c r="DB878">
        <f>IF('История отказов'!AH881="","",'История отказов'!AH881)</f>
        <v/>
      </c>
      <c r="DC878">
        <f>IF('История отказов'!AE881="","",IF(AND(COUNTIF($CT$2:$CT$2,'История отказов'!AE881)=0,COUNTIFS('История отказов'!$F$5:F881,"ШГН",'История отказов'!$AE$5:AE881,'История отказов'!AE881)=1,'История отказов'!F881="ШГН"),877,""))</f>
        <v/>
      </c>
      <c r="DD878">
        <f>IF('История отказов'!AE881="","",IF(AND(COUNTIF($CU$2:$CU$3,'История отказов'!AE881)=0,COUNTIFS('История отказов'!$F$5:F881,"ЭЦН",'История отказов'!$AE$5:AE881,'История отказов'!AE881)=1,'История отказов'!F881="ЭЦН"),877,""))</f>
        <v/>
      </c>
      <c r="DE878">
        <f>IF('История отказов'!AE881="","",IF(AND(COUNTIF($CV$2:$CV$3,'История отказов'!AE881)=0,COUNTIFS('История отказов'!$F$5:F881,"ЭВН",'История отказов'!$AE$5:AE881,'История отказов'!AE881)=1,'История отказов'!F881="ЭВН"),877,""))</f>
        <v/>
      </c>
      <c r="DF878">
        <f>IF('История отказов'!AE881="","",IF(AND(COUNTIF($CX$2:$CX$2,'История отказов'!AE881)=0,COUNTIFS('История отказов'!$F$5:F881,"ШВН",'История отказов'!$AE$5:AE881,'История отказов'!AE881)=1,'История отказов'!F881="ШВН"),877,""))</f>
        <v/>
      </c>
      <c r="DG878">
        <f>IF('История отказов'!AE881="","",IF(AND(COUNTIF($CW$2:$CW$2,'История отказов'!AE881)=0,COUNTIFS('История отказов'!$F$5:F881,"НПУ-ВД",'История отказов'!$AE$5:AE881,'История отказов'!AE881)=1,'История отказов'!F881="НПУ-ВД"),877,""))</f>
        <v/>
      </c>
      <c r="DH878">
        <f>IF('История отказов'!AE881="","",IF(AND(COUNTIF($CY$2:$CY$6,'История отказов'!AE881)=0,COUNTIF('История отказов'!$AE$5:AE881,'История отказов'!AE881)=1),877,""))</f>
        <v/>
      </c>
      <c r="DI878">
        <f>IF('История отказов'!AK881="","",IF(AND(COUNTIF($CL$2:$CL$3,'История отказов'!AK881)=0,COUNTIF('История отказов'!$AK$5:AK881,'История отказов'!AK881)=1),877,""))</f>
        <v/>
      </c>
      <c r="DJ878">
        <f>IF('История отказов'!AU881="","",IF(AND(COUNTIF($CP$2:$CP$3,'История отказов'!AU881)=0,COUNTIF('История отказов'!$AU$5:AU881,'История отказов'!AU881)=1),877,""))</f>
        <v/>
      </c>
      <c r="DK878">
        <f>IF('История отказов'!AY881="","",IF(AND(COUNTIF($CR$2:$CR$2,'История отказов'!AY881)=0,COUNTIF('История отказов'!$AY$5:AY881,'История отказов'!AY881)=1),877,""))</f>
        <v/>
      </c>
      <c r="DL878">
        <f>IF(DB878="","",IF(AND(COUNTIF($DA$2:$DA$47,DB878)=0,COUNTIF($DB$2:DB878,DB878)=1),877,""))</f>
        <v/>
      </c>
    </row>
    <row r="879">
      <c r="A879" s="74" t="n"/>
      <c r="B879" s="75" t="n"/>
      <c r="C879" s="76" t="n"/>
      <c r="DB879">
        <f>IF('История отказов'!AH882="","",'История отказов'!AH882)</f>
        <v/>
      </c>
      <c r="DC879">
        <f>IF('История отказов'!AE882="","",IF(AND(COUNTIF($CT$2:$CT$2,'История отказов'!AE882)=0,COUNTIFS('История отказов'!$F$5:F882,"ШГН",'История отказов'!$AE$5:AE882,'История отказов'!AE882)=1,'История отказов'!F882="ШГН"),878,""))</f>
        <v/>
      </c>
      <c r="DD879">
        <f>IF('История отказов'!AE882="","",IF(AND(COUNTIF($CU$2:$CU$3,'История отказов'!AE882)=0,COUNTIFS('История отказов'!$F$5:F882,"ЭЦН",'История отказов'!$AE$5:AE882,'История отказов'!AE882)=1,'История отказов'!F882="ЭЦН"),878,""))</f>
        <v/>
      </c>
      <c r="DE879">
        <f>IF('История отказов'!AE882="","",IF(AND(COUNTIF($CV$2:$CV$3,'История отказов'!AE882)=0,COUNTIFS('История отказов'!$F$5:F882,"ЭВН",'История отказов'!$AE$5:AE882,'История отказов'!AE882)=1,'История отказов'!F882="ЭВН"),878,""))</f>
        <v/>
      </c>
      <c r="DF879">
        <f>IF('История отказов'!AE882="","",IF(AND(COUNTIF($CX$2:$CX$2,'История отказов'!AE882)=0,COUNTIFS('История отказов'!$F$5:F882,"ШВН",'История отказов'!$AE$5:AE882,'История отказов'!AE882)=1,'История отказов'!F882="ШВН"),878,""))</f>
        <v/>
      </c>
      <c r="DG879">
        <f>IF('История отказов'!AE882="","",IF(AND(COUNTIF($CW$2:$CW$2,'История отказов'!AE882)=0,COUNTIFS('История отказов'!$F$5:F882,"НПУ-ВД",'История отказов'!$AE$5:AE882,'История отказов'!AE882)=1,'История отказов'!F882="НПУ-ВД"),878,""))</f>
        <v/>
      </c>
      <c r="DH879">
        <f>IF('История отказов'!AE882="","",IF(AND(COUNTIF($CY$2:$CY$6,'История отказов'!AE882)=0,COUNTIF('История отказов'!$AE$5:AE882,'История отказов'!AE882)=1),878,""))</f>
        <v/>
      </c>
      <c r="DI879">
        <f>IF('История отказов'!AK882="","",IF(AND(COUNTIF($CL$2:$CL$3,'История отказов'!AK882)=0,COUNTIF('История отказов'!$AK$5:AK882,'История отказов'!AK882)=1),878,""))</f>
        <v/>
      </c>
      <c r="DJ879">
        <f>IF('История отказов'!AU882="","",IF(AND(COUNTIF($CP$2:$CP$3,'История отказов'!AU882)=0,COUNTIF('История отказов'!$AU$5:AU882,'История отказов'!AU882)=1),878,""))</f>
        <v/>
      </c>
      <c r="DK879">
        <f>IF('История отказов'!AY882="","",IF(AND(COUNTIF($CR$2:$CR$2,'История отказов'!AY882)=0,COUNTIF('История отказов'!$AY$5:AY882,'История отказов'!AY882)=1),878,""))</f>
        <v/>
      </c>
      <c r="DL879">
        <f>IF(DB879="","",IF(AND(COUNTIF($DA$2:$DA$47,DB879)=0,COUNTIF($DB$2:DB879,DB879)=1),878,""))</f>
        <v/>
      </c>
    </row>
    <row r="880">
      <c r="A880" s="74" t="n"/>
      <c r="B880" s="75" t="n"/>
      <c r="C880" s="76" t="n"/>
      <c r="DB880">
        <f>IF('История отказов'!AH883="","",'История отказов'!AH883)</f>
        <v/>
      </c>
      <c r="DC880">
        <f>IF('История отказов'!AE883="","",IF(AND(COUNTIF($CT$2:$CT$2,'История отказов'!AE883)=0,COUNTIFS('История отказов'!$F$5:F883,"ШГН",'История отказов'!$AE$5:AE883,'История отказов'!AE883)=1,'История отказов'!F883="ШГН"),879,""))</f>
        <v/>
      </c>
      <c r="DD880">
        <f>IF('История отказов'!AE883="","",IF(AND(COUNTIF($CU$2:$CU$3,'История отказов'!AE883)=0,COUNTIFS('История отказов'!$F$5:F883,"ЭЦН",'История отказов'!$AE$5:AE883,'История отказов'!AE883)=1,'История отказов'!F883="ЭЦН"),879,""))</f>
        <v/>
      </c>
      <c r="DE880">
        <f>IF('История отказов'!AE883="","",IF(AND(COUNTIF($CV$2:$CV$3,'История отказов'!AE883)=0,COUNTIFS('История отказов'!$F$5:F883,"ЭВН",'История отказов'!$AE$5:AE883,'История отказов'!AE883)=1,'История отказов'!F883="ЭВН"),879,""))</f>
        <v/>
      </c>
      <c r="DF880">
        <f>IF('История отказов'!AE883="","",IF(AND(COUNTIF($CX$2:$CX$2,'История отказов'!AE883)=0,COUNTIFS('История отказов'!$F$5:F883,"ШВН",'История отказов'!$AE$5:AE883,'История отказов'!AE883)=1,'История отказов'!F883="ШВН"),879,""))</f>
        <v/>
      </c>
      <c r="DG880">
        <f>IF('История отказов'!AE883="","",IF(AND(COUNTIF($CW$2:$CW$2,'История отказов'!AE883)=0,COUNTIFS('История отказов'!$F$5:F883,"НПУ-ВД",'История отказов'!$AE$5:AE883,'История отказов'!AE883)=1,'История отказов'!F883="НПУ-ВД"),879,""))</f>
        <v/>
      </c>
      <c r="DH880">
        <f>IF('История отказов'!AE883="","",IF(AND(COUNTIF($CY$2:$CY$6,'История отказов'!AE883)=0,COUNTIF('История отказов'!$AE$5:AE883,'История отказов'!AE883)=1),879,""))</f>
        <v/>
      </c>
      <c r="DI880">
        <f>IF('История отказов'!AK883="","",IF(AND(COUNTIF($CL$2:$CL$3,'История отказов'!AK883)=0,COUNTIF('История отказов'!$AK$5:AK883,'История отказов'!AK883)=1),879,""))</f>
        <v/>
      </c>
      <c r="DJ880">
        <f>IF('История отказов'!AU883="","",IF(AND(COUNTIF($CP$2:$CP$3,'История отказов'!AU883)=0,COUNTIF('История отказов'!$AU$5:AU883,'История отказов'!AU883)=1),879,""))</f>
        <v/>
      </c>
      <c r="DK880">
        <f>IF('История отказов'!AY883="","",IF(AND(COUNTIF($CR$2:$CR$2,'История отказов'!AY883)=0,COUNTIF('История отказов'!$AY$5:AY883,'История отказов'!AY883)=1),879,""))</f>
        <v/>
      </c>
      <c r="DL880">
        <f>IF(DB880="","",IF(AND(COUNTIF($DA$2:$DA$47,DB880)=0,COUNTIF($DB$2:DB880,DB880)=1),879,""))</f>
        <v/>
      </c>
    </row>
    <row r="881">
      <c r="A881" s="74" t="n"/>
      <c r="B881" s="75" t="n"/>
      <c r="C881" s="76" t="n"/>
      <c r="DB881">
        <f>IF('История отказов'!AH884="","",'История отказов'!AH884)</f>
        <v/>
      </c>
      <c r="DC881">
        <f>IF('История отказов'!AE884="","",IF(AND(COUNTIF($CT$2:$CT$2,'История отказов'!AE884)=0,COUNTIFS('История отказов'!$F$5:F884,"ШГН",'История отказов'!$AE$5:AE884,'История отказов'!AE884)=1,'История отказов'!F884="ШГН"),880,""))</f>
        <v/>
      </c>
      <c r="DD881">
        <f>IF('История отказов'!AE884="","",IF(AND(COUNTIF($CU$2:$CU$3,'История отказов'!AE884)=0,COUNTIFS('История отказов'!$F$5:F884,"ЭЦН",'История отказов'!$AE$5:AE884,'История отказов'!AE884)=1,'История отказов'!F884="ЭЦН"),880,""))</f>
        <v/>
      </c>
      <c r="DE881">
        <f>IF('История отказов'!AE884="","",IF(AND(COUNTIF($CV$2:$CV$3,'История отказов'!AE884)=0,COUNTIFS('История отказов'!$F$5:F884,"ЭВН",'История отказов'!$AE$5:AE884,'История отказов'!AE884)=1,'История отказов'!F884="ЭВН"),880,""))</f>
        <v/>
      </c>
      <c r="DF881">
        <f>IF('История отказов'!AE884="","",IF(AND(COUNTIF($CX$2:$CX$2,'История отказов'!AE884)=0,COUNTIFS('История отказов'!$F$5:F884,"ШВН",'История отказов'!$AE$5:AE884,'История отказов'!AE884)=1,'История отказов'!F884="ШВН"),880,""))</f>
        <v/>
      </c>
      <c r="DG881">
        <f>IF('История отказов'!AE884="","",IF(AND(COUNTIF($CW$2:$CW$2,'История отказов'!AE884)=0,COUNTIFS('История отказов'!$F$5:F884,"НПУ-ВД",'История отказов'!$AE$5:AE884,'История отказов'!AE884)=1,'История отказов'!F884="НПУ-ВД"),880,""))</f>
        <v/>
      </c>
      <c r="DH881">
        <f>IF('История отказов'!AE884="","",IF(AND(COUNTIF($CY$2:$CY$6,'История отказов'!AE884)=0,COUNTIF('История отказов'!$AE$5:AE884,'История отказов'!AE884)=1),880,""))</f>
        <v/>
      </c>
      <c r="DI881">
        <f>IF('История отказов'!AK884="","",IF(AND(COUNTIF($CL$2:$CL$3,'История отказов'!AK884)=0,COUNTIF('История отказов'!$AK$5:AK884,'История отказов'!AK884)=1),880,""))</f>
        <v/>
      </c>
      <c r="DJ881">
        <f>IF('История отказов'!AU884="","",IF(AND(COUNTIF($CP$2:$CP$3,'История отказов'!AU884)=0,COUNTIF('История отказов'!$AU$5:AU884,'История отказов'!AU884)=1),880,""))</f>
        <v/>
      </c>
      <c r="DK881">
        <f>IF('История отказов'!AY884="","",IF(AND(COUNTIF($CR$2:$CR$2,'История отказов'!AY884)=0,COUNTIF('История отказов'!$AY$5:AY884,'История отказов'!AY884)=1),880,""))</f>
        <v/>
      </c>
      <c r="DL881">
        <f>IF(DB881="","",IF(AND(COUNTIF($DA$2:$DA$47,DB881)=0,COUNTIF($DB$2:DB881,DB881)=1),880,""))</f>
        <v/>
      </c>
    </row>
    <row r="882">
      <c r="A882" s="74" t="n"/>
      <c r="B882" s="75" t="n"/>
      <c r="C882" s="76" t="n"/>
      <c r="DB882">
        <f>IF('История отказов'!AH885="","",'История отказов'!AH885)</f>
        <v/>
      </c>
      <c r="DC882">
        <f>IF('История отказов'!AE885="","",IF(AND(COUNTIF($CT$2:$CT$2,'История отказов'!AE885)=0,COUNTIFS('История отказов'!$F$5:F885,"ШГН",'История отказов'!$AE$5:AE885,'История отказов'!AE885)=1,'История отказов'!F885="ШГН"),881,""))</f>
        <v/>
      </c>
      <c r="DD882">
        <f>IF('История отказов'!AE885="","",IF(AND(COUNTIF($CU$2:$CU$3,'История отказов'!AE885)=0,COUNTIFS('История отказов'!$F$5:F885,"ЭЦН",'История отказов'!$AE$5:AE885,'История отказов'!AE885)=1,'История отказов'!F885="ЭЦН"),881,""))</f>
        <v/>
      </c>
      <c r="DE882">
        <f>IF('История отказов'!AE885="","",IF(AND(COUNTIF($CV$2:$CV$3,'История отказов'!AE885)=0,COUNTIFS('История отказов'!$F$5:F885,"ЭВН",'История отказов'!$AE$5:AE885,'История отказов'!AE885)=1,'История отказов'!F885="ЭВН"),881,""))</f>
        <v/>
      </c>
      <c r="DF882">
        <f>IF('История отказов'!AE885="","",IF(AND(COUNTIF($CX$2:$CX$2,'История отказов'!AE885)=0,COUNTIFS('История отказов'!$F$5:F885,"ШВН",'История отказов'!$AE$5:AE885,'История отказов'!AE885)=1,'История отказов'!F885="ШВН"),881,""))</f>
        <v/>
      </c>
      <c r="DG882">
        <f>IF('История отказов'!AE885="","",IF(AND(COUNTIF($CW$2:$CW$2,'История отказов'!AE885)=0,COUNTIFS('История отказов'!$F$5:F885,"НПУ-ВД",'История отказов'!$AE$5:AE885,'История отказов'!AE885)=1,'История отказов'!F885="НПУ-ВД"),881,""))</f>
        <v/>
      </c>
      <c r="DH882">
        <f>IF('История отказов'!AE885="","",IF(AND(COUNTIF($CY$2:$CY$6,'История отказов'!AE885)=0,COUNTIF('История отказов'!$AE$5:AE885,'История отказов'!AE885)=1),881,""))</f>
        <v/>
      </c>
      <c r="DI882">
        <f>IF('История отказов'!AK885="","",IF(AND(COUNTIF($CL$2:$CL$3,'История отказов'!AK885)=0,COUNTIF('История отказов'!$AK$5:AK885,'История отказов'!AK885)=1),881,""))</f>
        <v/>
      </c>
      <c r="DJ882">
        <f>IF('История отказов'!AU885="","",IF(AND(COUNTIF($CP$2:$CP$3,'История отказов'!AU885)=0,COUNTIF('История отказов'!$AU$5:AU885,'История отказов'!AU885)=1),881,""))</f>
        <v/>
      </c>
      <c r="DK882">
        <f>IF('История отказов'!AY885="","",IF(AND(COUNTIF($CR$2:$CR$2,'История отказов'!AY885)=0,COUNTIF('История отказов'!$AY$5:AY885,'История отказов'!AY885)=1),881,""))</f>
        <v/>
      </c>
      <c r="DL882">
        <f>IF(DB882="","",IF(AND(COUNTIF($DA$2:$DA$47,DB882)=0,COUNTIF($DB$2:DB882,DB882)=1),881,""))</f>
        <v/>
      </c>
    </row>
    <row r="883">
      <c r="A883" s="74" t="n"/>
      <c r="B883" s="75" t="n"/>
      <c r="C883" s="76" t="n"/>
      <c r="DB883">
        <f>IF('История отказов'!AH886="","",'История отказов'!AH886)</f>
        <v/>
      </c>
      <c r="DC883">
        <f>IF('История отказов'!AE886="","",IF(AND(COUNTIF($CT$2:$CT$2,'История отказов'!AE886)=0,COUNTIFS('История отказов'!$F$5:F886,"ШГН",'История отказов'!$AE$5:AE886,'История отказов'!AE886)=1,'История отказов'!F886="ШГН"),882,""))</f>
        <v/>
      </c>
      <c r="DD883">
        <f>IF('История отказов'!AE886="","",IF(AND(COUNTIF($CU$2:$CU$3,'История отказов'!AE886)=0,COUNTIFS('История отказов'!$F$5:F886,"ЭЦН",'История отказов'!$AE$5:AE886,'История отказов'!AE886)=1,'История отказов'!F886="ЭЦН"),882,""))</f>
        <v/>
      </c>
      <c r="DE883">
        <f>IF('История отказов'!AE886="","",IF(AND(COUNTIF($CV$2:$CV$3,'История отказов'!AE886)=0,COUNTIFS('История отказов'!$F$5:F886,"ЭВН",'История отказов'!$AE$5:AE886,'История отказов'!AE886)=1,'История отказов'!F886="ЭВН"),882,""))</f>
        <v/>
      </c>
      <c r="DF883">
        <f>IF('История отказов'!AE886="","",IF(AND(COUNTIF($CX$2:$CX$2,'История отказов'!AE886)=0,COUNTIFS('История отказов'!$F$5:F886,"ШВН",'История отказов'!$AE$5:AE886,'История отказов'!AE886)=1,'История отказов'!F886="ШВН"),882,""))</f>
        <v/>
      </c>
      <c r="DG883">
        <f>IF('История отказов'!AE886="","",IF(AND(COUNTIF($CW$2:$CW$2,'История отказов'!AE886)=0,COUNTIFS('История отказов'!$F$5:F886,"НПУ-ВД",'История отказов'!$AE$5:AE886,'История отказов'!AE886)=1,'История отказов'!F886="НПУ-ВД"),882,""))</f>
        <v/>
      </c>
      <c r="DH883">
        <f>IF('История отказов'!AE886="","",IF(AND(COUNTIF($CY$2:$CY$6,'История отказов'!AE886)=0,COUNTIF('История отказов'!$AE$5:AE886,'История отказов'!AE886)=1),882,""))</f>
        <v/>
      </c>
      <c r="DI883">
        <f>IF('История отказов'!AK886="","",IF(AND(COUNTIF($CL$2:$CL$3,'История отказов'!AK886)=0,COUNTIF('История отказов'!$AK$5:AK886,'История отказов'!AK886)=1),882,""))</f>
        <v/>
      </c>
      <c r="DJ883">
        <f>IF('История отказов'!AU886="","",IF(AND(COUNTIF($CP$2:$CP$3,'История отказов'!AU886)=0,COUNTIF('История отказов'!$AU$5:AU886,'История отказов'!AU886)=1),882,""))</f>
        <v/>
      </c>
      <c r="DK883">
        <f>IF('История отказов'!AY886="","",IF(AND(COUNTIF($CR$2:$CR$2,'История отказов'!AY886)=0,COUNTIF('История отказов'!$AY$5:AY886,'История отказов'!AY886)=1),882,""))</f>
        <v/>
      </c>
      <c r="DL883">
        <f>IF(DB883="","",IF(AND(COUNTIF($DA$2:$DA$47,DB883)=0,COUNTIF($DB$2:DB883,DB883)=1),882,""))</f>
        <v/>
      </c>
    </row>
    <row r="884">
      <c r="A884" s="74" t="n"/>
      <c r="B884" s="75" t="n"/>
      <c r="C884" s="76" t="n"/>
      <c r="DB884">
        <f>IF('История отказов'!AH887="","",'История отказов'!AH887)</f>
        <v/>
      </c>
      <c r="DC884">
        <f>IF('История отказов'!AE887="","",IF(AND(COUNTIF($CT$2:$CT$2,'История отказов'!AE887)=0,COUNTIFS('История отказов'!$F$5:F887,"ШГН",'История отказов'!$AE$5:AE887,'История отказов'!AE887)=1,'История отказов'!F887="ШГН"),883,""))</f>
        <v/>
      </c>
      <c r="DD884">
        <f>IF('История отказов'!AE887="","",IF(AND(COUNTIF($CU$2:$CU$3,'История отказов'!AE887)=0,COUNTIFS('История отказов'!$F$5:F887,"ЭЦН",'История отказов'!$AE$5:AE887,'История отказов'!AE887)=1,'История отказов'!F887="ЭЦН"),883,""))</f>
        <v/>
      </c>
      <c r="DE884">
        <f>IF('История отказов'!AE887="","",IF(AND(COUNTIF($CV$2:$CV$3,'История отказов'!AE887)=0,COUNTIFS('История отказов'!$F$5:F887,"ЭВН",'История отказов'!$AE$5:AE887,'История отказов'!AE887)=1,'История отказов'!F887="ЭВН"),883,""))</f>
        <v/>
      </c>
      <c r="DF884">
        <f>IF('История отказов'!AE887="","",IF(AND(COUNTIF($CX$2:$CX$2,'История отказов'!AE887)=0,COUNTIFS('История отказов'!$F$5:F887,"ШВН",'История отказов'!$AE$5:AE887,'История отказов'!AE887)=1,'История отказов'!F887="ШВН"),883,""))</f>
        <v/>
      </c>
      <c r="DG884">
        <f>IF('История отказов'!AE887="","",IF(AND(COUNTIF($CW$2:$CW$2,'История отказов'!AE887)=0,COUNTIFS('История отказов'!$F$5:F887,"НПУ-ВД",'История отказов'!$AE$5:AE887,'История отказов'!AE887)=1,'История отказов'!F887="НПУ-ВД"),883,""))</f>
        <v/>
      </c>
      <c r="DH884">
        <f>IF('История отказов'!AE887="","",IF(AND(COUNTIF($CY$2:$CY$6,'История отказов'!AE887)=0,COUNTIF('История отказов'!$AE$5:AE887,'История отказов'!AE887)=1),883,""))</f>
        <v/>
      </c>
      <c r="DI884">
        <f>IF('История отказов'!AK887="","",IF(AND(COUNTIF($CL$2:$CL$3,'История отказов'!AK887)=0,COUNTIF('История отказов'!$AK$5:AK887,'История отказов'!AK887)=1),883,""))</f>
        <v/>
      </c>
      <c r="DJ884">
        <f>IF('История отказов'!AU887="","",IF(AND(COUNTIF($CP$2:$CP$3,'История отказов'!AU887)=0,COUNTIF('История отказов'!$AU$5:AU887,'История отказов'!AU887)=1),883,""))</f>
        <v/>
      </c>
      <c r="DK884">
        <f>IF('История отказов'!AY887="","",IF(AND(COUNTIF($CR$2:$CR$2,'История отказов'!AY887)=0,COUNTIF('История отказов'!$AY$5:AY887,'История отказов'!AY887)=1),883,""))</f>
        <v/>
      </c>
      <c r="DL884">
        <f>IF(DB884="","",IF(AND(COUNTIF($DA$2:$DA$47,DB884)=0,COUNTIF($DB$2:DB884,DB884)=1),883,""))</f>
        <v/>
      </c>
    </row>
    <row r="885">
      <c r="A885" s="74" t="n"/>
      <c r="B885" s="75" t="n"/>
      <c r="C885" s="76" t="n"/>
      <c r="DB885">
        <f>IF('История отказов'!AH888="","",'История отказов'!AH888)</f>
        <v/>
      </c>
      <c r="DC885">
        <f>IF('История отказов'!AE888="","",IF(AND(COUNTIF($CT$2:$CT$2,'История отказов'!AE888)=0,COUNTIFS('История отказов'!$F$5:F888,"ШГН",'История отказов'!$AE$5:AE888,'История отказов'!AE888)=1,'История отказов'!F888="ШГН"),884,""))</f>
        <v/>
      </c>
      <c r="DD885">
        <f>IF('История отказов'!AE888="","",IF(AND(COUNTIF($CU$2:$CU$3,'История отказов'!AE888)=0,COUNTIFS('История отказов'!$F$5:F888,"ЭЦН",'История отказов'!$AE$5:AE888,'История отказов'!AE888)=1,'История отказов'!F888="ЭЦН"),884,""))</f>
        <v/>
      </c>
      <c r="DE885">
        <f>IF('История отказов'!AE888="","",IF(AND(COUNTIF($CV$2:$CV$3,'История отказов'!AE888)=0,COUNTIFS('История отказов'!$F$5:F888,"ЭВН",'История отказов'!$AE$5:AE888,'История отказов'!AE888)=1,'История отказов'!F888="ЭВН"),884,""))</f>
        <v/>
      </c>
      <c r="DF885">
        <f>IF('История отказов'!AE888="","",IF(AND(COUNTIF($CX$2:$CX$2,'История отказов'!AE888)=0,COUNTIFS('История отказов'!$F$5:F888,"ШВН",'История отказов'!$AE$5:AE888,'История отказов'!AE888)=1,'История отказов'!F888="ШВН"),884,""))</f>
        <v/>
      </c>
      <c r="DG885">
        <f>IF('История отказов'!AE888="","",IF(AND(COUNTIF($CW$2:$CW$2,'История отказов'!AE888)=0,COUNTIFS('История отказов'!$F$5:F888,"НПУ-ВД",'История отказов'!$AE$5:AE888,'История отказов'!AE888)=1,'История отказов'!F888="НПУ-ВД"),884,""))</f>
        <v/>
      </c>
      <c r="DH885">
        <f>IF('История отказов'!AE888="","",IF(AND(COUNTIF($CY$2:$CY$6,'История отказов'!AE888)=0,COUNTIF('История отказов'!$AE$5:AE888,'История отказов'!AE888)=1),884,""))</f>
        <v/>
      </c>
      <c r="DI885">
        <f>IF('История отказов'!AK888="","",IF(AND(COUNTIF($CL$2:$CL$3,'История отказов'!AK888)=0,COUNTIF('История отказов'!$AK$5:AK888,'История отказов'!AK888)=1),884,""))</f>
        <v/>
      </c>
      <c r="DJ885">
        <f>IF('История отказов'!AU888="","",IF(AND(COUNTIF($CP$2:$CP$3,'История отказов'!AU888)=0,COUNTIF('История отказов'!$AU$5:AU888,'История отказов'!AU888)=1),884,""))</f>
        <v/>
      </c>
      <c r="DK885">
        <f>IF('История отказов'!AY888="","",IF(AND(COUNTIF($CR$2:$CR$2,'История отказов'!AY888)=0,COUNTIF('История отказов'!$AY$5:AY888,'История отказов'!AY888)=1),884,""))</f>
        <v/>
      </c>
      <c r="DL885">
        <f>IF(DB885="","",IF(AND(COUNTIF($DA$2:$DA$47,DB885)=0,COUNTIF($DB$2:DB885,DB885)=1),884,""))</f>
        <v/>
      </c>
    </row>
    <row r="886">
      <c r="A886" s="74" t="n"/>
      <c r="B886" s="75" t="n"/>
      <c r="C886" s="76" t="n"/>
      <c r="DB886">
        <f>IF('История отказов'!AH889="","",'История отказов'!AH889)</f>
        <v/>
      </c>
      <c r="DC886">
        <f>IF('История отказов'!AE889="","",IF(AND(COUNTIF($CT$2:$CT$2,'История отказов'!AE889)=0,COUNTIFS('История отказов'!$F$5:F889,"ШГН",'История отказов'!$AE$5:AE889,'История отказов'!AE889)=1,'История отказов'!F889="ШГН"),885,""))</f>
        <v/>
      </c>
      <c r="DD886">
        <f>IF('История отказов'!AE889="","",IF(AND(COUNTIF($CU$2:$CU$3,'История отказов'!AE889)=0,COUNTIFS('История отказов'!$F$5:F889,"ЭЦН",'История отказов'!$AE$5:AE889,'История отказов'!AE889)=1,'История отказов'!F889="ЭЦН"),885,""))</f>
        <v/>
      </c>
      <c r="DE886">
        <f>IF('История отказов'!AE889="","",IF(AND(COUNTIF($CV$2:$CV$3,'История отказов'!AE889)=0,COUNTIFS('История отказов'!$F$5:F889,"ЭВН",'История отказов'!$AE$5:AE889,'История отказов'!AE889)=1,'История отказов'!F889="ЭВН"),885,""))</f>
        <v/>
      </c>
      <c r="DF886">
        <f>IF('История отказов'!AE889="","",IF(AND(COUNTIF($CX$2:$CX$2,'История отказов'!AE889)=0,COUNTIFS('История отказов'!$F$5:F889,"ШВН",'История отказов'!$AE$5:AE889,'История отказов'!AE889)=1,'История отказов'!F889="ШВН"),885,""))</f>
        <v/>
      </c>
      <c r="DG886">
        <f>IF('История отказов'!AE889="","",IF(AND(COUNTIF($CW$2:$CW$2,'История отказов'!AE889)=0,COUNTIFS('История отказов'!$F$5:F889,"НПУ-ВД",'История отказов'!$AE$5:AE889,'История отказов'!AE889)=1,'История отказов'!F889="НПУ-ВД"),885,""))</f>
        <v/>
      </c>
      <c r="DH886">
        <f>IF('История отказов'!AE889="","",IF(AND(COUNTIF($CY$2:$CY$6,'История отказов'!AE889)=0,COUNTIF('История отказов'!$AE$5:AE889,'История отказов'!AE889)=1),885,""))</f>
        <v/>
      </c>
      <c r="DI886">
        <f>IF('История отказов'!AK889="","",IF(AND(COUNTIF($CL$2:$CL$3,'История отказов'!AK889)=0,COUNTIF('История отказов'!$AK$5:AK889,'История отказов'!AK889)=1),885,""))</f>
        <v/>
      </c>
      <c r="DJ886">
        <f>IF('История отказов'!AU889="","",IF(AND(COUNTIF($CP$2:$CP$3,'История отказов'!AU889)=0,COUNTIF('История отказов'!$AU$5:AU889,'История отказов'!AU889)=1),885,""))</f>
        <v/>
      </c>
      <c r="DK886">
        <f>IF('История отказов'!AY889="","",IF(AND(COUNTIF($CR$2:$CR$2,'История отказов'!AY889)=0,COUNTIF('История отказов'!$AY$5:AY889,'История отказов'!AY889)=1),885,""))</f>
        <v/>
      </c>
      <c r="DL886">
        <f>IF(DB886="","",IF(AND(COUNTIF($DA$2:$DA$47,DB886)=0,COUNTIF($DB$2:DB886,DB886)=1),885,""))</f>
        <v/>
      </c>
    </row>
    <row r="887">
      <c r="A887" s="74" t="n"/>
      <c r="B887" s="75" t="n"/>
      <c r="C887" s="76" t="n"/>
      <c r="DB887">
        <f>IF('История отказов'!AH890="","",'История отказов'!AH890)</f>
        <v/>
      </c>
      <c r="DC887">
        <f>IF('История отказов'!AE890="","",IF(AND(COUNTIF($CT$2:$CT$2,'История отказов'!AE890)=0,COUNTIFS('История отказов'!$F$5:F890,"ШГН",'История отказов'!$AE$5:AE890,'История отказов'!AE890)=1,'История отказов'!F890="ШГН"),886,""))</f>
        <v/>
      </c>
      <c r="DD887">
        <f>IF('История отказов'!AE890="","",IF(AND(COUNTIF($CU$2:$CU$3,'История отказов'!AE890)=0,COUNTIFS('История отказов'!$F$5:F890,"ЭЦН",'История отказов'!$AE$5:AE890,'История отказов'!AE890)=1,'История отказов'!F890="ЭЦН"),886,""))</f>
        <v/>
      </c>
      <c r="DE887">
        <f>IF('История отказов'!AE890="","",IF(AND(COUNTIF($CV$2:$CV$3,'История отказов'!AE890)=0,COUNTIFS('История отказов'!$F$5:F890,"ЭВН",'История отказов'!$AE$5:AE890,'История отказов'!AE890)=1,'История отказов'!F890="ЭВН"),886,""))</f>
        <v/>
      </c>
      <c r="DF887">
        <f>IF('История отказов'!AE890="","",IF(AND(COUNTIF($CX$2:$CX$2,'История отказов'!AE890)=0,COUNTIFS('История отказов'!$F$5:F890,"ШВН",'История отказов'!$AE$5:AE890,'История отказов'!AE890)=1,'История отказов'!F890="ШВН"),886,""))</f>
        <v/>
      </c>
      <c r="DG887">
        <f>IF('История отказов'!AE890="","",IF(AND(COUNTIF($CW$2:$CW$2,'История отказов'!AE890)=0,COUNTIFS('История отказов'!$F$5:F890,"НПУ-ВД",'История отказов'!$AE$5:AE890,'История отказов'!AE890)=1,'История отказов'!F890="НПУ-ВД"),886,""))</f>
        <v/>
      </c>
      <c r="DH887">
        <f>IF('История отказов'!AE890="","",IF(AND(COUNTIF($CY$2:$CY$6,'История отказов'!AE890)=0,COUNTIF('История отказов'!$AE$5:AE890,'История отказов'!AE890)=1),886,""))</f>
        <v/>
      </c>
      <c r="DI887">
        <f>IF('История отказов'!AK890="","",IF(AND(COUNTIF($CL$2:$CL$3,'История отказов'!AK890)=0,COUNTIF('История отказов'!$AK$5:AK890,'История отказов'!AK890)=1),886,""))</f>
        <v/>
      </c>
      <c r="DJ887">
        <f>IF('История отказов'!AU890="","",IF(AND(COUNTIF($CP$2:$CP$3,'История отказов'!AU890)=0,COUNTIF('История отказов'!$AU$5:AU890,'История отказов'!AU890)=1),886,""))</f>
        <v/>
      </c>
      <c r="DK887">
        <f>IF('История отказов'!AY890="","",IF(AND(COUNTIF($CR$2:$CR$2,'История отказов'!AY890)=0,COUNTIF('История отказов'!$AY$5:AY890,'История отказов'!AY890)=1),886,""))</f>
        <v/>
      </c>
      <c r="DL887">
        <f>IF(DB887="","",IF(AND(COUNTIF($DA$2:$DA$47,DB887)=0,COUNTIF($DB$2:DB887,DB887)=1),886,""))</f>
        <v/>
      </c>
    </row>
    <row r="888">
      <c r="A888" s="74" t="n"/>
      <c r="B888" s="75" t="n"/>
      <c r="C888" s="76" t="n"/>
      <c r="DB888">
        <f>IF('История отказов'!AH891="","",'История отказов'!AH891)</f>
        <v/>
      </c>
      <c r="DC888">
        <f>IF('История отказов'!AE891="","",IF(AND(COUNTIF($CT$2:$CT$2,'История отказов'!AE891)=0,COUNTIFS('История отказов'!$F$5:F891,"ШГН",'История отказов'!$AE$5:AE891,'История отказов'!AE891)=1,'История отказов'!F891="ШГН"),887,""))</f>
        <v/>
      </c>
      <c r="DD888">
        <f>IF('История отказов'!AE891="","",IF(AND(COUNTIF($CU$2:$CU$3,'История отказов'!AE891)=0,COUNTIFS('История отказов'!$F$5:F891,"ЭЦН",'История отказов'!$AE$5:AE891,'История отказов'!AE891)=1,'История отказов'!F891="ЭЦН"),887,""))</f>
        <v/>
      </c>
      <c r="DE888">
        <f>IF('История отказов'!AE891="","",IF(AND(COUNTIF($CV$2:$CV$3,'История отказов'!AE891)=0,COUNTIFS('История отказов'!$F$5:F891,"ЭВН",'История отказов'!$AE$5:AE891,'История отказов'!AE891)=1,'История отказов'!F891="ЭВН"),887,""))</f>
        <v/>
      </c>
      <c r="DF888">
        <f>IF('История отказов'!AE891="","",IF(AND(COUNTIF($CX$2:$CX$2,'История отказов'!AE891)=0,COUNTIFS('История отказов'!$F$5:F891,"ШВН",'История отказов'!$AE$5:AE891,'История отказов'!AE891)=1,'История отказов'!F891="ШВН"),887,""))</f>
        <v/>
      </c>
      <c r="DG888">
        <f>IF('История отказов'!AE891="","",IF(AND(COUNTIF($CW$2:$CW$2,'История отказов'!AE891)=0,COUNTIFS('История отказов'!$F$5:F891,"НПУ-ВД",'История отказов'!$AE$5:AE891,'История отказов'!AE891)=1,'История отказов'!F891="НПУ-ВД"),887,""))</f>
        <v/>
      </c>
      <c r="DH888">
        <f>IF('История отказов'!AE891="","",IF(AND(COUNTIF($CY$2:$CY$6,'История отказов'!AE891)=0,COUNTIF('История отказов'!$AE$5:AE891,'История отказов'!AE891)=1),887,""))</f>
        <v/>
      </c>
      <c r="DI888">
        <f>IF('История отказов'!AK891="","",IF(AND(COUNTIF($CL$2:$CL$3,'История отказов'!AK891)=0,COUNTIF('История отказов'!$AK$5:AK891,'История отказов'!AK891)=1),887,""))</f>
        <v/>
      </c>
      <c r="DJ888">
        <f>IF('История отказов'!AU891="","",IF(AND(COUNTIF($CP$2:$CP$3,'История отказов'!AU891)=0,COUNTIF('История отказов'!$AU$5:AU891,'История отказов'!AU891)=1),887,""))</f>
        <v/>
      </c>
      <c r="DK888">
        <f>IF('История отказов'!AY891="","",IF(AND(COUNTIF($CR$2:$CR$2,'История отказов'!AY891)=0,COUNTIF('История отказов'!$AY$5:AY891,'История отказов'!AY891)=1),887,""))</f>
        <v/>
      </c>
      <c r="DL888">
        <f>IF(DB888="","",IF(AND(COUNTIF($DA$2:$DA$47,DB888)=0,COUNTIF($DB$2:DB888,DB888)=1),887,""))</f>
        <v/>
      </c>
    </row>
    <row r="889">
      <c r="A889" s="74" t="n"/>
      <c r="B889" s="75" t="n"/>
      <c r="C889" s="76" t="n"/>
      <c r="DB889">
        <f>IF('История отказов'!AH892="","",'История отказов'!AH892)</f>
        <v/>
      </c>
      <c r="DC889">
        <f>IF('История отказов'!AE892="","",IF(AND(COUNTIF($CT$2:$CT$2,'История отказов'!AE892)=0,COUNTIFS('История отказов'!$F$5:F892,"ШГН",'История отказов'!$AE$5:AE892,'История отказов'!AE892)=1,'История отказов'!F892="ШГН"),888,""))</f>
        <v/>
      </c>
      <c r="DD889">
        <f>IF('История отказов'!AE892="","",IF(AND(COUNTIF($CU$2:$CU$3,'История отказов'!AE892)=0,COUNTIFS('История отказов'!$F$5:F892,"ЭЦН",'История отказов'!$AE$5:AE892,'История отказов'!AE892)=1,'История отказов'!F892="ЭЦН"),888,""))</f>
        <v/>
      </c>
      <c r="DE889">
        <f>IF('История отказов'!AE892="","",IF(AND(COUNTIF($CV$2:$CV$3,'История отказов'!AE892)=0,COUNTIFS('История отказов'!$F$5:F892,"ЭВН",'История отказов'!$AE$5:AE892,'История отказов'!AE892)=1,'История отказов'!F892="ЭВН"),888,""))</f>
        <v/>
      </c>
      <c r="DF889">
        <f>IF('История отказов'!AE892="","",IF(AND(COUNTIF($CX$2:$CX$2,'История отказов'!AE892)=0,COUNTIFS('История отказов'!$F$5:F892,"ШВН",'История отказов'!$AE$5:AE892,'История отказов'!AE892)=1,'История отказов'!F892="ШВН"),888,""))</f>
        <v/>
      </c>
      <c r="DG889">
        <f>IF('История отказов'!AE892="","",IF(AND(COUNTIF($CW$2:$CW$2,'История отказов'!AE892)=0,COUNTIFS('История отказов'!$F$5:F892,"НПУ-ВД",'История отказов'!$AE$5:AE892,'История отказов'!AE892)=1,'История отказов'!F892="НПУ-ВД"),888,""))</f>
        <v/>
      </c>
      <c r="DH889">
        <f>IF('История отказов'!AE892="","",IF(AND(COUNTIF($CY$2:$CY$6,'История отказов'!AE892)=0,COUNTIF('История отказов'!$AE$5:AE892,'История отказов'!AE892)=1),888,""))</f>
        <v/>
      </c>
      <c r="DI889">
        <f>IF('История отказов'!AK892="","",IF(AND(COUNTIF($CL$2:$CL$3,'История отказов'!AK892)=0,COUNTIF('История отказов'!$AK$5:AK892,'История отказов'!AK892)=1),888,""))</f>
        <v/>
      </c>
      <c r="DJ889">
        <f>IF('История отказов'!AU892="","",IF(AND(COUNTIF($CP$2:$CP$3,'История отказов'!AU892)=0,COUNTIF('История отказов'!$AU$5:AU892,'История отказов'!AU892)=1),888,""))</f>
        <v/>
      </c>
      <c r="DK889">
        <f>IF('История отказов'!AY892="","",IF(AND(COUNTIF($CR$2:$CR$2,'История отказов'!AY892)=0,COUNTIF('История отказов'!$AY$5:AY892,'История отказов'!AY892)=1),888,""))</f>
        <v/>
      </c>
      <c r="DL889">
        <f>IF(DB889="","",IF(AND(COUNTIF($DA$2:$DA$47,DB889)=0,COUNTIF($DB$2:DB889,DB889)=1),888,""))</f>
        <v/>
      </c>
    </row>
    <row r="890">
      <c r="A890" s="74" t="n"/>
      <c r="B890" s="75" t="n"/>
      <c r="C890" s="76" t="n"/>
      <c r="DB890">
        <f>IF('История отказов'!AH893="","",'История отказов'!AH893)</f>
        <v/>
      </c>
      <c r="DC890">
        <f>IF('История отказов'!AE893="","",IF(AND(COUNTIF($CT$2:$CT$2,'История отказов'!AE893)=0,COUNTIFS('История отказов'!$F$5:F893,"ШГН",'История отказов'!$AE$5:AE893,'История отказов'!AE893)=1,'История отказов'!F893="ШГН"),889,""))</f>
        <v/>
      </c>
      <c r="DD890">
        <f>IF('История отказов'!AE893="","",IF(AND(COUNTIF($CU$2:$CU$3,'История отказов'!AE893)=0,COUNTIFS('История отказов'!$F$5:F893,"ЭЦН",'История отказов'!$AE$5:AE893,'История отказов'!AE893)=1,'История отказов'!F893="ЭЦН"),889,""))</f>
        <v/>
      </c>
      <c r="DE890">
        <f>IF('История отказов'!AE893="","",IF(AND(COUNTIF($CV$2:$CV$3,'История отказов'!AE893)=0,COUNTIFS('История отказов'!$F$5:F893,"ЭВН",'История отказов'!$AE$5:AE893,'История отказов'!AE893)=1,'История отказов'!F893="ЭВН"),889,""))</f>
        <v/>
      </c>
      <c r="DF890">
        <f>IF('История отказов'!AE893="","",IF(AND(COUNTIF($CX$2:$CX$2,'История отказов'!AE893)=0,COUNTIFS('История отказов'!$F$5:F893,"ШВН",'История отказов'!$AE$5:AE893,'История отказов'!AE893)=1,'История отказов'!F893="ШВН"),889,""))</f>
        <v/>
      </c>
      <c r="DG890">
        <f>IF('История отказов'!AE893="","",IF(AND(COUNTIF($CW$2:$CW$2,'История отказов'!AE893)=0,COUNTIFS('История отказов'!$F$5:F893,"НПУ-ВД",'История отказов'!$AE$5:AE893,'История отказов'!AE893)=1,'История отказов'!F893="НПУ-ВД"),889,""))</f>
        <v/>
      </c>
      <c r="DH890">
        <f>IF('История отказов'!AE893="","",IF(AND(COUNTIF($CY$2:$CY$6,'История отказов'!AE893)=0,COUNTIF('История отказов'!$AE$5:AE893,'История отказов'!AE893)=1),889,""))</f>
        <v/>
      </c>
      <c r="DI890">
        <f>IF('История отказов'!AK893="","",IF(AND(COUNTIF($CL$2:$CL$3,'История отказов'!AK893)=0,COUNTIF('История отказов'!$AK$5:AK893,'История отказов'!AK893)=1),889,""))</f>
        <v/>
      </c>
      <c r="DJ890">
        <f>IF('История отказов'!AU893="","",IF(AND(COUNTIF($CP$2:$CP$3,'История отказов'!AU893)=0,COUNTIF('История отказов'!$AU$5:AU893,'История отказов'!AU893)=1),889,""))</f>
        <v/>
      </c>
      <c r="DK890">
        <f>IF('История отказов'!AY893="","",IF(AND(COUNTIF($CR$2:$CR$2,'История отказов'!AY893)=0,COUNTIF('История отказов'!$AY$5:AY893,'История отказов'!AY893)=1),889,""))</f>
        <v/>
      </c>
      <c r="DL890">
        <f>IF(DB890="","",IF(AND(COUNTIF($DA$2:$DA$47,DB890)=0,COUNTIF($DB$2:DB890,DB890)=1),889,""))</f>
        <v/>
      </c>
    </row>
    <row r="891">
      <c r="A891" s="74" t="n"/>
      <c r="B891" s="75" t="n"/>
      <c r="C891" s="76" t="n"/>
      <c r="DB891">
        <f>IF('История отказов'!AH894="","",'История отказов'!AH894)</f>
        <v/>
      </c>
      <c r="DC891">
        <f>IF('История отказов'!AE894="","",IF(AND(COUNTIF($CT$2:$CT$2,'История отказов'!AE894)=0,COUNTIFS('История отказов'!$F$5:F894,"ШГН",'История отказов'!$AE$5:AE894,'История отказов'!AE894)=1,'История отказов'!F894="ШГН"),890,""))</f>
        <v/>
      </c>
      <c r="DD891">
        <f>IF('История отказов'!AE894="","",IF(AND(COUNTIF($CU$2:$CU$3,'История отказов'!AE894)=0,COUNTIFS('История отказов'!$F$5:F894,"ЭЦН",'История отказов'!$AE$5:AE894,'История отказов'!AE894)=1,'История отказов'!F894="ЭЦН"),890,""))</f>
        <v/>
      </c>
      <c r="DE891">
        <f>IF('История отказов'!AE894="","",IF(AND(COUNTIF($CV$2:$CV$3,'История отказов'!AE894)=0,COUNTIFS('История отказов'!$F$5:F894,"ЭВН",'История отказов'!$AE$5:AE894,'История отказов'!AE894)=1,'История отказов'!F894="ЭВН"),890,""))</f>
        <v/>
      </c>
      <c r="DF891">
        <f>IF('История отказов'!AE894="","",IF(AND(COUNTIF($CX$2:$CX$2,'История отказов'!AE894)=0,COUNTIFS('История отказов'!$F$5:F894,"ШВН",'История отказов'!$AE$5:AE894,'История отказов'!AE894)=1,'История отказов'!F894="ШВН"),890,""))</f>
        <v/>
      </c>
      <c r="DG891">
        <f>IF('История отказов'!AE894="","",IF(AND(COUNTIF($CW$2:$CW$2,'История отказов'!AE894)=0,COUNTIFS('История отказов'!$F$5:F894,"НПУ-ВД",'История отказов'!$AE$5:AE894,'История отказов'!AE894)=1,'История отказов'!F894="НПУ-ВД"),890,""))</f>
        <v/>
      </c>
      <c r="DH891">
        <f>IF('История отказов'!AE894="","",IF(AND(COUNTIF($CY$2:$CY$6,'История отказов'!AE894)=0,COUNTIF('История отказов'!$AE$5:AE894,'История отказов'!AE894)=1),890,""))</f>
        <v/>
      </c>
      <c r="DI891">
        <f>IF('История отказов'!AK894="","",IF(AND(COUNTIF($CL$2:$CL$3,'История отказов'!AK894)=0,COUNTIF('История отказов'!$AK$5:AK894,'История отказов'!AK894)=1),890,""))</f>
        <v/>
      </c>
      <c r="DJ891">
        <f>IF('История отказов'!AU894="","",IF(AND(COUNTIF($CP$2:$CP$3,'История отказов'!AU894)=0,COUNTIF('История отказов'!$AU$5:AU894,'История отказов'!AU894)=1),890,""))</f>
        <v/>
      </c>
      <c r="DK891">
        <f>IF('История отказов'!AY894="","",IF(AND(COUNTIF($CR$2:$CR$2,'История отказов'!AY894)=0,COUNTIF('История отказов'!$AY$5:AY894,'История отказов'!AY894)=1),890,""))</f>
        <v/>
      </c>
      <c r="DL891">
        <f>IF(DB891="","",IF(AND(COUNTIF($DA$2:$DA$47,DB891)=0,COUNTIF($DB$2:DB891,DB891)=1),890,""))</f>
        <v/>
      </c>
    </row>
    <row r="892">
      <c r="A892" s="74" t="n"/>
      <c r="B892" s="75" t="n"/>
      <c r="C892" s="76" t="n"/>
      <c r="DB892">
        <f>IF('История отказов'!AH895="","",'История отказов'!AH895)</f>
        <v/>
      </c>
      <c r="DC892">
        <f>IF('История отказов'!AE895="","",IF(AND(COUNTIF($CT$2:$CT$2,'История отказов'!AE895)=0,COUNTIFS('История отказов'!$F$5:F895,"ШГН",'История отказов'!$AE$5:AE895,'История отказов'!AE895)=1,'История отказов'!F895="ШГН"),891,""))</f>
        <v/>
      </c>
      <c r="DD892">
        <f>IF('История отказов'!AE895="","",IF(AND(COUNTIF($CU$2:$CU$3,'История отказов'!AE895)=0,COUNTIFS('История отказов'!$F$5:F895,"ЭЦН",'История отказов'!$AE$5:AE895,'История отказов'!AE895)=1,'История отказов'!F895="ЭЦН"),891,""))</f>
        <v/>
      </c>
      <c r="DE892">
        <f>IF('История отказов'!AE895="","",IF(AND(COUNTIF($CV$2:$CV$3,'История отказов'!AE895)=0,COUNTIFS('История отказов'!$F$5:F895,"ЭВН",'История отказов'!$AE$5:AE895,'История отказов'!AE895)=1,'История отказов'!F895="ЭВН"),891,""))</f>
        <v/>
      </c>
      <c r="DF892">
        <f>IF('История отказов'!AE895="","",IF(AND(COUNTIF($CX$2:$CX$2,'История отказов'!AE895)=0,COUNTIFS('История отказов'!$F$5:F895,"ШВН",'История отказов'!$AE$5:AE895,'История отказов'!AE895)=1,'История отказов'!F895="ШВН"),891,""))</f>
        <v/>
      </c>
      <c r="DG892">
        <f>IF('История отказов'!AE895="","",IF(AND(COUNTIF($CW$2:$CW$2,'История отказов'!AE895)=0,COUNTIFS('История отказов'!$F$5:F895,"НПУ-ВД",'История отказов'!$AE$5:AE895,'История отказов'!AE895)=1,'История отказов'!F895="НПУ-ВД"),891,""))</f>
        <v/>
      </c>
      <c r="DH892">
        <f>IF('История отказов'!AE895="","",IF(AND(COUNTIF($CY$2:$CY$6,'История отказов'!AE895)=0,COUNTIF('История отказов'!$AE$5:AE895,'История отказов'!AE895)=1),891,""))</f>
        <v/>
      </c>
      <c r="DI892">
        <f>IF('История отказов'!AK895="","",IF(AND(COUNTIF($CL$2:$CL$3,'История отказов'!AK895)=0,COUNTIF('История отказов'!$AK$5:AK895,'История отказов'!AK895)=1),891,""))</f>
        <v/>
      </c>
      <c r="DJ892">
        <f>IF('История отказов'!AU895="","",IF(AND(COUNTIF($CP$2:$CP$3,'История отказов'!AU895)=0,COUNTIF('История отказов'!$AU$5:AU895,'История отказов'!AU895)=1),891,""))</f>
        <v/>
      </c>
      <c r="DK892">
        <f>IF('История отказов'!AY895="","",IF(AND(COUNTIF($CR$2:$CR$2,'История отказов'!AY895)=0,COUNTIF('История отказов'!$AY$5:AY895,'История отказов'!AY895)=1),891,""))</f>
        <v/>
      </c>
      <c r="DL892">
        <f>IF(DB892="","",IF(AND(COUNTIF($DA$2:$DA$47,DB892)=0,COUNTIF($DB$2:DB892,DB892)=1),891,""))</f>
        <v/>
      </c>
    </row>
    <row r="893">
      <c r="A893" s="74" t="n"/>
      <c r="B893" s="75" t="n"/>
      <c r="C893" s="76" t="n"/>
      <c r="DB893">
        <f>IF('История отказов'!AH896="","",'История отказов'!AH896)</f>
        <v/>
      </c>
      <c r="DC893">
        <f>IF('История отказов'!AE896="","",IF(AND(COUNTIF($CT$2:$CT$2,'История отказов'!AE896)=0,COUNTIFS('История отказов'!$F$5:F896,"ШГН",'История отказов'!$AE$5:AE896,'История отказов'!AE896)=1,'История отказов'!F896="ШГН"),892,""))</f>
        <v/>
      </c>
      <c r="DD893">
        <f>IF('История отказов'!AE896="","",IF(AND(COUNTIF($CU$2:$CU$3,'История отказов'!AE896)=0,COUNTIFS('История отказов'!$F$5:F896,"ЭЦН",'История отказов'!$AE$5:AE896,'История отказов'!AE896)=1,'История отказов'!F896="ЭЦН"),892,""))</f>
        <v/>
      </c>
      <c r="DE893">
        <f>IF('История отказов'!AE896="","",IF(AND(COUNTIF($CV$2:$CV$3,'История отказов'!AE896)=0,COUNTIFS('История отказов'!$F$5:F896,"ЭВН",'История отказов'!$AE$5:AE896,'История отказов'!AE896)=1,'История отказов'!F896="ЭВН"),892,""))</f>
        <v/>
      </c>
      <c r="DF893">
        <f>IF('История отказов'!AE896="","",IF(AND(COUNTIF($CX$2:$CX$2,'История отказов'!AE896)=0,COUNTIFS('История отказов'!$F$5:F896,"ШВН",'История отказов'!$AE$5:AE896,'История отказов'!AE896)=1,'История отказов'!F896="ШВН"),892,""))</f>
        <v/>
      </c>
      <c r="DG893">
        <f>IF('История отказов'!AE896="","",IF(AND(COUNTIF($CW$2:$CW$2,'История отказов'!AE896)=0,COUNTIFS('История отказов'!$F$5:F896,"НПУ-ВД",'История отказов'!$AE$5:AE896,'История отказов'!AE896)=1,'История отказов'!F896="НПУ-ВД"),892,""))</f>
        <v/>
      </c>
      <c r="DH893">
        <f>IF('История отказов'!AE896="","",IF(AND(COUNTIF($CY$2:$CY$6,'История отказов'!AE896)=0,COUNTIF('История отказов'!$AE$5:AE896,'История отказов'!AE896)=1),892,""))</f>
        <v/>
      </c>
      <c r="DI893">
        <f>IF('История отказов'!AK896="","",IF(AND(COUNTIF($CL$2:$CL$3,'История отказов'!AK896)=0,COUNTIF('История отказов'!$AK$5:AK896,'История отказов'!AK896)=1),892,""))</f>
        <v/>
      </c>
      <c r="DJ893">
        <f>IF('История отказов'!AU896="","",IF(AND(COUNTIF($CP$2:$CP$3,'История отказов'!AU896)=0,COUNTIF('История отказов'!$AU$5:AU896,'История отказов'!AU896)=1),892,""))</f>
        <v/>
      </c>
      <c r="DK893">
        <f>IF('История отказов'!AY896="","",IF(AND(COUNTIF($CR$2:$CR$2,'История отказов'!AY896)=0,COUNTIF('История отказов'!$AY$5:AY896,'История отказов'!AY896)=1),892,""))</f>
        <v/>
      </c>
      <c r="DL893">
        <f>IF(DB893="","",IF(AND(COUNTIF($DA$2:$DA$47,DB893)=0,COUNTIF($DB$2:DB893,DB893)=1),892,""))</f>
        <v/>
      </c>
    </row>
    <row r="894">
      <c r="A894" s="74" t="n"/>
      <c r="B894" s="75" t="n"/>
      <c r="C894" s="76" t="n"/>
      <c r="DB894">
        <f>IF('История отказов'!AH897="","",'История отказов'!AH897)</f>
        <v/>
      </c>
      <c r="DC894">
        <f>IF('История отказов'!AE897="","",IF(AND(COUNTIF($CT$2:$CT$2,'История отказов'!AE897)=0,COUNTIFS('История отказов'!$F$5:F897,"ШГН",'История отказов'!$AE$5:AE897,'История отказов'!AE897)=1,'История отказов'!F897="ШГН"),893,""))</f>
        <v/>
      </c>
      <c r="DD894">
        <f>IF('История отказов'!AE897="","",IF(AND(COUNTIF($CU$2:$CU$3,'История отказов'!AE897)=0,COUNTIFS('История отказов'!$F$5:F897,"ЭЦН",'История отказов'!$AE$5:AE897,'История отказов'!AE897)=1,'История отказов'!F897="ЭЦН"),893,""))</f>
        <v/>
      </c>
      <c r="DE894">
        <f>IF('История отказов'!AE897="","",IF(AND(COUNTIF($CV$2:$CV$3,'История отказов'!AE897)=0,COUNTIFS('История отказов'!$F$5:F897,"ЭВН",'История отказов'!$AE$5:AE897,'История отказов'!AE897)=1,'История отказов'!F897="ЭВН"),893,""))</f>
        <v/>
      </c>
      <c r="DF894">
        <f>IF('История отказов'!AE897="","",IF(AND(COUNTIF($CX$2:$CX$2,'История отказов'!AE897)=0,COUNTIFS('История отказов'!$F$5:F897,"ШВН",'История отказов'!$AE$5:AE897,'История отказов'!AE897)=1,'История отказов'!F897="ШВН"),893,""))</f>
        <v/>
      </c>
      <c r="DG894">
        <f>IF('История отказов'!AE897="","",IF(AND(COUNTIF($CW$2:$CW$2,'История отказов'!AE897)=0,COUNTIFS('История отказов'!$F$5:F897,"НПУ-ВД",'История отказов'!$AE$5:AE897,'История отказов'!AE897)=1,'История отказов'!F897="НПУ-ВД"),893,""))</f>
        <v/>
      </c>
      <c r="DH894">
        <f>IF('История отказов'!AE897="","",IF(AND(COUNTIF($CY$2:$CY$6,'История отказов'!AE897)=0,COUNTIF('История отказов'!$AE$5:AE897,'История отказов'!AE897)=1),893,""))</f>
        <v/>
      </c>
      <c r="DI894">
        <f>IF('История отказов'!AK897="","",IF(AND(COUNTIF($CL$2:$CL$3,'История отказов'!AK897)=0,COUNTIF('История отказов'!$AK$5:AK897,'История отказов'!AK897)=1),893,""))</f>
        <v/>
      </c>
      <c r="DJ894">
        <f>IF('История отказов'!AU897="","",IF(AND(COUNTIF($CP$2:$CP$3,'История отказов'!AU897)=0,COUNTIF('История отказов'!$AU$5:AU897,'История отказов'!AU897)=1),893,""))</f>
        <v/>
      </c>
      <c r="DK894">
        <f>IF('История отказов'!AY897="","",IF(AND(COUNTIF($CR$2:$CR$2,'История отказов'!AY897)=0,COUNTIF('История отказов'!$AY$5:AY897,'История отказов'!AY897)=1),893,""))</f>
        <v/>
      </c>
      <c r="DL894">
        <f>IF(DB894="","",IF(AND(COUNTIF($DA$2:$DA$47,DB894)=0,COUNTIF($DB$2:DB894,DB894)=1),893,""))</f>
        <v/>
      </c>
    </row>
    <row r="895">
      <c r="A895" s="74" t="n"/>
      <c r="B895" s="75" t="n"/>
      <c r="C895" s="76" t="n"/>
      <c r="DB895">
        <f>IF('История отказов'!AH898="","",'История отказов'!AH898)</f>
        <v/>
      </c>
      <c r="DC895">
        <f>IF('История отказов'!AE898="","",IF(AND(COUNTIF($CT$2:$CT$2,'История отказов'!AE898)=0,COUNTIFS('История отказов'!$F$5:F898,"ШГН",'История отказов'!$AE$5:AE898,'История отказов'!AE898)=1,'История отказов'!F898="ШГН"),894,""))</f>
        <v/>
      </c>
      <c r="DD895">
        <f>IF('История отказов'!AE898="","",IF(AND(COUNTIF($CU$2:$CU$3,'История отказов'!AE898)=0,COUNTIFS('История отказов'!$F$5:F898,"ЭЦН",'История отказов'!$AE$5:AE898,'История отказов'!AE898)=1,'История отказов'!F898="ЭЦН"),894,""))</f>
        <v/>
      </c>
      <c r="DE895">
        <f>IF('История отказов'!AE898="","",IF(AND(COUNTIF($CV$2:$CV$3,'История отказов'!AE898)=0,COUNTIFS('История отказов'!$F$5:F898,"ЭВН",'История отказов'!$AE$5:AE898,'История отказов'!AE898)=1,'История отказов'!F898="ЭВН"),894,""))</f>
        <v/>
      </c>
      <c r="DF895">
        <f>IF('История отказов'!AE898="","",IF(AND(COUNTIF($CX$2:$CX$2,'История отказов'!AE898)=0,COUNTIFS('История отказов'!$F$5:F898,"ШВН",'История отказов'!$AE$5:AE898,'История отказов'!AE898)=1,'История отказов'!F898="ШВН"),894,""))</f>
        <v/>
      </c>
      <c r="DG895">
        <f>IF('История отказов'!AE898="","",IF(AND(COUNTIF($CW$2:$CW$2,'История отказов'!AE898)=0,COUNTIFS('История отказов'!$F$5:F898,"НПУ-ВД",'История отказов'!$AE$5:AE898,'История отказов'!AE898)=1,'История отказов'!F898="НПУ-ВД"),894,""))</f>
        <v/>
      </c>
      <c r="DH895">
        <f>IF('История отказов'!AE898="","",IF(AND(COUNTIF($CY$2:$CY$6,'История отказов'!AE898)=0,COUNTIF('История отказов'!$AE$5:AE898,'История отказов'!AE898)=1),894,""))</f>
        <v/>
      </c>
      <c r="DI895">
        <f>IF('История отказов'!AK898="","",IF(AND(COUNTIF($CL$2:$CL$3,'История отказов'!AK898)=0,COUNTIF('История отказов'!$AK$5:AK898,'История отказов'!AK898)=1),894,""))</f>
        <v/>
      </c>
      <c r="DJ895">
        <f>IF('История отказов'!AU898="","",IF(AND(COUNTIF($CP$2:$CP$3,'История отказов'!AU898)=0,COUNTIF('История отказов'!$AU$5:AU898,'История отказов'!AU898)=1),894,""))</f>
        <v/>
      </c>
      <c r="DK895">
        <f>IF('История отказов'!AY898="","",IF(AND(COUNTIF($CR$2:$CR$2,'История отказов'!AY898)=0,COUNTIF('История отказов'!$AY$5:AY898,'История отказов'!AY898)=1),894,""))</f>
        <v/>
      </c>
      <c r="DL895">
        <f>IF(DB895="","",IF(AND(COUNTIF($DA$2:$DA$47,DB895)=0,COUNTIF($DB$2:DB895,DB895)=1),894,""))</f>
        <v/>
      </c>
    </row>
    <row r="896">
      <c r="A896" s="74" t="n"/>
      <c r="B896" s="75" t="n"/>
      <c r="C896" s="76" t="n"/>
      <c r="DB896">
        <f>IF('История отказов'!AH899="","",'История отказов'!AH899)</f>
        <v/>
      </c>
      <c r="DC896">
        <f>IF('История отказов'!AE899="","",IF(AND(COUNTIF($CT$2:$CT$2,'История отказов'!AE899)=0,COUNTIFS('История отказов'!$F$5:F899,"ШГН",'История отказов'!$AE$5:AE899,'История отказов'!AE899)=1,'История отказов'!F899="ШГН"),895,""))</f>
        <v/>
      </c>
      <c r="DD896">
        <f>IF('История отказов'!AE899="","",IF(AND(COUNTIF($CU$2:$CU$3,'История отказов'!AE899)=0,COUNTIFS('История отказов'!$F$5:F899,"ЭЦН",'История отказов'!$AE$5:AE899,'История отказов'!AE899)=1,'История отказов'!F899="ЭЦН"),895,""))</f>
        <v/>
      </c>
      <c r="DE896">
        <f>IF('История отказов'!AE899="","",IF(AND(COUNTIF($CV$2:$CV$3,'История отказов'!AE899)=0,COUNTIFS('История отказов'!$F$5:F899,"ЭВН",'История отказов'!$AE$5:AE899,'История отказов'!AE899)=1,'История отказов'!F899="ЭВН"),895,""))</f>
        <v/>
      </c>
      <c r="DF896">
        <f>IF('История отказов'!AE899="","",IF(AND(COUNTIF($CX$2:$CX$2,'История отказов'!AE899)=0,COUNTIFS('История отказов'!$F$5:F899,"ШВН",'История отказов'!$AE$5:AE899,'История отказов'!AE899)=1,'История отказов'!F899="ШВН"),895,""))</f>
        <v/>
      </c>
      <c r="DG896">
        <f>IF('История отказов'!AE899="","",IF(AND(COUNTIF($CW$2:$CW$2,'История отказов'!AE899)=0,COUNTIFS('История отказов'!$F$5:F899,"НПУ-ВД",'История отказов'!$AE$5:AE899,'История отказов'!AE899)=1,'История отказов'!F899="НПУ-ВД"),895,""))</f>
        <v/>
      </c>
      <c r="DH896">
        <f>IF('История отказов'!AE899="","",IF(AND(COUNTIF($CY$2:$CY$6,'История отказов'!AE899)=0,COUNTIF('История отказов'!$AE$5:AE899,'История отказов'!AE899)=1),895,""))</f>
        <v/>
      </c>
      <c r="DI896">
        <f>IF('История отказов'!AK899="","",IF(AND(COUNTIF($CL$2:$CL$3,'История отказов'!AK899)=0,COUNTIF('История отказов'!$AK$5:AK899,'История отказов'!AK899)=1),895,""))</f>
        <v/>
      </c>
      <c r="DJ896">
        <f>IF('История отказов'!AU899="","",IF(AND(COUNTIF($CP$2:$CP$3,'История отказов'!AU899)=0,COUNTIF('История отказов'!$AU$5:AU899,'История отказов'!AU899)=1),895,""))</f>
        <v/>
      </c>
      <c r="DK896">
        <f>IF('История отказов'!AY899="","",IF(AND(COUNTIF($CR$2:$CR$2,'История отказов'!AY899)=0,COUNTIF('История отказов'!$AY$5:AY899,'История отказов'!AY899)=1),895,""))</f>
        <v/>
      </c>
      <c r="DL896">
        <f>IF(DB896="","",IF(AND(COUNTIF($DA$2:$DA$47,DB896)=0,COUNTIF($DB$2:DB896,DB896)=1),895,""))</f>
        <v/>
      </c>
    </row>
    <row r="897">
      <c r="A897" s="74" t="n"/>
      <c r="B897" s="75" t="n"/>
      <c r="C897" s="76" t="n"/>
      <c r="DB897">
        <f>IF('История отказов'!AH900="","",'История отказов'!AH900)</f>
        <v/>
      </c>
      <c r="DC897">
        <f>IF('История отказов'!AE900="","",IF(AND(COUNTIF($CT$2:$CT$2,'История отказов'!AE900)=0,COUNTIFS('История отказов'!$F$5:F900,"ШГН",'История отказов'!$AE$5:AE900,'История отказов'!AE900)=1,'История отказов'!F900="ШГН"),896,""))</f>
        <v/>
      </c>
      <c r="DD897">
        <f>IF('История отказов'!AE900="","",IF(AND(COUNTIF($CU$2:$CU$3,'История отказов'!AE900)=0,COUNTIFS('История отказов'!$F$5:F900,"ЭЦН",'История отказов'!$AE$5:AE900,'История отказов'!AE900)=1,'История отказов'!F900="ЭЦН"),896,""))</f>
        <v/>
      </c>
      <c r="DE897">
        <f>IF('История отказов'!AE900="","",IF(AND(COUNTIF($CV$2:$CV$3,'История отказов'!AE900)=0,COUNTIFS('История отказов'!$F$5:F900,"ЭВН",'История отказов'!$AE$5:AE900,'История отказов'!AE900)=1,'История отказов'!F900="ЭВН"),896,""))</f>
        <v/>
      </c>
      <c r="DF897">
        <f>IF('История отказов'!AE900="","",IF(AND(COUNTIF($CX$2:$CX$2,'История отказов'!AE900)=0,COUNTIFS('История отказов'!$F$5:F900,"ШВН",'История отказов'!$AE$5:AE900,'История отказов'!AE900)=1,'История отказов'!F900="ШВН"),896,""))</f>
        <v/>
      </c>
      <c r="DG897">
        <f>IF('История отказов'!AE900="","",IF(AND(COUNTIF($CW$2:$CW$2,'История отказов'!AE900)=0,COUNTIFS('История отказов'!$F$5:F900,"НПУ-ВД",'История отказов'!$AE$5:AE900,'История отказов'!AE900)=1,'История отказов'!F900="НПУ-ВД"),896,""))</f>
        <v/>
      </c>
      <c r="DH897">
        <f>IF('История отказов'!AE900="","",IF(AND(COUNTIF($CY$2:$CY$6,'История отказов'!AE900)=0,COUNTIF('История отказов'!$AE$5:AE900,'История отказов'!AE900)=1),896,""))</f>
        <v/>
      </c>
      <c r="DI897">
        <f>IF('История отказов'!AK900="","",IF(AND(COUNTIF($CL$2:$CL$3,'История отказов'!AK900)=0,COUNTIF('История отказов'!$AK$5:AK900,'История отказов'!AK900)=1),896,""))</f>
        <v/>
      </c>
      <c r="DJ897">
        <f>IF('История отказов'!AU900="","",IF(AND(COUNTIF($CP$2:$CP$3,'История отказов'!AU900)=0,COUNTIF('История отказов'!$AU$5:AU900,'История отказов'!AU900)=1),896,""))</f>
        <v/>
      </c>
      <c r="DK897">
        <f>IF('История отказов'!AY900="","",IF(AND(COUNTIF($CR$2:$CR$2,'История отказов'!AY900)=0,COUNTIF('История отказов'!$AY$5:AY900,'История отказов'!AY900)=1),896,""))</f>
        <v/>
      </c>
      <c r="DL897">
        <f>IF(DB897="","",IF(AND(COUNTIF($DA$2:$DA$47,DB897)=0,COUNTIF($DB$2:DB897,DB897)=1),896,""))</f>
        <v/>
      </c>
    </row>
    <row r="898">
      <c r="A898" s="74" t="n"/>
      <c r="B898" s="75" t="n"/>
      <c r="C898" s="76" t="n"/>
      <c r="DB898">
        <f>IF('История отказов'!AH901="","",'История отказов'!AH901)</f>
        <v/>
      </c>
      <c r="DC898">
        <f>IF('История отказов'!AE901="","",IF(AND(COUNTIF($CT$2:$CT$2,'История отказов'!AE901)=0,COUNTIFS('История отказов'!$F$5:F901,"ШГН",'История отказов'!$AE$5:AE901,'История отказов'!AE901)=1,'История отказов'!F901="ШГН"),897,""))</f>
        <v/>
      </c>
      <c r="DD898">
        <f>IF('История отказов'!AE901="","",IF(AND(COUNTIF($CU$2:$CU$3,'История отказов'!AE901)=0,COUNTIFS('История отказов'!$F$5:F901,"ЭЦН",'История отказов'!$AE$5:AE901,'История отказов'!AE901)=1,'История отказов'!F901="ЭЦН"),897,""))</f>
        <v/>
      </c>
      <c r="DE898">
        <f>IF('История отказов'!AE901="","",IF(AND(COUNTIF($CV$2:$CV$3,'История отказов'!AE901)=0,COUNTIFS('История отказов'!$F$5:F901,"ЭВН",'История отказов'!$AE$5:AE901,'История отказов'!AE901)=1,'История отказов'!F901="ЭВН"),897,""))</f>
        <v/>
      </c>
      <c r="DF898">
        <f>IF('История отказов'!AE901="","",IF(AND(COUNTIF($CX$2:$CX$2,'История отказов'!AE901)=0,COUNTIFS('История отказов'!$F$5:F901,"ШВН",'История отказов'!$AE$5:AE901,'История отказов'!AE901)=1,'История отказов'!F901="ШВН"),897,""))</f>
        <v/>
      </c>
      <c r="DG898">
        <f>IF('История отказов'!AE901="","",IF(AND(COUNTIF($CW$2:$CW$2,'История отказов'!AE901)=0,COUNTIFS('История отказов'!$F$5:F901,"НПУ-ВД",'История отказов'!$AE$5:AE901,'История отказов'!AE901)=1,'История отказов'!F901="НПУ-ВД"),897,""))</f>
        <v/>
      </c>
      <c r="DH898">
        <f>IF('История отказов'!AE901="","",IF(AND(COUNTIF($CY$2:$CY$6,'История отказов'!AE901)=0,COUNTIF('История отказов'!$AE$5:AE901,'История отказов'!AE901)=1),897,""))</f>
        <v/>
      </c>
      <c r="DI898">
        <f>IF('История отказов'!AK901="","",IF(AND(COUNTIF($CL$2:$CL$3,'История отказов'!AK901)=0,COUNTIF('История отказов'!$AK$5:AK901,'История отказов'!AK901)=1),897,""))</f>
        <v/>
      </c>
      <c r="DJ898">
        <f>IF('История отказов'!AU901="","",IF(AND(COUNTIF($CP$2:$CP$3,'История отказов'!AU901)=0,COUNTIF('История отказов'!$AU$5:AU901,'История отказов'!AU901)=1),897,""))</f>
        <v/>
      </c>
      <c r="DK898">
        <f>IF('История отказов'!AY901="","",IF(AND(COUNTIF($CR$2:$CR$2,'История отказов'!AY901)=0,COUNTIF('История отказов'!$AY$5:AY901,'История отказов'!AY901)=1),897,""))</f>
        <v/>
      </c>
      <c r="DL898">
        <f>IF(DB898="","",IF(AND(COUNTIF($DA$2:$DA$47,DB898)=0,COUNTIF($DB$2:DB898,DB898)=1),897,""))</f>
        <v/>
      </c>
    </row>
    <row r="899">
      <c r="A899" s="74" t="n"/>
      <c r="B899" s="75" t="n"/>
      <c r="C899" s="76" t="n"/>
      <c r="DB899">
        <f>IF('История отказов'!AH902="","",'История отказов'!AH902)</f>
        <v/>
      </c>
      <c r="DC899">
        <f>IF('История отказов'!AE902="","",IF(AND(COUNTIF($CT$2:$CT$2,'История отказов'!AE902)=0,COUNTIFS('История отказов'!$F$5:F902,"ШГН",'История отказов'!$AE$5:AE902,'История отказов'!AE902)=1,'История отказов'!F902="ШГН"),898,""))</f>
        <v/>
      </c>
      <c r="DD899">
        <f>IF('История отказов'!AE902="","",IF(AND(COUNTIF($CU$2:$CU$3,'История отказов'!AE902)=0,COUNTIFS('История отказов'!$F$5:F902,"ЭЦН",'История отказов'!$AE$5:AE902,'История отказов'!AE902)=1,'История отказов'!F902="ЭЦН"),898,""))</f>
        <v/>
      </c>
      <c r="DE899">
        <f>IF('История отказов'!AE902="","",IF(AND(COUNTIF($CV$2:$CV$3,'История отказов'!AE902)=0,COUNTIFS('История отказов'!$F$5:F902,"ЭВН",'История отказов'!$AE$5:AE902,'История отказов'!AE902)=1,'История отказов'!F902="ЭВН"),898,""))</f>
        <v/>
      </c>
      <c r="DF899">
        <f>IF('История отказов'!AE902="","",IF(AND(COUNTIF($CX$2:$CX$2,'История отказов'!AE902)=0,COUNTIFS('История отказов'!$F$5:F902,"ШВН",'История отказов'!$AE$5:AE902,'История отказов'!AE902)=1,'История отказов'!F902="ШВН"),898,""))</f>
        <v/>
      </c>
      <c r="DG899">
        <f>IF('История отказов'!AE902="","",IF(AND(COUNTIF($CW$2:$CW$2,'История отказов'!AE902)=0,COUNTIFS('История отказов'!$F$5:F902,"НПУ-ВД",'История отказов'!$AE$5:AE902,'История отказов'!AE902)=1,'История отказов'!F902="НПУ-ВД"),898,""))</f>
        <v/>
      </c>
      <c r="DH899">
        <f>IF('История отказов'!AE902="","",IF(AND(COUNTIF($CY$2:$CY$6,'История отказов'!AE902)=0,COUNTIF('История отказов'!$AE$5:AE902,'История отказов'!AE902)=1),898,""))</f>
        <v/>
      </c>
      <c r="DI899">
        <f>IF('История отказов'!AK902="","",IF(AND(COUNTIF($CL$2:$CL$3,'История отказов'!AK902)=0,COUNTIF('История отказов'!$AK$5:AK902,'История отказов'!AK902)=1),898,""))</f>
        <v/>
      </c>
      <c r="DJ899">
        <f>IF('История отказов'!AU902="","",IF(AND(COUNTIF($CP$2:$CP$3,'История отказов'!AU902)=0,COUNTIF('История отказов'!$AU$5:AU902,'История отказов'!AU902)=1),898,""))</f>
        <v/>
      </c>
      <c r="DK899">
        <f>IF('История отказов'!AY902="","",IF(AND(COUNTIF($CR$2:$CR$2,'История отказов'!AY902)=0,COUNTIF('История отказов'!$AY$5:AY902,'История отказов'!AY902)=1),898,""))</f>
        <v/>
      </c>
      <c r="DL899">
        <f>IF(DB899="","",IF(AND(COUNTIF($DA$2:$DA$47,DB899)=0,COUNTIF($DB$2:DB899,DB899)=1),898,""))</f>
        <v/>
      </c>
    </row>
    <row r="900">
      <c r="A900" s="74" t="n"/>
      <c r="B900" s="75" t="n"/>
      <c r="C900" s="76" t="n"/>
      <c r="DB900">
        <f>IF('История отказов'!AH903="","",'История отказов'!AH903)</f>
        <v/>
      </c>
      <c r="DC900">
        <f>IF('История отказов'!AE903="","",IF(AND(COUNTIF($CT$2:$CT$2,'История отказов'!AE903)=0,COUNTIFS('История отказов'!$F$5:F903,"ШГН",'История отказов'!$AE$5:AE903,'История отказов'!AE903)=1,'История отказов'!F903="ШГН"),899,""))</f>
        <v/>
      </c>
      <c r="DD900">
        <f>IF('История отказов'!AE903="","",IF(AND(COUNTIF($CU$2:$CU$3,'История отказов'!AE903)=0,COUNTIFS('История отказов'!$F$5:F903,"ЭЦН",'История отказов'!$AE$5:AE903,'История отказов'!AE903)=1,'История отказов'!F903="ЭЦН"),899,""))</f>
        <v/>
      </c>
      <c r="DE900">
        <f>IF('История отказов'!AE903="","",IF(AND(COUNTIF($CV$2:$CV$3,'История отказов'!AE903)=0,COUNTIFS('История отказов'!$F$5:F903,"ЭВН",'История отказов'!$AE$5:AE903,'История отказов'!AE903)=1,'История отказов'!F903="ЭВН"),899,""))</f>
        <v/>
      </c>
      <c r="DF900">
        <f>IF('История отказов'!AE903="","",IF(AND(COUNTIF($CX$2:$CX$2,'История отказов'!AE903)=0,COUNTIFS('История отказов'!$F$5:F903,"ШВН",'История отказов'!$AE$5:AE903,'История отказов'!AE903)=1,'История отказов'!F903="ШВН"),899,""))</f>
        <v/>
      </c>
      <c r="DG900">
        <f>IF('История отказов'!AE903="","",IF(AND(COUNTIF($CW$2:$CW$2,'История отказов'!AE903)=0,COUNTIFS('История отказов'!$F$5:F903,"НПУ-ВД",'История отказов'!$AE$5:AE903,'История отказов'!AE903)=1,'История отказов'!F903="НПУ-ВД"),899,""))</f>
        <v/>
      </c>
      <c r="DH900">
        <f>IF('История отказов'!AE903="","",IF(AND(COUNTIF($CY$2:$CY$6,'История отказов'!AE903)=0,COUNTIF('История отказов'!$AE$5:AE903,'История отказов'!AE903)=1),899,""))</f>
        <v/>
      </c>
      <c r="DI900">
        <f>IF('История отказов'!AK903="","",IF(AND(COUNTIF($CL$2:$CL$3,'История отказов'!AK903)=0,COUNTIF('История отказов'!$AK$5:AK903,'История отказов'!AK903)=1),899,""))</f>
        <v/>
      </c>
      <c r="DJ900">
        <f>IF('История отказов'!AU903="","",IF(AND(COUNTIF($CP$2:$CP$3,'История отказов'!AU903)=0,COUNTIF('История отказов'!$AU$5:AU903,'История отказов'!AU903)=1),899,""))</f>
        <v/>
      </c>
      <c r="DK900">
        <f>IF('История отказов'!AY903="","",IF(AND(COUNTIF($CR$2:$CR$2,'История отказов'!AY903)=0,COUNTIF('История отказов'!$AY$5:AY903,'История отказов'!AY903)=1),899,""))</f>
        <v/>
      </c>
      <c r="DL900">
        <f>IF(DB900="","",IF(AND(COUNTIF($DA$2:$DA$47,DB900)=0,COUNTIF($DB$2:DB900,DB900)=1),899,""))</f>
        <v/>
      </c>
    </row>
    <row r="901">
      <c r="A901" s="74" t="n"/>
      <c r="B901" s="75" t="n"/>
      <c r="C901" s="76" t="n"/>
      <c r="DB901">
        <f>IF('История отказов'!AH904="","",'История отказов'!AH904)</f>
        <v/>
      </c>
      <c r="DC901">
        <f>IF('История отказов'!AE904="","",IF(AND(COUNTIF($CT$2:$CT$2,'История отказов'!AE904)=0,COUNTIFS('История отказов'!$F$5:F904,"ШГН",'История отказов'!$AE$5:AE904,'История отказов'!AE904)=1,'История отказов'!F904="ШГН"),900,""))</f>
        <v/>
      </c>
      <c r="DD901">
        <f>IF('История отказов'!AE904="","",IF(AND(COUNTIF($CU$2:$CU$3,'История отказов'!AE904)=0,COUNTIFS('История отказов'!$F$5:F904,"ЭЦН",'История отказов'!$AE$5:AE904,'История отказов'!AE904)=1,'История отказов'!F904="ЭЦН"),900,""))</f>
        <v/>
      </c>
      <c r="DE901">
        <f>IF('История отказов'!AE904="","",IF(AND(COUNTIF($CV$2:$CV$3,'История отказов'!AE904)=0,COUNTIFS('История отказов'!$F$5:F904,"ЭВН",'История отказов'!$AE$5:AE904,'История отказов'!AE904)=1,'История отказов'!F904="ЭВН"),900,""))</f>
        <v/>
      </c>
      <c r="DF901">
        <f>IF('История отказов'!AE904="","",IF(AND(COUNTIF($CX$2:$CX$2,'История отказов'!AE904)=0,COUNTIFS('История отказов'!$F$5:F904,"ШВН",'История отказов'!$AE$5:AE904,'История отказов'!AE904)=1,'История отказов'!F904="ШВН"),900,""))</f>
        <v/>
      </c>
      <c r="DG901">
        <f>IF('История отказов'!AE904="","",IF(AND(COUNTIF($CW$2:$CW$2,'История отказов'!AE904)=0,COUNTIFS('История отказов'!$F$5:F904,"НПУ-ВД",'История отказов'!$AE$5:AE904,'История отказов'!AE904)=1,'История отказов'!F904="НПУ-ВД"),900,""))</f>
        <v/>
      </c>
      <c r="DH901">
        <f>IF('История отказов'!AE904="","",IF(AND(COUNTIF($CY$2:$CY$6,'История отказов'!AE904)=0,COUNTIF('История отказов'!$AE$5:AE904,'История отказов'!AE904)=1),900,""))</f>
        <v/>
      </c>
      <c r="DI901">
        <f>IF('История отказов'!AK904="","",IF(AND(COUNTIF($CL$2:$CL$3,'История отказов'!AK904)=0,COUNTIF('История отказов'!$AK$5:AK904,'История отказов'!AK904)=1),900,""))</f>
        <v/>
      </c>
      <c r="DJ901">
        <f>IF('История отказов'!AU904="","",IF(AND(COUNTIF($CP$2:$CP$3,'История отказов'!AU904)=0,COUNTIF('История отказов'!$AU$5:AU904,'История отказов'!AU904)=1),900,""))</f>
        <v/>
      </c>
      <c r="DK901">
        <f>IF('История отказов'!AY904="","",IF(AND(COUNTIF($CR$2:$CR$2,'История отказов'!AY904)=0,COUNTIF('История отказов'!$AY$5:AY904,'История отказов'!AY904)=1),900,""))</f>
        <v/>
      </c>
      <c r="DL901">
        <f>IF(DB901="","",IF(AND(COUNTIF($DA$2:$DA$47,DB901)=0,COUNTIF($DB$2:DB901,DB901)=1),900,""))</f>
        <v/>
      </c>
    </row>
    <row r="902">
      <c r="A902" s="74" t="n"/>
      <c r="B902" s="75" t="n"/>
      <c r="C902" s="76" t="n"/>
      <c r="DB902">
        <f>IF('История отказов'!AH905="","",'История отказов'!AH905)</f>
        <v/>
      </c>
      <c r="DC902">
        <f>IF('История отказов'!AE905="","",IF(AND(COUNTIF($CT$2:$CT$2,'История отказов'!AE905)=0,COUNTIFS('История отказов'!$F$5:F905,"ШГН",'История отказов'!$AE$5:AE905,'История отказов'!AE905)=1,'История отказов'!F905="ШГН"),901,""))</f>
        <v/>
      </c>
      <c r="DD902">
        <f>IF('История отказов'!AE905="","",IF(AND(COUNTIF($CU$2:$CU$3,'История отказов'!AE905)=0,COUNTIFS('История отказов'!$F$5:F905,"ЭЦН",'История отказов'!$AE$5:AE905,'История отказов'!AE905)=1,'История отказов'!F905="ЭЦН"),901,""))</f>
        <v/>
      </c>
      <c r="DE902">
        <f>IF('История отказов'!AE905="","",IF(AND(COUNTIF($CV$2:$CV$3,'История отказов'!AE905)=0,COUNTIFS('История отказов'!$F$5:F905,"ЭВН",'История отказов'!$AE$5:AE905,'История отказов'!AE905)=1,'История отказов'!F905="ЭВН"),901,""))</f>
        <v/>
      </c>
      <c r="DF902">
        <f>IF('История отказов'!AE905="","",IF(AND(COUNTIF($CX$2:$CX$2,'История отказов'!AE905)=0,COUNTIFS('История отказов'!$F$5:F905,"ШВН",'История отказов'!$AE$5:AE905,'История отказов'!AE905)=1,'История отказов'!F905="ШВН"),901,""))</f>
        <v/>
      </c>
      <c r="DG902">
        <f>IF('История отказов'!AE905="","",IF(AND(COUNTIF($CW$2:$CW$2,'История отказов'!AE905)=0,COUNTIFS('История отказов'!$F$5:F905,"НПУ-ВД",'История отказов'!$AE$5:AE905,'История отказов'!AE905)=1,'История отказов'!F905="НПУ-ВД"),901,""))</f>
        <v/>
      </c>
      <c r="DH902">
        <f>IF('История отказов'!AE905="","",IF(AND(COUNTIF($CY$2:$CY$6,'История отказов'!AE905)=0,COUNTIF('История отказов'!$AE$5:AE905,'История отказов'!AE905)=1),901,""))</f>
        <v/>
      </c>
      <c r="DI902">
        <f>IF('История отказов'!AK905="","",IF(AND(COUNTIF($CL$2:$CL$3,'История отказов'!AK905)=0,COUNTIF('История отказов'!$AK$5:AK905,'История отказов'!AK905)=1),901,""))</f>
        <v/>
      </c>
      <c r="DJ902">
        <f>IF('История отказов'!AU905="","",IF(AND(COUNTIF($CP$2:$CP$3,'История отказов'!AU905)=0,COUNTIF('История отказов'!$AU$5:AU905,'История отказов'!AU905)=1),901,""))</f>
        <v/>
      </c>
      <c r="DK902">
        <f>IF('История отказов'!AY905="","",IF(AND(COUNTIF($CR$2:$CR$2,'История отказов'!AY905)=0,COUNTIF('История отказов'!$AY$5:AY905,'История отказов'!AY905)=1),901,""))</f>
        <v/>
      </c>
      <c r="DL902">
        <f>IF(DB902="","",IF(AND(COUNTIF($DA$2:$DA$47,DB902)=0,COUNTIF($DB$2:DB902,DB902)=1),901,""))</f>
        <v/>
      </c>
    </row>
    <row r="903">
      <c r="A903" s="74" t="n"/>
      <c r="B903" s="75" t="n"/>
      <c r="C903" s="76" t="n"/>
      <c r="DB903">
        <f>IF('История отказов'!AH906="","",'История отказов'!AH906)</f>
        <v/>
      </c>
      <c r="DC903">
        <f>IF('История отказов'!AE906="","",IF(AND(COUNTIF($CT$2:$CT$2,'История отказов'!AE906)=0,COUNTIFS('История отказов'!$F$5:F906,"ШГН",'История отказов'!$AE$5:AE906,'История отказов'!AE906)=1,'История отказов'!F906="ШГН"),902,""))</f>
        <v/>
      </c>
      <c r="DD903">
        <f>IF('История отказов'!AE906="","",IF(AND(COUNTIF($CU$2:$CU$3,'История отказов'!AE906)=0,COUNTIFS('История отказов'!$F$5:F906,"ЭЦН",'История отказов'!$AE$5:AE906,'История отказов'!AE906)=1,'История отказов'!F906="ЭЦН"),902,""))</f>
        <v/>
      </c>
      <c r="DE903">
        <f>IF('История отказов'!AE906="","",IF(AND(COUNTIF($CV$2:$CV$3,'История отказов'!AE906)=0,COUNTIFS('История отказов'!$F$5:F906,"ЭВН",'История отказов'!$AE$5:AE906,'История отказов'!AE906)=1,'История отказов'!F906="ЭВН"),902,""))</f>
        <v/>
      </c>
      <c r="DF903">
        <f>IF('История отказов'!AE906="","",IF(AND(COUNTIF($CX$2:$CX$2,'История отказов'!AE906)=0,COUNTIFS('История отказов'!$F$5:F906,"ШВН",'История отказов'!$AE$5:AE906,'История отказов'!AE906)=1,'История отказов'!F906="ШВН"),902,""))</f>
        <v/>
      </c>
      <c r="DG903">
        <f>IF('История отказов'!AE906="","",IF(AND(COUNTIF($CW$2:$CW$2,'История отказов'!AE906)=0,COUNTIFS('История отказов'!$F$5:F906,"НПУ-ВД",'История отказов'!$AE$5:AE906,'История отказов'!AE906)=1,'История отказов'!F906="НПУ-ВД"),902,""))</f>
        <v/>
      </c>
      <c r="DH903">
        <f>IF('История отказов'!AE906="","",IF(AND(COUNTIF($CY$2:$CY$6,'История отказов'!AE906)=0,COUNTIF('История отказов'!$AE$5:AE906,'История отказов'!AE906)=1),902,""))</f>
        <v/>
      </c>
      <c r="DI903">
        <f>IF('История отказов'!AK906="","",IF(AND(COUNTIF($CL$2:$CL$3,'История отказов'!AK906)=0,COUNTIF('История отказов'!$AK$5:AK906,'История отказов'!AK906)=1),902,""))</f>
        <v/>
      </c>
      <c r="DJ903">
        <f>IF('История отказов'!AU906="","",IF(AND(COUNTIF($CP$2:$CP$3,'История отказов'!AU906)=0,COUNTIF('История отказов'!$AU$5:AU906,'История отказов'!AU906)=1),902,""))</f>
        <v/>
      </c>
      <c r="DK903">
        <f>IF('История отказов'!AY906="","",IF(AND(COUNTIF($CR$2:$CR$2,'История отказов'!AY906)=0,COUNTIF('История отказов'!$AY$5:AY906,'История отказов'!AY906)=1),902,""))</f>
        <v/>
      </c>
      <c r="DL903">
        <f>IF(DB903="","",IF(AND(COUNTIF($DA$2:$DA$47,DB903)=0,COUNTIF($DB$2:DB903,DB903)=1),902,""))</f>
        <v/>
      </c>
    </row>
    <row r="904">
      <c r="A904" s="74" t="n"/>
      <c r="B904" s="75" t="n"/>
      <c r="C904" s="76" t="n"/>
      <c r="DB904">
        <f>IF('История отказов'!AH907="","",'История отказов'!AH907)</f>
        <v/>
      </c>
      <c r="DC904">
        <f>IF('История отказов'!AE907="","",IF(AND(COUNTIF($CT$2:$CT$2,'История отказов'!AE907)=0,COUNTIFS('История отказов'!$F$5:F907,"ШГН",'История отказов'!$AE$5:AE907,'История отказов'!AE907)=1,'История отказов'!F907="ШГН"),903,""))</f>
        <v/>
      </c>
      <c r="DD904">
        <f>IF('История отказов'!AE907="","",IF(AND(COUNTIF($CU$2:$CU$3,'История отказов'!AE907)=0,COUNTIFS('История отказов'!$F$5:F907,"ЭЦН",'История отказов'!$AE$5:AE907,'История отказов'!AE907)=1,'История отказов'!F907="ЭЦН"),903,""))</f>
        <v/>
      </c>
      <c r="DE904">
        <f>IF('История отказов'!AE907="","",IF(AND(COUNTIF($CV$2:$CV$3,'История отказов'!AE907)=0,COUNTIFS('История отказов'!$F$5:F907,"ЭВН",'История отказов'!$AE$5:AE907,'История отказов'!AE907)=1,'История отказов'!F907="ЭВН"),903,""))</f>
        <v/>
      </c>
      <c r="DF904">
        <f>IF('История отказов'!AE907="","",IF(AND(COUNTIF($CX$2:$CX$2,'История отказов'!AE907)=0,COUNTIFS('История отказов'!$F$5:F907,"ШВН",'История отказов'!$AE$5:AE907,'История отказов'!AE907)=1,'История отказов'!F907="ШВН"),903,""))</f>
        <v/>
      </c>
      <c r="DG904">
        <f>IF('История отказов'!AE907="","",IF(AND(COUNTIF($CW$2:$CW$2,'История отказов'!AE907)=0,COUNTIFS('История отказов'!$F$5:F907,"НПУ-ВД",'История отказов'!$AE$5:AE907,'История отказов'!AE907)=1,'История отказов'!F907="НПУ-ВД"),903,""))</f>
        <v/>
      </c>
      <c r="DH904">
        <f>IF('История отказов'!AE907="","",IF(AND(COUNTIF($CY$2:$CY$6,'История отказов'!AE907)=0,COUNTIF('История отказов'!$AE$5:AE907,'История отказов'!AE907)=1),903,""))</f>
        <v/>
      </c>
      <c r="DI904">
        <f>IF('История отказов'!AK907="","",IF(AND(COUNTIF($CL$2:$CL$3,'История отказов'!AK907)=0,COUNTIF('История отказов'!$AK$5:AK907,'История отказов'!AK907)=1),903,""))</f>
        <v/>
      </c>
      <c r="DJ904">
        <f>IF('История отказов'!AU907="","",IF(AND(COUNTIF($CP$2:$CP$3,'История отказов'!AU907)=0,COUNTIF('История отказов'!$AU$5:AU907,'История отказов'!AU907)=1),903,""))</f>
        <v/>
      </c>
      <c r="DK904">
        <f>IF('История отказов'!AY907="","",IF(AND(COUNTIF($CR$2:$CR$2,'История отказов'!AY907)=0,COUNTIF('История отказов'!$AY$5:AY907,'История отказов'!AY907)=1),903,""))</f>
        <v/>
      </c>
      <c r="DL904">
        <f>IF(DB904="","",IF(AND(COUNTIF($DA$2:$DA$47,DB904)=0,COUNTIF($DB$2:DB904,DB904)=1),903,""))</f>
        <v/>
      </c>
    </row>
    <row r="905">
      <c r="A905" s="74" t="n"/>
      <c r="B905" s="75" t="n"/>
      <c r="C905" s="76" t="n"/>
      <c r="DB905">
        <f>IF('История отказов'!AH908="","",'История отказов'!AH908)</f>
        <v/>
      </c>
      <c r="DC905">
        <f>IF('История отказов'!AE908="","",IF(AND(COUNTIF($CT$2:$CT$2,'История отказов'!AE908)=0,COUNTIFS('История отказов'!$F$5:F908,"ШГН",'История отказов'!$AE$5:AE908,'История отказов'!AE908)=1,'История отказов'!F908="ШГН"),904,""))</f>
        <v/>
      </c>
      <c r="DD905">
        <f>IF('История отказов'!AE908="","",IF(AND(COUNTIF($CU$2:$CU$3,'История отказов'!AE908)=0,COUNTIFS('История отказов'!$F$5:F908,"ЭЦН",'История отказов'!$AE$5:AE908,'История отказов'!AE908)=1,'История отказов'!F908="ЭЦН"),904,""))</f>
        <v/>
      </c>
      <c r="DE905">
        <f>IF('История отказов'!AE908="","",IF(AND(COUNTIF($CV$2:$CV$3,'История отказов'!AE908)=0,COUNTIFS('История отказов'!$F$5:F908,"ЭВН",'История отказов'!$AE$5:AE908,'История отказов'!AE908)=1,'История отказов'!F908="ЭВН"),904,""))</f>
        <v/>
      </c>
      <c r="DF905">
        <f>IF('История отказов'!AE908="","",IF(AND(COUNTIF($CX$2:$CX$2,'История отказов'!AE908)=0,COUNTIFS('История отказов'!$F$5:F908,"ШВН",'История отказов'!$AE$5:AE908,'История отказов'!AE908)=1,'История отказов'!F908="ШВН"),904,""))</f>
        <v/>
      </c>
      <c r="DG905">
        <f>IF('История отказов'!AE908="","",IF(AND(COUNTIF($CW$2:$CW$2,'История отказов'!AE908)=0,COUNTIFS('История отказов'!$F$5:F908,"НПУ-ВД",'История отказов'!$AE$5:AE908,'История отказов'!AE908)=1,'История отказов'!F908="НПУ-ВД"),904,""))</f>
        <v/>
      </c>
      <c r="DH905">
        <f>IF('История отказов'!AE908="","",IF(AND(COUNTIF($CY$2:$CY$6,'История отказов'!AE908)=0,COUNTIF('История отказов'!$AE$5:AE908,'История отказов'!AE908)=1),904,""))</f>
        <v/>
      </c>
      <c r="DI905">
        <f>IF('История отказов'!AK908="","",IF(AND(COUNTIF($CL$2:$CL$3,'История отказов'!AK908)=0,COUNTIF('История отказов'!$AK$5:AK908,'История отказов'!AK908)=1),904,""))</f>
        <v/>
      </c>
      <c r="DJ905">
        <f>IF('История отказов'!AU908="","",IF(AND(COUNTIF($CP$2:$CP$3,'История отказов'!AU908)=0,COUNTIF('История отказов'!$AU$5:AU908,'История отказов'!AU908)=1),904,""))</f>
        <v/>
      </c>
      <c r="DK905">
        <f>IF('История отказов'!AY908="","",IF(AND(COUNTIF($CR$2:$CR$2,'История отказов'!AY908)=0,COUNTIF('История отказов'!$AY$5:AY908,'История отказов'!AY908)=1),904,""))</f>
        <v/>
      </c>
      <c r="DL905">
        <f>IF(DB905="","",IF(AND(COUNTIF($DA$2:$DA$47,DB905)=0,COUNTIF($DB$2:DB905,DB905)=1),904,""))</f>
        <v/>
      </c>
    </row>
    <row r="906">
      <c r="A906" s="74" t="n"/>
      <c r="B906" s="75" t="n"/>
      <c r="C906" s="76" t="n"/>
      <c r="DB906">
        <f>IF('История отказов'!AH909="","",'История отказов'!AH909)</f>
        <v/>
      </c>
      <c r="DC906">
        <f>IF('История отказов'!AE909="","",IF(AND(COUNTIF($CT$2:$CT$2,'История отказов'!AE909)=0,COUNTIFS('История отказов'!$F$5:F909,"ШГН",'История отказов'!$AE$5:AE909,'История отказов'!AE909)=1,'История отказов'!F909="ШГН"),905,""))</f>
        <v/>
      </c>
      <c r="DD906">
        <f>IF('История отказов'!AE909="","",IF(AND(COUNTIF($CU$2:$CU$3,'История отказов'!AE909)=0,COUNTIFS('История отказов'!$F$5:F909,"ЭЦН",'История отказов'!$AE$5:AE909,'История отказов'!AE909)=1,'История отказов'!F909="ЭЦН"),905,""))</f>
        <v/>
      </c>
      <c r="DE906">
        <f>IF('История отказов'!AE909="","",IF(AND(COUNTIF($CV$2:$CV$3,'История отказов'!AE909)=0,COUNTIFS('История отказов'!$F$5:F909,"ЭВН",'История отказов'!$AE$5:AE909,'История отказов'!AE909)=1,'История отказов'!F909="ЭВН"),905,""))</f>
        <v/>
      </c>
      <c r="DF906">
        <f>IF('История отказов'!AE909="","",IF(AND(COUNTIF($CX$2:$CX$2,'История отказов'!AE909)=0,COUNTIFS('История отказов'!$F$5:F909,"ШВН",'История отказов'!$AE$5:AE909,'История отказов'!AE909)=1,'История отказов'!F909="ШВН"),905,""))</f>
        <v/>
      </c>
      <c r="DG906">
        <f>IF('История отказов'!AE909="","",IF(AND(COUNTIF($CW$2:$CW$2,'История отказов'!AE909)=0,COUNTIFS('История отказов'!$F$5:F909,"НПУ-ВД",'История отказов'!$AE$5:AE909,'История отказов'!AE909)=1,'История отказов'!F909="НПУ-ВД"),905,""))</f>
        <v/>
      </c>
      <c r="DH906">
        <f>IF('История отказов'!AE909="","",IF(AND(COUNTIF($CY$2:$CY$6,'История отказов'!AE909)=0,COUNTIF('История отказов'!$AE$5:AE909,'История отказов'!AE909)=1),905,""))</f>
        <v/>
      </c>
      <c r="DI906">
        <f>IF('История отказов'!AK909="","",IF(AND(COUNTIF($CL$2:$CL$3,'История отказов'!AK909)=0,COUNTIF('История отказов'!$AK$5:AK909,'История отказов'!AK909)=1),905,""))</f>
        <v/>
      </c>
      <c r="DJ906">
        <f>IF('История отказов'!AU909="","",IF(AND(COUNTIF($CP$2:$CP$3,'История отказов'!AU909)=0,COUNTIF('История отказов'!$AU$5:AU909,'История отказов'!AU909)=1),905,""))</f>
        <v/>
      </c>
      <c r="DK906">
        <f>IF('История отказов'!AY909="","",IF(AND(COUNTIF($CR$2:$CR$2,'История отказов'!AY909)=0,COUNTIF('История отказов'!$AY$5:AY909,'История отказов'!AY909)=1),905,""))</f>
        <v/>
      </c>
      <c r="DL906">
        <f>IF(DB906="","",IF(AND(COUNTIF($DA$2:$DA$47,DB906)=0,COUNTIF($DB$2:DB906,DB906)=1),905,""))</f>
        <v/>
      </c>
    </row>
    <row r="907">
      <c r="A907" s="74" t="n"/>
      <c r="B907" s="75" t="n"/>
      <c r="C907" s="76" t="n"/>
      <c r="DB907">
        <f>IF('История отказов'!AH910="","",'История отказов'!AH910)</f>
        <v/>
      </c>
      <c r="DC907">
        <f>IF('История отказов'!AE910="","",IF(AND(COUNTIF($CT$2:$CT$2,'История отказов'!AE910)=0,COUNTIFS('История отказов'!$F$5:F910,"ШГН",'История отказов'!$AE$5:AE910,'История отказов'!AE910)=1,'История отказов'!F910="ШГН"),906,""))</f>
        <v/>
      </c>
      <c r="DD907">
        <f>IF('История отказов'!AE910="","",IF(AND(COUNTIF($CU$2:$CU$3,'История отказов'!AE910)=0,COUNTIFS('История отказов'!$F$5:F910,"ЭЦН",'История отказов'!$AE$5:AE910,'История отказов'!AE910)=1,'История отказов'!F910="ЭЦН"),906,""))</f>
        <v/>
      </c>
      <c r="DE907">
        <f>IF('История отказов'!AE910="","",IF(AND(COUNTIF($CV$2:$CV$3,'История отказов'!AE910)=0,COUNTIFS('История отказов'!$F$5:F910,"ЭВН",'История отказов'!$AE$5:AE910,'История отказов'!AE910)=1,'История отказов'!F910="ЭВН"),906,""))</f>
        <v/>
      </c>
      <c r="DF907">
        <f>IF('История отказов'!AE910="","",IF(AND(COUNTIF($CX$2:$CX$2,'История отказов'!AE910)=0,COUNTIFS('История отказов'!$F$5:F910,"ШВН",'История отказов'!$AE$5:AE910,'История отказов'!AE910)=1,'История отказов'!F910="ШВН"),906,""))</f>
        <v/>
      </c>
      <c r="DG907">
        <f>IF('История отказов'!AE910="","",IF(AND(COUNTIF($CW$2:$CW$2,'История отказов'!AE910)=0,COUNTIFS('История отказов'!$F$5:F910,"НПУ-ВД",'История отказов'!$AE$5:AE910,'История отказов'!AE910)=1,'История отказов'!F910="НПУ-ВД"),906,""))</f>
        <v/>
      </c>
      <c r="DH907">
        <f>IF('История отказов'!AE910="","",IF(AND(COUNTIF($CY$2:$CY$6,'История отказов'!AE910)=0,COUNTIF('История отказов'!$AE$5:AE910,'История отказов'!AE910)=1),906,""))</f>
        <v/>
      </c>
      <c r="DI907">
        <f>IF('История отказов'!AK910="","",IF(AND(COUNTIF($CL$2:$CL$3,'История отказов'!AK910)=0,COUNTIF('История отказов'!$AK$5:AK910,'История отказов'!AK910)=1),906,""))</f>
        <v/>
      </c>
      <c r="DJ907">
        <f>IF('История отказов'!AU910="","",IF(AND(COUNTIF($CP$2:$CP$3,'История отказов'!AU910)=0,COUNTIF('История отказов'!$AU$5:AU910,'История отказов'!AU910)=1),906,""))</f>
        <v/>
      </c>
      <c r="DK907">
        <f>IF('История отказов'!AY910="","",IF(AND(COUNTIF($CR$2:$CR$2,'История отказов'!AY910)=0,COUNTIF('История отказов'!$AY$5:AY910,'История отказов'!AY910)=1),906,""))</f>
        <v/>
      </c>
      <c r="DL907">
        <f>IF(DB907="","",IF(AND(COUNTIF($DA$2:$DA$47,DB907)=0,COUNTIF($DB$2:DB907,DB907)=1),906,""))</f>
        <v/>
      </c>
    </row>
    <row r="908">
      <c r="A908" s="74" t="n"/>
      <c r="B908" s="75" t="n"/>
      <c r="C908" s="76" t="n"/>
      <c r="DB908">
        <f>IF('История отказов'!AH911="","",'История отказов'!AH911)</f>
        <v/>
      </c>
      <c r="DC908">
        <f>IF('История отказов'!AE911="","",IF(AND(COUNTIF($CT$2:$CT$2,'История отказов'!AE911)=0,COUNTIFS('История отказов'!$F$5:F911,"ШГН",'История отказов'!$AE$5:AE911,'История отказов'!AE911)=1,'История отказов'!F911="ШГН"),907,""))</f>
        <v/>
      </c>
      <c r="DD908">
        <f>IF('История отказов'!AE911="","",IF(AND(COUNTIF($CU$2:$CU$3,'История отказов'!AE911)=0,COUNTIFS('История отказов'!$F$5:F911,"ЭЦН",'История отказов'!$AE$5:AE911,'История отказов'!AE911)=1,'История отказов'!F911="ЭЦН"),907,""))</f>
        <v/>
      </c>
      <c r="DE908">
        <f>IF('История отказов'!AE911="","",IF(AND(COUNTIF($CV$2:$CV$3,'История отказов'!AE911)=0,COUNTIFS('История отказов'!$F$5:F911,"ЭВН",'История отказов'!$AE$5:AE911,'История отказов'!AE911)=1,'История отказов'!F911="ЭВН"),907,""))</f>
        <v/>
      </c>
      <c r="DF908">
        <f>IF('История отказов'!AE911="","",IF(AND(COUNTIF($CX$2:$CX$2,'История отказов'!AE911)=0,COUNTIFS('История отказов'!$F$5:F911,"ШВН",'История отказов'!$AE$5:AE911,'История отказов'!AE911)=1,'История отказов'!F911="ШВН"),907,""))</f>
        <v/>
      </c>
      <c r="DG908">
        <f>IF('История отказов'!AE911="","",IF(AND(COUNTIF($CW$2:$CW$2,'История отказов'!AE911)=0,COUNTIFS('История отказов'!$F$5:F911,"НПУ-ВД",'История отказов'!$AE$5:AE911,'История отказов'!AE911)=1,'История отказов'!F911="НПУ-ВД"),907,""))</f>
        <v/>
      </c>
      <c r="DH908">
        <f>IF('История отказов'!AE911="","",IF(AND(COUNTIF($CY$2:$CY$6,'История отказов'!AE911)=0,COUNTIF('История отказов'!$AE$5:AE911,'История отказов'!AE911)=1),907,""))</f>
        <v/>
      </c>
      <c r="DI908">
        <f>IF('История отказов'!AK911="","",IF(AND(COUNTIF($CL$2:$CL$3,'История отказов'!AK911)=0,COUNTIF('История отказов'!$AK$5:AK911,'История отказов'!AK911)=1),907,""))</f>
        <v/>
      </c>
      <c r="DJ908">
        <f>IF('История отказов'!AU911="","",IF(AND(COUNTIF($CP$2:$CP$3,'История отказов'!AU911)=0,COUNTIF('История отказов'!$AU$5:AU911,'История отказов'!AU911)=1),907,""))</f>
        <v/>
      </c>
      <c r="DK908">
        <f>IF('История отказов'!AY911="","",IF(AND(COUNTIF($CR$2:$CR$2,'История отказов'!AY911)=0,COUNTIF('История отказов'!$AY$5:AY911,'История отказов'!AY911)=1),907,""))</f>
        <v/>
      </c>
      <c r="DL908">
        <f>IF(DB908="","",IF(AND(COUNTIF($DA$2:$DA$47,DB908)=0,COUNTIF($DB$2:DB908,DB908)=1),907,""))</f>
        <v/>
      </c>
    </row>
    <row r="909">
      <c r="A909" s="74" t="n"/>
      <c r="B909" s="75" t="n"/>
      <c r="C909" s="76" t="n"/>
      <c r="DB909">
        <f>IF('История отказов'!AH912="","",'История отказов'!AH912)</f>
        <v/>
      </c>
      <c r="DC909">
        <f>IF('История отказов'!AE912="","",IF(AND(COUNTIF($CT$2:$CT$2,'История отказов'!AE912)=0,COUNTIFS('История отказов'!$F$5:F912,"ШГН",'История отказов'!$AE$5:AE912,'История отказов'!AE912)=1,'История отказов'!F912="ШГН"),908,""))</f>
        <v/>
      </c>
      <c r="DD909">
        <f>IF('История отказов'!AE912="","",IF(AND(COUNTIF($CU$2:$CU$3,'История отказов'!AE912)=0,COUNTIFS('История отказов'!$F$5:F912,"ЭЦН",'История отказов'!$AE$5:AE912,'История отказов'!AE912)=1,'История отказов'!F912="ЭЦН"),908,""))</f>
        <v/>
      </c>
      <c r="DE909">
        <f>IF('История отказов'!AE912="","",IF(AND(COUNTIF($CV$2:$CV$3,'История отказов'!AE912)=0,COUNTIFS('История отказов'!$F$5:F912,"ЭВН",'История отказов'!$AE$5:AE912,'История отказов'!AE912)=1,'История отказов'!F912="ЭВН"),908,""))</f>
        <v/>
      </c>
      <c r="DF909">
        <f>IF('История отказов'!AE912="","",IF(AND(COUNTIF($CX$2:$CX$2,'История отказов'!AE912)=0,COUNTIFS('История отказов'!$F$5:F912,"ШВН",'История отказов'!$AE$5:AE912,'История отказов'!AE912)=1,'История отказов'!F912="ШВН"),908,""))</f>
        <v/>
      </c>
      <c r="DG909">
        <f>IF('История отказов'!AE912="","",IF(AND(COUNTIF($CW$2:$CW$2,'История отказов'!AE912)=0,COUNTIFS('История отказов'!$F$5:F912,"НПУ-ВД",'История отказов'!$AE$5:AE912,'История отказов'!AE912)=1,'История отказов'!F912="НПУ-ВД"),908,""))</f>
        <v/>
      </c>
      <c r="DH909">
        <f>IF('История отказов'!AE912="","",IF(AND(COUNTIF($CY$2:$CY$6,'История отказов'!AE912)=0,COUNTIF('История отказов'!$AE$5:AE912,'История отказов'!AE912)=1),908,""))</f>
        <v/>
      </c>
      <c r="DI909">
        <f>IF('История отказов'!AK912="","",IF(AND(COUNTIF($CL$2:$CL$3,'История отказов'!AK912)=0,COUNTIF('История отказов'!$AK$5:AK912,'История отказов'!AK912)=1),908,""))</f>
        <v/>
      </c>
      <c r="DJ909">
        <f>IF('История отказов'!AU912="","",IF(AND(COUNTIF($CP$2:$CP$3,'История отказов'!AU912)=0,COUNTIF('История отказов'!$AU$5:AU912,'История отказов'!AU912)=1),908,""))</f>
        <v/>
      </c>
      <c r="DK909">
        <f>IF('История отказов'!AY912="","",IF(AND(COUNTIF($CR$2:$CR$2,'История отказов'!AY912)=0,COUNTIF('История отказов'!$AY$5:AY912,'История отказов'!AY912)=1),908,""))</f>
        <v/>
      </c>
      <c r="DL909">
        <f>IF(DB909="","",IF(AND(COUNTIF($DA$2:$DA$47,DB909)=0,COUNTIF($DB$2:DB909,DB909)=1),908,""))</f>
        <v/>
      </c>
    </row>
    <row r="910">
      <c r="A910" s="74" t="n"/>
      <c r="B910" s="75" t="n"/>
      <c r="C910" s="76" t="n"/>
      <c r="DB910">
        <f>IF('История отказов'!AH913="","",'История отказов'!AH913)</f>
        <v/>
      </c>
      <c r="DC910">
        <f>IF('История отказов'!AE913="","",IF(AND(COUNTIF($CT$2:$CT$2,'История отказов'!AE913)=0,COUNTIFS('История отказов'!$F$5:F913,"ШГН",'История отказов'!$AE$5:AE913,'История отказов'!AE913)=1,'История отказов'!F913="ШГН"),909,""))</f>
        <v/>
      </c>
      <c r="DD910">
        <f>IF('История отказов'!AE913="","",IF(AND(COUNTIF($CU$2:$CU$3,'История отказов'!AE913)=0,COUNTIFS('История отказов'!$F$5:F913,"ЭЦН",'История отказов'!$AE$5:AE913,'История отказов'!AE913)=1,'История отказов'!F913="ЭЦН"),909,""))</f>
        <v/>
      </c>
      <c r="DE910">
        <f>IF('История отказов'!AE913="","",IF(AND(COUNTIF($CV$2:$CV$3,'История отказов'!AE913)=0,COUNTIFS('История отказов'!$F$5:F913,"ЭВН",'История отказов'!$AE$5:AE913,'История отказов'!AE913)=1,'История отказов'!F913="ЭВН"),909,""))</f>
        <v/>
      </c>
      <c r="DF910">
        <f>IF('История отказов'!AE913="","",IF(AND(COUNTIF($CX$2:$CX$2,'История отказов'!AE913)=0,COUNTIFS('История отказов'!$F$5:F913,"ШВН",'История отказов'!$AE$5:AE913,'История отказов'!AE913)=1,'История отказов'!F913="ШВН"),909,""))</f>
        <v/>
      </c>
      <c r="DG910">
        <f>IF('История отказов'!AE913="","",IF(AND(COUNTIF($CW$2:$CW$2,'История отказов'!AE913)=0,COUNTIFS('История отказов'!$F$5:F913,"НПУ-ВД",'История отказов'!$AE$5:AE913,'История отказов'!AE913)=1,'История отказов'!F913="НПУ-ВД"),909,""))</f>
        <v/>
      </c>
      <c r="DH910">
        <f>IF('История отказов'!AE913="","",IF(AND(COUNTIF($CY$2:$CY$6,'История отказов'!AE913)=0,COUNTIF('История отказов'!$AE$5:AE913,'История отказов'!AE913)=1),909,""))</f>
        <v/>
      </c>
      <c r="DI910">
        <f>IF('История отказов'!AK913="","",IF(AND(COUNTIF($CL$2:$CL$3,'История отказов'!AK913)=0,COUNTIF('История отказов'!$AK$5:AK913,'История отказов'!AK913)=1),909,""))</f>
        <v/>
      </c>
      <c r="DJ910">
        <f>IF('История отказов'!AU913="","",IF(AND(COUNTIF($CP$2:$CP$3,'История отказов'!AU913)=0,COUNTIF('История отказов'!$AU$5:AU913,'История отказов'!AU913)=1),909,""))</f>
        <v/>
      </c>
      <c r="DK910">
        <f>IF('История отказов'!AY913="","",IF(AND(COUNTIF($CR$2:$CR$2,'История отказов'!AY913)=0,COUNTIF('История отказов'!$AY$5:AY913,'История отказов'!AY913)=1),909,""))</f>
        <v/>
      </c>
      <c r="DL910">
        <f>IF(DB910="","",IF(AND(COUNTIF($DA$2:$DA$47,DB910)=0,COUNTIF($DB$2:DB910,DB910)=1),909,""))</f>
        <v/>
      </c>
    </row>
    <row r="911">
      <c r="A911" s="74" t="n"/>
      <c r="B911" s="75" t="n"/>
      <c r="C911" s="76" t="n"/>
      <c r="DB911">
        <f>IF('История отказов'!AH914="","",'История отказов'!AH914)</f>
        <v/>
      </c>
      <c r="DC911">
        <f>IF('История отказов'!AE914="","",IF(AND(COUNTIF($CT$2:$CT$2,'История отказов'!AE914)=0,COUNTIFS('История отказов'!$F$5:F914,"ШГН",'История отказов'!$AE$5:AE914,'История отказов'!AE914)=1,'История отказов'!F914="ШГН"),910,""))</f>
        <v/>
      </c>
      <c r="DD911">
        <f>IF('История отказов'!AE914="","",IF(AND(COUNTIF($CU$2:$CU$3,'История отказов'!AE914)=0,COUNTIFS('История отказов'!$F$5:F914,"ЭЦН",'История отказов'!$AE$5:AE914,'История отказов'!AE914)=1,'История отказов'!F914="ЭЦН"),910,""))</f>
        <v/>
      </c>
      <c r="DE911">
        <f>IF('История отказов'!AE914="","",IF(AND(COUNTIF($CV$2:$CV$3,'История отказов'!AE914)=0,COUNTIFS('История отказов'!$F$5:F914,"ЭВН",'История отказов'!$AE$5:AE914,'История отказов'!AE914)=1,'История отказов'!F914="ЭВН"),910,""))</f>
        <v/>
      </c>
      <c r="DF911">
        <f>IF('История отказов'!AE914="","",IF(AND(COUNTIF($CX$2:$CX$2,'История отказов'!AE914)=0,COUNTIFS('История отказов'!$F$5:F914,"ШВН",'История отказов'!$AE$5:AE914,'История отказов'!AE914)=1,'История отказов'!F914="ШВН"),910,""))</f>
        <v/>
      </c>
      <c r="DG911">
        <f>IF('История отказов'!AE914="","",IF(AND(COUNTIF($CW$2:$CW$2,'История отказов'!AE914)=0,COUNTIFS('История отказов'!$F$5:F914,"НПУ-ВД",'История отказов'!$AE$5:AE914,'История отказов'!AE914)=1,'История отказов'!F914="НПУ-ВД"),910,""))</f>
        <v/>
      </c>
      <c r="DH911">
        <f>IF('История отказов'!AE914="","",IF(AND(COUNTIF($CY$2:$CY$6,'История отказов'!AE914)=0,COUNTIF('История отказов'!$AE$5:AE914,'История отказов'!AE914)=1),910,""))</f>
        <v/>
      </c>
      <c r="DI911">
        <f>IF('История отказов'!AK914="","",IF(AND(COUNTIF($CL$2:$CL$3,'История отказов'!AK914)=0,COUNTIF('История отказов'!$AK$5:AK914,'История отказов'!AK914)=1),910,""))</f>
        <v/>
      </c>
      <c r="DJ911">
        <f>IF('История отказов'!AU914="","",IF(AND(COUNTIF($CP$2:$CP$3,'История отказов'!AU914)=0,COUNTIF('История отказов'!$AU$5:AU914,'История отказов'!AU914)=1),910,""))</f>
        <v/>
      </c>
      <c r="DK911">
        <f>IF('История отказов'!AY914="","",IF(AND(COUNTIF($CR$2:$CR$2,'История отказов'!AY914)=0,COUNTIF('История отказов'!$AY$5:AY914,'История отказов'!AY914)=1),910,""))</f>
        <v/>
      </c>
      <c r="DL911">
        <f>IF(DB911="","",IF(AND(COUNTIF($DA$2:$DA$47,DB911)=0,COUNTIF($DB$2:DB911,DB911)=1),910,""))</f>
        <v/>
      </c>
    </row>
    <row r="912">
      <c r="A912" s="74" t="n"/>
      <c r="B912" s="75" t="n"/>
      <c r="C912" s="76" t="n"/>
      <c r="DB912">
        <f>IF('История отказов'!AH915="","",'История отказов'!AH915)</f>
        <v/>
      </c>
      <c r="DC912">
        <f>IF('История отказов'!AE915="","",IF(AND(COUNTIF($CT$2:$CT$2,'История отказов'!AE915)=0,COUNTIFS('История отказов'!$F$5:F915,"ШГН",'История отказов'!$AE$5:AE915,'История отказов'!AE915)=1,'История отказов'!F915="ШГН"),911,""))</f>
        <v/>
      </c>
      <c r="DD912">
        <f>IF('История отказов'!AE915="","",IF(AND(COUNTIF($CU$2:$CU$3,'История отказов'!AE915)=0,COUNTIFS('История отказов'!$F$5:F915,"ЭЦН",'История отказов'!$AE$5:AE915,'История отказов'!AE915)=1,'История отказов'!F915="ЭЦН"),911,""))</f>
        <v/>
      </c>
      <c r="DE912">
        <f>IF('История отказов'!AE915="","",IF(AND(COUNTIF($CV$2:$CV$3,'История отказов'!AE915)=0,COUNTIFS('История отказов'!$F$5:F915,"ЭВН",'История отказов'!$AE$5:AE915,'История отказов'!AE915)=1,'История отказов'!F915="ЭВН"),911,""))</f>
        <v/>
      </c>
      <c r="DF912">
        <f>IF('История отказов'!AE915="","",IF(AND(COUNTIF($CX$2:$CX$2,'История отказов'!AE915)=0,COUNTIFS('История отказов'!$F$5:F915,"ШВН",'История отказов'!$AE$5:AE915,'История отказов'!AE915)=1,'История отказов'!F915="ШВН"),911,""))</f>
        <v/>
      </c>
      <c r="DG912">
        <f>IF('История отказов'!AE915="","",IF(AND(COUNTIF($CW$2:$CW$2,'История отказов'!AE915)=0,COUNTIFS('История отказов'!$F$5:F915,"НПУ-ВД",'История отказов'!$AE$5:AE915,'История отказов'!AE915)=1,'История отказов'!F915="НПУ-ВД"),911,""))</f>
        <v/>
      </c>
      <c r="DH912">
        <f>IF('История отказов'!AE915="","",IF(AND(COUNTIF($CY$2:$CY$6,'История отказов'!AE915)=0,COUNTIF('История отказов'!$AE$5:AE915,'История отказов'!AE915)=1),911,""))</f>
        <v/>
      </c>
      <c r="DI912">
        <f>IF('История отказов'!AK915="","",IF(AND(COUNTIF($CL$2:$CL$3,'История отказов'!AK915)=0,COUNTIF('История отказов'!$AK$5:AK915,'История отказов'!AK915)=1),911,""))</f>
        <v/>
      </c>
      <c r="DJ912">
        <f>IF('История отказов'!AU915="","",IF(AND(COUNTIF($CP$2:$CP$3,'История отказов'!AU915)=0,COUNTIF('История отказов'!$AU$5:AU915,'История отказов'!AU915)=1),911,""))</f>
        <v/>
      </c>
      <c r="DK912">
        <f>IF('История отказов'!AY915="","",IF(AND(COUNTIF($CR$2:$CR$2,'История отказов'!AY915)=0,COUNTIF('История отказов'!$AY$5:AY915,'История отказов'!AY915)=1),911,""))</f>
        <v/>
      </c>
      <c r="DL912">
        <f>IF(DB912="","",IF(AND(COUNTIF($DA$2:$DA$47,DB912)=0,COUNTIF($DB$2:DB912,DB912)=1),911,""))</f>
        <v/>
      </c>
    </row>
    <row r="913">
      <c r="A913" s="74" t="n"/>
      <c r="B913" s="75" t="n"/>
      <c r="C913" s="76" t="n"/>
      <c r="DB913">
        <f>IF('История отказов'!AH916="","",'История отказов'!AH916)</f>
        <v/>
      </c>
      <c r="DC913">
        <f>IF('История отказов'!AE916="","",IF(AND(COUNTIF($CT$2:$CT$2,'История отказов'!AE916)=0,COUNTIFS('История отказов'!$F$5:F916,"ШГН",'История отказов'!$AE$5:AE916,'История отказов'!AE916)=1,'История отказов'!F916="ШГН"),912,""))</f>
        <v/>
      </c>
      <c r="DD913">
        <f>IF('История отказов'!AE916="","",IF(AND(COUNTIF($CU$2:$CU$3,'История отказов'!AE916)=0,COUNTIFS('История отказов'!$F$5:F916,"ЭЦН",'История отказов'!$AE$5:AE916,'История отказов'!AE916)=1,'История отказов'!F916="ЭЦН"),912,""))</f>
        <v/>
      </c>
      <c r="DE913">
        <f>IF('История отказов'!AE916="","",IF(AND(COUNTIF($CV$2:$CV$3,'История отказов'!AE916)=0,COUNTIFS('История отказов'!$F$5:F916,"ЭВН",'История отказов'!$AE$5:AE916,'История отказов'!AE916)=1,'История отказов'!F916="ЭВН"),912,""))</f>
        <v/>
      </c>
      <c r="DF913">
        <f>IF('История отказов'!AE916="","",IF(AND(COUNTIF($CX$2:$CX$2,'История отказов'!AE916)=0,COUNTIFS('История отказов'!$F$5:F916,"ШВН",'История отказов'!$AE$5:AE916,'История отказов'!AE916)=1,'История отказов'!F916="ШВН"),912,""))</f>
        <v/>
      </c>
      <c r="DG913">
        <f>IF('История отказов'!AE916="","",IF(AND(COUNTIF($CW$2:$CW$2,'История отказов'!AE916)=0,COUNTIFS('История отказов'!$F$5:F916,"НПУ-ВД",'История отказов'!$AE$5:AE916,'История отказов'!AE916)=1,'История отказов'!F916="НПУ-ВД"),912,""))</f>
        <v/>
      </c>
      <c r="DH913">
        <f>IF('История отказов'!AE916="","",IF(AND(COUNTIF($CY$2:$CY$6,'История отказов'!AE916)=0,COUNTIF('История отказов'!$AE$5:AE916,'История отказов'!AE916)=1),912,""))</f>
        <v/>
      </c>
      <c r="DI913">
        <f>IF('История отказов'!AK916="","",IF(AND(COUNTIF($CL$2:$CL$3,'История отказов'!AK916)=0,COUNTIF('История отказов'!$AK$5:AK916,'История отказов'!AK916)=1),912,""))</f>
        <v/>
      </c>
      <c r="DJ913">
        <f>IF('История отказов'!AU916="","",IF(AND(COUNTIF($CP$2:$CP$3,'История отказов'!AU916)=0,COUNTIF('История отказов'!$AU$5:AU916,'История отказов'!AU916)=1),912,""))</f>
        <v/>
      </c>
      <c r="DK913">
        <f>IF('История отказов'!AY916="","",IF(AND(COUNTIF($CR$2:$CR$2,'История отказов'!AY916)=0,COUNTIF('История отказов'!$AY$5:AY916,'История отказов'!AY916)=1),912,""))</f>
        <v/>
      </c>
      <c r="DL913">
        <f>IF(DB913="","",IF(AND(COUNTIF($DA$2:$DA$47,DB913)=0,COUNTIF($DB$2:DB913,DB913)=1),912,""))</f>
        <v/>
      </c>
    </row>
    <row r="914">
      <c r="A914" s="74" t="n"/>
      <c r="B914" s="75" t="n"/>
      <c r="C914" s="76" t="n"/>
      <c r="DB914">
        <f>IF('История отказов'!AH917="","",'История отказов'!AH917)</f>
        <v/>
      </c>
      <c r="DC914">
        <f>IF('История отказов'!AE917="","",IF(AND(COUNTIF($CT$2:$CT$2,'История отказов'!AE917)=0,COUNTIFS('История отказов'!$F$5:F917,"ШГН",'История отказов'!$AE$5:AE917,'История отказов'!AE917)=1,'История отказов'!F917="ШГН"),913,""))</f>
        <v/>
      </c>
      <c r="DD914">
        <f>IF('История отказов'!AE917="","",IF(AND(COUNTIF($CU$2:$CU$3,'История отказов'!AE917)=0,COUNTIFS('История отказов'!$F$5:F917,"ЭЦН",'История отказов'!$AE$5:AE917,'История отказов'!AE917)=1,'История отказов'!F917="ЭЦН"),913,""))</f>
        <v/>
      </c>
      <c r="DE914">
        <f>IF('История отказов'!AE917="","",IF(AND(COUNTIF($CV$2:$CV$3,'История отказов'!AE917)=0,COUNTIFS('История отказов'!$F$5:F917,"ЭВН",'История отказов'!$AE$5:AE917,'История отказов'!AE917)=1,'История отказов'!F917="ЭВН"),913,""))</f>
        <v/>
      </c>
      <c r="DF914">
        <f>IF('История отказов'!AE917="","",IF(AND(COUNTIF($CX$2:$CX$2,'История отказов'!AE917)=0,COUNTIFS('История отказов'!$F$5:F917,"ШВН",'История отказов'!$AE$5:AE917,'История отказов'!AE917)=1,'История отказов'!F917="ШВН"),913,""))</f>
        <v/>
      </c>
      <c r="DG914">
        <f>IF('История отказов'!AE917="","",IF(AND(COUNTIF($CW$2:$CW$2,'История отказов'!AE917)=0,COUNTIFS('История отказов'!$F$5:F917,"НПУ-ВД",'История отказов'!$AE$5:AE917,'История отказов'!AE917)=1,'История отказов'!F917="НПУ-ВД"),913,""))</f>
        <v/>
      </c>
      <c r="DH914">
        <f>IF('История отказов'!AE917="","",IF(AND(COUNTIF($CY$2:$CY$6,'История отказов'!AE917)=0,COUNTIF('История отказов'!$AE$5:AE917,'История отказов'!AE917)=1),913,""))</f>
        <v/>
      </c>
      <c r="DI914">
        <f>IF('История отказов'!AK917="","",IF(AND(COUNTIF($CL$2:$CL$3,'История отказов'!AK917)=0,COUNTIF('История отказов'!$AK$5:AK917,'История отказов'!AK917)=1),913,""))</f>
        <v/>
      </c>
      <c r="DJ914">
        <f>IF('История отказов'!AU917="","",IF(AND(COUNTIF($CP$2:$CP$3,'История отказов'!AU917)=0,COUNTIF('История отказов'!$AU$5:AU917,'История отказов'!AU917)=1),913,""))</f>
        <v/>
      </c>
      <c r="DK914">
        <f>IF('История отказов'!AY917="","",IF(AND(COUNTIF($CR$2:$CR$2,'История отказов'!AY917)=0,COUNTIF('История отказов'!$AY$5:AY917,'История отказов'!AY917)=1),913,""))</f>
        <v/>
      </c>
      <c r="DL914">
        <f>IF(DB914="","",IF(AND(COUNTIF($DA$2:$DA$47,DB914)=0,COUNTIF($DB$2:DB914,DB914)=1),913,""))</f>
        <v/>
      </c>
    </row>
    <row r="915">
      <c r="A915" s="74" t="n"/>
      <c r="B915" s="75" t="n"/>
      <c r="C915" s="76" t="n"/>
      <c r="DB915">
        <f>IF('История отказов'!AH918="","",'История отказов'!AH918)</f>
        <v/>
      </c>
      <c r="DC915">
        <f>IF('История отказов'!AE918="","",IF(AND(COUNTIF($CT$2:$CT$2,'История отказов'!AE918)=0,COUNTIFS('История отказов'!$F$5:F918,"ШГН",'История отказов'!$AE$5:AE918,'История отказов'!AE918)=1,'История отказов'!F918="ШГН"),914,""))</f>
        <v/>
      </c>
      <c r="DD915">
        <f>IF('История отказов'!AE918="","",IF(AND(COUNTIF($CU$2:$CU$3,'История отказов'!AE918)=0,COUNTIFS('История отказов'!$F$5:F918,"ЭЦН",'История отказов'!$AE$5:AE918,'История отказов'!AE918)=1,'История отказов'!F918="ЭЦН"),914,""))</f>
        <v/>
      </c>
      <c r="DE915">
        <f>IF('История отказов'!AE918="","",IF(AND(COUNTIF($CV$2:$CV$3,'История отказов'!AE918)=0,COUNTIFS('История отказов'!$F$5:F918,"ЭВН",'История отказов'!$AE$5:AE918,'История отказов'!AE918)=1,'История отказов'!F918="ЭВН"),914,""))</f>
        <v/>
      </c>
      <c r="DF915">
        <f>IF('История отказов'!AE918="","",IF(AND(COUNTIF($CX$2:$CX$2,'История отказов'!AE918)=0,COUNTIFS('История отказов'!$F$5:F918,"ШВН",'История отказов'!$AE$5:AE918,'История отказов'!AE918)=1,'История отказов'!F918="ШВН"),914,""))</f>
        <v/>
      </c>
      <c r="DG915">
        <f>IF('История отказов'!AE918="","",IF(AND(COUNTIF($CW$2:$CW$2,'История отказов'!AE918)=0,COUNTIFS('История отказов'!$F$5:F918,"НПУ-ВД",'История отказов'!$AE$5:AE918,'История отказов'!AE918)=1,'История отказов'!F918="НПУ-ВД"),914,""))</f>
        <v/>
      </c>
      <c r="DH915">
        <f>IF('История отказов'!AE918="","",IF(AND(COUNTIF($CY$2:$CY$6,'История отказов'!AE918)=0,COUNTIF('История отказов'!$AE$5:AE918,'История отказов'!AE918)=1),914,""))</f>
        <v/>
      </c>
      <c r="DI915">
        <f>IF('История отказов'!AK918="","",IF(AND(COUNTIF($CL$2:$CL$3,'История отказов'!AK918)=0,COUNTIF('История отказов'!$AK$5:AK918,'История отказов'!AK918)=1),914,""))</f>
        <v/>
      </c>
      <c r="DJ915">
        <f>IF('История отказов'!AU918="","",IF(AND(COUNTIF($CP$2:$CP$3,'История отказов'!AU918)=0,COUNTIF('История отказов'!$AU$5:AU918,'История отказов'!AU918)=1),914,""))</f>
        <v/>
      </c>
      <c r="DK915">
        <f>IF('История отказов'!AY918="","",IF(AND(COUNTIF($CR$2:$CR$2,'История отказов'!AY918)=0,COUNTIF('История отказов'!$AY$5:AY918,'История отказов'!AY918)=1),914,""))</f>
        <v/>
      </c>
      <c r="DL915">
        <f>IF(DB915="","",IF(AND(COUNTIF($DA$2:$DA$47,DB915)=0,COUNTIF($DB$2:DB915,DB915)=1),914,""))</f>
        <v/>
      </c>
    </row>
    <row r="916">
      <c r="A916" s="74" t="n"/>
      <c r="B916" s="75" t="n"/>
      <c r="C916" s="76" t="n"/>
      <c r="DB916">
        <f>IF('История отказов'!AH919="","",'История отказов'!AH919)</f>
        <v/>
      </c>
      <c r="DC916">
        <f>IF('История отказов'!AE919="","",IF(AND(COUNTIF($CT$2:$CT$2,'История отказов'!AE919)=0,COUNTIFS('История отказов'!$F$5:F919,"ШГН",'История отказов'!$AE$5:AE919,'История отказов'!AE919)=1,'История отказов'!F919="ШГН"),915,""))</f>
        <v/>
      </c>
      <c r="DD916">
        <f>IF('История отказов'!AE919="","",IF(AND(COUNTIF($CU$2:$CU$3,'История отказов'!AE919)=0,COUNTIFS('История отказов'!$F$5:F919,"ЭЦН",'История отказов'!$AE$5:AE919,'История отказов'!AE919)=1,'История отказов'!F919="ЭЦН"),915,""))</f>
        <v/>
      </c>
      <c r="DE916">
        <f>IF('История отказов'!AE919="","",IF(AND(COUNTIF($CV$2:$CV$3,'История отказов'!AE919)=0,COUNTIFS('История отказов'!$F$5:F919,"ЭВН",'История отказов'!$AE$5:AE919,'История отказов'!AE919)=1,'История отказов'!F919="ЭВН"),915,""))</f>
        <v/>
      </c>
      <c r="DF916">
        <f>IF('История отказов'!AE919="","",IF(AND(COUNTIF($CX$2:$CX$2,'История отказов'!AE919)=0,COUNTIFS('История отказов'!$F$5:F919,"ШВН",'История отказов'!$AE$5:AE919,'История отказов'!AE919)=1,'История отказов'!F919="ШВН"),915,""))</f>
        <v/>
      </c>
      <c r="DG916">
        <f>IF('История отказов'!AE919="","",IF(AND(COUNTIF($CW$2:$CW$2,'История отказов'!AE919)=0,COUNTIFS('История отказов'!$F$5:F919,"НПУ-ВД",'История отказов'!$AE$5:AE919,'История отказов'!AE919)=1,'История отказов'!F919="НПУ-ВД"),915,""))</f>
        <v/>
      </c>
      <c r="DH916">
        <f>IF('История отказов'!AE919="","",IF(AND(COUNTIF($CY$2:$CY$6,'История отказов'!AE919)=0,COUNTIF('История отказов'!$AE$5:AE919,'История отказов'!AE919)=1),915,""))</f>
        <v/>
      </c>
      <c r="DI916">
        <f>IF('История отказов'!AK919="","",IF(AND(COUNTIF($CL$2:$CL$3,'История отказов'!AK919)=0,COUNTIF('История отказов'!$AK$5:AK919,'История отказов'!AK919)=1),915,""))</f>
        <v/>
      </c>
      <c r="DJ916">
        <f>IF('История отказов'!AU919="","",IF(AND(COUNTIF($CP$2:$CP$3,'История отказов'!AU919)=0,COUNTIF('История отказов'!$AU$5:AU919,'История отказов'!AU919)=1),915,""))</f>
        <v/>
      </c>
      <c r="DK916">
        <f>IF('История отказов'!AY919="","",IF(AND(COUNTIF($CR$2:$CR$2,'История отказов'!AY919)=0,COUNTIF('История отказов'!$AY$5:AY919,'История отказов'!AY919)=1),915,""))</f>
        <v/>
      </c>
      <c r="DL916">
        <f>IF(DB916="","",IF(AND(COUNTIF($DA$2:$DA$47,DB916)=0,COUNTIF($DB$2:DB916,DB916)=1),915,""))</f>
        <v/>
      </c>
    </row>
    <row r="917">
      <c r="A917" s="74" t="n"/>
      <c r="B917" s="75" t="n"/>
      <c r="C917" s="76" t="n"/>
      <c r="DB917">
        <f>IF('История отказов'!AH920="","",'История отказов'!AH920)</f>
        <v/>
      </c>
      <c r="DC917">
        <f>IF('История отказов'!AE920="","",IF(AND(COUNTIF($CT$2:$CT$2,'История отказов'!AE920)=0,COUNTIFS('История отказов'!$F$5:F920,"ШГН",'История отказов'!$AE$5:AE920,'История отказов'!AE920)=1,'История отказов'!F920="ШГН"),916,""))</f>
        <v/>
      </c>
      <c r="DD917">
        <f>IF('История отказов'!AE920="","",IF(AND(COUNTIF($CU$2:$CU$3,'История отказов'!AE920)=0,COUNTIFS('История отказов'!$F$5:F920,"ЭЦН",'История отказов'!$AE$5:AE920,'История отказов'!AE920)=1,'История отказов'!F920="ЭЦН"),916,""))</f>
        <v/>
      </c>
      <c r="DE917">
        <f>IF('История отказов'!AE920="","",IF(AND(COUNTIF($CV$2:$CV$3,'История отказов'!AE920)=0,COUNTIFS('История отказов'!$F$5:F920,"ЭВН",'История отказов'!$AE$5:AE920,'История отказов'!AE920)=1,'История отказов'!F920="ЭВН"),916,""))</f>
        <v/>
      </c>
      <c r="DF917">
        <f>IF('История отказов'!AE920="","",IF(AND(COUNTIF($CX$2:$CX$2,'История отказов'!AE920)=0,COUNTIFS('История отказов'!$F$5:F920,"ШВН",'История отказов'!$AE$5:AE920,'История отказов'!AE920)=1,'История отказов'!F920="ШВН"),916,""))</f>
        <v/>
      </c>
      <c r="DG917">
        <f>IF('История отказов'!AE920="","",IF(AND(COUNTIF($CW$2:$CW$2,'История отказов'!AE920)=0,COUNTIFS('История отказов'!$F$5:F920,"НПУ-ВД",'История отказов'!$AE$5:AE920,'История отказов'!AE920)=1,'История отказов'!F920="НПУ-ВД"),916,""))</f>
        <v/>
      </c>
      <c r="DH917">
        <f>IF('История отказов'!AE920="","",IF(AND(COUNTIF($CY$2:$CY$6,'История отказов'!AE920)=0,COUNTIF('История отказов'!$AE$5:AE920,'История отказов'!AE920)=1),916,""))</f>
        <v/>
      </c>
      <c r="DI917">
        <f>IF('История отказов'!AK920="","",IF(AND(COUNTIF($CL$2:$CL$3,'История отказов'!AK920)=0,COUNTIF('История отказов'!$AK$5:AK920,'История отказов'!AK920)=1),916,""))</f>
        <v/>
      </c>
      <c r="DJ917">
        <f>IF('История отказов'!AU920="","",IF(AND(COUNTIF($CP$2:$CP$3,'История отказов'!AU920)=0,COUNTIF('История отказов'!$AU$5:AU920,'История отказов'!AU920)=1),916,""))</f>
        <v/>
      </c>
      <c r="DK917">
        <f>IF('История отказов'!AY920="","",IF(AND(COUNTIF($CR$2:$CR$2,'История отказов'!AY920)=0,COUNTIF('История отказов'!$AY$5:AY920,'История отказов'!AY920)=1),916,""))</f>
        <v/>
      </c>
      <c r="DL917">
        <f>IF(DB917="","",IF(AND(COUNTIF($DA$2:$DA$47,DB917)=0,COUNTIF($DB$2:DB917,DB917)=1),916,""))</f>
        <v/>
      </c>
    </row>
    <row r="918">
      <c r="A918" s="74" t="n"/>
      <c r="B918" s="75" t="n"/>
      <c r="C918" s="76" t="n"/>
      <c r="DB918">
        <f>IF('История отказов'!AH921="","",'История отказов'!AH921)</f>
        <v/>
      </c>
      <c r="DC918">
        <f>IF('История отказов'!AE921="","",IF(AND(COUNTIF($CT$2:$CT$2,'История отказов'!AE921)=0,COUNTIFS('История отказов'!$F$5:F921,"ШГН",'История отказов'!$AE$5:AE921,'История отказов'!AE921)=1,'История отказов'!F921="ШГН"),917,""))</f>
        <v/>
      </c>
      <c r="DD918">
        <f>IF('История отказов'!AE921="","",IF(AND(COUNTIF($CU$2:$CU$3,'История отказов'!AE921)=0,COUNTIFS('История отказов'!$F$5:F921,"ЭЦН",'История отказов'!$AE$5:AE921,'История отказов'!AE921)=1,'История отказов'!F921="ЭЦН"),917,""))</f>
        <v/>
      </c>
      <c r="DE918">
        <f>IF('История отказов'!AE921="","",IF(AND(COUNTIF($CV$2:$CV$3,'История отказов'!AE921)=0,COUNTIFS('История отказов'!$F$5:F921,"ЭВН",'История отказов'!$AE$5:AE921,'История отказов'!AE921)=1,'История отказов'!F921="ЭВН"),917,""))</f>
        <v/>
      </c>
      <c r="DF918">
        <f>IF('История отказов'!AE921="","",IF(AND(COUNTIF($CX$2:$CX$2,'История отказов'!AE921)=0,COUNTIFS('История отказов'!$F$5:F921,"ШВН",'История отказов'!$AE$5:AE921,'История отказов'!AE921)=1,'История отказов'!F921="ШВН"),917,""))</f>
        <v/>
      </c>
      <c r="DG918">
        <f>IF('История отказов'!AE921="","",IF(AND(COUNTIF($CW$2:$CW$2,'История отказов'!AE921)=0,COUNTIFS('История отказов'!$F$5:F921,"НПУ-ВД",'История отказов'!$AE$5:AE921,'История отказов'!AE921)=1,'История отказов'!F921="НПУ-ВД"),917,""))</f>
        <v/>
      </c>
      <c r="DH918">
        <f>IF('История отказов'!AE921="","",IF(AND(COUNTIF($CY$2:$CY$6,'История отказов'!AE921)=0,COUNTIF('История отказов'!$AE$5:AE921,'История отказов'!AE921)=1),917,""))</f>
        <v/>
      </c>
      <c r="DI918">
        <f>IF('История отказов'!AK921="","",IF(AND(COUNTIF($CL$2:$CL$3,'История отказов'!AK921)=0,COUNTIF('История отказов'!$AK$5:AK921,'История отказов'!AK921)=1),917,""))</f>
        <v/>
      </c>
      <c r="DJ918">
        <f>IF('История отказов'!AU921="","",IF(AND(COUNTIF($CP$2:$CP$3,'История отказов'!AU921)=0,COUNTIF('История отказов'!$AU$5:AU921,'История отказов'!AU921)=1),917,""))</f>
        <v/>
      </c>
      <c r="DK918">
        <f>IF('История отказов'!AY921="","",IF(AND(COUNTIF($CR$2:$CR$2,'История отказов'!AY921)=0,COUNTIF('История отказов'!$AY$5:AY921,'История отказов'!AY921)=1),917,""))</f>
        <v/>
      </c>
      <c r="DL918">
        <f>IF(DB918="","",IF(AND(COUNTIF($DA$2:$DA$47,DB918)=0,COUNTIF($DB$2:DB918,DB918)=1),917,""))</f>
        <v/>
      </c>
    </row>
    <row r="919">
      <c r="A919" s="74" t="n"/>
      <c r="B919" s="75" t="n"/>
      <c r="C919" s="76" t="n"/>
      <c r="DB919">
        <f>IF('История отказов'!AH922="","",'История отказов'!AH922)</f>
        <v/>
      </c>
      <c r="DC919">
        <f>IF('История отказов'!AE922="","",IF(AND(COUNTIF($CT$2:$CT$2,'История отказов'!AE922)=0,COUNTIFS('История отказов'!$F$5:F922,"ШГН",'История отказов'!$AE$5:AE922,'История отказов'!AE922)=1,'История отказов'!F922="ШГН"),918,""))</f>
        <v/>
      </c>
      <c r="DD919">
        <f>IF('История отказов'!AE922="","",IF(AND(COUNTIF($CU$2:$CU$3,'История отказов'!AE922)=0,COUNTIFS('История отказов'!$F$5:F922,"ЭЦН",'История отказов'!$AE$5:AE922,'История отказов'!AE922)=1,'История отказов'!F922="ЭЦН"),918,""))</f>
        <v/>
      </c>
      <c r="DE919">
        <f>IF('История отказов'!AE922="","",IF(AND(COUNTIF($CV$2:$CV$3,'История отказов'!AE922)=0,COUNTIFS('История отказов'!$F$5:F922,"ЭВН",'История отказов'!$AE$5:AE922,'История отказов'!AE922)=1,'История отказов'!F922="ЭВН"),918,""))</f>
        <v/>
      </c>
      <c r="DF919">
        <f>IF('История отказов'!AE922="","",IF(AND(COUNTIF($CX$2:$CX$2,'История отказов'!AE922)=0,COUNTIFS('История отказов'!$F$5:F922,"ШВН",'История отказов'!$AE$5:AE922,'История отказов'!AE922)=1,'История отказов'!F922="ШВН"),918,""))</f>
        <v/>
      </c>
      <c r="DG919">
        <f>IF('История отказов'!AE922="","",IF(AND(COUNTIF($CW$2:$CW$2,'История отказов'!AE922)=0,COUNTIFS('История отказов'!$F$5:F922,"НПУ-ВД",'История отказов'!$AE$5:AE922,'История отказов'!AE922)=1,'История отказов'!F922="НПУ-ВД"),918,""))</f>
        <v/>
      </c>
      <c r="DH919">
        <f>IF('История отказов'!AE922="","",IF(AND(COUNTIF($CY$2:$CY$6,'История отказов'!AE922)=0,COUNTIF('История отказов'!$AE$5:AE922,'История отказов'!AE922)=1),918,""))</f>
        <v/>
      </c>
      <c r="DI919">
        <f>IF('История отказов'!AK922="","",IF(AND(COUNTIF($CL$2:$CL$3,'История отказов'!AK922)=0,COUNTIF('История отказов'!$AK$5:AK922,'История отказов'!AK922)=1),918,""))</f>
        <v/>
      </c>
      <c r="DJ919">
        <f>IF('История отказов'!AU922="","",IF(AND(COUNTIF($CP$2:$CP$3,'История отказов'!AU922)=0,COUNTIF('История отказов'!$AU$5:AU922,'История отказов'!AU922)=1),918,""))</f>
        <v/>
      </c>
      <c r="DK919">
        <f>IF('История отказов'!AY922="","",IF(AND(COUNTIF($CR$2:$CR$2,'История отказов'!AY922)=0,COUNTIF('История отказов'!$AY$5:AY922,'История отказов'!AY922)=1),918,""))</f>
        <v/>
      </c>
      <c r="DL919">
        <f>IF(DB919="","",IF(AND(COUNTIF($DA$2:$DA$47,DB919)=0,COUNTIF($DB$2:DB919,DB919)=1),918,""))</f>
        <v/>
      </c>
    </row>
    <row r="920">
      <c r="A920" s="74" t="n"/>
      <c r="B920" s="75" t="n"/>
      <c r="C920" s="76" t="n"/>
      <c r="DB920">
        <f>IF('История отказов'!AH923="","",'История отказов'!AH923)</f>
        <v/>
      </c>
      <c r="DC920">
        <f>IF('История отказов'!AE923="","",IF(AND(COUNTIF($CT$2:$CT$2,'История отказов'!AE923)=0,COUNTIFS('История отказов'!$F$5:F923,"ШГН",'История отказов'!$AE$5:AE923,'История отказов'!AE923)=1,'История отказов'!F923="ШГН"),919,""))</f>
        <v/>
      </c>
      <c r="DD920">
        <f>IF('История отказов'!AE923="","",IF(AND(COUNTIF($CU$2:$CU$3,'История отказов'!AE923)=0,COUNTIFS('История отказов'!$F$5:F923,"ЭЦН",'История отказов'!$AE$5:AE923,'История отказов'!AE923)=1,'История отказов'!F923="ЭЦН"),919,""))</f>
        <v/>
      </c>
      <c r="DE920">
        <f>IF('История отказов'!AE923="","",IF(AND(COUNTIF($CV$2:$CV$3,'История отказов'!AE923)=0,COUNTIFS('История отказов'!$F$5:F923,"ЭВН",'История отказов'!$AE$5:AE923,'История отказов'!AE923)=1,'История отказов'!F923="ЭВН"),919,""))</f>
        <v/>
      </c>
      <c r="DF920">
        <f>IF('История отказов'!AE923="","",IF(AND(COUNTIF($CX$2:$CX$2,'История отказов'!AE923)=0,COUNTIFS('История отказов'!$F$5:F923,"ШВН",'История отказов'!$AE$5:AE923,'История отказов'!AE923)=1,'История отказов'!F923="ШВН"),919,""))</f>
        <v/>
      </c>
      <c r="DG920">
        <f>IF('История отказов'!AE923="","",IF(AND(COUNTIF($CW$2:$CW$2,'История отказов'!AE923)=0,COUNTIFS('История отказов'!$F$5:F923,"НПУ-ВД",'История отказов'!$AE$5:AE923,'История отказов'!AE923)=1,'История отказов'!F923="НПУ-ВД"),919,""))</f>
        <v/>
      </c>
      <c r="DH920">
        <f>IF('История отказов'!AE923="","",IF(AND(COUNTIF($CY$2:$CY$6,'История отказов'!AE923)=0,COUNTIF('История отказов'!$AE$5:AE923,'История отказов'!AE923)=1),919,""))</f>
        <v/>
      </c>
      <c r="DI920">
        <f>IF('История отказов'!AK923="","",IF(AND(COUNTIF($CL$2:$CL$3,'История отказов'!AK923)=0,COUNTIF('История отказов'!$AK$5:AK923,'История отказов'!AK923)=1),919,""))</f>
        <v/>
      </c>
      <c r="DJ920">
        <f>IF('История отказов'!AU923="","",IF(AND(COUNTIF($CP$2:$CP$3,'История отказов'!AU923)=0,COUNTIF('История отказов'!$AU$5:AU923,'История отказов'!AU923)=1),919,""))</f>
        <v/>
      </c>
      <c r="DK920">
        <f>IF('История отказов'!AY923="","",IF(AND(COUNTIF($CR$2:$CR$2,'История отказов'!AY923)=0,COUNTIF('История отказов'!$AY$5:AY923,'История отказов'!AY923)=1),919,""))</f>
        <v/>
      </c>
      <c r="DL920">
        <f>IF(DB920="","",IF(AND(COUNTIF($DA$2:$DA$47,DB920)=0,COUNTIF($DB$2:DB920,DB920)=1),919,""))</f>
        <v/>
      </c>
    </row>
    <row r="921">
      <c r="A921" s="74" t="n"/>
      <c r="B921" s="75" t="n"/>
      <c r="C921" s="76" t="n"/>
      <c r="DB921">
        <f>IF('История отказов'!AH924="","",'История отказов'!AH924)</f>
        <v/>
      </c>
      <c r="DC921">
        <f>IF('История отказов'!AE924="","",IF(AND(COUNTIF($CT$2:$CT$2,'История отказов'!AE924)=0,COUNTIFS('История отказов'!$F$5:F924,"ШГН",'История отказов'!$AE$5:AE924,'История отказов'!AE924)=1,'История отказов'!F924="ШГН"),920,""))</f>
        <v/>
      </c>
      <c r="DD921">
        <f>IF('История отказов'!AE924="","",IF(AND(COUNTIF($CU$2:$CU$3,'История отказов'!AE924)=0,COUNTIFS('История отказов'!$F$5:F924,"ЭЦН",'История отказов'!$AE$5:AE924,'История отказов'!AE924)=1,'История отказов'!F924="ЭЦН"),920,""))</f>
        <v/>
      </c>
      <c r="DE921">
        <f>IF('История отказов'!AE924="","",IF(AND(COUNTIF($CV$2:$CV$3,'История отказов'!AE924)=0,COUNTIFS('История отказов'!$F$5:F924,"ЭВН",'История отказов'!$AE$5:AE924,'История отказов'!AE924)=1,'История отказов'!F924="ЭВН"),920,""))</f>
        <v/>
      </c>
      <c r="DF921">
        <f>IF('История отказов'!AE924="","",IF(AND(COUNTIF($CX$2:$CX$2,'История отказов'!AE924)=0,COUNTIFS('История отказов'!$F$5:F924,"ШВН",'История отказов'!$AE$5:AE924,'История отказов'!AE924)=1,'История отказов'!F924="ШВН"),920,""))</f>
        <v/>
      </c>
      <c r="DG921">
        <f>IF('История отказов'!AE924="","",IF(AND(COUNTIF($CW$2:$CW$2,'История отказов'!AE924)=0,COUNTIFS('История отказов'!$F$5:F924,"НПУ-ВД",'История отказов'!$AE$5:AE924,'История отказов'!AE924)=1,'История отказов'!F924="НПУ-ВД"),920,""))</f>
        <v/>
      </c>
      <c r="DH921">
        <f>IF('История отказов'!AE924="","",IF(AND(COUNTIF($CY$2:$CY$6,'История отказов'!AE924)=0,COUNTIF('История отказов'!$AE$5:AE924,'История отказов'!AE924)=1),920,""))</f>
        <v/>
      </c>
      <c r="DI921">
        <f>IF('История отказов'!AK924="","",IF(AND(COUNTIF($CL$2:$CL$3,'История отказов'!AK924)=0,COUNTIF('История отказов'!$AK$5:AK924,'История отказов'!AK924)=1),920,""))</f>
        <v/>
      </c>
      <c r="DJ921">
        <f>IF('История отказов'!AU924="","",IF(AND(COUNTIF($CP$2:$CP$3,'История отказов'!AU924)=0,COUNTIF('История отказов'!$AU$5:AU924,'История отказов'!AU924)=1),920,""))</f>
        <v/>
      </c>
      <c r="DK921">
        <f>IF('История отказов'!AY924="","",IF(AND(COUNTIF($CR$2:$CR$2,'История отказов'!AY924)=0,COUNTIF('История отказов'!$AY$5:AY924,'История отказов'!AY924)=1),920,""))</f>
        <v/>
      </c>
      <c r="DL921">
        <f>IF(DB921="","",IF(AND(COUNTIF($DA$2:$DA$47,DB921)=0,COUNTIF($DB$2:DB921,DB921)=1),920,""))</f>
        <v/>
      </c>
    </row>
    <row r="922">
      <c r="A922" s="74" t="n"/>
      <c r="B922" s="75" t="n"/>
      <c r="C922" s="76" t="n"/>
      <c r="DB922">
        <f>IF('История отказов'!AH925="","",'История отказов'!AH925)</f>
        <v/>
      </c>
      <c r="DC922">
        <f>IF('История отказов'!AE925="","",IF(AND(COUNTIF($CT$2:$CT$2,'История отказов'!AE925)=0,COUNTIFS('История отказов'!$F$5:F925,"ШГН",'История отказов'!$AE$5:AE925,'История отказов'!AE925)=1,'История отказов'!F925="ШГН"),921,""))</f>
        <v/>
      </c>
      <c r="DD922">
        <f>IF('История отказов'!AE925="","",IF(AND(COUNTIF($CU$2:$CU$3,'История отказов'!AE925)=0,COUNTIFS('История отказов'!$F$5:F925,"ЭЦН",'История отказов'!$AE$5:AE925,'История отказов'!AE925)=1,'История отказов'!F925="ЭЦН"),921,""))</f>
        <v/>
      </c>
      <c r="DE922">
        <f>IF('История отказов'!AE925="","",IF(AND(COUNTIF($CV$2:$CV$3,'История отказов'!AE925)=0,COUNTIFS('История отказов'!$F$5:F925,"ЭВН",'История отказов'!$AE$5:AE925,'История отказов'!AE925)=1,'История отказов'!F925="ЭВН"),921,""))</f>
        <v/>
      </c>
      <c r="DF922">
        <f>IF('История отказов'!AE925="","",IF(AND(COUNTIF($CX$2:$CX$2,'История отказов'!AE925)=0,COUNTIFS('История отказов'!$F$5:F925,"ШВН",'История отказов'!$AE$5:AE925,'История отказов'!AE925)=1,'История отказов'!F925="ШВН"),921,""))</f>
        <v/>
      </c>
      <c r="DG922">
        <f>IF('История отказов'!AE925="","",IF(AND(COUNTIF($CW$2:$CW$2,'История отказов'!AE925)=0,COUNTIFS('История отказов'!$F$5:F925,"НПУ-ВД",'История отказов'!$AE$5:AE925,'История отказов'!AE925)=1,'История отказов'!F925="НПУ-ВД"),921,""))</f>
        <v/>
      </c>
      <c r="DH922">
        <f>IF('История отказов'!AE925="","",IF(AND(COUNTIF($CY$2:$CY$6,'История отказов'!AE925)=0,COUNTIF('История отказов'!$AE$5:AE925,'История отказов'!AE925)=1),921,""))</f>
        <v/>
      </c>
      <c r="DI922">
        <f>IF('История отказов'!AK925="","",IF(AND(COUNTIF($CL$2:$CL$3,'История отказов'!AK925)=0,COUNTIF('История отказов'!$AK$5:AK925,'История отказов'!AK925)=1),921,""))</f>
        <v/>
      </c>
      <c r="DJ922">
        <f>IF('История отказов'!AU925="","",IF(AND(COUNTIF($CP$2:$CP$3,'История отказов'!AU925)=0,COUNTIF('История отказов'!$AU$5:AU925,'История отказов'!AU925)=1),921,""))</f>
        <v/>
      </c>
      <c r="DK922">
        <f>IF('История отказов'!AY925="","",IF(AND(COUNTIF($CR$2:$CR$2,'История отказов'!AY925)=0,COUNTIF('История отказов'!$AY$5:AY925,'История отказов'!AY925)=1),921,""))</f>
        <v/>
      </c>
      <c r="DL922">
        <f>IF(DB922="","",IF(AND(COUNTIF($DA$2:$DA$47,DB922)=0,COUNTIF($DB$2:DB922,DB922)=1),921,""))</f>
        <v/>
      </c>
    </row>
    <row r="923">
      <c r="A923" s="74" t="n"/>
      <c r="B923" s="75" t="n"/>
      <c r="C923" s="76" t="n"/>
      <c r="DB923">
        <f>IF('История отказов'!AH926="","",'История отказов'!AH926)</f>
        <v/>
      </c>
      <c r="DC923">
        <f>IF('История отказов'!AE926="","",IF(AND(COUNTIF($CT$2:$CT$2,'История отказов'!AE926)=0,COUNTIFS('История отказов'!$F$5:F926,"ШГН",'История отказов'!$AE$5:AE926,'История отказов'!AE926)=1,'История отказов'!F926="ШГН"),922,""))</f>
        <v/>
      </c>
      <c r="DD923">
        <f>IF('История отказов'!AE926="","",IF(AND(COUNTIF($CU$2:$CU$3,'История отказов'!AE926)=0,COUNTIFS('История отказов'!$F$5:F926,"ЭЦН",'История отказов'!$AE$5:AE926,'История отказов'!AE926)=1,'История отказов'!F926="ЭЦН"),922,""))</f>
        <v/>
      </c>
      <c r="DE923">
        <f>IF('История отказов'!AE926="","",IF(AND(COUNTIF($CV$2:$CV$3,'История отказов'!AE926)=0,COUNTIFS('История отказов'!$F$5:F926,"ЭВН",'История отказов'!$AE$5:AE926,'История отказов'!AE926)=1,'История отказов'!F926="ЭВН"),922,""))</f>
        <v/>
      </c>
      <c r="DF923">
        <f>IF('История отказов'!AE926="","",IF(AND(COUNTIF($CX$2:$CX$2,'История отказов'!AE926)=0,COUNTIFS('История отказов'!$F$5:F926,"ШВН",'История отказов'!$AE$5:AE926,'История отказов'!AE926)=1,'История отказов'!F926="ШВН"),922,""))</f>
        <v/>
      </c>
      <c r="DG923">
        <f>IF('История отказов'!AE926="","",IF(AND(COUNTIF($CW$2:$CW$2,'История отказов'!AE926)=0,COUNTIFS('История отказов'!$F$5:F926,"НПУ-ВД",'История отказов'!$AE$5:AE926,'История отказов'!AE926)=1,'История отказов'!F926="НПУ-ВД"),922,""))</f>
        <v/>
      </c>
      <c r="DH923">
        <f>IF('История отказов'!AE926="","",IF(AND(COUNTIF($CY$2:$CY$6,'История отказов'!AE926)=0,COUNTIF('История отказов'!$AE$5:AE926,'История отказов'!AE926)=1),922,""))</f>
        <v/>
      </c>
      <c r="DI923">
        <f>IF('История отказов'!AK926="","",IF(AND(COUNTIF($CL$2:$CL$3,'История отказов'!AK926)=0,COUNTIF('История отказов'!$AK$5:AK926,'История отказов'!AK926)=1),922,""))</f>
        <v/>
      </c>
      <c r="DJ923">
        <f>IF('История отказов'!AU926="","",IF(AND(COUNTIF($CP$2:$CP$3,'История отказов'!AU926)=0,COUNTIF('История отказов'!$AU$5:AU926,'История отказов'!AU926)=1),922,""))</f>
        <v/>
      </c>
      <c r="DK923">
        <f>IF('История отказов'!AY926="","",IF(AND(COUNTIF($CR$2:$CR$2,'История отказов'!AY926)=0,COUNTIF('История отказов'!$AY$5:AY926,'История отказов'!AY926)=1),922,""))</f>
        <v/>
      </c>
      <c r="DL923">
        <f>IF(DB923="","",IF(AND(COUNTIF($DA$2:$DA$47,DB923)=0,COUNTIF($DB$2:DB923,DB923)=1),922,""))</f>
        <v/>
      </c>
    </row>
    <row r="924">
      <c r="A924" s="74" t="n"/>
      <c r="B924" s="75" t="n"/>
      <c r="C924" s="76" t="n"/>
      <c r="DB924">
        <f>IF('История отказов'!AH927="","",'История отказов'!AH927)</f>
        <v/>
      </c>
      <c r="DC924">
        <f>IF('История отказов'!AE927="","",IF(AND(COUNTIF($CT$2:$CT$2,'История отказов'!AE927)=0,COUNTIFS('История отказов'!$F$5:F927,"ШГН",'История отказов'!$AE$5:AE927,'История отказов'!AE927)=1,'История отказов'!F927="ШГН"),923,""))</f>
        <v/>
      </c>
      <c r="DD924">
        <f>IF('История отказов'!AE927="","",IF(AND(COUNTIF($CU$2:$CU$3,'История отказов'!AE927)=0,COUNTIFS('История отказов'!$F$5:F927,"ЭЦН",'История отказов'!$AE$5:AE927,'История отказов'!AE927)=1,'История отказов'!F927="ЭЦН"),923,""))</f>
        <v/>
      </c>
      <c r="DE924">
        <f>IF('История отказов'!AE927="","",IF(AND(COUNTIF($CV$2:$CV$3,'История отказов'!AE927)=0,COUNTIFS('История отказов'!$F$5:F927,"ЭВН",'История отказов'!$AE$5:AE927,'История отказов'!AE927)=1,'История отказов'!F927="ЭВН"),923,""))</f>
        <v/>
      </c>
      <c r="DF924">
        <f>IF('История отказов'!AE927="","",IF(AND(COUNTIF($CX$2:$CX$2,'История отказов'!AE927)=0,COUNTIFS('История отказов'!$F$5:F927,"ШВН",'История отказов'!$AE$5:AE927,'История отказов'!AE927)=1,'История отказов'!F927="ШВН"),923,""))</f>
        <v/>
      </c>
      <c r="DG924">
        <f>IF('История отказов'!AE927="","",IF(AND(COUNTIF($CW$2:$CW$2,'История отказов'!AE927)=0,COUNTIFS('История отказов'!$F$5:F927,"НПУ-ВД",'История отказов'!$AE$5:AE927,'История отказов'!AE927)=1,'История отказов'!F927="НПУ-ВД"),923,""))</f>
        <v/>
      </c>
      <c r="DH924">
        <f>IF('История отказов'!AE927="","",IF(AND(COUNTIF($CY$2:$CY$6,'История отказов'!AE927)=0,COUNTIF('История отказов'!$AE$5:AE927,'История отказов'!AE927)=1),923,""))</f>
        <v/>
      </c>
      <c r="DI924">
        <f>IF('История отказов'!AK927="","",IF(AND(COUNTIF($CL$2:$CL$3,'История отказов'!AK927)=0,COUNTIF('История отказов'!$AK$5:AK927,'История отказов'!AK927)=1),923,""))</f>
        <v/>
      </c>
      <c r="DJ924">
        <f>IF('История отказов'!AU927="","",IF(AND(COUNTIF($CP$2:$CP$3,'История отказов'!AU927)=0,COUNTIF('История отказов'!$AU$5:AU927,'История отказов'!AU927)=1),923,""))</f>
        <v/>
      </c>
      <c r="DK924">
        <f>IF('История отказов'!AY927="","",IF(AND(COUNTIF($CR$2:$CR$2,'История отказов'!AY927)=0,COUNTIF('История отказов'!$AY$5:AY927,'История отказов'!AY927)=1),923,""))</f>
        <v/>
      </c>
      <c r="DL924">
        <f>IF(DB924="","",IF(AND(COUNTIF($DA$2:$DA$47,DB924)=0,COUNTIF($DB$2:DB924,DB924)=1),923,""))</f>
        <v/>
      </c>
    </row>
    <row r="925">
      <c r="A925" s="74" t="n"/>
      <c r="B925" s="75" t="n"/>
      <c r="C925" s="76" t="n"/>
      <c r="DB925">
        <f>IF('История отказов'!AH928="","",'История отказов'!AH928)</f>
        <v/>
      </c>
      <c r="DC925">
        <f>IF('История отказов'!AE928="","",IF(AND(COUNTIF($CT$2:$CT$2,'История отказов'!AE928)=0,COUNTIFS('История отказов'!$F$5:F928,"ШГН",'История отказов'!$AE$5:AE928,'История отказов'!AE928)=1,'История отказов'!F928="ШГН"),924,""))</f>
        <v/>
      </c>
      <c r="DD925">
        <f>IF('История отказов'!AE928="","",IF(AND(COUNTIF($CU$2:$CU$3,'История отказов'!AE928)=0,COUNTIFS('История отказов'!$F$5:F928,"ЭЦН",'История отказов'!$AE$5:AE928,'История отказов'!AE928)=1,'История отказов'!F928="ЭЦН"),924,""))</f>
        <v/>
      </c>
      <c r="DE925">
        <f>IF('История отказов'!AE928="","",IF(AND(COUNTIF($CV$2:$CV$3,'История отказов'!AE928)=0,COUNTIFS('История отказов'!$F$5:F928,"ЭВН",'История отказов'!$AE$5:AE928,'История отказов'!AE928)=1,'История отказов'!F928="ЭВН"),924,""))</f>
        <v/>
      </c>
      <c r="DF925">
        <f>IF('История отказов'!AE928="","",IF(AND(COUNTIF($CX$2:$CX$2,'История отказов'!AE928)=0,COUNTIFS('История отказов'!$F$5:F928,"ШВН",'История отказов'!$AE$5:AE928,'История отказов'!AE928)=1,'История отказов'!F928="ШВН"),924,""))</f>
        <v/>
      </c>
      <c r="DG925">
        <f>IF('История отказов'!AE928="","",IF(AND(COUNTIF($CW$2:$CW$2,'История отказов'!AE928)=0,COUNTIFS('История отказов'!$F$5:F928,"НПУ-ВД",'История отказов'!$AE$5:AE928,'История отказов'!AE928)=1,'История отказов'!F928="НПУ-ВД"),924,""))</f>
        <v/>
      </c>
      <c r="DH925">
        <f>IF('История отказов'!AE928="","",IF(AND(COUNTIF($CY$2:$CY$6,'История отказов'!AE928)=0,COUNTIF('История отказов'!$AE$5:AE928,'История отказов'!AE928)=1),924,""))</f>
        <v/>
      </c>
      <c r="DI925">
        <f>IF('История отказов'!AK928="","",IF(AND(COUNTIF($CL$2:$CL$3,'История отказов'!AK928)=0,COUNTIF('История отказов'!$AK$5:AK928,'История отказов'!AK928)=1),924,""))</f>
        <v/>
      </c>
      <c r="DJ925">
        <f>IF('История отказов'!AU928="","",IF(AND(COUNTIF($CP$2:$CP$3,'История отказов'!AU928)=0,COUNTIF('История отказов'!$AU$5:AU928,'История отказов'!AU928)=1),924,""))</f>
        <v/>
      </c>
      <c r="DK925">
        <f>IF('История отказов'!AY928="","",IF(AND(COUNTIF($CR$2:$CR$2,'История отказов'!AY928)=0,COUNTIF('История отказов'!$AY$5:AY928,'История отказов'!AY928)=1),924,""))</f>
        <v/>
      </c>
      <c r="DL925">
        <f>IF(DB925="","",IF(AND(COUNTIF($DA$2:$DA$47,DB925)=0,COUNTIF($DB$2:DB925,DB925)=1),924,""))</f>
        <v/>
      </c>
    </row>
    <row r="926">
      <c r="A926" s="74" t="n"/>
      <c r="B926" s="75" t="n"/>
      <c r="C926" s="76" t="n"/>
      <c r="DB926">
        <f>IF('История отказов'!AH929="","",'История отказов'!AH929)</f>
        <v/>
      </c>
      <c r="DC926">
        <f>IF('История отказов'!AE929="","",IF(AND(COUNTIF($CT$2:$CT$2,'История отказов'!AE929)=0,COUNTIFS('История отказов'!$F$5:F929,"ШГН",'История отказов'!$AE$5:AE929,'История отказов'!AE929)=1,'История отказов'!F929="ШГН"),925,""))</f>
        <v/>
      </c>
      <c r="DD926">
        <f>IF('История отказов'!AE929="","",IF(AND(COUNTIF($CU$2:$CU$3,'История отказов'!AE929)=0,COUNTIFS('История отказов'!$F$5:F929,"ЭЦН",'История отказов'!$AE$5:AE929,'История отказов'!AE929)=1,'История отказов'!F929="ЭЦН"),925,""))</f>
        <v/>
      </c>
      <c r="DE926">
        <f>IF('История отказов'!AE929="","",IF(AND(COUNTIF($CV$2:$CV$3,'История отказов'!AE929)=0,COUNTIFS('История отказов'!$F$5:F929,"ЭВН",'История отказов'!$AE$5:AE929,'История отказов'!AE929)=1,'История отказов'!F929="ЭВН"),925,""))</f>
        <v/>
      </c>
      <c r="DF926">
        <f>IF('История отказов'!AE929="","",IF(AND(COUNTIF($CX$2:$CX$2,'История отказов'!AE929)=0,COUNTIFS('История отказов'!$F$5:F929,"ШВН",'История отказов'!$AE$5:AE929,'История отказов'!AE929)=1,'История отказов'!F929="ШВН"),925,""))</f>
        <v/>
      </c>
      <c r="DG926">
        <f>IF('История отказов'!AE929="","",IF(AND(COUNTIF($CW$2:$CW$2,'История отказов'!AE929)=0,COUNTIFS('История отказов'!$F$5:F929,"НПУ-ВД",'История отказов'!$AE$5:AE929,'История отказов'!AE929)=1,'История отказов'!F929="НПУ-ВД"),925,""))</f>
        <v/>
      </c>
      <c r="DH926">
        <f>IF('История отказов'!AE929="","",IF(AND(COUNTIF($CY$2:$CY$6,'История отказов'!AE929)=0,COUNTIF('История отказов'!$AE$5:AE929,'История отказов'!AE929)=1),925,""))</f>
        <v/>
      </c>
      <c r="DI926">
        <f>IF('История отказов'!AK929="","",IF(AND(COUNTIF($CL$2:$CL$3,'История отказов'!AK929)=0,COUNTIF('История отказов'!$AK$5:AK929,'История отказов'!AK929)=1),925,""))</f>
        <v/>
      </c>
      <c r="DJ926">
        <f>IF('История отказов'!AU929="","",IF(AND(COUNTIF($CP$2:$CP$3,'История отказов'!AU929)=0,COUNTIF('История отказов'!$AU$5:AU929,'История отказов'!AU929)=1),925,""))</f>
        <v/>
      </c>
      <c r="DK926">
        <f>IF('История отказов'!AY929="","",IF(AND(COUNTIF($CR$2:$CR$2,'История отказов'!AY929)=0,COUNTIF('История отказов'!$AY$5:AY929,'История отказов'!AY929)=1),925,""))</f>
        <v/>
      </c>
      <c r="DL926">
        <f>IF(DB926="","",IF(AND(COUNTIF($DA$2:$DA$47,DB926)=0,COUNTIF($DB$2:DB926,DB926)=1),925,""))</f>
        <v/>
      </c>
    </row>
    <row r="927">
      <c r="A927" s="74" t="n"/>
      <c r="B927" s="75" t="n"/>
      <c r="C927" s="76" t="n"/>
      <c r="DB927">
        <f>IF('История отказов'!AH930="","",'История отказов'!AH930)</f>
        <v/>
      </c>
      <c r="DC927">
        <f>IF('История отказов'!AE930="","",IF(AND(COUNTIF($CT$2:$CT$2,'История отказов'!AE930)=0,COUNTIFS('История отказов'!$F$5:F930,"ШГН",'История отказов'!$AE$5:AE930,'История отказов'!AE930)=1,'История отказов'!F930="ШГН"),926,""))</f>
        <v/>
      </c>
      <c r="DD927">
        <f>IF('История отказов'!AE930="","",IF(AND(COUNTIF($CU$2:$CU$3,'История отказов'!AE930)=0,COUNTIFS('История отказов'!$F$5:F930,"ЭЦН",'История отказов'!$AE$5:AE930,'История отказов'!AE930)=1,'История отказов'!F930="ЭЦН"),926,""))</f>
        <v/>
      </c>
      <c r="DE927">
        <f>IF('История отказов'!AE930="","",IF(AND(COUNTIF($CV$2:$CV$3,'История отказов'!AE930)=0,COUNTIFS('История отказов'!$F$5:F930,"ЭВН",'История отказов'!$AE$5:AE930,'История отказов'!AE930)=1,'История отказов'!F930="ЭВН"),926,""))</f>
        <v/>
      </c>
      <c r="DF927">
        <f>IF('История отказов'!AE930="","",IF(AND(COUNTIF($CX$2:$CX$2,'История отказов'!AE930)=0,COUNTIFS('История отказов'!$F$5:F930,"ШВН",'История отказов'!$AE$5:AE930,'История отказов'!AE930)=1,'История отказов'!F930="ШВН"),926,""))</f>
        <v/>
      </c>
      <c r="DG927">
        <f>IF('История отказов'!AE930="","",IF(AND(COUNTIF($CW$2:$CW$2,'История отказов'!AE930)=0,COUNTIFS('История отказов'!$F$5:F930,"НПУ-ВД",'История отказов'!$AE$5:AE930,'История отказов'!AE930)=1,'История отказов'!F930="НПУ-ВД"),926,""))</f>
        <v/>
      </c>
      <c r="DH927">
        <f>IF('История отказов'!AE930="","",IF(AND(COUNTIF($CY$2:$CY$6,'История отказов'!AE930)=0,COUNTIF('История отказов'!$AE$5:AE930,'История отказов'!AE930)=1),926,""))</f>
        <v/>
      </c>
      <c r="DI927">
        <f>IF('История отказов'!AK930="","",IF(AND(COUNTIF($CL$2:$CL$3,'История отказов'!AK930)=0,COUNTIF('История отказов'!$AK$5:AK930,'История отказов'!AK930)=1),926,""))</f>
        <v/>
      </c>
      <c r="DJ927">
        <f>IF('История отказов'!AU930="","",IF(AND(COUNTIF($CP$2:$CP$3,'История отказов'!AU930)=0,COUNTIF('История отказов'!$AU$5:AU930,'История отказов'!AU930)=1),926,""))</f>
        <v/>
      </c>
      <c r="DK927">
        <f>IF('История отказов'!AY930="","",IF(AND(COUNTIF($CR$2:$CR$2,'История отказов'!AY930)=0,COUNTIF('История отказов'!$AY$5:AY930,'История отказов'!AY930)=1),926,""))</f>
        <v/>
      </c>
      <c r="DL927">
        <f>IF(DB927="","",IF(AND(COUNTIF($DA$2:$DA$47,DB927)=0,COUNTIF($DB$2:DB927,DB927)=1),926,""))</f>
        <v/>
      </c>
    </row>
    <row r="928">
      <c r="A928" s="74" t="n"/>
      <c r="B928" s="75" t="n"/>
      <c r="C928" s="76" t="n"/>
      <c r="DB928">
        <f>IF('История отказов'!AH931="","",'История отказов'!AH931)</f>
        <v/>
      </c>
      <c r="DC928">
        <f>IF('История отказов'!AE931="","",IF(AND(COUNTIF($CT$2:$CT$2,'История отказов'!AE931)=0,COUNTIFS('История отказов'!$F$5:F931,"ШГН",'История отказов'!$AE$5:AE931,'История отказов'!AE931)=1,'История отказов'!F931="ШГН"),927,""))</f>
        <v/>
      </c>
      <c r="DD928">
        <f>IF('История отказов'!AE931="","",IF(AND(COUNTIF($CU$2:$CU$3,'История отказов'!AE931)=0,COUNTIFS('История отказов'!$F$5:F931,"ЭЦН",'История отказов'!$AE$5:AE931,'История отказов'!AE931)=1,'История отказов'!F931="ЭЦН"),927,""))</f>
        <v/>
      </c>
      <c r="DE928">
        <f>IF('История отказов'!AE931="","",IF(AND(COUNTIF($CV$2:$CV$3,'История отказов'!AE931)=0,COUNTIFS('История отказов'!$F$5:F931,"ЭВН",'История отказов'!$AE$5:AE931,'История отказов'!AE931)=1,'История отказов'!F931="ЭВН"),927,""))</f>
        <v/>
      </c>
      <c r="DF928">
        <f>IF('История отказов'!AE931="","",IF(AND(COUNTIF($CX$2:$CX$2,'История отказов'!AE931)=0,COUNTIFS('История отказов'!$F$5:F931,"ШВН",'История отказов'!$AE$5:AE931,'История отказов'!AE931)=1,'История отказов'!F931="ШВН"),927,""))</f>
        <v/>
      </c>
      <c r="DG928">
        <f>IF('История отказов'!AE931="","",IF(AND(COUNTIF($CW$2:$CW$2,'История отказов'!AE931)=0,COUNTIFS('История отказов'!$F$5:F931,"НПУ-ВД",'История отказов'!$AE$5:AE931,'История отказов'!AE931)=1,'История отказов'!F931="НПУ-ВД"),927,""))</f>
        <v/>
      </c>
      <c r="DH928">
        <f>IF('История отказов'!AE931="","",IF(AND(COUNTIF($CY$2:$CY$6,'История отказов'!AE931)=0,COUNTIF('История отказов'!$AE$5:AE931,'История отказов'!AE931)=1),927,""))</f>
        <v/>
      </c>
      <c r="DI928">
        <f>IF('История отказов'!AK931="","",IF(AND(COUNTIF($CL$2:$CL$3,'История отказов'!AK931)=0,COUNTIF('История отказов'!$AK$5:AK931,'История отказов'!AK931)=1),927,""))</f>
        <v/>
      </c>
      <c r="DJ928">
        <f>IF('История отказов'!AU931="","",IF(AND(COUNTIF($CP$2:$CP$3,'История отказов'!AU931)=0,COUNTIF('История отказов'!$AU$5:AU931,'История отказов'!AU931)=1),927,""))</f>
        <v/>
      </c>
      <c r="DK928">
        <f>IF('История отказов'!AY931="","",IF(AND(COUNTIF($CR$2:$CR$2,'История отказов'!AY931)=0,COUNTIF('История отказов'!$AY$5:AY931,'История отказов'!AY931)=1),927,""))</f>
        <v/>
      </c>
      <c r="DL928">
        <f>IF(DB928="","",IF(AND(COUNTIF($DA$2:$DA$47,DB928)=0,COUNTIF($DB$2:DB928,DB928)=1),927,""))</f>
        <v/>
      </c>
    </row>
    <row r="929">
      <c r="A929" s="74" t="n"/>
      <c r="B929" s="75" t="n"/>
      <c r="C929" s="76" t="n"/>
      <c r="DB929">
        <f>IF('История отказов'!AH932="","",'История отказов'!AH932)</f>
        <v/>
      </c>
      <c r="DC929">
        <f>IF('История отказов'!AE932="","",IF(AND(COUNTIF($CT$2:$CT$2,'История отказов'!AE932)=0,COUNTIFS('История отказов'!$F$5:F932,"ШГН",'История отказов'!$AE$5:AE932,'История отказов'!AE932)=1,'История отказов'!F932="ШГН"),928,""))</f>
        <v/>
      </c>
      <c r="DD929">
        <f>IF('История отказов'!AE932="","",IF(AND(COUNTIF($CU$2:$CU$3,'История отказов'!AE932)=0,COUNTIFS('История отказов'!$F$5:F932,"ЭЦН",'История отказов'!$AE$5:AE932,'История отказов'!AE932)=1,'История отказов'!F932="ЭЦН"),928,""))</f>
        <v/>
      </c>
      <c r="DE929">
        <f>IF('История отказов'!AE932="","",IF(AND(COUNTIF($CV$2:$CV$3,'История отказов'!AE932)=0,COUNTIFS('История отказов'!$F$5:F932,"ЭВН",'История отказов'!$AE$5:AE932,'История отказов'!AE932)=1,'История отказов'!F932="ЭВН"),928,""))</f>
        <v/>
      </c>
      <c r="DF929">
        <f>IF('История отказов'!AE932="","",IF(AND(COUNTIF($CX$2:$CX$2,'История отказов'!AE932)=0,COUNTIFS('История отказов'!$F$5:F932,"ШВН",'История отказов'!$AE$5:AE932,'История отказов'!AE932)=1,'История отказов'!F932="ШВН"),928,""))</f>
        <v/>
      </c>
      <c r="DG929">
        <f>IF('История отказов'!AE932="","",IF(AND(COUNTIF($CW$2:$CW$2,'История отказов'!AE932)=0,COUNTIFS('История отказов'!$F$5:F932,"НПУ-ВД",'История отказов'!$AE$5:AE932,'История отказов'!AE932)=1,'История отказов'!F932="НПУ-ВД"),928,""))</f>
        <v/>
      </c>
      <c r="DH929">
        <f>IF('История отказов'!AE932="","",IF(AND(COUNTIF($CY$2:$CY$6,'История отказов'!AE932)=0,COUNTIF('История отказов'!$AE$5:AE932,'История отказов'!AE932)=1),928,""))</f>
        <v/>
      </c>
      <c r="DI929">
        <f>IF('История отказов'!AK932="","",IF(AND(COUNTIF($CL$2:$CL$3,'История отказов'!AK932)=0,COUNTIF('История отказов'!$AK$5:AK932,'История отказов'!AK932)=1),928,""))</f>
        <v/>
      </c>
      <c r="DJ929">
        <f>IF('История отказов'!AU932="","",IF(AND(COUNTIF($CP$2:$CP$3,'История отказов'!AU932)=0,COUNTIF('История отказов'!$AU$5:AU932,'История отказов'!AU932)=1),928,""))</f>
        <v/>
      </c>
      <c r="DK929">
        <f>IF('История отказов'!AY932="","",IF(AND(COUNTIF($CR$2:$CR$2,'История отказов'!AY932)=0,COUNTIF('История отказов'!$AY$5:AY932,'История отказов'!AY932)=1),928,""))</f>
        <v/>
      </c>
      <c r="DL929">
        <f>IF(DB929="","",IF(AND(COUNTIF($DA$2:$DA$47,DB929)=0,COUNTIF($DB$2:DB929,DB929)=1),928,""))</f>
        <v/>
      </c>
    </row>
    <row r="930">
      <c r="A930" s="74" t="n"/>
      <c r="B930" s="75" t="n"/>
      <c r="C930" s="76" t="n"/>
      <c r="DB930">
        <f>IF('История отказов'!AH933="","",'История отказов'!AH933)</f>
        <v/>
      </c>
      <c r="DC930">
        <f>IF('История отказов'!AE933="","",IF(AND(COUNTIF($CT$2:$CT$2,'История отказов'!AE933)=0,COUNTIFS('История отказов'!$F$5:F933,"ШГН",'История отказов'!$AE$5:AE933,'История отказов'!AE933)=1,'История отказов'!F933="ШГН"),929,""))</f>
        <v/>
      </c>
      <c r="DD930">
        <f>IF('История отказов'!AE933="","",IF(AND(COUNTIF($CU$2:$CU$3,'История отказов'!AE933)=0,COUNTIFS('История отказов'!$F$5:F933,"ЭЦН",'История отказов'!$AE$5:AE933,'История отказов'!AE933)=1,'История отказов'!F933="ЭЦН"),929,""))</f>
        <v/>
      </c>
      <c r="DE930">
        <f>IF('История отказов'!AE933="","",IF(AND(COUNTIF($CV$2:$CV$3,'История отказов'!AE933)=0,COUNTIFS('История отказов'!$F$5:F933,"ЭВН",'История отказов'!$AE$5:AE933,'История отказов'!AE933)=1,'История отказов'!F933="ЭВН"),929,""))</f>
        <v/>
      </c>
      <c r="DF930">
        <f>IF('История отказов'!AE933="","",IF(AND(COUNTIF($CX$2:$CX$2,'История отказов'!AE933)=0,COUNTIFS('История отказов'!$F$5:F933,"ШВН",'История отказов'!$AE$5:AE933,'История отказов'!AE933)=1,'История отказов'!F933="ШВН"),929,""))</f>
        <v/>
      </c>
      <c r="DG930">
        <f>IF('История отказов'!AE933="","",IF(AND(COUNTIF($CW$2:$CW$2,'История отказов'!AE933)=0,COUNTIFS('История отказов'!$F$5:F933,"НПУ-ВД",'История отказов'!$AE$5:AE933,'История отказов'!AE933)=1,'История отказов'!F933="НПУ-ВД"),929,""))</f>
        <v/>
      </c>
      <c r="DH930">
        <f>IF('История отказов'!AE933="","",IF(AND(COUNTIF($CY$2:$CY$6,'История отказов'!AE933)=0,COUNTIF('История отказов'!$AE$5:AE933,'История отказов'!AE933)=1),929,""))</f>
        <v/>
      </c>
      <c r="DI930">
        <f>IF('История отказов'!AK933="","",IF(AND(COUNTIF($CL$2:$CL$3,'История отказов'!AK933)=0,COUNTIF('История отказов'!$AK$5:AK933,'История отказов'!AK933)=1),929,""))</f>
        <v/>
      </c>
      <c r="DJ930">
        <f>IF('История отказов'!AU933="","",IF(AND(COUNTIF($CP$2:$CP$3,'История отказов'!AU933)=0,COUNTIF('История отказов'!$AU$5:AU933,'История отказов'!AU933)=1),929,""))</f>
        <v/>
      </c>
      <c r="DK930">
        <f>IF('История отказов'!AY933="","",IF(AND(COUNTIF($CR$2:$CR$2,'История отказов'!AY933)=0,COUNTIF('История отказов'!$AY$5:AY933,'История отказов'!AY933)=1),929,""))</f>
        <v/>
      </c>
      <c r="DL930">
        <f>IF(DB930="","",IF(AND(COUNTIF($DA$2:$DA$47,DB930)=0,COUNTIF($DB$2:DB930,DB930)=1),929,""))</f>
        <v/>
      </c>
    </row>
    <row r="931">
      <c r="A931" s="74" t="n"/>
      <c r="B931" s="75" t="n"/>
      <c r="C931" s="76" t="n"/>
      <c r="DB931">
        <f>IF('История отказов'!AH934="","",'История отказов'!AH934)</f>
        <v/>
      </c>
      <c r="DC931">
        <f>IF('История отказов'!AE934="","",IF(AND(COUNTIF($CT$2:$CT$2,'История отказов'!AE934)=0,COUNTIFS('История отказов'!$F$5:F934,"ШГН",'История отказов'!$AE$5:AE934,'История отказов'!AE934)=1,'История отказов'!F934="ШГН"),930,""))</f>
        <v/>
      </c>
      <c r="DD931">
        <f>IF('История отказов'!AE934="","",IF(AND(COUNTIF($CU$2:$CU$3,'История отказов'!AE934)=0,COUNTIFS('История отказов'!$F$5:F934,"ЭЦН",'История отказов'!$AE$5:AE934,'История отказов'!AE934)=1,'История отказов'!F934="ЭЦН"),930,""))</f>
        <v/>
      </c>
      <c r="DE931">
        <f>IF('История отказов'!AE934="","",IF(AND(COUNTIF($CV$2:$CV$3,'История отказов'!AE934)=0,COUNTIFS('История отказов'!$F$5:F934,"ЭВН",'История отказов'!$AE$5:AE934,'История отказов'!AE934)=1,'История отказов'!F934="ЭВН"),930,""))</f>
        <v/>
      </c>
      <c r="DF931">
        <f>IF('История отказов'!AE934="","",IF(AND(COUNTIF($CX$2:$CX$2,'История отказов'!AE934)=0,COUNTIFS('История отказов'!$F$5:F934,"ШВН",'История отказов'!$AE$5:AE934,'История отказов'!AE934)=1,'История отказов'!F934="ШВН"),930,""))</f>
        <v/>
      </c>
      <c r="DG931">
        <f>IF('История отказов'!AE934="","",IF(AND(COUNTIF($CW$2:$CW$2,'История отказов'!AE934)=0,COUNTIFS('История отказов'!$F$5:F934,"НПУ-ВД",'История отказов'!$AE$5:AE934,'История отказов'!AE934)=1,'История отказов'!F934="НПУ-ВД"),930,""))</f>
        <v/>
      </c>
      <c r="DH931">
        <f>IF('История отказов'!AE934="","",IF(AND(COUNTIF($CY$2:$CY$6,'История отказов'!AE934)=0,COUNTIF('История отказов'!$AE$5:AE934,'История отказов'!AE934)=1),930,""))</f>
        <v/>
      </c>
      <c r="DI931">
        <f>IF('История отказов'!AK934="","",IF(AND(COUNTIF($CL$2:$CL$3,'История отказов'!AK934)=0,COUNTIF('История отказов'!$AK$5:AK934,'История отказов'!AK934)=1),930,""))</f>
        <v/>
      </c>
      <c r="DJ931">
        <f>IF('История отказов'!AU934="","",IF(AND(COUNTIF($CP$2:$CP$3,'История отказов'!AU934)=0,COUNTIF('История отказов'!$AU$5:AU934,'История отказов'!AU934)=1),930,""))</f>
        <v/>
      </c>
      <c r="DK931">
        <f>IF('История отказов'!AY934="","",IF(AND(COUNTIF($CR$2:$CR$2,'История отказов'!AY934)=0,COUNTIF('История отказов'!$AY$5:AY934,'История отказов'!AY934)=1),930,""))</f>
        <v/>
      </c>
      <c r="DL931">
        <f>IF(DB931="","",IF(AND(COUNTIF($DA$2:$DA$47,DB931)=0,COUNTIF($DB$2:DB931,DB931)=1),930,""))</f>
        <v/>
      </c>
    </row>
    <row r="932">
      <c r="A932" s="74" t="n"/>
      <c r="B932" s="75" t="n"/>
      <c r="C932" s="76" t="n"/>
      <c r="DB932">
        <f>IF('История отказов'!AH935="","",'История отказов'!AH935)</f>
        <v/>
      </c>
      <c r="DC932">
        <f>IF('История отказов'!AE935="","",IF(AND(COUNTIF($CT$2:$CT$2,'История отказов'!AE935)=0,COUNTIFS('История отказов'!$F$5:F935,"ШГН",'История отказов'!$AE$5:AE935,'История отказов'!AE935)=1,'История отказов'!F935="ШГН"),931,""))</f>
        <v/>
      </c>
      <c r="DD932">
        <f>IF('История отказов'!AE935="","",IF(AND(COUNTIF($CU$2:$CU$3,'История отказов'!AE935)=0,COUNTIFS('История отказов'!$F$5:F935,"ЭЦН",'История отказов'!$AE$5:AE935,'История отказов'!AE935)=1,'История отказов'!F935="ЭЦН"),931,""))</f>
        <v/>
      </c>
      <c r="DE932">
        <f>IF('История отказов'!AE935="","",IF(AND(COUNTIF($CV$2:$CV$3,'История отказов'!AE935)=0,COUNTIFS('История отказов'!$F$5:F935,"ЭВН",'История отказов'!$AE$5:AE935,'История отказов'!AE935)=1,'История отказов'!F935="ЭВН"),931,""))</f>
        <v/>
      </c>
      <c r="DF932">
        <f>IF('История отказов'!AE935="","",IF(AND(COUNTIF($CX$2:$CX$2,'История отказов'!AE935)=0,COUNTIFS('История отказов'!$F$5:F935,"ШВН",'История отказов'!$AE$5:AE935,'История отказов'!AE935)=1,'История отказов'!F935="ШВН"),931,""))</f>
        <v/>
      </c>
      <c r="DG932">
        <f>IF('История отказов'!AE935="","",IF(AND(COUNTIF($CW$2:$CW$2,'История отказов'!AE935)=0,COUNTIFS('История отказов'!$F$5:F935,"НПУ-ВД",'История отказов'!$AE$5:AE935,'История отказов'!AE935)=1,'История отказов'!F935="НПУ-ВД"),931,""))</f>
        <v/>
      </c>
      <c r="DH932">
        <f>IF('История отказов'!AE935="","",IF(AND(COUNTIF($CY$2:$CY$6,'История отказов'!AE935)=0,COUNTIF('История отказов'!$AE$5:AE935,'История отказов'!AE935)=1),931,""))</f>
        <v/>
      </c>
      <c r="DI932">
        <f>IF('История отказов'!AK935="","",IF(AND(COUNTIF($CL$2:$CL$3,'История отказов'!AK935)=0,COUNTIF('История отказов'!$AK$5:AK935,'История отказов'!AK935)=1),931,""))</f>
        <v/>
      </c>
      <c r="DJ932">
        <f>IF('История отказов'!AU935="","",IF(AND(COUNTIF($CP$2:$CP$3,'История отказов'!AU935)=0,COUNTIF('История отказов'!$AU$5:AU935,'История отказов'!AU935)=1),931,""))</f>
        <v/>
      </c>
      <c r="DK932">
        <f>IF('История отказов'!AY935="","",IF(AND(COUNTIF($CR$2:$CR$2,'История отказов'!AY935)=0,COUNTIF('История отказов'!$AY$5:AY935,'История отказов'!AY935)=1),931,""))</f>
        <v/>
      </c>
      <c r="DL932">
        <f>IF(DB932="","",IF(AND(COUNTIF($DA$2:$DA$47,DB932)=0,COUNTIF($DB$2:DB932,DB932)=1),931,""))</f>
        <v/>
      </c>
    </row>
    <row r="933">
      <c r="A933" s="74" t="n"/>
      <c r="B933" s="75" t="n"/>
      <c r="C933" s="76" t="n"/>
      <c r="DB933">
        <f>IF('История отказов'!AH936="","",'История отказов'!AH936)</f>
        <v/>
      </c>
      <c r="DC933">
        <f>IF('История отказов'!AE936="","",IF(AND(COUNTIF($CT$2:$CT$2,'История отказов'!AE936)=0,COUNTIFS('История отказов'!$F$5:F936,"ШГН",'История отказов'!$AE$5:AE936,'История отказов'!AE936)=1,'История отказов'!F936="ШГН"),932,""))</f>
        <v/>
      </c>
      <c r="DD933">
        <f>IF('История отказов'!AE936="","",IF(AND(COUNTIF($CU$2:$CU$3,'История отказов'!AE936)=0,COUNTIFS('История отказов'!$F$5:F936,"ЭЦН",'История отказов'!$AE$5:AE936,'История отказов'!AE936)=1,'История отказов'!F936="ЭЦН"),932,""))</f>
        <v/>
      </c>
      <c r="DE933">
        <f>IF('История отказов'!AE936="","",IF(AND(COUNTIF($CV$2:$CV$3,'История отказов'!AE936)=0,COUNTIFS('История отказов'!$F$5:F936,"ЭВН",'История отказов'!$AE$5:AE936,'История отказов'!AE936)=1,'История отказов'!F936="ЭВН"),932,""))</f>
        <v/>
      </c>
      <c r="DF933">
        <f>IF('История отказов'!AE936="","",IF(AND(COUNTIF($CX$2:$CX$2,'История отказов'!AE936)=0,COUNTIFS('История отказов'!$F$5:F936,"ШВН",'История отказов'!$AE$5:AE936,'История отказов'!AE936)=1,'История отказов'!F936="ШВН"),932,""))</f>
        <v/>
      </c>
      <c r="DG933">
        <f>IF('История отказов'!AE936="","",IF(AND(COUNTIF($CW$2:$CW$2,'История отказов'!AE936)=0,COUNTIFS('История отказов'!$F$5:F936,"НПУ-ВД",'История отказов'!$AE$5:AE936,'История отказов'!AE936)=1,'История отказов'!F936="НПУ-ВД"),932,""))</f>
        <v/>
      </c>
      <c r="DH933">
        <f>IF('История отказов'!AE936="","",IF(AND(COUNTIF($CY$2:$CY$6,'История отказов'!AE936)=0,COUNTIF('История отказов'!$AE$5:AE936,'История отказов'!AE936)=1),932,""))</f>
        <v/>
      </c>
      <c r="DI933">
        <f>IF('История отказов'!AK936="","",IF(AND(COUNTIF($CL$2:$CL$3,'История отказов'!AK936)=0,COUNTIF('История отказов'!$AK$5:AK936,'История отказов'!AK936)=1),932,""))</f>
        <v/>
      </c>
      <c r="DJ933">
        <f>IF('История отказов'!AU936="","",IF(AND(COUNTIF($CP$2:$CP$3,'История отказов'!AU936)=0,COUNTIF('История отказов'!$AU$5:AU936,'История отказов'!AU936)=1),932,""))</f>
        <v/>
      </c>
      <c r="DK933">
        <f>IF('История отказов'!AY936="","",IF(AND(COUNTIF($CR$2:$CR$2,'История отказов'!AY936)=0,COUNTIF('История отказов'!$AY$5:AY936,'История отказов'!AY936)=1),932,""))</f>
        <v/>
      </c>
      <c r="DL933">
        <f>IF(DB933="","",IF(AND(COUNTIF($DA$2:$DA$47,DB933)=0,COUNTIF($DB$2:DB933,DB933)=1),932,""))</f>
        <v/>
      </c>
    </row>
    <row r="934">
      <c r="A934" s="74" t="n"/>
      <c r="B934" s="75" t="n"/>
      <c r="C934" s="76" t="n"/>
      <c r="DB934">
        <f>IF('История отказов'!AH937="","",'История отказов'!AH937)</f>
        <v/>
      </c>
      <c r="DC934">
        <f>IF('История отказов'!AE937="","",IF(AND(COUNTIF($CT$2:$CT$2,'История отказов'!AE937)=0,COUNTIFS('История отказов'!$F$5:F937,"ШГН",'История отказов'!$AE$5:AE937,'История отказов'!AE937)=1,'История отказов'!F937="ШГН"),933,""))</f>
        <v/>
      </c>
      <c r="DD934">
        <f>IF('История отказов'!AE937="","",IF(AND(COUNTIF($CU$2:$CU$3,'История отказов'!AE937)=0,COUNTIFS('История отказов'!$F$5:F937,"ЭЦН",'История отказов'!$AE$5:AE937,'История отказов'!AE937)=1,'История отказов'!F937="ЭЦН"),933,""))</f>
        <v/>
      </c>
      <c r="DE934">
        <f>IF('История отказов'!AE937="","",IF(AND(COUNTIF($CV$2:$CV$3,'История отказов'!AE937)=0,COUNTIFS('История отказов'!$F$5:F937,"ЭВН",'История отказов'!$AE$5:AE937,'История отказов'!AE937)=1,'История отказов'!F937="ЭВН"),933,""))</f>
        <v/>
      </c>
      <c r="DF934">
        <f>IF('История отказов'!AE937="","",IF(AND(COUNTIF($CX$2:$CX$2,'История отказов'!AE937)=0,COUNTIFS('История отказов'!$F$5:F937,"ШВН",'История отказов'!$AE$5:AE937,'История отказов'!AE937)=1,'История отказов'!F937="ШВН"),933,""))</f>
        <v/>
      </c>
      <c r="DG934">
        <f>IF('История отказов'!AE937="","",IF(AND(COUNTIF($CW$2:$CW$2,'История отказов'!AE937)=0,COUNTIFS('История отказов'!$F$5:F937,"НПУ-ВД",'История отказов'!$AE$5:AE937,'История отказов'!AE937)=1,'История отказов'!F937="НПУ-ВД"),933,""))</f>
        <v/>
      </c>
      <c r="DH934">
        <f>IF('История отказов'!AE937="","",IF(AND(COUNTIF($CY$2:$CY$6,'История отказов'!AE937)=0,COUNTIF('История отказов'!$AE$5:AE937,'История отказов'!AE937)=1),933,""))</f>
        <v/>
      </c>
      <c r="DI934">
        <f>IF('История отказов'!AK937="","",IF(AND(COUNTIF($CL$2:$CL$3,'История отказов'!AK937)=0,COUNTIF('История отказов'!$AK$5:AK937,'История отказов'!AK937)=1),933,""))</f>
        <v/>
      </c>
      <c r="DJ934">
        <f>IF('История отказов'!AU937="","",IF(AND(COUNTIF($CP$2:$CP$3,'История отказов'!AU937)=0,COUNTIF('История отказов'!$AU$5:AU937,'История отказов'!AU937)=1),933,""))</f>
        <v/>
      </c>
      <c r="DK934">
        <f>IF('История отказов'!AY937="","",IF(AND(COUNTIF($CR$2:$CR$2,'История отказов'!AY937)=0,COUNTIF('История отказов'!$AY$5:AY937,'История отказов'!AY937)=1),933,""))</f>
        <v/>
      </c>
      <c r="DL934">
        <f>IF(DB934="","",IF(AND(COUNTIF($DA$2:$DA$47,DB934)=0,COUNTIF($DB$2:DB934,DB934)=1),933,""))</f>
        <v/>
      </c>
    </row>
    <row r="935">
      <c r="A935" s="74" t="n"/>
      <c r="B935" s="75" t="n"/>
      <c r="C935" s="76" t="n"/>
      <c r="DB935">
        <f>IF('История отказов'!AH938="","",'История отказов'!AH938)</f>
        <v/>
      </c>
      <c r="DC935">
        <f>IF('История отказов'!AE938="","",IF(AND(COUNTIF($CT$2:$CT$2,'История отказов'!AE938)=0,COUNTIFS('История отказов'!$F$5:F938,"ШГН",'История отказов'!$AE$5:AE938,'История отказов'!AE938)=1,'История отказов'!F938="ШГН"),934,""))</f>
        <v/>
      </c>
      <c r="DD935">
        <f>IF('История отказов'!AE938="","",IF(AND(COUNTIF($CU$2:$CU$3,'История отказов'!AE938)=0,COUNTIFS('История отказов'!$F$5:F938,"ЭЦН",'История отказов'!$AE$5:AE938,'История отказов'!AE938)=1,'История отказов'!F938="ЭЦН"),934,""))</f>
        <v/>
      </c>
      <c r="DE935">
        <f>IF('История отказов'!AE938="","",IF(AND(COUNTIF($CV$2:$CV$3,'История отказов'!AE938)=0,COUNTIFS('История отказов'!$F$5:F938,"ЭВН",'История отказов'!$AE$5:AE938,'История отказов'!AE938)=1,'История отказов'!F938="ЭВН"),934,""))</f>
        <v/>
      </c>
      <c r="DF935">
        <f>IF('История отказов'!AE938="","",IF(AND(COUNTIF($CX$2:$CX$2,'История отказов'!AE938)=0,COUNTIFS('История отказов'!$F$5:F938,"ШВН",'История отказов'!$AE$5:AE938,'История отказов'!AE938)=1,'История отказов'!F938="ШВН"),934,""))</f>
        <v/>
      </c>
      <c r="DG935">
        <f>IF('История отказов'!AE938="","",IF(AND(COUNTIF($CW$2:$CW$2,'История отказов'!AE938)=0,COUNTIFS('История отказов'!$F$5:F938,"НПУ-ВД",'История отказов'!$AE$5:AE938,'История отказов'!AE938)=1,'История отказов'!F938="НПУ-ВД"),934,""))</f>
        <v/>
      </c>
      <c r="DH935">
        <f>IF('История отказов'!AE938="","",IF(AND(COUNTIF($CY$2:$CY$6,'История отказов'!AE938)=0,COUNTIF('История отказов'!$AE$5:AE938,'История отказов'!AE938)=1),934,""))</f>
        <v/>
      </c>
      <c r="DI935">
        <f>IF('История отказов'!AK938="","",IF(AND(COUNTIF($CL$2:$CL$3,'История отказов'!AK938)=0,COUNTIF('История отказов'!$AK$5:AK938,'История отказов'!AK938)=1),934,""))</f>
        <v/>
      </c>
      <c r="DJ935">
        <f>IF('История отказов'!AU938="","",IF(AND(COUNTIF($CP$2:$CP$3,'История отказов'!AU938)=0,COUNTIF('История отказов'!$AU$5:AU938,'История отказов'!AU938)=1),934,""))</f>
        <v/>
      </c>
      <c r="DK935">
        <f>IF('История отказов'!AY938="","",IF(AND(COUNTIF($CR$2:$CR$2,'История отказов'!AY938)=0,COUNTIF('История отказов'!$AY$5:AY938,'История отказов'!AY938)=1),934,""))</f>
        <v/>
      </c>
      <c r="DL935">
        <f>IF(DB935="","",IF(AND(COUNTIF($DA$2:$DA$47,DB935)=0,COUNTIF($DB$2:DB935,DB935)=1),934,""))</f>
        <v/>
      </c>
    </row>
    <row r="936">
      <c r="A936" s="74" t="n"/>
      <c r="B936" s="75" t="n"/>
      <c r="C936" s="76" t="n"/>
      <c r="DB936">
        <f>IF('История отказов'!AH939="","",'История отказов'!AH939)</f>
        <v/>
      </c>
      <c r="DC936">
        <f>IF('История отказов'!AE939="","",IF(AND(COUNTIF($CT$2:$CT$2,'История отказов'!AE939)=0,COUNTIFS('История отказов'!$F$5:F939,"ШГН",'История отказов'!$AE$5:AE939,'История отказов'!AE939)=1,'История отказов'!F939="ШГН"),935,""))</f>
        <v/>
      </c>
      <c r="DD936">
        <f>IF('История отказов'!AE939="","",IF(AND(COUNTIF($CU$2:$CU$3,'История отказов'!AE939)=0,COUNTIFS('История отказов'!$F$5:F939,"ЭЦН",'История отказов'!$AE$5:AE939,'История отказов'!AE939)=1,'История отказов'!F939="ЭЦН"),935,""))</f>
        <v/>
      </c>
      <c r="DE936">
        <f>IF('История отказов'!AE939="","",IF(AND(COUNTIF($CV$2:$CV$3,'История отказов'!AE939)=0,COUNTIFS('История отказов'!$F$5:F939,"ЭВН",'История отказов'!$AE$5:AE939,'История отказов'!AE939)=1,'История отказов'!F939="ЭВН"),935,""))</f>
        <v/>
      </c>
      <c r="DF936">
        <f>IF('История отказов'!AE939="","",IF(AND(COUNTIF($CX$2:$CX$2,'История отказов'!AE939)=0,COUNTIFS('История отказов'!$F$5:F939,"ШВН",'История отказов'!$AE$5:AE939,'История отказов'!AE939)=1,'История отказов'!F939="ШВН"),935,""))</f>
        <v/>
      </c>
      <c r="DG936">
        <f>IF('История отказов'!AE939="","",IF(AND(COUNTIF($CW$2:$CW$2,'История отказов'!AE939)=0,COUNTIFS('История отказов'!$F$5:F939,"НПУ-ВД",'История отказов'!$AE$5:AE939,'История отказов'!AE939)=1,'История отказов'!F939="НПУ-ВД"),935,""))</f>
        <v/>
      </c>
      <c r="DH936">
        <f>IF('История отказов'!AE939="","",IF(AND(COUNTIF($CY$2:$CY$6,'История отказов'!AE939)=0,COUNTIF('История отказов'!$AE$5:AE939,'История отказов'!AE939)=1),935,""))</f>
        <v/>
      </c>
      <c r="DI936">
        <f>IF('История отказов'!AK939="","",IF(AND(COUNTIF($CL$2:$CL$3,'История отказов'!AK939)=0,COUNTIF('История отказов'!$AK$5:AK939,'История отказов'!AK939)=1),935,""))</f>
        <v/>
      </c>
      <c r="DJ936">
        <f>IF('История отказов'!AU939="","",IF(AND(COUNTIF($CP$2:$CP$3,'История отказов'!AU939)=0,COUNTIF('История отказов'!$AU$5:AU939,'История отказов'!AU939)=1),935,""))</f>
        <v/>
      </c>
      <c r="DK936">
        <f>IF('История отказов'!AY939="","",IF(AND(COUNTIF($CR$2:$CR$2,'История отказов'!AY939)=0,COUNTIF('История отказов'!$AY$5:AY939,'История отказов'!AY939)=1),935,""))</f>
        <v/>
      </c>
      <c r="DL936">
        <f>IF(DB936="","",IF(AND(COUNTIF($DA$2:$DA$47,DB936)=0,COUNTIF($DB$2:DB936,DB936)=1),935,""))</f>
        <v/>
      </c>
    </row>
    <row r="937">
      <c r="A937" s="74" t="n"/>
      <c r="B937" s="75" t="n"/>
      <c r="C937" s="76" t="n"/>
      <c r="DB937">
        <f>IF('История отказов'!AH940="","",'История отказов'!AH940)</f>
        <v/>
      </c>
      <c r="DC937">
        <f>IF('История отказов'!AE940="","",IF(AND(COUNTIF($CT$2:$CT$2,'История отказов'!AE940)=0,COUNTIFS('История отказов'!$F$5:F940,"ШГН",'История отказов'!$AE$5:AE940,'История отказов'!AE940)=1,'История отказов'!F940="ШГН"),936,""))</f>
        <v/>
      </c>
      <c r="DD937">
        <f>IF('История отказов'!AE940="","",IF(AND(COUNTIF($CU$2:$CU$3,'История отказов'!AE940)=0,COUNTIFS('История отказов'!$F$5:F940,"ЭЦН",'История отказов'!$AE$5:AE940,'История отказов'!AE940)=1,'История отказов'!F940="ЭЦН"),936,""))</f>
        <v/>
      </c>
      <c r="DE937">
        <f>IF('История отказов'!AE940="","",IF(AND(COUNTIF($CV$2:$CV$3,'История отказов'!AE940)=0,COUNTIFS('История отказов'!$F$5:F940,"ЭВН",'История отказов'!$AE$5:AE940,'История отказов'!AE940)=1,'История отказов'!F940="ЭВН"),936,""))</f>
        <v/>
      </c>
      <c r="DF937">
        <f>IF('История отказов'!AE940="","",IF(AND(COUNTIF($CX$2:$CX$2,'История отказов'!AE940)=0,COUNTIFS('История отказов'!$F$5:F940,"ШВН",'История отказов'!$AE$5:AE940,'История отказов'!AE940)=1,'История отказов'!F940="ШВН"),936,""))</f>
        <v/>
      </c>
      <c r="DG937">
        <f>IF('История отказов'!AE940="","",IF(AND(COUNTIF($CW$2:$CW$2,'История отказов'!AE940)=0,COUNTIFS('История отказов'!$F$5:F940,"НПУ-ВД",'История отказов'!$AE$5:AE940,'История отказов'!AE940)=1,'История отказов'!F940="НПУ-ВД"),936,""))</f>
        <v/>
      </c>
      <c r="DH937">
        <f>IF('История отказов'!AE940="","",IF(AND(COUNTIF($CY$2:$CY$6,'История отказов'!AE940)=0,COUNTIF('История отказов'!$AE$5:AE940,'История отказов'!AE940)=1),936,""))</f>
        <v/>
      </c>
      <c r="DI937">
        <f>IF('История отказов'!AK940="","",IF(AND(COUNTIF($CL$2:$CL$3,'История отказов'!AK940)=0,COUNTIF('История отказов'!$AK$5:AK940,'История отказов'!AK940)=1),936,""))</f>
        <v/>
      </c>
      <c r="DJ937">
        <f>IF('История отказов'!AU940="","",IF(AND(COUNTIF($CP$2:$CP$3,'История отказов'!AU940)=0,COUNTIF('История отказов'!$AU$5:AU940,'История отказов'!AU940)=1),936,""))</f>
        <v/>
      </c>
      <c r="DK937">
        <f>IF('История отказов'!AY940="","",IF(AND(COUNTIF($CR$2:$CR$2,'История отказов'!AY940)=0,COUNTIF('История отказов'!$AY$5:AY940,'История отказов'!AY940)=1),936,""))</f>
        <v/>
      </c>
      <c r="DL937">
        <f>IF(DB937="","",IF(AND(COUNTIF($DA$2:$DA$47,DB937)=0,COUNTIF($DB$2:DB937,DB937)=1),936,""))</f>
        <v/>
      </c>
    </row>
    <row r="938">
      <c r="A938" s="74" t="n"/>
      <c r="B938" s="75" t="n"/>
      <c r="C938" s="76" t="n"/>
      <c r="DB938">
        <f>IF('История отказов'!AH941="","",'История отказов'!AH941)</f>
        <v/>
      </c>
      <c r="DC938">
        <f>IF('История отказов'!AE941="","",IF(AND(COUNTIF($CT$2:$CT$2,'История отказов'!AE941)=0,COUNTIFS('История отказов'!$F$5:F941,"ШГН",'История отказов'!$AE$5:AE941,'История отказов'!AE941)=1,'История отказов'!F941="ШГН"),937,""))</f>
        <v/>
      </c>
      <c r="DD938">
        <f>IF('История отказов'!AE941="","",IF(AND(COUNTIF($CU$2:$CU$3,'История отказов'!AE941)=0,COUNTIFS('История отказов'!$F$5:F941,"ЭЦН",'История отказов'!$AE$5:AE941,'История отказов'!AE941)=1,'История отказов'!F941="ЭЦН"),937,""))</f>
        <v/>
      </c>
      <c r="DE938">
        <f>IF('История отказов'!AE941="","",IF(AND(COUNTIF($CV$2:$CV$3,'История отказов'!AE941)=0,COUNTIFS('История отказов'!$F$5:F941,"ЭВН",'История отказов'!$AE$5:AE941,'История отказов'!AE941)=1,'История отказов'!F941="ЭВН"),937,""))</f>
        <v/>
      </c>
      <c r="DF938">
        <f>IF('История отказов'!AE941="","",IF(AND(COUNTIF($CX$2:$CX$2,'История отказов'!AE941)=0,COUNTIFS('История отказов'!$F$5:F941,"ШВН",'История отказов'!$AE$5:AE941,'История отказов'!AE941)=1,'История отказов'!F941="ШВН"),937,""))</f>
        <v/>
      </c>
      <c r="DG938">
        <f>IF('История отказов'!AE941="","",IF(AND(COUNTIF($CW$2:$CW$2,'История отказов'!AE941)=0,COUNTIFS('История отказов'!$F$5:F941,"НПУ-ВД",'История отказов'!$AE$5:AE941,'История отказов'!AE941)=1,'История отказов'!F941="НПУ-ВД"),937,""))</f>
        <v/>
      </c>
      <c r="DH938">
        <f>IF('История отказов'!AE941="","",IF(AND(COUNTIF($CY$2:$CY$6,'История отказов'!AE941)=0,COUNTIF('История отказов'!$AE$5:AE941,'История отказов'!AE941)=1),937,""))</f>
        <v/>
      </c>
      <c r="DI938">
        <f>IF('История отказов'!AK941="","",IF(AND(COUNTIF($CL$2:$CL$3,'История отказов'!AK941)=0,COUNTIF('История отказов'!$AK$5:AK941,'История отказов'!AK941)=1),937,""))</f>
        <v/>
      </c>
      <c r="DJ938">
        <f>IF('История отказов'!AU941="","",IF(AND(COUNTIF($CP$2:$CP$3,'История отказов'!AU941)=0,COUNTIF('История отказов'!$AU$5:AU941,'История отказов'!AU941)=1),937,""))</f>
        <v/>
      </c>
      <c r="DK938">
        <f>IF('История отказов'!AY941="","",IF(AND(COUNTIF($CR$2:$CR$2,'История отказов'!AY941)=0,COUNTIF('История отказов'!$AY$5:AY941,'История отказов'!AY941)=1),937,""))</f>
        <v/>
      </c>
      <c r="DL938">
        <f>IF(DB938="","",IF(AND(COUNTIF($DA$2:$DA$47,DB938)=0,COUNTIF($DB$2:DB938,DB938)=1),937,""))</f>
        <v/>
      </c>
    </row>
    <row r="939">
      <c r="A939" s="74" t="n"/>
      <c r="B939" s="75" t="n"/>
      <c r="C939" s="76" t="n"/>
      <c r="DB939">
        <f>IF('История отказов'!AH942="","",'История отказов'!AH942)</f>
        <v/>
      </c>
      <c r="DC939">
        <f>IF('История отказов'!AE942="","",IF(AND(COUNTIF($CT$2:$CT$2,'История отказов'!AE942)=0,COUNTIFS('История отказов'!$F$5:F942,"ШГН",'История отказов'!$AE$5:AE942,'История отказов'!AE942)=1,'История отказов'!F942="ШГН"),938,""))</f>
        <v/>
      </c>
      <c r="DD939">
        <f>IF('История отказов'!AE942="","",IF(AND(COUNTIF($CU$2:$CU$3,'История отказов'!AE942)=0,COUNTIFS('История отказов'!$F$5:F942,"ЭЦН",'История отказов'!$AE$5:AE942,'История отказов'!AE942)=1,'История отказов'!F942="ЭЦН"),938,""))</f>
        <v/>
      </c>
      <c r="DE939">
        <f>IF('История отказов'!AE942="","",IF(AND(COUNTIF($CV$2:$CV$3,'История отказов'!AE942)=0,COUNTIFS('История отказов'!$F$5:F942,"ЭВН",'История отказов'!$AE$5:AE942,'История отказов'!AE942)=1,'История отказов'!F942="ЭВН"),938,""))</f>
        <v/>
      </c>
      <c r="DF939">
        <f>IF('История отказов'!AE942="","",IF(AND(COUNTIF($CX$2:$CX$2,'История отказов'!AE942)=0,COUNTIFS('История отказов'!$F$5:F942,"ШВН",'История отказов'!$AE$5:AE942,'История отказов'!AE942)=1,'История отказов'!F942="ШВН"),938,""))</f>
        <v/>
      </c>
      <c r="DG939">
        <f>IF('История отказов'!AE942="","",IF(AND(COUNTIF($CW$2:$CW$2,'История отказов'!AE942)=0,COUNTIFS('История отказов'!$F$5:F942,"НПУ-ВД",'История отказов'!$AE$5:AE942,'История отказов'!AE942)=1,'История отказов'!F942="НПУ-ВД"),938,""))</f>
        <v/>
      </c>
      <c r="DH939">
        <f>IF('История отказов'!AE942="","",IF(AND(COUNTIF($CY$2:$CY$6,'История отказов'!AE942)=0,COUNTIF('История отказов'!$AE$5:AE942,'История отказов'!AE942)=1),938,""))</f>
        <v/>
      </c>
      <c r="DI939">
        <f>IF('История отказов'!AK942="","",IF(AND(COUNTIF($CL$2:$CL$3,'История отказов'!AK942)=0,COUNTIF('История отказов'!$AK$5:AK942,'История отказов'!AK942)=1),938,""))</f>
        <v/>
      </c>
      <c r="DJ939">
        <f>IF('История отказов'!AU942="","",IF(AND(COUNTIF($CP$2:$CP$3,'История отказов'!AU942)=0,COUNTIF('История отказов'!$AU$5:AU942,'История отказов'!AU942)=1),938,""))</f>
        <v/>
      </c>
      <c r="DK939">
        <f>IF('История отказов'!AY942="","",IF(AND(COUNTIF($CR$2:$CR$2,'История отказов'!AY942)=0,COUNTIF('История отказов'!$AY$5:AY942,'История отказов'!AY942)=1),938,""))</f>
        <v/>
      </c>
      <c r="DL939">
        <f>IF(DB939="","",IF(AND(COUNTIF($DA$2:$DA$47,DB939)=0,COUNTIF($DB$2:DB939,DB939)=1),938,""))</f>
        <v/>
      </c>
    </row>
    <row r="940">
      <c r="A940" s="74" t="n"/>
      <c r="B940" s="75" t="n"/>
      <c r="C940" s="76" t="n"/>
      <c r="DB940">
        <f>IF('История отказов'!AH943="","",'История отказов'!AH943)</f>
        <v/>
      </c>
      <c r="DC940">
        <f>IF('История отказов'!AE943="","",IF(AND(COUNTIF($CT$2:$CT$2,'История отказов'!AE943)=0,COUNTIFS('История отказов'!$F$5:F943,"ШГН",'История отказов'!$AE$5:AE943,'История отказов'!AE943)=1,'История отказов'!F943="ШГН"),939,""))</f>
        <v/>
      </c>
      <c r="DD940">
        <f>IF('История отказов'!AE943="","",IF(AND(COUNTIF($CU$2:$CU$3,'История отказов'!AE943)=0,COUNTIFS('История отказов'!$F$5:F943,"ЭЦН",'История отказов'!$AE$5:AE943,'История отказов'!AE943)=1,'История отказов'!F943="ЭЦН"),939,""))</f>
        <v/>
      </c>
      <c r="DE940">
        <f>IF('История отказов'!AE943="","",IF(AND(COUNTIF($CV$2:$CV$3,'История отказов'!AE943)=0,COUNTIFS('История отказов'!$F$5:F943,"ЭВН",'История отказов'!$AE$5:AE943,'История отказов'!AE943)=1,'История отказов'!F943="ЭВН"),939,""))</f>
        <v/>
      </c>
      <c r="DF940">
        <f>IF('История отказов'!AE943="","",IF(AND(COUNTIF($CX$2:$CX$2,'История отказов'!AE943)=0,COUNTIFS('История отказов'!$F$5:F943,"ШВН",'История отказов'!$AE$5:AE943,'История отказов'!AE943)=1,'История отказов'!F943="ШВН"),939,""))</f>
        <v/>
      </c>
      <c r="DG940">
        <f>IF('История отказов'!AE943="","",IF(AND(COUNTIF($CW$2:$CW$2,'История отказов'!AE943)=0,COUNTIFS('История отказов'!$F$5:F943,"НПУ-ВД",'История отказов'!$AE$5:AE943,'История отказов'!AE943)=1,'История отказов'!F943="НПУ-ВД"),939,""))</f>
        <v/>
      </c>
      <c r="DH940">
        <f>IF('История отказов'!AE943="","",IF(AND(COUNTIF($CY$2:$CY$6,'История отказов'!AE943)=0,COUNTIF('История отказов'!$AE$5:AE943,'История отказов'!AE943)=1),939,""))</f>
        <v/>
      </c>
      <c r="DI940">
        <f>IF('История отказов'!AK943="","",IF(AND(COUNTIF($CL$2:$CL$3,'История отказов'!AK943)=0,COUNTIF('История отказов'!$AK$5:AK943,'История отказов'!AK943)=1),939,""))</f>
        <v/>
      </c>
      <c r="DJ940">
        <f>IF('История отказов'!AU943="","",IF(AND(COUNTIF($CP$2:$CP$3,'История отказов'!AU943)=0,COUNTIF('История отказов'!$AU$5:AU943,'История отказов'!AU943)=1),939,""))</f>
        <v/>
      </c>
      <c r="DK940">
        <f>IF('История отказов'!AY943="","",IF(AND(COUNTIF($CR$2:$CR$2,'История отказов'!AY943)=0,COUNTIF('История отказов'!$AY$5:AY943,'История отказов'!AY943)=1),939,""))</f>
        <v/>
      </c>
      <c r="DL940">
        <f>IF(DB940="","",IF(AND(COUNTIF($DA$2:$DA$47,DB940)=0,COUNTIF($DB$2:DB940,DB940)=1),939,""))</f>
        <v/>
      </c>
    </row>
    <row r="941">
      <c r="A941" s="74" t="n"/>
      <c r="B941" s="75" t="n"/>
      <c r="C941" s="76" t="n"/>
      <c r="DB941">
        <f>IF('История отказов'!AH944="","",'История отказов'!AH944)</f>
        <v/>
      </c>
      <c r="DC941">
        <f>IF('История отказов'!AE944="","",IF(AND(COUNTIF($CT$2:$CT$2,'История отказов'!AE944)=0,COUNTIFS('История отказов'!$F$5:F944,"ШГН",'История отказов'!$AE$5:AE944,'История отказов'!AE944)=1,'История отказов'!F944="ШГН"),940,""))</f>
        <v/>
      </c>
      <c r="DD941">
        <f>IF('История отказов'!AE944="","",IF(AND(COUNTIF($CU$2:$CU$3,'История отказов'!AE944)=0,COUNTIFS('История отказов'!$F$5:F944,"ЭЦН",'История отказов'!$AE$5:AE944,'История отказов'!AE944)=1,'История отказов'!F944="ЭЦН"),940,""))</f>
        <v/>
      </c>
      <c r="DE941">
        <f>IF('История отказов'!AE944="","",IF(AND(COUNTIF($CV$2:$CV$3,'История отказов'!AE944)=0,COUNTIFS('История отказов'!$F$5:F944,"ЭВН",'История отказов'!$AE$5:AE944,'История отказов'!AE944)=1,'История отказов'!F944="ЭВН"),940,""))</f>
        <v/>
      </c>
      <c r="DF941">
        <f>IF('История отказов'!AE944="","",IF(AND(COUNTIF($CX$2:$CX$2,'История отказов'!AE944)=0,COUNTIFS('История отказов'!$F$5:F944,"ШВН",'История отказов'!$AE$5:AE944,'История отказов'!AE944)=1,'История отказов'!F944="ШВН"),940,""))</f>
        <v/>
      </c>
      <c r="DG941">
        <f>IF('История отказов'!AE944="","",IF(AND(COUNTIF($CW$2:$CW$2,'История отказов'!AE944)=0,COUNTIFS('История отказов'!$F$5:F944,"НПУ-ВД",'История отказов'!$AE$5:AE944,'История отказов'!AE944)=1,'История отказов'!F944="НПУ-ВД"),940,""))</f>
        <v/>
      </c>
      <c r="DH941">
        <f>IF('История отказов'!AE944="","",IF(AND(COUNTIF($CY$2:$CY$6,'История отказов'!AE944)=0,COUNTIF('История отказов'!$AE$5:AE944,'История отказов'!AE944)=1),940,""))</f>
        <v/>
      </c>
      <c r="DI941">
        <f>IF('История отказов'!AK944="","",IF(AND(COUNTIF($CL$2:$CL$3,'История отказов'!AK944)=0,COUNTIF('История отказов'!$AK$5:AK944,'История отказов'!AK944)=1),940,""))</f>
        <v/>
      </c>
      <c r="DJ941">
        <f>IF('История отказов'!AU944="","",IF(AND(COUNTIF($CP$2:$CP$3,'История отказов'!AU944)=0,COUNTIF('История отказов'!$AU$5:AU944,'История отказов'!AU944)=1),940,""))</f>
        <v/>
      </c>
      <c r="DK941">
        <f>IF('История отказов'!AY944="","",IF(AND(COUNTIF($CR$2:$CR$2,'История отказов'!AY944)=0,COUNTIF('История отказов'!$AY$5:AY944,'История отказов'!AY944)=1),940,""))</f>
        <v/>
      </c>
      <c r="DL941">
        <f>IF(DB941="","",IF(AND(COUNTIF($DA$2:$DA$47,DB941)=0,COUNTIF($DB$2:DB941,DB941)=1),940,""))</f>
        <v/>
      </c>
    </row>
    <row r="942">
      <c r="A942" s="74" t="n"/>
      <c r="B942" s="75" t="n"/>
      <c r="C942" s="76" t="n"/>
      <c r="DB942">
        <f>IF('История отказов'!AH945="","",'История отказов'!AH945)</f>
        <v/>
      </c>
      <c r="DC942">
        <f>IF('История отказов'!AE945="","",IF(AND(COUNTIF($CT$2:$CT$2,'История отказов'!AE945)=0,COUNTIFS('История отказов'!$F$5:F945,"ШГН",'История отказов'!$AE$5:AE945,'История отказов'!AE945)=1,'История отказов'!F945="ШГН"),941,""))</f>
        <v/>
      </c>
      <c r="DD942">
        <f>IF('История отказов'!AE945="","",IF(AND(COUNTIF($CU$2:$CU$3,'История отказов'!AE945)=0,COUNTIFS('История отказов'!$F$5:F945,"ЭЦН",'История отказов'!$AE$5:AE945,'История отказов'!AE945)=1,'История отказов'!F945="ЭЦН"),941,""))</f>
        <v/>
      </c>
      <c r="DE942">
        <f>IF('История отказов'!AE945="","",IF(AND(COUNTIF($CV$2:$CV$3,'История отказов'!AE945)=0,COUNTIFS('История отказов'!$F$5:F945,"ЭВН",'История отказов'!$AE$5:AE945,'История отказов'!AE945)=1,'История отказов'!F945="ЭВН"),941,""))</f>
        <v/>
      </c>
      <c r="DF942">
        <f>IF('История отказов'!AE945="","",IF(AND(COUNTIF($CX$2:$CX$2,'История отказов'!AE945)=0,COUNTIFS('История отказов'!$F$5:F945,"ШВН",'История отказов'!$AE$5:AE945,'История отказов'!AE945)=1,'История отказов'!F945="ШВН"),941,""))</f>
        <v/>
      </c>
      <c r="DG942">
        <f>IF('История отказов'!AE945="","",IF(AND(COUNTIF($CW$2:$CW$2,'История отказов'!AE945)=0,COUNTIFS('История отказов'!$F$5:F945,"НПУ-ВД",'История отказов'!$AE$5:AE945,'История отказов'!AE945)=1,'История отказов'!F945="НПУ-ВД"),941,""))</f>
        <v/>
      </c>
      <c r="DH942">
        <f>IF('История отказов'!AE945="","",IF(AND(COUNTIF($CY$2:$CY$6,'История отказов'!AE945)=0,COUNTIF('История отказов'!$AE$5:AE945,'История отказов'!AE945)=1),941,""))</f>
        <v/>
      </c>
      <c r="DI942">
        <f>IF('История отказов'!AK945="","",IF(AND(COUNTIF($CL$2:$CL$3,'История отказов'!AK945)=0,COUNTIF('История отказов'!$AK$5:AK945,'История отказов'!AK945)=1),941,""))</f>
        <v/>
      </c>
      <c r="DJ942">
        <f>IF('История отказов'!AU945="","",IF(AND(COUNTIF($CP$2:$CP$3,'История отказов'!AU945)=0,COUNTIF('История отказов'!$AU$5:AU945,'История отказов'!AU945)=1),941,""))</f>
        <v/>
      </c>
      <c r="DK942">
        <f>IF('История отказов'!AY945="","",IF(AND(COUNTIF($CR$2:$CR$2,'История отказов'!AY945)=0,COUNTIF('История отказов'!$AY$5:AY945,'История отказов'!AY945)=1),941,""))</f>
        <v/>
      </c>
      <c r="DL942">
        <f>IF(DB942="","",IF(AND(COUNTIF($DA$2:$DA$47,DB942)=0,COUNTIF($DB$2:DB942,DB942)=1),941,""))</f>
        <v/>
      </c>
    </row>
    <row r="943">
      <c r="A943" s="74" t="n"/>
      <c r="B943" s="75" t="n"/>
      <c r="C943" s="76" t="n"/>
      <c r="DB943">
        <f>IF('История отказов'!AH946="","",'История отказов'!AH946)</f>
        <v/>
      </c>
      <c r="DC943">
        <f>IF('История отказов'!AE946="","",IF(AND(COUNTIF($CT$2:$CT$2,'История отказов'!AE946)=0,COUNTIFS('История отказов'!$F$5:F946,"ШГН",'История отказов'!$AE$5:AE946,'История отказов'!AE946)=1,'История отказов'!F946="ШГН"),942,""))</f>
        <v/>
      </c>
      <c r="DD943">
        <f>IF('История отказов'!AE946="","",IF(AND(COUNTIF($CU$2:$CU$3,'История отказов'!AE946)=0,COUNTIFS('История отказов'!$F$5:F946,"ЭЦН",'История отказов'!$AE$5:AE946,'История отказов'!AE946)=1,'История отказов'!F946="ЭЦН"),942,""))</f>
        <v/>
      </c>
      <c r="DE943">
        <f>IF('История отказов'!AE946="","",IF(AND(COUNTIF($CV$2:$CV$3,'История отказов'!AE946)=0,COUNTIFS('История отказов'!$F$5:F946,"ЭВН",'История отказов'!$AE$5:AE946,'История отказов'!AE946)=1,'История отказов'!F946="ЭВН"),942,""))</f>
        <v/>
      </c>
      <c r="DF943">
        <f>IF('История отказов'!AE946="","",IF(AND(COUNTIF($CX$2:$CX$2,'История отказов'!AE946)=0,COUNTIFS('История отказов'!$F$5:F946,"ШВН",'История отказов'!$AE$5:AE946,'История отказов'!AE946)=1,'История отказов'!F946="ШВН"),942,""))</f>
        <v/>
      </c>
      <c r="DG943">
        <f>IF('История отказов'!AE946="","",IF(AND(COUNTIF($CW$2:$CW$2,'История отказов'!AE946)=0,COUNTIFS('История отказов'!$F$5:F946,"НПУ-ВД",'История отказов'!$AE$5:AE946,'История отказов'!AE946)=1,'История отказов'!F946="НПУ-ВД"),942,""))</f>
        <v/>
      </c>
      <c r="DH943">
        <f>IF('История отказов'!AE946="","",IF(AND(COUNTIF($CY$2:$CY$6,'История отказов'!AE946)=0,COUNTIF('История отказов'!$AE$5:AE946,'История отказов'!AE946)=1),942,""))</f>
        <v/>
      </c>
      <c r="DI943">
        <f>IF('История отказов'!AK946="","",IF(AND(COUNTIF($CL$2:$CL$3,'История отказов'!AK946)=0,COUNTIF('История отказов'!$AK$5:AK946,'История отказов'!AK946)=1),942,""))</f>
        <v/>
      </c>
      <c r="DJ943">
        <f>IF('История отказов'!AU946="","",IF(AND(COUNTIF($CP$2:$CP$3,'История отказов'!AU946)=0,COUNTIF('История отказов'!$AU$5:AU946,'История отказов'!AU946)=1),942,""))</f>
        <v/>
      </c>
      <c r="DK943">
        <f>IF('История отказов'!AY946="","",IF(AND(COUNTIF($CR$2:$CR$2,'История отказов'!AY946)=0,COUNTIF('История отказов'!$AY$5:AY946,'История отказов'!AY946)=1),942,""))</f>
        <v/>
      </c>
      <c r="DL943">
        <f>IF(DB943="","",IF(AND(COUNTIF($DA$2:$DA$47,DB943)=0,COUNTIF($DB$2:DB943,DB943)=1),942,""))</f>
        <v/>
      </c>
    </row>
    <row r="944">
      <c r="A944" s="74" t="n"/>
      <c r="B944" s="75" t="n"/>
      <c r="C944" s="76" t="n"/>
      <c r="DB944">
        <f>IF('История отказов'!AH947="","",'История отказов'!AH947)</f>
        <v/>
      </c>
      <c r="DC944">
        <f>IF('История отказов'!AE947="","",IF(AND(COUNTIF($CT$2:$CT$2,'История отказов'!AE947)=0,COUNTIFS('История отказов'!$F$5:F947,"ШГН",'История отказов'!$AE$5:AE947,'История отказов'!AE947)=1,'История отказов'!F947="ШГН"),943,""))</f>
        <v/>
      </c>
      <c r="DD944">
        <f>IF('История отказов'!AE947="","",IF(AND(COUNTIF($CU$2:$CU$3,'История отказов'!AE947)=0,COUNTIFS('История отказов'!$F$5:F947,"ЭЦН",'История отказов'!$AE$5:AE947,'История отказов'!AE947)=1,'История отказов'!F947="ЭЦН"),943,""))</f>
        <v/>
      </c>
      <c r="DE944">
        <f>IF('История отказов'!AE947="","",IF(AND(COUNTIF($CV$2:$CV$3,'История отказов'!AE947)=0,COUNTIFS('История отказов'!$F$5:F947,"ЭВН",'История отказов'!$AE$5:AE947,'История отказов'!AE947)=1,'История отказов'!F947="ЭВН"),943,""))</f>
        <v/>
      </c>
      <c r="DF944">
        <f>IF('История отказов'!AE947="","",IF(AND(COUNTIF($CX$2:$CX$2,'История отказов'!AE947)=0,COUNTIFS('История отказов'!$F$5:F947,"ШВН",'История отказов'!$AE$5:AE947,'История отказов'!AE947)=1,'История отказов'!F947="ШВН"),943,""))</f>
        <v/>
      </c>
      <c r="DG944">
        <f>IF('История отказов'!AE947="","",IF(AND(COUNTIF($CW$2:$CW$2,'История отказов'!AE947)=0,COUNTIFS('История отказов'!$F$5:F947,"НПУ-ВД",'История отказов'!$AE$5:AE947,'История отказов'!AE947)=1,'История отказов'!F947="НПУ-ВД"),943,""))</f>
        <v/>
      </c>
      <c r="DH944">
        <f>IF('История отказов'!AE947="","",IF(AND(COUNTIF($CY$2:$CY$6,'История отказов'!AE947)=0,COUNTIF('История отказов'!$AE$5:AE947,'История отказов'!AE947)=1),943,""))</f>
        <v/>
      </c>
      <c r="DI944">
        <f>IF('История отказов'!AK947="","",IF(AND(COUNTIF($CL$2:$CL$3,'История отказов'!AK947)=0,COUNTIF('История отказов'!$AK$5:AK947,'История отказов'!AK947)=1),943,""))</f>
        <v/>
      </c>
      <c r="DJ944">
        <f>IF('История отказов'!AU947="","",IF(AND(COUNTIF($CP$2:$CP$3,'История отказов'!AU947)=0,COUNTIF('История отказов'!$AU$5:AU947,'История отказов'!AU947)=1),943,""))</f>
        <v/>
      </c>
      <c r="DK944">
        <f>IF('История отказов'!AY947="","",IF(AND(COUNTIF($CR$2:$CR$2,'История отказов'!AY947)=0,COUNTIF('История отказов'!$AY$5:AY947,'История отказов'!AY947)=1),943,""))</f>
        <v/>
      </c>
      <c r="DL944">
        <f>IF(DB944="","",IF(AND(COUNTIF($DA$2:$DA$47,DB944)=0,COUNTIF($DB$2:DB944,DB944)=1),943,""))</f>
        <v/>
      </c>
    </row>
    <row r="945">
      <c r="A945" s="74" t="n"/>
      <c r="B945" s="75" t="n"/>
      <c r="C945" s="76" t="n"/>
      <c r="DB945">
        <f>IF('История отказов'!AH948="","",'История отказов'!AH948)</f>
        <v/>
      </c>
      <c r="DC945">
        <f>IF('История отказов'!AE948="","",IF(AND(COUNTIF($CT$2:$CT$2,'История отказов'!AE948)=0,COUNTIFS('История отказов'!$F$5:F948,"ШГН",'История отказов'!$AE$5:AE948,'История отказов'!AE948)=1,'История отказов'!F948="ШГН"),944,""))</f>
        <v/>
      </c>
      <c r="DD945">
        <f>IF('История отказов'!AE948="","",IF(AND(COUNTIF($CU$2:$CU$3,'История отказов'!AE948)=0,COUNTIFS('История отказов'!$F$5:F948,"ЭЦН",'История отказов'!$AE$5:AE948,'История отказов'!AE948)=1,'История отказов'!F948="ЭЦН"),944,""))</f>
        <v/>
      </c>
      <c r="DE945">
        <f>IF('История отказов'!AE948="","",IF(AND(COUNTIF($CV$2:$CV$3,'История отказов'!AE948)=0,COUNTIFS('История отказов'!$F$5:F948,"ЭВН",'История отказов'!$AE$5:AE948,'История отказов'!AE948)=1,'История отказов'!F948="ЭВН"),944,""))</f>
        <v/>
      </c>
      <c r="DF945">
        <f>IF('История отказов'!AE948="","",IF(AND(COUNTIF($CX$2:$CX$2,'История отказов'!AE948)=0,COUNTIFS('История отказов'!$F$5:F948,"ШВН",'История отказов'!$AE$5:AE948,'История отказов'!AE948)=1,'История отказов'!F948="ШВН"),944,""))</f>
        <v/>
      </c>
      <c r="DG945">
        <f>IF('История отказов'!AE948="","",IF(AND(COUNTIF($CW$2:$CW$2,'История отказов'!AE948)=0,COUNTIFS('История отказов'!$F$5:F948,"НПУ-ВД",'История отказов'!$AE$5:AE948,'История отказов'!AE948)=1,'История отказов'!F948="НПУ-ВД"),944,""))</f>
        <v/>
      </c>
      <c r="DH945">
        <f>IF('История отказов'!AE948="","",IF(AND(COUNTIF($CY$2:$CY$6,'История отказов'!AE948)=0,COUNTIF('История отказов'!$AE$5:AE948,'История отказов'!AE948)=1),944,""))</f>
        <v/>
      </c>
      <c r="DI945">
        <f>IF('История отказов'!AK948="","",IF(AND(COUNTIF($CL$2:$CL$3,'История отказов'!AK948)=0,COUNTIF('История отказов'!$AK$5:AK948,'История отказов'!AK948)=1),944,""))</f>
        <v/>
      </c>
      <c r="DJ945">
        <f>IF('История отказов'!AU948="","",IF(AND(COUNTIF($CP$2:$CP$3,'История отказов'!AU948)=0,COUNTIF('История отказов'!$AU$5:AU948,'История отказов'!AU948)=1),944,""))</f>
        <v/>
      </c>
      <c r="DK945">
        <f>IF('История отказов'!AY948="","",IF(AND(COUNTIF($CR$2:$CR$2,'История отказов'!AY948)=0,COUNTIF('История отказов'!$AY$5:AY948,'История отказов'!AY948)=1),944,""))</f>
        <v/>
      </c>
      <c r="DL945">
        <f>IF(DB945="","",IF(AND(COUNTIF($DA$2:$DA$47,DB945)=0,COUNTIF($DB$2:DB945,DB945)=1),944,""))</f>
        <v/>
      </c>
    </row>
    <row r="946">
      <c r="A946" s="74" t="n"/>
      <c r="B946" s="75" t="n"/>
      <c r="C946" s="76" t="n"/>
      <c r="DB946">
        <f>IF('История отказов'!AH949="","",'История отказов'!AH949)</f>
        <v/>
      </c>
      <c r="DC946">
        <f>IF('История отказов'!AE949="","",IF(AND(COUNTIF($CT$2:$CT$2,'История отказов'!AE949)=0,COUNTIFS('История отказов'!$F$5:F949,"ШГН",'История отказов'!$AE$5:AE949,'История отказов'!AE949)=1,'История отказов'!F949="ШГН"),945,""))</f>
        <v/>
      </c>
      <c r="DD946">
        <f>IF('История отказов'!AE949="","",IF(AND(COUNTIF($CU$2:$CU$3,'История отказов'!AE949)=0,COUNTIFS('История отказов'!$F$5:F949,"ЭЦН",'История отказов'!$AE$5:AE949,'История отказов'!AE949)=1,'История отказов'!F949="ЭЦН"),945,""))</f>
        <v/>
      </c>
      <c r="DE946">
        <f>IF('История отказов'!AE949="","",IF(AND(COUNTIF($CV$2:$CV$3,'История отказов'!AE949)=0,COUNTIFS('История отказов'!$F$5:F949,"ЭВН",'История отказов'!$AE$5:AE949,'История отказов'!AE949)=1,'История отказов'!F949="ЭВН"),945,""))</f>
        <v/>
      </c>
      <c r="DF946">
        <f>IF('История отказов'!AE949="","",IF(AND(COUNTIF($CX$2:$CX$2,'История отказов'!AE949)=0,COUNTIFS('История отказов'!$F$5:F949,"ШВН",'История отказов'!$AE$5:AE949,'История отказов'!AE949)=1,'История отказов'!F949="ШВН"),945,""))</f>
        <v/>
      </c>
      <c r="DG946">
        <f>IF('История отказов'!AE949="","",IF(AND(COUNTIF($CW$2:$CW$2,'История отказов'!AE949)=0,COUNTIFS('История отказов'!$F$5:F949,"НПУ-ВД",'История отказов'!$AE$5:AE949,'История отказов'!AE949)=1,'История отказов'!F949="НПУ-ВД"),945,""))</f>
        <v/>
      </c>
      <c r="DH946">
        <f>IF('История отказов'!AE949="","",IF(AND(COUNTIF($CY$2:$CY$6,'История отказов'!AE949)=0,COUNTIF('История отказов'!$AE$5:AE949,'История отказов'!AE949)=1),945,""))</f>
        <v/>
      </c>
      <c r="DI946">
        <f>IF('История отказов'!AK949="","",IF(AND(COUNTIF($CL$2:$CL$3,'История отказов'!AK949)=0,COUNTIF('История отказов'!$AK$5:AK949,'История отказов'!AK949)=1),945,""))</f>
        <v/>
      </c>
      <c r="DJ946">
        <f>IF('История отказов'!AU949="","",IF(AND(COUNTIF($CP$2:$CP$3,'История отказов'!AU949)=0,COUNTIF('История отказов'!$AU$5:AU949,'История отказов'!AU949)=1),945,""))</f>
        <v/>
      </c>
      <c r="DK946">
        <f>IF('История отказов'!AY949="","",IF(AND(COUNTIF($CR$2:$CR$2,'История отказов'!AY949)=0,COUNTIF('История отказов'!$AY$5:AY949,'История отказов'!AY949)=1),945,""))</f>
        <v/>
      </c>
      <c r="DL946">
        <f>IF(DB946="","",IF(AND(COUNTIF($DA$2:$DA$47,DB946)=0,COUNTIF($DB$2:DB946,DB946)=1),945,""))</f>
        <v/>
      </c>
    </row>
    <row r="947">
      <c r="A947" s="74" t="n"/>
      <c r="B947" s="75" t="n"/>
      <c r="C947" s="76" t="n"/>
      <c r="DB947">
        <f>IF('История отказов'!AH950="","",'История отказов'!AH950)</f>
        <v/>
      </c>
      <c r="DC947">
        <f>IF('История отказов'!AE950="","",IF(AND(COUNTIF($CT$2:$CT$2,'История отказов'!AE950)=0,COUNTIFS('История отказов'!$F$5:F950,"ШГН",'История отказов'!$AE$5:AE950,'История отказов'!AE950)=1,'История отказов'!F950="ШГН"),946,""))</f>
        <v/>
      </c>
      <c r="DD947">
        <f>IF('История отказов'!AE950="","",IF(AND(COUNTIF($CU$2:$CU$3,'История отказов'!AE950)=0,COUNTIFS('История отказов'!$F$5:F950,"ЭЦН",'История отказов'!$AE$5:AE950,'История отказов'!AE950)=1,'История отказов'!F950="ЭЦН"),946,""))</f>
        <v/>
      </c>
      <c r="DE947">
        <f>IF('История отказов'!AE950="","",IF(AND(COUNTIF($CV$2:$CV$3,'История отказов'!AE950)=0,COUNTIFS('История отказов'!$F$5:F950,"ЭВН",'История отказов'!$AE$5:AE950,'История отказов'!AE950)=1,'История отказов'!F950="ЭВН"),946,""))</f>
        <v/>
      </c>
      <c r="DF947">
        <f>IF('История отказов'!AE950="","",IF(AND(COUNTIF($CX$2:$CX$2,'История отказов'!AE950)=0,COUNTIFS('История отказов'!$F$5:F950,"ШВН",'История отказов'!$AE$5:AE950,'История отказов'!AE950)=1,'История отказов'!F950="ШВН"),946,""))</f>
        <v/>
      </c>
      <c r="DG947">
        <f>IF('История отказов'!AE950="","",IF(AND(COUNTIF($CW$2:$CW$2,'История отказов'!AE950)=0,COUNTIFS('История отказов'!$F$5:F950,"НПУ-ВД",'История отказов'!$AE$5:AE950,'История отказов'!AE950)=1,'История отказов'!F950="НПУ-ВД"),946,""))</f>
        <v/>
      </c>
      <c r="DH947">
        <f>IF('История отказов'!AE950="","",IF(AND(COUNTIF($CY$2:$CY$6,'История отказов'!AE950)=0,COUNTIF('История отказов'!$AE$5:AE950,'История отказов'!AE950)=1),946,""))</f>
        <v/>
      </c>
      <c r="DI947">
        <f>IF('История отказов'!AK950="","",IF(AND(COUNTIF($CL$2:$CL$3,'История отказов'!AK950)=0,COUNTIF('История отказов'!$AK$5:AK950,'История отказов'!AK950)=1),946,""))</f>
        <v/>
      </c>
      <c r="DJ947">
        <f>IF('История отказов'!AU950="","",IF(AND(COUNTIF($CP$2:$CP$3,'История отказов'!AU950)=0,COUNTIF('История отказов'!$AU$5:AU950,'История отказов'!AU950)=1),946,""))</f>
        <v/>
      </c>
      <c r="DK947">
        <f>IF('История отказов'!AY950="","",IF(AND(COUNTIF($CR$2:$CR$2,'История отказов'!AY950)=0,COUNTIF('История отказов'!$AY$5:AY950,'История отказов'!AY950)=1),946,""))</f>
        <v/>
      </c>
      <c r="DL947">
        <f>IF(DB947="","",IF(AND(COUNTIF($DA$2:$DA$47,DB947)=0,COUNTIF($DB$2:DB947,DB947)=1),946,""))</f>
        <v/>
      </c>
    </row>
    <row r="948">
      <c r="A948" s="74" t="n"/>
      <c r="B948" s="75" t="n"/>
      <c r="C948" s="76" t="n"/>
      <c r="DB948">
        <f>IF('История отказов'!AH951="","",'История отказов'!AH951)</f>
        <v/>
      </c>
      <c r="DC948">
        <f>IF('История отказов'!AE951="","",IF(AND(COUNTIF($CT$2:$CT$2,'История отказов'!AE951)=0,COUNTIFS('История отказов'!$F$5:F951,"ШГН",'История отказов'!$AE$5:AE951,'История отказов'!AE951)=1,'История отказов'!F951="ШГН"),947,""))</f>
        <v/>
      </c>
      <c r="DD948">
        <f>IF('История отказов'!AE951="","",IF(AND(COUNTIF($CU$2:$CU$3,'История отказов'!AE951)=0,COUNTIFS('История отказов'!$F$5:F951,"ЭЦН",'История отказов'!$AE$5:AE951,'История отказов'!AE951)=1,'История отказов'!F951="ЭЦН"),947,""))</f>
        <v/>
      </c>
      <c r="DE948">
        <f>IF('История отказов'!AE951="","",IF(AND(COUNTIF($CV$2:$CV$3,'История отказов'!AE951)=0,COUNTIFS('История отказов'!$F$5:F951,"ЭВН",'История отказов'!$AE$5:AE951,'История отказов'!AE951)=1,'История отказов'!F951="ЭВН"),947,""))</f>
        <v/>
      </c>
      <c r="DF948">
        <f>IF('История отказов'!AE951="","",IF(AND(COUNTIF($CX$2:$CX$2,'История отказов'!AE951)=0,COUNTIFS('История отказов'!$F$5:F951,"ШВН",'История отказов'!$AE$5:AE951,'История отказов'!AE951)=1,'История отказов'!F951="ШВН"),947,""))</f>
        <v/>
      </c>
      <c r="DG948">
        <f>IF('История отказов'!AE951="","",IF(AND(COUNTIF($CW$2:$CW$2,'История отказов'!AE951)=0,COUNTIFS('История отказов'!$F$5:F951,"НПУ-ВД",'История отказов'!$AE$5:AE951,'История отказов'!AE951)=1,'История отказов'!F951="НПУ-ВД"),947,""))</f>
        <v/>
      </c>
      <c r="DH948">
        <f>IF('История отказов'!AE951="","",IF(AND(COUNTIF($CY$2:$CY$6,'История отказов'!AE951)=0,COUNTIF('История отказов'!$AE$5:AE951,'История отказов'!AE951)=1),947,""))</f>
        <v/>
      </c>
      <c r="DI948">
        <f>IF('История отказов'!AK951="","",IF(AND(COUNTIF($CL$2:$CL$3,'История отказов'!AK951)=0,COUNTIF('История отказов'!$AK$5:AK951,'История отказов'!AK951)=1),947,""))</f>
        <v/>
      </c>
      <c r="DJ948">
        <f>IF('История отказов'!AU951="","",IF(AND(COUNTIF($CP$2:$CP$3,'История отказов'!AU951)=0,COUNTIF('История отказов'!$AU$5:AU951,'История отказов'!AU951)=1),947,""))</f>
        <v/>
      </c>
      <c r="DK948">
        <f>IF('История отказов'!AY951="","",IF(AND(COUNTIF($CR$2:$CR$2,'История отказов'!AY951)=0,COUNTIF('История отказов'!$AY$5:AY951,'История отказов'!AY951)=1),947,""))</f>
        <v/>
      </c>
      <c r="DL948">
        <f>IF(DB948="","",IF(AND(COUNTIF($DA$2:$DA$47,DB948)=0,COUNTIF($DB$2:DB948,DB948)=1),947,""))</f>
        <v/>
      </c>
    </row>
    <row r="949">
      <c r="A949" s="74" t="n"/>
      <c r="B949" s="75" t="n"/>
      <c r="C949" s="76" t="n"/>
      <c r="DB949">
        <f>IF('История отказов'!AH952="","",'История отказов'!AH952)</f>
        <v/>
      </c>
      <c r="DC949">
        <f>IF('История отказов'!AE952="","",IF(AND(COUNTIF($CT$2:$CT$2,'История отказов'!AE952)=0,COUNTIFS('История отказов'!$F$5:F952,"ШГН",'История отказов'!$AE$5:AE952,'История отказов'!AE952)=1,'История отказов'!F952="ШГН"),948,""))</f>
        <v/>
      </c>
      <c r="DD949">
        <f>IF('История отказов'!AE952="","",IF(AND(COUNTIF($CU$2:$CU$3,'История отказов'!AE952)=0,COUNTIFS('История отказов'!$F$5:F952,"ЭЦН",'История отказов'!$AE$5:AE952,'История отказов'!AE952)=1,'История отказов'!F952="ЭЦН"),948,""))</f>
        <v/>
      </c>
      <c r="DE949">
        <f>IF('История отказов'!AE952="","",IF(AND(COUNTIF($CV$2:$CV$3,'История отказов'!AE952)=0,COUNTIFS('История отказов'!$F$5:F952,"ЭВН",'История отказов'!$AE$5:AE952,'История отказов'!AE952)=1,'История отказов'!F952="ЭВН"),948,""))</f>
        <v/>
      </c>
      <c r="DF949">
        <f>IF('История отказов'!AE952="","",IF(AND(COUNTIF($CX$2:$CX$2,'История отказов'!AE952)=0,COUNTIFS('История отказов'!$F$5:F952,"ШВН",'История отказов'!$AE$5:AE952,'История отказов'!AE952)=1,'История отказов'!F952="ШВН"),948,""))</f>
        <v/>
      </c>
      <c r="DG949">
        <f>IF('История отказов'!AE952="","",IF(AND(COUNTIF($CW$2:$CW$2,'История отказов'!AE952)=0,COUNTIFS('История отказов'!$F$5:F952,"НПУ-ВД",'История отказов'!$AE$5:AE952,'История отказов'!AE952)=1,'История отказов'!F952="НПУ-ВД"),948,""))</f>
        <v/>
      </c>
      <c r="DH949">
        <f>IF('История отказов'!AE952="","",IF(AND(COUNTIF($CY$2:$CY$6,'История отказов'!AE952)=0,COUNTIF('История отказов'!$AE$5:AE952,'История отказов'!AE952)=1),948,""))</f>
        <v/>
      </c>
      <c r="DI949">
        <f>IF('История отказов'!AK952="","",IF(AND(COUNTIF($CL$2:$CL$3,'История отказов'!AK952)=0,COUNTIF('История отказов'!$AK$5:AK952,'История отказов'!AK952)=1),948,""))</f>
        <v/>
      </c>
      <c r="DJ949">
        <f>IF('История отказов'!AU952="","",IF(AND(COUNTIF($CP$2:$CP$3,'История отказов'!AU952)=0,COUNTIF('История отказов'!$AU$5:AU952,'История отказов'!AU952)=1),948,""))</f>
        <v/>
      </c>
      <c r="DK949">
        <f>IF('История отказов'!AY952="","",IF(AND(COUNTIF($CR$2:$CR$2,'История отказов'!AY952)=0,COUNTIF('История отказов'!$AY$5:AY952,'История отказов'!AY952)=1),948,""))</f>
        <v/>
      </c>
      <c r="DL949">
        <f>IF(DB949="","",IF(AND(COUNTIF($DA$2:$DA$47,DB949)=0,COUNTIF($DB$2:DB949,DB949)=1),948,""))</f>
        <v/>
      </c>
    </row>
    <row r="950">
      <c r="A950" s="74" t="n"/>
      <c r="B950" s="75" t="n"/>
      <c r="C950" s="76" t="n"/>
      <c r="DB950">
        <f>IF('История отказов'!AH953="","",'История отказов'!AH953)</f>
        <v/>
      </c>
      <c r="DC950">
        <f>IF('История отказов'!AE953="","",IF(AND(COUNTIF($CT$2:$CT$2,'История отказов'!AE953)=0,COUNTIFS('История отказов'!$F$5:F953,"ШГН",'История отказов'!$AE$5:AE953,'История отказов'!AE953)=1,'История отказов'!F953="ШГН"),949,""))</f>
        <v/>
      </c>
      <c r="DD950">
        <f>IF('История отказов'!AE953="","",IF(AND(COUNTIF($CU$2:$CU$3,'История отказов'!AE953)=0,COUNTIFS('История отказов'!$F$5:F953,"ЭЦН",'История отказов'!$AE$5:AE953,'История отказов'!AE953)=1,'История отказов'!F953="ЭЦН"),949,""))</f>
        <v/>
      </c>
      <c r="DE950">
        <f>IF('История отказов'!AE953="","",IF(AND(COUNTIF($CV$2:$CV$3,'История отказов'!AE953)=0,COUNTIFS('История отказов'!$F$5:F953,"ЭВН",'История отказов'!$AE$5:AE953,'История отказов'!AE953)=1,'История отказов'!F953="ЭВН"),949,""))</f>
        <v/>
      </c>
      <c r="DF950">
        <f>IF('История отказов'!AE953="","",IF(AND(COUNTIF($CX$2:$CX$2,'История отказов'!AE953)=0,COUNTIFS('История отказов'!$F$5:F953,"ШВН",'История отказов'!$AE$5:AE953,'История отказов'!AE953)=1,'История отказов'!F953="ШВН"),949,""))</f>
        <v/>
      </c>
      <c r="DG950">
        <f>IF('История отказов'!AE953="","",IF(AND(COUNTIF($CW$2:$CW$2,'История отказов'!AE953)=0,COUNTIFS('История отказов'!$F$5:F953,"НПУ-ВД",'История отказов'!$AE$5:AE953,'История отказов'!AE953)=1,'История отказов'!F953="НПУ-ВД"),949,""))</f>
        <v/>
      </c>
      <c r="DH950">
        <f>IF('История отказов'!AE953="","",IF(AND(COUNTIF($CY$2:$CY$6,'История отказов'!AE953)=0,COUNTIF('История отказов'!$AE$5:AE953,'История отказов'!AE953)=1),949,""))</f>
        <v/>
      </c>
      <c r="DI950">
        <f>IF('История отказов'!AK953="","",IF(AND(COUNTIF($CL$2:$CL$3,'История отказов'!AK953)=0,COUNTIF('История отказов'!$AK$5:AK953,'История отказов'!AK953)=1),949,""))</f>
        <v/>
      </c>
      <c r="DJ950">
        <f>IF('История отказов'!AU953="","",IF(AND(COUNTIF($CP$2:$CP$3,'История отказов'!AU953)=0,COUNTIF('История отказов'!$AU$5:AU953,'История отказов'!AU953)=1),949,""))</f>
        <v/>
      </c>
      <c r="DK950">
        <f>IF('История отказов'!AY953="","",IF(AND(COUNTIF($CR$2:$CR$2,'История отказов'!AY953)=0,COUNTIF('История отказов'!$AY$5:AY953,'История отказов'!AY953)=1),949,""))</f>
        <v/>
      </c>
      <c r="DL950">
        <f>IF(DB950="","",IF(AND(COUNTIF($DA$2:$DA$47,DB950)=0,COUNTIF($DB$2:DB950,DB950)=1),949,""))</f>
        <v/>
      </c>
    </row>
    <row r="951">
      <c r="A951" s="74" t="n"/>
      <c r="B951" s="75" t="n"/>
      <c r="C951" s="76" t="n"/>
      <c r="DB951">
        <f>IF('История отказов'!AH954="","",'История отказов'!AH954)</f>
        <v/>
      </c>
      <c r="DC951">
        <f>IF('История отказов'!AE954="","",IF(AND(COUNTIF($CT$2:$CT$2,'История отказов'!AE954)=0,COUNTIFS('История отказов'!$F$5:F954,"ШГН",'История отказов'!$AE$5:AE954,'История отказов'!AE954)=1,'История отказов'!F954="ШГН"),950,""))</f>
        <v/>
      </c>
      <c r="DD951">
        <f>IF('История отказов'!AE954="","",IF(AND(COUNTIF($CU$2:$CU$3,'История отказов'!AE954)=0,COUNTIFS('История отказов'!$F$5:F954,"ЭЦН",'История отказов'!$AE$5:AE954,'История отказов'!AE954)=1,'История отказов'!F954="ЭЦН"),950,""))</f>
        <v/>
      </c>
      <c r="DE951">
        <f>IF('История отказов'!AE954="","",IF(AND(COUNTIF($CV$2:$CV$3,'История отказов'!AE954)=0,COUNTIFS('История отказов'!$F$5:F954,"ЭВН",'История отказов'!$AE$5:AE954,'История отказов'!AE954)=1,'История отказов'!F954="ЭВН"),950,""))</f>
        <v/>
      </c>
      <c r="DF951">
        <f>IF('История отказов'!AE954="","",IF(AND(COUNTIF($CX$2:$CX$2,'История отказов'!AE954)=0,COUNTIFS('История отказов'!$F$5:F954,"ШВН",'История отказов'!$AE$5:AE954,'История отказов'!AE954)=1,'История отказов'!F954="ШВН"),950,""))</f>
        <v/>
      </c>
      <c r="DG951">
        <f>IF('История отказов'!AE954="","",IF(AND(COUNTIF($CW$2:$CW$2,'История отказов'!AE954)=0,COUNTIFS('История отказов'!$F$5:F954,"НПУ-ВД",'История отказов'!$AE$5:AE954,'История отказов'!AE954)=1,'История отказов'!F954="НПУ-ВД"),950,""))</f>
        <v/>
      </c>
      <c r="DH951">
        <f>IF('История отказов'!AE954="","",IF(AND(COUNTIF($CY$2:$CY$6,'История отказов'!AE954)=0,COUNTIF('История отказов'!$AE$5:AE954,'История отказов'!AE954)=1),950,""))</f>
        <v/>
      </c>
      <c r="DI951">
        <f>IF('История отказов'!AK954="","",IF(AND(COUNTIF($CL$2:$CL$3,'История отказов'!AK954)=0,COUNTIF('История отказов'!$AK$5:AK954,'История отказов'!AK954)=1),950,""))</f>
        <v/>
      </c>
      <c r="DJ951">
        <f>IF('История отказов'!AU954="","",IF(AND(COUNTIF($CP$2:$CP$3,'История отказов'!AU954)=0,COUNTIF('История отказов'!$AU$5:AU954,'История отказов'!AU954)=1),950,""))</f>
        <v/>
      </c>
      <c r="DK951">
        <f>IF('История отказов'!AY954="","",IF(AND(COUNTIF($CR$2:$CR$2,'История отказов'!AY954)=0,COUNTIF('История отказов'!$AY$5:AY954,'История отказов'!AY954)=1),950,""))</f>
        <v/>
      </c>
      <c r="DL951">
        <f>IF(DB951="","",IF(AND(COUNTIF($DA$2:$DA$47,DB951)=0,COUNTIF($DB$2:DB951,DB951)=1),950,""))</f>
        <v/>
      </c>
    </row>
    <row r="952">
      <c r="A952" s="74" t="n"/>
      <c r="B952" s="75" t="n"/>
      <c r="C952" s="76" t="n"/>
      <c r="DB952">
        <f>IF('История отказов'!AH955="","",'История отказов'!AH955)</f>
        <v/>
      </c>
      <c r="DC952">
        <f>IF('История отказов'!AE955="","",IF(AND(COUNTIF($CT$2:$CT$2,'История отказов'!AE955)=0,COUNTIFS('История отказов'!$F$5:F955,"ШГН",'История отказов'!$AE$5:AE955,'История отказов'!AE955)=1,'История отказов'!F955="ШГН"),951,""))</f>
        <v/>
      </c>
      <c r="DD952">
        <f>IF('История отказов'!AE955="","",IF(AND(COUNTIF($CU$2:$CU$3,'История отказов'!AE955)=0,COUNTIFS('История отказов'!$F$5:F955,"ЭЦН",'История отказов'!$AE$5:AE955,'История отказов'!AE955)=1,'История отказов'!F955="ЭЦН"),951,""))</f>
        <v/>
      </c>
      <c r="DE952">
        <f>IF('История отказов'!AE955="","",IF(AND(COUNTIF($CV$2:$CV$3,'История отказов'!AE955)=0,COUNTIFS('История отказов'!$F$5:F955,"ЭВН",'История отказов'!$AE$5:AE955,'История отказов'!AE955)=1,'История отказов'!F955="ЭВН"),951,""))</f>
        <v/>
      </c>
      <c r="DF952">
        <f>IF('История отказов'!AE955="","",IF(AND(COUNTIF($CX$2:$CX$2,'История отказов'!AE955)=0,COUNTIFS('История отказов'!$F$5:F955,"ШВН",'История отказов'!$AE$5:AE955,'История отказов'!AE955)=1,'История отказов'!F955="ШВН"),951,""))</f>
        <v/>
      </c>
      <c r="DG952">
        <f>IF('История отказов'!AE955="","",IF(AND(COUNTIF($CW$2:$CW$2,'История отказов'!AE955)=0,COUNTIFS('История отказов'!$F$5:F955,"НПУ-ВД",'История отказов'!$AE$5:AE955,'История отказов'!AE955)=1,'История отказов'!F955="НПУ-ВД"),951,""))</f>
        <v/>
      </c>
      <c r="DH952">
        <f>IF('История отказов'!AE955="","",IF(AND(COUNTIF($CY$2:$CY$6,'История отказов'!AE955)=0,COUNTIF('История отказов'!$AE$5:AE955,'История отказов'!AE955)=1),951,""))</f>
        <v/>
      </c>
      <c r="DI952">
        <f>IF('История отказов'!AK955="","",IF(AND(COUNTIF($CL$2:$CL$3,'История отказов'!AK955)=0,COUNTIF('История отказов'!$AK$5:AK955,'История отказов'!AK955)=1),951,""))</f>
        <v/>
      </c>
      <c r="DJ952">
        <f>IF('История отказов'!AU955="","",IF(AND(COUNTIF($CP$2:$CP$3,'История отказов'!AU955)=0,COUNTIF('История отказов'!$AU$5:AU955,'История отказов'!AU955)=1),951,""))</f>
        <v/>
      </c>
      <c r="DK952">
        <f>IF('История отказов'!AY955="","",IF(AND(COUNTIF($CR$2:$CR$2,'История отказов'!AY955)=0,COUNTIF('История отказов'!$AY$5:AY955,'История отказов'!AY955)=1),951,""))</f>
        <v/>
      </c>
      <c r="DL952">
        <f>IF(DB952="","",IF(AND(COUNTIF($DA$2:$DA$47,DB952)=0,COUNTIF($DB$2:DB952,DB952)=1),951,""))</f>
        <v/>
      </c>
    </row>
    <row r="953">
      <c r="A953" s="74" t="n"/>
      <c r="B953" s="75" t="n"/>
      <c r="C953" s="76" t="n"/>
      <c r="DB953">
        <f>IF('История отказов'!AH956="","",'История отказов'!AH956)</f>
        <v/>
      </c>
      <c r="DC953">
        <f>IF('История отказов'!AE956="","",IF(AND(COUNTIF($CT$2:$CT$2,'История отказов'!AE956)=0,COUNTIFS('История отказов'!$F$5:F956,"ШГН",'История отказов'!$AE$5:AE956,'История отказов'!AE956)=1,'История отказов'!F956="ШГН"),952,""))</f>
        <v/>
      </c>
      <c r="DD953">
        <f>IF('История отказов'!AE956="","",IF(AND(COUNTIF($CU$2:$CU$3,'История отказов'!AE956)=0,COUNTIFS('История отказов'!$F$5:F956,"ЭЦН",'История отказов'!$AE$5:AE956,'История отказов'!AE956)=1,'История отказов'!F956="ЭЦН"),952,""))</f>
        <v/>
      </c>
      <c r="DE953">
        <f>IF('История отказов'!AE956="","",IF(AND(COUNTIF($CV$2:$CV$3,'История отказов'!AE956)=0,COUNTIFS('История отказов'!$F$5:F956,"ЭВН",'История отказов'!$AE$5:AE956,'История отказов'!AE956)=1,'История отказов'!F956="ЭВН"),952,""))</f>
        <v/>
      </c>
      <c r="DF953">
        <f>IF('История отказов'!AE956="","",IF(AND(COUNTIF($CX$2:$CX$2,'История отказов'!AE956)=0,COUNTIFS('История отказов'!$F$5:F956,"ШВН",'История отказов'!$AE$5:AE956,'История отказов'!AE956)=1,'История отказов'!F956="ШВН"),952,""))</f>
        <v/>
      </c>
      <c r="DG953">
        <f>IF('История отказов'!AE956="","",IF(AND(COUNTIF($CW$2:$CW$2,'История отказов'!AE956)=0,COUNTIFS('История отказов'!$F$5:F956,"НПУ-ВД",'История отказов'!$AE$5:AE956,'История отказов'!AE956)=1,'История отказов'!F956="НПУ-ВД"),952,""))</f>
        <v/>
      </c>
      <c r="DH953">
        <f>IF('История отказов'!AE956="","",IF(AND(COUNTIF($CY$2:$CY$6,'История отказов'!AE956)=0,COUNTIF('История отказов'!$AE$5:AE956,'История отказов'!AE956)=1),952,""))</f>
        <v/>
      </c>
      <c r="DI953">
        <f>IF('История отказов'!AK956="","",IF(AND(COUNTIF($CL$2:$CL$3,'История отказов'!AK956)=0,COUNTIF('История отказов'!$AK$5:AK956,'История отказов'!AK956)=1),952,""))</f>
        <v/>
      </c>
      <c r="DJ953">
        <f>IF('История отказов'!AU956="","",IF(AND(COUNTIF($CP$2:$CP$3,'История отказов'!AU956)=0,COUNTIF('История отказов'!$AU$5:AU956,'История отказов'!AU956)=1),952,""))</f>
        <v/>
      </c>
      <c r="DK953">
        <f>IF('История отказов'!AY956="","",IF(AND(COUNTIF($CR$2:$CR$2,'История отказов'!AY956)=0,COUNTIF('История отказов'!$AY$5:AY956,'История отказов'!AY956)=1),952,""))</f>
        <v/>
      </c>
      <c r="DL953">
        <f>IF(DB953="","",IF(AND(COUNTIF($DA$2:$DA$47,DB953)=0,COUNTIF($DB$2:DB953,DB953)=1),952,""))</f>
        <v/>
      </c>
    </row>
    <row r="954">
      <c r="A954" s="74" t="n"/>
      <c r="B954" s="75" t="n"/>
      <c r="C954" s="76" t="n"/>
      <c r="DB954">
        <f>IF('История отказов'!AH957="","",'История отказов'!AH957)</f>
        <v/>
      </c>
      <c r="DC954">
        <f>IF('История отказов'!AE957="","",IF(AND(COUNTIF($CT$2:$CT$2,'История отказов'!AE957)=0,COUNTIFS('История отказов'!$F$5:F957,"ШГН",'История отказов'!$AE$5:AE957,'История отказов'!AE957)=1,'История отказов'!F957="ШГН"),953,""))</f>
        <v/>
      </c>
      <c r="DD954">
        <f>IF('История отказов'!AE957="","",IF(AND(COUNTIF($CU$2:$CU$3,'История отказов'!AE957)=0,COUNTIFS('История отказов'!$F$5:F957,"ЭЦН",'История отказов'!$AE$5:AE957,'История отказов'!AE957)=1,'История отказов'!F957="ЭЦН"),953,""))</f>
        <v/>
      </c>
      <c r="DE954">
        <f>IF('История отказов'!AE957="","",IF(AND(COUNTIF($CV$2:$CV$3,'История отказов'!AE957)=0,COUNTIFS('История отказов'!$F$5:F957,"ЭВН",'История отказов'!$AE$5:AE957,'История отказов'!AE957)=1,'История отказов'!F957="ЭВН"),953,""))</f>
        <v/>
      </c>
      <c r="DF954">
        <f>IF('История отказов'!AE957="","",IF(AND(COUNTIF($CX$2:$CX$2,'История отказов'!AE957)=0,COUNTIFS('История отказов'!$F$5:F957,"ШВН",'История отказов'!$AE$5:AE957,'История отказов'!AE957)=1,'История отказов'!F957="ШВН"),953,""))</f>
        <v/>
      </c>
      <c r="DG954">
        <f>IF('История отказов'!AE957="","",IF(AND(COUNTIF($CW$2:$CW$2,'История отказов'!AE957)=0,COUNTIFS('История отказов'!$F$5:F957,"НПУ-ВД",'История отказов'!$AE$5:AE957,'История отказов'!AE957)=1,'История отказов'!F957="НПУ-ВД"),953,""))</f>
        <v/>
      </c>
      <c r="DH954">
        <f>IF('История отказов'!AE957="","",IF(AND(COUNTIF($CY$2:$CY$6,'История отказов'!AE957)=0,COUNTIF('История отказов'!$AE$5:AE957,'История отказов'!AE957)=1),953,""))</f>
        <v/>
      </c>
      <c r="DI954">
        <f>IF('История отказов'!AK957="","",IF(AND(COUNTIF($CL$2:$CL$3,'История отказов'!AK957)=0,COUNTIF('История отказов'!$AK$5:AK957,'История отказов'!AK957)=1),953,""))</f>
        <v/>
      </c>
      <c r="DJ954">
        <f>IF('История отказов'!AU957="","",IF(AND(COUNTIF($CP$2:$CP$3,'История отказов'!AU957)=0,COUNTIF('История отказов'!$AU$5:AU957,'История отказов'!AU957)=1),953,""))</f>
        <v/>
      </c>
      <c r="DK954">
        <f>IF('История отказов'!AY957="","",IF(AND(COUNTIF($CR$2:$CR$2,'История отказов'!AY957)=0,COUNTIF('История отказов'!$AY$5:AY957,'История отказов'!AY957)=1),953,""))</f>
        <v/>
      </c>
      <c r="DL954">
        <f>IF(DB954="","",IF(AND(COUNTIF($DA$2:$DA$47,DB954)=0,COUNTIF($DB$2:DB954,DB954)=1),953,""))</f>
        <v/>
      </c>
    </row>
    <row r="955">
      <c r="A955" s="74" t="n"/>
      <c r="B955" s="75" t="n"/>
      <c r="C955" s="76" t="n"/>
      <c r="DB955">
        <f>IF('История отказов'!AH958="","",'История отказов'!AH958)</f>
        <v/>
      </c>
      <c r="DC955">
        <f>IF('История отказов'!AE958="","",IF(AND(COUNTIF($CT$2:$CT$2,'История отказов'!AE958)=0,COUNTIFS('История отказов'!$F$5:F958,"ШГН",'История отказов'!$AE$5:AE958,'История отказов'!AE958)=1,'История отказов'!F958="ШГН"),954,""))</f>
        <v/>
      </c>
      <c r="DD955">
        <f>IF('История отказов'!AE958="","",IF(AND(COUNTIF($CU$2:$CU$3,'История отказов'!AE958)=0,COUNTIFS('История отказов'!$F$5:F958,"ЭЦН",'История отказов'!$AE$5:AE958,'История отказов'!AE958)=1,'История отказов'!F958="ЭЦН"),954,""))</f>
        <v/>
      </c>
      <c r="DE955">
        <f>IF('История отказов'!AE958="","",IF(AND(COUNTIF($CV$2:$CV$3,'История отказов'!AE958)=0,COUNTIFS('История отказов'!$F$5:F958,"ЭВН",'История отказов'!$AE$5:AE958,'История отказов'!AE958)=1,'История отказов'!F958="ЭВН"),954,""))</f>
        <v/>
      </c>
      <c r="DF955">
        <f>IF('История отказов'!AE958="","",IF(AND(COUNTIF($CX$2:$CX$2,'История отказов'!AE958)=0,COUNTIFS('История отказов'!$F$5:F958,"ШВН",'История отказов'!$AE$5:AE958,'История отказов'!AE958)=1,'История отказов'!F958="ШВН"),954,""))</f>
        <v/>
      </c>
      <c r="DG955">
        <f>IF('История отказов'!AE958="","",IF(AND(COUNTIF($CW$2:$CW$2,'История отказов'!AE958)=0,COUNTIFS('История отказов'!$F$5:F958,"НПУ-ВД",'История отказов'!$AE$5:AE958,'История отказов'!AE958)=1,'История отказов'!F958="НПУ-ВД"),954,""))</f>
        <v/>
      </c>
      <c r="DH955">
        <f>IF('История отказов'!AE958="","",IF(AND(COUNTIF($CY$2:$CY$6,'История отказов'!AE958)=0,COUNTIF('История отказов'!$AE$5:AE958,'История отказов'!AE958)=1),954,""))</f>
        <v/>
      </c>
      <c r="DI955">
        <f>IF('История отказов'!AK958="","",IF(AND(COUNTIF($CL$2:$CL$3,'История отказов'!AK958)=0,COUNTIF('История отказов'!$AK$5:AK958,'История отказов'!AK958)=1),954,""))</f>
        <v/>
      </c>
      <c r="DJ955">
        <f>IF('История отказов'!AU958="","",IF(AND(COUNTIF($CP$2:$CP$3,'История отказов'!AU958)=0,COUNTIF('История отказов'!$AU$5:AU958,'История отказов'!AU958)=1),954,""))</f>
        <v/>
      </c>
      <c r="DK955">
        <f>IF('История отказов'!AY958="","",IF(AND(COUNTIF($CR$2:$CR$2,'История отказов'!AY958)=0,COUNTIF('История отказов'!$AY$5:AY958,'История отказов'!AY958)=1),954,""))</f>
        <v/>
      </c>
      <c r="DL955">
        <f>IF(DB955="","",IF(AND(COUNTIF($DA$2:$DA$47,DB955)=0,COUNTIF($DB$2:DB955,DB955)=1),954,""))</f>
        <v/>
      </c>
    </row>
    <row r="956">
      <c r="A956" s="74" t="n"/>
      <c r="B956" s="75" t="n"/>
      <c r="C956" s="76" t="n"/>
      <c r="DB956">
        <f>IF('История отказов'!AH959="","",'История отказов'!AH959)</f>
        <v/>
      </c>
      <c r="DC956">
        <f>IF('История отказов'!AE959="","",IF(AND(COUNTIF($CT$2:$CT$2,'История отказов'!AE959)=0,COUNTIFS('История отказов'!$F$5:F959,"ШГН",'История отказов'!$AE$5:AE959,'История отказов'!AE959)=1,'История отказов'!F959="ШГН"),955,""))</f>
        <v/>
      </c>
      <c r="DD956">
        <f>IF('История отказов'!AE959="","",IF(AND(COUNTIF($CU$2:$CU$3,'История отказов'!AE959)=0,COUNTIFS('История отказов'!$F$5:F959,"ЭЦН",'История отказов'!$AE$5:AE959,'История отказов'!AE959)=1,'История отказов'!F959="ЭЦН"),955,""))</f>
        <v/>
      </c>
      <c r="DE956">
        <f>IF('История отказов'!AE959="","",IF(AND(COUNTIF($CV$2:$CV$3,'История отказов'!AE959)=0,COUNTIFS('История отказов'!$F$5:F959,"ЭВН",'История отказов'!$AE$5:AE959,'История отказов'!AE959)=1,'История отказов'!F959="ЭВН"),955,""))</f>
        <v/>
      </c>
      <c r="DF956">
        <f>IF('История отказов'!AE959="","",IF(AND(COUNTIF($CX$2:$CX$2,'История отказов'!AE959)=0,COUNTIFS('История отказов'!$F$5:F959,"ШВН",'История отказов'!$AE$5:AE959,'История отказов'!AE959)=1,'История отказов'!F959="ШВН"),955,""))</f>
        <v/>
      </c>
      <c r="DG956">
        <f>IF('История отказов'!AE959="","",IF(AND(COUNTIF($CW$2:$CW$2,'История отказов'!AE959)=0,COUNTIFS('История отказов'!$F$5:F959,"НПУ-ВД",'История отказов'!$AE$5:AE959,'История отказов'!AE959)=1,'История отказов'!F959="НПУ-ВД"),955,""))</f>
        <v/>
      </c>
      <c r="DH956">
        <f>IF('История отказов'!AE959="","",IF(AND(COUNTIF($CY$2:$CY$6,'История отказов'!AE959)=0,COUNTIF('История отказов'!$AE$5:AE959,'История отказов'!AE959)=1),955,""))</f>
        <v/>
      </c>
      <c r="DI956">
        <f>IF('История отказов'!AK959="","",IF(AND(COUNTIF($CL$2:$CL$3,'История отказов'!AK959)=0,COUNTIF('История отказов'!$AK$5:AK959,'История отказов'!AK959)=1),955,""))</f>
        <v/>
      </c>
      <c r="DJ956">
        <f>IF('История отказов'!AU959="","",IF(AND(COUNTIF($CP$2:$CP$3,'История отказов'!AU959)=0,COUNTIF('История отказов'!$AU$5:AU959,'История отказов'!AU959)=1),955,""))</f>
        <v/>
      </c>
      <c r="DK956">
        <f>IF('История отказов'!AY959="","",IF(AND(COUNTIF($CR$2:$CR$2,'История отказов'!AY959)=0,COUNTIF('История отказов'!$AY$5:AY959,'История отказов'!AY959)=1),955,""))</f>
        <v/>
      </c>
      <c r="DL956">
        <f>IF(DB956="","",IF(AND(COUNTIF($DA$2:$DA$47,DB956)=0,COUNTIF($DB$2:DB956,DB956)=1),955,""))</f>
        <v/>
      </c>
    </row>
    <row r="957">
      <c r="A957" s="74" t="n"/>
      <c r="B957" s="75" t="n"/>
      <c r="C957" s="76" t="n"/>
      <c r="DB957">
        <f>IF('История отказов'!AH960="","",'История отказов'!AH960)</f>
        <v/>
      </c>
      <c r="DC957">
        <f>IF('История отказов'!AE960="","",IF(AND(COUNTIF($CT$2:$CT$2,'История отказов'!AE960)=0,COUNTIFS('История отказов'!$F$5:F960,"ШГН",'История отказов'!$AE$5:AE960,'История отказов'!AE960)=1,'История отказов'!F960="ШГН"),956,""))</f>
        <v/>
      </c>
      <c r="DD957">
        <f>IF('История отказов'!AE960="","",IF(AND(COUNTIF($CU$2:$CU$3,'История отказов'!AE960)=0,COUNTIFS('История отказов'!$F$5:F960,"ЭЦН",'История отказов'!$AE$5:AE960,'История отказов'!AE960)=1,'История отказов'!F960="ЭЦН"),956,""))</f>
        <v/>
      </c>
      <c r="DE957">
        <f>IF('История отказов'!AE960="","",IF(AND(COUNTIF($CV$2:$CV$3,'История отказов'!AE960)=0,COUNTIFS('История отказов'!$F$5:F960,"ЭВН",'История отказов'!$AE$5:AE960,'История отказов'!AE960)=1,'История отказов'!F960="ЭВН"),956,""))</f>
        <v/>
      </c>
      <c r="DF957">
        <f>IF('История отказов'!AE960="","",IF(AND(COUNTIF($CX$2:$CX$2,'История отказов'!AE960)=0,COUNTIFS('История отказов'!$F$5:F960,"ШВН",'История отказов'!$AE$5:AE960,'История отказов'!AE960)=1,'История отказов'!F960="ШВН"),956,""))</f>
        <v/>
      </c>
      <c r="DG957">
        <f>IF('История отказов'!AE960="","",IF(AND(COUNTIF($CW$2:$CW$2,'История отказов'!AE960)=0,COUNTIFS('История отказов'!$F$5:F960,"НПУ-ВД",'История отказов'!$AE$5:AE960,'История отказов'!AE960)=1,'История отказов'!F960="НПУ-ВД"),956,""))</f>
        <v/>
      </c>
      <c r="DH957">
        <f>IF('История отказов'!AE960="","",IF(AND(COUNTIF($CY$2:$CY$6,'История отказов'!AE960)=0,COUNTIF('История отказов'!$AE$5:AE960,'История отказов'!AE960)=1),956,""))</f>
        <v/>
      </c>
      <c r="DI957">
        <f>IF('История отказов'!AK960="","",IF(AND(COUNTIF($CL$2:$CL$3,'История отказов'!AK960)=0,COUNTIF('История отказов'!$AK$5:AK960,'История отказов'!AK960)=1),956,""))</f>
        <v/>
      </c>
      <c r="DJ957">
        <f>IF('История отказов'!AU960="","",IF(AND(COUNTIF($CP$2:$CP$3,'История отказов'!AU960)=0,COUNTIF('История отказов'!$AU$5:AU960,'История отказов'!AU960)=1),956,""))</f>
        <v/>
      </c>
      <c r="DK957">
        <f>IF('История отказов'!AY960="","",IF(AND(COUNTIF($CR$2:$CR$2,'История отказов'!AY960)=0,COUNTIF('История отказов'!$AY$5:AY960,'История отказов'!AY960)=1),956,""))</f>
        <v/>
      </c>
      <c r="DL957">
        <f>IF(DB957="","",IF(AND(COUNTIF($DA$2:$DA$47,DB957)=0,COUNTIF($DB$2:DB957,DB957)=1),956,""))</f>
        <v/>
      </c>
    </row>
    <row r="958">
      <c r="A958" s="74" t="n"/>
      <c r="B958" s="75" t="n"/>
      <c r="C958" s="76" t="n"/>
      <c r="DB958">
        <f>IF('История отказов'!AH961="","",'История отказов'!AH961)</f>
        <v/>
      </c>
      <c r="DC958">
        <f>IF('История отказов'!AE961="","",IF(AND(COUNTIF($CT$2:$CT$2,'История отказов'!AE961)=0,COUNTIFS('История отказов'!$F$5:F961,"ШГН",'История отказов'!$AE$5:AE961,'История отказов'!AE961)=1,'История отказов'!F961="ШГН"),957,""))</f>
        <v/>
      </c>
      <c r="DD958">
        <f>IF('История отказов'!AE961="","",IF(AND(COUNTIF($CU$2:$CU$3,'История отказов'!AE961)=0,COUNTIFS('История отказов'!$F$5:F961,"ЭЦН",'История отказов'!$AE$5:AE961,'История отказов'!AE961)=1,'История отказов'!F961="ЭЦН"),957,""))</f>
        <v/>
      </c>
      <c r="DE958">
        <f>IF('История отказов'!AE961="","",IF(AND(COUNTIF($CV$2:$CV$3,'История отказов'!AE961)=0,COUNTIFS('История отказов'!$F$5:F961,"ЭВН",'История отказов'!$AE$5:AE961,'История отказов'!AE961)=1,'История отказов'!F961="ЭВН"),957,""))</f>
        <v/>
      </c>
      <c r="DF958">
        <f>IF('История отказов'!AE961="","",IF(AND(COUNTIF($CX$2:$CX$2,'История отказов'!AE961)=0,COUNTIFS('История отказов'!$F$5:F961,"ШВН",'История отказов'!$AE$5:AE961,'История отказов'!AE961)=1,'История отказов'!F961="ШВН"),957,""))</f>
        <v/>
      </c>
      <c r="DG958">
        <f>IF('История отказов'!AE961="","",IF(AND(COUNTIF($CW$2:$CW$2,'История отказов'!AE961)=0,COUNTIFS('История отказов'!$F$5:F961,"НПУ-ВД",'История отказов'!$AE$5:AE961,'История отказов'!AE961)=1,'История отказов'!F961="НПУ-ВД"),957,""))</f>
        <v/>
      </c>
      <c r="DH958">
        <f>IF('История отказов'!AE961="","",IF(AND(COUNTIF($CY$2:$CY$6,'История отказов'!AE961)=0,COUNTIF('История отказов'!$AE$5:AE961,'История отказов'!AE961)=1),957,""))</f>
        <v/>
      </c>
      <c r="DI958">
        <f>IF('История отказов'!AK961="","",IF(AND(COUNTIF($CL$2:$CL$3,'История отказов'!AK961)=0,COUNTIF('История отказов'!$AK$5:AK961,'История отказов'!AK961)=1),957,""))</f>
        <v/>
      </c>
      <c r="DJ958">
        <f>IF('История отказов'!AU961="","",IF(AND(COUNTIF($CP$2:$CP$3,'История отказов'!AU961)=0,COUNTIF('История отказов'!$AU$5:AU961,'История отказов'!AU961)=1),957,""))</f>
        <v/>
      </c>
      <c r="DK958">
        <f>IF('История отказов'!AY961="","",IF(AND(COUNTIF($CR$2:$CR$2,'История отказов'!AY961)=0,COUNTIF('История отказов'!$AY$5:AY961,'История отказов'!AY961)=1),957,""))</f>
        <v/>
      </c>
      <c r="DL958">
        <f>IF(DB958="","",IF(AND(COUNTIF($DA$2:$DA$47,DB958)=0,COUNTIF($DB$2:DB958,DB958)=1),957,""))</f>
        <v/>
      </c>
    </row>
    <row r="959">
      <c r="A959" s="74" t="n"/>
      <c r="B959" s="75" t="n"/>
      <c r="C959" s="76" t="n"/>
      <c r="DB959">
        <f>IF('История отказов'!AH962="","",'История отказов'!AH962)</f>
        <v/>
      </c>
      <c r="DC959">
        <f>IF('История отказов'!AE962="","",IF(AND(COUNTIF($CT$2:$CT$2,'История отказов'!AE962)=0,COUNTIFS('История отказов'!$F$5:F962,"ШГН",'История отказов'!$AE$5:AE962,'История отказов'!AE962)=1,'История отказов'!F962="ШГН"),958,""))</f>
        <v/>
      </c>
      <c r="DD959">
        <f>IF('История отказов'!AE962="","",IF(AND(COUNTIF($CU$2:$CU$3,'История отказов'!AE962)=0,COUNTIFS('История отказов'!$F$5:F962,"ЭЦН",'История отказов'!$AE$5:AE962,'История отказов'!AE962)=1,'История отказов'!F962="ЭЦН"),958,""))</f>
        <v/>
      </c>
      <c r="DE959">
        <f>IF('История отказов'!AE962="","",IF(AND(COUNTIF($CV$2:$CV$3,'История отказов'!AE962)=0,COUNTIFS('История отказов'!$F$5:F962,"ЭВН",'История отказов'!$AE$5:AE962,'История отказов'!AE962)=1,'История отказов'!F962="ЭВН"),958,""))</f>
        <v/>
      </c>
      <c r="DF959">
        <f>IF('История отказов'!AE962="","",IF(AND(COUNTIF($CX$2:$CX$2,'История отказов'!AE962)=0,COUNTIFS('История отказов'!$F$5:F962,"ШВН",'История отказов'!$AE$5:AE962,'История отказов'!AE962)=1,'История отказов'!F962="ШВН"),958,""))</f>
        <v/>
      </c>
      <c r="DG959">
        <f>IF('История отказов'!AE962="","",IF(AND(COUNTIF($CW$2:$CW$2,'История отказов'!AE962)=0,COUNTIFS('История отказов'!$F$5:F962,"НПУ-ВД",'История отказов'!$AE$5:AE962,'История отказов'!AE962)=1,'История отказов'!F962="НПУ-ВД"),958,""))</f>
        <v/>
      </c>
      <c r="DH959">
        <f>IF('История отказов'!AE962="","",IF(AND(COUNTIF($CY$2:$CY$6,'История отказов'!AE962)=0,COUNTIF('История отказов'!$AE$5:AE962,'История отказов'!AE962)=1),958,""))</f>
        <v/>
      </c>
      <c r="DI959">
        <f>IF('История отказов'!AK962="","",IF(AND(COUNTIF($CL$2:$CL$3,'История отказов'!AK962)=0,COUNTIF('История отказов'!$AK$5:AK962,'История отказов'!AK962)=1),958,""))</f>
        <v/>
      </c>
      <c r="DJ959">
        <f>IF('История отказов'!AU962="","",IF(AND(COUNTIF($CP$2:$CP$3,'История отказов'!AU962)=0,COUNTIF('История отказов'!$AU$5:AU962,'История отказов'!AU962)=1),958,""))</f>
        <v/>
      </c>
      <c r="DK959">
        <f>IF('История отказов'!AY962="","",IF(AND(COUNTIF($CR$2:$CR$2,'История отказов'!AY962)=0,COUNTIF('История отказов'!$AY$5:AY962,'История отказов'!AY962)=1),958,""))</f>
        <v/>
      </c>
      <c r="DL959">
        <f>IF(DB959="","",IF(AND(COUNTIF($DA$2:$DA$47,DB959)=0,COUNTIF($DB$2:DB959,DB959)=1),958,""))</f>
        <v/>
      </c>
    </row>
    <row r="960">
      <c r="A960" s="74" t="n"/>
      <c r="B960" s="75" t="n"/>
      <c r="C960" s="76" t="n"/>
      <c r="DB960">
        <f>IF('История отказов'!AH963="","",'История отказов'!AH963)</f>
        <v/>
      </c>
      <c r="DC960">
        <f>IF('История отказов'!AE963="","",IF(AND(COUNTIF($CT$2:$CT$2,'История отказов'!AE963)=0,COUNTIFS('История отказов'!$F$5:F963,"ШГН",'История отказов'!$AE$5:AE963,'История отказов'!AE963)=1,'История отказов'!F963="ШГН"),959,""))</f>
        <v/>
      </c>
      <c r="DD960">
        <f>IF('История отказов'!AE963="","",IF(AND(COUNTIF($CU$2:$CU$3,'История отказов'!AE963)=0,COUNTIFS('История отказов'!$F$5:F963,"ЭЦН",'История отказов'!$AE$5:AE963,'История отказов'!AE963)=1,'История отказов'!F963="ЭЦН"),959,""))</f>
        <v/>
      </c>
      <c r="DE960">
        <f>IF('История отказов'!AE963="","",IF(AND(COUNTIF($CV$2:$CV$3,'История отказов'!AE963)=0,COUNTIFS('История отказов'!$F$5:F963,"ЭВН",'История отказов'!$AE$5:AE963,'История отказов'!AE963)=1,'История отказов'!F963="ЭВН"),959,""))</f>
        <v/>
      </c>
      <c r="DF960">
        <f>IF('История отказов'!AE963="","",IF(AND(COUNTIF($CX$2:$CX$2,'История отказов'!AE963)=0,COUNTIFS('История отказов'!$F$5:F963,"ШВН",'История отказов'!$AE$5:AE963,'История отказов'!AE963)=1,'История отказов'!F963="ШВН"),959,""))</f>
        <v/>
      </c>
      <c r="DG960">
        <f>IF('История отказов'!AE963="","",IF(AND(COUNTIF($CW$2:$CW$2,'История отказов'!AE963)=0,COUNTIFS('История отказов'!$F$5:F963,"НПУ-ВД",'История отказов'!$AE$5:AE963,'История отказов'!AE963)=1,'История отказов'!F963="НПУ-ВД"),959,""))</f>
        <v/>
      </c>
      <c r="DH960">
        <f>IF('История отказов'!AE963="","",IF(AND(COUNTIF($CY$2:$CY$6,'История отказов'!AE963)=0,COUNTIF('История отказов'!$AE$5:AE963,'История отказов'!AE963)=1),959,""))</f>
        <v/>
      </c>
      <c r="DI960">
        <f>IF('История отказов'!AK963="","",IF(AND(COUNTIF($CL$2:$CL$3,'История отказов'!AK963)=0,COUNTIF('История отказов'!$AK$5:AK963,'История отказов'!AK963)=1),959,""))</f>
        <v/>
      </c>
      <c r="DJ960">
        <f>IF('История отказов'!AU963="","",IF(AND(COUNTIF($CP$2:$CP$3,'История отказов'!AU963)=0,COUNTIF('История отказов'!$AU$5:AU963,'История отказов'!AU963)=1),959,""))</f>
        <v/>
      </c>
      <c r="DK960">
        <f>IF('История отказов'!AY963="","",IF(AND(COUNTIF($CR$2:$CR$2,'История отказов'!AY963)=0,COUNTIF('История отказов'!$AY$5:AY963,'История отказов'!AY963)=1),959,""))</f>
        <v/>
      </c>
      <c r="DL960">
        <f>IF(DB960="","",IF(AND(COUNTIF($DA$2:$DA$47,DB960)=0,COUNTIF($DB$2:DB960,DB960)=1),959,""))</f>
        <v/>
      </c>
    </row>
    <row r="961">
      <c r="A961" s="74" t="n"/>
      <c r="B961" s="75" t="n"/>
      <c r="C961" s="76" t="n"/>
      <c r="DB961">
        <f>IF('История отказов'!AH964="","",'История отказов'!AH964)</f>
        <v/>
      </c>
      <c r="DC961">
        <f>IF('История отказов'!AE964="","",IF(AND(COUNTIF($CT$2:$CT$2,'История отказов'!AE964)=0,COUNTIFS('История отказов'!$F$5:F964,"ШГН",'История отказов'!$AE$5:AE964,'История отказов'!AE964)=1,'История отказов'!F964="ШГН"),960,""))</f>
        <v/>
      </c>
      <c r="DD961">
        <f>IF('История отказов'!AE964="","",IF(AND(COUNTIF($CU$2:$CU$3,'История отказов'!AE964)=0,COUNTIFS('История отказов'!$F$5:F964,"ЭЦН",'История отказов'!$AE$5:AE964,'История отказов'!AE964)=1,'История отказов'!F964="ЭЦН"),960,""))</f>
        <v/>
      </c>
      <c r="DE961">
        <f>IF('История отказов'!AE964="","",IF(AND(COUNTIF($CV$2:$CV$3,'История отказов'!AE964)=0,COUNTIFS('История отказов'!$F$5:F964,"ЭВН",'История отказов'!$AE$5:AE964,'История отказов'!AE964)=1,'История отказов'!F964="ЭВН"),960,""))</f>
        <v/>
      </c>
      <c r="DF961">
        <f>IF('История отказов'!AE964="","",IF(AND(COUNTIF($CX$2:$CX$2,'История отказов'!AE964)=0,COUNTIFS('История отказов'!$F$5:F964,"ШВН",'История отказов'!$AE$5:AE964,'История отказов'!AE964)=1,'История отказов'!F964="ШВН"),960,""))</f>
        <v/>
      </c>
      <c r="DG961">
        <f>IF('История отказов'!AE964="","",IF(AND(COUNTIF($CW$2:$CW$2,'История отказов'!AE964)=0,COUNTIFS('История отказов'!$F$5:F964,"НПУ-ВД",'История отказов'!$AE$5:AE964,'История отказов'!AE964)=1,'История отказов'!F964="НПУ-ВД"),960,""))</f>
        <v/>
      </c>
      <c r="DH961">
        <f>IF('История отказов'!AE964="","",IF(AND(COUNTIF($CY$2:$CY$6,'История отказов'!AE964)=0,COUNTIF('История отказов'!$AE$5:AE964,'История отказов'!AE964)=1),960,""))</f>
        <v/>
      </c>
      <c r="DI961">
        <f>IF('История отказов'!AK964="","",IF(AND(COUNTIF($CL$2:$CL$3,'История отказов'!AK964)=0,COUNTIF('История отказов'!$AK$5:AK964,'История отказов'!AK964)=1),960,""))</f>
        <v/>
      </c>
      <c r="DJ961">
        <f>IF('История отказов'!AU964="","",IF(AND(COUNTIF($CP$2:$CP$3,'История отказов'!AU964)=0,COUNTIF('История отказов'!$AU$5:AU964,'История отказов'!AU964)=1),960,""))</f>
        <v/>
      </c>
      <c r="DK961">
        <f>IF('История отказов'!AY964="","",IF(AND(COUNTIF($CR$2:$CR$2,'История отказов'!AY964)=0,COUNTIF('История отказов'!$AY$5:AY964,'История отказов'!AY964)=1),960,""))</f>
        <v/>
      </c>
      <c r="DL961">
        <f>IF(DB961="","",IF(AND(COUNTIF($DA$2:$DA$47,DB961)=0,COUNTIF($DB$2:DB961,DB961)=1),960,""))</f>
        <v/>
      </c>
    </row>
    <row r="962">
      <c r="A962" s="74" t="n"/>
      <c r="B962" s="75" t="n"/>
      <c r="C962" s="76" t="n"/>
      <c r="DB962">
        <f>IF('История отказов'!AH965="","",'История отказов'!AH965)</f>
        <v/>
      </c>
      <c r="DC962">
        <f>IF('История отказов'!AE965="","",IF(AND(COUNTIF($CT$2:$CT$2,'История отказов'!AE965)=0,COUNTIFS('История отказов'!$F$5:F965,"ШГН",'История отказов'!$AE$5:AE965,'История отказов'!AE965)=1,'История отказов'!F965="ШГН"),961,""))</f>
        <v/>
      </c>
      <c r="DD962">
        <f>IF('История отказов'!AE965="","",IF(AND(COUNTIF($CU$2:$CU$3,'История отказов'!AE965)=0,COUNTIFS('История отказов'!$F$5:F965,"ЭЦН",'История отказов'!$AE$5:AE965,'История отказов'!AE965)=1,'История отказов'!F965="ЭЦН"),961,""))</f>
        <v/>
      </c>
      <c r="DE962">
        <f>IF('История отказов'!AE965="","",IF(AND(COUNTIF($CV$2:$CV$3,'История отказов'!AE965)=0,COUNTIFS('История отказов'!$F$5:F965,"ЭВН",'История отказов'!$AE$5:AE965,'История отказов'!AE965)=1,'История отказов'!F965="ЭВН"),961,""))</f>
        <v/>
      </c>
      <c r="DF962">
        <f>IF('История отказов'!AE965="","",IF(AND(COUNTIF($CX$2:$CX$2,'История отказов'!AE965)=0,COUNTIFS('История отказов'!$F$5:F965,"ШВН",'История отказов'!$AE$5:AE965,'История отказов'!AE965)=1,'История отказов'!F965="ШВН"),961,""))</f>
        <v/>
      </c>
      <c r="DG962">
        <f>IF('История отказов'!AE965="","",IF(AND(COUNTIF($CW$2:$CW$2,'История отказов'!AE965)=0,COUNTIFS('История отказов'!$F$5:F965,"НПУ-ВД",'История отказов'!$AE$5:AE965,'История отказов'!AE965)=1,'История отказов'!F965="НПУ-ВД"),961,""))</f>
        <v/>
      </c>
      <c r="DH962">
        <f>IF('История отказов'!AE965="","",IF(AND(COUNTIF($CY$2:$CY$6,'История отказов'!AE965)=0,COUNTIF('История отказов'!$AE$5:AE965,'История отказов'!AE965)=1),961,""))</f>
        <v/>
      </c>
      <c r="DI962">
        <f>IF('История отказов'!AK965="","",IF(AND(COUNTIF($CL$2:$CL$3,'История отказов'!AK965)=0,COUNTIF('История отказов'!$AK$5:AK965,'История отказов'!AK965)=1),961,""))</f>
        <v/>
      </c>
      <c r="DJ962">
        <f>IF('История отказов'!AU965="","",IF(AND(COUNTIF($CP$2:$CP$3,'История отказов'!AU965)=0,COUNTIF('История отказов'!$AU$5:AU965,'История отказов'!AU965)=1),961,""))</f>
        <v/>
      </c>
      <c r="DK962">
        <f>IF('История отказов'!AY965="","",IF(AND(COUNTIF($CR$2:$CR$2,'История отказов'!AY965)=0,COUNTIF('История отказов'!$AY$5:AY965,'История отказов'!AY965)=1),961,""))</f>
        <v/>
      </c>
      <c r="DL962">
        <f>IF(DB962="","",IF(AND(COUNTIF($DA$2:$DA$47,DB962)=0,COUNTIF($DB$2:DB962,DB962)=1),961,""))</f>
        <v/>
      </c>
    </row>
    <row r="963">
      <c r="A963" s="74" t="n"/>
      <c r="B963" s="75" t="n"/>
      <c r="C963" s="76" t="n"/>
      <c r="DB963">
        <f>IF('История отказов'!AH966="","",'История отказов'!AH966)</f>
        <v/>
      </c>
      <c r="DC963">
        <f>IF('История отказов'!AE966="","",IF(AND(COUNTIF($CT$2:$CT$2,'История отказов'!AE966)=0,COUNTIFS('История отказов'!$F$5:F966,"ШГН",'История отказов'!$AE$5:AE966,'История отказов'!AE966)=1,'История отказов'!F966="ШГН"),962,""))</f>
        <v/>
      </c>
      <c r="DD963">
        <f>IF('История отказов'!AE966="","",IF(AND(COUNTIF($CU$2:$CU$3,'История отказов'!AE966)=0,COUNTIFS('История отказов'!$F$5:F966,"ЭЦН",'История отказов'!$AE$5:AE966,'История отказов'!AE966)=1,'История отказов'!F966="ЭЦН"),962,""))</f>
        <v/>
      </c>
      <c r="DE963">
        <f>IF('История отказов'!AE966="","",IF(AND(COUNTIF($CV$2:$CV$3,'История отказов'!AE966)=0,COUNTIFS('История отказов'!$F$5:F966,"ЭВН",'История отказов'!$AE$5:AE966,'История отказов'!AE966)=1,'История отказов'!F966="ЭВН"),962,""))</f>
        <v/>
      </c>
      <c r="DF963">
        <f>IF('История отказов'!AE966="","",IF(AND(COUNTIF($CX$2:$CX$2,'История отказов'!AE966)=0,COUNTIFS('История отказов'!$F$5:F966,"ШВН",'История отказов'!$AE$5:AE966,'История отказов'!AE966)=1,'История отказов'!F966="ШВН"),962,""))</f>
        <v/>
      </c>
      <c r="DG963">
        <f>IF('История отказов'!AE966="","",IF(AND(COUNTIF($CW$2:$CW$2,'История отказов'!AE966)=0,COUNTIFS('История отказов'!$F$5:F966,"НПУ-ВД",'История отказов'!$AE$5:AE966,'История отказов'!AE966)=1,'История отказов'!F966="НПУ-ВД"),962,""))</f>
        <v/>
      </c>
      <c r="DH963">
        <f>IF('История отказов'!AE966="","",IF(AND(COUNTIF($CY$2:$CY$6,'История отказов'!AE966)=0,COUNTIF('История отказов'!$AE$5:AE966,'История отказов'!AE966)=1),962,""))</f>
        <v/>
      </c>
      <c r="DI963">
        <f>IF('История отказов'!AK966="","",IF(AND(COUNTIF($CL$2:$CL$3,'История отказов'!AK966)=0,COUNTIF('История отказов'!$AK$5:AK966,'История отказов'!AK966)=1),962,""))</f>
        <v/>
      </c>
      <c r="DJ963">
        <f>IF('История отказов'!AU966="","",IF(AND(COUNTIF($CP$2:$CP$3,'История отказов'!AU966)=0,COUNTIF('История отказов'!$AU$5:AU966,'История отказов'!AU966)=1),962,""))</f>
        <v/>
      </c>
      <c r="DK963">
        <f>IF('История отказов'!AY966="","",IF(AND(COUNTIF($CR$2:$CR$2,'История отказов'!AY966)=0,COUNTIF('История отказов'!$AY$5:AY966,'История отказов'!AY966)=1),962,""))</f>
        <v/>
      </c>
      <c r="DL963">
        <f>IF(DB963="","",IF(AND(COUNTIF($DA$2:$DA$47,DB963)=0,COUNTIF($DB$2:DB963,DB963)=1),962,""))</f>
        <v/>
      </c>
    </row>
    <row r="964">
      <c r="A964" s="74" t="n"/>
      <c r="B964" s="75" t="n"/>
      <c r="C964" s="76" t="n"/>
      <c r="DB964">
        <f>IF('История отказов'!AH967="","",'История отказов'!AH967)</f>
        <v/>
      </c>
      <c r="DC964">
        <f>IF('История отказов'!AE967="","",IF(AND(COUNTIF($CT$2:$CT$2,'История отказов'!AE967)=0,COUNTIFS('История отказов'!$F$5:F967,"ШГН",'История отказов'!$AE$5:AE967,'История отказов'!AE967)=1,'История отказов'!F967="ШГН"),963,""))</f>
        <v/>
      </c>
      <c r="DD964">
        <f>IF('История отказов'!AE967="","",IF(AND(COUNTIF($CU$2:$CU$3,'История отказов'!AE967)=0,COUNTIFS('История отказов'!$F$5:F967,"ЭЦН",'История отказов'!$AE$5:AE967,'История отказов'!AE967)=1,'История отказов'!F967="ЭЦН"),963,""))</f>
        <v/>
      </c>
      <c r="DE964">
        <f>IF('История отказов'!AE967="","",IF(AND(COUNTIF($CV$2:$CV$3,'История отказов'!AE967)=0,COUNTIFS('История отказов'!$F$5:F967,"ЭВН",'История отказов'!$AE$5:AE967,'История отказов'!AE967)=1,'История отказов'!F967="ЭВН"),963,""))</f>
        <v/>
      </c>
      <c r="DF964">
        <f>IF('История отказов'!AE967="","",IF(AND(COUNTIF($CX$2:$CX$2,'История отказов'!AE967)=0,COUNTIFS('История отказов'!$F$5:F967,"ШВН",'История отказов'!$AE$5:AE967,'История отказов'!AE967)=1,'История отказов'!F967="ШВН"),963,""))</f>
        <v/>
      </c>
      <c r="DG964">
        <f>IF('История отказов'!AE967="","",IF(AND(COUNTIF($CW$2:$CW$2,'История отказов'!AE967)=0,COUNTIFS('История отказов'!$F$5:F967,"НПУ-ВД",'История отказов'!$AE$5:AE967,'История отказов'!AE967)=1,'История отказов'!F967="НПУ-ВД"),963,""))</f>
        <v/>
      </c>
      <c r="DH964">
        <f>IF('История отказов'!AE967="","",IF(AND(COUNTIF($CY$2:$CY$6,'История отказов'!AE967)=0,COUNTIF('История отказов'!$AE$5:AE967,'История отказов'!AE967)=1),963,""))</f>
        <v/>
      </c>
      <c r="DI964">
        <f>IF('История отказов'!AK967="","",IF(AND(COUNTIF($CL$2:$CL$3,'История отказов'!AK967)=0,COUNTIF('История отказов'!$AK$5:AK967,'История отказов'!AK967)=1),963,""))</f>
        <v/>
      </c>
      <c r="DJ964">
        <f>IF('История отказов'!AU967="","",IF(AND(COUNTIF($CP$2:$CP$3,'История отказов'!AU967)=0,COUNTIF('История отказов'!$AU$5:AU967,'История отказов'!AU967)=1),963,""))</f>
        <v/>
      </c>
      <c r="DK964">
        <f>IF('История отказов'!AY967="","",IF(AND(COUNTIF($CR$2:$CR$2,'История отказов'!AY967)=0,COUNTIF('История отказов'!$AY$5:AY967,'История отказов'!AY967)=1),963,""))</f>
        <v/>
      </c>
      <c r="DL964">
        <f>IF(DB964="","",IF(AND(COUNTIF($DA$2:$DA$47,DB964)=0,COUNTIF($DB$2:DB964,DB964)=1),963,""))</f>
        <v/>
      </c>
    </row>
    <row r="965">
      <c r="A965" s="74" t="n"/>
      <c r="B965" s="75" t="n"/>
      <c r="C965" s="76" t="n"/>
      <c r="DB965">
        <f>IF('История отказов'!AH968="","",'История отказов'!AH968)</f>
        <v/>
      </c>
      <c r="DC965">
        <f>IF('История отказов'!AE968="","",IF(AND(COUNTIF($CT$2:$CT$2,'История отказов'!AE968)=0,COUNTIFS('История отказов'!$F$5:F968,"ШГН",'История отказов'!$AE$5:AE968,'История отказов'!AE968)=1,'История отказов'!F968="ШГН"),964,""))</f>
        <v/>
      </c>
      <c r="DD965">
        <f>IF('История отказов'!AE968="","",IF(AND(COUNTIF($CU$2:$CU$3,'История отказов'!AE968)=0,COUNTIFS('История отказов'!$F$5:F968,"ЭЦН",'История отказов'!$AE$5:AE968,'История отказов'!AE968)=1,'История отказов'!F968="ЭЦН"),964,""))</f>
        <v/>
      </c>
      <c r="DE965">
        <f>IF('История отказов'!AE968="","",IF(AND(COUNTIF($CV$2:$CV$3,'История отказов'!AE968)=0,COUNTIFS('История отказов'!$F$5:F968,"ЭВН",'История отказов'!$AE$5:AE968,'История отказов'!AE968)=1,'История отказов'!F968="ЭВН"),964,""))</f>
        <v/>
      </c>
      <c r="DF965">
        <f>IF('История отказов'!AE968="","",IF(AND(COUNTIF($CX$2:$CX$2,'История отказов'!AE968)=0,COUNTIFS('История отказов'!$F$5:F968,"ШВН",'История отказов'!$AE$5:AE968,'История отказов'!AE968)=1,'История отказов'!F968="ШВН"),964,""))</f>
        <v/>
      </c>
      <c r="DG965">
        <f>IF('История отказов'!AE968="","",IF(AND(COUNTIF($CW$2:$CW$2,'История отказов'!AE968)=0,COUNTIFS('История отказов'!$F$5:F968,"НПУ-ВД",'История отказов'!$AE$5:AE968,'История отказов'!AE968)=1,'История отказов'!F968="НПУ-ВД"),964,""))</f>
        <v/>
      </c>
      <c r="DH965">
        <f>IF('История отказов'!AE968="","",IF(AND(COUNTIF($CY$2:$CY$6,'История отказов'!AE968)=0,COUNTIF('История отказов'!$AE$5:AE968,'История отказов'!AE968)=1),964,""))</f>
        <v/>
      </c>
      <c r="DI965">
        <f>IF('История отказов'!AK968="","",IF(AND(COUNTIF($CL$2:$CL$3,'История отказов'!AK968)=0,COUNTIF('История отказов'!$AK$5:AK968,'История отказов'!AK968)=1),964,""))</f>
        <v/>
      </c>
      <c r="DJ965">
        <f>IF('История отказов'!AU968="","",IF(AND(COUNTIF($CP$2:$CP$3,'История отказов'!AU968)=0,COUNTIF('История отказов'!$AU$5:AU968,'История отказов'!AU968)=1),964,""))</f>
        <v/>
      </c>
      <c r="DK965">
        <f>IF('История отказов'!AY968="","",IF(AND(COUNTIF($CR$2:$CR$2,'История отказов'!AY968)=0,COUNTIF('История отказов'!$AY$5:AY968,'История отказов'!AY968)=1),964,""))</f>
        <v/>
      </c>
      <c r="DL965">
        <f>IF(DB965="","",IF(AND(COUNTIF($DA$2:$DA$47,DB965)=0,COUNTIF($DB$2:DB965,DB965)=1),964,""))</f>
        <v/>
      </c>
    </row>
    <row r="966">
      <c r="A966" s="74" t="n"/>
      <c r="B966" s="75" t="n"/>
      <c r="C966" s="76" t="n"/>
      <c r="DB966">
        <f>IF('История отказов'!AH969="","",'История отказов'!AH969)</f>
        <v/>
      </c>
      <c r="DC966">
        <f>IF('История отказов'!AE969="","",IF(AND(COUNTIF($CT$2:$CT$2,'История отказов'!AE969)=0,COUNTIFS('История отказов'!$F$5:F969,"ШГН",'История отказов'!$AE$5:AE969,'История отказов'!AE969)=1,'История отказов'!F969="ШГН"),965,""))</f>
        <v/>
      </c>
      <c r="DD966">
        <f>IF('История отказов'!AE969="","",IF(AND(COUNTIF($CU$2:$CU$3,'История отказов'!AE969)=0,COUNTIFS('История отказов'!$F$5:F969,"ЭЦН",'История отказов'!$AE$5:AE969,'История отказов'!AE969)=1,'История отказов'!F969="ЭЦН"),965,""))</f>
        <v/>
      </c>
      <c r="DE966">
        <f>IF('История отказов'!AE969="","",IF(AND(COUNTIF($CV$2:$CV$3,'История отказов'!AE969)=0,COUNTIFS('История отказов'!$F$5:F969,"ЭВН",'История отказов'!$AE$5:AE969,'История отказов'!AE969)=1,'История отказов'!F969="ЭВН"),965,""))</f>
        <v/>
      </c>
      <c r="DF966">
        <f>IF('История отказов'!AE969="","",IF(AND(COUNTIF($CX$2:$CX$2,'История отказов'!AE969)=0,COUNTIFS('История отказов'!$F$5:F969,"ШВН",'История отказов'!$AE$5:AE969,'История отказов'!AE969)=1,'История отказов'!F969="ШВН"),965,""))</f>
        <v/>
      </c>
      <c r="DG966">
        <f>IF('История отказов'!AE969="","",IF(AND(COUNTIF($CW$2:$CW$2,'История отказов'!AE969)=0,COUNTIFS('История отказов'!$F$5:F969,"НПУ-ВД",'История отказов'!$AE$5:AE969,'История отказов'!AE969)=1,'История отказов'!F969="НПУ-ВД"),965,""))</f>
        <v/>
      </c>
      <c r="DH966">
        <f>IF('История отказов'!AE969="","",IF(AND(COUNTIF($CY$2:$CY$6,'История отказов'!AE969)=0,COUNTIF('История отказов'!$AE$5:AE969,'История отказов'!AE969)=1),965,""))</f>
        <v/>
      </c>
      <c r="DI966">
        <f>IF('История отказов'!AK969="","",IF(AND(COUNTIF($CL$2:$CL$3,'История отказов'!AK969)=0,COUNTIF('История отказов'!$AK$5:AK969,'История отказов'!AK969)=1),965,""))</f>
        <v/>
      </c>
      <c r="DJ966">
        <f>IF('История отказов'!AU969="","",IF(AND(COUNTIF($CP$2:$CP$3,'История отказов'!AU969)=0,COUNTIF('История отказов'!$AU$5:AU969,'История отказов'!AU969)=1),965,""))</f>
        <v/>
      </c>
      <c r="DK966">
        <f>IF('История отказов'!AY969="","",IF(AND(COUNTIF($CR$2:$CR$2,'История отказов'!AY969)=0,COUNTIF('История отказов'!$AY$5:AY969,'История отказов'!AY969)=1),965,""))</f>
        <v/>
      </c>
      <c r="DL966">
        <f>IF(DB966="","",IF(AND(COUNTIF($DA$2:$DA$47,DB966)=0,COUNTIF($DB$2:DB966,DB966)=1),965,""))</f>
        <v/>
      </c>
    </row>
    <row r="967">
      <c r="A967" s="74" t="n"/>
      <c r="B967" s="75" t="n"/>
      <c r="C967" s="76" t="n"/>
      <c r="DB967">
        <f>IF('История отказов'!AH970="","",'История отказов'!AH970)</f>
        <v/>
      </c>
      <c r="DC967">
        <f>IF('История отказов'!AE970="","",IF(AND(COUNTIF($CT$2:$CT$2,'История отказов'!AE970)=0,COUNTIFS('История отказов'!$F$5:F970,"ШГН",'История отказов'!$AE$5:AE970,'История отказов'!AE970)=1,'История отказов'!F970="ШГН"),966,""))</f>
        <v/>
      </c>
      <c r="DD967">
        <f>IF('История отказов'!AE970="","",IF(AND(COUNTIF($CU$2:$CU$3,'История отказов'!AE970)=0,COUNTIFS('История отказов'!$F$5:F970,"ЭЦН",'История отказов'!$AE$5:AE970,'История отказов'!AE970)=1,'История отказов'!F970="ЭЦН"),966,""))</f>
        <v/>
      </c>
      <c r="DE967">
        <f>IF('История отказов'!AE970="","",IF(AND(COUNTIF($CV$2:$CV$3,'История отказов'!AE970)=0,COUNTIFS('История отказов'!$F$5:F970,"ЭВН",'История отказов'!$AE$5:AE970,'История отказов'!AE970)=1,'История отказов'!F970="ЭВН"),966,""))</f>
        <v/>
      </c>
      <c r="DF967">
        <f>IF('История отказов'!AE970="","",IF(AND(COUNTIF($CX$2:$CX$2,'История отказов'!AE970)=0,COUNTIFS('История отказов'!$F$5:F970,"ШВН",'История отказов'!$AE$5:AE970,'История отказов'!AE970)=1,'История отказов'!F970="ШВН"),966,""))</f>
        <v/>
      </c>
      <c r="DG967">
        <f>IF('История отказов'!AE970="","",IF(AND(COUNTIF($CW$2:$CW$2,'История отказов'!AE970)=0,COUNTIFS('История отказов'!$F$5:F970,"НПУ-ВД",'История отказов'!$AE$5:AE970,'История отказов'!AE970)=1,'История отказов'!F970="НПУ-ВД"),966,""))</f>
        <v/>
      </c>
      <c r="DH967">
        <f>IF('История отказов'!AE970="","",IF(AND(COUNTIF($CY$2:$CY$6,'История отказов'!AE970)=0,COUNTIF('История отказов'!$AE$5:AE970,'История отказов'!AE970)=1),966,""))</f>
        <v/>
      </c>
      <c r="DI967">
        <f>IF('История отказов'!AK970="","",IF(AND(COUNTIF($CL$2:$CL$3,'История отказов'!AK970)=0,COUNTIF('История отказов'!$AK$5:AK970,'История отказов'!AK970)=1),966,""))</f>
        <v/>
      </c>
      <c r="DJ967">
        <f>IF('История отказов'!AU970="","",IF(AND(COUNTIF($CP$2:$CP$3,'История отказов'!AU970)=0,COUNTIF('История отказов'!$AU$5:AU970,'История отказов'!AU970)=1),966,""))</f>
        <v/>
      </c>
      <c r="DK967">
        <f>IF('История отказов'!AY970="","",IF(AND(COUNTIF($CR$2:$CR$2,'История отказов'!AY970)=0,COUNTIF('История отказов'!$AY$5:AY970,'История отказов'!AY970)=1),966,""))</f>
        <v/>
      </c>
      <c r="DL967">
        <f>IF(DB967="","",IF(AND(COUNTIF($DA$2:$DA$47,DB967)=0,COUNTIF($DB$2:DB967,DB967)=1),966,""))</f>
        <v/>
      </c>
    </row>
    <row r="968">
      <c r="A968" s="74" t="n"/>
      <c r="B968" s="75" t="n"/>
      <c r="C968" s="76" t="n"/>
      <c r="DB968">
        <f>IF('История отказов'!AH971="","",'История отказов'!AH971)</f>
        <v/>
      </c>
      <c r="DC968">
        <f>IF('История отказов'!AE971="","",IF(AND(COUNTIF($CT$2:$CT$2,'История отказов'!AE971)=0,COUNTIFS('История отказов'!$F$5:F971,"ШГН",'История отказов'!$AE$5:AE971,'История отказов'!AE971)=1,'История отказов'!F971="ШГН"),967,""))</f>
        <v/>
      </c>
      <c r="DD968">
        <f>IF('История отказов'!AE971="","",IF(AND(COUNTIF($CU$2:$CU$3,'История отказов'!AE971)=0,COUNTIFS('История отказов'!$F$5:F971,"ЭЦН",'История отказов'!$AE$5:AE971,'История отказов'!AE971)=1,'История отказов'!F971="ЭЦН"),967,""))</f>
        <v/>
      </c>
      <c r="DE968">
        <f>IF('История отказов'!AE971="","",IF(AND(COUNTIF($CV$2:$CV$3,'История отказов'!AE971)=0,COUNTIFS('История отказов'!$F$5:F971,"ЭВН",'История отказов'!$AE$5:AE971,'История отказов'!AE971)=1,'История отказов'!F971="ЭВН"),967,""))</f>
        <v/>
      </c>
      <c r="DF968">
        <f>IF('История отказов'!AE971="","",IF(AND(COUNTIF($CX$2:$CX$2,'История отказов'!AE971)=0,COUNTIFS('История отказов'!$F$5:F971,"ШВН",'История отказов'!$AE$5:AE971,'История отказов'!AE971)=1,'История отказов'!F971="ШВН"),967,""))</f>
        <v/>
      </c>
      <c r="DG968">
        <f>IF('История отказов'!AE971="","",IF(AND(COUNTIF($CW$2:$CW$2,'История отказов'!AE971)=0,COUNTIFS('История отказов'!$F$5:F971,"НПУ-ВД",'История отказов'!$AE$5:AE971,'История отказов'!AE971)=1,'История отказов'!F971="НПУ-ВД"),967,""))</f>
        <v/>
      </c>
      <c r="DH968">
        <f>IF('История отказов'!AE971="","",IF(AND(COUNTIF($CY$2:$CY$6,'История отказов'!AE971)=0,COUNTIF('История отказов'!$AE$5:AE971,'История отказов'!AE971)=1),967,""))</f>
        <v/>
      </c>
      <c r="DI968">
        <f>IF('История отказов'!AK971="","",IF(AND(COUNTIF($CL$2:$CL$3,'История отказов'!AK971)=0,COUNTIF('История отказов'!$AK$5:AK971,'История отказов'!AK971)=1),967,""))</f>
        <v/>
      </c>
      <c r="DJ968">
        <f>IF('История отказов'!AU971="","",IF(AND(COUNTIF($CP$2:$CP$3,'История отказов'!AU971)=0,COUNTIF('История отказов'!$AU$5:AU971,'История отказов'!AU971)=1),967,""))</f>
        <v/>
      </c>
      <c r="DK968">
        <f>IF('История отказов'!AY971="","",IF(AND(COUNTIF($CR$2:$CR$2,'История отказов'!AY971)=0,COUNTIF('История отказов'!$AY$5:AY971,'История отказов'!AY971)=1),967,""))</f>
        <v/>
      </c>
      <c r="DL968">
        <f>IF(DB968="","",IF(AND(COUNTIF($DA$2:$DA$47,DB968)=0,COUNTIF($DB$2:DB968,DB968)=1),967,""))</f>
        <v/>
      </c>
    </row>
    <row r="969">
      <c r="A969" s="74" t="n"/>
      <c r="B969" s="75" t="n"/>
      <c r="C969" s="76" t="n"/>
      <c r="DB969">
        <f>IF('История отказов'!AH972="","",'История отказов'!AH972)</f>
        <v/>
      </c>
      <c r="DC969">
        <f>IF('История отказов'!AE972="","",IF(AND(COUNTIF($CT$2:$CT$2,'История отказов'!AE972)=0,COUNTIFS('История отказов'!$F$5:F972,"ШГН",'История отказов'!$AE$5:AE972,'История отказов'!AE972)=1,'История отказов'!F972="ШГН"),968,""))</f>
        <v/>
      </c>
      <c r="DD969">
        <f>IF('История отказов'!AE972="","",IF(AND(COUNTIF($CU$2:$CU$3,'История отказов'!AE972)=0,COUNTIFS('История отказов'!$F$5:F972,"ЭЦН",'История отказов'!$AE$5:AE972,'История отказов'!AE972)=1,'История отказов'!F972="ЭЦН"),968,""))</f>
        <v/>
      </c>
      <c r="DE969">
        <f>IF('История отказов'!AE972="","",IF(AND(COUNTIF($CV$2:$CV$3,'История отказов'!AE972)=0,COUNTIFS('История отказов'!$F$5:F972,"ЭВН",'История отказов'!$AE$5:AE972,'История отказов'!AE972)=1,'История отказов'!F972="ЭВН"),968,""))</f>
        <v/>
      </c>
      <c r="DF969">
        <f>IF('История отказов'!AE972="","",IF(AND(COUNTIF($CX$2:$CX$2,'История отказов'!AE972)=0,COUNTIFS('История отказов'!$F$5:F972,"ШВН",'История отказов'!$AE$5:AE972,'История отказов'!AE972)=1,'История отказов'!F972="ШВН"),968,""))</f>
        <v/>
      </c>
      <c r="DG969">
        <f>IF('История отказов'!AE972="","",IF(AND(COUNTIF($CW$2:$CW$2,'История отказов'!AE972)=0,COUNTIFS('История отказов'!$F$5:F972,"НПУ-ВД",'История отказов'!$AE$5:AE972,'История отказов'!AE972)=1,'История отказов'!F972="НПУ-ВД"),968,""))</f>
        <v/>
      </c>
      <c r="DH969">
        <f>IF('История отказов'!AE972="","",IF(AND(COUNTIF($CY$2:$CY$6,'История отказов'!AE972)=0,COUNTIF('История отказов'!$AE$5:AE972,'История отказов'!AE972)=1),968,""))</f>
        <v/>
      </c>
      <c r="DI969">
        <f>IF('История отказов'!AK972="","",IF(AND(COUNTIF($CL$2:$CL$3,'История отказов'!AK972)=0,COUNTIF('История отказов'!$AK$5:AK972,'История отказов'!AK972)=1),968,""))</f>
        <v/>
      </c>
      <c r="DJ969">
        <f>IF('История отказов'!AU972="","",IF(AND(COUNTIF($CP$2:$CP$3,'История отказов'!AU972)=0,COUNTIF('История отказов'!$AU$5:AU972,'История отказов'!AU972)=1),968,""))</f>
        <v/>
      </c>
      <c r="DK969">
        <f>IF('История отказов'!AY972="","",IF(AND(COUNTIF($CR$2:$CR$2,'История отказов'!AY972)=0,COUNTIF('История отказов'!$AY$5:AY972,'История отказов'!AY972)=1),968,""))</f>
        <v/>
      </c>
      <c r="DL969">
        <f>IF(DB969="","",IF(AND(COUNTIF($DA$2:$DA$47,DB969)=0,COUNTIF($DB$2:DB969,DB969)=1),968,""))</f>
        <v/>
      </c>
    </row>
    <row r="970">
      <c r="A970" s="74" t="n"/>
      <c r="B970" s="75" t="n"/>
      <c r="C970" s="76" t="n"/>
      <c r="DB970">
        <f>IF('История отказов'!AH973="","",'История отказов'!AH973)</f>
        <v/>
      </c>
      <c r="DC970">
        <f>IF('История отказов'!AE973="","",IF(AND(COUNTIF($CT$2:$CT$2,'История отказов'!AE973)=0,COUNTIFS('История отказов'!$F$5:F973,"ШГН",'История отказов'!$AE$5:AE973,'История отказов'!AE973)=1,'История отказов'!F973="ШГН"),969,""))</f>
        <v/>
      </c>
      <c r="DD970">
        <f>IF('История отказов'!AE973="","",IF(AND(COUNTIF($CU$2:$CU$3,'История отказов'!AE973)=0,COUNTIFS('История отказов'!$F$5:F973,"ЭЦН",'История отказов'!$AE$5:AE973,'История отказов'!AE973)=1,'История отказов'!F973="ЭЦН"),969,""))</f>
        <v/>
      </c>
      <c r="DE970">
        <f>IF('История отказов'!AE973="","",IF(AND(COUNTIF($CV$2:$CV$3,'История отказов'!AE973)=0,COUNTIFS('История отказов'!$F$5:F973,"ЭВН",'История отказов'!$AE$5:AE973,'История отказов'!AE973)=1,'История отказов'!F973="ЭВН"),969,""))</f>
        <v/>
      </c>
      <c r="DF970">
        <f>IF('История отказов'!AE973="","",IF(AND(COUNTIF($CX$2:$CX$2,'История отказов'!AE973)=0,COUNTIFS('История отказов'!$F$5:F973,"ШВН",'История отказов'!$AE$5:AE973,'История отказов'!AE973)=1,'История отказов'!F973="ШВН"),969,""))</f>
        <v/>
      </c>
      <c r="DG970">
        <f>IF('История отказов'!AE973="","",IF(AND(COUNTIF($CW$2:$CW$2,'История отказов'!AE973)=0,COUNTIFS('История отказов'!$F$5:F973,"НПУ-ВД",'История отказов'!$AE$5:AE973,'История отказов'!AE973)=1,'История отказов'!F973="НПУ-ВД"),969,""))</f>
        <v/>
      </c>
      <c r="DH970">
        <f>IF('История отказов'!AE973="","",IF(AND(COUNTIF($CY$2:$CY$6,'История отказов'!AE973)=0,COUNTIF('История отказов'!$AE$5:AE973,'История отказов'!AE973)=1),969,""))</f>
        <v/>
      </c>
      <c r="DI970">
        <f>IF('История отказов'!AK973="","",IF(AND(COUNTIF($CL$2:$CL$3,'История отказов'!AK973)=0,COUNTIF('История отказов'!$AK$5:AK973,'История отказов'!AK973)=1),969,""))</f>
        <v/>
      </c>
      <c r="DJ970">
        <f>IF('История отказов'!AU973="","",IF(AND(COUNTIF($CP$2:$CP$3,'История отказов'!AU973)=0,COUNTIF('История отказов'!$AU$5:AU973,'История отказов'!AU973)=1),969,""))</f>
        <v/>
      </c>
      <c r="DK970">
        <f>IF('История отказов'!AY973="","",IF(AND(COUNTIF($CR$2:$CR$2,'История отказов'!AY973)=0,COUNTIF('История отказов'!$AY$5:AY973,'История отказов'!AY973)=1),969,""))</f>
        <v/>
      </c>
      <c r="DL970">
        <f>IF(DB970="","",IF(AND(COUNTIF($DA$2:$DA$47,DB970)=0,COUNTIF($DB$2:DB970,DB970)=1),969,""))</f>
        <v/>
      </c>
    </row>
    <row r="971">
      <c r="A971" s="74" t="n"/>
      <c r="B971" s="75" t="n"/>
      <c r="C971" s="76" t="n"/>
      <c r="DB971">
        <f>IF('История отказов'!AH974="","",'История отказов'!AH974)</f>
        <v/>
      </c>
      <c r="DC971">
        <f>IF('История отказов'!AE974="","",IF(AND(COUNTIF($CT$2:$CT$2,'История отказов'!AE974)=0,COUNTIFS('История отказов'!$F$5:F974,"ШГН",'История отказов'!$AE$5:AE974,'История отказов'!AE974)=1,'История отказов'!F974="ШГН"),970,""))</f>
        <v/>
      </c>
      <c r="DD971">
        <f>IF('История отказов'!AE974="","",IF(AND(COUNTIF($CU$2:$CU$3,'История отказов'!AE974)=0,COUNTIFS('История отказов'!$F$5:F974,"ЭЦН",'История отказов'!$AE$5:AE974,'История отказов'!AE974)=1,'История отказов'!F974="ЭЦН"),970,""))</f>
        <v/>
      </c>
      <c r="DE971">
        <f>IF('История отказов'!AE974="","",IF(AND(COUNTIF($CV$2:$CV$3,'История отказов'!AE974)=0,COUNTIFS('История отказов'!$F$5:F974,"ЭВН",'История отказов'!$AE$5:AE974,'История отказов'!AE974)=1,'История отказов'!F974="ЭВН"),970,""))</f>
        <v/>
      </c>
      <c r="DF971">
        <f>IF('История отказов'!AE974="","",IF(AND(COUNTIF($CX$2:$CX$2,'История отказов'!AE974)=0,COUNTIFS('История отказов'!$F$5:F974,"ШВН",'История отказов'!$AE$5:AE974,'История отказов'!AE974)=1,'История отказов'!F974="ШВН"),970,""))</f>
        <v/>
      </c>
      <c r="DG971">
        <f>IF('История отказов'!AE974="","",IF(AND(COUNTIF($CW$2:$CW$2,'История отказов'!AE974)=0,COUNTIFS('История отказов'!$F$5:F974,"НПУ-ВД",'История отказов'!$AE$5:AE974,'История отказов'!AE974)=1,'История отказов'!F974="НПУ-ВД"),970,""))</f>
        <v/>
      </c>
      <c r="DH971">
        <f>IF('История отказов'!AE974="","",IF(AND(COUNTIF($CY$2:$CY$6,'История отказов'!AE974)=0,COUNTIF('История отказов'!$AE$5:AE974,'История отказов'!AE974)=1),970,""))</f>
        <v/>
      </c>
      <c r="DI971">
        <f>IF('История отказов'!AK974="","",IF(AND(COUNTIF($CL$2:$CL$3,'История отказов'!AK974)=0,COUNTIF('История отказов'!$AK$5:AK974,'История отказов'!AK974)=1),970,""))</f>
        <v/>
      </c>
      <c r="DJ971">
        <f>IF('История отказов'!AU974="","",IF(AND(COUNTIF($CP$2:$CP$3,'История отказов'!AU974)=0,COUNTIF('История отказов'!$AU$5:AU974,'История отказов'!AU974)=1),970,""))</f>
        <v/>
      </c>
      <c r="DK971">
        <f>IF('История отказов'!AY974="","",IF(AND(COUNTIF($CR$2:$CR$2,'История отказов'!AY974)=0,COUNTIF('История отказов'!$AY$5:AY974,'История отказов'!AY974)=1),970,""))</f>
        <v/>
      </c>
      <c r="DL971">
        <f>IF(DB971="","",IF(AND(COUNTIF($DA$2:$DA$47,DB971)=0,COUNTIF($DB$2:DB971,DB971)=1),970,""))</f>
        <v/>
      </c>
    </row>
    <row r="972">
      <c r="A972" s="74" t="n"/>
      <c r="B972" s="75" t="n"/>
      <c r="C972" s="76" t="n"/>
      <c r="DB972">
        <f>IF('История отказов'!AH975="","",'История отказов'!AH975)</f>
        <v/>
      </c>
      <c r="DC972">
        <f>IF('История отказов'!AE975="","",IF(AND(COUNTIF($CT$2:$CT$2,'История отказов'!AE975)=0,COUNTIFS('История отказов'!$F$5:F975,"ШГН",'История отказов'!$AE$5:AE975,'История отказов'!AE975)=1,'История отказов'!F975="ШГН"),971,""))</f>
        <v/>
      </c>
      <c r="DD972">
        <f>IF('История отказов'!AE975="","",IF(AND(COUNTIF($CU$2:$CU$3,'История отказов'!AE975)=0,COUNTIFS('История отказов'!$F$5:F975,"ЭЦН",'История отказов'!$AE$5:AE975,'История отказов'!AE975)=1,'История отказов'!F975="ЭЦН"),971,""))</f>
        <v/>
      </c>
      <c r="DE972">
        <f>IF('История отказов'!AE975="","",IF(AND(COUNTIF($CV$2:$CV$3,'История отказов'!AE975)=0,COUNTIFS('История отказов'!$F$5:F975,"ЭВН",'История отказов'!$AE$5:AE975,'История отказов'!AE975)=1,'История отказов'!F975="ЭВН"),971,""))</f>
        <v/>
      </c>
      <c r="DF972">
        <f>IF('История отказов'!AE975="","",IF(AND(COUNTIF($CX$2:$CX$2,'История отказов'!AE975)=0,COUNTIFS('История отказов'!$F$5:F975,"ШВН",'История отказов'!$AE$5:AE975,'История отказов'!AE975)=1,'История отказов'!F975="ШВН"),971,""))</f>
        <v/>
      </c>
      <c r="DG972">
        <f>IF('История отказов'!AE975="","",IF(AND(COUNTIF($CW$2:$CW$2,'История отказов'!AE975)=0,COUNTIFS('История отказов'!$F$5:F975,"НПУ-ВД",'История отказов'!$AE$5:AE975,'История отказов'!AE975)=1,'История отказов'!F975="НПУ-ВД"),971,""))</f>
        <v/>
      </c>
      <c r="DH972">
        <f>IF('История отказов'!AE975="","",IF(AND(COUNTIF($CY$2:$CY$6,'История отказов'!AE975)=0,COUNTIF('История отказов'!$AE$5:AE975,'История отказов'!AE975)=1),971,""))</f>
        <v/>
      </c>
      <c r="DI972">
        <f>IF('История отказов'!AK975="","",IF(AND(COUNTIF($CL$2:$CL$3,'История отказов'!AK975)=0,COUNTIF('История отказов'!$AK$5:AK975,'История отказов'!AK975)=1),971,""))</f>
        <v/>
      </c>
      <c r="DJ972">
        <f>IF('История отказов'!AU975="","",IF(AND(COUNTIF($CP$2:$CP$3,'История отказов'!AU975)=0,COUNTIF('История отказов'!$AU$5:AU975,'История отказов'!AU975)=1),971,""))</f>
        <v/>
      </c>
      <c r="DK972">
        <f>IF('История отказов'!AY975="","",IF(AND(COUNTIF($CR$2:$CR$2,'История отказов'!AY975)=0,COUNTIF('История отказов'!$AY$5:AY975,'История отказов'!AY975)=1),971,""))</f>
        <v/>
      </c>
      <c r="DL972">
        <f>IF(DB972="","",IF(AND(COUNTIF($DA$2:$DA$47,DB972)=0,COUNTIF($DB$2:DB972,DB972)=1),971,""))</f>
        <v/>
      </c>
    </row>
    <row r="973">
      <c r="A973" s="74" t="n"/>
      <c r="B973" s="75" t="n"/>
      <c r="C973" s="76" t="n"/>
      <c r="DB973">
        <f>IF('История отказов'!AH976="","",'История отказов'!AH976)</f>
        <v/>
      </c>
      <c r="DC973">
        <f>IF('История отказов'!AE976="","",IF(AND(COUNTIF($CT$2:$CT$2,'История отказов'!AE976)=0,COUNTIFS('История отказов'!$F$5:F976,"ШГН",'История отказов'!$AE$5:AE976,'История отказов'!AE976)=1,'История отказов'!F976="ШГН"),972,""))</f>
        <v/>
      </c>
      <c r="DD973">
        <f>IF('История отказов'!AE976="","",IF(AND(COUNTIF($CU$2:$CU$3,'История отказов'!AE976)=0,COUNTIFS('История отказов'!$F$5:F976,"ЭЦН",'История отказов'!$AE$5:AE976,'История отказов'!AE976)=1,'История отказов'!F976="ЭЦН"),972,""))</f>
        <v/>
      </c>
      <c r="DE973">
        <f>IF('История отказов'!AE976="","",IF(AND(COUNTIF($CV$2:$CV$3,'История отказов'!AE976)=0,COUNTIFS('История отказов'!$F$5:F976,"ЭВН",'История отказов'!$AE$5:AE976,'История отказов'!AE976)=1,'История отказов'!F976="ЭВН"),972,""))</f>
        <v/>
      </c>
      <c r="DF973">
        <f>IF('История отказов'!AE976="","",IF(AND(COUNTIF($CX$2:$CX$2,'История отказов'!AE976)=0,COUNTIFS('История отказов'!$F$5:F976,"ШВН",'История отказов'!$AE$5:AE976,'История отказов'!AE976)=1,'История отказов'!F976="ШВН"),972,""))</f>
        <v/>
      </c>
      <c r="DG973">
        <f>IF('История отказов'!AE976="","",IF(AND(COUNTIF($CW$2:$CW$2,'История отказов'!AE976)=0,COUNTIFS('История отказов'!$F$5:F976,"НПУ-ВД",'История отказов'!$AE$5:AE976,'История отказов'!AE976)=1,'История отказов'!F976="НПУ-ВД"),972,""))</f>
        <v/>
      </c>
      <c r="DH973">
        <f>IF('История отказов'!AE976="","",IF(AND(COUNTIF($CY$2:$CY$6,'История отказов'!AE976)=0,COUNTIF('История отказов'!$AE$5:AE976,'История отказов'!AE976)=1),972,""))</f>
        <v/>
      </c>
      <c r="DI973">
        <f>IF('История отказов'!AK976="","",IF(AND(COUNTIF($CL$2:$CL$3,'История отказов'!AK976)=0,COUNTIF('История отказов'!$AK$5:AK976,'История отказов'!AK976)=1),972,""))</f>
        <v/>
      </c>
      <c r="DJ973">
        <f>IF('История отказов'!AU976="","",IF(AND(COUNTIF($CP$2:$CP$3,'История отказов'!AU976)=0,COUNTIF('История отказов'!$AU$5:AU976,'История отказов'!AU976)=1),972,""))</f>
        <v/>
      </c>
      <c r="DK973">
        <f>IF('История отказов'!AY976="","",IF(AND(COUNTIF($CR$2:$CR$2,'История отказов'!AY976)=0,COUNTIF('История отказов'!$AY$5:AY976,'История отказов'!AY976)=1),972,""))</f>
        <v/>
      </c>
      <c r="DL973">
        <f>IF(DB973="","",IF(AND(COUNTIF($DA$2:$DA$47,DB973)=0,COUNTIF($DB$2:DB973,DB973)=1),972,""))</f>
        <v/>
      </c>
    </row>
    <row r="974">
      <c r="A974" s="74" t="n"/>
      <c r="B974" s="75" t="n"/>
      <c r="C974" s="76" t="n"/>
      <c r="DB974">
        <f>IF('История отказов'!AH977="","",'История отказов'!AH977)</f>
        <v/>
      </c>
      <c r="DC974">
        <f>IF('История отказов'!AE977="","",IF(AND(COUNTIF($CT$2:$CT$2,'История отказов'!AE977)=0,COUNTIFS('История отказов'!$F$5:F977,"ШГН",'История отказов'!$AE$5:AE977,'История отказов'!AE977)=1,'История отказов'!F977="ШГН"),973,""))</f>
        <v/>
      </c>
      <c r="DD974">
        <f>IF('История отказов'!AE977="","",IF(AND(COUNTIF($CU$2:$CU$3,'История отказов'!AE977)=0,COUNTIFS('История отказов'!$F$5:F977,"ЭЦН",'История отказов'!$AE$5:AE977,'История отказов'!AE977)=1,'История отказов'!F977="ЭЦН"),973,""))</f>
        <v/>
      </c>
      <c r="DE974">
        <f>IF('История отказов'!AE977="","",IF(AND(COUNTIF($CV$2:$CV$3,'История отказов'!AE977)=0,COUNTIFS('История отказов'!$F$5:F977,"ЭВН",'История отказов'!$AE$5:AE977,'История отказов'!AE977)=1,'История отказов'!F977="ЭВН"),973,""))</f>
        <v/>
      </c>
      <c r="DF974">
        <f>IF('История отказов'!AE977="","",IF(AND(COUNTIF($CX$2:$CX$2,'История отказов'!AE977)=0,COUNTIFS('История отказов'!$F$5:F977,"ШВН",'История отказов'!$AE$5:AE977,'История отказов'!AE977)=1,'История отказов'!F977="ШВН"),973,""))</f>
        <v/>
      </c>
      <c r="DG974">
        <f>IF('История отказов'!AE977="","",IF(AND(COUNTIF($CW$2:$CW$2,'История отказов'!AE977)=0,COUNTIFS('История отказов'!$F$5:F977,"НПУ-ВД",'История отказов'!$AE$5:AE977,'История отказов'!AE977)=1,'История отказов'!F977="НПУ-ВД"),973,""))</f>
        <v/>
      </c>
      <c r="DH974">
        <f>IF('История отказов'!AE977="","",IF(AND(COUNTIF($CY$2:$CY$6,'История отказов'!AE977)=0,COUNTIF('История отказов'!$AE$5:AE977,'История отказов'!AE977)=1),973,""))</f>
        <v/>
      </c>
      <c r="DI974">
        <f>IF('История отказов'!AK977="","",IF(AND(COUNTIF($CL$2:$CL$3,'История отказов'!AK977)=0,COUNTIF('История отказов'!$AK$5:AK977,'История отказов'!AK977)=1),973,""))</f>
        <v/>
      </c>
      <c r="DJ974">
        <f>IF('История отказов'!AU977="","",IF(AND(COUNTIF($CP$2:$CP$3,'История отказов'!AU977)=0,COUNTIF('История отказов'!$AU$5:AU977,'История отказов'!AU977)=1),973,""))</f>
        <v/>
      </c>
      <c r="DK974">
        <f>IF('История отказов'!AY977="","",IF(AND(COUNTIF($CR$2:$CR$2,'История отказов'!AY977)=0,COUNTIF('История отказов'!$AY$5:AY977,'История отказов'!AY977)=1),973,""))</f>
        <v/>
      </c>
      <c r="DL974">
        <f>IF(DB974="","",IF(AND(COUNTIF($DA$2:$DA$47,DB974)=0,COUNTIF($DB$2:DB974,DB974)=1),973,""))</f>
        <v/>
      </c>
    </row>
    <row r="975">
      <c r="A975" s="74" t="n"/>
      <c r="B975" s="75" t="n"/>
      <c r="C975" s="76" t="n"/>
      <c r="DB975">
        <f>IF('История отказов'!AH978="","",'История отказов'!AH978)</f>
        <v/>
      </c>
      <c r="DC975">
        <f>IF('История отказов'!AE978="","",IF(AND(COUNTIF($CT$2:$CT$2,'История отказов'!AE978)=0,COUNTIFS('История отказов'!$F$5:F978,"ШГН",'История отказов'!$AE$5:AE978,'История отказов'!AE978)=1,'История отказов'!F978="ШГН"),974,""))</f>
        <v/>
      </c>
      <c r="DD975">
        <f>IF('История отказов'!AE978="","",IF(AND(COUNTIF($CU$2:$CU$3,'История отказов'!AE978)=0,COUNTIFS('История отказов'!$F$5:F978,"ЭЦН",'История отказов'!$AE$5:AE978,'История отказов'!AE978)=1,'История отказов'!F978="ЭЦН"),974,""))</f>
        <v/>
      </c>
      <c r="DE975">
        <f>IF('История отказов'!AE978="","",IF(AND(COUNTIF($CV$2:$CV$3,'История отказов'!AE978)=0,COUNTIFS('История отказов'!$F$5:F978,"ЭВН",'История отказов'!$AE$5:AE978,'История отказов'!AE978)=1,'История отказов'!F978="ЭВН"),974,""))</f>
        <v/>
      </c>
      <c r="DF975">
        <f>IF('История отказов'!AE978="","",IF(AND(COUNTIF($CX$2:$CX$2,'История отказов'!AE978)=0,COUNTIFS('История отказов'!$F$5:F978,"ШВН",'История отказов'!$AE$5:AE978,'История отказов'!AE978)=1,'История отказов'!F978="ШВН"),974,""))</f>
        <v/>
      </c>
      <c r="DG975">
        <f>IF('История отказов'!AE978="","",IF(AND(COUNTIF($CW$2:$CW$2,'История отказов'!AE978)=0,COUNTIFS('История отказов'!$F$5:F978,"НПУ-ВД",'История отказов'!$AE$5:AE978,'История отказов'!AE978)=1,'История отказов'!F978="НПУ-ВД"),974,""))</f>
        <v/>
      </c>
      <c r="DH975">
        <f>IF('История отказов'!AE978="","",IF(AND(COUNTIF($CY$2:$CY$6,'История отказов'!AE978)=0,COUNTIF('История отказов'!$AE$5:AE978,'История отказов'!AE978)=1),974,""))</f>
        <v/>
      </c>
      <c r="DI975">
        <f>IF('История отказов'!AK978="","",IF(AND(COUNTIF($CL$2:$CL$3,'История отказов'!AK978)=0,COUNTIF('История отказов'!$AK$5:AK978,'История отказов'!AK978)=1),974,""))</f>
        <v/>
      </c>
      <c r="DJ975">
        <f>IF('История отказов'!AU978="","",IF(AND(COUNTIF($CP$2:$CP$3,'История отказов'!AU978)=0,COUNTIF('История отказов'!$AU$5:AU978,'История отказов'!AU978)=1),974,""))</f>
        <v/>
      </c>
      <c r="DK975">
        <f>IF('История отказов'!AY978="","",IF(AND(COUNTIF($CR$2:$CR$2,'История отказов'!AY978)=0,COUNTIF('История отказов'!$AY$5:AY978,'История отказов'!AY978)=1),974,""))</f>
        <v/>
      </c>
      <c r="DL975">
        <f>IF(DB975="","",IF(AND(COUNTIF($DA$2:$DA$47,DB975)=0,COUNTIF($DB$2:DB975,DB975)=1),974,""))</f>
        <v/>
      </c>
    </row>
    <row r="976">
      <c r="A976" s="74" t="n"/>
      <c r="B976" s="75" t="n"/>
      <c r="C976" s="76" t="n"/>
      <c r="DB976">
        <f>IF('История отказов'!AH979="","",'История отказов'!AH979)</f>
        <v/>
      </c>
      <c r="DC976">
        <f>IF('История отказов'!AE979="","",IF(AND(COUNTIF($CT$2:$CT$2,'История отказов'!AE979)=0,COUNTIFS('История отказов'!$F$5:F979,"ШГН",'История отказов'!$AE$5:AE979,'История отказов'!AE979)=1,'История отказов'!F979="ШГН"),975,""))</f>
        <v/>
      </c>
      <c r="DD976">
        <f>IF('История отказов'!AE979="","",IF(AND(COUNTIF($CU$2:$CU$3,'История отказов'!AE979)=0,COUNTIFS('История отказов'!$F$5:F979,"ЭЦН",'История отказов'!$AE$5:AE979,'История отказов'!AE979)=1,'История отказов'!F979="ЭЦН"),975,""))</f>
        <v/>
      </c>
      <c r="DE976">
        <f>IF('История отказов'!AE979="","",IF(AND(COUNTIF($CV$2:$CV$3,'История отказов'!AE979)=0,COUNTIFS('История отказов'!$F$5:F979,"ЭВН",'История отказов'!$AE$5:AE979,'История отказов'!AE979)=1,'История отказов'!F979="ЭВН"),975,""))</f>
        <v/>
      </c>
      <c r="DF976">
        <f>IF('История отказов'!AE979="","",IF(AND(COUNTIF($CX$2:$CX$2,'История отказов'!AE979)=0,COUNTIFS('История отказов'!$F$5:F979,"ШВН",'История отказов'!$AE$5:AE979,'История отказов'!AE979)=1,'История отказов'!F979="ШВН"),975,""))</f>
        <v/>
      </c>
      <c r="DG976">
        <f>IF('История отказов'!AE979="","",IF(AND(COUNTIF($CW$2:$CW$2,'История отказов'!AE979)=0,COUNTIFS('История отказов'!$F$5:F979,"НПУ-ВД",'История отказов'!$AE$5:AE979,'История отказов'!AE979)=1,'История отказов'!F979="НПУ-ВД"),975,""))</f>
        <v/>
      </c>
      <c r="DH976">
        <f>IF('История отказов'!AE979="","",IF(AND(COUNTIF($CY$2:$CY$6,'История отказов'!AE979)=0,COUNTIF('История отказов'!$AE$5:AE979,'История отказов'!AE979)=1),975,""))</f>
        <v/>
      </c>
      <c r="DI976">
        <f>IF('История отказов'!AK979="","",IF(AND(COUNTIF($CL$2:$CL$3,'История отказов'!AK979)=0,COUNTIF('История отказов'!$AK$5:AK979,'История отказов'!AK979)=1),975,""))</f>
        <v/>
      </c>
      <c r="DJ976">
        <f>IF('История отказов'!AU979="","",IF(AND(COUNTIF($CP$2:$CP$3,'История отказов'!AU979)=0,COUNTIF('История отказов'!$AU$5:AU979,'История отказов'!AU979)=1),975,""))</f>
        <v/>
      </c>
      <c r="DK976">
        <f>IF('История отказов'!AY979="","",IF(AND(COUNTIF($CR$2:$CR$2,'История отказов'!AY979)=0,COUNTIF('История отказов'!$AY$5:AY979,'История отказов'!AY979)=1),975,""))</f>
        <v/>
      </c>
      <c r="DL976">
        <f>IF(DB976="","",IF(AND(COUNTIF($DA$2:$DA$47,DB976)=0,COUNTIF($DB$2:DB976,DB976)=1),975,""))</f>
        <v/>
      </c>
    </row>
    <row r="977">
      <c r="A977" s="74" t="n"/>
      <c r="B977" s="75" t="n"/>
      <c r="C977" s="76" t="n"/>
      <c r="DB977">
        <f>IF('История отказов'!AH980="","",'История отказов'!AH980)</f>
        <v/>
      </c>
      <c r="DC977">
        <f>IF('История отказов'!AE980="","",IF(AND(COUNTIF($CT$2:$CT$2,'История отказов'!AE980)=0,COUNTIFS('История отказов'!$F$5:F980,"ШГН",'История отказов'!$AE$5:AE980,'История отказов'!AE980)=1,'История отказов'!F980="ШГН"),976,""))</f>
        <v/>
      </c>
      <c r="DD977">
        <f>IF('История отказов'!AE980="","",IF(AND(COUNTIF($CU$2:$CU$3,'История отказов'!AE980)=0,COUNTIFS('История отказов'!$F$5:F980,"ЭЦН",'История отказов'!$AE$5:AE980,'История отказов'!AE980)=1,'История отказов'!F980="ЭЦН"),976,""))</f>
        <v/>
      </c>
      <c r="DE977">
        <f>IF('История отказов'!AE980="","",IF(AND(COUNTIF($CV$2:$CV$3,'История отказов'!AE980)=0,COUNTIFS('История отказов'!$F$5:F980,"ЭВН",'История отказов'!$AE$5:AE980,'История отказов'!AE980)=1,'История отказов'!F980="ЭВН"),976,""))</f>
        <v/>
      </c>
      <c r="DF977">
        <f>IF('История отказов'!AE980="","",IF(AND(COUNTIF($CX$2:$CX$2,'История отказов'!AE980)=0,COUNTIFS('История отказов'!$F$5:F980,"ШВН",'История отказов'!$AE$5:AE980,'История отказов'!AE980)=1,'История отказов'!F980="ШВН"),976,""))</f>
        <v/>
      </c>
      <c r="DG977">
        <f>IF('История отказов'!AE980="","",IF(AND(COUNTIF($CW$2:$CW$2,'История отказов'!AE980)=0,COUNTIFS('История отказов'!$F$5:F980,"НПУ-ВД",'История отказов'!$AE$5:AE980,'История отказов'!AE980)=1,'История отказов'!F980="НПУ-ВД"),976,""))</f>
        <v/>
      </c>
      <c r="DH977">
        <f>IF('История отказов'!AE980="","",IF(AND(COUNTIF($CY$2:$CY$6,'История отказов'!AE980)=0,COUNTIF('История отказов'!$AE$5:AE980,'История отказов'!AE980)=1),976,""))</f>
        <v/>
      </c>
      <c r="DI977">
        <f>IF('История отказов'!AK980="","",IF(AND(COUNTIF($CL$2:$CL$3,'История отказов'!AK980)=0,COUNTIF('История отказов'!$AK$5:AK980,'История отказов'!AK980)=1),976,""))</f>
        <v/>
      </c>
      <c r="DJ977">
        <f>IF('История отказов'!AU980="","",IF(AND(COUNTIF($CP$2:$CP$3,'История отказов'!AU980)=0,COUNTIF('История отказов'!$AU$5:AU980,'История отказов'!AU980)=1),976,""))</f>
        <v/>
      </c>
      <c r="DK977">
        <f>IF('История отказов'!AY980="","",IF(AND(COUNTIF($CR$2:$CR$2,'История отказов'!AY980)=0,COUNTIF('История отказов'!$AY$5:AY980,'История отказов'!AY980)=1),976,""))</f>
        <v/>
      </c>
      <c r="DL977">
        <f>IF(DB977="","",IF(AND(COUNTIF($DA$2:$DA$47,DB977)=0,COUNTIF($DB$2:DB977,DB977)=1),976,""))</f>
        <v/>
      </c>
    </row>
    <row r="978">
      <c r="A978" s="74" t="n"/>
      <c r="B978" s="75" t="n"/>
      <c r="C978" s="76" t="n"/>
      <c r="DB978">
        <f>IF('История отказов'!AH981="","",'История отказов'!AH981)</f>
        <v/>
      </c>
      <c r="DC978">
        <f>IF('История отказов'!AE981="","",IF(AND(COUNTIF($CT$2:$CT$2,'История отказов'!AE981)=0,COUNTIFS('История отказов'!$F$5:F981,"ШГН",'История отказов'!$AE$5:AE981,'История отказов'!AE981)=1,'История отказов'!F981="ШГН"),977,""))</f>
        <v/>
      </c>
      <c r="DD978">
        <f>IF('История отказов'!AE981="","",IF(AND(COUNTIF($CU$2:$CU$3,'История отказов'!AE981)=0,COUNTIFS('История отказов'!$F$5:F981,"ЭЦН",'История отказов'!$AE$5:AE981,'История отказов'!AE981)=1,'История отказов'!F981="ЭЦН"),977,""))</f>
        <v/>
      </c>
      <c r="DE978">
        <f>IF('История отказов'!AE981="","",IF(AND(COUNTIF($CV$2:$CV$3,'История отказов'!AE981)=0,COUNTIFS('История отказов'!$F$5:F981,"ЭВН",'История отказов'!$AE$5:AE981,'История отказов'!AE981)=1,'История отказов'!F981="ЭВН"),977,""))</f>
        <v/>
      </c>
      <c r="DF978">
        <f>IF('История отказов'!AE981="","",IF(AND(COUNTIF($CX$2:$CX$2,'История отказов'!AE981)=0,COUNTIFS('История отказов'!$F$5:F981,"ШВН",'История отказов'!$AE$5:AE981,'История отказов'!AE981)=1,'История отказов'!F981="ШВН"),977,""))</f>
        <v/>
      </c>
      <c r="DG978">
        <f>IF('История отказов'!AE981="","",IF(AND(COUNTIF($CW$2:$CW$2,'История отказов'!AE981)=0,COUNTIFS('История отказов'!$F$5:F981,"НПУ-ВД",'История отказов'!$AE$5:AE981,'История отказов'!AE981)=1,'История отказов'!F981="НПУ-ВД"),977,""))</f>
        <v/>
      </c>
      <c r="DH978">
        <f>IF('История отказов'!AE981="","",IF(AND(COUNTIF($CY$2:$CY$6,'История отказов'!AE981)=0,COUNTIF('История отказов'!$AE$5:AE981,'История отказов'!AE981)=1),977,""))</f>
        <v/>
      </c>
      <c r="DI978">
        <f>IF('История отказов'!AK981="","",IF(AND(COUNTIF($CL$2:$CL$3,'История отказов'!AK981)=0,COUNTIF('История отказов'!$AK$5:AK981,'История отказов'!AK981)=1),977,""))</f>
        <v/>
      </c>
      <c r="DJ978">
        <f>IF('История отказов'!AU981="","",IF(AND(COUNTIF($CP$2:$CP$3,'История отказов'!AU981)=0,COUNTIF('История отказов'!$AU$5:AU981,'История отказов'!AU981)=1),977,""))</f>
        <v/>
      </c>
      <c r="DK978">
        <f>IF('История отказов'!AY981="","",IF(AND(COUNTIF($CR$2:$CR$2,'История отказов'!AY981)=0,COUNTIF('История отказов'!$AY$5:AY981,'История отказов'!AY981)=1),977,""))</f>
        <v/>
      </c>
      <c r="DL978">
        <f>IF(DB978="","",IF(AND(COUNTIF($DA$2:$DA$47,DB978)=0,COUNTIF($DB$2:DB978,DB978)=1),977,""))</f>
        <v/>
      </c>
    </row>
    <row r="979">
      <c r="A979" s="74" t="n"/>
      <c r="B979" s="75" t="n"/>
      <c r="C979" s="76" t="n"/>
      <c r="DB979">
        <f>IF('История отказов'!AH982="","",'История отказов'!AH982)</f>
        <v/>
      </c>
      <c r="DC979">
        <f>IF('История отказов'!AE982="","",IF(AND(COUNTIF($CT$2:$CT$2,'История отказов'!AE982)=0,COUNTIFS('История отказов'!$F$5:F982,"ШГН",'История отказов'!$AE$5:AE982,'История отказов'!AE982)=1,'История отказов'!F982="ШГН"),978,""))</f>
        <v/>
      </c>
      <c r="DD979">
        <f>IF('История отказов'!AE982="","",IF(AND(COUNTIF($CU$2:$CU$3,'История отказов'!AE982)=0,COUNTIFS('История отказов'!$F$5:F982,"ЭЦН",'История отказов'!$AE$5:AE982,'История отказов'!AE982)=1,'История отказов'!F982="ЭЦН"),978,""))</f>
        <v/>
      </c>
      <c r="DE979">
        <f>IF('История отказов'!AE982="","",IF(AND(COUNTIF($CV$2:$CV$3,'История отказов'!AE982)=0,COUNTIFS('История отказов'!$F$5:F982,"ЭВН",'История отказов'!$AE$5:AE982,'История отказов'!AE982)=1,'История отказов'!F982="ЭВН"),978,""))</f>
        <v/>
      </c>
      <c r="DF979">
        <f>IF('История отказов'!AE982="","",IF(AND(COUNTIF($CX$2:$CX$2,'История отказов'!AE982)=0,COUNTIFS('История отказов'!$F$5:F982,"ШВН",'История отказов'!$AE$5:AE982,'История отказов'!AE982)=1,'История отказов'!F982="ШВН"),978,""))</f>
        <v/>
      </c>
      <c r="DG979">
        <f>IF('История отказов'!AE982="","",IF(AND(COUNTIF($CW$2:$CW$2,'История отказов'!AE982)=0,COUNTIFS('История отказов'!$F$5:F982,"НПУ-ВД",'История отказов'!$AE$5:AE982,'История отказов'!AE982)=1,'История отказов'!F982="НПУ-ВД"),978,""))</f>
        <v/>
      </c>
      <c r="DH979">
        <f>IF('История отказов'!AE982="","",IF(AND(COUNTIF($CY$2:$CY$6,'История отказов'!AE982)=0,COUNTIF('История отказов'!$AE$5:AE982,'История отказов'!AE982)=1),978,""))</f>
        <v/>
      </c>
      <c r="DI979">
        <f>IF('История отказов'!AK982="","",IF(AND(COUNTIF($CL$2:$CL$3,'История отказов'!AK982)=0,COUNTIF('История отказов'!$AK$5:AK982,'История отказов'!AK982)=1),978,""))</f>
        <v/>
      </c>
      <c r="DJ979">
        <f>IF('История отказов'!AU982="","",IF(AND(COUNTIF($CP$2:$CP$3,'История отказов'!AU982)=0,COUNTIF('История отказов'!$AU$5:AU982,'История отказов'!AU982)=1),978,""))</f>
        <v/>
      </c>
      <c r="DK979">
        <f>IF('История отказов'!AY982="","",IF(AND(COUNTIF($CR$2:$CR$2,'История отказов'!AY982)=0,COUNTIF('История отказов'!$AY$5:AY982,'История отказов'!AY982)=1),978,""))</f>
        <v/>
      </c>
      <c r="DL979">
        <f>IF(DB979="","",IF(AND(COUNTIF($DA$2:$DA$47,DB979)=0,COUNTIF($DB$2:DB979,DB979)=1),978,""))</f>
        <v/>
      </c>
    </row>
    <row r="980">
      <c r="A980" s="74" t="n"/>
      <c r="B980" s="75" t="n"/>
      <c r="C980" s="76" t="n"/>
      <c r="DB980">
        <f>IF('История отказов'!AH983="","",'История отказов'!AH983)</f>
        <v/>
      </c>
      <c r="DC980">
        <f>IF('История отказов'!AE983="","",IF(AND(COUNTIF($CT$2:$CT$2,'История отказов'!AE983)=0,COUNTIFS('История отказов'!$F$5:F983,"ШГН",'История отказов'!$AE$5:AE983,'История отказов'!AE983)=1,'История отказов'!F983="ШГН"),979,""))</f>
        <v/>
      </c>
      <c r="DD980">
        <f>IF('История отказов'!AE983="","",IF(AND(COUNTIF($CU$2:$CU$3,'История отказов'!AE983)=0,COUNTIFS('История отказов'!$F$5:F983,"ЭЦН",'История отказов'!$AE$5:AE983,'История отказов'!AE983)=1,'История отказов'!F983="ЭЦН"),979,""))</f>
        <v/>
      </c>
      <c r="DE980">
        <f>IF('История отказов'!AE983="","",IF(AND(COUNTIF($CV$2:$CV$3,'История отказов'!AE983)=0,COUNTIFS('История отказов'!$F$5:F983,"ЭВН",'История отказов'!$AE$5:AE983,'История отказов'!AE983)=1,'История отказов'!F983="ЭВН"),979,""))</f>
        <v/>
      </c>
      <c r="DF980">
        <f>IF('История отказов'!AE983="","",IF(AND(COUNTIF($CX$2:$CX$2,'История отказов'!AE983)=0,COUNTIFS('История отказов'!$F$5:F983,"ШВН",'История отказов'!$AE$5:AE983,'История отказов'!AE983)=1,'История отказов'!F983="ШВН"),979,""))</f>
        <v/>
      </c>
      <c r="DG980">
        <f>IF('История отказов'!AE983="","",IF(AND(COUNTIF($CW$2:$CW$2,'История отказов'!AE983)=0,COUNTIFS('История отказов'!$F$5:F983,"НПУ-ВД",'История отказов'!$AE$5:AE983,'История отказов'!AE983)=1,'История отказов'!F983="НПУ-ВД"),979,""))</f>
        <v/>
      </c>
      <c r="DH980">
        <f>IF('История отказов'!AE983="","",IF(AND(COUNTIF($CY$2:$CY$6,'История отказов'!AE983)=0,COUNTIF('История отказов'!$AE$5:AE983,'История отказов'!AE983)=1),979,""))</f>
        <v/>
      </c>
      <c r="DI980">
        <f>IF('История отказов'!AK983="","",IF(AND(COUNTIF($CL$2:$CL$3,'История отказов'!AK983)=0,COUNTIF('История отказов'!$AK$5:AK983,'История отказов'!AK983)=1),979,""))</f>
        <v/>
      </c>
      <c r="DJ980">
        <f>IF('История отказов'!AU983="","",IF(AND(COUNTIF($CP$2:$CP$3,'История отказов'!AU983)=0,COUNTIF('История отказов'!$AU$5:AU983,'История отказов'!AU983)=1),979,""))</f>
        <v/>
      </c>
      <c r="DK980">
        <f>IF('История отказов'!AY983="","",IF(AND(COUNTIF($CR$2:$CR$2,'История отказов'!AY983)=0,COUNTIF('История отказов'!$AY$5:AY983,'История отказов'!AY983)=1),979,""))</f>
        <v/>
      </c>
      <c r="DL980">
        <f>IF(DB980="","",IF(AND(COUNTIF($DA$2:$DA$47,DB980)=0,COUNTIF($DB$2:DB980,DB980)=1),979,""))</f>
        <v/>
      </c>
    </row>
    <row r="981">
      <c r="A981" s="74" t="n"/>
      <c r="B981" s="75" t="n"/>
      <c r="C981" s="76" t="n"/>
      <c r="DB981">
        <f>IF('История отказов'!AH984="","",'История отказов'!AH984)</f>
        <v/>
      </c>
      <c r="DC981">
        <f>IF('История отказов'!AE984="","",IF(AND(COUNTIF($CT$2:$CT$2,'История отказов'!AE984)=0,COUNTIFS('История отказов'!$F$5:F984,"ШГН",'История отказов'!$AE$5:AE984,'История отказов'!AE984)=1,'История отказов'!F984="ШГН"),980,""))</f>
        <v/>
      </c>
      <c r="DD981">
        <f>IF('История отказов'!AE984="","",IF(AND(COUNTIF($CU$2:$CU$3,'История отказов'!AE984)=0,COUNTIFS('История отказов'!$F$5:F984,"ЭЦН",'История отказов'!$AE$5:AE984,'История отказов'!AE984)=1,'История отказов'!F984="ЭЦН"),980,""))</f>
        <v/>
      </c>
      <c r="DE981">
        <f>IF('История отказов'!AE984="","",IF(AND(COUNTIF($CV$2:$CV$3,'История отказов'!AE984)=0,COUNTIFS('История отказов'!$F$5:F984,"ЭВН",'История отказов'!$AE$5:AE984,'История отказов'!AE984)=1,'История отказов'!F984="ЭВН"),980,""))</f>
        <v/>
      </c>
      <c r="DF981">
        <f>IF('История отказов'!AE984="","",IF(AND(COUNTIF($CX$2:$CX$2,'История отказов'!AE984)=0,COUNTIFS('История отказов'!$F$5:F984,"ШВН",'История отказов'!$AE$5:AE984,'История отказов'!AE984)=1,'История отказов'!F984="ШВН"),980,""))</f>
        <v/>
      </c>
      <c r="DG981">
        <f>IF('История отказов'!AE984="","",IF(AND(COUNTIF($CW$2:$CW$2,'История отказов'!AE984)=0,COUNTIFS('История отказов'!$F$5:F984,"НПУ-ВД",'История отказов'!$AE$5:AE984,'История отказов'!AE984)=1,'История отказов'!F984="НПУ-ВД"),980,""))</f>
        <v/>
      </c>
      <c r="DH981">
        <f>IF('История отказов'!AE984="","",IF(AND(COUNTIF($CY$2:$CY$6,'История отказов'!AE984)=0,COUNTIF('История отказов'!$AE$5:AE984,'История отказов'!AE984)=1),980,""))</f>
        <v/>
      </c>
      <c r="DI981">
        <f>IF('История отказов'!AK984="","",IF(AND(COUNTIF($CL$2:$CL$3,'История отказов'!AK984)=0,COUNTIF('История отказов'!$AK$5:AK984,'История отказов'!AK984)=1),980,""))</f>
        <v/>
      </c>
      <c r="DJ981">
        <f>IF('История отказов'!AU984="","",IF(AND(COUNTIF($CP$2:$CP$3,'История отказов'!AU984)=0,COUNTIF('История отказов'!$AU$5:AU984,'История отказов'!AU984)=1),980,""))</f>
        <v/>
      </c>
      <c r="DK981">
        <f>IF('История отказов'!AY984="","",IF(AND(COUNTIF($CR$2:$CR$2,'История отказов'!AY984)=0,COUNTIF('История отказов'!$AY$5:AY984,'История отказов'!AY984)=1),980,""))</f>
        <v/>
      </c>
      <c r="DL981">
        <f>IF(DB981="","",IF(AND(COUNTIF($DA$2:$DA$47,DB981)=0,COUNTIF($DB$2:DB981,DB981)=1),980,""))</f>
        <v/>
      </c>
    </row>
    <row r="982">
      <c r="A982" s="74" t="n"/>
      <c r="B982" s="75" t="n"/>
      <c r="C982" s="76" t="n"/>
      <c r="DB982">
        <f>IF('История отказов'!AH985="","",'История отказов'!AH985)</f>
        <v/>
      </c>
      <c r="DC982">
        <f>IF('История отказов'!AE985="","",IF(AND(COUNTIF($CT$2:$CT$2,'История отказов'!AE985)=0,COUNTIFS('История отказов'!$F$5:F985,"ШГН",'История отказов'!$AE$5:AE985,'История отказов'!AE985)=1,'История отказов'!F985="ШГН"),981,""))</f>
        <v/>
      </c>
      <c r="DD982">
        <f>IF('История отказов'!AE985="","",IF(AND(COUNTIF($CU$2:$CU$3,'История отказов'!AE985)=0,COUNTIFS('История отказов'!$F$5:F985,"ЭЦН",'История отказов'!$AE$5:AE985,'История отказов'!AE985)=1,'История отказов'!F985="ЭЦН"),981,""))</f>
        <v/>
      </c>
      <c r="DE982">
        <f>IF('История отказов'!AE985="","",IF(AND(COUNTIF($CV$2:$CV$3,'История отказов'!AE985)=0,COUNTIFS('История отказов'!$F$5:F985,"ЭВН",'История отказов'!$AE$5:AE985,'История отказов'!AE985)=1,'История отказов'!F985="ЭВН"),981,""))</f>
        <v/>
      </c>
      <c r="DF982">
        <f>IF('История отказов'!AE985="","",IF(AND(COUNTIF($CX$2:$CX$2,'История отказов'!AE985)=0,COUNTIFS('История отказов'!$F$5:F985,"ШВН",'История отказов'!$AE$5:AE985,'История отказов'!AE985)=1,'История отказов'!F985="ШВН"),981,""))</f>
        <v/>
      </c>
      <c r="DG982">
        <f>IF('История отказов'!AE985="","",IF(AND(COUNTIF($CW$2:$CW$2,'История отказов'!AE985)=0,COUNTIFS('История отказов'!$F$5:F985,"НПУ-ВД",'История отказов'!$AE$5:AE985,'История отказов'!AE985)=1,'История отказов'!F985="НПУ-ВД"),981,""))</f>
        <v/>
      </c>
      <c r="DH982">
        <f>IF('История отказов'!AE985="","",IF(AND(COUNTIF($CY$2:$CY$6,'История отказов'!AE985)=0,COUNTIF('История отказов'!$AE$5:AE985,'История отказов'!AE985)=1),981,""))</f>
        <v/>
      </c>
      <c r="DI982">
        <f>IF('История отказов'!AK985="","",IF(AND(COUNTIF($CL$2:$CL$3,'История отказов'!AK985)=0,COUNTIF('История отказов'!$AK$5:AK985,'История отказов'!AK985)=1),981,""))</f>
        <v/>
      </c>
      <c r="DJ982">
        <f>IF('История отказов'!AU985="","",IF(AND(COUNTIF($CP$2:$CP$3,'История отказов'!AU985)=0,COUNTIF('История отказов'!$AU$5:AU985,'История отказов'!AU985)=1),981,""))</f>
        <v/>
      </c>
      <c r="DK982">
        <f>IF('История отказов'!AY985="","",IF(AND(COUNTIF($CR$2:$CR$2,'История отказов'!AY985)=0,COUNTIF('История отказов'!$AY$5:AY985,'История отказов'!AY985)=1),981,""))</f>
        <v/>
      </c>
      <c r="DL982">
        <f>IF(DB982="","",IF(AND(COUNTIF($DA$2:$DA$47,DB982)=0,COUNTIF($DB$2:DB982,DB982)=1),981,""))</f>
        <v/>
      </c>
    </row>
    <row r="983">
      <c r="A983" s="74" t="n"/>
      <c r="B983" s="75" t="n"/>
      <c r="C983" s="76" t="n"/>
      <c r="DB983">
        <f>IF('История отказов'!AH986="","",'История отказов'!AH986)</f>
        <v/>
      </c>
      <c r="DC983">
        <f>IF('История отказов'!AE986="","",IF(AND(COUNTIF($CT$2:$CT$2,'История отказов'!AE986)=0,COUNTIFS('История отказов'!$F$5:F986,"ШГН",'История отказов'!$AE$5:AE986,'История отказов'!AE986)=1,'История отказов'!F986="ШГН"),982,""))</f>
        <v/>
      </c>
      <c r="DD983">
        <f>IF('История отказов'!AE986="","",IF(AND(COUNTIF($CU$2:$CU$3,'История отказов'!AE986)=0,COUNTIFS('История отказов'!$F$5:F986,"ЭЦН",'История отказов'!$AE$5:AE986,'История отказов'!AE986)=1,'История отказов'!F986="ЭЦН"),982,""))</f>
        <v/>
      </c>
      <c r="DE983">
        <f>IF('История отказов'!AE986="","",IF(AND(COUNTIF($CV$2:$CV$3,'История отказов'!AE986)=0,COUNTIFS('История отказов'!$F$5:F986,"ЭВН",'История отказов'!$AE$5:AE986,'История отказов'!AE986)=1,'История отказов'!F986="ЭВН"),982,""))</f>
        <v/>
      </c>
      <c r="DF983">
        <f>IF('История отказов'!AE986="","",IF(AND(COUNTIF($CX$2:$CX$2,'История отказов'!AE986)=0,COUNTIFS('История отказов'!$F$5:F986,"ШВН",'История отказов'!$AE$5:AE986,'История отказов'!AE986)=1,'История отказов'!F986="ШВН"),982,""))</f>
        <v/>
      </c>
      <c r="DG983">
        <f>IF('История отказов'!AE986="","",IF(AND(COUNTIF($CW$2:$CW$2,'История отказов'!AE986)=0,COUNTIFS('История отказов'!$F$5:F986,"НПУ-ВД",'История отказов'!$AE$5:AE986,'История отказов'!AE986)=1,'История отказов'!F986="НПУ-ВД"),982,""))</f>
        <v/>
      </c>
      <c r="DH983">
        <f>IF('История отказов'!AE986="","",IF(AND(COUNTIF($CY$2:$CY$6,'История отказов'!AE986)=0,COUNTIF('История отказов'!$AE$5:AE986,'История отказов'!AE986)=1),982,""))</f>
        <v/>
      </c>
      <c r="DI983">
        <f>IF('История отказов'!AK986="","",IF(AND(COUNTIF($CL$2:$CL$3,'История отказов'!AK986)=0,COUNTIF('История отказов'!$AK$5:AK986,'История отказов'!AK986)=1),982,""))</f>
        <v/>
      </c>
      <c r="DJ983">
        <f>IF('История отказов'!AU986="","",IF(AND(COUNTIF($CP$2:$CP$3,'История отказов'!AU986)=0,COUNTIF('История отказов'!$AU$5:AU986,'История отказов'!AU986)=1),982,""))</f>
        <v/>
      </c>
      <c r="DK983">
        <f>IF('История отказов'!AY986="","",IF(AND(COUNTIF($CR$2:$CR$2,'История отказов'!AY986)=0,COUNTIF('История отказов'!$AY$5:AY986,'История отказов'!AY986)=1),982,""))</f>
        <v/>
      </c>
      <c r="DL983">
        <f>IF(DB983="","",IF(AND(COUNTIF($DA$2:$DA$47,DB983)=0,COUNTIF($DB$2:DB983,DB983)=1),982,""))</f>
        <v/>
      </c>
    </row>
    <row r="984">
      <c r="A984" s="74" t="n"/>
      <c r="B984" s="75" t="n"/>
      <c r="C984" s="76" t="n"/>
      <c r="DB984">
        <f>IF('История отказов'!AH987="","",'История отказов'!AH987)</f>
        <v/>
      </c>
      <c r="DC984">
        <f>IF('История отказов'!AE987="","",IF(AND(COUNTIF($CT$2:$CT$2,'История отказов'!AE987)=0,COUNTIFS('История отказов'!$F$5:F987,"ШГН",'История отказов'!$AE$5:AE987,'История отказов'!AE987)=1,'История отказов'!F987="ШГН"),983,""))</f>
        <v/>
      </c>
      <c r="DD984">
        <f>IF('История отказов'!AE987="","",IF(AND(COUNTIF($CU$2:$CU$3,'История отказов'!AE987)=0,COUNTIFS('История отказов'!$F$5:F987,"ЭЦН",'История отказов'!$AE$5:AE987,'История отказов'!AE987)=1,'История отказов'!F987="ЭЦН"),983,""))</f>
        <v/>
      </c>
      <c r="DE984">
        <f>IF('История отказов'!AE987="","",IF(AND(COUNTIF($CV$2:$CV$3,'История отказов'!AE987)=0,COUNTIFS('История отказов'!$F$5:F987,"ЭВН",'История отказов'!$AE$5:AE987,'История отказов'!AE987)=1,'История отказов'!F987="ЭВН"),983,""))</f>
        <v/>
      </c>
      <c r="DF984">
        <f>IF('История отказов'!AE987="","",IF(AND(COUNTIF($CX$2:$CX$2,'История отказов'!AE987)=0,COUNTIFS('История отказов'!$F$5:F987,"ШВН",'История отказов'!$AE$5:AE987,'История отказов'!AE987)=1,'История отказов'!F987="ШВН"),983,""))</f>
        <v/>
      </c>
      <c r="DG984">
        <f>IF('История отказов'!AE987="","",IF(AND(COUNTIF($CW$2:$CW$2,'История отказов'!AE987)=0,COUNTIFS('История отказов'!$F$5:F987,"НПУ-ВД",'История отказов'!$AE$5:AE987,'История отказов'!AE987)=1,'История отказов'!F987="НПУ-ВД"),983,""))</f>
        <v/>
      </c>
      <c r="DH984">
        <f>IF('История отказов'!AE987="","",IF(AND(COUNTIF($CY$2:$CY$6,'История отказов'!AE987)=0,COUNTIF('История отказов'!$AE$5:AE987,'История отказов'!AE987)=1),983,""))</f>
        <v/>
      </c>
      <c r="DI984">
        <f>IF('История отказов'!AK987="","",IF(AND(COUNTIF($CL$2:$CL$3,'История отказов'!AK987)=0,COUNTIF('История отказов'!$AK$5:AK987,'История отказов'!AK987)=1),983,""))</f>
        <v/>
      </c>
      <c r="DJ984">
        <f>IF('История отказов'!AU987="","",IF(AND(COUNTIF($CP$2:$CP$3,'История отказов'!AU987)=0,COUNTIF('История отказов'!$AU$5:AU987,'История отказов'!AU987)=1),983,""))</f>
        <v/>
      </c>
      <c r="DK984">
        <f>IF('История отказов'!AY987="","",IF(AND(COUNTIF($CR$2:$CR$2,'История отказов'!AY987)=0,COUNTIF('История отказов'!$AY$5:AY987,'История отказов'!AY987)=1),983,""))</f>
        <v/>
      </c>
      <c r="DL984">
        <f>IF(DB984="","",IF(AND(COUNTIF($DA$2:$DA$47,DB984)=0,COUNTIF($DB$2:DB984,DB984)=1),983,""))</f>
        <v/>
      </c>
    </row>
    <row r="985">
      <c r="A985" s="74" t="n"/>
      <c r="B985" s="75" t="n"/>
      <c r="C985" s="76" t="n"/>
      <c r="DB985">
        <f>IF('История отказов'!AH988="","",'История отказов'!AH988)</f>
        <v/>
      </c>
      <c r="DC985">
        <f>IF('История отказов'!AE988="","",IF(AND(COUNTIF($CT$2:$CT$2,'История отказов'!AE988)=0,COUNTIFS('История отказов'!$F$5:F988,"ШГН",'История отказов'!$AE$5:AE988,'История отказов'!AE988)=1,'История отказов'!F988="ШГН"),984,""))</f>
        <v/>
      </c>
      <c r="DD985">
        <f>IF('История отказов'!AE988="","",IF(AND(COUNTIF($CU$2:$CU$3,'История отказов'!AE988)=0,COUNTIFS('История отказов'!$F$5:F988,"ЭЦН",'История отказов'!$AE$5:AE988,'История отказов'!AE988)=1,'История отказов'!F988="ЭЦН"),984,""))</f>
        <v/>
      </c>
      <c r="DE985">
        <f>IF('История отказов'!AE988="","",IF(AND(COUNTIF($CV$2:$CV$3,'История отказов'!AE988)=0,COUNTIFS('История отказов'!$F$5:F988,"ЭВН",'История отказов'!$AE$5:AE988,'История отказов'!AE988)=1,'История отказов'!F988="ЭВН"),984,""))</f>
        <v/>
      </c>
      <c r="DF985">
        <f>IF('История отказов'!AE988="","",IF(AND(COUNTIF($CX$2:$CX$2,'История отказов'!AE988)=0,COUNTIFS('История отказов'!$F$5:F988,"ШВН",'История отказов'!$AE$5:AE988,'История отказов'!AE988)=1,'История отказов'!F988="ШВН"),984,""))</f>
        <v/>
      </c>
      <c r="DG985">
        <f>IF('История отказов'!AE988="","",IF(AND(COUNTIF($CW$2:$CW$2,'История отказов'!AE988)=0,COUNTIFS('История отказов'!$F$5:F988,"НПУ-ВД",'История отказов'!$AE$5:AE988,'История отказов'!AE988)=1,'История отказов'!F988="НПУ-ВД"),984,""))</f>
        <v/>
      </c>
      <c r="DH985">
        <f>IF('История отказов'!AE988="","",IF(AND(COUNTIF($CY$2:$CY$6,'История отказов'!AE988)=0,COUNTIF('История отказов'!$AE$5:AE988,'История отказов'!AE988)=1),984,""))</f>
        <v/>
      </c>
      <c r="DI985">
        <f>IF('История отказов'!AK988="","",IF(AND(COUNTIF($CL$2:$CL$3,'История отказов'!AK988)=0,COUNTIF('История отказов'!$AK$5:AK988,'История отказов'!AK988)=1),984,""))</f>
        <v/>
      </c>
      <c r="DJ985">
        <f>IF('История отказов'!AU988="","",IF(AND(COUNTIF($CP$2:$CP$3,'История отказов'!AU988)=0,COUNTIF('История отказов'!$AU$5:AU988,'История отказов'!AU988)=1),984,""))</f>
        <v/>
      </c>
      <c r="DK985">
        <f>IF('История отказов'!AY988="","",IF(AND(COUNTIF($CR$2:$CR$2,'История отказов'!AY988)=0,COUNTIF('История отказов'!$AY$5:AY988,'История отказов'!AY988)=1),984,""))</f>
        <v/>
      </c>
      <c r="DL985">
        <f>IF(DB985="","",IF(AND(COUNTIF($DA$2:$DA$47,DB985)=0,COUNTIF($DB$2:DB985,DB985)=1),984,""))</f>
        <v/>
      </c>
    </row>
    <row r="986">
      <c r="A986" s="74" t="n"/>
      <c r="B986" s="75" t="n"/>
      <c r="C986" s="76" t="n"/>
      <c r="DB986">
        <f>IF('История отказов'!AH989="","",'История отказов'!AH989)</f>
        <v/>
      </c>
      <c r="DC986">
        <f>IF('История отказов'!AE989="","",IF(AND(COUNTIF($CT$2:$CT$2,'История отказов'!AE989)=0,COUNTIFS('История отказов'!$F$5:F989,"ШГН",'История отказов'!$AE$5:AE989,'История отказов'!AE989)=1,'История отказов'!F989="ШГН"),985,""))</f>
        <v/>
      </c>
      <c r="DD986">
        <f>IF('История отказов'!AE989="","",IF(AND(COUNTIF($CU$2:$CU$3,'История отказов'!AE989)=0,COUNTIFS('История отказов'!$F$5:F989,"ЭЦН",'История отказов'!$AE$5:AE989,'История отказов'!AE989)=1,'История отказов'!F989="ЭЦН"),985,""))</f>
        <v/>
      </c>
      <c r="DE986">
        <f>IF('История отказов'!AE989="","",IF(AND(COUNTIF($CV$2:$CV$3,'История отказов'!AE989)=0,COUNTIFS('История отказов'!$F$5:F989,"ЭВН",'История отказов'!$AE$5:AE989,'История отказов'!AE989)=1,'История отказов'!F989="ЭВН"),985,""))</f>
        <v/>
      </c>
      <c r="DF986">
        <f>IF('История отказов'!AE989="","",IF(AND(COUNTIF($CX$2:$CX$2,'История отказов'!AE989)=0,COUNTIFS('История отказов'!$F$5:F989,"ШВН",'История отказов'!$AE$5:AE989,'История отказов'!AE989)=1,'История отказов'!F989="ШВН"),985,""))</f>
        <v/>
      </c>
      <c r="DG986">
        <f>IF('История отказов'!AE989="","",IF(AND(COUNTIF($CW$2:$CW$2,'История отказов'!AE989)=0,COUNTIFS('История отказов'!$F$5:F989,"НПУ-ВД",'История отказов'!$AE$5:AE989,'История отказов'!AE989)=1,'История отказов'!F989="НПУ-ВД"),985,""))</f>
        <v/>
      </c>
      <c r="DH986">
        <f>IF('История отказов'!AE989="","",IF(AND(COUNTIF($CY$2:$CY$6,'История отказов'!AE989)=0,COUNTIF('История отказов'!$AE$5:AE989,'История отказов'!AE989)=1),985,""))</f>
        <v/>
      </c>
      <c r="DI986">
        <f>IF('История отказов'!AK989="","",IF(AND(COUNTIF($CL$2:$CL$3,'История отказов'!AK989)=0,COUNTIF('История отказов'!$AK$5:AK989,'История отказов'!AK989)=1),985,""))</f>
        <v/>
      </c>
      <c r="DJ986">
        <f>IF('История отказов'!AU989="","",IF(AND(COUNTIF($CP$2:$CP$3,'История отказов'!AU989)=0,COUNTIF('История отказов'!$AU$5:AU989,'История отказов'!AU989)=1),985,""))</f>
        <v/>
      </c>
      <c r="DK986">
        <f>IF('История отказов'!AY989="","",IF(AND(COUNTIF($CR$2:$CR$2,'История отказов'!AY989)=0,COUNTIF('История отказов'!$AY$5:AY989,'История отказов'!AY989)=1),985,""))</f>
        <v/>
      </c>
      <c r="DL986">
        <f>IF(DB986="","",IF(AND(COUNTIF($DA$2:$DA$47,DB986)=0,COUNTIF($DB$2:DB986,DB986)=1),985,""))</f>
        <v/>
      </c>
    </row>
    <row r="987">
      <c r="A987" s="74" t="n"/>
      <c r="B987" s="75" t="n"/>
      <c r="C987" s="76" t="n"/>
      <c r="DB987">
        <f>IF('История отказов'!AH990="","",'История отказов'!AH990)</f>
        <v/>
      </c>
      <c r="DC987">
        <f>IF('История отказов'!AE990="","",IF(AND(COUNTIF($CT$2:$CT$2,'История отказов'!AE990)=0,COUNTIFS('История отказов'!$F$5:F990,"ШГН",'История отказов'!$AE$5:AE990,'История отказов'!AE990)=1,'История отказов'!F990="ШГН"),986,""))</f>
        <v/>
      </c>
      <c r="DD987">
        <f>IF('История отказов'!AE990="","",IF(AND(COUNTIF($CU$2:$CU$3,'История отказов'!AE990)=0,COUNTIFS('История отказов'!$F$5:F990,"ЭЦН",'История отказов'!$AE$5:AE990,'История отказов'!AE990)=1,'История отказов'!F990="ЭЦН"),986,""))</f>
        <v/>
      </c>
      <c r="DE987">
        <f>IF('История отказов'!AE990="","",IF(AND(COUNTIF($CV$2:$CV$3,'История отказов'!AE990)=0,COUNTIFS('История отказов'!$F$5:F990,"ЭВН",'История отказов'!$AE$5:AE990,'История отказов'!AE990)=1,'История отказов'!F990="ЭВН"),986,""))</f>
        <v/>
      </c>
      <c r="DF987">
        <f>IF('История отказов'!AE990="","",IF(AND(COUNTIF($CX$2:$CX$2,'История отказов'!AE990)=0,COUNTIFS('История отказов'!$F$5:F990,"ШВН",'История отказов'!$AE$5:AE990,'История отказов'!AE990)=1,'История отказов'!F990="ШВН"),986,""))</f>
        <v/>
      </c>
      <c r="DG987">
        <f>IF('История отказов'!AE990="","",IF(AND(COUNTIF($CW$2:$CW$2,'История отказов'!AE990)=0,COUNTIFS('История отказов'!$F$5:F990,"НПУ-ВД",'История отказов'!$AE$5:AE990,'История отказов'!AE990)=1,'История отказов'!F990="НПУ-ВД"),986,""))</f>
        <v/>
      </c>
      <c r="DH987">
        <f>IF('История отказов'!AE990="","",IF(AND(COUNTIF($CY$2:$CY$6,'История отказов'!AE990)=0,COUNTIF('История отказов'!$AE$5:AE990,'История отказов'!AE990)=1),986,""))</f>
        <v/>
      </c>
      <c r="DI987">
        <f>IF('История отказов'!AK990="","",IF(AND(COUNTIF($CL$2:$CL$3,'История отказов'!AK990)=0,COUNTIF('История отказов'!$AK$5:AK990,'История отказов'!AK990)=1),986,""))</f>
        <v/>
      </c>
      <c r="DJ987">
        <f>IF('История отказов'!AU990="","",IF(AND(COUNTIF($CP$2:$CP$3,'История отказов'!AU990)=0,COUNTIF('История отказов'!$AU$5:AU990,'История отказов'!AU990)=1),986,""))</f>
        <v/>
      </c>
      <c r="DK987">
        <f>IF('История отказов'!AY990="","",IF(AND(COUNTIF($CR$2:$CR$2,'История отказов'!AY990)=0,COUNTIF('История отказов'!$AY$5:AY990,'История отказов'!AY990)=1),986,""))</f>
        <v/>
      </c>
      <c r="DL987">
        <f>IF(DB987="","",IF(AND(COUNTIF($DA$2:$DA$47,DB987)=0,COUNTIF($DB$2:DB987,DB987)=1),986,""))</f>
        <v/>
      </c>
    </row>
    <row r="988">
      <c r="A988" s="74" t="n"/>
      <c r="B988" s="75" t="n"/>
      <c r="C988" s="76" t="n"/>
      <c r="DB988">
        <f>IF('История отказов'!AH991="","",'История отказов'!AH991)</f>
        <v/>
      </c>
      <c r="DC988">
        <f>IF('История отказов'!AE991="","",IF(AND(COUNTIF($CT$2:$CT$2,'История отказов'!AE991)=0,COUNTIFS('История отказов'!$F$5:F991,"ШГН",'История отказов'!$AE$5:AE991,'История отказов'!AE991)=1,'История отказов'!F991="ШГН"),987,""))</f>
        <v/>
      </c>
      <c r="DD988">
        <f>IF('История отказов'!AE991="","",IF(AND(COUNTIF($CU$2:$CU$3,'История отказов'!AE991)=0,COUNTIFS('История отказов'!$F$5:F991,"ЭЦН",'История отказов'!$AE$5:AE991,'История отказов'!AE991)=1,'История отказов'!F991="ЭЦН"),987,""))</f>
        <v/>
      </c>
      <c r="DE988">
        <f>IF('История отказов'!AE991="","",IF(AND(COUNTIF($CV$2:$CV$3,'История отказов'!AE991)=0,COUNTIFS('История отказов'!$F$5:F991,"ЭВН",'История отказов'!$AE$5:AE991,'История отказов'!AE991)=1,'История отказов'!F991="ЭВН"),987,""))</f>
        <v/>
      </c>
      <c r="DF988">
        <f>IF('История отказов'!AE991="","",IF(AND(COUNTIF($CX$2:$CX$2,'История отказов'!AE991)=0,COUNTIFS('История отказов'!$F$5:F991,"ШВН",'История отказов'!$AE$5:AE991,'История отказов'!AE991)=1,'История отказов'!F991="ШВН"),987,""))</f>
        <v/>
      </c>
      <c r="DG988">
        <f>IF('История отказов'!AE991="","",IF(AND(COUNTIF($CW$2:$CW$2,'История отказов'!AE991)=0,COUNTIFS('История отказов'!$F$5:F991,"НПУ-ВД",'История отказов'!$AE$5:AE991,'История отказов'!AE991)=1,'История отказов'!F991="НПУ-ВД"),987,""))</f>
        <v/>
      </c>
      <c r="DH988">
        <f>IF('История отказов'!AE991="","",IF(AND(COUNTIF($CY$2:$CY$6,'История отказов'!AE991)=0,COUNTIF('История отказов'!$AE$5:AE991,'История отказов'!AE991)=1),987,""))</f>
        <v/>
      </c>
      <c r="DI988">
        <f>IF('История отказов'!AK991="","",IF(AND(COUNTIF($CL$2:$CL$3,'История отказов'!AK991)=0,COUNTIF('История отказов'!$AK$5:AK991,'История отказов'!AK991)=1),987,""))</f>
        <v/>
      </c>
      <c r="DJ988">
        <f>IF('История отказов'!AU991="","",IF(AND(COUNTIF($CP$2:$CP$3,'История отказов'!AU991)=0,COUNTIF('История отказов'!$AU$5:AU991,'История отказов'!AU991)=1),987,""))</f>
        <v/>
      </c>
      <c r="DK988">
        <f>IF('История отказов'!AY991="","",IF(AND(COUNTIF($CR$2:$CR$2,'История отказов'!AY991)=0,COUNTIF('История отказов'!$AY$5:AY991,'История отказов'!AY991)=1),987,""))</f>
        <v/>
      </c>
      <c r="DL988">
        <f>IF(DB988="","",IF(AND(COUNTIF($DA$2:$DA$47,DB988)=0,COUNTIF($DB$2:DB988,DB988)=1),987,""))</f>
        <v/>
      </c>
    </row>
    <row r="989">
      <c r="A989" s="74" t="n"/>
      <c r="B989" s="75" t="n"/>
      <c r="C989" s="76" t="n"/>
      <c r="DB989">
        <f>IF('История отказов'!AH992="","",'История отказов'!AH992)</f>
        <v/>
      </c>
      <c r="DC989">
        <f>IF('История отказов'!AE992="","",IF(AND(COUNTIF($CT$2:$CT$2,'История отказов'!AE992)=0,COUNTIFS('История отказов'!$F$5:F992,"ШГН",'История отказов'!$AE$5:AE992,'История отказов'!AE992)=1,'История отказов'!F992="ШГН"),988,""))</f>
        <v/>
      </c>
      <c r="DD989">
        <f>IF('История отказов'!AE992="","",IF(AND(COUNTIF($CU$2:$CU$3,'История отказов'!AE992)=0,COUNTIFS('История отказов'!$F$5:F992,"ЭЦН",'История отказов'!$AE$5:AE992,'История отказов'!AE992)=1,'История отказов'!F992="ЭЦН"),988,""))</f>
        <v/>
      </c>
      <c r="DE989">
        <f>IF('История отказов'!AE992="","",IF(AND(COUNTIF($CV$2:$CV$3,'История отказов'!AE992)=0,COUNTIFS('История отказов'!$F$5:F992,"ЭВН",'История отказов'!$AE$5:AE992,'История отказов'!AE992)=1,'История отказов'!F992="ЭВН"),988,""))</f>
        <v/>
      </c>
      <c r="DF989">
        <f>IF('История отказов'!AE992="","",IF(AND(COUNTIF($CX$2:$CX$2,'История отказов'!AE992)=0,COUNTIFS('История отказов'!$F$5:F992,"ШВН",'История отказов'!$AE$5:AE992,'История отказов'!AE992)=1,'История отказов'!F992="ШВН"),988,""))</f>
        <v/>
      </c>
      <c r="DG989">
        <f>IF('История отказов'!AE992="","",IF(AND(COUNTIF($CW$2:$CW$2,'История отказов'!AE992)=0,COUNTIFS('История отказов'!$F$5:F992,"НПУ-ВД",'История отказов'!$AE$5:AE992,'История отказов'!AE992)=1,'История отказов'!F992="НПУ-ВД"),988,""))</f>
        <v/>
      </c>
      <c r="DH989">
        <f>IF('История отказов'!AE992="","",IF(AND(COUNTIF($CY$2:$CY$6,'История отказов'!AE992)=0,COUNTIF('История отказов'!$AE$5:AE992,'История отказов'!AE992)=1),988,""))</f>
        <v/>
      </c>
      <c r="DI989">
        <f>IF('История отказов'!AK992="","",IF(AND(COUNTIF($CL$2:$CL$3,'История отказов'!AK992)=0,COUNTIF('История отказов'!$AK$5:AK992,'История отказов'!AK992)=1),988,""))</f>
        <v/>
      </c>
      <c r="DJ989">
        <f>IF('История отказов'!AU992="","",IF(AND(COUNTIF($CP$2:$CP$3,'История отказов'!AU992)=0,COUNTIF('История отказов'!$AU$5:AU992,'История отказов'!AU992)=1),988,""))</f>
        <v/>
      </c>
      <c r="DK989">
        <f>IF('История отказов'!AY992="","",IF(AND(COUNTIF($CR$2:$CR$2,'История отказов'!AY992)=0,COUNTIF('История отказов'!$AY$5:AY992,'История отказов'!AY992)=1),988,""))</f>
        <v/>
      </c>
      <c r="DL989">
        <f>IF(DB989="","",IF(AND(COUNTIF($DA$2:$DA$47,DB989)=0,COUNTIF($DB$2:DB989,DB989)=1),988,""))</f>
        <v/>
      </c>
    </row>
    <row r="990">
      <c r="A990" s="74" t="n"/>
      <c r="B990" s="75" t="n"/>
      <c r="C990" s="76" t="n"/>
      <c r="DB990">
        <f>IF('История отказов'!AH993="","",'История отказов'!AH993)</f>
        <v/>
      </c>
      <c r="DC990">
        <f>IF('История отказов'!AE993="","",IF(AND(COUNTIF($CT$2:$CT$2,'История отказов'!AE993)=0,COUNTIFS('История отказов'!$F$5:F993,"ШГН",'История отказов'!$AE$5:AE993,'История отказов'!AE993)=1,'История отказов'!F993="ШГН"),989,""))</f>
        <v/>
      </c>
      <c r="DD990">
        <f>IF('История отказов'!AE993="","",IF(AND(COUNTIF($CU$2:$CU$3,'История отказов'!AE993)=0,COUNTIFS('История отказов'!$F$5:F993,"ЭЦН",'История отказов'!$AE$5:AE993,'История отказов'!AE993)=1,'История отказов'!F993="ЭЦН"),989,""))</f>
        <v/>
      </c>
      <c r="DE990">
        <f>IF('История отказов'!AE993="","",IF(AND(COUNTIF($CV$2:$CV$3,'История отказов'!AE993)=0,COUNTIFS('История отказов'!$F$5:F993,"ЭВН",'История отказов'!$AE$5:AE993,'История отказов'!AE993)=1,'История отказов'!F993="ЭВН"),989,""))</f>
        <v/>
      </c>
      <c r="DF990">
        <f>IF('История отказов'!AE993="","",IF(AND(COUNTIF($CX$2:$CX$2,'История отказов'!AE993)=0,COUNTIFS('История отказов'!$F$5:F993,"ШВН",'История отказов'!$AE$5:AE993,'История отказов'!AE993)=1,'История отказов'!F993="ШВН"),989,""))</f>
        <v/>
      </c>
      <c r="DG990">
        <f>IF('История отказов'!AE993="","",IF(AND(COUNTIF($CW$2:$CW$2,'История отказов'!AE993)=0,COUNTIFS('История отказов'!$F$5:F993,"НПУ-ВД",'История отказов'!$AE$5:AE993,'История отказов'!AE993)=1,'История отказов'!F993="НПУ-ВД"),989,""))</f>
        <v/>
      </c>
      <c r="DH990">
        <f>IF('История отказов'!AE993="","",IF(AND(COUNTIF($CY$2:$CY$6,'История отказов'!AE993)=0,COUNTIF('История отказов'!$AE$5:AE993,'История отказов'!AE993)=1),989,""))</f>
        <v/>
      </c>
      <c r="DI990">
        <f>IF('История отказов'!AK993="","",IF(AND(COUNTIF($CL$2:$CL$3,'История отказов'!AK993)=0,COUNTIF('История отказов'!$AK$5:AK993,'История отказов'!AK993)=1),989,""))</f>
        <v/>
      </c>
      <c r="DJ990">
        <f>IF('История отказов'!AU993="","",IF(AND(COUNTIF($CP$2:$CP$3,'История отказов'!AU993)=0,COUNTIF('История отказов'!$AU$5:AU993,'История отказов'!AU993)=1),989,""))</f>
        <v/>
      </c>
      <c r="DK990">
        <f>IF('История отказов'!AY993="","",IF(AND(COUNTIF($CR$2:$CR$2,'История отказов'!AY993)=0,COUNTIF('История отказов'!$AY$5:AY993,'История отказов'!AY993)=1),989,""))</f>
        <v/>
      </c>
      <c r="DL990">
        <f>IF(DB990="","",IF(AND(COUNTIF($DA$2:$DA$47,DB990)=0,COUNTIF($DB$2:DB990,DB990)=1),989,""))</f>
        <v/>
      </c>
    </row>
    <row r="991">
      <c r="A991" s="74" t="n"/>
      <c r="B991" s="75" t="n"/>
      <c r="C991" s="76" t="n"/>
      <c r="DB991">
        <f>IF('История отказов'!AH994="","",'История отказов'!AH994)</f>
        <v/>
      </c>
      <c r="DC991">
        <f>IF('История отказов'!AE994="","",IF(AND(COUNTIF($CT$2:$CT$2,'История отказов'!AE994)=0,COUNTIFS('История отказов'!$F$5:F994,"ШГН",'История отказов'!$AE$5:AE994,'История отказов'!AE994)=1,'История отказов'!F994="ШГН"),990,""))</f>
        <v/>
      </c>
      <c r="DD991">
        <f>IF('История отказов'!AE994="","",IF(AND(COUNTIF($CU$2:$CU$3,'История отказов'!AE994)=0,COUNTIFS('История отказов'!$F$5:F994,"ЭЦН",'История отказов'!$AE$5:AE994,'История отказов'!AE994)=1,'История отказов'!F994="ЭЦН"),990,""))</f>
        <v/>
      </c>
      <c r="DE991">
        <f>IF('История отказов'!AE994="","",IF(AND(COUNTIF($CV$2:$CV$3,'История отказов'!AE994)=0,COUNTIFS('История отказов'!$F$5:F994,"ЭВН",'История отказов'!$AE$5:AE994,'История отказов'!AE994)=1,'История отказов'!F994="ЭВН"),990,""))</f>
        <v/>
      </c>
      <c r="DF991">
        <f>IF('История отказов'!AE994="","",IF(AND(COUNTIF($CX$2:$CX$2,'История отказов'!AE994)=0,COUNTIFS('История отказов'!$F$5:F994,"ШВН",'История отказов'!$AE$5:AE994,'История отказов'!AE994)=1,'История отказов'!F994="ШВН"),990,""))</f>
        <v/>
      </c>
      <c r="DG991">
        <f>IF('История отказов'!AE994="","",IF(AND(COUNTIF($CW$2:$CW$2,'История отказов'!AE994)=0,COUNTIFS('История отказов'!$F$5:F994,"НПУ-ВД",'История отказов'!$AE$5:AE994,'История отказов'!AE994)=1,'История отказов'!F994="НПУ-ВД"),990,""))</f>
        <v/>
      </c>
      <c r="DH991">
        <f>IF('История отказов'!AE994="","",IF(AND(COUNTIF($CY$2:$CY$6,'История отказов'!AE994)=0,COUNTIF('История отказов'!$AE$5:AE994,'История отказов'!AE994)=1),990,""))</f>
        <v/>
      </c>
      <c r="DI991">
        <f>IF('История отказов'!AK994="","",IF(AND(COUNTIF($CL$2:$CL$3,'История отказов'!AK994)=0,COUNTIF('История отказов'!$AK$5:AK994,'История отказов'!AK994)=1),990,""))</f>
        <v/>
      </c>
      <c r="DJ991">
        <f>IF('История отказов'!AU994="","",IF(AND(COUNTIF($CP$2:$CP$3,'История отказов'!AU994)=0,COUNTIF('История отказов'!$AU$5:AU994,'История отказов'!AU994)=1),990,""))</f>
        <v/>
      </c>
      <c r="DK991">
        <f>IF('История отказов'!AY994="","",IF(AND(COUNTIF($CR$2:$CR$2,'История отказов'!AY994)=0,COUNTIF('История отказов'!$AY$5:AY994,'История отказов'!AY994)=1),990,""))</f>
        <v/>
      </c>
      <c r="DL991">
        <f>IF(DB991="","",IF(AND(COUNTIF($DA$2:$DA$47,DB991)=0,COUNTIF($DB$2:DB991,DB991)=1),990,""))</f>
        <v/>
      </c>
    </row>
    <row r="992">
      <c r="A992" s="74" t="n"/>
      <c r="B992" s="75" t="n"/>
      <c r="C992" s="76" t="n"/>
      <c r="DB992">
        <f>IF('История отказов'!AH995="","",'История отказов'!AH995)</f>
        <v/>
      </c>
      <c r="DC992">
        <f>IF('История отказов'!AE995="","",IF(AND(COUNTIF($CT$2:$CT$2,'История отказов'!AE995)=0,COUNTIFS('История отказов'!$F$5:F995,"ШГН",'История отказов'!$AE$5:AE995,'История отказов'!AE995)=1,'История отказов'!F995="ШГН"),991,""))</f>
        <v/>
      </c>
      <c r="DD992">
        <f>IF('История отказов'!AE995="","",IF(AND(COUNTIF($CU$2:$CU$3,'История отказов'!AE995)=0,COUNTIFS('История отказов'!$F$5:F995,"ЭЦН",'История отказов'!$AE$5:AE995,'История отказов'!AE995)=1,'История отказов'!F995="ЭЦН"),991,""))</f>
        <v/>
      </c>
      <c r="DE992">
        <f>IF('История отказов'!AE995="","",IF(AND(COUNTIF($CV$2:$CV$3,'История отказов'!AE995)=0,COUNTIFS('История отказов'!$F$5:F995,"ЭВН",'История отказов'!$AE$5:AE995,'История отказов'!AE995)=1,'История отказов'!F995="ЭВН"),991,""))</f>
        <v/>
      </c>
      <c r="DF992">
        <f>IF('История отказов'!AE995="","",IF(AND(COUNTIF($CX$2:$CX$2,'История отказов'!AE995)=0,COUNTIFS('История отказов'!$F$5:F995,"ШВН",'История отказов'!$AE$5:AE995,'История отказов'!AE995)=1,'История отказов'!F995="ШВН"),991,""))</f>
        <v/>
      </c>
      <c r="DG992">
        <f>IF('История отказов'!AE995="","",IF(AND(COUNTIF($CW$2:$CW$2,'История отказов'!AE995)=0,COUNTIFS('История отказов'!$F$5:F995,"НПУ-ВД",'История отказов'!$AE$5:AE995,'История отказов'!AE995)=1,'История отказов'!F995="НПУ-ВД"),991,""))</f>
        <v/>
      </c>
      <c r="DH992">
        <f>IF('История отказов'!AE995="","",IF(AND(COUNTIF($CY$2:$CY$6,'История отказов'!AE995)=0,COUNTIF('История отказов'!$AE$5:AE995,'История отказов'!AE995)=1),991,""))</f>
        <v/>
      </c>
      <c r="DI992">
        <f>IF('История отказов'!AK995="","",IF(AND(COUNTIF($CL$2:$CL$3,'История отказов'!AK995)=0,COUNTIF('История отказов'!$AK$5:AK995,'История отказов'!AK995)=1),991,""))</f>
        <v/>
      </c>
      <c r="DJ992">
        <f>IF('История отказов'!AU995="","",IF(AND(COUNTIF($CP$2:$CP$3,'История отказов'!AU995)=0,COUNTIF('История отказов'!$AU$5:AU995,'История отказов'!AU995)=1),991,""))</f>
        <v/>
      </c>
      <c r="DK992">
        <f>IF('История отказов'!AY995="","",IF(AND(COUNTIF($CR$2:$CR$2,'История отказов'!AY995)=0,COUNTIF('История отказов'!$AY$5:AY995,'История отказов'!AY995)=1),991,""))</f>
        <v/>
      </c>
      <c r="DL992">
        <f>IF(DB992="","",IF(AND(COUNTIF($DA$2:$DA$47,DB992)=0,COUNTIF($DB$2:DB992,DB992)=1),991,""))</f>
        <v/>
      </c>
    </row>
    <row r="993">
      <c r="A993" s="74" t="n"/>
      <c r="B993" s="75" t="n"/>
      <c r="C993" s="76" t="n"/>
      <c r="DB993">
        <f>IF('История отказов'!AH996="","",'История отказов'!AH996)</f>
        <v/>
      </c>
      <c r="DC993">
        <f>IF('История отказов'!AE996="","",IF(AND(COUNTIF($CT$2:$CT$2,'История отказов'!AE996)=0,COUNTIFS('История отказов'!$F$5:F996,"ШГН",'История отказов'!$AE$5:AE996,'История отказов'!AE996)=1,'История отказов'!F996="ШГН"),992,""))</f>
        <v/>
      </c>
      <c r="DD993">
        <f>IF('История отказов'!AE996="","",IF(AND(COUNTIF($CU$2:$CU$3,'История отказов'!AE996)=0,COUNTIFS('История отказов'!$F$5:F996,"ЭЦН",'История отказов'!$AE$5:AE996,'История отказов'!AE996)=1,'История отказов'!F996="ЭЦН"),992,""))</f>
        <v/>
      </c>
      <c r="DE993">
        <f>IF('История отказов'!AE996="","",IF(AND(COUNTIF($CV$2:$CV$3,'История отказов'!AE996)=0,COUNTIFS('История отказов'!$F$5:F996,"ЭВН",'История отказов'!$AE$5:AE996,'История отказов'!AE996)=1,'История отказов'!F996="ЭВН"),992,""))</f>
        <v/>
      </c>
      <c r="DF993">
        <f>IF('История отказов'!AE996="","",IF(AND(COUNTIF($CX$2:$CX$2,'История отказов'!AE996)=0,COUNTIFS('История отказов'!$F$5:F996,"ШВН",'История отказов'!$AE$5:AE996,'История отказов'!AE996)=1,'История отказов'!F996="ШВН"),992,""))</f>
        <v/>
      </c>
      <c r="DG993">
        <f>IF('История отказов'!AE996="","",IF(AND(COUNTIF($CW$2:$CW$2,'История отказов'!AE996)=0,COUNTIFS('История отказов'!$F$5:F996,"НПУ-ВД",'История отказов'!$AE$5:AE996,'История отказов'!AE996)=1,'История отказов'!F996="НПУ-ВД"),992,""))</f>
        <v/>
      </c>
      <c r="DH993">
        <f>IF('История отказов'!AE996="","",IF(AND(COUNTIF($CY$2:$CY$6,'История отказов'!AE996)=0,COUNTIF('История отказов'!$AE$5:AE996,'История отказов'!AE996)=1),992,""))</f>
        <v/>
      </c>
      <c r="DI993">
        <f>IF('История отказов'!AK996="","",IF(AND(COUNTIF($CL$2:$CL$3,'История отказов'!AK996)=0,COUNTIF('История отказов'!$AK$5:AK996,'История отказов'!AK996)=1),992,""))</f>
        <v/>
      </c>
      <c r="DJ993">
        <f>IF('История отказов'!AU996="","",IF(AND(COUNTIF($CP$2:$CP$3,'История отказов'!AU996)=0,COUNTIF('История отказов'!$AU$5:AU996,'История отказов'!AU996)=1),992,""))</f>
        <v/>
      </c>
      <c r="DK993">
        <f>IF('История отказов'!AY996="","",IF(AND(COUNTIF($CR$2:$CR$2,'История отказов'!AY996)=0,COUNTIF('История отказов'!$AY$5:AY996,'История отказов'!AY996)=1),992,""))</f>
        <v/>
      </c>
      <c r="DL993">
        <f>IF(DB993="","",IF(AND(COUNTIF($DA$2:$DA$47,DB993)=0,COUNTIF($DB$2:DB993,DB993)=1),992,""))</f>
        <v/>
      </c>
    </row>
    <row r="994">
      <c r="A994" s="74" t="n"/>
      <c r="B994" s="75" t="n"/>
      <c r="C994" s="76" t="n"/>
      <c r="DB994">
        <f>IF('История отказов'!AH997="","",'История отказов'!AH997)</f>
        <v/>
      </c>
      <c r="DC994">
        <f>IF('История отказов'!AE997="","",IF(AND(COUNTIF($CT$2:$CT$2,'История отказов'!AE997)=0,COUNTIFS('История отказов'!$F$5:F997,"ШГН",'История отказов'!$AE$5:AE997,'История отказов'!AE997)=1,'История отказов'!F997="ШГН"),993,""))</f>
        <v/>
      </c>
      <c r="DD994">
        <f>IF('История отказов'!AE997="","",IF(AND(COUNTIF($CU$2:$CU$3,'История отказов'!AE997)=0,COUNTIFS('История отказов'!$F$5:F997,"ЭЦН",'История отказов'!$AE$5:AE997,'История отказов'!AE997)=1,'История отказов'!F997="ЭЦН"),993,""))</f>
        <v/>
      </c>
      <c r="DE994">
        <f>IF('История отказов'!AE997="","",IF(AND(COUNTIF($CV$2:$CV$3,'История отказов'!AE997)=0,COUNTIFS('История отказов'!$F$5:F997,"ЭВН",'История отказов'!$AE$5:AE997,'История отказов'!AE997)=1,'История отказов'!F997="ЭВН"),993,""))</f>
        <v/>
      </c>
      <c r="DF994">
        <f>IF('История отказов'!AE997="","",IF(AND(COUNTIF($CX$2:$CX$2,'История отказов'!AE997)=0,COUNTIFS('История отказов'!$F$5:F997,"ШВН",'История отказов'!$AE$5:AE997,'История отказов'!AE997)=1,'История отказов'!F997="ШВН"),993,""))</f>
        <v/>
      </c>
      <c r="DG994">
        <f>IF('История отказов'!AE997="","",IF(AND(COUNTIF($CW$2:$CW$2,'История отказов'!AE997)=0,COUNTIFS('История отказов'!$F$5:F997,"НПУ-ВД",'История отказов'!$AE$5:AE997,'История отказов'!AE997)=1,'История отказов'!F997="НПУ-ВД"),993,""))</f>
        <v/>
      </c>
      <c r="DH994">
        <f>IF('История отказов'!AE997="","",IF(AND(COUNTIF($CY$2:$CY$6,'История отказов'!AE997)=0,COUNTIF('История отказов'!$AE$5:AE997,'История отказов'!AE997)=1),993,""))</f>
        <v/>
      </c>
      <c r="DI994">
        <f>IF('История отказов'!AK997="","",IF(AND(COUNTIF($CL$2:$CL$3,'История отказов'!AK997)=0,COUNTIF('История отказов'!$AK$5:AK997,'История отказов'!AK997)=1),993,""))</f>
        <v/>
      </c>
      <c r="DJ994">
        <f>IF('История отказов'!AU997="","",IF(AND(COUNTIF($CP$2:$CP$3,'История отказов'!AU997)=0,COUNTIF('История отказов'!$AU$5:AU997,'История отказов'!AU997)=1),993,""))</f>
        <v/>
      </c>
      <c r="DK994">
        <f>IF('История отказов'!AY997="","",IF(AND(COUNTIF($CR$2:$CR$2,'История отказов'!AY997)=0,COUNTIF('История отказов'!$AY$5:AY997,'История отказов'!AY997)=1),993,""))</f>
        <v/>
      </c>
      <c r="DL994">
        <f>IF(DB994="","",IF(AND(COUNTIF($DA$2:$DA$47,DB994)=0,COUNTIF($DB$2:DB994,DB994)=1),993,""))</f>
        <v/>
      </c>
    </row>
    <row r="995">
      <c r="A995" s="74" t="n"/>
      <c r="B995" s="75" t="n"/>
      <c r="C995" s="76" t="n"/>
      <c r="DB995">
        <f>IF('История отказов'!AH998="","",'История отказов'!AH998)</f>
        <v/>
      </c>
      <c r="DC995">
        <f>IF('История отказов'!AE998="","",IF(AND(COUNTIF($CT$2:$CT$2,'История отказов'!AE998)=0,COUNTIFS('История отказов'!$F$5:F998,"ШГН",'История отказов'!$AE$5:AE998,'История отказов'!AE998)=1,'История отказов'!F998="ШГН"),994,""))</f>
        <v/>
      </c>
      <c r="DD995">
        <f>IF('История отказов'!AE998="","",IF(AND(COUNTIF($CU$2:$CU$3,'История отказов'!AE998)=0,COUNTIFS('История отказов'!$F$5:F998,"ЭЦН",'История отказов'!$AE$5:AE998,'История отказов'!AE998)=1,'История отказов'!F998="ЭЦН"),994,""))</f>
        <v/>
      </c>
      <c r="DE995">
        <f>IF('История отказов'!AE998="","",IF(AND(COUNTIF($CV$2:$CV$3,'История отказов'!AE998)=0,COUNTIFS('История отказов'!$F$5:F998,"ЭВН",'История отказов'!$AE$5:AE998,'История отказов'!AE998)=1,'История отказов'!F998="ЭВН"),994,""))</f>
        <v/>
      </c>
      <c r="DF995">
        <f>IF('История отказов'!AE998="","",IF(AND(COUNTIF($CX$2:$CX$2,'История отказов'!AE998)=0,COUNTIFS('История отказов'!$F$5:F998,"ШВН",'История отказов'!$AE$5:AE998,'История отказов'!AE998)=1,'История отказов'!F998="ШВН"),994,""))</f>
        <v/>
      </c>
      <c r="DG995">
        <f>IF('История отказов'!AE998="","",IF(AND(COUNTIF($CW$2:$CW$2,'История отказов'!AE998)=0,COUNTIFS('История отказов'!$F$5:F998,"НПУ-ВД",'История отказов'!$AE$5:AE998,'История отказов'!AE998)=1,'История отказов'!F998="НПУ-ВД"),994,""))</f>
        <v/>
      </c>
      <c r="DH995">
        <f>IF('История отказов'!AE998="","",IF(AND(COUNTIF($CY$2:$CY$6,'История отказов'!AE998)=0,COUNTIF('История отказов'!$AE$5:AE998,'История отказов'!AE998)=1),994,""))</f>
        <v/>
      </c>
      <c r="DI995">
        <f>IF('История отказов'!AK998="","",IF(AND(COUNTIF($CL$2:$CL$3,'История отказов'!AK998)=0,COUNTIF('История отказов'!$AK$5:AK998,'История отказов'!AK998)=1),994,""))</f>
        <v/>
      </c>
      <c r="DJ995">
        <f>IF('История отказов'!AU998="","",IF(AND(COUNTIF($CP$2:$CP$3,'История отказов'!AU998)=0,COUNTIF('История отказов'!$AU$5:AU998,'История отказов'!AU998)=1),994,""))</f>
        <v/>
      </c>
      <c r="DK995">
        <f>IF('История отказов'!AY998="","",IF(AND(COUNTIF($CR$2:$CR$2,'История отказов'!AY998)=0,COUNTIF('История отказов'!$AY$5:AY998,'История отказов'!AY998)=1),994,""))</f>
        <v/>
      </c>
      <c r="DL995">
        <f>IF(DB995="","",IF(AND(COUNTIF($DA$2:$DA$47,DB995)=0,COUNTIF($DB$2:DB995,DB995)=1),994,""))</f>
        <v/>
      </c>
    </row>
    <row r="996">
      <c r="A996" s="74" t="n"/>
      <c r="B996" s="75" t="n"/>
      <c r="C996" s="76" t="n"/>
      <c r="DB996">
        <f>IF('История отказов'!AH999="","",'История отказов'!AH999)</f>
        <v/>
      </c>
      <c r="DC996">
        <f>IF('История отказов'!AE999="","",IF(AND(COUNTIF($CT$2:$CT$2,'История отказов'!AE999)=0,COUNTIFS('История отказов'!$F$5:F999,"ШГН",'История отказов'!$AE$5:AE999,'История отказов'!AE999)=1,'История отказов'!F999="ШГН"),995,""))</f>
        <v/>
      </c>
      <c r="DD996">
        <f>IF('История отказов'!AE999="","",IF(AND(COUNTIF($CU$2:$CU$3,'История отказов'!AE999)=0,COUNTIFS('История отказов'!$F$5:F999,"ЭЦН",'История отказов'!$AE$5:AE999,'История отказов'!AE999)=1,'История отказов'!F999="ЭЦН"),995,""))</f>
        <v/>
      </c>
      <c r="DE996">
        <f>IF('История отказов'!AE999="","",IF(AND(COUNTIF($CV$2:$CV$3,'История отказов'!AE999)=0,COUNTIFS('История отказов'!$F$5:F999,"ЭВН",'История отказов'!$AE$5:AE999,'История отказов'!AE999)=1,'История отказов'!F999="ЭВН"),995,""))</f>
        <v/>
      </c>
      <c r="DF996">
        <f>IF('История отказов'!AE999="","",IF(AND(COUNTIF($CX$2:$CX$2,'История отказов'!AE999)=0,COUNTIFS('История отказов'!$F$5:F999,"ШВН",'История отказов'!$AE$5:AE999,'История отказов'!AE999)=1,'История отказов'!F999="ШВН"),995,""))</f>
        <v/>
      </c>
      <c r="DG996">
        <f>IF('История отказов'!AE999="","",IF(AND(COUNTIF($CW$2:$CW$2,'История отказов'!AE999)=0,COUNTIFS('История отказов'!$F$5:F999,"НПУ-ВД",'История отказов'!$AE$5:AE999,'История отказов'!AE999)=1,'История отказов'!F999="НПУ-ВД"),995,""))</f>
        <v/>
      </c>
      <c r="DH996">
        <f>IF('История отказов'!AE999="","",IF(AND(COUNTIF($CY$2:$CY$6,'История отказов'!AE999)=0,COUNTIF('История отказов'!$AE$5:AE999,'История отказов'!AE999)=1),995,""))</f>
        <v/>
      </c>
      <c r="DI996">
        <f>IF('История отказов'!AK999="","",IF(AND(COUNTIF($CL$2:$CL$3,'История отказов'!AK999)=0,COUNTIF('История отказов'!$AK$5:AK999,'История отказов'!AK999)=1),995,""))</f>
        <v/>
      </c>
      <c r="DJ996">
        <f>IF('История отказов'!AU999="","",IF(AND(COUNTIF($CP$2:$CP$3,'История отказов'!AU999)=0,COUNTIF('История отказов'!$AU$5:AU999,'История отказов'!AU999)=1),995,""))</f>
        <v/>
      </c>
      <c r="DK996">
        <f>IF('История отказов'!AY999="","",IF(AND(COUNTIF($CR$2:$CR$2,'История отказов'!AY999)=0,COUNTIF('История отказов'!$AY$5:AY999,'История отказов'!AY999)=1),995,""))</f>
        <v/>
      </c>
      <c r="DL996">
        <f>IF(DB996="","",IF(AND(COUNTIF($DA$2:$DA$47,DB996)=0,COUNTIF($DB$2:DB996,DB996)=1),995,""))</f>
        <v/>
      </c>
    </row>
    <row r="997">
      <c r="A997" s="74" t="n"/>
      <c r="B997" s="75" t="n"/>
      <c r="C997" s="76" t="n"/>
      <c r="DB997">
        <f>IF('История отказов'!AH1000="","",'История отказов'!AH1000)</f>
        <v/>
      </c>
      <c r="DC997">
        <f>IF('История отказов'!AE1000="","",IF(AND(COUNTIF($CT$2:$CT$2,'История отказов'!AE1000)=0,COUNTIFS('История отказов'!$F$5:F1000,"ШГН",'История отказов'!$AE$5:AE1000,'История отказов'!AE1000)=1,'История отказов'!F1000="ШГН"),996,""))</f>
        <v/>
      </c>
      <c r="DD997">
        <f>IF('История отказов'!AE1000="","",IF(AND(COUNTIF($CU$2:$CU$3,'История отказов'!AE1000)=0,COUNTIFS('История отказов'!$F$5:F1000,"ЭЦН",'История отказов'!$AE$5:AE1000,'История отказов'!AE1000)=1,'История отказов'!F1000="ЭЦН"),996,""))</f>
        <v/>
      </c>
      <c r="DE997">
        <f>IF('История отказов'!AE1000="","",IF(AND(COUNTIF($CV$2:$CV$3,'История отказов'!AE1000)=0,COUNTIFS('История отказов'!$F$5:F1000,"ЭВН",'История отказов'!$AE$5:AE1000,'История отказов'!AE1000)=1,'История отказов'!F1000="ЭВН"),996,""))</f>
        <v/>
      </c>
      <c r="DF997">
        <f>IF('История отказов'!AE1000="","",IF(AND(COUNTIF($CX$2:$CX$2,'История отказов'!AE1000)=0,COUNTIFS('История отказов'!$F$5:F1000,"ШВН",'История отказов'!$AE$5:AE1000,'История отказов'!AE1000)=1,'История отказов'!F1000="ШВН"),996,""))</f>
        <v/>
      </c>
      <c r="DG997">
        <f>IF('История отказов'!AE1000="","",IF(AND(COUNTIF($CW$2:$CW$2,'История отказов'!AE1000)=0,COUNTIFS('История отказов'!$F$5:F1000,"НПУ-ВД",'История отказов'!$AE$5:AE1000,'История отказов'!AE1000)=1,'История отказов'!F1000="НПУ-ВД"),996,""))</f>
        <v/>
      </c>
      <c r="DH997">
        <f>IF('История отказов'!AE1000="","",IF(AND(COUNTIF($CY$2:$CY$6,'История отказов'!AE1000)=0,COUNTIF('История отказов'!$AE$5:AE1000,'История отказов'!AE1000)=1),996,""))</f>
        <v/>
      </c>
      <c r="DI997">
        <f>IF('История отказов'!AK1000="","",IF(AND(COUNTIF($CL$2:$CL$3,'История отказов'!AK1000)=0,COUNTIF('История отказов'!$AK$5:AK1000,'История отказов'!AK1000)=1),996,""))</f>
        <v/>
      </c>
      <c r="DJ997">
        <f>IF('История отказов'!AU1000="","",IF(AND(COUNTIF($CP$2:$CP$3,'История отказов'!AU1000)=0,COUNTIF('История отказов'!$AU$5:AU1000,'История отказов'!AU1000)=1),996,""))</f>
        <v/>
      </c>
      <c r="DK997">
        <f>IF('История отказов'!AY1000="","",IF(AND(COUNTIF($CR$2:$CR$2,'История отказов'!AY1000)=0,COUNTIF('История отказов'!$AY$5:AY1000,'История отказов'!AY1000)=1),996,""))</f>
        <v/>
      </c>
      <c r="DL997">
        <f>IF(DB997="","",IF(AND(COUNTIF($DA$2:$DA$47,DB997)=0,COUNTIF($DB$2:DB997,DB997)=1),996,""))</f>
        <v/>
      </c>
    </row>
    <row r="998">
      <c r="A998" s="74" t="n"/>
      <c r="B998" s="75" t="n"/>
      <c r="C998" s="76" t="n"/>
      <c r="DB998">
        <f>IF('История отказов'!AH1001="","",'История отказов'!AH1001)</f>
        <v/>
      </c>
      <c r="DC998">
        <f>IF('История отказов'!AE1001="","",IF(AND(COUNTIF($CT$2:$CT$2,'История отказов'!AE1001)=0,COUNTIFS('История отказов'!$F$5:F1001,"ШГН",'История отказов'!$AE$5:AE1001,'История отказов'!AE1001)=1,'История отказов'!F1001="ШГН"),997,""))</f>
        <v/>
      </c>
      <c r="DD998">
        <f>IF('История отказов'!AE1001="","",IF(AND(COUNTIF($CU$2:$CU$3,'История отказов'!AE1001)=0,COUNTIFS('История отказов'!$F$5:F1001,"ЭЦН",'История отказов'!$AE$5:AE1001,'История отказов'!AE1001)=1,'История отказов'!F1001="ЭЦН"),997,""))</f>
        <v/>
      </c>
      <c r="DE998">
        <f>IF('История отказов'!AE1001="","",IF(AND(COUNTIF($CV$2:$CV$3,'История отказов'!AE1001)=0,COUNTIFS('История отказов'!$F$5:F1001,"ЭВН",'История отказов'!$AE$5:AE1001,'История отказов'!AE1001)=1,'История отказов'!F1001="ЭВН"),997,""))</f>
        <v/>
      </c>
      <c r="DF998">
        <f>IF('История отказов'!AE1001="","",IF(AND(COUNTIF($CX$2:$CX$2,'История отказов'!AE1001)=0,COUNTIFS('История отказов'!$F$5:F1001,"ШВН",'История отказов'!$AE$5:AE1001,'История отказов'!AE1001)=1,'История отказов'!F1001="ШВН"),997,""))</f>
        <v/>
      </c>
      <c r="DG998">
        <f>IF('История отказов'!AE1001="","",IF(AND(COUNTIF($CW$2:$CW$2,'История отказов'!AE1001)=0,COUNTIFS('История отказов'!$F$5:F1001,"НПУ-ВД",'История отказов'!$AE$5:AE1001,'История отказов'!AE1001)=1,'История отказов'!F1001="НПУ-ВД"),997,""))</f>
        <v/>
      </c>
      <c r="DH998">
        <f>IF('История отказов'!AE1001="","",IF(AND(COUNTIF($CY$2:$CY$6,'История отказов'!AE1001)=0,COUNTIF('История отказов'!$AE$5:AE1001,'История отказов'!AE1001)=1),997,""))</f>
        <v/>
      </c>
      <c r="DI998">
        <f>IF('История отказов'!AK1001="","",IF(AND(COUNTIF($CL$2:$CL$3,'История отказов'!AK1001)=0,COUNTIF('История отказов'!$AK$5:AK1001,'История отказов'!AK1001)=1),997,""))</f>
        <v/>
      </c>
      <c r="DJ998">
        <f>IF('История отказов'!AU1001="","",IF(AND(COUNTIF($CP$2:$CP$3,'История отказов'!AU1001)=0,COUNTIF('История отказов'!$AU$5:AU1001,'История отказов'!AU1001)=1),997,""))</f>
        <v/>
      </c>
      <c r="DK998">
        <f>IF('История отказов'!AY1001="","",IF(AND(COUNTIF($CR$2:$CR$2,'История отказов'!AY1001)=0,COUNTIF('История отказов'!$AY$5:AY1001,'История отказов'!AY1001)=1),997,""))</f>
        <v/>
      </c>
      <c r="DL998">
        <f>IF(DB998="","",IF(AND(COUNTIF($DA$2:$DA$47,DB998)=0,COUNTIF($DB$2:DB998,DB998)=1),997,""))</f>
        <v/>
      </c>
    </row>
    <row r="999">
      <c r="A999" s="74" t="n"/>
      <c r="B999" s="75" t="n"/>
      <c r="C999" s="76" t="n"/>
      <c r="DB999">
        <f>IF('История отказов'!AH1002="","",'История отказов'!AH1002)</f>
        <v/>
      </c>
      <c r="DC999">
        <f>IF('История отказов'!AE1002="","",IF(AND(COUNTIF($CT$2:$CT$2,'История отказов'!AE1002)=0,COUNTIFS('История отказов'!$F$5:F1002,"ШГН",'История отказов'!$AE$5:AE1002,'История отказов'!AE1002)=1,'История отказов'!F1002="ШГН"),998,""))</f>
        <v/>
      </c>
      <c r="DD999">
        <f>IF('История отказов'!AE1002="","",IF(AND(COUNTIF($CU$2:$CU$3,'История отказов'!AE1002)=0,COUNTIFS('История отказов'!$F$5:F1002,"ЭЦН",'История отказов'!$AE$5:AE1002,'История отказов'!AE1002)=1,'История отказов'!F1002="ЭЦН"),998,""))</f>
        <v/>
      </c>
      <c r="DE999">
        <f>IF('История отказов'!AE1002="","",IF(AND(COUNTIF($CV$2:$CV$3,'История отказов'!AE1002)=0,COUNTIFS('История отказов'!$F$5:F1002,"ЭВН",'История отказов'!$AE$5:AE1002,'История отказов'!AE1002)=1,'История отказов'!F1002="ЭВН"),998,""))</f>
        <v/>
      </c>
      <c r="DF999">
        <f>IF('История отказов'!AE1002="","",IF(AND(COUNTIF($CX$2:$CX$2,'История отказов'!AE1002)=0,COUNTIFS('История отказов'!$F$5:F1002,"ШВН",'История отказов'!$AE$5:AE1002,'История отказов'!AE1002)=1,'История отказов'!F1002="ШВН"),998,""))</f>
        <v/>
      </c>
      <c r="DG999">
        <f>IF('История отказов'!AE1002="","",IF(AND(COUNTIF($CW$2:$CW$2,'История отказов'!AE1002)=0,COUNTIFS('История отказов'!$F$5:F1002,"НПУ-ВД",'История отказов'!$AE$5:AE1002,'История отказов'!AE1002)=1,'История отказов'!F1002="НПУ-ВД"),998,""))</f>
        <v/>
      </c>
      <c r="DH999">
        <f>IF('История отказов'!AE1002="","",IF(AND(COUNTIF($CY$2:$CY$6,'История отказов'!AE1002)=0,COUNTIF('История отказов'!$AE$5:AE1002,'История отказов'!AE1002)=1),998,""))</f>
        <v/>
      </c>
      <c r="DI999">
        <f>IF('История отказов'!AK1002="","",IF(AND(COUNTIF($CL$2:$CL$3,'История отказов'!AK1002)=0,COUNTIF('История отказов'!$AK$5:AK1002,'История отказов'!AK1002)=1),998,""))</f>
        <v/>
      </c>
      <c r="DJ999">
        <f>IF('История отказов'!AU1002="","",IF(AND(COUNTIF($CP$2:$CP$3,'История отказов'!AU1002)=0,COUNTIF('История отказов'!$AU$5:AU1002,'История отказов'!AU1002)=1),998,""))</f>
        <v/>
      </c>
      <c r="DK999">
        <f>IF('История отказов'!AY1002="","",IF(AND(COUNTIF($CR$2:$CR$2,'История отказов'!AY1002)=0,COUNTIF('История отказов'!$AY$5:AY1002,'История отказов'!AY1002)=1),998,""))</f>
        <v/>
      </c>
      <c r="DL999">
        <f>IF(DB999="","",IF(AND(COUNTIF($DA$2:$DA$47,DB999)=0,COUNTIF($DB$2:DB999,DB999)=1),998,""))</f>
        <v/>
      </c>
    </row>
    <row r="1000">
      <c r="A1000" s="74" t="n"/>
      <c r="B1000" s="75" t="n"/>
      <c r="C1000" s="76" t="n"/>
      <c r="DB1000">
        <f>IF('История отказов'!AH1003="","",'История отказов'!AH1003)</f>
        <v/>
      </c>
      <c r="DC1000">
        <f>IF('История отказов'!AE1003="","",IF(AND(COUNTIF($CT$2:$CT$2,'История отказов'!AE1003)=0,COUNTIFS('История отказов'!$F$5:F1003,"ШГН",'История отказов'!$AE$5:AE1003,'История отказов'!AE1003)=1,'История отказов'!F1003="ШГН"),999,""))</f>
        <v/>
      </c>
      <c r="DD1000">
        <f>IF('История отказов'!AE1003="","",IF(AND(COUNTIF($CU$2:$CU$3,'История отказов'!AE1003)=0,COUNTIFS('История отказов'!$F$5:F1003,"ЭЦН",'История отказов'!$AE$5:AE1003,'История отказов'!AE1003)=1,'История отказов'!F1003="ЭЦН"),999,""))</f>
        <v/>
      </c>
      <c r="DE1000">
        <f>IF('История отказов'!AE1003="","",IF(AND(COUNTIF($CV$2:$CV$3,'История отказов'!AE1003)=0,COUNTIFS('История отказов'!$F$5:F1003,"ЭВН",'История отказов'!$AE$5:AE1003,'История отказов'!AE1003)=1,'История отказов'!F1003="ЭВН"),999,""))</f>
        <v/>
      </c>
      <c r="DF1000">
        <f>IF('История отказов'!AE1003="","",IF(AND(COUNTIF($CX$2:$CX$2,'История отказов'!AE1003)=0,COUNTIFS('История отказов'!$F$5:F1003,"ШВН",'История отказов'!$AE$5:AE1003,'История отказов'!AE1003)=1,'История отказов'!F1003="ШВН"),999,""))</f>
        <v/>
      </c>
      <c r="DG1000">
        <f>IF('История отказов'!AE1003="","",IF(AND(COUNTIF($CW$2:$CW$2,'История отказов'!AE1003)=0,COUNTIFS('История отказов'!$F$5:F1003,"НПУ-ВД",'История отказов'!$AE$5:AE1003,'История отказов'!AE1003)=1,'История отказов'!F1003="НПУ-ВД"),999,""))</f>
        <v/>
      </c>
      <c r="DH1000">
        <f>IF('История отказов'!AE1003="","",IF(AND(COUNTIF($CY$2:$CY$6,'История отказов'!AE1003)=0,COUNTIF('История отказов'!$AE$5:AE1003,'История отказов'!AE1003)=1),999,""))</f>
        <v/>
      </c>
      <c r="DI1000">
        <f>IF('История отказов'!AK1003="","",IF(AND(COUNTIF($CL$2:$CL$3,'История отказов'!AK1003)=0,COUNTIF('История отказов'!$AK$5:AK1003,'История отказов'!AK1003)=1),999,""))</f>
        <v/>
      </c>
      <c r="DJ1000">
        <f>IF('История отказов'!AU1003="","",IF(AND(COUNTIF($CP$2:$CP$3,'История отказов'!AU1003)=0,COUNTIF('История отказов'!$AU$5:AU1003,'История отказов'!AU1003)=1),999,""))</f>
        <v/>
      </c>
      <c r="DK1000">
        <f>IF('История отказов'!AY1003="","",IF(AND(COUNTIF($CR$2:$CR$2,'История отказов'!AY1003)=0,COUNTIF('История отказов'!$AY$5:AY1003,'История отказов'!AY1003)=1),999,""))</f>
        <v/>
      </c>
      <c r="DL1000">
        <f>IF(DB1000="","",IF(AND(COUNTIF($DA$2:$DA$47,DB1000)=0,COUNTIF($DB$2:DB1000,DB1000)=1),999,""))</f>
        <v/>
      </c>
    </row>
    <row r="1001">
      <c r="A1001" s="74" t="n"/>
      <c r="B1001" s="75" t="n"/>
      <c r="C1001" s="76" t="n"/>
      <c r="DB1001">
        <f>IF('История отказов'!AH1004="","",'История отказов'!AH1004)</f>
        <v/>
      </c>
      <c r="DC1001">
        <f>IF('История отказов'!AE1004="","",IF(AND(COUNTIF($CT$2:$CT$2,'История отказов'!AE1004)=0,COUNTIFS('История отказов'!$F$5:F1004,"ШГН",'История отказов'!$AE$5:AE1004,'История отказов'!AE1004)=1,'История отказов'!F1004="ШГН"),1000,""))</f>
        <v/>
      </c>
      <c r="DD1001">
        <f>IF('История отказов'!AE1004="","",IF(AND(COUNTIF($CU$2:$CU$3,'История отказов'!AE1004)=0,COUNTIFS('История отказов'!$F$5:F1004,"ЭЦН",'История отказов'!$AE$5:AE1004,'История отказов'!AE1004)=1,'История отказов'!F1004="ЭЦН"),1000,""))</f>
        <v/>
      </c>
      <c r="DE1001">
        <f>IF('История отказов'!AE1004="","",IF(AND(COUNTIF($CV$2:$CV$3,'История отказов'!AE1004)=0,COUNTIFS('История отказов'!$F$5:F1004,"ЭВН",'История отказов'!$AE$5:AE1004,'История отказов'!AE1004)=1,'История отказов'!F1004="ЭВН"),1000,""))</f>
        <v/>
      </c>
      <c r="DF1001">
        <f>IF('История отказов'!AE1004="","",IF(AND(COUNTIF($CX$2:$CX$2,'История отказов'!AE1004)=0,COUNTIFS('История отказов'!$F$5:F1004,"ШВН",'История отказов'!$AE$5:AE1004,'История отказов'!AE1004)=1,'История отказов'!F1004="ШВН"),1000,""))</f>
        <v/>
      </c>
      <c r="DG1001">
        <f>IF('История отказов'!AE1004="","",IF(AND(COUNTIF($CW$2:$CW$2,'История отказов'!AE1004)=0,COUNTIFS('История отказов'!$F$5:F1004,"НПУ-ВД",'История отказов'!$AE$5:AE1004,'История отказов'!AE1004)=1,'История отказов'!F1004="НПУ-ВД"),1000,""))</f>
        <v/>
      </c>
      <c r="DH1001">
        <f>IF('История отказов'!AE1004="","",IF(AND(COUNTIF($CY$2:$CY$6,'История отказов'!AE1004)=0,COUNTIF('История отказов'!$AE$5:AE1004,'История отказов'!AE1004)=1),1000,""))</f>
        <v/>
      </c>
      <c r="DI1001">
        <f>IF('История отказов'!AK1004="","",IF(AND(COUNTIF($CL$2:$CL$3,'История отказов'!AK1004)=0,COUNTIF('История отказов'!$AK$5:AK1004,'История отказов'!AK1004)=1),1000,""))</f>
        <v/>
      </c>
      <c r="DJ1001">
        <f>IF('История отказов'!AU1004="","",IF(AND(COUNTIF($CP$2:$CP$3,'История отказов'!AU1004)=0,COUNTIF('История отказов'!$AU$5:AU1004,'История отказов'!AU1004)=1),1000,""))</f>
        <v/>
      </c>
      <c r="DK1001">
        <f>IF('История отказов'!AY1004="","",IF(AND(COUNTIF($CR$2:$CR$2,'История отказов'!AY1004)=0,COUNTIF('История отказов'!$AY$5:AY1004,'История отказов'!AY1004)=1),1000,""))</f>
        <v/>
      </c>
      <c r="DL1001">
        <f>IF(DB1001="","",IF(AND(COUNTIF($DA$2:$DA$47,DB1001)=0,COUNTIF($DB$2:DB1001,DB1001)=1),1000,""))</f>
        <v/>
      </c>
    </row>
    <row r="1002">
      <c r="A1002" s="74" t="n"/>
      <c r="B1002" s="75" t="n"/>
      <c r="C1002" s="76" t="n"/>
      <c r="DB1002">
        <f>IF('История отказов'!AH1005="","",'История отказов'!AH1005)</f>
        <v/>
      </c>
      <c r="DC1002">
        <f>IF('История отказов'!AE1005="","",IF(AND(COUNTIF($CT$2:$CT$2,'История отказов'!AE1005)=0,COUNTIFS('История отказов'!$F$5:F1005,"ШГН",'История отказов'!$AE$5:AE1005,'История отказов'!AE1005)=1,'История отказов'!F1005="ШГН"),1001,""))</f>
        <v/>
      </c>
      <c r="DD1002">
        <f>IF('История отказов'!AE1005="","",IF(AND(COUNTIF($CU$2:$CU$3,'История отказов'!AE1005)=0,COUNTIFS('История отказов'!$F$5:F1005,"ЭЦН",'История отказов'!$AE$5:AE1005,'История отказов'!AE1005)=1,'История отказов'!F1005="ЭЦН"),1001,""))</f>
        <v/>
      </c>
      <c r="DE1002">
        <f>IF('История отказов'!AE1005="","",IF(AND(COUNTIF($CV$2:$CV$3,'История отказов'!AE1005)=0,COUNTIFS('История отказов'!$F$5:F1005,"ЭВН",'История отказов'!$AE$5:AE1005,'История отказов'!AE1005)=1,'История отказов'!F1005="ЭВН"),1001,""))</f>
        <v/>
      </c>
      <c r="DF1002">
        <f>IF('История отказов'!AE1005="","",IF(AND(COUNTIF($CX$2:$CX$2,'История отказов'!AE1005)=0,COUNTIFS('История отказов'!$F$5:F1005,"ШВН",'История отказов'!$AE$5:AE1005,'История отказов'!AE1005)=1,'История отказов'!F1005="ШВН"),1001,""))</f>
        <v/>
      </c>
      <c r="DG1002">
        <f>IF('История отказов'!AE1005="","",IF(AND(COUNTIF($CW$2:$CW$2,'История отказов'!AE1005)=0,COUNTIFS('История отказов'!$F$5:F1005,"НПУ-ВД",'История отказов'!$AE$5:AE1005,'История отказов'!AE1005)=1,'История отказов'!F1005="НПУ-ВД"),1001,""))</f>
        <v/>
      </c>
      <c r="DH1002">
        <f>IF('История отказов'!AE1005="","",IF(AND(COUNTIF($CY$2:$CY$6,'История отказов'!AE1005)=0,COUNTIF('История отказов'!$AE$5:AE1005,'История отказов'!AE1005)=1),1001,""))</f>
        <v/>
      </c>
      <c r="DI1002">
        <f>IF('История отказов'!AK1005="","",IF(AND(COUNTIF($CL$2:$CL$3,'История отказов'!AK1005)=0,COUNTIF('История отказов'!$AK$5:AK1005,'История отказов'!AK1005)=1),1001,""))</f>
        <v/>
      </c>
      <c r="DJ1002">
        <f>IF('История отказов'!AU1005="","",IF(AND(COUNTIF($CP$2:$CP$3,'История отказов'!AU1005)=0,COUNTIF('История отказов'!$AU$5:AU1005,'История отказов'!AU1005)=1),1001,""))</f>
        <v/>
      </c>
      <c r="DK1002">
        <f>IF('История отказов'!AY1005="","",IF(AND(COUNTIF($CR$2:$CR$2,'История отказов'!AY1005)=0,COUNTIF('История отказов'!$AY$5:AY1005,'История отказов'!AY1005)=1),1001,""))</f>
        <v/>
      </c>
      <c r="DL1002">
        <f>IF(DB1002="","",IF(AND(COUNTIF($DA$2:$DA$47,DB1002)=0,COUNTIF($DB$2:DB1002,DB1002)=1),1001,""))</f>
        <v/>
      </c>
    </row>
    <row r="1003">
      <c r="A1003" s="74" t="n"/>
      <c r="B1003" s="75" t="n"/>
      <c r="C1003" s="76" t="n"/>
      <c r="DB1003">
        <f>IF('История отказов'!AH1006="","",'История отказов'!AH1006)</f>
        <v/>
      </c>
      <c r="DC1003">
        <f>IF('История отказов'!AE1006="","",IF(AND(COUNTIF($CT$2:$CT$2,'История отказов'!AE1006)=0,COUNTIFS('История отказов'!$F$5:F1006,"ШГН",'История отказов'!$AE$5:AE1006,'История отказов'!AE1006)=1,'История отказов'!F1006="ШГН"),1002,""))</f>
        <v/>
      </c>
      <c r="DD1003">
        <f>IF('История отказов'!AE1006="","",IF(AND(COUNTIF($CU$2:$CU$3,'История отказов'!AE1006)=0,COUNTIFS('История отказов'!$F$5:F1006,"ЭЦН",'История отказов'!$AE$5:AE1006,'История отказов'!AE1006)=1,'История отказов'!F1006="ЭЦН"),1002,""))</f>
        <v/>
      </c>
      <c r="DE1003">
        <f>IF('История отказов'!AE1006="","",IF(AND(COUNTIF($CV$2:$CV$3,'История отказов'!AE1006)=0,COUNTIFS('История отказов'!$F$5:F1006,"ЭВН",'История отказов'!$AE$5:AE1006,'История отказов'!AE1006)=1,'История отказов'!F1006="ЭВН"),1002,""))</f>
        <v/>
      </c>
      <c r="DF1003">
        <f>IF('История отказов'!AE1006="","",IF(AND(COUNTIF($CX$2:$CX$2,'История отказов'!AE1006)=0,COUNTIFS('История отказов'!$F$5:F1006,"ШВН",'История отказов'!$AE$5:AE1006,'История отказов'!AE1006)=1,'История отказов'!F1006="ШВН"),1002,""))</f>
        <v/>
      </c>
      <c r="DG1003">
        <f>IF('История отказов'!AE1006="","",IF(AND(COUNTIF($CW$2:$CW$2,'История отказов'!AE1006)=0,COUNTIFS('История отказов'!$F$5:F1006,"НПУ-ВД",'История отказов'!$AE$5:AE1006,'История отказов'!AE1006)=1,'История отказов'!F1006="НПУ-ВД"),1002,""))</f>
        <v/>
      </c>
      <c r="DH1003">
        <f>IF('История отказов'!AE1006="","",IF(AND(COUNTIF($CY$2:$CY$6,'История отказов'!AE1006)=0,COUNTIF('История отказов'!$AE$5:AE1006,'История отказов'!AE1006)=1),1002,""))</f>
        <v/>
      </c>
      <c r="DI1003">
        <f>IF('История отказов'!AK1006="","",IF(AND(COUNTIF($CL$2:$CL$3,'История отказов'!AK1006)=0,COUNTIF('История отказов'!$AK$5:AK1006,'История отказов'!AK1006)=1),1002,""))</f>
        <v/>
      </c>
      <c r="DJ1003">
        <f>IF('История отказов'!AU1006="","",IF(AND(COUNTIF($CP$2:$CP$3,'История отказов'!AU1006)=0,COUNTIF('История отказов'!$AU$5:AU1006,'История отказов'!AU1006)=1),1002,""))</f>
        <v/>
      </c>
      <c r="DK1003">
        <f>IF('История отказов'!AY1006="","",IF(AND(COUNTIF($CR$2:$CR$2,'История отказов'!AY1006)=0,COUNTIF('История отказов'!$AY$5:AY1006,'История отказов'!AY1006)=1),1002,""))</f>
        <v/>
      </c>
      <c r="DL1003">
        <f>IF(DB1003="","",IF(AND(COUNTIF($DA$2:$DA$47,DB1003)=0,COUNTIF($DB$2:DB1003,DB1003)=1),1002,""))</f>
        <v/>
      </c>
    </row>
    <row r="1004">
      <c r="A1004" s="74" t="n"/>
      <c r="B1004" s="75" t="n"/>
      <c r="C1004" s="76" t="n"/>
      <c r="DB1004">
        <f>IF('История отказов'!AH1007="","",'История отказов'!AH1007)</f>
        <v/>
      </c>
      <c r="DC1004">
        <f>IF('История отказов'!AE1007="","",IF(AND(COUNTIF($CT$2:$CT$2,'История отказов'!AE1007)=0,COUNTIFS('История отказов'!$F$5:F1007,"ШГН",'История отказов'!$AE$5:AE1007,'История отказов'!AE1007)=1,'История отказов'!F1007="ШГН"),1003,""))</f>
        <v/>
      </c>
      <c r="DD1004">
        <f>IF('История отказов'!AE1007="","",IF(AND(COUNTIF($CU$2:$CU$3,'История отказов'!AE1007)=0,COUNTIFS('История отказов'!$F$5:F1007,"ЭЦН",'История отказов'!$AE$5:AE1007,'История отказов'!AE1007)=1,'История отказов'!F1007="ЭЦН"),1003,""))</f>
        <v/>
      </c>
      <c r="DE1004">
        <f>IF('История отказов'!AE1007="","",IF(AND(COUNTIF($CV$2:$CV$3,'История отказов'!AE1007)=0,COUNTIFS('История отказов'!$F$5:F1007,"ЭВН",'История отказов'!$AE$5:AE1007,'История отказов'!AE1007)=1,'История отказов'!F1007="ЭВН"),1003,""))</f>
        <v/>
      </c>
      <c r="DF1004">
        <f>IF('История отказов'!AE1007="","",IF(AND(COUNTIF($CX$2:$CX$2,'История отказов'!AE1007)=0,COUNTIFS('История отказов'!$F$5:F1007,"ШВН",'История отказов'!$AE$5:AE1007,'История отказов'!AE1007)=1,'История отказов'!F1007="ШВН"),1003,""))</f>
        <v/>
      </c>
      <c r="DG1004">
        <f>IF('История отказов'!AE1007="","",IF(AND(COUNTIF($CW$2:$CW$2,'История отказов'!AE1007)=0,COUNTIFS('История отказов'!$F$5:F1007,"НПУ-ВД",'История отказов'!$AE$5:AE1007,'История отказов'!AE1007)=1,'История отказов'!F1007="НПУ-ВД"),1003,""))</f>
        <v/>
      </c>
      <c r="DH1004">
        <f>IF('История отказов'!AE1007="","",IF(AND(COUNTIF($CY$2:$CY$6,'История отказов'!AE1007)=0,COUNTIF('История отказов'!$AE$5:AE1007,'История отказов'!AE1007)=1),1003,""))</f>
        <v/>
      </c>
      <c r="DI1004">
        <f>IF('История отказов'!AK1007="","",IF(AND(COUNTIF($CL$2:$CL$3,'История отказов'!AK1007)=0,COUNTIF('История отказов'!$AK$5:AK1007,'История отказов'!AK1007)=1),1003,""))</f>
        <v/>
      </c>
      <c r="DJ1004">
        <f>IF('История отказов'!AU1007="","",IF(AND(COUNTIF($CP$2:$CP$3,'История отказов'!AU1007)=0,COUNTIF('История отказов'!$AU$5:AU1007,'История отказов'!AU1007)=1),1003,""))</f>
        <v/>
      </c>
      <c r="DK1004">
        <f>IF('История отказов'!AY1007="","",IF(AND(COUNTIF($CR$2:$CR$2,'История отказов'!AY1007)=0,COUNTIF('История отказов'!$AY$5:AY1007,'История отказов'!AY1007)=1),1003,""))</f>
        <v/>
      </c>
      <c r="DL1004">
        <f>IF(DB1004="","",IF(AND(COUNTIF($DA$2:$DA$47,DB1004)=0,COUNTIF($DB$2:DB1004,DB1004)=1),1003,""))</f>
        <v/>
      </c>
    </row>
    <row r="1005">
      <c r="A1005" s="74" t="n"/>
      <c r="B1005" s="75" t="n"/>
      <c r="C1005" s="76" t="n"/>
      <c r="DB1005">
        <f>IF('История отказов'!AH1008="","",'История отказов'!AH1008)</f>
        <v/>
      </c>
      <c r="DC1005">
        <f>IF('История отказов'!AE1008="","",IF(AND(COUNTIF($CT$2:$CT$2,'История отказов'!AE1008)=0,COUNTIFS('История отказов'!$F$5:F1008,"ШГН",'История отказов'!$AE$5:AE1008,'История отказов'!AE1008)=1,'История отказов'!F1008="ШГН"),1004,""))</f>
        <v/>
      </c>
      <c r="DD1005">
        <f>IF('История отказов'!AE1008="","",IF(AND(COUNTIF($CU$2:$CU$3,'История отказов'!AE1008)=0,COUNTIFS('История отказов'!$F$5:F1008,"ЭЦН",'История отказов'!$AE$5:AE1008,'История отказов'!AE1008)=1,'История отказов'!F1008="ЭЦН"),1004,""))</f>
        <v/>
      </c>
      <c r="DE1005">
        <f>IF('История отказов'!AE1008="","",IF(AND(COUNTIF($CV$2:$CV$3,'История отказов'!AE1008)=0,COUNTIFS('История отказов'!$F$5:F1008,"ЭВН",'История отказов'!$AE$5:AE1008,'История отказов'!AE1008)=1,'История отказов'!F1008="ЭВН"),1004,""))</f>
        <v/>
      </c>
      <c r="DF1005">
        <f>IF('История отказов'!AE1008="","",IF(AND(COUNTIF($CX$2:$CX$2,'История отказов'!AE1008)=0,COUNTIFS('История отказов'!$F$5:F1008,"ШВН",'История отказов'!$AE$5:AE1008,'История отказов'!AE1008)=1,'История отказов'!F1008="ШВН"),1004,""))</f>
        <v/>
      </c>
      <c r="DG1005">
        <f>IF('История отказов'!AE1008="","",IF(AND(COUNTIF($CW$2:$CW$2,'История отказов'!AE1008)=0,COUNTIFS('История отказов'!$F$5:F1008,"НПУ-ВД",'История отказов'!$AE$5:AE1008,'История отказов'!AE1008)=1,'История отказов'!F1008="НПУ-ВД"),1004,""))</f>
        <v/>
      </c>
      <c r="DH1005">
        <f>IF('История отказов'!AE1008="","",IF(AND(COUNTIF($CY$2:$CY$6,'История отказов'!AE1008)=0,COUNTIF('История отказов'!$AE$5:AE1008,'История отказов'!AE1008)=1),1004,""))</f>
        <v/>
      </c>
      <c r="DI1005">
        <f>IF('История отказов'!AK1008="","",IF(AND(COUNTIF($CL$2:$CL$3,'История отказов'!AK1008)=0,COUNTIF('История отказов'!$AK$5:AK1008,'История отказов'!AK1008)=1),1004,""))</f>
        <v/>
      </c>
      <c r="DJ1005">
        <f>IF('История отказов'!AU1008="","",IF(AND(COUNTIF($CP$2:$CP$3,'История отказов'!AU1008)=0,COUNTIF('История отказов'!$AU$5:AU1008,'История отказов'!AU1008)=1),1004,""))</f>
        <v/>
      </c>
      <c r="DK1005">
        <f>IF('История отказов'!AY1008="","",IF(AND(COUNTIF($CR$2:$CR$2,'История отказов'!AY1008)=0,COUNTIF('История отказов'!$AY$5:AY1008,'История отказов'!AY1008)=1),1004,""))</f>
        <v/>
      </c>
      <c r="DL1005">
        <f>IF(DB1005="","",IF(AND(COUNTIF($DA$2:$DA$47,DB1005)=0,COUNTIF($DB$2:DB1005,DB1005)=1),1004,""))</f>
        <v/>
      </c>
    </row>
    <row r="1006">
      <c r="A1006" s="74" t="n"/>
      <c r="B1006" s="75" t="n"/>
      <c r="C1006" s="76" t="n"/>
      <c r="DB1006">
        <f>IF('История отказов'!AH1009="","",'История отказов'!AH1009)</f>
        <v/>
      </c>
      <c r="DC1006">
        <f>IF('История отказов'!AE1009="","",IF(AND(COUNTIF($CT$2:$CT$2,'История отказов'!AE1009)=0,COUNTIFS('История отказов'!$F$5:F1009,"ШГН",'История отказов'!$AE$5:AE1009,'История отказов'!AE1009)=1,'История отказов'!F1009="ШГН"),1005,""))</f>
        <v/>
      </c>
      <c r="DD1006">
        <f>IF('История отказов'!AE1009="","",IF(AND(COUNTIF($CU$2:$CU$3,'История отказов'!AE1009)=0,COUNTIFS('История отказов'!$F$5:F1009,"ЭЦН",'История отказов'!$AE$5:AE1009,'История отказов'!AE1009)=1,'История отказов'!F1009="ЭЦН"),1005,""))</f>
        <v/>
      </c>
      <c r="DE1006">
        <f>IF('История отказов'!AE1009="","",IF(AND(COUNTIF($CV$2:$CV$3,'История отказов'!AE1009)=0,COUNTIFS('История отказов'!$F$5:F1009,"ЭВН",'История отказов'!$AE$5:AE1009,'История отказов'!AE1009)=1,'История отказов'!F1009="ЭВН"),1005,""))</f>
        <v/>
      </c>
      <c r="DF1006">
        <f>IF('История отказов'!AE1009="","",IF(AND(COUNTIF($CX$2:$CX$2,'История отказов'!AE1009)=0,COUNTIFS('История отказов'!$F$5:F1009,"ШВН",'История отказов'!$AE$5:AE1009,'История отказов'!AE1009)=1,'История отказов'!F1009="ШВН"),1005,""))</f>
        <v/>
      </c>
      <c r="DG1006">
        <f>IF('История отказов'!AE1009="","",IF(AND(COUNTIF($CW$2:$CW$2,'История отказов'!AE1009)=0,COUNTIFS('История отказов'!$F$5:F1009,"НПУ-ВД",'История отказов'!$AE$5:AE1009,'История отказов'!AE1009)=1,'История отказов'!F1009="НПУ-ВД"),1005,""))</f>
        <v/>
      </c>
      <c r="DH1006">
        <f>IF('История отказов'!AE1009="","",IF(AND(COUNTIF($CY$2:$CY$6,'История отказов'!AE1009)=0,COUNTIF('История отказов'!$AE$5:AE1009,'История отказов'!AE1009)=1),1005,""))</f>
        <v/>
      </c>
      <c r="DI1006">
        <f>IF('История отказов'!AK1009="","",IF(AND(COUNTIF($CL$2:$CL$3,'История отказов'!AK1009)=0,COUNTIF('История отказов'!$AK$5:AK1009,'История отказов'!AK1009)=1),1005,""))</f>
        <v/>
      </c>
      <c r="DJ1006">
        <f>IF('История отказов'!AU1009="","",IF(AND(COUNTIF($CP$2:$CP$3,'История отказов'!AU1009)=0,COUNTIF('История отказов'!$AU$5:AU1009,'История отказов'!AU1009)=1),1005,""))</f>
        <v/>
      </c>
      <c r="DK1006">
        <f>IF('История отказов'!AY1009="","",IF(AND(COUNTIF($CR$2:$CR$2,'История отказов'!AY1009)=0,COUNTIF('История отказов'!$AY$5:AY1009,'История отказов'!AY1009)=1),1005,""))</f>
        <v/>
      </c>
      <c r="DL1006">
        <f>IF(DB1006="","",IF(AND(COUNTIF($DA$2:$DA$47,DB1006)=0,COUNTIF($DB$2:DB1006,DB1006)=1),1005,""))</f>
        <v/>
      </c>
    </row>
    <row r="1007">
      <c r="A1007" s="74" t="n"/>
      <c r="B1007" s="75" t="n"/>
      <c r="C1007" s="76" t="n"/>
      <c r="DB1007">
        <f>IF('История отказов'!AH1010="","",'История отказов'!AH1010)</f>
        <v/>
      </c>
      <c r="DC1007">
        <f>IF('История отказов'!AE1010="","",IF(AND(COUNTIF($CT$2:$CT$2,'История отказов'!AE1010)=0,COUNTIFS('История отказов'!$F$5:F1010,"ШГН",'История отказов'!$AE$5:AE1010,'История отказов'!AE1010)=1,'История отказов'!F1010="ШГН"),1006,""))</f>
        <v/>
      </c>
      <c r="DD1007">
        <f>IF('История отказов'!AE1010="","",IF(AND(COUNTIF($CU$2:$CU$3,'История отказов'!AE1010)=0,COUNTIFS('История отказов'!$F$5:F1010,"ЭЦН",'История отказов'!$AE$5:AE1010,'История отказов'!AE1010)=1,'История отказов'!F1010="ЭЦН"),1006,""))</f>
        <v/>
      </c>
      <c r="DE1007">
        <f>IF('История отказов'!AE1010="","",IF(AND(COUNTIF($CV$2:$CV$3,'История отказов'!AE1010)=0,COUNTIFS('История отказов'!$F$5:F1010,"ЭВН",'История отказов'!$AE$5:AE1010,'История отказов'!AE1010)=1,'История отказов'!F1010="ЭВН"),1006,""))</f>
        <v/>
      </c>
      <c r="DF1007">
        <f>IF('История отказов'!AE1010="","",IF(AND(COUNTIF($CX$2:$CX$2,'История отказов'!AE1010)=0,COUNTIFS('История отказов'!$F$5:F1010,"ШВН",'История отказов'!$AE$5:AE1010,'История отказов'!AE1010)=1,'История отказов'!F1010="ШВН"),1006,""))</f>
        <v/>
      </c>
      <c r="DG1007">
        <f>IF('История отказов'!AE1010="","",IF(AND(COUNTIF($CW$2:$CW$2,'История отказов'!AE1010)=0,COUNTIFS('История отказов'!$F$5:F1010,"НПУ-ВД",'История отказов'!$AE$5:AE1010,'История отказов'!AE1010)=1,'История отказов'!F1010="НПУ-ВД"),1006,""))</f>
        <v/>
      </c>
      <c r="DH1007">
        <f>IF('История отказов'!AE1010="","",IF(AND(COUNTIF($CY$2:$CY$6,'История отказов'!AE1010)=0,COUNTIF('История отказов'!$AE$5:AE1010,'История отказов'!AE1010)=1),1006,""))</f>
        <v/>
      </c>
      <c r="DI1007">
        <f>IF('История отказов'!AK1010="","",IF(AND(COUNTIF($CL$2:$CL$3,'История отказов'!AK1010)=0,COUNTIF('История отказов'!$AK$5:AK1010,'История отказов'!AK1010)=1),1006,""))</f>
        <v/>
      </c>
      <c r="DJ1007">
        <f>IF('История отказов'!AU1010="","",IF(AND(COUNTIF($CP$2:$CP$3,'История отказов'!AU1010)=0,COUNTIF('История отказов'!$AU$5:AU1010,'История отказов'!AU1010)=1),1006,""))</f>
        <v/>
      </c>
      <c r="DK1007">
        <f>IF('История отказов'!AY1010="","",IF(AND(COUNTIF($CR$2:$CR$2,'История отказов'!AY1010)=0,COUNTIF('История отказов'!$AY$5:AY1010,'История отказов'!AY1010)=1),1006,""))</f>
        <v/>
      </c>
      <c r="DL1007">
        <f>IF(DB1007="","",IF(AND(COUNTIF($DA$2:$DA$47,DB1007)=0,COUNTIF($DB$2:DB1007,DB1007)=1),1006,""))</f>
        <v/>
      </c>
    </row>
    <row r="1008">
      <c r="A1008" s="74" t="n"/>
      <c r="B1008" s="75" t="n"/>
      <c r="C1008" s="76" t="n"/>
      <c r="DB1008">
        <f>IF('История отказов'!AH1011="","",'История отказов'!AH1011)</f>
        <v/>
      </c>
      <c r="DC1008">
        <f>IF('История отказов'!AE1011="","",IF(AND(COUNTIF($CT$2:$CT$2,'История отказов'!AE1011)=0,COUNTIFS('История отказов'!$F$5:F1011,"ШГН",'История отказов'!$AE$5:AE1011,'История отказов'!AE1011)=1,'История отказов'!F1011="ШГН"),1007,""))</f>
        <v/>
      </c>
      <c r="DD1008">
        <f>IF('История отказов'!AE1011="","",IF(AND(COUNTIF($CU$2:$CU$3,'История отказов'!AE1011)=0,COUNTIFS('История отказов'!$F$5:F1011,"ЭЦН",'История отказов'!$AE$5:AE1011,'История отказов'!AE1011)=1,'История отказов'!F1011="ЭЦН"),1007,""))</f>
        <v/>
      </c>
      <c r="DE1008">
        <f>IF('История отказов'!AE1011="","",IF(AND(COUNTIF($CV$2:$CV$3,'История отказов'!AE1011)=0,COUNTIFS('История отказов'!$F$5:F1011,"ЭВН",'История отказов'!$AE$5:AE1011,'История отказов'!AE1011)=1,'История отказов'!F1011="ЭВН"),1007,""))</f>
        <v/>
      </c>
      <c r="DF1008">
        <f>IF('История отказов'!AE1011="","",IF(AND(COUNTIF($CX$2:$CX$2,'История отказов'!AE1011)=0,COUNTIFS('История отказов'!$F$5:F1011,"ШВН",'История отказов'!$AE$5:AE1011,'История отказов'!AE1011)=1,'История отказов'!F1011="ШВН"),1007,""))</f>
        <v/>
      </c>
      <c r="DG1008">
        <f>IF('История отказов'!AE1011="","",IF(AND(COUNTIF($CW$2:$CW$2,'История отказов'!AE1011)=0,COUNTIFS('История отказов'!$F$5:F1011,"НПУ-ВД",'История отказов'!$AE$5:AE1011,'История отказов'!AE1011)=1,'История отказов'!F1011="НПУ-ВД"),1007,""))</f>
        <v/>
      </c>
      <c r="DH1008">
        <f>IF('История отказов'!AE1011="","",IF(AND(COUNTIF($CY$2:$CY$6,'История отказов'!AE1011)=0,COUNTIF('История отказов'!$AE$5:AE1011,'История отказов'!AE1011)=1),1007,""))</f>
        <v/>
      </c>
      <c r="DI1008">
        <f>IF('История отказов'!AK1011="","",IF(AND(COUNTIF($CL$2:$CL$3,'История отказов'!AK1011)=0,COUNTIF('История отказов'!$AK$5:AK1011,'История отказов'!AK1011)=1),1007,""))</f>
        <v/>
      </c>
      <c r="DJ1008">
        <f>IF('История отказов'!AU1011="","",IF(AND(COUNTIF($CP$2:$CP$3,'История отказов'!AU1011)=0,COUNTIF('История отказов'!$AU$5:AU1011,'История отказов'!AU1011)=1),1007,""))</f>
        <v/>
      </c>
      <c r="DK1008">
        <f>IF('История отказов'!AY1011="","",IF(AND(COUNTIF($CR$2:$CR$2,'История отказов'!AY1011)=0,COUNTIF('История отказов'!$AY$5:AY1011,'История отказов'!AY1011)=1),1007,""))</f>
        <v/>
      </c>
      <c r="DL1008">
        <f>IF(DB1008="","",IF(AND(COUNTIF($DA$2:$DA$47,DB1008)=0,COUNTIF($DB$2:DB1008,DB1008)=1),1007,""))</f>
        <v/>
      </c>
    </row>
    <row r="1009">
      <c r="A1009" s="74" t="n"/>
      <c r="B1009" s="75" t="n"/>
      <c r="C1009" s="76" t="n"/>
      <c r="DB1009">
        <f>IF('История отказов'!AH1012="","",'История отказов'!AH1012)</f>
        <v/>
      </c>
      <c r="DC1009">
        <f>IF('История отказов'!AE1012="","",IF(AND(COUNTIF($CT$2:$CT$2,'История отказов'!AE1012)=0,COUNTIFS('История отказов'!$F$5:F1012,"ШГН",'История отказов'!$AE$5:AE1012,'История отказов'!AE1012)=1,'История отказов'!F1012="ШГН"),1008,""))</f>
        <v/>
      </c>
      <c r="DD1009">
        <f>IF('История отказов'!AE1012="","",IF(AND(COUNTIF($CU$2:$CU$3,'История отказов'!AE1012)=0,COUNTIFS('История отказов'!$F$5:F1012,"ЭЦН",'История отказов'!$AE$5:AE1012,'История отказов'!AE1012)=1,'История отказов'!F1012="ЭЦН"),1008,""))</f>
        <v/>
      </c>
      <c r="DE1009">
        <f>IF('История отказов'!AE1012="","",IF(AND(COUNTIF($CV$2:$CV$3,'История отказов'!AE1012)=0,COUNTIFS('История отказов'!$F$5:F1012,"ЭВН",'История отказов'!$AE$5:AE1012,'История отказов'!AE1012)=1,'История отказов'!F1012="ЭВН"),1008,""))</f>
        <v/>
      </c>
      <c r="DF1009">
        <f>IF('История отказов'!AE1012="","",IF(AND(COUNTIF($CX$2:$CX$2,'История отказов'!AE1012)=0,COUNTIFS('История отказов'!$F$5:F1012,"ШВН",'История отказов'!$AE$5:AE1012,'История отказов'!AE1012)=1,'История отказов'!F1012="ШВН"),1008,""))</f>
        <v/>
      </c>
      <c r="DG1009">
        <f>IF('История отказов'!AE1012="","",IF(AND(COUNTIF($CW$2:$CW$2,'История отказов'!AE1012)=0,COUNTIFS('История отказов'!$F$5:F1012,"НПУ-ВД",'История отказов'!$AE$5:AE1012,'История отказов'!AE1012)=1,'История отказов'!F1012="НПУ-ВД"),1008,""))</f>
        <v/>
      </c>
      <c r="DH1009">
        <f>IF('История отказов'!AE1012="","",IF(AND(COUNTIF($CY$2:$CY$6,'История отказов'!AE1012)=0,COUNTIF('История отказов'!$AE$5:AE1012,'История отказов'!AE1012)=1),1008,""))</f>
        <v/>
      </c>
      <c r="DI1009">
        <f>IF('История отказов'!AK1012="","",IF(AND(COUNTIF($CL$2:$CL$3,'История отказов'!AK1012)=0,COUNTIF('История отказов'!$AK$5:AK1012,'История отказов'!AK1012)=1),1008,""))</f>
        <v/>
      </c>
      <c r="DJ1009">
        <f>IF('История отказов'!AU1012="","",IF(AND(COUNTIF($CP$2:$CP$3,'История отказов'!AU1012)=0,COUNTIF('История отказов'!$AU$5:AU1012,'История отказов'!AU1012)=1),1008,""))</f>
        <v/>
      </c>
      <c r="DK1009">
        <f>IF('История отказов'!AY1012="","",IF(AND(COUNTIF($CR$2:$CR$2,'История отказов'!AY1012)=0,COUNTIF('История отказов'!$AY$5:AY1012,'История отказов'!AY1012)=1),1008,""))</f>
        <v/>
      </c>
      <c r="DL1009">
        <f>IF(DB1009="","",IF(AND(COUNTIF($DA$2:$DA$47,DB1009)=0,COUNTIF($DB$2:DB1009,DB1009)=1),1008,""))</f>
        <v/>
      </c>
    </row>
    <row r="1010">
      <c r="A1010" s="74" t="n"/>
      <c r="B1010" s="75" t="n"/>
      <c r="C1010" s="76" t="n"/>
      <c r="DB1010">
        <f>IF('История отказов'!AH1013="","",'История отказов'!AH1013)</f>
        <v/>
      </c>
      <c r="DC1010">
        <f>IF('История отказов'!AE1013="","",IF(AND(COUNTIF($CT$2:$CT$2,'История отказов'!AE1013)=0,COUNTIFS('История отказов'!$F$5:F1013,"ШГН",'История отказов'!$AE$5:AE1013,'История отказов'!AE1013)=1,'История отказов'!F1013="ШГН"),1009,""))</f>
        <v/>
      </c>
      <c r="DD1010">
        <f>IF('История отказов'!AE1013="","",IF(AND(COUNTIF($CU$2:$CU$3,'История отказов'!AE1013)=0,COUNTIFS('История отказов'!$F$5:F1013,"ЭЦН",'История отказов'!$AE$5:AE1013,'История отказов'!AE1013)=1,'История отказов'!F1013="ЭЦН"),1009,""))</f>
        <v/>
      </c>
      <c r="DE1010">
        <f>IF('История отказов'!AE1013="","",IF(AND(COUNTIF($CV$2:$CV$3,'История отказов'!AE1013)=0,COUNTIFS('История отказов'!$F$5:F1013,"ЭВН",'История отказов'!$AE$5:AE1013,'История отказов'!AE1013)=1,'История отказов'!F1013="ЭВН"),1009,""))</f>
        <v/>
      </c>
      <c r="DF1010">
        <f>IF('История отказов'!AE1013="","",IF(AND(COUNTIF($CX$2:$CX$2,'История отказов'!AE1013)=0,COUNTIFS('История отказов'!$F$5:F1013,"ШВН",'История отказов'!$AE$5:AE1013,'История отказов'!AE1013)=1,'История отказов'!F1013="ШВН"),1009,""))</f>
        <v/>
      </c>
      <c r="DG1010">
        <f>IF('История отказов'!AE1013="","",IF(AND(COUNTIF($CW$2:$CW$2,'История отказов'!AE1013)=0,COUNTIFS('История отказов'!$F$5:F1013,"НПУ-ВД",'История отказов'!$AE$5:AE1013,'История отказов'!AE1013)=1,'История отказов'!F1013="НПУ-ВД"),1009,""))</f>
        <v/>
      </c>
      <c r="DH1010">
        <f>IF('История отказов'!AE1013="","",IF(AND(COUNTIF($CY$2:$CY$6,'История отказов'!AE1013)=0,COUNTIF('История отказов'!$AE$5:AE1013,'История отказов'!AE1013)=1),1009,""))</f>
        <v/>
      </c>
      <c r="DI1010">
        <f>IF('История отказов'!AK1013="","",IF(AND(COUNTIF($CL$2:$CL$3,'История отказов'!AK1013)=0,COUNTIF('История отказов'!$AK$5:AK1013,'История отказов'!AK1013)=1),1009,""))</f>
        <v/>
      </c>
      <c r="DJ1010">
        <f>IF('История отказов'!AU1013="","",IF(AND(COUNTIF($CP$2:$CP$3,'История отказов'!AU1013)=0,COUNTIF('История отказов'!$AU$5:AU1013,'История отказов'!AU1013)=1),1009,""))</f>
        <v/>
      </c>
      <c r="DK1010">
        <f>IF('История отказов'!AY1013="","",IF(AND(COUNTIF($CR$2:$CR$2,'История отказов'!AY1013)=0,COUNTIF('История отказов'!$AY$5:AY1013,'История отказов'!AY1013)=1),1009,""))</f>
        <v/>
      </c>
      <c r="DL1010">
        <f>IF(DB1010="","",IF(AND(COUNTIF($DA$2:$DA$47,DB1010)=0,COUNTIF($DB$2:DB1010,DB1010)=1),1009,""))</f>
        <v/>
      </c>
    </row>
    <row r="1011">
      <c r="A1011" s="74" t="n"/>
      <c r="B1011" s="75" t="n"/>
      <c r="C1011" s="76" t="n"/>
      <c r="DB1011">
        <f>IF('История отказов'!AH1014="","",'История отказов'!AH1014)</f>
        <v/>
      </c>
      <c r="DC1011">
        <f>IF('История отказов'!AE1014="","",IF(AND(COUNTIF($CT$2:$CT$2,'История отказов'!AE1014)=0,COUNTIFS('История отказов'!$F$5:F1014,"ШГН",'История отказов'!$AE$5:AE1014,'История отказов'!AE1014)=1,'История отказов'!F1014="ШГН"),1010,""))</f>
        <v/>
      </c>
      <c r="DD1011">
        <f>IF('История отказов'!AE1014="","",IF(AND(COUNTIF($CU$2:$CU$3,'История отказов'!AE1014)=0,COUNTIFS('История отказов'!$F$5:F1014,"ЭЦН",'История отказов'!$AE$5:AE1014,'История отказов'!AE1014)=1,'История отказов'!F1014="ЭЦН"),1010,""))</f>
        <v/>
      </c>
      <c r="DE1011">
        <f>IF('История отказов'!AE1014="","",IF(AND(COUNTIF($CV$2:$CV$3,'История отказов'!AE1014)=0,COUNTIFS('История отказов'!$F$5:F1014,"ЭВН",'История отказов'!$AE$5:AE1014,'История отказов'!AE1014)=1,'История отказов'!F1014="ЭВН"),1010,""))</f>
        <v/>
      </c>
      <c r="DF1011">
        <f>IF('История отказов'!AE1014="","",IF(AND(COUNTIF($CX$2:$CX$2,'История отказов'!AE1014)=0,COUNTIFS('История отказов'!$F$5:F1014,"ШВН",'История отказов'!$AE$5:AE1014,'История отказов'!AE1014)=1,'История отказов'!F1014="ШВН"),1010,""))</f>
        <v/>
      </c>
      <c r="DG1011">
        <f>IF('История отказов'!AE1014="","",IF(AND(COUNTIF($CW$2:$CW$2,'История отказов'!AE1014)=0,COUNTIFS('История отказов'!$F$5:F1014,"НПУ-ВД",'История отказов'!$AE$5:AE1014,'История отказов'!AE1014)=1,'История отказов'!F1014="НПУ-ВД"),1010,""))</f>
        <v/>
      </c>
      <c r="DH1011">
        <f>IF('История отказов'!AE1014="","",IF(AND(COUNTIF($CY$2:$CY$6,'История отказов'!AE1014)=0,COUNTIF('История отказов'!$AE$5:AE1014,'История отказов'!AE1014)=1),1010,""))</f>
        <v/>
      </c>
      <c r="DI1011">
        <f>IF('История отказов'!AK1014="","",IF(AND(COUNTIF($CL$2:$CL$3,'История отказов'!AK1014)=0,COUNTIF('История отказов'!$AK$5:AK1014,'История отказов'!AK1014)=1),1010,""))</f>
        <v/>
      </c>
      <c r="DJ1011">
        <f>IF('История отказов'!AU1014="","",IF(AND(COUNTIF($CP$2:$CP$3,'История отказов'!AU1014)=0,COUNTIF('История отказов'!$AU$5:AU1014,'История отказов'!AU1014)=1),1010,""))</f>
        <v/>
      </c>
      <c r="DK1011">
        <f>IF('История отказов'!AY1014="","",IF(AND(COUNTIF($CR$2:$CR$2,'История отказов'!AY1014)=0,COUNTIF('История отказов'!$AY$5:AY1014,'История отказов'!AY1014)=1),1010,""))</f>
        <v/>
      </c>
      <c r="DL1011">
        <f>IF(DB1011="","",IF(AND(COUNTIF($DA$2:$DA$47,DB1011)=0,COUNTIF($DB$2:DB1011,DB1011)=1),1010,""))</f>
        <v/>
      </c>
    </row>
    <row r="1012">
      <c r="A1012" s="74" t="n"/>
      <c r="B1012" s="75" t="n"/>
      <c r="C1012" s="76" t="n"/>
      <c r="DB1012">
        <f>IF('История отказов'!AH1015="","",'История отказов'!AH1015)</f>
        <v/>
      </c>
      <c r="DC1012">
        <f>IF('История отказов'!AE1015="","",IF(AND(COUNTIF($CT$2:$CT$2,'История отказов'!AE1015)=0,COUNTIFS('История отказов'!$F$5:F1015,"ШГН",'История отказов'!$AE$5:AE1015,'История отказов'!AE1015)=1,'История отказов'!F1015="ШГН"),1011,""))</f>
        <v/>
      </c>
      <c r="DD1012">
        <f>IF('История отказов'!AE1015="","",IF(AND(COUNTIF($CU$2:$CU$3,'История отказов'!AE1015)=0,COUNTIFS('История отказов'!$F$5:F1015,"ЭЦН",'История отказов'!$AE$5:AE1015,'История отказов'!AE1015)=1,'История отказов'!F1015="ЭЦН"),1011,""))</f>
        <v/>
      </c>
      <c r="DE1012">
        <f>IF('История отказов'!AE1015="","",IF(AND(COUNTIF($CV$2:$CV$3,'История отказов'!AE1015)=0,COUNTIFS('История отказов'!$F$5:F1015,"ЭВН",'История отказов'!$AE$5:AE1015,'История отказов'!AE1015)=1,'История отказов'!F1015="ЭВН"),1011,""))</f>
        <v/>
      </c>
      <c r="DF1012">
        <f>IF('История отказов'!AE1015="","",IF(AND(COUNTIF($CX$2:$CX$2,'История отказов'!AE1015)=0,COUNTIFS('История отказов'!$F$5:F1015,"ШВН",'История отказов'!$AE$5:AE1015,'История отказов'!AE1015)=1,'История отказов'!F1015="ШВН"),1011,""))</f>
        <v/>
      </c>
      <c r="DG1012">
        <f>IF('История отказов'!AE1015="","",IF(AND(COUNTIF($CW$2:$CW$2,'История отказов'!AE1015)=0,COUNTIFS('История отказов'!$F$5:F1015,"НПУ-ВД",'История отказов'!$AE$5:AE1015,'История отказов'!AE1015)=1,'История отказов'!F1015="НПУ-ВД"),1011,""))</f>
        <v/>
      </c>
      <c r="DH1012">
        <f>IF('История отказов'!AE1015="","",IF(AND(COUNTIF($CY$2:$CY$6,'История отказов'!AE1015)=0,COUNTIF('История отказов'!$AE$5:AE1015,'История отказов'!AE1015)=1),1011,""))</f>
        <v/>
      </c>
      <c r="DI1012">
        <f>IF('История отказов'!AK1015="","",IF(AND(COUNTIF($CL$2:$CL$3,'История отказов'!AK1015)=0,COUNTIF('История отказов'!$AK$5:AK1015,'История отказов'!AK1015)=1),1011,""))</f>
        <v/>
      </c>
      <c r="DJ1012">
        <f>IF('История отказов'!AU1015="","",IF(AND(COUNTIF($CP$2:$CP$3,'История отказов'!AU1015)=0,COUNTIF('История отказов'!$AU$5:AU1015,'История отказов'!AU1015)=1),1011,""))</f>
        <v/>
      </c>
      <c r="DK1012">
        <f>IF('История отказов'!AY1015="","",IF(AND(COUNTIF($CR$2:$CR$2,'История отказов'!AY1015)=0,COUNTIF('История отказов'!$AY$5:AY1015,'История отказов'!AY1015)=1),1011,""))</f>
        <v/>
      </c>
      <c r="DL1012">
        <f>IF(DB1012="","",IF(AND(COUNTIF($DA$2:$DA$47,DB1012)=0,COUNTIF($DB$2:DB1012,DB1012)=1),1011,""))</f>
        <v/>
      </c>
    </row>
    <row r="1013">
      <c r="A1013" s="74" t="n"/>
      <c r="B1013" s="75" t="n"/>
      <c r="C1013" s="76" t="n"/>
      <c r="DB1013">
        <f>IF('История отказов'!AH1016="","",'История отказов'!AH1016)</f>
        <v/>
      </c>
      <c r="DC1013">
        <f>IF('История отказов'!AE1016="","",IF(AND(COUNTIF($CT$2:$CT$2,'История отказов'!AE1016)=0,COUNTIFS('История отказов'!$F$5:F1016,"ШГН",'История отказов'!$AE$5:AE1016,'История отказов'!AE1016)=1,'История отказов'!F1016="ШГН"),1012,""))</f>
        <v/>
      </c>
      <c r="DD1013">
        <f>IF('История отказов'!AE1016="","",IF(AND(COUNTIF($CU$2:$CU$3,'История отказов'!AE1016)=0,COUNTIFS('История отказов'!$F$5:F1016,"ЭЦН",'История отказов'!$AE$5:AE1016,'История отказов'!AE1016)=1,'История отказов'!F1016="ЭЦН"),1012,""))</f>
        <v/>
      </c>
      <c r="DE1013">
        <f>IF('История отказов'!AE1016="","",IF(AND(COUNTIF($CV$2:$CV$3,'История отказов'!AE1016)=0,COUNTIFS('История отказов'!$F$5:F1016,"ЭВН",'История отказов'!$AE$5:AE1016,'История отказов'!AE1016)=1,'История отказов'!F1016="ЭВН"),1012,""))</f>
        <v/>
      </c>
      <c r="DF1013">
        <f>IF('История отказов'!AE1016="","",IF(AND(COUNTIF($CX$2:$CX$2,'История отказов'!AE1016)=0,COUNTIFS('История отказов'!$F$5:F1016,"ШВН",'История отказов'!$AE$5:AE1016,'История отказов'!AE1016)=1,'История отказов'!F1016="ШВН"),1012,""))</f>
        <v/>
      </c>
      <c r="DG1013">
        <f>IF('История отказов'!AE1016="","",IF(AND(COUNTIF($CW$2:$CW$2,'История отказов'!AE1016)=0,COUNTIFS('История отказов'!$F$5:F1016,"НПУ-ВД",'История отказов'!$AE$5:AE1016,'История отказов'!AE1016)=1,'История отказов'!F1016="НПУ-ВД"),1012,""))</f>
        <v/>
      </c>
      <c r="DH1013">
        <f>IF('История отказов'!AE1016="","",IF(AND(COUNTIF($CY$2:$CY$6,'История отказов'!AE1016)=0,COUNTIF('История отказов'!$AE$5:AE1016,'История отказов'!AE1016)=1),1012,""))</f>
        <v/>
      </c>
      <c r="DI1013">
        <f>IF('История отказов'!AK1016="","",IF(AND(COUNTIF($CL$2:$CL$3,'История отказов'!AK1016)=0,COUNTIF('История отказов'!$AK$5:AK1016,'История отказов'!AK1016)=1),1012,""))</f>
        <v/>
      </c>
      <c r="DJ1013">
        <f>IF('История отказов'!AU1016="","",IF(AND(COUNTIF($CP$2:$CP$3,'История отказов'!AU1016)=0,COUNTIF('История отказов'!$AU$5:AU1016,'История отказов'!AU1016)=1),1012,""))</f>
        <v/>
      </c>
      <c r="DK1013">
        <f>IF('История отказов'!AY1016="","",IF(AND(COUNTIF($CR$2:$CR$2,'История отказов'!AY1016)=0,COUNTIF('История отказов'!$AY$5:AY1016,'История отказов'!AY1016)=1),1012,""))</f>
        <v/>
      </c>
      <c r="DL1013">
        <f>IF(DB1013="","",IF(AND(COUNTIF($DA$2:$DA$47,DB1013)=0,COUNTIF($DB$2:DB1013,DB1013)=1),1012,""))</f>
        <v/>
      </c>
    </row>
    <row r="1014">
      <c r="A1014" s="74" t="n"/>
      <c r="B1014" s="75" t="n"/>
      <c r="C1014" s="76" t="n"/>
      <c r="DB1014">
        <f>IF('История отказов'!AH1017="","",'История отказов'!AH1017)</f>
        <v/>
      </c>
      <c r="DC1014">
        <f>IF('История отказов'!AE1017="","",IF(AND(COUNTIF($CT$2:$CT$2,'История отказов'!AE1017)=0,COUNTIFS('История отказов'!$F$5:F1017,"ШГН",'История отказов'!$AE$5:AE1017,'История отказов'!AE1017)=1,'История отказов'!F1017="ШГН"),1013,""))</f>
        <v/>
      </c>
      <c r="DD1014">
        <f>IF('История отказов'!AE1017="","",IF(AND(COUNTIF($CU$2:$CU$3,'История отказов'!AE1017)=0,COUNTIFS('История отказов'!$F$5:F1017,"ЭЦН",'История отказов'!$AE$5:AE1017,'История отказов'!AE1017)=1,'История отказов'!F1017="ЭЦН"),1013,""))</f>
        <v/>
      </c>
      <c r="DE1014">
        <f>IF('История отказов'!AE1017="","",IF(AND(COUNTIF($CV$2:$CV$3,'История отказов'!AE1017)=0,COUNTIFS('История отказов'!$F$5:F1017,"ЭВН",'История отказов'!$AE$5:AE1017,'История отказов'!AE1017)=1,'История отказов'!F1017="ЭВН"),1013,""))</f>
        <v/>
      </c>
      <c r="DF1014">
        <f>IF('История отказов'!AE1017="","",IF(AND(COUNTIF($CX$2:$CX$2,'История отказов'!AE1017)=0,COUNTIFS('История отказов'!$F$5:F1017,"ШВН",'История отказов'!$AE$5:AE1017,'История отказов'!AE1017)=1,'История отказов'!F1017="ШВН"),1013,""))</f>
        <v/>
      </c>
      <c r="DG1014">
        <f>IF('История отказов'!AE1017="","",IF(AND(COUNTIF($CW$2:$CW$2,'История отказов'!AE1017)=0,COUNTIFS('История отказов'!$F$5:F1017,"НПУ-ВД",'История отказов'!$AE$5:AE1017,'История отказов'!AE1017)=1,'История отказов'!F1017="НПУ-ВД"),1013,""))</f>
        <v/>
      </c>
      <c r="DH1014">
        <f>IF('История отказов'!AE1017="","",IF(AND(COUNTIF($CY$2:$CY$6,'История отказов'!AE1017)=0,COUNTIF('История отказов'!$AE$5:AE1017,'История отказов'!AE1017)=1),1013,""))</f>
        <v/>
      </c>
      <c r="DI1014">
        <f>IF('История отказов'!AK1017="","",IF(AND(COUNTIF($CL$2:$CL$3,'История отказов'!AK1017)=0,COUNTIF('История отказов'!$AK$5:AK1017,'История отказов'!AK1017)=1),1013,""))</f>
        <v/>
      </c>
      <c r="DJ1014">
        <f>IF('История отказов'!AU1017="","",IF(AND(COUNTIF($CP$2:$CP$3,'История отказов'!AU1017)=0,COUNTIF('История отказов'!$AU$5:AU1017,'История отказов'!AU1017)=1),1013,""))</f>
        <v/>
      </c>
      <c r="DK1014">
        <f>IF('История отказов'!AY1017="","",IF(AND(COUNTIF($CR$2:$CR$2,'История отказов'!AY1017)=0,COUNTIF('История отказов'!$AY$5:AY1017,'История отказов'!AY1017)=1),1013,""))</f>
        <v/>
      </c>
      <c r="DL1014">
        <f>IF(DB1014="","",IF(AND(COUNTIF($DA$2:$DA$47,DB1014)=0,COUNTIF($DB$2:DB1014,DB1014)=1),1013,""))</f>
        <v/>
      </c>
    </row>
    <row r="1015">
      <c r="A1015" s="74" t="n"/>
      <c r="B1015" s="75" t="n"/>
      <c r="C1015" s="76" t="n"/>
      <c r="DB1015">
        <f>IF('История отказов'!AH1018="","",'История отказов'!AH1018)</f>
        <v/>
      </c>
      <c r="DC1015">
        <f>IF('История отказов'!AE1018="","",IF(AND(COUNTIF($CT$2:$CT$2,'История отказов'!AE1018)=0,COUNTIFS('История отказов'!$F$5:F1018,"ШГН",'История отказов'!$AE$5:AE1018,'История отказов'!AE1018)=1,'История отказов'!F1018="ШГН"),1014,""))</f>
        <v/>
      </c>
      <c r="DD1015">
        <f>IF('История отказов'!AE1018="","",IF(AND(COUNTIF($CU$2:$CU$3,'История отказов'!AE1018)=0,COUNTIFS('История отказов'!$F$5:F1018,"ЭЦН",'История отказов'!$AE$5:AE1018,'История отказов'!AE1018)=1,'История отказов'!F1018="ЭЦН"),1014,""))</f>
        <v/>
      </c>
      <c r="DE1015">
        <f>IF('История отказов'!AE1018="","",IF(AND(COUNTIF($CV$2:$CV$3,'История отказов'!AE1018)=0,COUNTIFS('История отказов'!$F$5:F1018,"ЭВН",'История отказов'!$AE$5:AE1018,'История отказов'!AE1018)=1,'История отказов'!F1018="ЭВН"),1014,""))</f>
        <v/>
      </c>
      <c r="DF1015">
        <f>IF('История отказов'!AE1018="","",IF(AND(COUNTIF($CX$2:$CX$2,'История отказов'!AE1018)=0,COUNTIFS('История отказов'!$F$5:F1018,"ШВН",'История отказов'!$AE$5:AE1018,'История отказов'!AE1018)=1,'История отказов'!F1018="ШВН"),1014,""))</f>
        <v/>
      </c>
      <c r="DG1015">
        <f>IF('История отказов'!AE1018="","",IF(AND(COUNTIF($CW$2:$CW$2,'История отказов'!AE1018)=0,COUNTIFS('История отказов'!$F$5:F1018,"НПУ-ВД",'История отказов'!$AE$5:AE1018,'История отказов'!AE1018)=1,'История отказов'!F1018="НПУ-ВД"),1014,""))</f>
        <v/>
      </c>
      <c r="DH1015">
        <f>IF('История отказов'!AE1018="","",IF(AND(COUNTIF($CY$2:$CY$6,'История отказов'!AE1018)=0,COUNTIF('История отказов'!$AE$5:AE1018,'История отказов'!AE1018)=1),1014,""))</f>
        <v/>
      </c>
      <c r="DI1015">
        <f>IF('История отказов'!AK1018="","",IF(AND(COUNTIF($CL$2:$CL$3,'История отказов'!AK1018)=0,COUNTIF('История отказов'!$AK$5:AK1018,'История отказов'!AK1018)=1),1014,""))</f>
        <v/>
      </c>
      <c r="DJ1015">
        <f>IF('История отказов'!AU1018="","",IF(AND(COUNTIF($CP$2:$CP$3,'История отказов'!AU1018)=0,COUNTIF('История отказов'!$AU$5:AU1018,'История отказов'!AU1018)=1),1014,""))</f>
        <v/>
      </c>
      <c r="DK1015">
        <f>IF('История отказов'!AY1018="","",IF(AND(COUNTIF($CR$2:$CR$2,'История отказов'!AY1018)=0,COUNTIF('История отказов'!$AY$5:AY1018,'История отказов'!AY1018)=1),1014,""))</f>
        <v/>
      </c>
      <c r="DL1015">
        <f>IF(DB1015="","",IF(AND(COUNTIF($DA$2:$DA$47,DB1015)=0,COUNTIF($DB$2:DB1015,DB1015)=1),1014,""))</f>
        <v/>
      </c>
    </row>
    <row r="1016">
      <c r="A1016" s="74" t="n"/>
      <c r="B1016" s="75" t="n"/>
      <c r="C1016" s="76" t="n"/>
      <c r="DB1016">
        <f>IF('История отказов'!AH1019="","",'История отказов'!AH1019)</f>
        <v/>
      </c>
      <c r="DC1016">
        <f>IF('История отказов'!AE1019="","",IF(AND(COUNTIF($CT$2:$CT$2,'История отказов'!AE1019)=0,COUNTIFS('История отказов'!$F$5:F1019,"ШГН",'История отказов'!$AE$5:AE1019,'История отказов'!AE1019)=1,'История отказов'!F1019="ШГН"),1015,""))</f>
        <v/>
      </c>
      <c r="DD1016">
        <f>IF('История отказов'!AE1019="","",IF(AND(COUNTIF($CU$2:$CU$3,'История отказов'!AE1019)=0,COUNTIFS('История отказов'!$F$5:F1019,"ЭЦН",'История отказов'!$AE$5:AE1019,'История отказов'!AE1019)=1,'История отказов'!F1019="ЭЦН"),1015,""))</f>
        <v/>
      </c>
      <c r="DE1016">
        <f>IF('История отказов'!AE1019="","",IF(AND(COUNTIF($CV$2:$CV$3,'История отказов'!AE1019)=0,COUNTIFS('История отказов'!$F$5:F1019,"ЭВН",'История отказов'!$AE$5:AE1019,'История отказов'!AE1019)=1,'История отказов'!F1019="ЭВН"),1015,""))</f>
        <v/>
      </c>
      <c r="DF1016">
        <f>IF('История отказов'!AE1019="","",IF(AND(COUNTIF($CX$2:$CX$2,'История отказов'!AE1019)=0,COUNTIFS('История отказов'!$F$5:F1019,"ШВН",'История отказов'!$AE$5:AE1019,'История отказов'!AE1019)=1,'История отказов'!F1019="ШВН"),1015,""))</f>
        <v/>
      </c>
      <c r="DG1016">
        <f>IF('История отказов'!AE1019="","",IF(AND(COUNTIF($CW$2:$CW$2,'История отказов'!AE1019)=0,COUNTIFS('История отказов'!$F$5:F1019,"НПУ-ВД",'История отказов'!$AE$5:AE1019,'История отказов'!AE1019)=1,'История отказов'!F1019="НПУ-ВД"),1015,""))</f>
        <v/>
      </c>
      <c r="DH1016">
        <f>IF('История отказов'!AE1019="","",IF(AND(COUNTIF($CY$2:$CY$6,'История отказов'!AE1019)=0,COUNTIF('История отказов'!$AE$5:AE1019,'История отказов'!AE1019)=1),1015,""))</f>
        <v/>
      </c>
      <c r="DI1016">
        <f>IF('История отказов'!AK1019="","",IF(AND(COUNTIF($CL$2:$CL$3,'История отказов'!AK1019)=0,COUNTIF('История отказов'!$AK$5:AK1019,'История отказов'!AK1019)=1),1015,""))</f>
        <v/>
      </c>
      <c r="DJ1016">
        <f>IF('История отказов'!AU1019="","",IF(AND(COUNTIF($CP$2:$CP$3,'История отказов'!AU1019)=0,COUNTIF('История отказов'!$AU$5:AU1019,'История отказов'!AU1019)=1),1015,""))</f>
        <v/>
      </c>
      <c r="DK1016">
        <f>IF('История отказов'!AY1019="","",IF(AND(COUNTIF($CR$2:$CR$2,'История отказов'!AY1019)=0,COUNTIF('История отказов'!$AY$5:AY1019,'История отказов'!AY1019)=1),1015,""))</f>
        <v/>
      </c>
      <c r="DL1016">
        <f>IF(DB1016="","",IF(AND(COUNTIF($DA$2:$DA$47,DB1016)=0,COUNTIF($DB$2:DB1016,DB1016)=1),1015,""))</f>
        <v/>
      </c>
    </row>
    <row r="1017">
      <c r="A1017" s="74" t="n"/>
      <c r="B1017" s="75" t="n"/>
      <c r="C1017" s="76" t="n"/>
      <c r="DB1017">
        <f>IF('История отказов'!AH1020="","",'История отказов'!AH1020)</f>
        <v/>
      </c>
      <c r="DC1017">
        <f>IF('История отказов'!AE1020="","",IF(AND(COUNTIF($CT$2:$CT$2,'История отказов'!AE1020)=0,COUNTIFS('История отказов'!$F$5:F1020,"ШГН",'История отказов'!$AE$5:AE1020,'История отказов'!AE1020)=1,'История отказов'!F1020="ШГН"),1016,""))</f>
        <v/>
      </c>
      <c r="DD1017">
        <f>IF('История отказов'!AE1020="","",IF(AND(COUNTIF($CU$2:$CU$3,'История отказов'!AE1020)=0,COUNTIFS('История отказов'!$F$5:F1020,"ЭЦН",'История отказов'!$AE$5:AE1020,'История отказов'!AE1020)=1,'История отказов'!F1020="ЭЦН"),1016,""))</f>
        <v/>
      </c>
      <c r="DE1017">
        <f>IF('История отказов'!AE1020="","",IF(AND(COUNTIF($CV$2:$CV$3,'История отказов'!AE1020)=0,COUNTIFS('История отказов'!$F$5:F1020,"ЭВН",'История отказов'!$AE$5:AE1020,'История отказов'!AE1020)=1,'История отказов'!F1020="ЭВН"),1016,""))</f>
        <v/>
      </c>
      <c r="DF1017">
        <f>IF('История отказов'!AE1020="","",IF(AND(COUNTIF($CX$2:$CX$2,'История отказов'!AE1020)=0,COUNTIFS('История отказов'!$F$5:F1020,"ШВН",'История отказов'!$AE$5:AE1020,'История отказов'!AE1020)=1,'История отказов'!F1020="ШВН"),1016,""))</f>
        <v/>
      </c>
      <c r="DG1017">
        <f>IF('История отказов'!AE1020="","",IF(AND(COUNTIF($CW$2:$CW$2,'История отказов'!AE1020)=0,COUNTIFS('История отказов'!$F$5:F1020,"НПУ-ВД",'История отказов'!$AE$5:AE1020,'История отказов'!AE1020)=1,'История отказов'!F1020="НПУ-ВД"),1016,""))</f>
        <v/>
      </c>
      <c r="DH1017">
        <f>IF('История отказов'!AE1020="","",IF(AND(COUNTIF($CY$2:$CY$6,'История отказов'!AE1020)=0,COUNTIF('История отказов'!$AE$5:AE1020,'История отказов'!AE1020)=1),1016,""))</f>
        <v/>
      </c>
      <c r="DI1017">
        <f>IF('История отказов'!AK1020="","",IF(AND(COUNTIF($CL$2:$CL$3,'История отказов'!AK1020)=0,COUNTIF('История отказов'!$AK$5:AK1020,'История отказов'!AK1020)=1),1016,""))</f>
        <v/>
      </c>
      <c r="DJ1017">
        <f>IF('История отказов'!AU1020="","",IF(AND(COUNTIF($CP$2:$CP$3,'История отказов'!AU1020)=0,COUNTIF('История отказов'!$AU$5:AU1020,'История отказов'!AU1020)=1),1016,""))</f>
        <v/>
      </c>
      <c r="DK1017">
        <f>IF('История отказов'!AY1020="","",IF(AND(COUNTIF($CR$2:$CR$2,'История отказов'!AY1020)=0,COUNTIF('История отказов'!$AY$5:AY1020,'История отказов'!AY1020)=1),1016,""))</f>
        <v/>
      </c>
      <c r="DL1017">
        <f>IF(DB1017="","",IF(AND(COUNTIF($DA$2:$DA$47,DB1017)=0,COUNTIF($DB$2:DB1017,DB1017)=1),1016,""))</f>
        <v/>
      </c>
    </row>
    <row r="1018">
      <c r="A1018" s="74" t="n"/>
      <c r="B1018" s="75" t="n"/>
      <c r="C1018" s="76" t="n"/>
      <c r="DB1018">
        <f>IF('История отказов'!AH1021="","",'История отказов'!AH1021)</f>
        <v/>
      </c>
      <c r="DC1018">
        <f>IF('История отказов'!AE1021="","",IF(AND(COUNTIF($CT$2:$CT$2,'История отказов'!AE1021)=0,COUNTIFS('История отказов'!$F$5:F1021,"ШГН",'История отказов'!$AE$5:AE1021,'История отказов'!AE1021)=1,'История отказов'!F1021="ШГН"),1017,""))</f>
        <v/>
      </c>
      <c r="DD1018">
        <f>IF('История отказов'!AE1021="","",IF(AND(COUNTIF($CU$2:$CU$3,'История отказов'!AE1021)=0,COUNTIFS('История отказов'!$F$5:F1021,"ЭЦН",'История отказов'!$AE$5:AE1021,'История отказов'!AE1021)=1,'История отказов'!F1021="ЭЦН"),1017,""))</f>
        <v/>
      </c>
      <c r="DE1018">
        <f>IF('История отказов'!AE1021="","",IF(AND(COUNTIF($CV$2:$CV$3,'История отказов'!AE1021)=0,COUNTIFS('История отказов'!$F$5:F1021,"ЭВН",'История отказов'!$AE$5:AE1021,'История отказов'!AE1021)=1,'История отказов'!F1021="ЭВН"),1017,""))</f>
        <v/>
      </c>
      <c r="DF1018">
        <f>IF('История отказов'!AE1021="","",IF(AND(COUNTIF($CX$2:$CX$2,'История отказов'!AE1021)=0,COUNTIFS('История отказов'!$F$5:F1021,"ШВН",'История отказов'!$AE$5:AE1021,'История отказов'!AE1021)=1,'История отказов'!F1021="ШВН"),1017,""))</f>
        <v/>
      </c>
      <c r="DG1018">
        <f>IF('История отказов'!AE1021="","",IF(AND(COUNTIF($CW$2:$CW$2,'История отказов'!AE1021)=0,COUNTIFS('История отказов'!$F$5:F1021,"НПУ-ВД",'История отказов'!$AE$5:AE1021,'История отказов'!AE1021)=1,'История отказов'!F1021="НПУ-ВД"),1017,""))</f>
        <v/>
      </c>
      <c r="DH1018">
        <f>IF('История отказов'!AE1021="","",IF(AND(COUNTIF($CY$2:$CY$6,'История отказов'!AE1021)=0,COUNTIF('История отказов'!$AE$5:AE1021,'История отказов'!AE1021)=1),1017,""))</f>
        <v/>
      </c>
      <c r="DI1018">
        <f>IF('История отказов'!AK1021="","",IF(AND(COUNTIF($CL$2:$CL$3,'История отказов'!AK1021)=0,COUNTIF('История отказов'!$AK$5:AK1021,'История отказов'!AK1021)=1),1017,""))</f>
        <v/>
      </c>
      <c r="DJ1018">
        <f>IF('История отказов'!AU1021="","",IF(AND(COUNTIF($CP$2:$CP$3,'История отказов'!AU1021)=0,COUNTIF('История отказов'!$AU$5:AU1021,'История отказов'!AU1021)=1),1017,""))</f>
        <v/>
      </c>
      <c r="DK1018">
        <f>IF('История отказов'!AY1021="","",IF(AND(COUNTIF($CR$2:$CR$2,'История отказов'!AY1021)=0,COUNTIF('История отказов'!$AY$5:AY1021,'История отказов'!AY1021)=1),1017,""))</f>
        <v/>
      </c>
      <c r="DL1018">
        <f>IF(DB1018="","",IF(AND(COUNTIF($DA$2:$DA$47,DB1018)=0,COUNTIF($DB$2:DB1018,DB1018)=1),1017,""))</f>
        <v/>
      </c>
    </row>
    <row r="1019">
      <c r="A1019" s="74" t="n"/>
      <c r="B1019" s="75" t="n"/>
      <c r="C1019" s="76" t="n"/>
      <c r="DB1019">
        <f>IF('История отказов'!AH1022="","",'История отказов'!AH1022)</f>
        <v/>
      </c>
      <c r="DC1019">
        <f>IF('История отказов'!AE1022="","",IF(AND(COUNTIF($CT$2:$CT$2,'История отказов'!AE1022)=0,COUNTIFS('История отказов'!$F$5:F1022,"ШГН",'История отказов'!$AE$5:AE1022,'История отказов'!AE1022)=1,'История отказов'!F1022="ШГН"),1018,""))</f>
        <v/>
      </c>
      <c r="DD1019">
        <f>IF('История отказов'!AE1022="","",IF(AND(COUNTIF($CU$2:$CU$3,'История отказов'!AE1022)=0,COUNTIFS('История отказов'!$F$5:F1022,"ЭЦН",'История отказов'!$AE$5:AE1022,'История отказов'!AE1022)=1,'История отказов'!F1022="ЭЦН"),1018,""))</f>
        <v/>
      </c>
      <c r="DE1019">
        <f>IF('История отказов'!AE1022="","",IF(AND(COUNTIF($CV$2:$CV$3,'История отказов'!AE1022)=0,COUNTIFS('История отказов'!$F$5:F1022,"ЭВН",'История отказов'!$AE$5:AE1022,'История отказов'!AE1022)=1,'История отказов'!F1022="ЭВН"),1018,""))</f>
        <v/>
      </c>
      <c r="DF1019">
        <f>IF('История отказов'!AE1022="","",IF(AND(COUNTIF($CX$2:$CX$2,'История отказов'!AE1022)=0,COUNTIFS('История отказов'!$F$5:F1022,"ШВН",'История отказов'!$AE$5:AE1022,'История отказов'!AE1022)=1,'История отказов'!F1022="ШВН"),1018,""))</f>
        <v/>
      </c>
      <c r="DG1019">
        <f>IF('История отказов'!AE1022="","",IF(AND(COUNTIF($CW$2:$CW$2,'История отказов'!AE1022)=0,COUNTIFS('История отказов'!$F$5:F1022,"НПУ-ВД",'История отказов'!$AE$5:AE1022,'История отказов'!AE1022)=1,'История отказов'!F1022="НПУ-ВД"),1018,""))</f>
        <v/>
      </c>
      <c r="DH1019">
        <f>IF('История отказов'!AE1022="","",IF(AND(COUNTIF($CY$2:$CY$6,'История отказов'!AE1022)=0,COUNTIF('История отказов'!$AE$5:AE1022,'История отказов'!AE1022)=1),1018,""))</f>
        <v/>
      </c>
      <c r="DI1019">
        <f>IF('История отказов'!AK1022="","",IF(AND(COUNTIF($CL$2:$CL$3,'История отказов'!AK1022)=0,COUNTIF('История отказов'!$AK$5:AK1022,'История отказов'!AK1022)=1),1018,""))</f>
        <v/>
      </c>
      <c r="DJ1019">
        <f>IF('История отказов'!AU1022="","",IF(AND(COUNTIF($CP$2:$CP$3,'История отказов'!AU1022)=0,COUNTIF('История отказов'!$AU$5:AU1022,'История отказов'!AU1022)=1),1018,""))</f>
        <v/>
      </c>
      <c r="DK1019">
        <f>IF('История отказов'!AY1022="","",IF(AND(COUNTIF($CR$2:$CR$2,'История отказов'!AY1022)=0,COUNTIF('История отказов'!$AY$5:AY1022,'История отказов'!AY1022)=1),1018,""))</f>
        <v/>
      </c>
      <c r="DL1019">
        <f>IF(DB1019="","",IF(AND(COUNTIF($DA$2:$DA$47,DB1019)=0,COUNTIF($DB$2:DB1019,DB1019)=1),1018,""))</f>
        <v/>
      </c>
    </row>
    <row r="1020">
      <c r="A1020" s="74" t="n"/>
      <c r="B1020" s="75" t="n"/>
      <c r="C1020" s="76" t="n"/>
      <c r="DB1020">
        <f>IF('История отказов'!AH1023="","",'История отказов'!AH1023)</f>
        <v/>
      </c>
      <c r="DC1020">
        <f>IF('История отказов'!AE1023="","",IF(AND(COUNTIF($CT$2:$CT$2,'История отказов'!AE1023)=0,COUNTIFS('История отказов'!$F$5:F1023,"ШГН",'История отказов'!$AE$5:AE1023,'История отказов'!AE1023)=1,'История отказов'!F1023="ШГН"),1019,""))</f>
        <v/>
      </c>
      <c r="DD1020">
        <f>IF('История отказов'!AE1023="","",IF(AND(COUNTIF($CU$2:$CU$3,'История отказов'!AE1023)=0,COUNTIFS('История отказов'!$F$5:F1023,"ЭЦН",'История отказов'!$AE$5:AE1023,'История отказов'!AE1023)=1,'История отказов'!F1023="ЭЦН"),1019,""))</f>
        <v/>
      </c>
      <c r="DE1020">
        <f>IF('История отказов'!AE1023="","",IF(AND(COUNTIF($CV$2:$CV$3,'История отказов'!AE1023)=0,COUNTIFS('История отказов'!$F$5:F1023,"ЭВН",'История отказов'!$AE$5:AE1023,'История отказов'!AE1023)=1,'История отказов'!F1023="ЭВН"),1019,""))</f>
        <v/>
      </c>
      <c r="DF1020">
        <f>IF('История отказов'!AE1023="","",IF(AND(COUNTIF($CX$2:$CX$2,'История отказов'!AE1023)=0,COUNTIFS('История отказов'!$F$5:F1023,"ШВН",'История отказов'!$AE$5:AE1023,'История отказов'!AE1023)=1,'История отказов'!F1023="ШВН"),1019,""))</f>
        <v/>
      </c>
      <c r="DG1020">
        <f>IF('История отказов'!AE1023="","",IF(AND(COUNTIF($CW$2:$CW$2,'История отказов'!AE1023)=0,COUNTIFS('История отказов'!$F$5:F1023,"НПУ-ВД",'История отказов'!$AE$5:AE1023,'История отказов'!AE1023)=1,'История отказов'!F1023="НПУ-ВД"),1019,""))</f>
        <v/>
      </c>
      <c r="DH1020">
        <f>IF('История отказов'!AE1023="","",IF(AND(COUNTIF($CY$2:$CY$6,'История отказов'!AE1023)=0,COUNTIF('История отказов'!$AE$5:AE1023,'История отказов'!AE1023)=1),1019,""))</f>
        <v/>
      </c>
      <c r="DI1020">
        <f>IF('История отказов'!AK1023="","",IF(AND(COUNTIF($CL$2:$CL$3,'История отказов'!AK1023)=0,COUNTIF('История отказов'!$AK$5:AK1023,'История отказов'!AK1023)=1),1019,""))</f>
        <v/>
      </c>
      <c r="DJ1020">
        <f>IF('История отказов'!AU1023="","",IF(AND(COUNTIF($CP$2:$CP$3,'История отказов'!AU1023)=0,COUNTIF('История отказов'!$AU$5:AU1023,'История отказов'!AU1023)=1),1019,""))</f>
        <v/>
      </c>
      <c r="DK1020">
        <f>IF('История отказов'!AY1023="","",IF(AND(COUNTIF($CR$2:$CR$2,'История отказов'!AY1023)=0,COUNTIF('История отказов'!$AY$5:AY1023,'История отказов'!AY1023)=1),1019,""))</f>
        <v/>
      </c>
      <c r="DL1020">
        <f>IF(DB1020="","",IF(AND(COUNTIF($DA$2:$DA$47,DB1020)=0,COUNTIF($DB$2:DB1020,DB1020)=1),1019,""))</f>
        <v/>
      </c>
    </row>
    <row r="1021">
      <c r="A1021" s="74" t="n"/>
      <c r="B1021" s="75" t="n"/>
      <c r="C1021" s="76" t="n"/>
      <c r="DB1021">
        <f>IF('История отказов'!AH1024="","",'История отказов'!AH1024)</f>
        <v/>
      </c>
      <c r="DC1021">
        <f>IF('История отказов'!AE1024="","",IF(AND(COUNTIF($CT$2:$CT$2,'История отказов'!AE1024)=0,COUNTIFS('История отказов'!$F$5:F1024,"ШГН",'История отказов'!$AE$5:AE1024,'История отказов'!AE1024)=1,'История отказов'!F1024="ШГН"),1020,""))</f>
        <v/>
      </c>
      <c r="DD1021">
        <f>IF('История отказов'!AE1024="","",IF(AND(COUNTIF($CU$2:$CU$3,'История отказов'!AE1024)=0,COUNTIFS('История отказов'!$F$5:F1024,"ЭЦН",'История отказов'!$AE$5:AE1024,'История отказов'!AE1024)=1,'История отказов'!F1024="ЭЦН"),1020,""))</f>
        <v/>
      </c>
      <c r="DE1021">
        <f>IF('История отказов'!AE1024="","",IF(AND(COUNTIF($CV$2:$CV$3,'История отказов'!AE1024)=0,COUNTIFS('История отказов'!$F$5:F1024,"ЭВН",'История отказов'!$AE$5:AE1024,'История отказов'!AE1024)=1,'История отказов'!F1024="ЭВН"),1020,""))</f>
        <v/>
      </c>
      <c r="DF1021">
        <f>IF('История отказов'!AE1024="","",IF(AND(COUNTIF($CX$2:$CX$2,'История отказов'!AE1024)=0,COUNTIFS('История отказов'!$F$5:F1024,"ШВН",'История отказов'!$AE$5:AE1024,'История отказов'!AE1024)=1,'История отказов'!F1024="ШВН"),1020,""))</f>
        <v/>
      </c>
      <c r="DG1021">
        <f>IF('История отказов'!AE1024="","",IF(AND(COUNTIF($CW$2:$CW$2,'История отказов'!AE1024)=0,COUNTIFS('История отказов'!$F$5:F1024,"НПУ-ВД",'История отказов'!$AE$5:AE1024,'История отказов'!AE1024)=1,'История отказов'!F1024="НПУ-ВД"),1020,""))</f>
        <v/>
      </c>
      <c r="DH1021">
        <f>IF('История отказов'!AE1024="","",IF(AND(COUNTIF($CY$2:$CY$6,'История отказов'!AE1024)=0,COUNTIF('История отказов'!$AE$5:AE1024,'История отказов'!AE1024)=1),1020,""))</f>
        <v/>
      </c>
      <c r="DI1021">
        <f>IF('История отказов'!AK1024="","",IF(AND(COUNTIF($CL$2:$CL$3,'История отказов'!AK1024)=0,COUNTIF('История отказов'!$AK$5:AK1024,'История отказов'!AK1024)=1),1020,""))</f>
        <v/>
      </c>
      <c r="DJ1021">
        <f>IF('История отказов'!AU1024="","",IF(AND(COUNTIF($CP$2:$CP$3,'История отказов'!AU1024)=0,COUNTIF('История отказов'!$AU$5:AU1024,'История отказов'!AU1024)=1),1020,""))</f>
        <v/>
      </c>
      <c r="DK1021">
        <f>IF('История отказов'!AY1024="","",IF(AND(COUNTIF($CR$2:$CR$2,'История отказов'!AY1024)=0,COUNTIF('История отказов'!$AY$5:AY1024,'История отказов'!AY1024)=1),1020,""))</f>
        <v/>
      </c>
      <c r="DL1021">
        <f>IF(DB1021="","",IF(AND(COUNTIF($DA$2:$DA$47,DB1021)=0,COUNTIF($DB$2:DB1021,DB1021)=1),1020,""))</f>
        <v/>
      </c>
    </row>
    <row r="1022">
      <c r="A1022" s="74" t="n"/>
      <c r="B1022" s="75" t="n"/>
      <c r="C1022" s="76" t="n"/>
      <c r="DB1022">
        <f>IF('История отказов'!AH1025="","",'История отказов'!AH1025)</f>
        <v/>
      </c>
      <c r="DC1022">
        <f>IF('История отказов'!AE1025="","",IF(AND(COUNTIF($CT$2:$CT$2,'История отказов'!AE1025)=0,COUNTIFS('История отказов'!$F$5:F1025,"ШГН",'История отказов'!$AE$5:AE1025,'История отказов'!AE1025)=1,'История отказов'!F1025="ШГН"),1021,""))</f>
        <v/>
      </c>
      <c r="DD1022">
        <f>IF('История отказов'!AE1025="","",IF(AND(COUNTIF($CU$2:$CU$3,'История отказов'!AE1025)=0,COUNTIFS('История отказов'!$F$5:F1025,"ЭЦН",'История отказов'!$AE$5:AE1025,'История отказов'!AE1025)=1,'История отказов'!F1025="ЭЦН"),1021,""))</f>
        <v/>
      </c>
      <c r="DE1022">
        <f>IF('История отказов'!AE1025="","",IF(AND(COUNTIF($CV$2:$CV$3,'История отказов'!AE1025)=0,COUNTIFS('История отказов'!$F$5:F1025,"ЭВН",'История отказов'!$AE$5:AE1025,'История отказов'!AE1025)=1,'История отказов'!F1025="ЭВН"),1021,""))</f>
        <v/>
      </c>
      <c r="DF1022">
        <f>IF('История отказов'!AE1025="","",IF(AND(COUNTIF($CX$2:$CX$2,'История отказов'!AE1025)=0,COUNTIFS('История отказов'!$F$5:F1025,"ШВН",'История отказов'!$AE$5:AE1025,'История отказов'!AE1025)=1,'История отказов'!F1025="ШВН"),1021,""))</f>
        <v/>
      </c>
      <c r="DG1022">
        <f>IF('История отказов'!AE1025="","",IF(AND(COUNTIF($CW$2:$CW$2,'История отказов'!AE1025)=0,COUNTIFS('История отказов'!$F$5:F1025,"НПУ-ВД",'История отказов'!$AE$5:AE1025,'История отказов'!AE1025)=1,'История отказов'!F1025="НПУ-ВД"),1021,""))</f>
        <v/>
      </c>
      <c r="DH1022">
        <f>IF('История отказов'!AE1025="","",IF(AND(COUNTIF($CY$2:$CY$6,'История отказов'!AE1025)=0,COUNTIF('История отказов'!$AE$5:AE1025,'История отказов'!AE1025)=1),1021,""))</f>
        <v/>
      </c>
      <c r="DI1022">
        <f>IF('История отказов'!AK1025="","",IF(AND(COUNTIF($CL$2:$CL$3,'История отказов'!AK1025)=0,COUNTIF('История отказов'!$AK$5:AK1025,'История отказов'!AK1025)=1),1021,""))</f>
        <v/>
      </c>
      <c r="DJ1022">
        <f>IF('История отказов'!AU1025="","",IF(AND(COUNTIF($CP$2:$CP$3,'История отказов'!AU1025)=0,COUNTIF('История отказов'!$AU$5:AU1025,'История отказов'!AU1025)=1),1021,""))</f>
        <v/>
      </c>
      <c r="DK1022">
        <f>IF('История отказов'!AY1025="","",IF(AND(COUNTIF($CR$2:$CR$2,'История отказов'!AY1025)=0,COUNTIF('История отказов'!$AY$5:AY1025,'История отказов'!AY1025)=1),1021,""))</f>
        <v/>
      </c>
      <c r="DL1022">
        <f>IF(DB1022="","",IF(AND(COUNTIF($DA$2:$DA$47,DB1022)=0,COUNTIF($DB$2:DB1022,DB1022)=1),1021,""))</f>
        <v/>
      </c>
    </row>
    <row r="1023">
      <c r="A1023" s="74" t="n"/>
      <c r="B1023" s="75" t="n"/>
      <c r="C1023" s="76" t="n"/>
      <c r="DB1023">
        <f>IF('История отказов'!AH1026="","",'История отказов'!AH1026)</f>
        <v/>
      </c>
      <c r="DC1023">
        <f>IF('История отказов'!AE1026="","",IF(AND(COUNTIF($CT$2:$CT$2,'История отказов'!AE1026)=0,COUNTIFS('История отказов'!$F$5:F1026,"ШГН",'История отказов'!$AE$5:AE1026,'История отказов'!AE1026)=1,'История отказов'!F1026="ШГН"),1022,""))</f>
        <v/>
      </c>
      <c r="DD1023">
        <f>IF('История отказов'!AE1026="","",IF(AND(COUNTIF($CU$2:$CU$3,'История отказов'!AE1026)=0,COUNTIFS('История отказов'!$F$5:F1026,"ЭЦН",'История отказов'!$AE$5:AE1026,'История отказов'!AE1026)=1,'История отказов'!F1026="ЭЦН"),1022,""))</f>
        <v/>
      </c>
      <c r="DE1023">
        <f>IF('История отказов'!AE1026="","",IF(AND(COUNTIF($CV$2:$CV$3,'История отказов'!AE1026)=0,COUNTIFS('История отказов'!$F$5:F1026,"ЭВН",'История отказов'!$AE$5:AE1026,'История отказов'!AE1026)=1,'История отказов'!F1026="ЭВН"),1022,""))</f>
        <v/>
      </c>
      <c r="DF1023">
        <f>IF('История отказов'!AE1026="","",IF(AND(COUNTIF($CX$2:$CX$2,'История отказов'!AE1026)=0,COUNTIFS('История отказов'!$F$5:F1026,"ШВН",'История отказов'!$AE$5:AE1026,'История отказов'!AE1026)=1,'История отказов'!F1026="ШВН"),1022,""))</f>
        <v/>
      </c>
      <c r="DG1023">
        <f>IF('История отказов'!AE1026="","",IF(AND(COUNTIF($CW$2:$CW$2,'История отказов'!AE1026)=0,COUNTIFS('История отказов'!$F$5:F1026,"НПУ-ВД",'История отказов'!$AE$5:AE1026,'История отказов'!AE1026)=1,'История отказов'!F1026="НПУ-ВД"),1022,""))</f>
        <v/>
      </c>
      <c r="DH1023">
        <f>IF('История отказов'!AE1026="","",IF(AND(COUNTIF($CY$2:$CY$6,'История отказов'!AE1026)=0,COUNTIF('История отказов'!$AE$5:AE1026,'История отказов'!AE1026)=1),1022,""))</f>
        <v/>
      </c>
      <c r="DI1023">
        <f>IF('История отказов'!AK1026="","",IF(AND(COUNTIF($CL$2:$CL$3,'История отказов'!AK1026)=0,COUNTIF('История отказов'!$AK$5:AK1026,'История отказов'!AK1026)=1),1022,""))</f>
        <v/>
      </c>
      <c r="DJ1023">
        <f>IF('История отказов'!AU1026="","",IF(AND(COUNTIF($CP$2:$CP$3,'История отказов'!AU1026)=0,COUNTIF('История отказов'!$AU$5:AU1026,'История отказов'!AU1026)=1),1022,""))</f>
        <v/>
      </c>
      <c r="DK1023">
        <f>IF('История отказов'!AY1026="","",IF(AND(COUNTIF($CR$2:$CR$2,'История отказов'!AY1026)=0,COUNTIF('История отказов'!$AY$5:AY1026,'История отказов'!AY1026)=1),1022,""))</f>
        <v/>
      </c>
      <c r="DL1023">
        <f>IF(DB1023="","",IF(AND(COUNTIF($DA$2:$DA$47,DB1023)=0,COUNTIF($DB$2:DB1023,DB1023)=1),1022,""))</f>
        <v/>
      </c>
    </row>
    <row r="1024">
      <c r="A1024" s="74" t="n"/>
      <c r="B1024" s="75" t="n"/>
      <c r="C1024" s="76" t="n"/>
      <c r="DB1024">
        <f>IF('История отказов'!AH1027="","",'История отказов'!AH1027)</f>
        <v/>
      </c>
      <c r="DC1024">
        <f>IF('История отказов'!AE1027="","",IF(AND(COUNTIF($CT$2:$CT$2,'История отказов'!AE1027)=0,COUNTIFS('История отказов'!$F$5:F1027,"ШГН",'История отказов'!$AE$5:AE1027,'История отказов'!AE1027)=1,'История отказов'!F1027="ШГН"),1023,""))</f>
        <v/>
      </c>
      <c r="DD1024">
        <f>IF('История отказов'!AE1027="","",IF(AND(COUNTIF($CU$2:$CU$3,'История отказов'!AE1027)=0,COUNTIFS('История отказов'!$F$5:F1027,"ЭЦН",'История отказов'!$AE$5:AE1027,'История отказов'!AE1027)=1,'История отказов'!F1027="ЭЦН"),1023,""))</f>
        <v/>
      </c>
      <c r="DE1024">
        <f>IF('История отказов'!AE1027="","",IF(AND(COUNTIF($CV$2:$CV$3,'История отказов'!AE1027)=0,COUNTIFS('История отказов'!$F$5:F1027,"ЭВН",'История отказов'!$AE$5:AE1027,'История отказов'!AE1027)=1,'История отказов'!F1027="ЭВН"),1023,""))</f>
        <v/>
      </c>
      <c r="DF1024">
        <f>IF('История отказов'!AE1027="","",IF(AND(COUNTIF($CX$2:$CX$2,'История отказов'!AE1027)=0,COUNTIFS('История отказов'!$F$5:F1027,"ШВН",'История отказов'!$AE$5:AE1027,'История отказов'!AE1027)=1,'История отказов'!F1027="ШВН"),1023,""))</f>
        <v/>
      </c>
      <c r="DG1024">
        <f>IF('История отказов'!AE1027="","",IF(AND(COUNTIF($CW$2:$CW$2,'История отказов'!AE1027)=0,COUNTIFS('История отказов'!$F$5:F1027,"НПУ-ВД",'История отказов'!$AE$5:AE1027,'История отказов'!AE1027)=1,'История отказов'!F1027="НПУ-ВД"),1023,""))</f>
        <v/>
      </c>
      <c r="DH1024">
        <f>IF('История отказов'!AE1027="","",IF(AND(COUNTIF($CY$2:$CY$6,'История отказов'!AE1027)=0,COUNTIF('История отказов'!$AE$5:AE1027,'История отказов'!AE1027)=1),1023,""))</f>
        <v/>
      </c>
      <c r="DI1024">
        <f>IF('История отказов'!AK1027="","",IF(AND(COUNTIF($CL$2:$CL$3,'История отказов'!AK1027)=0,COUNTIF('История отказов'!$AK$5:AK1027,'История отказов'!AK1027)=1),1023,""))</f>
        <v/>
      </c>
      <c r="DJ1024">
        <f>IF('История отказов'!AU1027="","",IF(AND(COUNTIF($CP$2:$CP$3,'История отказов'!AU1027)=0,COUNTIF('История отказов'!$AU$5:AU1027,'История отказов'!AU1027)=1),1023,""))</f>
        <v/>
      </c>
      <c r="DK1024">
        <f>IF('История отказов'!AY1027="","",IF(AND(COUNTIF($CR$2:$CR$2,'История отказов'!AY1027)=0,COUNTIF('История отказов'!$AY$5:AY1027,'История отказов'!AY1027)=1),1023,""))</f>
        <v/>
      </c>
      <c r="DL1024">
        <f>IF(DB1024="","",IF(AND(COUNTIF($DA$2:$DA$47,DB1024)=0,COUNTIF($DB$2:DB1024,DB1024)=1),1023,""))</f>
        <v/>
      </c>
    </row>
    <row r="1025">
      <c r="A1025" s="74" t="n"/>
      <c r="B1025" s="75" t="n"/>
      <c r="C1025" s="76" t="n"/>
      <c r="DB1025">
        <f>IF('История отказов'!AH1028="","",'История отказов'!AH1028)</f>
        <v/>
      </c>
      <c r="DC1025">
        <f>IF('История отказов'!AE1028="","",IF(AND(COUNTIF($CT$2:$CT$2,'История отказов'!AE1028)=0,COUNTIFS('История отказов'!$F$5:F1028,"ШГН",'История отказов'!$AE$5:AE1028,'История отказов'!AE1028)=1,'История отказов'!F1028="ШГН"),1024,""))</f>
        <v/>
      </c>
      <c r="DD1025">
        <f>IF('История отказов'!AE1028="","",IF(AND(COUNTIF($CU$2:$CU$3,'История отказов'!AE1028)=0,COUNTIFS('История отказов'!$F$5:F1028,"ЭЦН",'История отказов'!$AE$5:AE1028,'История отказов'!AE1028)=1,'История отказов'!F1028="ЭЦН"),1024,""))</f>
        <v/>
      </c>
      <c r="DE1025">
        <f>IF('История отказов'!AE1028="","",IF(AND(COUNTIF($CV$2:$CV$3,'История отказов'!AE1028)=0,COUNTIFS('История отказов'!$F$5:F1028,"ЭВН",'История отказов'!$AE$5:AE1028,'История отказов'!AE1028)=1,'История отказов'!F1028="ЭВН"),1024,""))</f>
        <v/>
      </c>
      <c r="DF1025">
        <f>IF('История отказов'!AE1028="","",IF(AND(COUNTIF($CX$2:$CX$2,'История отказов'!AE1028)=0,COUNTIFS('История отказов'!$F$5:F1028,"ШВН",'История отказов'!$AE$5:AE1028,'История отказов'!AE1028)=1,'История отказов'!F1028="ШВН"),1024,""))</f>
        <v/>
      </c>
      <c r="DG1025">
        <f>IF('История отказов'!AE1028="","",IF(AND(COUNTIF($CW$2:$CW$2,'История отказов'!AE1028)=0,COUNTIFS('История отказов'!$F$5:F1028,"НПУ-ВД",'История отказов'!$AE$5:AE1028,'История отказов'!AE1028)=1,'История отказов'!F1028="НПУ-ВД"),1024,""))</f>
        <v/>
      </c>
      <c r="DH1025">
        <f>IF('История отказов'!AE1028="","",IF(AND(COUNTIF($CY$2:$CY$6,'История отказов'!AE1028)=0,COUNTIF('История отказов'!$AE$5:AE1028,'История отказов'!AE1028)=1),1024,""))</f>
        <v/>
      </c>
      <c r="DI1025">
        <f>IF('История отказов'!AK1028="","",IF(AND(COUNTIF($CL$2:$CL$3,'История отказов'!AK1028)=0,COUNTIF('История отказов'!$AK$5:AK1028,'История отказов'!AK1028)=1),1024,""))</f>
        <v/>
      </c>
      <c r="DJ1025">
        <f>IF('История отказов'!AU1028="","",IF(AND(COUNTIF($CP$2:$CP$3,'История отказов'!AU1028)=0,COUNTIF('История отказов'!$AU$5:AU1028,'История отказов'!AU1028)=1),1024,""))</f>
        <v/>
      </c>
      <c r="DK1025">
        <f>IF('История отказов'!AY1028="","",IF(AND(COUNTIF($CR$2:$CR$2,'История отказов'!AY1028)=0,COUNTIF('История отказов'!$AY$5:AY1028,'История отказов'!AY1028)=1),1024,""))</f>
        <v/>
      </c>
      <c r="DL1025">
        <f>IF(DB1025="","",IF(AND(COUNTIF($DA$2:$DA$47,DB1025)=0,COUNTIF($DB$2:DB1025,DB1025)=1),1024,""))</f>
        <v/>
      </c>
    </row>
    <row r="1026">
      <c r="A1026" s="74" t="n"/>
      <c r="B1026" s="75" t="n"/>
      <c r="C1026" s="76" t="n"/>
      <c r="DB1026">
        <f>IF('История отказов'!AH1029="","",'История отказов'!AH1029)</f>
        <v/>
      </c>
      <c r="DC1026">
        <f>IF('История отказов'!AE1029="","",IF(AND(COUNTIF($CT$2:$CT$2,'История отказов'!AE1029)=0,COUNTIFS('История отказов'!$F$5:F1029,"ШГН",'История отказов'!$AE$5:AE1029,'История отказов'!AE1029)=1,'История отказов'!F1029="ШГН"),1025,""))</f>
        <v/>
      </c>
      <c r="DD1026">
        <f>IF('История отказов'!AE1029="","",IF(AND(COUNTIF($CU$2:$CU$3,'История отказов'!AE1029)=0,COUNTIFS('История отказов'!$F$5:F1029,"ЭЦН",'История отказов'!$AE$5:AE1029,'История отказов'!AE1029)=1,'История отказов'!F1029="ЭЦН"),1025,""))</f>
        <v/>
      </c>
      <c r="DE1026">
        <f>IF('История отказов'!AE1029="","",IF(AND(COUNTIF($CV$2:$CV$3,'История отказов'!AE1029)=0,COUNTIFS('История отказов'!$F$5:F1029,"ЭВН",'История отказов'!$AE$5:AE1029,'История отказов'!AE1029)=1,'История отказов'!F1029="ЭВН"),1025,""))</f>
        <v/>
      </c>
      <c r="DF1026">
        <f>IF('История отказов'!AE1029="","",IF(AND(COUNTIF($CX$2:$CX$2,'История отказов'!AE1029)=0,COUNTIFS('История отказов'!$F$5:F1029,"ШВН",'История отказов'!$AE$5:AE1029,'История отказов'!AE1029)=1,'История отказов'!F1029="ШВН"),1025,""))</f>
        <v/>
      </c>
      <c r="DG1026">
        <f>IF('История отказов'!AE1029="","",IF(AND(COUNTIF($CW$2:$CW$2,'История отказов'!AE1029)=0,COUNTIFS('История отказов'!$F$5:F1029,"НПУ-ВД",'История отказов'!$AE$5:AE1029,'История отказов'!AE1029)=1,'История отказов'!F1029="НПУ-ВД"),1025,""))</f>
        <v/>
      </c>
      <c r="DH1026">
        <f>IF('История отказов'!AE1029="","",IF(AND(COUNTIF($CY$2:$CY$6,'История отказов'!AE1029)=0,COUNTIF('История отказов'!$AE$5:AE1029,'История отказов'!AE1029)=1),1025,""))</f>
        <v/>
      </c>
      <c r="DI1026">
        <f>IF('История отказов'!AK1029="","",IF(AND(COUNTIF($CL$2:$CL$3,'История отказов'!AK1029)=0,COUNTIF('История отказов'!$AK$5:AK1029,'История отказов'!AK1029)=1),1025,""))</f>
        <v/>
      </c>
      <c r="DJ1026">
        <f>IF('История отказов'!AU1029="","",IF(AND(COUNTIF($CP$2:$CP$3,'История отказов'!AU1029)=0,COUNTIF('История отказов'!$AU$5:AU1029,'История отказов'!AU1029)=1),1025,""))</f>
        <v/>
      </c>
      <c r="DK1026">
        <f>IF('История отказов'!AY1029="","",IF(AND(COUNTIF($CR$2:$CR$2,'История отказов'!AY1029)=0,COUNTIF('История отказов'!$AY$5:AY1029,'История отказов'!AY1029)=1),1025,""))</f>
        <v/>
      </c>
      <c r="DL1026">
        <f>IF(DB1026="","",IF(AND(COUNTIF($DA$2:$DA$47,DB1026)=0,COUNTIF($DB$2:DB1026,DB1026)=1),1025,""))</f>
        <v/>
      </c>
    </row>
    <row r="1027">
      <c r="A1027" s="74" t="n"/>
      <c r="B1027" s="75" t="n"/>
      <c r="C1027" s="76" t="n"/>
      <c r="DB1027">
        <f>IF('История отказов'!AH1030="","",'История отказов'!AH1030)</f>
        <v/>
      </c>
      <c r="DC1027">
        <f>IF('История отказов'!AE1030="","",IF(AND(COUNTIF($CT$2:$CT$2,'История отказов'!AE1030)=0,COUNTIFS('История отказов'!$F$5:F1030,"ШГН",'История отказов'!$AE$5:AE1030,'История отказов'!AE1030)=1,'История отказов'!F1030="ШГН"),1026,""))</f>
        <v/>
      </c>
      <c r="DD1027">
        <f>IF('История отказов'!AE1030="","",IF(AND(COUNTIF($CU$2:$CU$3,'История отказов'!AE1030)=0,COUNTIFS('История отказов'!$F$5:F1030,"ЭЦН",'История отказов'!$AE$5:AE1030,'История отказов'!AE1030)=1,'История отказов'!F1030="ЭЦН"),1026,""))</f>
        <v/>
      </c>
      <c r="DE1027">
        <f>IF('История отказов'!AE1030="","",IF(AND(COUNTIF($CV$2:$CV$3,'История отказов'!AE1030)=0,COUNTIFS('История отказов'!$F$5:F1030,"ЭВН",'История отказов'!$AE$5:AE1030,'История отказов'!AE1030)=1,'История отказов'!F1030="ЭВН"),1026,""))</f>
        <v/>
      </c>
      <c r="DF1027">
        <f>IF('История отказов'!AE1030="","",IF(AND(COUNTIF($CX$2:$CX$2,'История отказов'!AE1030)=0,COUNTIFS('История отказов'!$F$5:F1030,"ШВН",'История отказов'!$AE$5:AE1030,'История отказов'!AE1030)=1,'История отказов'!F1030="ШВН"),1026,""))</f>
        <v/>
      </c>
      <c r="DG1027">
        <f>IF('История отказов'!AE1030="","",IF(AND(COUNTIF($CW$2:$CW$2,'История отказов'!AE1030)=0,COUNTIFS('История отказов'!$F$5:F1030,"НПУ-ВД",'История отказов'!$AE$5:AE1030,'История отказов'!AE1030)=1,'История отказов'!F1030="НПУ-ВД"),1026,""))</f>
        <v/>
      </c>
      <c r="DH1027">
        <f>IF('История отказов'!AE1030="","",IF(AND(COUNTIF($CY$2:$CY$6,'История отказов'!AE1030)=0,COUNTIF('История отказов'!$AE$5:AE1030,'История отказов'!AE1030)=1),1026,""))</f>
        <v/>
      </c>
      <c r="DI1027">
        <f>IF('История отказов'!AK1030="","",IF(AND(COUNTIF($CL$2:$CL$3,'История отказов'!AK1030)=0,COUNTIF('История отказов'!$AK$5:AK1030,'История отказов'!AK1030)=1),1026,""))</f>
        <v/>
      </c>
      <c r="DJ1027">
        <f>IF('История отказов'!AU1030="","",IF(AND(COUNTIF($CP$2:$CP$3,'История отказов'!AU1030)=0,COUNTIF('История отказов'!$AU$5:AU1030,'История отказов'!AU1030)=1),1026,""))</f>
        <v/>
      </c>
      <c r="DK1027">
        <f>IF('История отказов'!AY1030="","",IF(AND(COUNTIF($CR$2:$CR$2,'История отказов'!AY1030)=0,COUNTIF('История отказов'!$AY$5:AY1030,'История отказов'!AY1030)=1),1026,""))</f>
        <v/>
      </c>
      <c r="DL1027">
        <f>IF(DB1027="","",IF(AND(COUNTIF($DA$2:$DA$47,DB1027)=0,COUNTIF($DB$2:DB1027,DB1027)=1),1026,""))</f>
        <v/>
      </c>
    </row>
    <row r="1028">
      <c r="A1028" s="74" t="n"/>
      <c r="B1028" s="75" t="n"/>
      <c r="C1028" s="76" t="n"/>
      <c r="DB1028">
        <f>IF('История отказов'!AH1031="","",'История отказов'!AH1031)</f>
        <v/>
      </c>
      <c r="DC1028">
        <f>IF('История отказов'!AE1031="","",IF(AND(COUNTIF($CT$2:$CT$2,'История отказов'!AE1031)=0,COUNTIFS('История отказов'!$F$5:F1031,"ШГН",'История отказов'!$AE$5:AE1031,'История отказов'!AE1031)=1,'История отказов'!F1031="ШГН"),1027,""))</f>
        <v/>
      </c>
      <c r="DD1028">
        <f>IF('История отказов'!AE1031="","",IF(AND(COUNTIF($CU$2:$CU$3,'История отказов'!AE1031)=0,COUNTIFS('История отказов'!$F$5:F1031,"ЭЦН",'История отказов'!$AE$5:AE1031,'История отказов'!AE1031)=1,'История отказов'!F1031="ЭЦН"),1027,""))</f>
        <v/>
      </c>
      <c r="DE1028">
        <f>IF('История отказов'!AE1031="","",IF(AND(COUNTIF($CV$2:$CV$3,'История отказов'!AE1031)=0,COUNTIFS('История отказов'!$F$5:F1031,"ЭВН",'История отказов'!$AE$5:AE1031,'История отказов'!AE1031)=1,'История отказов'!F1031="ЭВН"),1027,""))</f>
        <v/>
      </c>
      <c r="DF1028">
        <f>IF('История отказов'!AE1031="","",IF(AND(COUNTIF($CX$2:$CX$2,'История отказов'!AE1031)=0,COUNTIFS('История отказов'!$F$5:F1031,"ШВН",'История отказов'!$AE$5:AE1031,'История отказов'!AE1031)=1,'История отказов'!F1031="ШВН"),1027,""))</f>
        <v/>
      </c>
      <c r="DG1028">
        <f>IF('История отказов'!AE1031="","",IF(AND(COUNTIF($CW$2:$CW$2,'История отказов'!AE1031)=0,COUNTIFS('История отказов'!$F$5:F1031,"НПУ-ВД",'История отказов'!$AE$5:AE1031,'История отказов'!AE1031)=1,'История отказов'!F1031="НПУ-ВД"),1027,""))</f>
        <v/>
      </c>
      <c r="DH1028">
        <f>IF('История отказов'!AE1031="","",IF(AND(COUNTIF($CY$2:$CY$6,'История отказов'!AE1031)=0,COUNTIF('История отказов'!$AE$5:AE1031,'История отказов'!AE1031)=1),1027,""))</f>
        <v/>
      </c>
      <c r="DI1028">
        <f>IF('История отказов'!AK1031="","",IF(AND(COUNTIF($CL$2:$CL$3,'История отказов'!AK1031)=0,COUNTIF('История отказов'!$AK$5:AK1031,'История отказов'!AK1031)=1),1027,""))</f>
        <v/>
      </c>
      <c r="DJ1028">
        <f>IF('История отказов'!AU1031="","",IF(AND(COUNTIF($CP$2:$CP$3,'История отказов'!AU1031)=0,COUNTIF('История отказов'!$AU$5:AU1031,'История отказов'!AU1031)=1),1027,""))</f>
        <v/>
      </c>
      <c r="DK1028">
        <f>IF('История отказов'!AY1031="","",IF(AND(COUNTIF($CR$2:$CR$2,'История отказов'!AY1031)=0,COUNTIF('История отказов'!$AY$5:AY1031,'История отказов'!AY1031)=1),1027,""))</f>
        <v/>
      </c>
      <c r="DL1028">
        <f>IF(DB1028="","",IF(AND(COUNTIF($DA$2:$DA$47,DB1028)=0,COUNTIF($DB$2:DB1028,DB1028)=1),1027,""))</f>
        <v/>
      </c>
    </row>
    <row r="1029">
      <c r="A1029" s="74" t="n"/>
      <c r="B1029" s="75" t="n"/>
      <c r="C1029" s="76" t="n"/>
      <c r="DB1029">
        <f>IF('История отказов'!AH1032="","",'История отказов'!AH1032)</f>
        <v/>
      </c>
      <c r="DC1029">
        <f>IF('История отказов'!AE1032="","",IF(AND(COUNTIF($CT$2:$CT$2,'История отказов'!AE1032)=0,COUNTIFS('История отказов'!$F$5:F1032,"ШГН",'История отказов'!$AE$5:AE1032,'История отказов'!AE1032)=1,'История отказов'!F1032="ШГН"),1028,""))</f>
        <v/>
      </c>
      <c r="DD1029">
        <f>IF('История отказов'!AE1032="","",IF(AND(COUNTIF($CU$2:$CU$3,'История отказов'!AE1032)=0,COUNTIFS('История отказов'!$F$5:F1032,"ЭЦН",'История отказов'!$AE$5:AE1032,'История отказов'!AE1032)=1,'История отказов'!F1032="ЭЦН"),1028,""))</f>
        <v/>
      </c>
      <c r="DE1029">
        <f>IF('История отказов'!AE1032="","",IF(AND(COUNTIF($CV$2:$CV$3,'История отказов'!AE1032)=0,COUNTIFS('История отказов'!$F$5:F1032,"ЭВН",'История отказов'!$AE$5:AE1032,'История отказов'!AE1032)=1,'История отказов'!F1032="ЭВН"),1028,""))</f>
        <v/>
      </c>
      <c r="DF1029">
        <f>IF('История отказов'!AE1032="","",IF(AND(COUNTIF($CX$2:$CX$2,'История отказов'!AE1032)=0,COUNTIFS('История отказов'!$F$5:F1032,"ШВН",'История отказов'!$AE$5:AE1032,'История отказов'!AE1032)=1,'История отказов'!F1032="ШВН"),1028,""))</f>
        <v/>
      </c>
      <c r="DG1029">
        <f>IF('История отказов'!AE1032="","",IF(AND(COUNTIF($CW$2:$CW$2,'История отказов'!AE1032)=0,COUNTIFS('История отказов'!$F$5:F1032,"НПУ-ВД",'История отказов'!$AE$5:AE1032,'История отказов'!AE1032)=1,'История отказов'!F1032="НПУ-ВД"),1028,""))</f>
        <v/>
      </c>
      <c r="DH1029">
        <f>IF('История отказов'!AE1032="","",IF(AND(COUNTIF($CY$2:$CY$6,'История отказов'!AE1032)=0,COUNTIF('История отказов'!$AE$5:AE1032,'История отказов'!AE1032)=1),1028,""))</f>
        <v/>
      </c>
      <c r="DI1029">
        <f>IF('История отказов'!AK1032="","",IF(AND(COUNTIF($CL$2:$CL$3,'История отказов'!AK1032)=0,COUNTIF('История отказов'!$AK$5:AK1032,'История отказов'!AK1032)=1),1028,""))</f>
        <v/>
      </c>
      <c r="DJ1029">
        <f>IF('История отказов'!AU1032="","",IF(AND(COUNTIF($CP$2:$CP$3,'История отказов'!AU1032)=0,COUNTIF('История отказов'!$AU$5:AU1032,'История отказов'!AU1032)=1),1028,""))</f>
        <v/>
      </c>
      <c r="DK1029">
        <f>IF('История отказов'!AY1032="","",IF(AND(COUNTIF($CR$2:$CR$2,'История отказов'!AY1032)=0,COUNTIF('История отказов'!$AY$5:AY1032,'История отказов'!AY1032)=1),1028,""))</f>
        <v/>
      </c>
      <c r="DL1029">
        <f>IF(DB1029="","",IF(AND(COUNTIF($DA$2:$DA$47,DB1029)=0,COUNTIF($DB$2:DB1029,DB1029)=1),1028,""))</f>
        <v/>
      </c>
    </row>
    <row r="1030">
      <c r="A1030" s="74" t="n"/>
      <c r="B1030" s="75" t="n"/>
      <c r="C1030" s="76" t="n"/>
      <c r="DB1030">
        <f>IF('История отказов'!AH1033="","",'История отказов'!AH1033)</f>
        <v/>
      </c>
      <c r="DC1030">
        <f>IF('История отказов'!AE1033="","",IF(AND(COUNTIF($CT$2:$CT$2,'История отказов'!AE1033)=0,COUNTIFS('История отказов'!$F$5:F1033,"ШГН",'История отказов'!$AE$5:AE1033,'История отказов'!AE1033)=1,'История отказов'!F1033="ШГН"),1029,""))</f>
        <v/>
      </c>
      <c r="DD1030">
        <f>IF('История отказов'!AE1033="","",IF(AND(COUNTIF($CU$2:$CU$3,'История отказов'!AE1033)=0,COUNTIFS('История отказов'!$F$5:F1033,"ЭЦН",'История отказов'!$AE$5:AE1033,'История отказов'!AE1033)=1,'История отказов'!F1033="ЭЦН"),1029,""))</f>
        <v/>
      </c>
      <c r="DE1030">
        <f>IF('История отказов'!AE1033="","",IF(AND(COUNTIF($CV$2:$CV$3,'История отказов'!AE1033)=0,COUNTIFS('История отказов'!$F$5:F1033,"ЭВН",'История отказов'!$AE$5:AE1033,'История отказов'!AE1033)=1,'История отказов'!F1033="ЭВН"),1029,""))</f>
        <v/>
      </c>
      <c r="DF1030">
        <f>IF('История отказов'!AE1033="","",IF(AND(COUNTIF($CX$2:$CX$2,'История отказов'!AE1033)=0,COUNTIFS('История отказов'!$F$5:F1033,"ШВН",'История отказов'!$AE$5:AE1033,'История отказов'!AE1033)=1,'История отказов'!F1033="ШВН"),1029,""))</f>
        <v/>
      </c>
      <c r="DG1030">
        <f>IF('История отказов'!AE1033="","",IF(AND(COUNTIF($CW$2:$CW$2,'История отказов'!AE1033)=0,COUNTIFS('История отказов'!$F$5:F1033,"НПУ-ВД",'История отказов'!$AE$5:AE1033,'История отказов'!AE1033)=1,'История отказов'!F1033="НПУ-ВД"),1029,""))</f>
        <v/>
      </c>
      <c r="DH1030">
        <f>IF('История отказов'!AE1033="","",IF(AND(COUNTIF($CY$2:$CY$6,'История отказов'!AE1033)=0,COUNTIF('История отказов'!$AE$5:AE1033,'История отказов'!AE1033)=1),1029,""))</f>
        <v/>
      </c>
      <c r="DI1030">
        <f>IF('История отказов'!AK1033="","",IF(AND(COUNTIF($CL$2:$CL$3,'История отказов'!AK1033)=0,COUNTIF('История отказов'!$AK$5:AK1033,'История отказов'!AK1033)=1),1029,""))</f>
        <v/>
      </c>
      <c r="DJ1030">
        <f>IF('История отказов'!AU1033="","",IF(AND(COUNTIF($CP$2:$CP$3,'История отказов'!AU1033)=0,COUNTIF('История отказов'!$AU$5:AU1033,'История отказов'!AU1033)=1),1029,""))</f>
        <v/>
      </c>
      <c r="DK1030">
        <f>IF('История отказов'!AY1033="","",IF(AND(COUNTIF($CR$2:$CR$2,'История отказов'!AY1033)=0,COUNTIF('История отказов'!$AY$5:AY1033,'История отказов'!AY1033)=1),1029,""))</f>
        <v/>
      </c>
      <c r="DL1030">
        <f>IF(DB1030="","",IF(AND(COUNTIF($DA$2:$DA$47,DB1030)=0,COUNTIF($DB$2:DB1030,DB1030)=1),1029,""))</f>
        <v/>
      </c>
    </row>
    <row r="1031">
      <c r="A1031" s="74" t="n"/>
      <c r="B1031" s="75" t="n"/>
      <c r="C1031" s="76" t="n"/>
      <c r="DB1031">
        <f>IF('История отказов'!AH1034="","",'История отказов'!AH1034)</f>
        <v/>
      </c>
      <c r="DC1031">
        <f>IF('История отказов'!AE1034="","",IF(AND(COUNTIF($CT$2:$CT$2,'История отказов'!AE1034)=0,COUNTIFS('История отказов'!$F$5:F1034,"ШГН",'История отказов'!$AE$5:AE1034,'История отказов'!AE1034)=1,'История отказов'!F1034="ШГН"),1030,""))</f>
        <v/>
      </c>
      <c r="DD1031">
        <f>IF('История отказов'!AE1034="","",IF(AND(COUNTIF($CU$2:$CU$3,'История отказов'!AE1034)=0,COUNTIFS('История отказов'!$F$5:F1034,"ЭЦН",'История отказов'!$AE$5:AE1034,'История отказов'!AE1034)=1,'История отказов'!F1034="ЭЦН"),1030,""))</f>
        <v/>
      </c>
      <c r="DE1031">
        <f>IF('История отказов'!AE1034="","",IF(AND(COUNTIF($CV$2:$CV$3,'История отказов'!AE1034)=0,COUNTIFS('История отказов'!$F$5:F1034,"ЭВН",'История отказов'!$AE$5:AE1034,'История отказов'!AE1034)=1,'История отказов'!F1034="ЭВН"),1030,""))</f>
        <v/>
      </c>
      <c r="DF1031">
        <f>IF('История отказов'!AE1034="","",IF(AND(COUNTIF($CX$2:$CX$2,'История отказов'!AE1034)=0,COUNTIFS('История отказов'!$F$5:F1034,"ШВН",'История отказов'!$AE$5:AE1034,'История отказов'!AE1034)=1,'История отказов'!F1034="ШВН"),1030,""))</f>
        <v/>
      </c>
      <c r="DG1031">
        <f>IF('История отказов'!AE1034="","",IF(AND(COUNTIF($CW$2:$CW$2,'История отказов'!AE1034)=0,COUNTIFS('История отказов'!$F$5:F1034,"НПУ-ВД",'История отказов'!$AE$5:AE1034,'История отказов'!AE1034)=1,'История отказов'!F1034="НПУ-ВД"),1030,""))</f>
        <v/>
      </c>
      <c r="DH1031">
        <f>IF('История отказов'!AE1034="","",IF(AND(COUNTIF($CY$2:$CY$6,'История отказов'!AE1034)=0,COUNTIF('История отказов'!$AE$5:AE1034,'История отказов'!AE1034)=1),1030,""))</f>
        <v/>
      </c>
      <c r="DI1031">
        <f>IF('История отказов'!AK1034="","",IF(AND(COUNTIF($CL$2:$CL$3,'История отказов'!AK1034)=0,COUNTIF('История отказов'!$AK$5:AK1034,'История отказов'!AK1034)=1),1030,""))</f>
        <v/>
      </c>
      <c r="DJ1031">
        <f>IF('История отказов'!AU1034="","",IF(AND(COUNTIF($CP$2:$CP$3,'История отказов'!AU1034)=0,COUNTIF('История отказов'!$AU$5:AU1034,'История отказов'!AU1034)=1),1030,""))</f>
        <v/>
      </c>
      <c r="DK1031">
        <f>IF('История отказов'!AY1034="","",IF(AND(COUNTIF($CR$2:$CR$2,'История отказов'!AY1034)=0,COUNTIF('История отказов'!$AY$5:AY1034,'История отказов'!AY1034)=1),1030,""))</f>
        <v/>
      </c>
      <c r="DL1031">
        <f>IF(DB1031="","",IF(AND(COUNTIF($DA$2:$DA$47,DB1031)=0,COUNTIF($DB$2:DB1031,DB1031)=1),1030,""))</f>
        <v/>
      </c>
    </row>
    <row r="1032">
      <c r="A1032" s="74" t="n"/>
      <c r="B1032" s="75" t="n"/>
      <c r="C1032" s="76" t="n"/>
      <c r="DB1032">
        <f>IF('История отказов'!AH1035="","",'История отказов'!AH1035)</f>
        <v/>
      </c>
      <c r="DC1032">
        <f>IF('История отказов'!AE1035="","",IF(AND(COUNTIF($CT$2:$CT$2,'История отказов'!AE1035)=0,COUNTIFS('История отказов'!$F$5:F1035,"ШГН",'История отказов'!$AE$5:AE1035,'История отказов'!AE1035)=1,'История отказов'!F1035="ШГН"),1031,""))</f>
        <v/>
      </c>
      <c r="DD1032">
        <f>IF('История отказов'!AE1035="","",IF(AND(COUNTIF($CU$2:$CU$3,'История отказов'!AE1035)=0,COUNTIFS('История отказов'!$F$5:F1035,"ЭЦН",'История отказов'!$AE$5:AE1035,'История отказов'!AE1035)=1,'История отказов'!F1035="ЭЦН"),1031,""))</f>
        <v/>
      </c>
      <c r="DE1032">
        <f>IF('История отказов'!AE1035="","",IF(AND(COUNTIF($CV$2:$CV$3,'История отказов'!AE1035)=0,COUNTIFS('История отказов'!$F$5:F1035,"ЭВН",'История отказов'!$AE$5:AE1035,'История отказов'!AE1035)=1,'История отказов'!F1035="ЭВН"),1031,""))</f>
        <v/>
      </c>
      <c r="DF1032">
        <f>IF('История отказов'!AE1035="","",IF(AND(COUNTIF($CX$2:$CX$2,'История отказов'!AE1035)=0,COUNTIFS('История отказов'!$F$5:F1035,"ШВН",'История отказов'!$AE$5:AE1035,'История отказов'!AE1035)=1,'История отказов'!F1035="ШВН"),1031,""))</f>
        <v/>
      </c>
      <c r="DG1032">
        <f>IF('История отказов'!AE1035="","",IF(AND(COUNTIF($CW$2:$CW$2,'История отказов'!AE1035)=0,COUNTIFS('История отказов'!$F$5:F1035,"НПУ-ВД",'История отказов'!$AE$5:AE1035,'История отказов'!AE1035)=1,'История отказов'!F1035="НПУ-ВД"),1031,""))</f>
        <v/>
      </c>
      <c r="DH1032">
        <f>IF('История отказов'!AE1035="","",IF(AND(COUNTIF($CY$2:$CY$6,'История отказов'!AE1035)=0,COUNTIF('История отказов'!$AE$5:AE1035,'История отказов'!AE1035)=1),1031,""))</f>
        <v/>
      </c>
      <c r="DI1032">
        <f>IF('История отказов'!AK1035="","",IF(AND(COUNTIF($CL$2:$CL$3,'История отказов'!AK1035)=0,COUNTIF('История отказов'!$AK$5:AK1035,'История отказов'!AK1035)=1),1031,""))</f>
        <v/>
      </c>
      <c r="DJ1032">
        <f>IF('История отказов'!AU1035="","",IF(AND(COUNTIF($CP$2:$CP$3,'История отказов'!AU1035)=0,COUNTIF('История отказов'!$AU$5:AU1035,'История отказов'!AU1035)=1),1031,""))</f>
        <v/>
      </c>
      <c r="DK1032">
        <f>IF('История отказов'!AY1035="","",IF(AND(COUNTIF($CR$2:$CR$2,'История отказов'!AY1035)=0,COUNTIF('История отказов'!$AY$5:AY1035,'История отказов'!AY1035)=1),1031,""))</f>
        <v/>
      </c>
      <c r="DL1032">
        <f>IF(DB1032="","",IF(AND(COUNTIF($DA$2:$DA$47,DB1032)=0,COUNTIF($DB$2:DB1032,DB1032)=1),1031,""))</f>
        <v/>
      </c>
    </row>
    <row r="1033">
      <c r="A1033" s="74" t="n"/>
      <c r="B1033" s="75" t="n"/>
      <c r="C1033" s="76" t="n"/>
      <c r="DB1033">
        <f>IF('История отказов'!AH1036="","",'История отказов'!AH1036)</f>
        <v/>
      </c>
      <c r="DC1033">
        <f>IF('История отказов'!AE1036="","",IF(AND(COUNTIF($CT$2:$CT$2,'История отказов'!AE1036)=0,COUNTIFS('История отказов'!$F$5:F1036,"ШГН",'История отказов'!$AE$5:AE1036,'История отказов'!AE1036)=1,'История отказов'!F1036="ШГН"),1032,""))</f>
        <v/>
      </c>
      <c r="DD1033">
        <f>IF('История отказов'!AE1036="","",IF(AND(COUNTIF($CU$2:$CU$3,'История отказов'!AE1036)=0,COUNTIFS('История отказов'!$F$5:F1036,"ЭЦН",'История отказов'!$AE$5:AE1036,'История отказов'!AE1036)=1,'История отказов'!F1036="ЭЦН"),1032,""))</f>
        <v/>
      </c>
      <c r="DE1033">
        <f>IF('История отказов'!AE1036="","",IF(AND(COUNTIF($CV$2:$CV$3,'История отказов'!AE1036)=0,COUNTIFS('История отказов'!$F$5:F1036,"ЭВН",'История отказов'!$AE$5:AE1036,'История отказов'!AE1036)=1,'История отказов'!F1036="ЭВН"),1032,""))</f>
        <v/>
      </c>
      <c r="DF1033">
        <f>IF('История отказов'!AE1036="","",IF(AND(COUNTIF($CX$2:$CX$2,'История отказов'!AE1036)=0,COUNTIFS('История отказов'!$F$5:F1036,"ШВН",'История отказов'!$AE$5:AE1036,'История отказов'!AE1036)=1,'История отказов'!F1036="ШВН"),1032,""))</f>
        <v/>
      </c>
      <c r="DG1033">
        <f>IF('История отказов'!AE1036="","",IF(AND(COUNTIF($CW$2:$CW$2,'История отказов'!AE1036)=0,COUNTIFS('История отказов'!$F$5:F1036,"НПУ-ВД",'История отказов'!$AE$5:AE1036,'История отказов'!AE1036)=1,'История отказов'!F1036="НПУ-ВД"),1032,""))</f>
        <v/>
      </c>
      <c r="DH1033">
        <f>IF('История отказов'!AE1036="","",IF(AND(COUNTIF($CY$2:$CY$6,'История отказов'!AE1036)=0,COUNTIF('История отказов'!$AE$5:AE1036,'История отказов'!AE1036)=1),1032,""))</f>
        <v/>
      </c>
      <c r="DI1033">
        <f>IF('История отказов'!AK1036="","",IF(AND(COUNTIF($CL$2:$CL$3,'История отказов'!AK1036)=0,COUNTIF('История отказов'!$AK$5:AK1036,'История отказов'!AK1036)=1),1032,""))</f>
        <v/>
      </c>
      <c r="DJ1033">
        <f>IF('История отказов'!AU1036="","",IF(AND(COUNTIF($CP$2:$CP$3,'История отказов'!AU1036)=0,COUNTIF('История отказов'!$AU$5:AU1036,'История отказов'!AU1036)=1),1032,""))</f>
        <v/>
      </c>
      <c r="DK1033">
        <f>IF('История отказов'!AY1036="","",IF(AND(COUNTIF($CR$2:$CR$2,'История отказов'!AY1036)=0,COUNTIF('История отказов'!$AY$5:AY1036,'История отказов'!AY1036)=1),1032,""))</f>
        <v/>
      </c>
      <c r="DL1033">
        <f>IF(DB1033="","",IF(AND(COUNTIF($DA$2:$DA$47,DB1033)=0,COUNTIF($DB$2:DB1033,DB1033)=1),1032,""))</f>
        <v/>
      </c>
    </row>
    <row r="1034">
      <c r="A1034" s="74" t="n"/>
      <c r="B1034" s="75" t="n"/>
      <c r="C1034" s="76" t="n"/>
      <c r="DB1034">
        <f>IF('История отказов'!AH1037="","",'История отказов'!AH1037)</f>
        <v/>
      </c>
      <c r="DC1034">
        <f>IF('История отказов'!AE1037="","",IF(AND(COUNTIF($CT$2:$CT$2,'История отказов'!AE1037)=0,COUNTIFS('История отказов'!$F$5:F1037,"ШГН",'История отказов'!$AE$5:AE1037,'История отказов'!AE1037)=1,'История отказов'!F1037="ШГН"),1033,""))</f>
        <v/>
      </c>
      <c r="DD1034">
        <f>IF('История отказов'!AE1037="","",IF(AND(COUNTIF($CU$2:$CU$3,'История отказов'!AE1037)=0,COUNTIFS('История отказов'!$F$5:F1037,"ЭЦН",'История отказов'!$AE$5:AE1037,'История отказов'!AE1037)=1,'История отказов'!F1037="ЭЦН"),1033,""))</f>
        <v/>
      </c>
      <c r="DE1034">
        <f>IF('История отказов'!AE1037="","",IF(AND(COUNTIF($CV$2:$CV$3,'История отказов'!AE1037)=0,COUNTIFS('История отказов'!$F$5:F1037,"ЭВН",'История отказов'!$AE$5:AE1037,'История отказов'!AE1037)=1,'История отказов'!F1037="ЭВН"),1033,""))</f>
        <v/>
      </c>
      <c r="DF1034">
        <f>IF('История отказов'!AE1037="","",IF(AND(COUNTIF($CX$2:$CX$2,'История отказов'!AE1037)=0,COUNTIFS('История отказов'!$F$5:F1037,"ШВН",'История отказов'!$AE$5:AE1037,'История отказов'!AE1037)=1,'История отказов'!F1037="ШВН"),1033,""))</f>
        <v/>
      </c>
      <c r="DG1034">
        <f>IF('История отказов'!AE1037="","",IF(AND(COUNTIF($CW$2:$CW$2,'История отказов'!AE1037)=0,COUNTIFS('История отказов'!$F$5:F1037,"НПУ-ВД",'История отказов'!$AE$5:AE1037,'История отказов'!AE1037)=1,'История отказов'!F1037="НПУ-ВД"),1033,""))</f>
        <v/>
      </c>
      <c r="DH1034">
        <f>IF('История отказов'!AE1037="","",IF(AND(COUNTIF($CY$2:$CY$6,'История отказов'!AE1037)=0,COUNTIF('История отказов'!$AE$5:AE1037,'История отказов'!AE1037)=1),1033,""))</f>
        <v/>
      </c>
      <c r="DI1034">
        <f>IF('История отказов'!AK1037="","",IF(AND(COUNTIF($CL$2:$CL$3,'История отказов'!AK1037)=0,COUNTIF('История отказов'!$AK$5:AK1037,'История отказов'!AK1037)=1),1033,""))</f>
        <v/>
      </c>
      <c r="DJ1034">
        <f>IF('История отказов'!AU1037="","",IF(AND(COUNTIF($CP$2:$CP$3,'История отказов'!AU1037)=0,COUNTIF('История отказов'!$AU$5:AU1037,'История отказов'!AU1037)=1),1033,""))</f>
        <v/>
      </c>
      <c r="DK1034">
        <f>IF('История отказов'!AY1037="","",IF(AND(COUNTIF($CR$2:$CR$2,'История отказов'!AY1037)=0,COUNTIF('История отказов'!$AY$5:AY1037,'История отказов'!AY1037)=1),1033,""))</f>
        <v/>
      </c>
      <c r="DL1034">
        <f>IF(DB1034="","",IF(AND(COUNTIF($DA$2:$DA$47,DB1034)=0,COUNTIF($DB$2:DB1034,DB1034)=1),1033,""))</f>
        <v/>
      </c>
    </row>
    <row r="1035">
      <c r="A1035" s="74" t="n"/>
      <c r="B1035" s="75" t="n"/>
      <c r="C1035" s="76" t="n"/>
      <c r="DB1035">
        <f>IF('История отказов'!AH1038="","",'История отказов'!AH1038)</f>
        <v/>
      </c>
      <c r="DC1035">
        <f>IF('История отказов'!AE1038="","",IF(AND(COUNTIF($CT$2:$CT$2,'История отказов'!AE1038)=0,COUNTIFS('История отказов'!$F$5:F1038,"ШГН",'История отказов'!$AE$5:AE1038,'История отказов'!AE1038)=1,'История отказов'!F1038="ШГН"),1034,""))</f>
        <v/>
      </c>
      <c r="DD1035">
        <f>IF('История отказов'!AE1038="","",IF(AND(COUNTIF($CU$2:$CU$3,'История отказов'!AE1038)=0,COUNTIFS('История отказов'!$F$5:F1038,"ЭЦН",'История отказов'!$AE$5:AE1038,'История отказов'!AE1038)=1,'История отказов'!F1038="ЭЦН"),1034,""))</f>
        <v/>
      </c>
      <c r="DE1035">
        <f>IF('История отказов'!AE1038="","",IF(AND(COUNTIF($CV$2:$CV$3,'История отказов'!AE1038)=0,COUNTIFS('История отказов'!$F$5:F1038,"ЭВН",'История отказов'!$AE$5:AE1038,'История отказов'!AE1038)=1,'История отказов'!F1038="ЭВН"),1034,""))</f>
        <v/>
      </c>
      <c r="DF1035">
        <f>IF('История отказов'!AE1038="","",IF(AND(COUNTIF($CX$2:$CX$2,'История отказов'!AE1038)=0,COUNTIFS('История отказов'!$F$5:F1038,"ШВН",'История отказов'!$AE$5:AE1038,'История отказов'!AE1038)=1,'История отказов'!F1038="ШВН"),1034,""))</f>
        <v/>
      </c>
      <c r="DG1035">
        <f>IF('История отказов'!AE1038="","",IF(AND(COUNTIF($CW$2:$CW$2,'История отказов'!AE1038)=0,COUNTIFS('История отказов'!$F$5:F1038,"НПУ-ВД",'История отказов'!$AE$5:AE1038,'История отказов'!AE1038)=1,'История отказов'!F1038="НПУ-ВД"),1034,""))</f>
        <v/>
      </c>
      <c r="DH1035">
        <f>IF('История отказов'!AE1038="","",IF(AND(COUNTIF($CY$2:$CY$6,'История отказов'!AE1038)=0,COUNTIF('История отказов'!$AE$5:AE1038,'История отказов'!AE1038)=1),1034,""))</f>
        <v/>
      </c>
      <c r="DI1035">
        <f>IF('История отказов'!AK1038="","",IF(AND(COUNTIF($CL$2:$CL$3,'История отказов'!AK1038)=0,COUNTIF('История отказов'!$AK$5:AK1038,'История отказов'!AK1038)=1),1034,""))</f>
        <v/>
      </c>
      <c r="DJ1035">
        <f>IF('История отказов'!AU1038="","",IF(AND(COUNTIF($CP$2:$CP$3,'История отказов'!AU1038)=0,COUNTIF('История отказов'!$AU$5:AU1038,'История отказов'!AU1038)=1),1034,""))</f>
        <v/>
      </c>
      <c r="DK1035">
        <f>IF('История отказов'!AY1038="","",IF(AND(COUNTIF($CR$2:$CR$2,'История отказов'!AY1038)=0,COUNTIF('История отказов'!$AY$5:AY1038,'История отказов'!AY1038)=1),1034,""))</f>
        <v/>
      </c>
      <c r="DL1035">
        <f>IF(DB1035="","",IF(AND(COUNTIF($DA$2:$DA$47,DB1035)=0,COUNTIF($DB$2:DB1035,DB1035)=1),1034,""))</f>
        <v/>
      </c>
    </row>
    <row r="1036">
      <c r="A1036" s="74" t="n"/>
      <c r="B1036" s="75" t="n"/>
      <c r="C1036" s="76" t="n"/>
      <c r="DB1036">
        <f>IF('История отказов'!AH1039="","",'История отказов'!AH1039)</f>
        <v/>
      </c>
      <c r="DC1036">
        <f>IF('История отказов'!AE1039="","",IF(AND(COUNTIF($CT$2:$CT$2,'История отказов'!AE1039)=0,COUNTIFS('История отказов'!$F$5:F1039,"ШГН",'История отказов'!$AE$5:AE1039,'История отказов'!AE1039)=1,'История отказов'!F1039="ШГН"),1035,""))</f>
        <v/>
      </c>
      <c r="DD1036">
        <f>IF('История отказов'!AE1039="","",IF(AND(COUNTIF($CU$2:$CU$3,'История отказов'!AE1039)=0,COUNTIFS('История отказов'!$F$5:F1039,"ЭЦН",'История отказов'!$AE$5:AE1039,'История отказов'!AE1039)=1,'История отказов'!F1039="ЭЦН"),1035,""))</f>
        <v/>
      </c>
      <c r="DE1036">
        <f>IF('История отказов'!AE1039="","",IF(AND(COUNTIF($CV$2:$CV$3,'История отказов'!AE1039)=0,COUNTIFS('История отказов'!$F$5:F1039,"ЭВН",'История отказов'!$AE$5:AE1039,'История отказов'!AE1039)=1,'История отказов'!F1039="ЭВН"),1035,""))</f>
        <v/>
      </c>
      <c r="DF1036">
        <f>IF('История отказов'!AE1039="","",IF(AND(COUNTIF($CX$2:$CX$2,'История отказов'!AE1039)=0,COUNTIFS('История отказов'!$F$5:F1039,"ШВН",'История отказов'!$AE$5:AE1039,'История отказов'!AE1039)=1,'История отказов'!F1039="ШВН"),1035,""))</f>
        <v/>
      </c>
      <c r="DG1036">
        <f>IF('История отказов'!AE1039="","",IF(AND(COUNTIF($CW$2:$CW$2,'История отказов'!AE1039)=0,COUNTIFS('История отказов'!$F$5:F1039,"НПУ-ВД",'История отказов'!$AE$5:AE1039,'История отказов'!AE1039)=1,'История отказов'!F1039="НПУ-ВД"),1035,""))</f>
        <v/>
      </c>
      <c r="DH1036">
        <f>IF('История отказов'!AE1039="","",IF(AND(COUNTIF($CY$2:$CY$6,'История отказов'!AE1039)=0,COUNTIF('История отказов'!$AE$5:AE1039,'История отказов'!AE1039)=1),1035,""))</f>
        <v/>
      </c>
      <c r="DI1036">
        <f>IF('История отказов'!AK1039="","",IF(AND(COUNTIF($CL$2:$CL$3,'История отказов'!AK1039)=0,COUNTIF('История отказов'!$AK$5:AK1039,'История отказов'!AK1039)=1),1035,""))</f>
        <v/>
      </c>
      <c r="DJ1036">
        <f>IF('История отказов'!AU1039="","",IF(AND(COUNTIF($CP$2:$CP$3,'История отказов'!AU1039)=0,COUNTIF('История отказов'!$AU$5:AU1039,'История отказов'!AU1039)=1),1035,""))</f>
        <v/>
      </c>
      <c r="DK1036">
        <f>IF('История отказов'!AY1039="","",IF(AND(COUNTIF($CR$2:$CR$2,'История отказов'!AY1039)=0,COUNTIF('История отказов'!$AY$5:AY1039,'История отказов'!AY1039)=1),1035,""))</f>
        <v/>
      </c>
      <c r="DL1036">
        <f>IF(DB1036="","",IF(AND(COUNTIF($DA$2:$DA$47,DB1036)=0,COUNTIF($DB$2:DB1036,DB1036)=1),1035,""))</f>
        <v/>
      </c>
    </row>
    <row r="1037">
      <c r="A1037" s="74" t="n"/>
      <c r="B1037" s="75" t="n"/>
      <c r="C1037" s="76" t="n"/>
      <c r="DB1037">
        <f>IF('История отказов'!AH1040="","",'История отказов'!AH1040)</f>
        <v/>
      </c>
      <c r="DC1037">
        <f>IF('История отказов'!AE1040="","",IF(AND(COUNTIF($CT$2:$CT$2,'История отказов'!AE1040)=0,COUNTIFS('История отказов'!$F$5:F1040,"ШГН",'История отказов'!$AE$5:AE1040,'История отказов'!AE1040)=1,'История отказов'!F1040="ШГН"),1036,""))</f>
        <v/>
      </c>
      <c r="DD1037">
        <f>IF('История отказов'!AE1040="","",IF(AND(COUNTIF($CU$2:$CU$3,'История отказов'!AE1040)=0,COUNTIFS('История отказов'!$F$5:F1040,"ЭЦН",'История отказов'!$AE$5:AE1040,'История отказов'!AE1040)=1,'История отказов'!F1040="ЭЦН"),1036,""))</f>
        <v/>
      </c>
      <c r="DE1037">
        <f>IF('История отказов'!AE1040="","",IF(AND(COUNTIF($CV$2:$CV$3,'История отказов'!AE1040)=0,COUNTIFS('История отказов'!$F$5:F1040,"ЭВН",'История отказов'!$AE$5:AE1040,'История отказов'!AE1040)=1,'История отказов'!F1040="ЭВН"),1036,""))</f>
        <v/>
      </c>
      <c r="DF1037">
        <f>IF('История отказов'!AE1040="","",IF(AND(COUNTIF($CX$2:$CX$2,'История отказов'!AE1040)=0,COUNTIFS('История отказов'!$F$5:F1040,"ШВН",'История отказов'!$AE$5:AE1040,'История отказов'!AE1040)=1,'История отказов'!F1040="ШВН"),1036,""))</f>
        <v/>
      </c>
      <c r="DG1037">
        <f>IF('История отказов'!AE1040="","",IF(AND(COUNTIF($CW$2:$CW$2,'История отказов'!AE1040)=0,COUNTIFS('История отказов'!$F$5:F1040,"НПУ-ВД",'История отказов'!$AE$5:AE1040,'История отказов'!AE1040)=1,'История отказов'!F1040="НПУ-ВД"),1036,""))</f>
        <v/>
      </c>
      <c r="DH1037">
        <f>IF('История отказов'!AE1040="","",IF(AND(COUNTIF($CY$2:$CY$6,'История отказов'!AE1040)=0,COUNTIF('История отказов'!$AE$5:AE1040,'История отказов'!AE1040)=1),1036,""))</f>
        <v/>
      </c>
      <c r="DI1037">
        <f>IF('История отказов'!AK1040="","",IF(AND(COUNTIF($CL$2:$CL$3,'История отказов'!AK1040)=0,COUNTIF('История отказов'!$AK$5:AK1040,'История отказов'!AK1040)=1),1036,""))</f>
        <v/>
      </c>
      <c r="DJ1037">
        <f>IF('История отказов'!AU1040="","",IF(AND(COUNTIF($CP$2:$CP$3,'История отказов'!AU1040)=0,COUNTIF('История отказов'!$AU$5:AU1040,'История отказов'!AU1040)=1),1036,""))</f>
        <v/>
      </c>
      <c r="DK1037">
        <f>IF('История отказов'!AY1040="","",IF(AND(COUNTIF($CR$2:$CR$2,'История отказов'!AY1040)=0,COUNTIF('История отказов'!$AY$5:AY1040,'История отказов'!AY1040)=1),1036,""))</f>
        <v/>
      </c>
      <c r="DL1037">
        <f>IF(DB1037="","",IF(AND(COUNTIF($DA$2:$DA$47,DB1037)=0,COUNTIF($DB$2:DB1037,DB1037)=1),1036,""))</f>
        <v/>
      </c>
    </row>
    <row r="1038">
      <c r="A1038" s="74" t="n"/>
      <c r="B1038" s="75" t="n"/>
      <c r="C1038" s="76" t="n"/>
      <c r="DB1038">
        <f>IF('История отказов'!AH1041="","",'История отказов'!AH1041)</f>
        <v/>
      </c>
      <c r="DC1038">
        <f>IF('История отказов'!AE1041="","",IF(AND(COUNTIF($CT$2:$CT$2,'История отказов'!AE1041)=0,COUNTIFS('История отказов'!$F$5:F1041,"ШГН",'История отказов'!$AE$5:AE1041,'История отказов'!AE1041)=1,'История отказов'!F1041="ШГН"),1037,""))</f>
        <v/>
      </c>
      <c r="DD1038">
        <f>IF('История отказов'!AE1041="","",IF(AND(COUNTIF($CU$2:$CU$3,'История отказов'!AE1041)=0,COUNTIFS('История отказов'!$F$5:F1041,"ЭЦН",'История отказов'!$AE$5:AE1041,'История отказов'!AE1041)=1,'История отказов'!F1041="ЭЦН"),1037,""))</f>
        <v/>
      </c>
      <c r="DE1038">
        <f>IF('История отказов'!AE1041="","",IF(AND(COUNTIF($CV$2:$CV$3,'История отказов'!AE1041)=0,COUNTIFS('История отказов'!$F$5:F1041,"ЭВН",'История отказов'!$AE$5:AE1041,'История отказов'!AE1041)=1,'История отказов'!F1041="ЭВН"),1037,""))</f>
        <v/>
      </c>
      <c r="DF1038">
        <f>IF('История отказов'!AE1041="","",IF(AND(COUNTIF($CX$2:$CX$2,'История отказов'!AE1041)=0,COUNTIFS('История отказов'!$F$5:F1041,"ШВН",'История отказов'!$AE$5:AE1041,'История отказов'!AE1041)=1,'История отказов'!F1041="ШВН"),1037,""))</f>
        <v/>
      </c>
      <c r="DG1038">
        <f>IF('История отказов'!AE1041="","",IF(AND(COUNTIF($CW$2:$CW$2,'История отказов'!AE1041)=0,COUNTIFS('История отказов'!$F$5:F1041,"НПУ-ВД",'История отказов'!$AE$5:AE1041,'История отказов'!AE1041)=1,'История отказов'!F1041="НПУ-ВД"),1037,""))</f>
        <v/>
      </c>
      <c r="DH1038">
        <f>IF('История отказов'!AE1041="","",IF(AND(COUNTIF($CY$2:$CY$6,'История отказов'!AE1041)=0,COUNTIF('История отказов'!$AE$5:AE1041,'История отказов'!AE1041)=1),1037,""))</f>
        <v/>
      </c>
      <c r="DI1038">
        <f>IF('История отказов'!AK1041="","",IF(AND(COUNTIF($CL$2:$CL$3,'История отказов'!AK1041)=0,COUNTIF('История отказов'!$AK$5:AK1041,'История отказов'!AK1041)=1),1037,""))</f>
        <v/>
      </c>
      <c r="DJ1038">
        <f>IF('История отказов'!AU1041="","",IF(AND(COUNTIF($CP$2:$CP$3,'История отказов'!AU1041)=0,COUNTIF('История отказов'!$AU$5:AU1041,'История отказов'!AU1041)=1),1037,""))</f>
        <v/>
      </c>
      <c r="DK1038">
        <f>IF('История отказов'!AY1041="","",IF(AND(COUNTIF($CR$2:$CR$2,'История отказов'!AY1041)=0,COUNTIF('История отказов'!$AY$5:AY1041,'История отказов'!AY1041)=1),1037,""))</f>
        <v/>
      </c>
      <c r="DL1038">
        <f>IF(DB1038="","",IF(AND(COUNTIF($DA$2:$DA$47,DB1038)=0,COUNTIF($DB$2:DB1038,DB1038)=1),1037,""))</f>
        <v/>
      </c>
    </row>
    <row r="1039">
      <c r="A1039" s="74" t="n"/>
      <c r="B1039" s="75" t="n"/>
      <c r="C1039" s="76" t="n"/>
      <c r="DB1039">
        <f>IF('История отказов'!AH1042="","",'История отказов'!AH1042)</f>
        <v/>
      </c>
      <c r="DC1039">
        <f>IF('История отказов'!AE1042="","",IF(AND(COUNTIF($CT$2:$CT$2,'История отказов'!AE1042)=0,COUNTIFS('История отказов'!$F$5:F1042,"ШГН",'История отказов'!$AE$5:AE1042,'История отказов'!AE1042)=1,'История отказов'!F1042="ШГН"),1038,""))</f>
        <v/>
      </c>
      <c r="DD1039">
        <f>IF('История отказов'!AE1042="","",IF(AND(COUNTIF($CU$2:$CU$3,'История отказов'!AE1042)=0,COUNTIFS('История отказов'!$F$5:F1042,"ЭЦН",'История отказов'!$AE$5:AE1042,'История отказов'!AE1042)=1,'История отказов'!F1042="ЭЦН"),1038,""))</f>
        <v/>
      </c>
      <c r="DE1039">
        <f>IF('История отказов'!AE1042="","",IF(AND(COUNTIF($CV$2:$CV$3,'История отказов'!AE1042)=0,COUNTIFS('История отказов'!$F$5:F1042,"ЭВН",'История отказов'!$AE$5:AE1042,'История отказов'!AE1042)=1,'История отказов'!F1042="ЭВН"),1038,""))</f>
        <v/>
      </c>
      <c r="DF1039">
        <f>IF('История отказов'!AE1042="","",IF(AND(COUNTIF($CX$2:$CX$2,'История отказов'!AE1042)=0,COUNTIFS('История отказов'!$F$5:F1042,"ШВН",'История отказов'!$AE$5:AE1042,'История отказов'!AE1042)=1,'История отказов'!F1042="ШВН"),1038,""))</f>
        <v/>
      </c>
      <c r="DG1039">
        <f>IF('История отказов'!AE1042="","",IF(AND(COUNTIF($CW$2:$CW$2,'История отказов'!AE1042)=0,COUNTIFS('История отказов'!$F$5:F1042,"НПУ-ВД",'История отказов'!$AE$5:AE1042,'История отказов'!AE1042)=1,'История отказов'!F1042="НПУ-ВД"),1038,""))</f>
        <v/>
      </c>
      <c r="DH1039">
        <f>IF('История отказов'!AE1042="","",IF(AND(COUNTIF($CY$2:$CY$6,'История отказов'!AE1042)=0,COUNTIF('История отказов'!$AE$5:AE1042,'История отказов'!AE1042)=1),1038,""))</f>
        <v/>
      </c>
      <c r="DI1039">
        <f>IF('История отказов'!AK1042="","",IF(AND(COUNTIF($CL$2:$CL$3,'История отказов'!AK1042)=0,COUNTIF('История отказов'!$AK$5:AK1042,'История отказов'!AK1042)=1),1038,""))</f>
        <v/>
      </c>
      <c r="DJ1039">
        <f>IF('История отказов'!AU1042="","",IF(AND(COUNTIF($CP$2:$CP$3,'История отказов'!AU1042)=0,COUNTIF('История отказов'!$AU$5:AU1042,'История отказов'!AU1042)=1),1038,""))</f>
        <v/>
      </c>
      <c r="DK1039">
        <f>IF('История отказов'!AY1042="","",IF(AND(COUNTIF($CR$2:$CR$2,'История отказов'!AY1042)=0,COUNTIF('История отказов'!$AY$5:AY1042,'История отказов'!AY1042)=1),1038,""))</f>
        <v/>
      </c>
      <c r="DL1039">
        <f>IF(DB1039="","",IF(AND(COUNTIF($DA$2:$DA$47,DB1039)=0,COUNTIF($DB$2:DB1039,DB1039)=1),1038,""))</f>
        <v/>
      </c>
    </row>
    <row r="1040">
      <c r="A1040" s="74" t="n"/>
      <c r="B1040" s="75" t="n"/>
      <c r="C1040" s="76" t="n"/>
      <c r="DB1040">
        <f>IF('История отказов'!AH1043="","",'История отказов'!AH1043)</f>
        <v/>
      </c>
      <c r="DC1040">
        <f>IF('История отказов'!AE1043="","",IF(AND(COUNTIF($CT$2:$CT$2,'История отказов'!AE1043)=0,COUNTIFS('История отказов'!$F$5:F1043,"ШГН",'История отказов'!$AE$5:AE1043,'История отказов'!AE1043)=1,'История отказов'!F1043="ШГН"),1039,""))</f>
        <v/>
      </c>
      <c r="DD1040">
        <f>IF('История отказов'!AE1043="","",IF(AND(COUNTIF($CU$2:$CU$3,'История отказов'!AE1043)=0,COUNTIFS('История отказов'!$F$5:F1043,"ЭЦН",'История отказов'!$AE$5:AE1043,'История отказов'!AE1043)=1,'История отказов'!F1043="ЭЦН"),1039,""))</f>
        <v/>
      </c>
      <c r="DE1040">
        <f>IF('История отказов'!AE1043="","",IF(AND(COUNTIF($CV$2:$CV$3,'История отказов'!AE1043)=0,COUNTIFS('История отказов'!$F$5:F1043,"ЭВН",'История отказов'!$AE$5:AE1043,'История отказов'!AE1043)=1,'История отказов'!F1043="ЭВН"),1039,""))</f>
        <v/>
      </c>
      <c r="DF1040">
        <f>IF('История отказов'!AE1043="","",IF(AND(COUNTIF($CX$2:$CX$2,'История отказов'!AE1043)=0,COUNTIFS('История отказов'!$F$5:F1043,"ШВН",'История отказов'!$AE$5:AE1043,'История отказов'!AE1043)=1,'История отказов'!F1043="ШВН"),1039,""))</f>
        <v/>
      </c>
      <c r="DG1040">
        <f>IF('История отказов'!AE1043="","",IF(AND(COUNTIF($CW$2:$CW$2,'История отказов'!AE1043)=0,COUNTIFS('История отказов'!$F$5:F1043,"НПУ-ВД",'История отказов'!$AE$5:AE1043,'История отказов'!AE1043)=1,'История отказов'!F1043="НПУ-ВД"),1039,""))</f>
        <v/>
      </c>
      <c r="DH1040">
        <f>IF('История отказов'!AE1043="","",IF(AND(COUNTIF($CY$2:$CY$6,'История отказов'!AE1043)=0,COUNTIF('История отказов'!$AE$5:AE1043,'История отказов'!AE1043)=1),1039,""))</f>
        <v/>
      </c>
      <c r="DI1040">
        <f>IF('История отказов'!AK1043="","",IF(AND(COUNTIF($CL$2:$CL$3,'История отказов'!AK1043)=0,COUNTIF('История отказов'!$AK$5:AK1043,'История отказов'!AK1043)=1),1039,""))</f>
        <v/>
      </c>
      <c r="DJ1040">
        <f>IF('История отказов'!AU1043="","",IF(AND(COUNTIF($CP$2:$CP$3,'История отказов'!AU1043)=0,COUNTIF('История отказов'!$AU$5:AU1043,'История отказов'!AU1043)=1),1039,""))</f>
        <v/>
      </c>
      <c r="DK1040">
        <f>IF('История отказов'!AY1043="","",IF(AND(COUNTIF($CR$2:$CR$2,'История отказов'!AY1043)=0,COUNTIF('История отказов'!$AY$5:AY1043,'История отказов'!AY1043)=1),1039,""))</f>
        <v/>
      </c>
      <c r="DL1040">
        <f>IF(DB1040="","",IF(AND(COUNTIF($DA$2:$DA$47,DB1040)=0,COUNTIF($DB$2:DB1040,DB1040)=1),1039,""))</f>
        <v/>
      </c>
    </row>
    <row r="1041">
      <c r="A1041" s="74" t="n"/>
      <c r="B1041" s="75" t="n"/>
      <c r="C1041" s="76" t="n"/>
      <c r="DB1041">
        <f>IF('История отказов'!AH1044="","",'История отказов'!AH1044)</f>
        <v/>
      </c>
      <c r="DC1041">
        <f>IF('История отказов'!AE1044="","",IF(AND(COUNTIF($CT$2:$CT$2,'История отказов'!AE1044)=0,COUNTIFS('История отказов'!$F$5:F1044,"ШГН",'История отказов'!$AE$5:AE1044,'История отказов'!AE1044)=1,'История отказов'!F1044="ШГН"),1040,""))</f>
        <v/>
      </c>
      <c r="DD1041">
        <f>IF('История отказов'!AE1044="","",IF(AND(COUNTIF($CU$2:$CU$3,'История отказов'!AE1044)=0,COUNTIFS('История отказов'!$F$5:F1044,"ЭЦН",'История отказов'!$AE$5:AE1044,'История отказов'!AE1044)=1,'История отказов'!F1044="ЭЦН"),1040,""))</f>
        <v/>
      </c>
      <c r="DE1041">
        <f>IF('История отказов'!AE1044="","",IF(AND(COUNTIF($CV$2:$CV$3,'История отказов'!AE1044)=0,COUNTIFS('История отказов'!$F$5:F1044,"ЭВН",'История отказов'!$AE$5:AE1044,'История отказов'!AE1044)=1,'История отказов'!F1044="ЭВН"),1040,""))</f>
        <v/>
      </c>
      <c r="DF1041">
        <f>IF('История отказов'!AE1044="","",IF(AND(COUNTIF($CX$2:$CX$2,'История отказов'!AE1044)=0,COUNTIFS('История отказов'!$F$5:F1044,"ШВН",'История отказов'!$AE$5:AE1044,'История отказов'!AE1044)=1,'История отказов'!F1044="ШВН"),1040,""))</f>
        <v/>
      </c>
      <c r="DG1041">
        <f>IF('История отказов'!AE1044="","",IF(AND(COUNTIF($CW$2:$CW$2,'История отказов'!AE1044)=0,COUNTIFS('История отказов'!$F$5:F1044,"НПУ-ВД",'История отказов'!$AE$5:AE1044,'История отказов'!AE1044)=1,'История отказов'!F1044="НПУ-ВД"),1040,""))</f>
        <v/>
      </c>
      <c r="DH1041">
        <f>IF('История отказов'!AE1044="","",IF(AND(COUNTIF($CY$2:$CY$6,'История отказов'!AE1044)=0,COUNTIF('История отказов'!$AE$5:AE1044,'История отказов'!AE1044)=1),1040,""))</f>
        <v/>
      </c>
      <c r="DI1041">
        <f>IF('История отказов'!AK1044="","",IF(AND(COUNTIF($CL$2:$CL$3,'История отказов'!AK1044)=0,COUNTIF('История отказов'!$AK$5:AK1044,'История отказов'!AK1044)=1),1040,""))</f>
        <v/>
      </c>
      <c r="DJ1041">
        <f>IF('История отказов'!AU1044="","",IF(AND(COUNTIF($CP$2:$CP$3,'История отказов'!AU1044)=0,COUNTIF('История отказов'!$AU$5:AU1044,'История отказов'!AU1044)=1),1040,""))</f>
        <v/>
      </c>
      <c r="DK1041">
        <f>IF('История отказов'!AY1044="","",IF(AND(COUNTIF($CR$2:$CR$2,'История отказов'!AY1044)=0,COUNTIF('История отказов'!$AY$5:AY1044,'История отказов'!AY1044)=1),1040,""))</f>
        <v/>
      </c>
      <c r="DL1041">
        <f>IF(DB1041="","",IF(AND(COUNTIF($DA$2:$DA$47,DB1041)=0,COUNTIF($DB$2:DB1041,DB1041)=1),1040,""))</f>
        <v/>
      </c>
    </row>
    <row r="1042">
      <c r="A1042" s="74" t="n"/>
      <c r="B1042" s="75" t="n"/>
      <c r="C1042" s="76" t="n"/>
      <c r="DB1042">
        <f>IF('История отказов'!AH1045="","",'История отказов'!AH1045)</f>
        <v/>
      </c>
      <c r="DC1042">
        <f>IF('История отказов'!AE1045="","",IF(AND(COUNTIF($CT$2:$CT$2,'История отказов'!AE1045)=0,COUNTIFS('История отказов'!$F$5:F1045,"ШГН",'История отказов'!$AE$5:AE1045,'История отказов'!AE1045)=1,'История отказов'!F1045="ШГН"),1041,""))</f>
        <v/>
      </c>
      <c r="DD1042">
        <f>IF('История отказов'!AE1045="","",IF(AND(COUNTIF($CU$2:$CU$3,'История отказов'!AE1045)=0,COUNTIFS('История отказов'!$F$5:F1045,"ЭЦН",'История отказов'!$AE$5:AE1045,'История отказов'!AE1045)=1,'История отказов'!F1045="ЭЦН"),1041,""))</f>
        <v/>
      </c>
      <c r="DE1042">
        <f>IF('История отказов'!AE1045="","",IF(AND(COUNTIF($CV$2:$CV$3,'История отказов'!AE1045)=0,COUNTIFS('История отказов'!$F$5:F1045,"ЭВН",'История отказов'!$AE$5:AE1045,'История отказов'!AE1045)=1,'История отказов'!F1045="ЭВН"),1041,""))</f>
        <v/>
      </c>
      <c r="DF1042">
        <f>IF('История отказов'!AE1045="","",IF(AND(COUNTIF($CX$2:$CX$2,'История отказов'!AE1045)=0,COUNTIFS('История отказов'!$F$5:F1045,"ШВН",'История отказов'!$AE$5:AE1045,'История отказов'!AE1045)=1,'История отказов'!F1045="ШВН"),1041,""))</f>
        <v/>
      </c>
      <c r="DG1042">
        <f>IF('История отказов'!AE1045="","",IF(AND(COUNTIF($CW$2:$CW$2,'История отказов'!AE1045)=0,COUNTIFS('История отказов'!$F$5:F1045,"НПУ-ВД",'История отказов'!$AE$5:AE1045,'История отказов'!AE1045)=1,'История отказов'!F1045="НПУ-ВД"),1041,""))</f>
        <v/>
      </c>
      <c r="DH1042">
        <f>IF('История отказов'!AE1045="","",IF(AND(COUNTIF($CY$2:$CY$6,'История отказов'!AE1045)=0,COUNTIF('История отказов'!$AE$5:AE1045,'История отказов'!AE1045)=1),1041,""))</f>
        <v/>
      </c>
      <c r="DI1042">
        <f>IF('История отказов'!AK1045="","",IF(AND(COUNTIF($CL$2:$CL$3,'История отказов'!AK1045)=0,COUNTIF('История отказов'!$AK$5:AK1045,'История отказов'!AK1045)=1),1041,""))</f>
        <v/>
      </c>
      <c r="DJ1042">
        <f>IF('История отказов'!AU1045="","",IF(AND(COUNTIF($CP$2:$CP$3,'История отказов'!AU1045)=0,COUNTIF('История отказов'!$AU$5:AU1045,'История отказов'!AU1045)=1),1041,""))</f>
        <v/>
      </c>
      <c r="DK1042">
        <f>IF('История отказов'!AY1045="","",IF(AND(COUNTIF($CR$2:$CR$2,'История отказов'!AY1045)=0,COUNTIF('История отказов'!$AY$5:AY1045,'История отказов'!AY1045)=1),1041,""))</f>
        <v/>
      </c>
      <c r="DL1042">
        <f>IF(DB1042="","",IF(AND(COUNTIF($DA$2:$DA$47,DB1042)=0,COUNTIF($DB$2:DB1042,DB1042)=1),1041,""))</f>
        <v/>
      </c>
    </row>
    <row r="1043">
      <c r="A1043" s="74" t="n"/>
      <c r="B1043" s="75" t="n"/>
      <c r="C1043" s="76" t="n"/>
      <c r="DB1043">
        <f>IF('История отказов'!AH1046="","",'История отказов'!AH1046)</f>
        <v/>
      </c>
      <c r="DC1043">
        <f>IF('История отказов'!AE1046="","",IF(AND(COUNTIF($CT$2:$CT$2,'История отказов'!AE1046)=0,COUNTIFS('История отказов'!$F$5:F1046,"ШГН",'История отказов'!$AE$5:AE1046,'История отказов'!AE1046)=1,'История отказов'!F1046="ШГН"),1042,""))</f>
        <v/>
      </c>
      <c r="DD1043">
        <f>IF('История отказов'!AE1046="","",IF(AND(COUNTIF($CU$2:$CU$3,'История отказов'!AE1046)=0,COUNTIFS('История отказов'!$F$5:F1046,"ЭЦН",'История отказов'!$AE$5:AE1046,'История отказов'!AE1046)=1,'История отказов'!F1046="ЭЦН"),1042,""))</f>
        <v/>
      </c>
      <c r="DE1043">
        <f>IF('История отказов'!AE1046="","",IF(AND(COUNTIF($CV$2:$CV$3,'История отказов'!AE1046)=0,COUNTIFS('История отказов'!$F$5:F1046,"ЭВН",'История отказов'!$AE$5:AE1046,'История отказов'!AE1046)=1,'История отказов'!F1046="ЭВН"),1042,""))</f>
        <v/>
      </c>
      <c r="DF1043">
        <f>IF('История отказов'!AE1046="","",IF(AND(COUNTIF($CX$2:$CX$2,'История отказов'!AE1046)=0,COUNTIFS('История отказов'!$F$5:F1046,"ШВН",'История отказов'!$AE$5:AE1046,'История отказов'!AE1046)=1,'История отказов'!F1046="ШВН"),1042,""))</f>
        <v/>
      </c>
      <c r="DG1043">
        <f>IF('История отказов'!AE1046="","",IF(AND(COUNTIF($CW$2:$CW$2,'История отказов'!AE1046)=0,COUNTIFS('История отказов'!$F$5:F1046,"НПУ-ВД",'История отказов'!$AE$5:AE1046,'История отказов'!AE1046)=1,'История отказов'!F1046="НПУ-ВД"),1042,""))</f>
        <v/>
      </c>
      <c r="DH1043">
        <f>IF('История отказов'!AE1046="","",IF(AND(COUNTIF($CY$2:$CY$6,'История отказов'!AE1046)=0,COUNTIF('История отказов'!$AE$5:AE1046,'История отказов'!AE1046)=1),1042,""))</f>
        <v/>
      </c>
      <c r="DI1043">
        <f>IF('История отказов'!AK1046="","",IF(AND(COUNTIF($CL$2:$CL$3,'История отказов'!AK1046)=0,COUNTIF('История отказов'!$AK$5:AK1046,'История отказов'!AK1046)=1),1042,""))</f>
        <v/>
      </c>
      <c r="DJ1043">
        <f>IF('История отказов'!AU1046="","",IF(AND(COUNTIF($CP$2:$CP$3,'История отказов'!AU1046)=0,COUNTIF('История отказов'!$AU$5:AU1046,'История отказов'!AU1046)=1),1042,""))</f>
        <v/>
      </c>
      <c r="DK1043">
        <f>IF('История отказов'!AY1046="","",IF(AND(COUNTIF($CR$2:$CR$2,'История отказов'!AY1046)=0,COUNTIF('История отказов'!$AY$5:AY1046,'История отказов'!AY1046)=1),1042,""))</f>
        <v/>
      </c>
      <c r="DL1043">
        <f>IF(DB1043="","",IF(AND(COUNTIF($DA$2:$DA$47,DB1043)=0,COUNTIF($DB$2:DB1043,DB1043)=1),1042,""))</f>
        <v/>
      </c>
    </row>
    <row r="1044">
      <c r="A1044" s="74" t="n"/>
      <c r="B1044" s="75" t="n"/>
      <c r="C1044" s="76" t="n"/>
      <c r="DB1044">
        <f>IF('История отказов'!AH1047="","",'История отказов'!AH1047)</f>
        <v/>
      </c>
      <c r="DC1044">
        <f>IF('История отказов'!AE1047="","",IF(AND(COUNTIF($CT$2:$CT$2,'История отказов'!AE1047)=0,COUNTIFS('История отказов'!$F$5:F1047,"ШГН",'История отказов'!$AE$5:AE1047,'История отказов'!AE1047)=1,'История отказов'!F1047="ШГН"),1043,""))</f>
        <v/>
      </c>
      <c r="DD1044">
        <f>IF('История отказов'!AE1047="","",IF(AND(COUNTIF($CU$2:$CU$3,'История отказов'!AE1047)=0,COUNTIFS('История отказов'!$F$5:F1047,"ЭЦН",'История отказов'!$AE$5:AE1047,'История отказов'!AE1047)=1,'История отказов'!F1047="ЭЦН"),1043,""))</f>
        <v/>
      </c>
      <c r="DE1044">
        <f>IF('История отказов'!AE1047="","",IF(AND(COUNTIF($CV$2:$CV$3,'История отказов'!AE1047)=0,COUNTIFS('История отказов'!$F$5:F1047,"ЭВН",'История отказов'!$AE$5:AE1047,'История отказов'!AE1047)=1,'История отказов'!F1047="ЭВН"),1043,""))</f>
        <v/>
      </c>
      <c r="DF1044">
        <f>IF('История отказов'!AE1047="","",IF(AND(COUNTIF($CX$2:$CX$2,'История отказов'!AE1047)=0,COUNTIFS('История отказов'!$F$5:F1047,"ШВН",'История отказов'!$AE$5:AE1047,'История отказов'!AE1047)=1,'История отказов'!F1047="ШВН"),1043,""))</f>
        <v/>
      </c>
      <c r="DG1044">
        <f>IF('История отказов'!AE1047="","",IF(AND(COUNTIF($CW$2:$CW$2,'История отказов'!AE1047)=0,COUNTIFS('История отказов'!$F$5:F1047,"НПУ-ВД",'История отказов'!$AE$5:AE1047,'История отказов'!AE1047)=1,'История отказов'!F1047="НПУ-ВД"),1043,""))</f>
        <v/>
      </c>
      <c r="DH1044">
        <f>IF('История отказов'!AE1047="","",IF(AND(COUNTIF($CY$2:$CY$6,'История отказов'!AE1047)=0,COUNTIF('История отказов'!$AE$5:AE1047,'История отказов'!AE1047)=1),1043,""))</f>
        <v/>
      </c>
      <c r="DI1044">
        <f>IF('История отказов'!AK1047="","",IF(AND(COUNTIF($CL$2:$CL$3,'История отказов'!AK1047)=0,COUNTIF('История отказов'!$AK$5:AK1047,'История отказов'!AK1047)=1),1043,""))</f>
        <v/>
      </c>
      <c r="DJ1044">
        <f>IF('История отказов'!AU1047="","",IF(AND(COUNTIF($CP$2:$CP$3,'История отказов'!AU1047)=0,COUNTIF('История отказов'!$AU$5:AU1047,'История отказов'!AU1047)=1),1043,""))</f>
        <v/>
      </c>
      <c r="DK1044">
        <f>IF('История отказов'!AY1047="","",IF(AND(COUNTIF($CR$2:$CR$2,'История отказов'!AY1047)=0,COUNTIF('История отказов'!$AY$5:AY1047,'История отказов'!AY1047)=1),1043,""))</f>
        <v/>
      </c>
      <c r="DL1044">
        <f>IF(DB1044="","",IF(AND(COUNTIF($DA$2:$DA$47,DB1044)=0,COUNTIF($DB$2:DB1044,DB1044)=1),1043,""))</f>
        <v/>
      </c>
    </row>
    <row r="1045">
      <c r="A1045" s="74" t="n"/>
      <c r="B1045" s="75" t="n"/>
      <c r="C1045" s="76" t="n"/>
      <c r="DB1045">
        <f>IF('История отказов'!AH1048="","",'История отказов'!AH1048)</f>
        <v/>
      </c>
      <c r="DC1045">
        <f>IF('История отказов'!AE1048="","",IF(AND(COUNTIF($CT$2:$CT$2,'История отказов'!AE1048)=0,COUNTIFS('История отказов'!$F$5:F1048,"ШГН",'История отказов'!$AE$5:AE1048,'История отказов'!AE1048)=1,'История отказов'!F1048="ШГН"),1044,""))</f>
        <v/>
      </c>
      <c r="DD1045">
        <f>IF('История отказов'!AE1048="","",IF(AND(COUNTIF($CU$2:$CU$3,'История отказов'!AE1048)=0,COUNTIFS('История отказов'!$F$5:F1048,"ЭЦН",'История отказов'!$AE$5:AE1048,'История отказов'!AE1048)=1,'История отказов'!F1048="ЭЦН"),1044,""))</f>
        <v/>
      </c>
      <c r="DE1045">
        <f>IF('История отказов'!AE1048="","",IF(AND(COUNTIF($CV$2:$CV$3,'История отказов'!AE1048)=0,COUNTIFS('История отказов'!$F$5:F1048,"ЭВН",'История отказов'!$AE$5:AE1048,'История отказов'!AE1048)=1,'История отказов'!F1048="ЭВН"),1044,""))</f>
        <v/>
      </c>
      <c r="DF1045">
        <f>IF('История отказов'!AE1048="","",IF(AND(COUNTIF($CX$2:$CX$2,'История отказов'!AE1048)=0,COUNTIFS('История отказов'!$F$5:F1048,"ШВН",'История отказов'!$AE$5:AE1048,'История отказов'!AE1048)=1,'История отказов'!F1048="ШВН"),1044,""))</f>
        <v/>
      </c>
      <c r="DG1045">
        <f>IF('История отказов'!AE1048="","",IF(AND(COUNTIF($CW$2:$CW$2,'История отказов'!AE1048)=0,COUNTIFS('История отказов'!$F$5:F1048,"НПУ-ВД",'История отказов'!$AE$5:AE1048,'История отказов'!AE1048)=1,'История отказов'!F1048="НПУ-ВД"),1044,""))</f>
        <v/>
      </c>
      <c r="DH1045">
        <f>IF('История отказов'!AE1048="","",IF(AND(COUNTIF($CY$2:$CY$6,'История отказов'!AE1048)=0,COUNTIF('История отказов'!$AE$5:AE1048,'История отказов'!AE1048)=1),1044,""))</f>
        <v/>
      </c>
      <c r="DI1045">
        <f>IF('История отказов'!AK1048="","",IF(AND(COUNTIF($CL$2:$CL$3,'История отказов'!AK1048)=0,COUNTIF('История отказов'!$AK$5:AK1048,'История отказов'!AK1048)=1),1044,""))</f>
        <v/>
      </c>
      <c r="DJ1045">
        <f>IF('История отказов'!AU1048="","",IF(AND(COUNTIF($CP$2:$CP$3,'История отказов'!AU1048)=0,COUNTIF('История отказов'!$AU$5:AU1048,'История отказов'!AU1048)=1),1044,""))</f>
        <v/>
      </c>
      <c r="DK1045">
        <f>IF('История отказов'!AY1048="","",IF(AND(COUNTIF($CR$2:$CR$2,'История отказов'!AY1048)=0,COUNTIF('История отказов'!$AY$5:AY1048,'История отказов'!AY1048)=1),1044,""))</f>
        <v/>
      </c>
      <c r="DL1045">
        <f>IF(DB1045="","",IF(AND(COUNTIF($DA$2:$DA$47,DB1045)=0,COUNTIF($DB$2:DB1045,DB1045)=1),1044,""))</f>
        <v/>
      </c>
    </row>
    <row r="1046">
      <c r="A1046" s="74" t="n"/>
      <c r="B1046" s="75" t="n"/>
      <c r="C1046" s="76" t="n"/>
      <c r="DB1046">
        <f>IF('История отказов'!AH1049="","",'История отказов'!AH1049)</f>
        <v/>
      </c>
      <c r="DC1046">
        <f>IF('История отказов'!AE1049="","",IF(AND(COUNTIF($CT$2:$CT$2,'История отказов'!AE1049)=0,COUNTIFS('История отказов'!$F$5:F1049,"ШГН",'История отказов'!$AE$5:AE1049,'История отказов'!AE1049)=1,'История отказов'!F1049="ШГН"),1045,""))</f>
        <v/>
      </c>
      <c r="DD1046">
        <f>IF('История отказов'!AE1049="","",IF(AND(COUNTIF($CU$2:$CU$3,'История отказов'!AE1049)=0,COUNTIFS('История отказов'!$F$5:F1049,"ЭЦН",'История отказов'!$AE$5:AE1049,'История отказов'!AE1049)=1,'История отказов'!F1049="ЭЦН"),1045,""))</f>
        <v/>
      </c>
      <c r="DE1046">
        <f>IF('История отказов'!AE1049="","",IF(AND(COUNTIF($CV$2:$CV$3,'История отказов'!AE1049)=0,COUNTIFS('История отказов'!$F$5:F1049,"ЭВН",'История отказов'!$AE$5:AE1049,'История отказов'!AE1049)=1,'История отказов'!F1049="ЭВН"),1045,""))</f>
        <v/>
      </c>
      <c r="DF1046">
        <f>IF('История отказов'!AE1049="","",IF(AND(COUNTIF($CX$2:$CX$2,'История отказов'!AE1049)=0,COUNTIFS('История отказов'!$F$5:F1049,"ШВН",'История отказов'!$AE$5:AE1049,'История отказов'!AE1049)=1,'История отказов'!F1049="ШВН"),1045,""))</f>
        <v/>
      </c>
      <c r="DG1046">
        <f>IF('История отказов'!AE1049="","",IF(AND(COUNTIF($CW$2:$CW$2,'История отказов'!AE1049)=0,COUNTIFS('История отказов'!$F$5:F1049,"НПУ-ВД",'История отказов'!$AE$5:AE1049,'История отказов'!AE1049)=1,'История отказов'!F1049="НПУ-ВД"),1045,""))</f>
        <v/>
      </c>
      <c r="DH1046">
        <f>IF('История отказов'!AE1049="","",IF(AND(COUNTIF($CY$2:$CY$6,'История отказов'!AE1049)=0,COUNTIF('История отказов'!$AE$5:AE1049,'История отказов'!AE1049)=1),1045,""))</f>
        <v/>
      </c>
      <c r="DI1046">
        <f>IF('История отказов'!AK1049="","",IF(AND(COUNTIF($CL$2:$CL$3,'История отказов'!AK1049)=0,COUNTIF('История отказов'!$AK$5:AK1049,'История отказов'!AK1049)=1),1045,""))</f>
        <v/>
      </c>
      <c r="DJ1046">
        <f>IF('История отказов'!AU1049="","",IF(AND(COUNTIF($CP$2:$CP$3,'История отказов'!AU1049)=0,COUNTIF('История отказов'!$AU$5:AU1049,'История отказов'!AU1049)=1),1045,""))</f>
        <v/>
      </c>
      <c r="DK1046">
        <f>IF('История отказов'!AY1049="","",IF(AND(COUNTIF($CR$2:$CR$2,'История отказов'!AY1049)=0,COUNTIF('История отказов'!$AY$5:AY1049,'История отказов'!AY1049)=1),1045,""))</f>
        <v/>
      </c>
      <c r="DL1046">
        <f>IF(DB1046="","",IF(AND(COUNTIF($DA$2:$DA$47,DB1046)=0,COUNTIF($DB$2:DB1046,DB1046)=1),1045,""))</f>
        <v/>
      </c>
    </row>
    <row r="1047">
      <c r="A1047" s="74" t="n"/>
      <c r="B1047" s="75" t="n"/>
      <c r="C1047" s="76" t="n"/>
      <c r="DB1047">
        <f>IF('История отказов'!AH1050="","",'История отказов'!AH1050)</f>
        <v/>
      </c>
      <c r="DC1047">
        <f>IF('История отказов'!AE1050="","",IF(AND(COUNTIF($CT$2:$CT$2,'История отказов'!AE1050)=0,COUNTIFS('История отказов'!$F$5:F1050,"ШГН",'История отказов'!$AE$5:AE1050,'История отказов'!AE1050)=1,'История отказов'!F1050="ШГН"),1046,""))</f>
        <v/>
      </c>
      <c r="DD1047">
        <f>IF('История отказов'!AE1050="","",IF(AND(COUNTIF($CU$2:$CU$3,'История отказов'!AE1050)=0,COUNTIFS('История отказов'!$F$5:F1050,"ЭЦН",'История отказов'!$AE$5:AE1050,'История отказов'!AE1050)=1,'История отказов'!F1050="ЭЦН"),1046,""))</f>
        <v/>
      </c>
      <c r="DE1047">
        <f>IF('История отказов'!AE1050="","",IF(AND(COUNTIF($CV$2:$CV$3,'История отказов'!AE1050)=0,COUNTIFS('История отказов'!$F$5:F1050,"ЭВН",'История отказов'!$AE$5:AE1050,'История отказов'!AE1050)=1,'История отказов'!F1050="ЭВН"),1046,""))</f>
        <v/>
      </c>
      <c r="DF1047">
        <f>IF('История отказов'!AE1050="","",IF(AND(COUNTIF($CX$2:$CX$2,'История отказов'!AE1050)=0,COUNTIFS('История отказов'!$F$5:F1050,"ШВН",'История отказов'!$AE$5:AE1050,'История отказов'!AE1050)=1,'История отказов'!F1050="ШВН"),1046,""))</f>
        <v/>
      </c>
      <c r="DG1047">
        <f>IF('История отказов'!AE1050="","",IF(AND(COUNTIF($CW$2:$CW$2,'История отказов'!AE1050)=0,COUNTIFS('История отказов'!$F$5:F1050,"НПУ-ВД",'История отказов'!$AE$5:AE1050,'История отказов'!AE1050)=1,'История отказов'!F1050="НПУ-ВД"),1046,""))</f>
        <v/>
      </c>
      <c r="DH1047">
        <f>IF('История отказов'!AE1050="","",IF(AND(COUNTIF($CY$2:$CY$6,'История отказов'!AE1050)=0,COUNTIF('История отказов'!$AE$5:AE1050,'История отказов'!AE1050)=1),1046,""))</f>
        <v/>
      </c>
      <c r="DI1047">
        <f>IF('История отказов'!AK1050="","",IF(AND(COUNTIF($CL$2:$CL$3,'История отказов'!AK1050)=0,COUNTIF('История отказов'!$AK$5:AK1050,'История отказов'!AK1050)=1),1046,""))</f>
        <v/>
      </c>
      <c r="DJ1047">
        <f>IF('История отказов'!AU1050="","",IF(AND(COUNTIF($CP$2:$CP$3,'История отказов'!AU1050)=0,COUNTIF('История отказов'!$AU$5:AU1050,'История отказов'!AU1050)=1),1046,""))</f>
        <v/>
      </c>
      <c r="DK1047">
        <f>IF('История отказов'!AY1050="","",IF(AND(COUNTIF($CR$2:$CR$2,'История отказов'!AY1050)=0,COUNTIF('История отказов'!$AY$5:AY1050,'История отказов'!AY1050)=1),1046,""))</f>
        <v/>
      </c>
      <c r="DL1047">
        <f>IF(DB1047="","",IF(AND(COUNTIF($DA$2:$DA$47,DB1047)=0,COUNTIF($DB$2:DB1047,DB1047)=1),1046,""))</f>
        <v/>
      </c>
    </row>
    <row r="1048">
      <c r="A1048" s="74" t="n"/>
      <c r="B1048" s="75" t="n"/>
      <c r="C1048" s="76" t="n"/>
      <c r="DB1048">
        <f>IF('История отказов'!AH1051="","",'История отказов'!AH1051)</f>
        <v/>
      </c>
      <c r="DC1048">
        <f>IF('История отказов'!AE1051="","",IF(AND(COUNTIF($CT$2:$CT$2,'История отказов'!AE1051)=0,COUNTIFS('История отказов'!$F$5:F1051,"ШГН",'История отказов'!$AE$5:AE1051,'История отказов'!AE1051)=1,'История отказов'!F1051="ШГН"),1047,""))</f>
        <v/>
      </c>
      <c r="DD1048">
        <f>IF('История отказов'!AE1051="","",IF(AND(COUNTIF($CU$2:$CU$3,'История отказов'!AE1051)=0,COUNTIFS('История отказов'!$F$5:F1051,"ЭЦН",'История отказов'!$AE$5:AE1051,'История отказов'!AE1051)=1,'История отказов'!F1051="ЭЦН"),1047,""))</f>
        <v/>
      </c>
      <c r="DE1048">
        <f>IF('История отказов'!AE1051="","",IF(AND(COUNTIF($CV$2:$CV$3,'История отказов'!AE1051)=0,COUNTIFS('История отказов'!$F$5:F1051,"ЭВН",'История отказов'!$AE$5:AE1051,'История отказов'!AE1051)=1,'История отказов'!F1051="ЭВН"),1047,""))</f>
        <v/>
      </c>
      <c r="DF1048">
        <f>IF('История отказов'!AE1051="","",IF(AND(COUNTIF($CX$2:$CX$2,'История отказов'!AE1051)=0,COUNTIFS('История отказов'!$F$5:F1051,"ШВН",'История отказов'!$AE$5:AE1051,'История отказов'!AE1051)=1,'История отказов'!F1051="ШВН"),1047,""))</f>
        <v/>
      </c>
      <c r="DG1048">
        <f>IF('История отказов'!AE1051="","",IF(AND(COUNTIF($CW$2:$CW$2,'История отказов'!AE1051)=0,COUNTIFS('История отказов'!$F$5:F1051,"НПУ-ВД",'История отказов'!$AE$5:AE1051,'История отказов'!AE1051)=1,'История отказов'!F1051="НПУ-ВД"),1047,""))</f>
        <v/>
      </c>
      <c r="DH1048">
        <f>IF('История отказов'!AE1051="","",IF(AND(COUNTIF($CY$2:$CY$6,'История отказов'!AE1051)=0,COUNTIF('История отказов'!$AE$5:AE1051,'История отказов'!AE1051)=1),1047,""))</f>
        <v/>
      </c>
      <c r="DI1048">
        <f>IF('История отказов'!AK1051="","",IF(AND(COUNTIF($CL$2:$CL$3,'История отказов'!AK1051)=0,COUNTIF('История отказов'!$AK$5:AK1051,'История отказов'!AK1051)=1),1047,""))</f>
        <v/>
      </c>
      <c r="DJ1048">
        <f>IF('История отказов'!AU1051="","",IF(AND(COUNTIF($CP$2:$CP$3,'История отказов'!AU1051)=0,COUNTIF('История отказов'!$AU$5:AU1051,'История отказов'!AU1051)=1),1047,""))</f>
        <v/>
      </c>
      <c r="DK1048">
        <f>IF('История отказов'!AY1051="","",IF(AND(COUNTIF($CR$2:$CR$2,'История отказов'!AY1051)=0,COUNTIF('История отказов'!$AY$5:AY1051,'История отказов'!AY1051)=1),1047,""))</f>
        <v/>
      </c>
      <c r="DL1048">
        <f>IF(DB1048="","",IF(AND(COUNTIF($DA$2:$DA$47,DB1048)=0,COUNTIF($DB$2:DB1048,DB1048)=1),1047,""))</f>
        <v/>
      </c>
    </row>
    <row r="1049">
      <c r="A1049" s="74" t="n"/>
      <c r="B1049" s="75" t="n"/>
      <c r="C1049" s="76" t="n"/>
      <c r="DB1049">
        <f>IF('История отказов'!AH1052="","",'История отказов'!AH1052)</f>
        <v/>
      </c>
      <c r="DC1049">
        <f>IF('История отказов'!AE1052="","",IF(AND(COUNTIF($CT$2:$CT$2,'История отказов'!AE1052)=0,COUNTIFS('История отказов'!$F$5:F1052,"ШГН",'История отказов'!$AE$5:AE1052,'История отказов'!AE1052)=1,'История отказов'!F1052="ШГН"),1048,""))</f>
        <v/>
      </c>
      <c r="DD1049">
        <f>IF('История отказов'!AE1052="","",IF(AND(COUNTIF($CU$2:$CU$3,'История отказов'!AE1052)=0,COUNTIFS('История отказов'!$F$5:F1052,"ЭЦН",'История отказов'!$AE$5:AE1052,'История отказов'!AE1052)=1,'История отказов'!F1052="ЭЦН"),1048,""))</f>
        <v/>
      </c>
      <c r="DE1049">
        <f>IF('История отказов'!AE1052="","",IF(AND(COUNTIF($CV$2:$CV$3,'История отказов'!AE1052)=0,COUNTIFS('История отказов'!$F$5:F1052,"ЭВН",'История отказов'!$AE$5:AE1052,'История отказов'!AE1052)=1,'История отказов'!F1052="ЭВН"),1048,""))</f>
        <v/>
      </c>
      <c r="DF1049">
        <f>IF('История отказов'!AE1052="","",IF(AND(COUNTIF($CX$2:$CX$2,'История отказов'!AE1052)=0,COUNTIFS('История отказов'!$F$5:F1052,"ШВН",'История отказов'!$AE$5:AE1052,'История отказов'!AE1052)=1,'История отказов'!F1052="ШВН"),1048,""))</f>
        <v/>
      </c>
      <c r="DG1049">
        <f>IF('История отказов'!AE1052="","",IF(AND(COUNTIF($CW$2:$CW$2,'История отказов'!AE1052)=0,COUNTIFS('История отказов'!$F$5:F1052,"НПУ-ВД",'История отказов'!$AE$5:AE1052,'История отказов'!AE1052)=1,'История отказов'!F1052="НПУ-ВД"),1048,""))</f>
        <v/>
      </c>
      <c r="DH1049">
        <f>IF('История отказов'!AE1052="","",IF(AND(COUNTIF($CY$2:$CY$6,'История отказов'!AE1052)=0,COUNTIF('История отказов'!$AE$5:AE1052,'История отказов'!AE1052)=1),1048,""))</f>
        <v/>
      </c>
      <c r="DI1049">
        <f>IF('История отказов'!AK1052="","",IF(AND(COUNTIF($CL$2:$CL$3,'История отказов'!AK1052)=0,COUNTIF('История отказов'!$AK$5:AK1052,'История отказов'!AK1052)=1),1048,""))</f>
        <v/>
      </c>
      <c r="DJ1049">
        <f>IF('История отказов'!AU1052="","",IF(AND(COUNTIF($CP$2:$CP$3,'История отказов'!AU1052)=0,COUNTIF('История отказов'!$AU$5:AU1052,'История отказов'!AU1052)=1),1048,""))</f>
        <v/>
      </c>
      <c r="DK1049">
        <f>IF('История отказов'!AY1052="","",IF(AND(COUNTIF($CR$2:$CR$2,'История отказов'!AY1052)=0,COUNTIF('История отказов'!$AY$5:AY1052,'История отказов'!AY1052)=1),1048,""))</f>
        <v/>
      </c>
      <c r="DL1049">
        <f>IF(DB1049="","",IF(AND(COUNTIF($DA$2:$DA$47,DB1049)=0,COUNTIF($DB$2:DB1049,DB1049)=1),1048,""))</f>
        <v/>
      </c>
    </row>
    <row r="1050">
      <c r="A1050" s="74" t="n"/>
      <c r="B1050" s="75" t="n"/>
      <c r="C1050" s="76" t="n"/>
      <c r="DB1050">
        <f>IF('История отказов'!AH1053="","",'История отказов'!AH1053)</f>
        <v/>
      </c>
      <c r="DC1050">
        <f>IF('История отказов'!AE1053="","",IF(AND(COUNTIF($CT$2:$CT$2,'История отказов'!AE1053)=0,COUNTIFS('История отказов'!$F$5:F1053,"ШГН",'История отказов'!$AE$5:AE1053,'История отказов'!AE1053)=1,'История отказов'!F1053="ШГН"),1049,""))</f>
        <v/>
      </c>
      <c r="DD1050">
        <f>IF('История отказов'!AE1053="","",IF(AND(COUNTIF($CU$2:$CU$3,'История отказов'!AE1053)=0,COUNTIFS('История отказов'!$F$5:F1053,"ЭЦН",'История отказов'!$AE$5:AE1053,'История отказов'!AE1053)=1,'История отказов'!F1053="ЭЦН"),1049,""))</f>
        <v/>
      </c>
      <c r="DE1050">
        <f>IF('История отказов'!AE1053="","",IF(AND(COUNTIF($CV$2:$CV$3,'История отказов'!AE1053)=0,COUNTIFS('История отказов'!$F$5:F1053,"ЭВН",'История отказов'!$AE$5:AE1053,'История отказов'!AE1053)=1,'История отказов'!F1053="ЭВН"),1049,""))</f>
        <v/>
      </c>
      <c r="DF1050">
        <f>IF('История отказов'!AE1053="","",IF(AND(COUNTIF($CX$2:$CX$2,'История отказов'!AE1053)=0,COUNTIFS('История отказов'!$F$5:F1053,"ШВН",'История отказов'!$AE$5:AE1053,'История отказов'!AE1053)=1,'История отказов'!F1053="ШВН"),1049,""))</f>
        <v/>
      </c>
      <c r="DG1050">
        <f>IF('История отказов'!AE1053="","",IF(AND(COUNTIF($CW$2:$CW$2,'История отказов'!AE1053)=0,COUNTIFS('История отказов'!$F$5:F1053,"НПУ-ВД",'История отказов'!$AE$5:AE1053,'История отказов'!AE1053)=1,'История отказов'!F1053="НПУ-ВД"),1049,""))</f>
        <v/>
      </c>
      <c r="DH1050">
        <f>IF('История отказов'!AE1053="","",IF(AND(COUNTIF($CY$2:$CY$6,'История отказов'!AE1053)=0,COUNTIF('История отказов'!$AE$5:AE1053,'История отказов'!AE1053)=1),1049,""))</f>
        <v/>
      </c>
      <c r="DI1050">
        <f>IF('История отказов'!AK1053="","",IF(AND(COUNTIF($CL$2:$CL$3,'История отказов'!AK1053)=0,COUNTIF('История отказов'!$AK$5:AK1053,'История отказов'!AK1053)=1),1049,""))</f>
        <v/>
      </c>
      <c r="DJ1050">
        <f>IF('История отказов'!AU1053="","",IF(AND(COUNTIF($CP$2:$CP$3,'История отказов'!AU1053)=0,COUNTIF('История отказов'!$AU$5:AU1053,'История отказов'!AU1053)=1),1049,""))</f>
        <v/>
      </c>
      <c r="DK1050">
        <f>IF('История отказов'!AY1053="","",IF(AND(COUNTIF($CR$2:$CR$2,'История отказов'!AY1053)=0,COUNTIF('История отказов'!$AY$5:AY1053,'История отказов'!AY1053)=1),1049,""))</f>
        <v/>
      </c>
      <c r="DL1050">
        <f>IF(DB1050="","",IF(AND(COUNTIF($DA$2:$DA$47,DB1050)=0,COUNTIF($DB$2:DB1050,DB1050)=1),1049,""))</f>
        <v/>
      </c>
    </row>
    <row r="1051">
      <c r="A1051" s="74" t="n"/>
      <c r="B1051" s="75" t="n"/>
      <c r="C1051" s="76" t="n"/>
      <c r="DB1051">
        <f>IF('История отказов'!AH1054="","",'История отказов'!AH1054)</f>
        <v/>
      </c>
      <c r="DC1051">
        <f>IF('История отказов'!AE1054="","",IF(AND(COUNTIF($CT$2:$CT$2,'История отказов'!AE1054)=0,COUNTIFS('История отказов'!$F$5:F1054,"ШГН",'История отказов'!$AE$5:AE1054,'История отказов'!AE1054)=1,'История отказов'!F1054="ШГН"),1050,""))</f>
        <v/>
      </c>
      <c r="DD1051">
        <f>IF('История отказов'!AE1054="","",IF(AND(COUNTIF($CU$2:$CU$3,'История отказов'!AE1054)=0,COUNTIFS('История отказов'!$F$5:F1054,"ЭЦН",'История отказов'!$AE$5:AE1054,'История отказов'!AE1054)=1,'История отказов'!F1054="ЭЦН"),1050,""))</f>
        <v/>
      </c>
      <c r="DE1051">
        <f>IF('История отказов'!AE1054="","",IF(AND(COUNTIF($CV$2:$CV$3,'История отказов'!AE1054)=0,COUNTIFS('История отказов'!$F$5:F1054,"ЭВН",'История отказов'!$AE$5:AE1054,'История отказов'!AE1054)=1,'История отказов'!F1054="ЭВН"),1050,""))</f>
        <v/>
      </c>
      <c r="DF1051">
        <f>IF('История отказов'!AE1054="","",IF(AND(COUNTIF($CX$2:$CX$2,'История отказов'!AE1054)=0,COUNTIFS('История отказов'!$F$5:F1054,"ШВН",'История отказов'!$AE$5:AE1054,'История отказов'!AE1054)=1,'История отказов'!F1054="ШВН"),1050,""))</f>
        <v/>
      </c>
      <c r="DG1051">
        <f>IF('История отказов'!AE1054="","",IF(AND(COUNTIF($CW$2:$CW$2,'История отказов'!AE1054)=0,COUNTIFS('История отказов'!$F$5:F1054,"НПУ-ВД",'История отказов'!$AE$5:AE1054,'История отказов'!AE1054)=1,'История отказов'!F1054="НПУ-ВД"),1050,""))</f>
        <v/>
      </c>
      <c r="DH1051">
        <f>IF('История отказов'!AE1054="","",IF(AND(COUNTIF($CY$2:$CY$6,'История отказов'!AE1054)=0,COUNTIF('История отказов'!$AE$5:AE1054,'История отказов'!AE1054)=1),1050,""))</f>
        <v/>
      </c>
      <c r="DI1051">
        <f>IF('История отказов'!AK1054="","",IF(AND(COUNTIF($CL$2:$CL$3,'История отказов'!AK1054)=0,COUNTIF('История отказов'!$AK$5:AK1054,'История отказов'!AK1054)=1),1050,""))</f>
        <v/>
      </c>
      <c r="DJ1051">
        <f>IF('История отказов'!AU1054="","",IF(AND(COUNTIF($CP$2:$CP$3,'История отказов'!AU1054)=0,COUNTIF('История отказов'!$AU$5:AU1054,'История отказов'!AU1054)=1),1050,""))</f>
        <v/>
      </c>
      <c r="DK1051">
        <f>IF('История отказов'!AY1054="","",IF(AND(COUNTIF($CR$2:$CR$2,'История отказов'!AY1054)=0,COUNTIF('История отказов'!$AY$5:AY1054,'История отказов'!AY1054)=1),1050,""))</f>
        <v/>
      </c>
      <c r="DL1051">
        <f>IF(DB1051="","",IF(AND(COUNTIF($DA$2:$DA$47,DB1051)=0,COUNTIF($DB$2:DB1051,DB1051)=1),1050,""))</f>
        <v/>
      </c>
    </row>
    <row r="1052">
      <c r="A1052" s="74" t="n"/>
      <c r="B1052" s="75" t="n"/>
      <c r="C1052" s="76" t="n"/>
      <c r="DB1052">
        <f>IF('История отказов'!AH1055="","",'История отказов'!AH1055)</f>
        <v/>
      </c>
      <c r="DC1052">
        <f>IF('История отказов'!AE1055="","",IF(AND(COUNTIF($CT$2:$CT$2,'История отказов'!AE1055)=0,COUNTIFS('История отказов'!$F$5:F1055,"ШГН",'История отказов'!$AE$5:AE1055,'История отказов'!AE1055)=1,'История отказов'!F1055="ШГН"),1051,""))</f>
        <v/>
      </c>
      <c r="DD1052">
        <f>IF('История отказов'!AE1055="","",IF(AND(COUNTIF($CU$2:$CU$3,'История отказов'!AE1055)=0,COUNTIFS('История отказов'!$F$5:F1055,"ЭЦН",'История отказов'!$AE$5:AE1055,'История отказов'!AE1055)=1,'История отказов'!F1055="ЭЦН"),1051,""))</f>
        <v/>
      </c>
      <c r="DE1052">
        <f>IF('История отказов'!AE1055="","",IF(AND(COUNTIF($CV$2:$CV$3,'История отказов'!AE1055)=0,COUNTIFS('История отказов'!$F$5:F1055,"ЭВН",'История отказов'!$AE$5:AE1055,'История отказов'!AE1055)=1,'История отказов'!F1055="ЭВН"),1051,""))</f>
        <v/>
      </c>
      <c r="DF1052">
        <f>IF('История отказов'!AE1055="","",IF(AND(COUNTIF($CX$2:$CX$2,'История отказов'!AE1055)=0,COUNTIFS('История отказов'!$F$5:F1055,"ШВН",'История отказов'!$AE$5:AE1055,'История отказов'!AE1055)=1,'История отказов'!F1055="ШВН"),1051,""))</f>
        <v/>
      </c>
      <c r="DG1052">
        <f>IF('История отказов'!AE1055="","",IF(AND(COUNTIF($CW$2:$CW$2,'История отказов'!AE1055)=0,COUNTIFS('История отказов'!$F$5:F1055,"НПУ-ВД",'История отказов'!$AE$5:AE1055,'История отказов'!AE1055)=1,'История отказов'!F1055="НПУ-ВД"),1051,""))</f>
        <v/>
      </c>
      <c r="DH1052">
        <f>IF('История отказов'!AE1055="","",IF(AND(COUNTIF($CY$2:$CY$6,'История отказов'!AE1055)=0,COUNTIF('История отказов'!$AE$5:AE1055,'История отказов'!AE1055)=1),1051,""))</f>
        <v/>
      </c>
      <c r="DI1052">
        <f>IF('История отказов'!AK1055="","",IF(AND(COUNTIF($CL$2:$CL$3,'История отказов'!AK1055)=0,COUNTIF('История отказов'!$AK$5:AK1055,'История отказов'!AK1055)=1),1051,""))</f>
        <v/>
      </c>
      <c r="DJ1052">
        <f>IF('История отказов'!AU1055="","",IF(AND(COUNTIF($CP$2:$CP$3,'История отказов'!AU1055)=0,COUNTIF('История отказов'!$AU$5:AU1055,'История отказов'!AU1055)=1),1051,""))</f>
        <v/>
      </c>
      <c r="DK1052">
        <f>IF('История отказов'!AY1055="","",IF(AND(COUNTIF($CR$2:$CR$2,'История отказов'!AY1055)=0,COUNTIF('История отказов'!$AY$5:AY1055,'История отказов'!AY1055)=1),1051,""))</f>
        <v/>
      </c>
      <c r="DL1052">
        <f>IF(DB1052="","",IF(AND(COUNTIF($DA$2:$DA$47,DB1052)=0,COUNTIF($DB$2:DB1052,DB1052)=1),1051,""))</f>
        <v/>
      </c>
    </row>
    <row r="1053">
      <c r="A1053" s="74" t="n"/>
      <c r="B1053" s="75" t="n"/>
      <c r="C1053" s="76" t="n"/>
      <c r="DB1053">
        <f>IF('История отказов'!AH1056="","",'История отказов'!AH1056)</f>
        <v/>
      </c>
      <c r="DC1053">
        <f>IF('История отказов'!AE1056="","",IF(AND(COUNTIF($CT$2:$CT$2,'История отказов'!AE1056)=0,COUNTIFS('История отказов'!$F$5:F1056,"ШГН",'История отказов'!$AE$5:AE1056,'История отказов'!AE1056)=1,'История отказов'!F1056="ШГН"),1052,""))</f>
        <v/>
      </c>
      <c r="DD1053">
        <f>IF('История отказов'!AE1056="","",IF(AND(COUNTIF($CU$2:$CU$3,'История отказов'!AE1056)=0,COUNTIFS('История отказов'!$F$5:F1056,"ЭЦН",'История отказов'!$AE$5:AE1056,'История отказов'!AE1056)=1,'История отказов'!F1056="ЭЦН"),1052,""))</f>
        <v/>
      </c>
      <c r="DE1053">
        <f>IF('История отказов'!AE1056="","",IF(AND(COUNTIF($CV$2:$CV$3,'История отказов'!AE1056)=0,COUNTIFS('История отказов'!$F$5:F1056,"ЭВН",'История отказов'!$AE$5:AE1056,'История отказов'!AE1056)=1,'История отказов'!F1056="ЭВН"),1052,""))</f>
        <v/>
      </c>
      <c r="DF1053">
        <f>IF('История отказов'!AE1056="","",IF(AND(COUNTIF($CX$2:$CX$2,'История отказов'!AE1056)=0,COUNTIFS('История отказов'!$F$5:F1056,"ШВН",'История отказов'!$AE$5:AE1056,'История отказов'!AE1056)=1,'История отказов'!F1056="ШВН"),1052,""))</f>
        <v/>
      </c>
      <c r="DG1053">
        <f>IF('История отказов'!AE1056="","",IF(AND(COUNTIF($CW$2:$CW$2,'История отказов'!AE1056)=0,COUNTIFS('История отказов'!$F$5:F1056,"НПУ-ВД",'История отказов'!$AE$5:AE1056,'История отказов'!AE1056)=1,'История отказов'!F1056="НПУ-ВД"),1052,""))</f>
        <v/>
      </c>
      <c r="DH1053">
        <f>IF('История отказов'!AE1056="","",IF(AND(COUNTIF($CY$2:$CY$6,'История отказов'!AE1056)=0,COUNTIF('История отказов'!$AE$5:AE1056,'История отказов'!AE1056)=1),1052,""))</f>
        <v/>
      </c>
      <c r="DI1053">
        <f>IF('История отказов'!AK1056="","",IF(AND(COUNTIF($CL$2:$CL$3,'История отказов'!AK1056)=0,COUNTIF('История отказов'!$AK$5:AK1056,'История отказов'!AK1056)=1),1052,""))</f>
        <v/>
      </c>
      <c r="DJ1053">
        <f>IF('История отказов'!AU1056="","",IF(AND(COUNTIF($CP$2:$CP$3,'История отказов'!AU1056)=0,COUNTIF('История отказов'!$AU$5:AU1056,'История отказов'!AU1056)=1),1052,""))</f>
        <v/>
      </c>
      <c r="DK1053">
        <f>IF('История отказов'!AY1056="","",IF(AND(COUNTIF($CR$2:$CR$2,'История отказов'!AY1056)=0,COUNTIF('История отказов'!$AY$5:AY1056,'История отказов'!AY1056)=1),1052,""))</f>
        <v/>
      </c>
      <c r="DL1053">
        <f>IF(DB1053="","",IF(AND(COUNTIF($DA$2:$DA$47,DB1053)=0,COUNTIF($DB$2:DB1053,DB1053)=1),1052,""))</f>
        <v/>
      </c>
    </row>
    <row r="1054">
      <c r="A1054" s="74" t="n"/>
      <c r="B1054" s="75" t="n"/>
      <c r="C1054" s="76" t="n"/>
      <c r="DB1054">
        <f>IF('История отказов'!AH1057="","",'История отказов'!AH1057)</f>
        <v/>
      </c>
      <c r="DC1054">
        <f>IF('История отказов'!AE1057="","",IF(AND(COUNTIF($CT$2:$CT$2,'История отказов'!AE1057)=0,COUNTIFS('История отказов'!$F$5:F1057,"ШГН",'История отказов'!$AE$5:AE1057,'История отказов'!AE1057)=1,'История отказов'!F1057="ШГН"),1053,""))</f>
        <v/>
      </c>
      <c r="DD1054">
        <f>IF('История отказов'!AE1057="","",IF(AND(COUNTIF($CU$2:$CU$3,'История отказов'!AE1057)=0,COUNTIFS('История отказов'!$F$5:F1057,"ЭЦН",'История отказов'!$AE$5:AE1057,'История отказов'!AE1057)=1,'История отказов'!F1057="ЭЦН"),1053,""))</f>
        <v/>
      </c>
      <c r="DE1054">
        <f>IF('История отказов'!AE1057="","",IF(AND(COUNTIF($CV$2:$CV$3,'История отказов'!AE1057)=0,COUNTIFS('История отказов'!$F$5:F1057,"ЭВН",'История отказов'!$AE$5:AE1057,'История отказов'!AE1057)=1,'История отказов'!F1057="ЭВН"),1053,""))</f>
        <v/>
      </c>
      <c r="DF1054">
        <f>IF('История отказов'!AE1057="","",IF(AND(COUNTIF($CX$2:$CX$2,'История отказов'!AE1057)=0,COUNTIFS('История отказов'!$F$5:F1057,"ШВН",'История отказов'!$AE$5:AE1057,'История отказов'!AE1057)=1,'История отказов'!F1057="ШВН"),1053,""))</f>
        <v/>
      </c>
      <c r="DG1054">
        <f>IF('История отказов'!AE1057="","",IF(AND(COUNTIF($CW$2:$CW$2,'История отказов'!AE1057)=0,COUNTIFS('История отказов'!$F$5:F1057,"НПУ-ВД",'История отказов'!$AE$5:AE1057,'История отказов'!AE1057)=1,'История отказов'!F1057="НПУ-ВД"),1053,""))</f>
        <v/>
      </c>
      <c r="DH1054">
        <f>IF('История отказов'!AE1057="","",IF(AND(COUNTIF($CY$2:$CY$6,'История отказов'!AE1057)=0,COUNTIF('История отказов'!$AE$5:AE1057,'История отказов'!AE1057)=1),1053,""))</f>
        <v/>
      </c>
      <c r="DI1054">
        <f>IF('История отказов'!AK1057="","",IF(AND(COUNTIF($CL$2:$CL$3,'История отказов'!AK1057)=0,COUNTIF('История отказов'!$AK$5:AK1057,'История отказов'!AK1057)=1),1053,""))</f>
        <v/>
      </c>
      <c r="DJ1054">
        <f>IF('История отказов'!AU1057="","",IF(AND(COUNTIF($CP$2:$CP$3,'История отказов'!AU1057)=0,COUNTIF('История отказов'!$AU$5:AU1057,'История отказов'!AU1057)=1),1053,""))</f>
        <v/>
      </c>
      <c r="DK1054">
        <f>IF('История отказов'!AY1057="","",IF(AND(COUNTIF($CR$2:$CR$2,'История отказов'!AY1057)=0,COUNTIF('История отказов'!$AY$5:AY1057,'История отказов'!AY1057)=1),1053,""))</f>
        <v/>
      </c>
      <c r="DL1054">
        <f>IF(DB1054="","",IF(AND(COUNTIF($DA$2:$DA$47,DB1054)=0,COUNTIF($DB$2:DB1054,DB1054)=1),1053,""))</f>
        <v/>
      </c>
    </row>
    <row r="1055">
      <c r="A1055" s="74" t="n"/>
      <c r="B1055" s="75" t="n"/>
      <c r="C1055" s="76" t="n"/>
      <c r="DB1055">
        <f>IF('История отказов'!AH1058="","",'История отказов'!AH1058)</f>
        <v/>
      </c>
      <c r="DC1055">
        <f>IF('История отказов'!AE1058="","",IF(AND(COUNTIF($CT$2:$CT$2,'История отказов'!AE1058)=0,COUNTIFS('История отказов'!$F$5:F1058,"ШГН",'История отказов'!$AE$5:AE1058,'История отказов'!AE1058)=1,'История отказов'!F1058="ШГН"),1054,""))</f>
        <v/>
      </c>
      <c r="DD1055">
        <f>IF('История отказов'!AE1058="","",IF(AND(COUNTIF($CU$2:$CU$3,'История отказов'!AE1058)=0,COUNTIFS('История отказов'!$F$5:F1058,"ЭЦН",'История отказов'!$AE$5:AE1058,'История отказов'!AE1058)=1,'История отказов'!F1058="ЭЦН"),1054,""))</f>
        <v/>
      </c>
      <c r="DE1055">
        <f>IF('История отказов'!AE1058="","",IF(AND(COUNTIF($CV$2:$CV$3,'История отказов'!AE1058)=0,COUNTIFS('История отказов'!$F$5:F1058,"ЭВН",'История отказов'!$AE$5:AE1058,'История отказов'!AE1058)=1,'История отказов'!F1058="ЭВН"),1054,""))</f>
        <v/>
      </c>
      <c r="DF1055">
        <f>IF('История отказов'!AE1058="","",IF(AND(COUNTIF($CX$2:$CX$2,'История отказов'!AE1058)=0,COUNTIFS('История отказов'!$F$5:F1058,"ШВН",'История отказов'!$AE$5:AE1058,'История отказов'!AE1058)=1,'История отказов'!F1058="ШВН"),1054,""))</f>
        <v/>
      </c>
      <c r="DG1055">
        <f>IF('История отказов'!AE1058="","",IF(AND(COUNTIF($CW$2:$CW$2,'История отказов'!AE1058)=0,COUNTIFS('История отказов'!$F$5:F1058,"НПУ-ВД",'История отказов'!$AE$5:AE1058,'История отказов'!AE1058)=1,'История отказов'!F1058="НПУ-ВД"),1054,""))</f>
        <v/>
      </c>
      <c r="DH1055">
        <f>IF('История отказов'!AE1058="","",IF(AND(COUNTIF($CY$2:$CY$6,'История отказов'!AE1058)=0,COUNTIF('История отказов'!$AE$5:AE1058,'История отказов'!AE1058)=1),1054,""))</f>
        <v/>
      </c>
      <c r="DI1055">
        <f>IF('История отказов'!AK1058="","",IF(AND(COUNTIF($CL$2:$CL$3,'История отказов'!AK1058)=0,COUNTIF('История отказов'!$AK$5:AK1058,'История отказов'!AK1058)=1),1054,""))</f>
        <v/>
      </c>
      <c r="DJ1055">
        <f>IF('История отказов'!AU1058="","",IF(AND(COUNTIF($CP$2:$CP$3,'История отказов'!AU1058)=0,COUNTIF('История отказов'!$AU$5:AU1058,'История отказов'!AU1058)=1),1054,""))</f>
        <v/>
      </c>
      <c r="DK1055">
        <f>IF('История отказов'!AY1058="","",IF(AND(COUNTIF($CR$2:$CR$2,'История отказов'!AY1058)=0,COUNTIF('История отказов'!$AY$5:AY1058,'История отказов'!AY1058)=1),1054,""))</f>
        <v/>
      </c>
      <c r="DL1055">
        <f>IF(DB1055="","",IF(AND(COUNTIF($DA$2:$DA$47,DB1055)=0,COUNTIF($DB$2:DB1055,DB1055)=1),1054,""))</f>
        <v/>
      </c>
    </row>
    <row r="1056">
      <c r="A1056" s="74" t="n"/>
      <c r="B1056" s="75" t="n"/>
      <c r="C1056" s="76" t="n"/>
      <c r="DB1056">
        <f>IF('История отказов'!AH1059="","",'История отказов'!AH1059)</f>
        <v/>
      </c>
      <c r="DC1056">
        <f>IF('История отказов'!AE1059="","",IF(AND(COUNTIF($CT$2:$CT$2,'История отказов'!AE1059)=0,COUNTIFS('История отказов'!$F$5:F1059,"ШГН",'История отказов'!$AE$5:AE1059,'История отказов'!AE1059)=1,'История отказов'!F1059="ШГН"),1055,""))</f>
        <v/>
      </c>
      <c r="DD1056">
        <f>IF('История отказов'!AE1059="","",IF(AND(COUNTIF($CU$2:$CU$3,'История отказов'!AE1059)=0,COUNTIFS('История отказов'!$F$5:F1059,"ЭЦН",'История отказов'!$AE$5:AE1059,'История отказов'!AE1059)=1,'История отказов'!F1059="ЭЦН"),1055,""))</f>
        <v/>
      </c>
      <c r="DE1056">
        <f>IF('История отказов'!AE1059="","",IF(AND(COUNTIF($CV$2:$CV$3,'История отказов'!AE1059)=0,COUNTIFS('История отказов'!$F$5:F1059,"ЭВН",'История отказов'!$AE$5:AE1059,'История отказов'!AE1059)=1,'История отказов'!F1059="ЭВН"),1055,""))</f>
        <v/>
      </c>
      <c r="DF1056">
        <f>IF('История отказов'!AE1059="","",IF(AND(COUNTIF($CX$2:$CX$2,'История отказов'!AE1059)=0,COUNTIFS('История отказов'!$F$5:F1059,"ШВН",'История отказов'!$AE$5:AE1059,'История отказов'!AE1059)=1,'История отказов'!F1059="ШВН"),1055,""))</f>
        <v/>
      </c>
      <c r="DG1056">
        <f>IF('История отказов'!AE1059="","",IF(AND(COUNTIF($CW$2:$CW$2,'История отказов'!AE1059)=0,COUNTIFS('История отказов'!$F$5:F1059,"НПУ-ВД",'История отказов'!$AE$5:AE1059,'История отказов'!AE1059)=1,'История отказов'!F1059="НПУ-ВД"),1055,""))</f>
        <v/>
      </c>
      <c r="DH1056">
        <f>IF('История отказов'!AE1059="","",IF(AND(COUNTIF($CY$2:$CY$6,'История отказов'!AE1059)=0,COUNTIF('История отказов'!$AE$5:AE1059,'История отказов'!AE1059)=1),1055,""))</f>
        <v/>
      </c>
      <c r="DI1056">
        <f>IF('История отказов'!AK1059="","",IF(AND(COUNTIF($CL$2:$CL$3,'История отказов'!AK1059)=0,COUNTIF('История отказов'!$AK$5:AK1059,'История отказов'!AK1059)=1),1055,""))</f>
        <v/>
      </c>
      <c r="DJ1056">
        <f>IF('История отказов'!AU1059="","",IF(AND(COUNTIF($CP$2:$CP$3,'История отказов'!AU1059)=0,COUNTIF('История отказов'!$AU$5:AU1059,'История отказов'!AU1059)=1),1055,""))</f>
        <v/>
      </c>
      <c r="DK1056">
        <f>IF('История отказов'!AY1059="","",IF(AND(COUNTIF($CR$2:$CR$2,'История отказов'!AY1059)=0,COUNTIF('История отказов'!$AY$5:AY1059,'История отказов'!AY1059)=1),1055,""))</f>
        <v/>
      </c>
      <c r="DL1056">
        <f>IF(DB1056="","",IF(AND(COUNTIF($DA$2:$DA$47,DB1056)=0,COUNTIF($DB$2:DB1056,DB1056)=1),1055,""))</f>
        <v/>
      </c>
    </row>
    <row r="1057">
      <c r="A1057" s="74" t="n"/>
      <c r="B1057" s="75" t="n"/>
      <c r="C1057" s="76" t="n"/>
      <c r="DB1057">
        <f>IF('История отказов'!AH1060="","",'История отказов'!AH1060)</f>
        <v/>
      </c>
      <c r="DC1057">
        <f>IF('История отказов'!AE1060="","",IF(AND(COUNTIF($CT$2:$CT$2,'История отказов'!AE1060)=0,COUNTIFS('История отказов'!$F$5:F1060,"ШГН",'История отказов'!$AE$5:AE1060,'История отказов'!AE1060)=1,'История отказов'!F1060="ШГН"),1056,""))</f>
        <v/>
      </c>
      <c r="DD1057">
        <f>IF('История отказов'!AE1060="","",IF(AND(COUNTIF($CU$2:$CU$3,'История отказов'!AE1060)=0,COUNTIFS('История отказов'!$F$5:F1060,"ЭЦН",'История отказов'!$AE$5:AE1060,'История отказов'!AE1060)=1,'История отказов'!F1060="ЭЦН"),1056,""))</f>
        <v/>
      </c>
      <c r="DE1057">
        <f>IF('История отказов'!AE1060="","",IF(AND(COUNTIF($CV$2:$CV$3,'История отказов'!AE1060)=0,COUNTIFS('История отказов'!$F$5:F1060,"ЭВН",'История отказов'!$AE$5:AE1060,'История отказов'!AE1060)=1,'История отказов'!F1060="ЭВН"),1056,""))</f>
        <v/>
      </c>
      <c r="DF1057">
        <f>IF('История отказов'!AE1060="","",IF(AND(COUNTIF($CX$2:$CX$2,'История отказов'!AE1060)=0,COUNTIFS('История отказов'!$F$5:F1060,"ШВН",'История отказов'!$AE$5:AE1060,'История отказов'!AE1060)=1,'История отказов'!F1060="ШВН"),1056,""))</f>
        <v/>
      </c>
      <c r="DG1057">
        <f>IF('История отказов'!AE1060="","",IF(AND(COUNTIF($CW$2:$CW$2,'История отказов'!AE1060)=0,COUNTIFS('История отказов'!$F$5:F1060,"НПУ-ВД",'История отказов'!$AE$5:AE1060,'История отказов'!AE1060)=1,'История отказов'!F1060="НПУ-ВД"),1056,""))</f>
        <v/>
      </c>
      <c r="DH1057">
        <f>IF('История отказов'!AE1060="","",IF(AND(COUNTIF($CY$2:$CY$6,'История отказов'!AE1060)=0,COUNTIF('История отказов'!$AE$5:AE1060,'История отказов'!AE1060)=1),1056,""))</f>
        <v/>
      </c>
      <c r="DI1057">
        <f>IF('История отказов'!AK1060="","",IF(AND(COUNTIF($CL$2:$CL$3,'История отказов'!AK1060)=0,COUNTIF('История отказов'!$AK$5:AK1060,'История отказов'!AK1060)=1),1056,""))</f>
        <v/>
      </c>
      <c r="DJ1057">
        <f>IF('История отказов'!AU1060="","",IF(AND(COUNTIF($CP$2:$CP$3,'История отказов'!AU1060)=0,COUNTIF('История отказов'!$AU$5:AU1060,'История отказов'!AU1060)=1),1056,""))</f>
        <v/>
      </c>
      <c r="DK1057">
        <f>IF('История отказов'!AY1060="","",IF(AND(COUNTIF($CR$2:$CR$2,'История отказов'!AY1060)=0,COUNTIF('История отказов'!$AY$5:AY1060,'История отказов'!AY1060)=1),1056,""))</f>
        <v/>
      </c>
      <c r="DL1057">
        <f>IF(DB1057="","",IF(AND(COUNTIF($DA$2:$DA$47,DB1057)=0,COUNTIF($DB$2:DB1057,DB1057)=1),1056,""))</f>
        <v/>
      </c>
    </row>
    <row r="1058">
      <c r="A1058" s="74" t="n"/>
      <c r="B1058" s="75" t="n"/>
      <c r="C1058" s="76" t="n"/>
      <c r="DB1058">
        <f>IF('История отказов'!AH1061="","",'История отказов'!AH1061)</f>
        <v/>
      </c>
      <c r="DC1058">
        <f>IF('История отказов'!AE1061="","",IF(AND(COUNTIF($CT$2:$CT$2,'История отказов'!AE1061)=0,COUNTIFS('История отказов'!$F$5:F1061,"ШГН",'История отказов'!$AE$5:AE1061,'История отказов'!AE1061)=1,'История отказов'!F1061="ШГН"),1057,""))</f>
        <v/>
      </c>
      <c r="DD1058">
        <f>IF('История отказов'!AE1061="","",IF(AND(COUNTIF($CU$2:$CU$3,'История отказов'!AE1061)=0,COUNTIFS('История отказов'!$F$5:F1061,"ЭЦН",'История отказов'!$AE$5:AE1061,'История отказов'!AE1061)=1,'История отказов'!F1061="ЭЦН"),1057,""))</f>
        <v/>
      </c>
      <c r="DE1058">
        <f>IF('История отказов'!AE1061="","",IF(AND(COUNTIF($CV$2:$CV$3,'История отказов'!AE1061)=0,COUNTIFS('История отказов'!$F$5:F1061,"ЭВН",'История отказов'!$AE$5:AE1061,'История отказов'!AE1061)=1,'История отказов'!F1061="ЭВН"),1057,""))</f>
        <v/>
      </c>
      <c r="DF1058">
        <f>IF('История отказов'!AE1061="","",IF(AND(COUNTIF($CX$2:$CX$2,'История отказов'!AE1061)=0,COUNTIFS('История отказов'!$F$5:F1061,"ШВН",'История отказов'!$AE$5:AE1061,'История отказов'!AE1061)=1,'История отказов'!F1061="ШВН"),1057,""))</f>
        <v/>
      </c>
      <c r="DG1058">
        <f>IF('История отказов'!AE1061="","",IF(AND(COUNTIF($CW$2:$CW$2,'История отказов'!AE1061)=0,COUNTIFS('История отказов'!$F$5:F1061,"НПУ-ВД",'История отказов'!$AE$5:AE1061,'История отказов'!AE1061)=1,'История отказов'!F1061="НПУ-ВД"),1057,""))</f>
        <v/>
      </c>
      <c r="DH1058">
        <f>IF('История отказов'!AE1061="","",IF(AND(COUNTIF($CY$2:$CY$6,'История отказов'!AE1061)=0,COUNTIF('История отказов'!$AE$5:AE1061,'История отказов'!AE1061)=1),1057,""))</f>
        <v/>
      </c>
      <c r="DI1058">
        <f>IF('История отказов'!AK1061="","",IF(AND(COUNTIF($CL$2:$CL$3,'История отказов'!AK1061)=0,COUNTIF('История отказов'!$AK$5:AK1061,'История отказов'!AK1061)=1),1057,""))</f>
        <v/>
      </c>
      <c r="DJ1058">
        <f>IF('История отказов'!AU1061="","",IF(AND(COUNTIF($CP$2:$CP$3,'История отказов'!AU1061)=0,COUNTIF('История отказов'!$AU$5:AU1061,'История отказов'!AU1061)=1),1057,""))</f>
        <v/>
      </c>
      <c r="DK1058">
        <f>IF('История отказов'!AY1061="","",IF(AND(COUNTIF($CR$2:$CR$2,'История отказов'!AY1061)=0,COUNTIF('История отказов'!$AY$5:AY1061,'История отказов'!AY1061)=1),1057,""))</f>
        <v/>
      </c>
      <c r="DL1058">
        <f>IF(DB1058="","",IF(AND(COUNTIF($DA$2:$DA$47,DB1058)=0,COUNTIF($DB$2:DB1058,DB1058)=1),1057,""))</f>
        <v/>
      </c>
    </row>
    <row r="1059">
      <c r="A1059" s="74" t="n"/>
      <c r="B1059" s="75" t="n"/>
      <c r="C1059" s="76" t="n"/>
      <c r="DB1059">
        <f>IF('История отказов'!AH1062="","",'История отказов'!AH1062)</f>
        <v/>
      </c>
      <c r="DC1059">
        <f>IF('История отказов'!AE1062="","",IF(AND(COUNTIF($CT$2:$CT$2,'История отказов'!AE1062)=0,COUNTIFS('История отказов'!$F$5:F1062,"ШГН",'История отказов'!$AE$5:AE1062,'История отказов'!AE1062)=1,'История отказов'!F1062="ШГН"),1058,""))</f>
        <v/>
      </c>
      <c r="DD1059">
        <f>IF('История отказов'!AE1062="","",IF(AND(COUNTIF($CU$2:$CU$3,'История отказов'!AE1062)=0,COUNTIFS('История отказов'!$F$5:F1062,"ЭЦН",'История отказов'!$AE$5:AE1062,'История отказов'!AE1062)=1,'История отказов'!F1062="ЭЦН"),1058,""))</f>
        <v/>
      </c>
      <c r="DE1059">
        <f>IF('История отказов'!AE1062="","",IF(AND(COUNTIF($CV$2:$CV$3,'История отказов'!AE1062)=0,COUNTIFS('История отказов'!$F$5:F1062,"ЭВН",'История отказов'!$AE$5:AE1062,'История отказов'!AE1062)=1,'История отказов'!F1062="ЭВН"),1058,""))</f>
        <v/>
      </c>
      <c r="DF1059">
        <f>IF('История отказов'!AE1062="","",IF(AND(COUNTIF($CX$2:$CX$2,'История отказов'!AE1062)=0,COUNTIFS('История отказов'!$F$5:F1062,"ШВН",'История отказов'!$AE$5:AE1062,'История отказов'!AE1062)=1,'История отказов'!F1062="ШВН"),1058,""))</f>
        <v/>
      </c>
      <c r="DG1059">
        <f>IF('История отказов'!AE1062="","",IF(AND(COUNTIF($CW$2:$CW$2,'История отказов'!AE1062)=0,COUNTIFS('История отказов'!$F$5:F1062,"НПУ-ВД",'История отказов'!$AE$5:AE1062,'История отказов'!AE1062)=1,'История отказов'!F1062="НПУ-ВД"),1058,""))</f>
        <v/>
      </c>
      <c r="DH1059">
        <f>IF('История отказов'!AE1062="","",IF(AND(COUNTIF($CY$2:$CY$6,'История отказов'!AE1062)=0,COUNTIF('История отказов'!$AE$5:AE1062,'История отказов'!AE1062)=1),1058,""))</f>
        <v/>
      </c>
      <c r="DI1059">
        <f>IF('История отказов'!AK1062="","",IF(AND(COUNTIF($CL$2:$CL$3,'История отказов'!AK1062)=0,COUNTIF('История отказов'!$AK$5:AK1062,'История отказов'!AK1062)=1),1058,""))</f>
        <v/>
      </c>
      <c r="DJ1059">
        <f>IF('История отказов'!AU1062="","",IF(AND(COUNTIF($CP$2:$CP$3,'История отказов'!AU1062)=0,COUNTIF('История отказов'!$AU$5:AU1062,'История отказов'!AU1062)=1),1058,""))</f>
        <v/>
      </c>
      <c r="DK1059">
        <f>IF('История отказов'!AY1062="","",IF(AND(COUNTIF($CR$2:$CR$2,'История отказов'!AY1062)=0,COUNTIF('История отказов'!$AY$5:AY1062,'История отказов'!AY1062)=1),1058,""))</f>
        <v/>
      </c>
      <c r="DL1059">
        <f>IF(DB1059="","",IF(AND(COUNTIF($DA$2:$DA$47,DB1059)=0,COUNTIF($DB$2:DB1059,DB1059)=1),1058,""))</f>
        <v/>
      </c>
    </row>
    <row r="1060">
      <c r="A1060" s="74" t="n"/>
      <c r="B1060" s="75" t="n"/>
      <c r="C1060" s="76" t="n"/>
      <c r="DB1060">
        <f>IF('История отказов'!AH1063="","",'История отказов'!AH1063)</f>
        <v/>
      </c>
      <c r="DC1060">
        <f>IF('История отказов'!AE1063="","",IF(AND(COUNTIF($CT$2:$CT$2,'История отказов'!AE1063)=0,COUNTIFS('История отказов'!$F$5:F1063,"ШГН",'История отказов'!$AE$5:AE1063,'История отказов'!AE1063)=1,'История отказов'!F1063="ШГН"),1059,""))</f>
        <v/>
      </c>
      <c r="DD1060">
        <f>IF('История отказов'!AE1063="","",IF(AND(COUNTIF($CU$2:$CU$3,'История отказов'!AE1063)=0,COUNTIFS('История отказов'!$F$5:F1063,"ЭЦН",'История отказов'!$AE$5:AE1063,'История отказов'!AE1063)=1,'История отказов'!F1063="ЭЦН"),1059,""))</f>
        <v/>
      </c>
      <c r="DE1060">
        <f>IF('История отказов'!AE1063="","",IF(AND(COUNTIF($CV$2:$CV$3,'История отказов'!AE1063)=0,COUNTIFS('История отказов'!$F$5:F1063,"ЭВН",'История отказов'!$AE$5:AE1063,'История отказов'!AE1063)=1,'История отказов'!F1063="ЭВН"),1059,""))</f>
        <v/>
      </c>
      <c r="DF1060">
        <f>IF('История отказов'!AE1063="","",IF(AND(COUNTIF($CX$2:$CX$2,'История отказов'!AE1063)=0,COUNTIFS('История отказов'!$F$5:F1063,"ШВН",'История отказов'!$AE$5:AE1063,'История отказов'!AE1063)=1,'История отказов'!F1063="ШВН"),1059,""))</f>
        <v/>
      </c>
      <c r="DG1060">
        <f>IF('История отказов'!AE1063="","",IF(AND(COUNTIF($CW$2:$CW$2,'История отказов'!AE1063)=0,COUNTIFS('История отказов'!$F$5:F1063,"НПУ-ВД",'История отказов'!$AE$5:AE1063,'История отказов'!AE1063)=1,'История отказов'!F1063="НПУ-ВД"),1059,""))</f>
        <v/>
      </c>
      <c r="DH1060">
        <f>IF('История отказов'!AE1063="","",IF(AND(COUNTIF($CY$2:$CY$6,'История отказов'!AE1063)=0,COUNTIF('История отказов'!$AE$5:AE1063,'История отказов'!AE1063)=1),1059,""))</f>
        <v/>
      </c>
      <c r="DI1060">
        <f>IF('История отказов'!AK1063="","",IF(AND(COUNTIF($CL$2:$CL$3,'История отказов'!AK1063)=0,COUNTIF('История отказов'!$AK$5:AK1063,'История отказов'!AK1063)=1),1059,""))</f>
        <v/>
      </c>
      <c r="DJ1060">
        <f>IF('История отказов'!AU1063="","",IF(AND(COUNTIF($CP$2:$CP$3,'История отказов'!AU1063)=0,COUNTIF('История отказов'!$AU$5:AU1063,'История отказов'!AU1063)=1),1059,""))</f>
        <v/>
      </c>
      <c r="DK1060">
        <f>IF('История отказов'!AY1063="","",IF(AND(COUNTIF($CR$2:$CR$2,'История отказов'!AY1063)=0,COUNTIF('История отказов'!$AY$5:AY1063,'История отказов'!AY1063)=1),1059,""))</f>
        <v/>
      </c>
      <c r="DL1060">
        <f>IF(DB1060="","",IF(AND(COUNTIF($DA$2:$DA$47,DB1060)=0,COUNTIF($DB$2:DB1060,DB1060)=1),1059,""))</f>
        <v/>
      </c>
    </row>
    <row r="1061">
      <c r="A1061" s="74" t="n"/>
      <c r="B1061" s="75" t="n"/>
      <c r="C1061" s="76" t="n"/>
      <c r="DB1061">
        <f>IF('История отказов'!AH1064="","",'История отказов'!AH1064)</f>
        <v/>
      </c>
      <c r="DC1061">
        <f>IF('История отказов'!AE1064="","",IF(AND(COUNTIF($CT$2:$CT$2,'История отказов'!AE1064)=0,COUNTIFS('История отказов'!$F$5:F1064,"ШГН",'История отказов'!$AE$5:AE1064,'История отказов'!AE1064)=1,'История отказов'!F1064="ШГН"),1060,""))</f>
        <v/>
      </c>
      <c r="DD1061">
        <f>IF('История отказов'!AE1064="","",IF(AND(COUNTIF($CU$2:$CU$3,'История отказов'!AE1064)=0,COUNTIFS('История отказов'!$F$5:F1064,"ЭЦН",'История отказов'!$AE$5:AE1064,'История отказов'!AE1064)=1,'История отказов'!F1064="ЭЦН"),1060,""))</f>
        <v/>
      </c>
      <c r="DE1061">
        <f>IF('История отказов'!AE1064="","",IF(AND(COUNTIF($CV$2:$CV$3,'История отказов'!AE1064)=0,COUNTIFS('История отказов'!$F$5:F1064,"ЭВН",'История отказов'!$AE$5:AE1064,'История отказов'!AE1064)=1,'История отказов'!F1064="ЭВН"),1060,""))</f>
        <v/>
      </c>
      <c r="DF1061">
        <f>IF('История отказов'!AE1064="","",IF(AND(COUNTIF($CX$2:$CX$2,'История отказов'!AE1064)=0,COUNTIFS('История отказов'!$F$5:F1064,"ШВН",'История отказов'!$AE$5:AE1064,'История отказов'!AE1064)=1,'История отказов'!F1064="ШВН"),1060,""))</f>
        <v/>
      </c>
      <c r="DG1061">
        <f>IF('История отказов'!AE1064="","",IF(AND(COUNTIF($CW$2:$CW$2,'История отказов'!AE1064)=0,COUNTIFS('История отказов'!$F$5:F1064,"НПУ-ВД",'История отказов'!$AE$5:AE1064,'История отказов'!AE1064)=1,'История отказов'!F1064="НПУ-ВД"),1060,""))</f>
        <v/>
      </c>
      <c r="DH1061">
        <f>IF('История отказов'!AE1064="","",IF(AND(COUNTIF($CY$2:$CY$6,'История отказов'!AE1064)=0,COUNTIF('История отказов'!$AE$5:AE1064,'История отказов'!AE1064)=1),1060,""))</f>
        <v/>
      </c>
      <c r="DI1061">
        <f>IF('История отказов'!AK1064="","",IF(AND(COUNTIF($CL$2:$CL$3,'История отказов'!AK1064)=0,COUNTIF('История отказов'!$AK$5:AK1064,'История отказов'!AK1064)=1),1060,""))</f>
        <v/>
      </c>
      <c r="DJ1061">
        <f>IF('История отказов'!AU1064="","",IF(AND(COUNTIF($CP$2:$CP$3,'История отказов'!AU1064)=0,COUNTIF('История отказов'!$AU$5:AU1064,'История отказов'!AU1064)=1),1060,""))</f>
        <v/>
      </c>
      <c r="DK1061">
        <f>IF('История отказов'!AY1064="","",IF(AND(COUNTIF($CR$2:$CR$2,'История отказов'!AY1064)=0,COUNTIF('История отказов'!$AY$5:AY1064,'История отказов'!AY1064)=1),1060,""))</f>
        <v/>
      </c>
      <c r="DL1061">
        <f>IF(DB1061="","",IF(AND(COUNTIF($DA$2:$DA$47,DB1061)=0,COUNTIF($DB$2:DB1061,DB1061)=1),1060,""))</f>
        <v/>
      </c>
    </row>
    <row r="1062">
      <c r="A1062" s="74" t="n"/>
      <c r="B1062" s="75" t="n"/>
      <c r="C1062" s="76" t="n"/>
      <c r="DB1062">
        <f>IF('История отказов'!AH1065="","",'История отказов'!AH1065)</f>
        <v/>
      </c>
      <c r="DC1062">
        <f>IF('История отказов'!AE1065="","",IF(AND(COUNTIF($CT$2:$CT$2,'История отказов'!AE1065)=0,COUNTIFS('История отказов'!$F$5:F1065,"ШГН",'История отказов'!$AE$5:AE1065,'История отказов'!AE1065)=1,'История отказов'!F1065="ШГН"),1061,""))</f>
        <v/>
      </c>
      <c r="DD1062">
        <f>IF('История отказов'!AE1065="","",IF(AND(COUNTIF($CU$2:$CU$3,'История отказов'!AE1065)=0,COUNTIFS('История отказов'!$F$5:F1065,"ЭЦН",'История отказов'!$AE$5:AE1065,'История отказов'!AE1065)=1,'История отказов'!F1065="ЭЦН"),1061,""))</f>
        <v/>
      </c>
      <c r="DE1062">
        <f>IF('История отказов'!AE1065="","",IF(AND(COUNTIF($CV$2:$CV$3,'История отказов'!AE1065)=0,COUNTIFS('История отказов'!$F$5:F1065,"ЭВН",'История отказов'!$AE$5:AE1065,'История отказов'!AE1065)=1,'История отказов'!F1065="ЭВН"),1061,""))</f>
        <v/>
      </c>
      <c r="DF1062">
        <f>IF('История отказов'!AE1065="","",IF(AND(COUNTIF($CX$2:$CX$2,'История отказов'!AE1065)=0,COUNTIFS('История отказов'!$F$5:F1065,"ШВН",'История отказов'!$AE$5:AE1065,'История отказов'!AE1065)=1,'История отказов'!F1065="ШВН"),1061,""))</f>
        <v/>
      </c>
      <c r="DG1062">
        <f>IF('История отказов'!AE1065="","",IF(AND(COUNTIF($CW$2:$CW$2,'История отказов'!AE1065)=0,COUNTIFS('История отказов'!$F$5:F1065,"НПУ-ВД",'История отказов'!$AE$5:AE1065,'История отказов'!AE1065)=1,'История отказов'!F1065="НПУ-ВД"),1061,""))</f>
        <v/>
      </c>
      <c r="DH1062">
        <f>IF('История отказов'!AE1065="","",IF(AND(COUNTIF($CY$2:$CY$6,'История отказов'!AE1065)=0,COUNTIF('История отказов'!$AE$5:AE1065,'История отказов'!AE1065)=1),1061,""))</f>
        <v/>
      </c>
      <c r="DI1062">
        <f>IF('История отказов'!AK1065="","",IF(AND(COUNTIF($CL$2:$CL$3,'История отказов'!AK1065)=0,COUNTIF('История отказов'!$AK$5:AK1065,'История отказов'!AK1065)=1),1061,""))</f>
        <v/>
      </c>
      <c r="DJ1062">
        <f>IF('История отказов'!AU1065="","",IF(AND(COUNTIF($CP$2:$CP$3,'История отказов'!AU1065)=0,COUNTIF('История отказов'!$AU$5:AU1065,'История отказов'!AU1065)=1),1061,""))</f>
        <v/>
      </c>
      <c r="DK1062">
        <f>IF('История отказов'!AY1065="","",IF(AND(COUNTIF($CR$2:$CR$2,'История отказов'!AY1065)=0,COUNTIF('История отказов'!$AY$5:AY1065,'История отказов'!AY1065)=1),1061,""))</f>
        <v/>
      </c>
      <c r="DL1062">
        <f>IF(DB1062="","",IF(AND(COUNTIF($DA$2:$DA$47,DB1062)=0,COUNTIF($DB$2:DB1062,DB1062)=1),1061,""))</f>
        <v/>
      </c>
    </row>
    <row r="1063">
      <c r="A1063" s="74" t="n"/>
      <c r="B1063" s="75" t="n"/>
      <c r="C1063" s="76" t="n"/>
      <c r="DB1063">
        <f>IF('История отказов'!AH1066="","",'История отказов'!AH1066)</f>
        <v/>
      </c>
      <c r="DC1063">
        <f>IF('История отказов'!AE1066="","",IF(AND(COUNTIF($CT$2:$CT$2,'История отказов'!AE1066)=0,COUNTIFS('История отказов'!$F$5:F1066,"ШГН",'История отказов'!$AE$5:AE1066,'История отказов'!AE1066)=1,'История отказов'!F1066="ШГН"),1062,""))</f>
        <v/>
      </c>
      <c r="DD1063">
        <f>IF('История отказов'!AE1066="","",IF(AND(COUNTIF($CU$2:$CU$3,'История отказов'!AE1066)=0,COUNTIFS('История отказов'!$F$5:F1066,"ЭЦН",'История отказов'!$AE$5:AE1066,'История отказов'!AE1066)=1,'История отказов'!F1066="ЭЦН"),1062,""))</f>
        <v/>
      </c>
      <c r="DE1063">
        <f>IF('История отказов'!AE1066="","",IF(AND(COUNTIF($CV$2:$CV$3,'История отказов'!AE1066)=0,COUNTIFS('История отказов'!$F$5:F1066,"ЭВН",'История отказов'!$AE$5:AE1066,'История отказов'!AE1066)=1,'История отказов'!F1066="ЭВН"),1062,""))</f>
        <v/>
      </c>
      <c r="DF1063">
        <f>IF('История отказов'!AE1066="","",IF(AND(COUNTIF($CX$2:$CX$2,'История отказов'!AE1066)=0,COUNTIFS('История отказов'!$F$5:F1066,"ШВН",'История отказов'!$AE$5:AE1066,'История отказов'!AE1066)=1,'История отказов'!F1066="ШВН"),1062,""))</f>
        <v/>
      </c>
      <c r="DG1063">
        <f>IF('История отказов'!AE1066="","",IF(AND(COUNTIF($CW$2:$CW$2,'История отказов'!AE1066)=0,COUNTIFS('История отказов'!$F$5:F1066,"НПУ-ВД",'История отказов'!$AE$5:AE1066,'История отказов'!AE1066)=1,'История отказов'!F1066="НПУ-ВД"),1062,""))</f>
        <v/>
      </c>
      <c r="DH1063">
        <f>IF('История отказов'!AE1066="","",IF(AND(COUNTIF($CY$2:$CY$6,'История отказов'!AE1066)=0,COUNTIF('История отказов'!$AE$5:AE1066,'История отказов'!AE1066)=1),1062,""))</f>
        <v/>
      </c>
      <c r="DI1063">
        <f>IF('История отказов'!AK1066="","",IF(AND(COUNTIF($CL$2:$CL$3,'История отказов'!AK1066)=0,COUNTIF('История отказов'!$AK$5:AK1066,'История отказов'!AK1066)=1),1062,""))</f>
        <v/>
      </c>
      <c r="DJ1063">
        <f>IF('История отказов'!AU1066="","",IF(AND(COUNTIF($CP$2:$CP$3,'История отказов'!AU1066)=0,COUNTIF('История отказов'!$AU$5:AU1066,'История отказов'!AU1066)=1),1062,""))</f>
        <v/>
      </c>
      <c r="DK1063">
        <f>IF('История отказов'!AY1066="","",IF(AND(COUNTIF($CR$2:$CR$2,'История отказов'!AY1066)=0,COUNTIF('История отказов'!$AY$5:AY1066,'История отказов'!AY1066)=1),1062,""))</f>
        <v/>
      </c>
      <c r="DL1063">
        <f>IF(DB1063="","",IF(AND(COUNTIF($DA$2:$DA$47,DB1063)=0,COUNTIF($DB$2:DB1063,DB1063)=1),1062,""))</f>
        <v/>
      </c>
    </row>
    <row r="1064">
      <c r="A1064" s="74" t="n"/>
      <c r="B1064" s="75" t="n"/>
      <c r="C1064" s="76" t="n"/>
      <c r="DB1064">
        <f>IF('История отказов'!AH1067="","",'История отказов'!AH1067)</f>
        <v/>
      </c>
      <c r="DC1064">
        <f>IF('История отказов'!AE1067="","",IF(AND(COUNTIF($CT$2:$CT$2,'История отказов'!AE1067)=0,COUNTIFS('История отказов'!$F$5:F1067,"ШГН",'История отказов'!$AE$5:AE1067,'История отказов'!AE1067)=1,'История отказов'!F1067="ШГН"),1063,""))</f>
        <v/>
      </c>
      <c r="DD1064">
        <f>IF('История отказов'!AE1067="","",IF(AND(COUNTIF($CU$2:$CU$3,'История отказов'!AE1067)=0,COUNTIFS('История отказов'!$F$5:F1067,"ЭЦН",'История отказов'!$AE$5:AE1067,'История отказов'!AE1067)=1,'История отказов'!F1067="ЭЦН"),1063,""))</f>
        <v/>
      </c>
      <c r="DE1064">
        <f>IF('История отказов'!AE1067="","",IF(AND(COUNTIF($CV$2:$CV$3,'История отказов'!AE1067)=0,COUNTIFS('История отказов'!$F$5:F1067,"ЭВН",'История отказов'!$AE$5:AE1067,'История отказов'!AE1067)=1,'История отказов'!F1067="ЭВН"),1063,""))</f>
        <v/>
      </c>
      <c r="DF1064">
        <f>IF('История отказов'!AE1067="","",IF(AND(COUNTIF($CX$2:$CX$2,'История отказов'!AE1067)=0,COUNTIFS('История отказов'!$F$5:F1067,"ШВН",'История отказов'!$AE$5:AE1067,'История отказов'!AE1067)=1,'История отказов'!F1067="ШВН"),1063,""))</f>
        <v/>
      </c>
      <c r="DG1064">
        <f>IF('История отказов'!AE1067="","",IF(AND(COUNTIF($CW$2:$CW$2,'История отказов'!AE1067)=0,COUNTIFS('История отказов'!$F$5:F1067,"НПУ-ВД",'История отказов'!$AE$5:AE1067,'История отказов'!AE1067)=1,'История отказов'!F1067="НПУ-ВД"),1063,""))</f>
        <v/>
      </c>
      <c r="DH1064">
        <f>IF('История отказов'!AE1067="","",IF(AND(COUNTIF($CY$2:$CY$6,'История отказов'!AE1067)=0,COUNTIF('История отказов'!$AE$5:AE1067,'История отказов'!AE1067)=1),1063,""))</f>
        <v/>
      </c>
      <c r="DI1064">
        <f>IF('История отказов'!AK1067="","",IF(AND(COUNTIF($CL$2:$CL$3,'История отказов'!AK1067)=0,COUNTIF('История отказов'!$AK$5:AK1067,'История отказов'!AK1067)=1),1063,""))</f>
        <v/>
      </c>
      <c r="DJ1064">
        <f>IF('История отказов'!AU1067="","",IF(AND(COUNTIF($CP$2:$CP$3,'История отказов'!AU1067)=0,COUNTIF('История отказов'!$AU$5:AU1067,'История отказов'!AU1067)=1),1063,""))</f>
        <v/>
      </c>
      <c r="DK1064">
        <f>IF('История отказов'!AY1067="","",IF(AND(COUNTIF($CR$2:$CR$2,'История отказов'!AY1067)=0,COUNTIF('История отказов'!$AY$5:AY1067,'История отказов'!AY1067)=1),1063,""))</f>
        <v/>
      </c>
      <c r="DL1064">
        <f>IF(DB1064="","",IF(AND(COUNTIF($DA$2:$DA$47,DB1064)=0,COUNTIF($DB$2:DB1064,DB1064)=1),1063,""))</f>
        <v/>
      </c>
    </row>
    <row r="1065">
      <c r="A1065" s="74" t="n"/>
      <c r="B1065" s="75" t="n"/>
      <c r="C1065" s="76" t="n"/>
      <c r="DB1065">
        <f>IF('История отказов'!AH1068="","",'История отказов'!AH1068)</f>
        <v/>
      </c>
      <c r="DC1065">
        <f>IF('История отказов'!AE1068="","",IF(AND(COUNTIF($CT$2:$CT$2,'История отказов'!AE1068)=0,COUNTIFS('История отказов'!$F$5:F1068,"ШГН",'История отказов'!$AE$5:AE1068,'История отказов'!AE1068)=1,'История отказов'!F1068="ШГН"),1064,""))</f>
        <v/>
      </c>
      <c r="DD1065">
        <f>IF('История отказов'!AE1068="","",IF(AND(COUNTIF($CU$2:$CU$3,'История отказов'!AE1068)=0,COUNTIFS('История отказов'!$F$5:F1068,"ЭЦН",'История отказов'!$AE$5:AE1068,'История отказов'!AE1068)=1,'История отказов'!F1068="ЭЦН"),1064,""))</f>
        <v/>
      </c>
      <c r="DE1065">
        <f>IF('История отказов'!AE1068="","",IF(AND(COUNTIF($CV$2:$CV$3,'История отказов'!AE1068)=0,COUNTIFS('История отказов'!$F$5:F1068,"ЭВН",'История отказов'!$AE$5:AE1068,'История отказов'!AE1068)=1,'История отказов'!F1068="ЭВН"),1064,""))</f>
        <v/>
      </c>
      <c r="DF1065">
        <f>IF('История отказов'!AE1068="","",IF(AND(COUNTIF($CX$2:$CX$2,'История отказов'!AE1068)=0,COUNTIFS('История отказов'!$F$5:F1068,"ШВН",'История отказов'!$AE$5:AE1068,'История отказов'!AE1068)=1,'История отказов'!F1068="ШВН"),1064,""))</f>
        <v/>
      </c>
      <c r="DG1065">
        <f>IF('История отказов'!AE1068="","",IF(AND(COUNTIF($CW$2:$CW$2,'История отказов'!AE1068)=0,COUNTIFS('История отказов'!$F$5:F1068,"НПУ-ВД",'История отказов'!$AE$5:AE1068,'История отказов'!AE1068)=1,'История отказов'!F1068="НПУ-ВД"),1064,""))</f>
        <v/>
      </c>
      <c r="DH1065">
        <f>IF('История отказов'!AE1068="","",IF(AND(COUNTIF($CY$2:$CY$6,'История отказов'!AE1068)=0,COUNTIF('История отказов'!$AE$5:AE1068,'История отказов'!AE1068)=1),1064,""))</f>
        <v/>
      </c>
      <c r="DI1065">
        <f>IF('История отказов'!AK1068="","",IF(AND(COUNTIF($CL$2:$CL$3,'История отказов'!AK1068)=0,COUNTIF('История отказов'!$AK$5:AK1068,'История отказов'!AK1068)=1),1064,""))</f>
        <v/>
      </c>
      <c r="DJ1065">
        <f>IF('История отказов'!AU1068="","",IF(AND(COUNTIF($CP$2:$CP$3,'История отказов'!AU1068)=0,COUNTIF('История отказов'!$AU$5:AU1068,'История отказов'!AU1068)=1),1064,""))</f>
        <v/>
      </c>
      <c r="DK1065">
        <f>IF('История отказов'!AY1068="","",IF(AND(COUNTIF($CR$2:$CR$2,'История отказов'!AY1068)=0,COUNTIF('История отказов'!$AY$5:AY1068,'История отказов'!AY1068)=1),1064,""))</f>
        <v/>
      </c>
      <c r="DL1065">
        <f>IF(DB1065="","",IF(AND(COUNTIF($DA$2:$DA$47,DB1065)=0,COUNTIF($DB$2:DB1065,DB1065)=1),1064,""))</f>
        <v/>
      </c>
    </row>
    <row r="1066">
      <c r="A1066" s="74" t="n"/>
      <c r="B1066" s="75" t="n"/>
      <c r="C1066" s="76" t="n"/>
      <c r="DB1066">
        <f>IF('История отказов'!AH1069="","",'История отказов'!AH1069)</f>
        <v/>
      </c>
      <c r="DC1066">
        <f>IF('История отказов'!AE1069="","",IF(AND(COUNTIF($CT$2:$CT$2,'История отказов'!AE1069)=0,COUNTIFS('История отказов'!$F$5:F1069,"ШГН",'История отказов'!$AE$5:AE1069,'История отказов'!AE1069)=1,'История отказов'!F1069="ШГН"),1065,""))</f>
        <v/>
      </c>
      <c r="DD1066">
        <f>IF('История отказов'!AE1069="","",IF(AND(COUNTIF($CU$2:$CU$3,'История отказов'!AE1069)=0,COUNTIFS('История отказов'!$F$5:F1069,"ЭЦН",'История отказов'!$AE$5:AE1069,'История отказов'!AE1069)=1,'История отказов'!F1069="ЭЦН"),1065,""))</f>
        <v/>
      </c>
      <c r="DE1066">
        <f>IF('История отказов'!AE1069="","",IF(AND(COUNTIF($CV$2:$CV$3,'История отказов'!AE1069)=0,COUNTIFS('История отказов'!$F$5:F1069,"ЭВН",'История отказов'!$AE$5:AE1069,'История отказов'!AE1069)=1,'История отказов'!F1069="ЭВН"),1065,""))</f>
        <v/>
      </c>
      <c r="DF1066">
        <f>IF('История отказов'!AE1069="","",IF(AND(COUNTIF($CX$2:$CX$2,'История отказов'!AE1069)=0,COUNTIFS('История отказов'!$F$5:F1069,"ШВН",'История отказов'!$AE$5:AE1069,'История отказов'!AE1069)=1,'История отказов'!F1069="ШВН"),1065,""))</f>
        <v/>
      </c>
      <c r="DG1066">
        <f>IF('История отказов'!AE1069="","",IF(AND(COUNTIF($CW$2:$CW$2,'История отказов'!AE1069)=0,COUNTIFS('История отказов'!$F$5:F1069,"НПУ-ВД",'История отказов'!$AE$5:AE1069,'История отказов'!AE1069)=1,'История отказов'!F1069="НПУ-ВД"),1065,""))</f>
        <v/>
      </c>
      <c r="DH1066">
        <f>IF('История отказов'!AE1069="","",IF(AND(COUNTIF($CY$2:$CY$6,'История отказов'!AE1069)=0,COUNTIF('История отказов'!$AE$5:AE1069,'История отказов'!AE1069)=1),1065,""))</f>
        <v/>
      </c>
      <c r="DI1066">
        <f>IF('История отказов'!AK1069="","",IF(AND(COUNTIF($CL$2:$CL$3,'История отказов'!AK1069)=0,COUNTIF('История отказов'!$AK$5:AK1069,'История отказов'!AK1069)=1),1065,""))</f>
        <v/>
      </c>
      <c r="DJ1066">
        <f>IF('История отказов'!AU1069="","",IF(AND(COUNTIF($CP$2:$CP$3,'История отказов'!AU1069)=0,COUNTIF('История отказов'!$AU$5:AU1069,'История отказов'!AU1069)=1),1065,""))</f>
        <v/>
      </c>
      <c r="DK1066">
        <f>IF('История отказов'!AY1069="","",IF(AND(COUNTIF($CR$2:$CR$2,'История отказов'!AY1069)=0,COUNTIF('История отказов'!$AY$5:AY1069,'История отказов'!AY1069)=1),1065,""))</f>
        <v/>
      </c>
      <c r="DL1066">
        <f>IF(DB1066="","",IF(AND(COUNTIF($DA$2:$DA$47,DB1066)=0,COUNTIF($DB$2:DB1066,DB1066)=1),1065,""))</f>
        <v/>
      </c>
    </row>
    <row r="1067">
      <c r="A1067" s="74" t="n"/>
      <c r="B1067" s="75" t="n"/>
      <c r="C1067" s="76" t="n"/>
      <c r="DB1067">
        <f>IF('История отказов'!AH1070="","",'История отказов'!AH1070)</f>
        <v/>
      </c>
      <c r="DC1067">
        <f>IF('История отказов'!AE1070="","",IF(AND(COUNTIF($CT$2:$CT$2,'История отказов'!AE1070)=0,COUNTIFS('История отказов'!$F$5:F1070,"ШГН",'История отказов'!$AE$5:AE1070,'История отказов'!AE1070)=1,'История отказов'!F1070="ШГН"),1066,""))</f>
        <v/>
      </c>
      <c r="DD1067">
        <f>IF('История отказов'!AE1070="","",IF(AND(COUNTIF($CU$2:$CU$3,'История отказов'!AE1070)=0,COUNTIFS('История отказов'!$F$5:F1070,"ЭЦН",'История отказов'!$AE$5:AE1070,'История отказов'!AE1070)=1,'История отказов'!F1070="ЭЦН"),1066,""))</f>
        <v/>
      </c>
      <c r="DE1067">
        <f>IF('История отказов'!AE1070="","",IF(AND(COUNTIF($CV$2:$CV$3,'История отказов'!AE1070)=0,COUNTIFS('История отказов'!$F$5:F1070,"ЭВН",'История отказов'!$AE$5:AE1070,'История отказов'!AE1070)=1,'История отказов'!F1070="ЭВН"),1066,""))</f>
        <v/>
      </c>
      <c r="DF1067">
        <f>IF('История отказов'!AE1070="","",IF(AND(COUNTIF($CX$2:$CX$2,'История отказов'!AE1070)=0,COUNTIFS('История отказов'!$F$5:F1070,"ШВН",'История отказов'!$AE$5:AE1070,'История отказов'!AE1070)=1,'История отказов'!F1070="ШВН"),1066,""))</f>
        <v/>
      </c>
      <c r="DG1067">
        <f>IF('История отказов'!AE1070="","",IF(AND(COUNTIF($CW$2:$CW$2,'История отказов'!AE1070)=0,COUNTIFS('История отказов'!$F$5:F1070,"НПУ-ВД",'История отказов'!$AE$5:AE1070,'История отказов'!AE1070)=1,'История отказов'!F1070="НПУ-ВД"),1066,""))</f>
        <v/>
      </c>
      <c r="DH1067">
        <f>IF('История отказов'!AE1070="","",IF(AND(COUNTIF($CY$2:$CY$6,'История отказов'!AE1070)=0,COUNTIF('История отказов'!$AE$5:AE1070,'История отказов'!AE1070)=1),1066,""))</f>
        <v/>
      </c>
      <c r="DI1067">
        <f>IF('История отказов'!AK1070="","",IF(AND(COUNTIF($CL$2:$CL$3,'История отказов'!AK1070)=0,COUNTIF('История отказов'!$AK$5:AK1070,'История отказов'!AK1070)=1),1066,""))</f>
        <v/>
      </c>
      <c r="DJ1067">
        <f>IF('История отказов'!AU1070="","",IF(AND(COUNTIF($CP$2:$CP$3,'История отказов'!AU1070)=0,COUNTIF('История отказов'!$AU$5:AU1070,'История отказов'!AU1070)=1),1066,""))</f>
        <v/>
      </c>
      <c r="DK1067">
        <f>IF('История отказов'!AY1070="","",IF(AND(COUNTIF($CR$2:$CR$2,'История отказов'!AY1070)=0,COUNTIF('История отказов'!$AY$5:AY1070,'История отказов'!AY1070)=1),1066,""))</f>
        <v/>
      </c>
      <c r="DL1067">
        <f>IF(DB1067="","",IF(AND(COUNTIF($DA$2:$DA$47,DB1067)=0,COUNTIF($DB$2:DB1067,DB1067)=1),1066,""))</f>
        <v/>
      </c>
    </row>
    <row r="1068">
      <c r="A1068" s="74" t="n"/>
      <c r="B1068" s="75" t="n"/>
      <c r="C1068" s="76" t="n"/>
      <c r="DB1068">
        <f>IF('История отказов'!AH1071="","",'История отказов'!AH1071)</f>
        <v/>
      </c>
      <c r="DC1068">
        <f>IF('История отказов'!AE1071="","",IF(AND(COUNTIF($CT$2:$CT$2,'История отказов'!AE1071)=0,COUNTIFS('История отказов'!$F$5:F1071,"ШГН",'История отказов'!$AE$5:AE1071,'История отказов'!AE1071)=1,'История отказов'!F1071="ШГН"),1067,""))</f>
        <v/>
      </c>
      <c r="DD1068">
        <f>IF('История отказов'!AE1071="","",IF(AND(COUNTIF($CU$2:$CU$3,'История отказов'!AE1071)=0,COUNTIFS('История отказов'!$F$5:F1071,"ЭЦН",'История отказов'!$AE$5:AE1071,'История отказов'!AE1071)=1,'История отказов'!F1071="ЭЦН"),1067,""))</f>
        <v/>
      </c>
      <c r="DE1068">
        <f>IF('История отказов'!AE1071="","",IF(AND(COUNTIF($CV$2:$CV$3,'История отказов'!AE1071)=0,COUNTIFS('История отказов'!$F$5:F1071,"ЭВН",'История отказов'!$AE$5:AE1071,'История отказов'!AE1071)=1,'История отказов'!F1071="ЭВН"),1067,""))</f>
        <v/>
      </c>
      <c r="DF1068">
        <f>IF('История отказов'!AE1071="","",IF(AND(COUNTIF($CX$2:$CX$2,'История отказов'!AE1071)=0,COUNTIFS('История отказов'!$F$5:F1071,"ШВН",'История отказов'!$AE$5:AE1071,'История отказов'!AE1071)=1,'История отказов'!F1071="ШВН"),1067,""))</f>
        <v/>
      </c>
      <c r="DG1068">
        <f>IF('История отказов'!AE1071="","",IF(AND(COUNTIF($CW$2:$CW$2,'История отказов'!AE1071)=0,COUNTIFS('История отказов'!$F$5:F1071,"НПУ-ВД",'История отказов'!$AE$5:AE1071,'История отказов'!AE1071)=1,'История отказов'!F1071="НПУ-ВД"),1067,""))</f>
        <v/>
      </c>
      <c r="DH1068">
        <f>IF('История отказов'!AE1071="","",IF(AND(COUNTIF($CY$2:$CY$6,'История отказов'!AE1071)=0,COUNTIF('История отказов'!$AE$5:AE1071,'История отказов'!AE1071)=1),1067,""))</f>
        <v/>
      </c>
      <c r="DI1068">
        <f>IF('История отказов'!AK1071="","",IF(AND(COUNTIF($CL$2:$CL$3,'История отказов'!AK1071)=0,COUNTIF('История отказов'!$AK$5:AK1071,'История отказов'!AK1071)=1),1067,""))</f>
        <v/>
      </c>
      <c r="DJ1068">
        <f>IF('История отказов'!AU1071="","",IF(AND(COUNTIF($CP$2:$CP$3,'История отказов'!AU1071)=0,COUNTIF('История отказов'!$AU$5:AU1071,'История отказов'!AU1071)=1),1067,""))</f>
        <v/>
      </c>
      <c r="DK1068">
        <f>IF('История отказов'!AY1071="","",IF(AND(COUNTIF($CR$2:$CR$2,'История отказов'!AY1071)=0,COUNTIF('История отказов'!$AY$5:AY1071,'История отказов'!AY1071)=1),1067,""))</f>
        <v/>
      </c>
      <c r="DL1068">
        <f>IF(DB1068="","",IF(AND(COUNTIF($DA$2:$DA$47,DB1068)=0,COUNTIF($DB$2:DB1068,DB1068)=1),1067,""))</f>
        <v/>
      </c>
    </row>
    <row r="1069">
      <c r="A1069" s="74" t="n"/>
      <c r="B1069" s="75" t="n"/>
      <c r="C1069" s="76" t="n"/>
      <c r="DB1069">
        <f>IF('История отказов'!AH1072="","",'История отказов'!AH1072)</f>
        <v/>
      </c>
      <c r="DC1069">
        <f>IF('История отказов'!AE1072="","",IF(AND(COUNTIF($CT$2:$CT$2,'История отказов'!AE1072)=0,COUNTIFS('История отказов'!$F$5:F1072,"ШГН",'История отказов'!$AE$5:AE1072,'История отказов'!AE1072)=1,'История отказов'!F1072="ШГН"),1068,""))</f>
        <v/>
      </c>
      <c r="DD1069">
        <f>IF('История отказов'!AE1072="","",IF(AND(COUNTIF($CU$2:$CU$3,'История отказов'!AE1072)=0,COUNTIFS('История отказов'!$F$5:F1072,"ЭЦН",'История отказов'!$AE$5:AE1072,'История отказов'!AE1072)=1,'История отказов'!F1072="ЭЦН"),1068,""))</f>
        <v/>
      </c>
      <c r="DE1069">
        <f>IF('История отказов'!AE1072="","",IF(AND(COUNTIF($CV$2:$CV$3,'История отказов'!AE1072)=0,COUNTIFS('История отказов'!$F$5:F1072,"ЭВН",'История отказов'!$AE$5:AE1072,'История отказов'!AE1072)=1,'История отказов'!F1072="ЭВН"),1068,""))</f>
        <v/>
      </c>
      <c r="DF1069">
        <f>IF('История отказов'!AE1072="","",IF(AND(COUNTIF($CX$2:$CX$2,'История отказов'!AE1072)=0,COUNTIFS('История отказов'!$F$5:F1072,"ШВН",'История отказов'!$AE$5:AE1072,'История отказов'!AE1072)=1,'История отказов'!F1072="ШВН"),1068,""))</f>
        <v/>
      </c>
      <c r="DG1069">
        <f>IF('История отказов'!AE1072="","",IF(AND(COUNTIF($CW$2:$CW$2,'История отказов'!AE1072)=0,COUNTIFS('История отказов'!$F$5:F1072,"НПУ-ВД",'История отказов'!$AE$5:AE1072,'История отказов'!AE1072)=1,'История отказов'!F1072="НПУ-ВД"),1068,""))</f>
        <v/>
      </c>
      <c r="DH1069">
        <f>IF('История отказов'!AE1072="","",IF(AND(COUNTIF($CY$2:$CY$6,'История отказов'!AE1072)=0,COUNTIF('История отказов'!$AE$5:AE1072,'История отказов'!AE1072)=1),1068,""))</f>
        <v/>
      </c>
      <c r="DI1069">
        <f>IF('История отказов'!AK1072="","",IF(AND(COUNTIF($CL$2:$CL$3,'История отказов'!AK1072)=0,COUNTIF('История отказов'!$AK$5:AK1072,'История отказов'!AK1072)=1),1068,""))</f>
        <v/>
      </c>
      <c r="DJ1069">
        <f>IF('История отказов'!AU1072="","",IF(AND(COUNTIF($CP$2:$CP$3,'История отказов'!AU1072)=0,COUNTIF('История отказов'!$AU$5:AU1072,'История отказов'!AU1072)=1),1068,""))</f>
        <v/>
      </c>
      <c r="DK1069">
        <f>IF('История отказов'!AY1072="","",IF(AND(COUNTIF($CR$2:$CR$2,'История отказов'!AY1072)=0,COUNTIF('История отказов'!$AY$5:AY1072,'История отказов'!AY1072)=1),1068,""))</f>
        <v/>
      </c>
      <c r="DL1069">
        <f>IF(DB1069="","",IF(AND(COUNTIF($DA$2:$DA$47,DB1069)=0,COUNTIF($DB$2:DB1069,DB1069)=1),1068,""))</f>
        <v/>
      </c>
    </row>
    <row r="1070">
      <c r="A1070" s="74" t="n"/>
      <c r="B1070" s="75" t="n"/>
      <c r="C1070" s="76" t="n"/>
      <c r="DB1070">
        <f>IF('История отказов'!AH1073="","",'История отказов'!AH1073)</f>
        <v/>
      </c>
      <c r="DC1070">
        <f>IF('История отказов'!AE1073="","",IF(AND(COUNTIF($CT$2:$CT$2,'История отказов'!AE1073)=0,COUNTIFS('История отказов'!$F$5:F1073,"ШГН",'История отказов'!$AE$5:AE1073,'История отказов'!AE1073)=1,'История отказов'!F1073="ШГН"),1069,""))</f>
        <v/>
      </c>
      <c r="DD1070">
        <f>IF('История отказов'!AE1073="","",IF(AND(COUNTIF($CU$2:$CU$3,'История отказов'!AE1073)=0,COUNTIFS('История отказов'!$F$5:F1073,"ЭЦН",'История отказов'!$AE$5:AE1073,'История отказов'!AE1073)=1,'История отказов'!F1073="ЭЦН"),1069,""))</f>
        <v/>
      </c>
      <c r="DE1070">
        <f>IF('История отказов'!AE1073="","",IF(AND(COUNTIF($CV$2:$CV$3,'История отказов'!AE1073)=0,COUNTIFS('История отказов'!$F$5:F1073,"ЭВН",'История отказов'!$AE$5:AE1073,'История отказов'!AE1073)=1,'История отказов'!F1073="ЭВН"),1069,""))</f>
        <v/>
      </c>
      <c r="DF1070">
        <f>IF('История отказов'!AE1073="","",IF(AND(COUNTIF($CX$2:$CX$2,'История отказов'!AE1073)=0,COUNTIFS('История отказов'!$F$5:F1073,"ШВН",'История отказов'!$AE$5:AE1073,'История отказов'!AE1073)=1,'История отказов'!F1073="ШВН"),1069,""))</f>
        <v/>
      </c>
      <c r="DG1070">
        <f>IF('История отказов'!AE1073="","",IF(AND(COUNTIF($CW$2:$CW$2,'История отказов'!AE1073)=0,COUNTIFS('История отказов'!$F$5:F1073,"НПУ-ВД",'История отказов'!$AE$5:AE1073,'История отказов'!AE1073)=1,'История отказов'!F1073="НПУ-ВД"),1069,""))</f>
        <v/>
      </c>
      <c r="DH1070">
        <f>IF('История отказов'!AE1073="","",IF(AND(COUNTIF($CY$2:$CY$6,'История отказов'!AE1073)=0,COUNTIF('История отказов'!$AE$5:AE1073,'История отказов'!AE1073)=1),1069,""))</f>
        <v/>
      </c>
      <c r="DI1070">
        <f>IF('История отказов'!AK1073="","",IF(AND(COUNTIF($CL$2:$CL$3,'История отказов'!AK1073)=0,COUNTIF('История отказов'!$AK$5:AK1073,'История отказов'!AK1073)=1),1069,""))</f>
        <v/>
      </c>
      <c r="DJ1070">
        <f>IF('История отказов'!AU1073="","",IF(AND(COUNTIF($CP$2:$CP$3,'История отказов'!AU1073)=0,COUNTIF('История отказов'!$AU$5:AU1073,'История отказов'!AU1073)=1),1069,""))</f>
        <v/>
      </c>
      <c r="DK1070">
        <f>IF('История отказов'!AY1073="","",IF(AND(COUNTIF($CR$2:$CR$2,'История отказов'!AY1073)=0,COUNTIF('История отказов'!$AY$5:AY1073,'История отказов'!AY1073)=1),1069,""))</f>
        <v/>
      </c>
      <c r="DL1070">
        <f>IF(DB1070="","",IF(AND(COUNTIF($DA$2:$DA$47,DB1070)=0,COUNTIF($DB$2:DB1070,DB1070)=1),1069,""))</f>
        <v/>
      </c>
    </row>
    <row r="1071">
      <c r="A1071" s="74" t="n"/>
      <c r="B1071" s="75" t="n"/>
      <c r="C1071" s="76" t="n"/>
      <c r="DB1071">
        <f>IF('История отказов'!AH1074="","",'История отказов'!AH1074)</f>
        <v/>
      </c>
      <c r="DC1071">
        <f>IF('История отказов'!AE1074="","",IF(AND(COUNTIF($CT$2:$CT$2,'История отказов'!AE1074)=0,COUNTIFS('История отказов'!$F$5:F1074,"ШГН",'История отказов'!$AE$5:AE1074,'История отказов'!AE1074)=1,'История отказов'!F1074="ШГН"),1070,""))</f>
        <v/>
      </c>
      <c r="DD1071">
        <f>IF('История отказов'!AE1074="","",IF(AND(COUNTIF($CU$2:$CU$3,'История отказов'!AE1074)=0,COUNTIFS('История отказов'!$F$5:F1074,"ЭЦН",'История отказов'!$AE$5:AE1074,'История отказов'!AE1074)=1,'История отказов'!F1074="ЭЦН"),1070,""))</f>
        <v/>
      </c>
      <c r="DE1071">
        <f>IF('История отказов'!AE1074="","",IF(AND(COUNTIF($CV$2:$CV$3,'История отказов'!AE1074)=0,COUNTIFS('История отказов'!$F$5:F1074,"ЭВН",'История отказов'!$AE$5:AE1074,'История отказов'!AE1074)=1,'История отказов'!F1074="ЭВН"),1070,""))</f>
        <v/>
      </c>
      <c r="DF1071">
        <f>IF('История отказов'!AE1074="","",IF(AND(COUNTIF($CX$2:$CX$2,'История отказов'!AE1074)=0,COUNTIFS('История отказов'!$F$5:F1074,"ШВН",'История отказов'!$AE$5:AE1074,'История отказов'!AE1074)=1,'История отказов'!F1074="ШВН"),1070,""))</f>
        <v/>
      </c>
      <c r="DG1071">
        <f>IF('История отказов'!AE1074="","",IF(AND(COUNTIF($CW$2:$CW$2,'История отказов'!AE1074)=0,COUNTIFS('История отказов'!$F$5:F1074,"НПУ-ВД",'История отказов'!$AE$5:AE1074,'История отказов'!AE1074)=1,'История отказов'!F1074="НПУ-ВД"),1070,""))</f>
        <v/>
      </c>
      <c r="DH1071">
        <f>IF('История отказов'!AE1074="","",IF(AND(COUNTIF($CY$2:$CY$6,'История отказов'!AE1074)=0,COUNTIF('История отказов'!$AE$5:AE1074,'История отказов'!AE1074)=1),1070,""))</f>
        <v/>
      </c>
      <c r="DI1071">
        <f>IF('История отказов'!AK1074="","",IF(AND(COUNTIF($CL$2:$CL$3,'История отказов'!AK1074)=0,COUNTIF('История отказов'!$AK$5:AK1074,'История отказов'!AK1074)=1),1070,""))</f>
        <v/>
      </c>
      <c r="DJ1071">
        <f>IF('История отказов'!AU1074="","",IF(AND(COUNTIF($CP$2:$CP$3,'История отказов'!AU1074)=0,COUNTIF('История отказов'!$AU$5:AU1074,'История отказов'!AU1074)=1),1070,""))</f>
        <v/>
      </c>
      <c r="DK1071">
        <f>IF('История отказов'!AY1074="","",IF(AND(COUNTIF($CR$2:$CR$2,'История отказов'!AY1074)=0,COUNTIF('История отказов'!$AY$5:AY1074,'История отказов'!AY1074)=1),1070,""))</f>
        <v/>
      </c>
      <c r="DL1071">
        <f>IF(DB1071="","",IF(AND(COUNTIF($DA$2:$DA$47,DB1071)=0,COUNTIF($DB$2:DB1071,DB1071)=1),1070,""))</f>
        <v/>
      </c>
    </row>
    <row r="1072">
      <c r="A1072" s="74" t="n"/>
      <c r="B1072" s="75" t="n"/>
      <c r="C1072" s="76" t="n"/>
      <c r="DB1072">
        <f>IF('История отказов'!AH1075="","",'История отказов'!AH1075)</f>
        <v/>
      </c>
      <c r="DC1072">
        <f>IF('История отказов'!AE1075="","",IF(AND(COUNTIF($CT$2:$CT$2,'История отказов'!AE1075)=0,COUNTIFS('История отказов'!$F$5:F1075,"ШГН",'История отказов'!$AE$5:AE1075,'История отказов'!AE1075)=1,'История отказов'!F1075="ШГН"),1071,""))</f>
        <v/>
      </c>
      <c r="DD1072">
        <f>IF('История отказов'!AE1075="","",IF(AND(COUNTIF($CU$2:$CU$3,'История отказов'!AE1075)=0,COUNTIFS('История отказов'!$F$5:F1075,"ЭЦН",'История отказов'!$AE$5:AE1075,'История отказов'!AE1075)=1,'История отказов'!F1075="ЭЦН"),1071,""))</f>
        <v/>
      </c>
      <c r="DE1072">
        <f>IF('История отказов'!AE1075="","",IF(AND(COUNTIF($CV$2:$CV$3,'История отказов'!AE1075)=0,COUNTIFS('История отказов'!$F$5:F1075,"ЭВН",'История отказов'!$AE$5:AE1075,'История отказов'!AE1075)=1,'История отказов'!F1075="ЭВН"),1071,""))</f>
        <v/>
      </c>
      <c r="DF1072">
        <f>IF('История отказов'!AE1075="","",IF(AND(COUNTIF($CX$2:$CX$2,'История отказов'!AE1075)=0,COUNTIFS('История отказов'!$F$5:F1075,"ШВН",'История отказов'!$AE$5:AE1075,'История отказов'!AE1075)=1,'История отказов'!F1075="ШВН"),1071,""))</f>
        <v/>
      </c>
      <c r="DG1072">
        <f>IF('История отказов'!AE1075="","",IF(AND(COUNTIF($CW$2:$CW$2,'История отказов'!AE1075)=0,COUNTIFS('История отказов'!$F$5:F1075,"НПУ-ВД",'История отказов'!$AE$5:AE1075,'История отказов'!AE1075)=1,'История отказов'!F1075="НПУ-ВД"),1071,""))</f>
        <v/>
      </c>
      <c r="DH1072">
        <f>IF('История отказов'!AE1075="","",IF(AND(COUNTIF($CY$2:$CY$6,'История отказов'!AE1075)=0,COUNTIF('История отказов'!$AE$5:AE1075,'История отказов'!AE1075)=1),1071,""))</f>
        <v/>
      </c>
      <c r="DI1072">
        <f>IF('История отказов'!AK1075="","",IF(AND(COUNTIF($CL$2:$CL$3,'История отказов'!AK1075)=0,COUNTIF('История отказов'!$AK$5:AK1075,'История отказов'!AK1075)=1),1071,""))</f>
        <v/>
      </c>
      <c r="DJ1072">
        <f>IF('История отказов'!AU1075="","",IF(AND(COUNTIF($CP$2:$CP$3,'История отказов'!AU1075)=0,COUNTIF('История отказов'!$AU$5:AU1075,'История отказов'!AU1075)=1),1071,""))</f>
        <v/>
      </c>
      <c r="DK1072">
        <f>IF('История отказов'!AY1075="","",IF(AND(COUNTIF($CR$2:$CR$2,'История отказов'!AY1075)=0,COUNTIF('История отказов'!$AY$5:AY1075,'История отказов'!AY1075)=1),1071,""))</f>
        <v/>
      </c>
      <c r="DL1072">
        <f>IF(DB1072="","",IF(AND(COUNTIF($DA$2:$DA$47,DB1072)=0,COUNTIF($DB$2:DB1072,DB1072)=1),1071,""))</f>
        <v/>
      </c>
    </row>
    <row r="1073">
      <c r="A1073" s="74" t="n"/>
      <c r="B1073" s="75" t="n"/>
      <c r="C1073" s="76" t="n"/>
      <c r="DB1073">
        <f>IF('История отказов'!AH1076="","",'История отказов'!AH1076)</f>
        <v/>
      </c>
      <c r="DC1073">
        <f>IF('История отказов'!AE1076="","",IF(AND(COUNTIF($CT$2:$CT$2,'История отказов'!AE1076)=0,COUNTIFS('История отказов'!$F$5:F1076,"ШГН",'История отказов'!$AE$5:AE1076,'История отказов'!AE1076)=1,'История отказов'!F1076="ШГН"),1072,""))</f>
        <v/>
      </c>
      <c r="DD1073">
        <f>IF('История отказов'!AE1076="","",IF(AND(COUNTIF($CU$2:$CU$3,'История отказов'!AE1076)=0,COUNTIFS('История отказов'!$F$5:F1076,"ЭЦН",'История отказов'!$AE$5:AE1076,'История отказов'!AE1076)=1,'История отказов'!F1076="ЭЦН"),1072,""))</f>
        <v/>
      </c>
      <c r="DE1073">
        <f>IF('История отказов'!AE1076="","",IF(AND(COUNTIF($CV$2:$CV$3,'История отказов'!AE1076)=0,COUNTIFS('История отказов'!$F$5:F1076,"ЭВН",'История отказов'!$AE$5:AE1076,'История отказов'!AE1076)=1,'История отказов'!F1076="ЭВН"),1072,""))</f>
        <v/>
      </c>
      <c r="DF1073">
        <f>IF('История отказов'!AE1076="","",IF(AND(COUNTIF($CX$2:$CX$2,'История отказов'!AE1076)=0,COUNTIFS('История отказов'!$F$5:F1076,"ШВН",'История отказов'!$AE$5:AE1076,'История отказов'!AE1076)=1,'История отказов'!F1076="ШВН"),1072,""))</f>
        <v/>
      </c>
      <c r="DG1073">
        <f>IF('История отказов'!AE1076="","",IF(AND(COUNTIF($CW$2:$CW$2,'История отказов'!AE1076)=0,COUNTIFS('История отказов'!$F$5:F1076,"НПУ-ВД",'История отказов'!$AE$5:AE1076,'История отказов'!AE1076)=1,'История отказов'!F1076="НПУ-ВД"),1072,""))</f>
        <v/>
      </c>
      <c r="DH1073">
        <f>IF('История отказов'!AE1076="","",IF(AND(COUNTIF($CY$2:$CY$6,'История отказов'!AE1076)=0,COUNTIF('История отказов'!$AE$5:AE1076,'История отказов'!AE1076)=1),1072,""))</f>
        <v/>
      </c>
      <c r="DI1073">
        <f>IF('История отказов'!AK1076="","",IF(AND(COUNTIF($CL$2:$CL$3,'История отказов'!AK1076)=0,COUNTIF('История отказов'!$AK$5:AK1076,'История отказов'!AK1076)=1),1072,""))</f>
        <v/>
      </c>
      <c r="DJ1073">
        <f>IF('История отказов'!AU1076="","",IF(AND(COUNTIF($CP$2:$CP$3,'История отказов'!AU1076)=0,COUNTIF('История отказов'!$AU$5:AU1076,'История отказов'!AU1076)=1),1072,""))</f>
        <v/>
      </c>
      <c r="DK1073">
        <f>IF('История отказов'!AY1076="","",IF(AND(COUNTIF($CR$2:$CR$2,'История отказов'!AY1076)=0,COUNTIF('История отказов'!$AY$5:AY1076,'История отказов'!AY1076)=1),1072,""))</f>
        <v/>
      </c>
      <c r="DL1073">
        <f>IF(DB1073="","",IF(AND(COUNTIF($DA$2:$DA$47,DB1073)=0,COUNTIF($DB$2:DB1073,DB1073)=1),1072,""))</f>
        <v/>
      </c>
    </row>
    <row r="1074">
      <c r="A1074" s="74" t="n"/>
      <c r="B1074" s="75" t="n"/>
      <c r="C1074" s="76" t="n"/>
      <c r="DB1074">
        <f>IF('История отказов'!AH1077="","",'История отказов'!AH1077)</f>
        <v/>
      </c>
      <c r="DC1074">
        <f>IF('История отказов'!AE1077="","",IF(AND(COUNTIF($CT$2:$CT$2,'История отказов'!AE1077)=0,COUNTIFS('История отказов'!$F$5:F1077,"ШГН",'История отказов'!$AE$5:AE1077,'История отказов'!AE1077)=1,'История отказов'!F1077="ШГН"),1073,""))</f>
        <v/>
      </c>
      <c r="DD1074">
        <f>IF('История отказов'!AE1077="","",IF(AND(COUNTIF($CU$2:$CU$3,'История отказов'!AE1077)=0,COUNTIFS('История отказов'!$F$5:F1077,"ЭЦН",'История отказов'!$AE$5:AE1077,'История отказов'!AE1077)=1,'История отказов'!F1077="ЭЦН"),1073,""))</f>
        <v/>
      </c>
      <c r="DE1074">
        <f>IF('История отказов'!AE1077="","",IF(AND(COUNTIF($CV$2:$CV$3,'История отказов'!AE1077)=0,COUNTIFS('История отказов'!$F$5:F1077,"ЭВН",'История отказов'!$AE$5:AE1077,'История отказов'!AE1077)=1,'История отказов'!F1077="ЭВН"),1073,""))</f>
        <v/>
      </c>
      <c r="DF1074">
        <f>IF('История отказов'!AE1077="","",IF(AND(COUNTIF($CX$2:$CX$2,'История отказов'!AE1077)=0,COUNTIFS('История отказов'!$F$5:F1077,"ШВН",'История отказов'!$AE$5:AE1077,'История отказов'!AE1077)=1,'История отказов'!F1077="ШВН"),1073,""))</f>
        <v/>
      </c>
      <c r="DG1074">
        <f>IF('История отказов'!AE1077="","",IF(AND(COUNTIF($CW$2:$CW$2,'История отказов'!AE1077)=0,COUNTIFS('История отказов'!$F$5:F1077,"НПУ-ВД",'История отказов'!$AE$5:AE1077,'История отказов'!AE1077)=1,'История отказов'!F1077="НПУ-ВД"),1073,""))</f>
        <v/>
      </c>
      <c r="DH1074">
        <f>IF('История отказов'!AE1077="","",IF(AND(COUNTIF($CY$2:$CY$6,'История отказов'!AE1077)=0,COUNTIF('История отказов'!$AE$5:AE1077,'История отказов'!AE1077)=1),1073,""))</f>
        <v/>
      </c>
      <c r="DI1074">
        <f>IF('История отказов'!AK1077="","",IF(AND(COUNTIF($CL$2:$CL$3,'История отказов'!AK1077)=0,COUNTIF('История отказов'!$AK$5:AK1077,'История отказов'!AK1077)=1),1073,""))</f>
        <v/>
      </c>
      <c r="DJ1074">
        <f>IF('История отказов'!AU1077="","",IF(AND(COUNTIF($CP$2:$CP$3,'История отказов'!AU1077)=0,COUNTIF('История отказов'!$AU$5:AU1077,'История отказов'!AU1077)=1),1073,""))</f>
        <v/>
      </c>
      <c r="DK1074">
        <f>IF('История отказов'!AY1077="","",IF(AND(COUNTIF($CR$2:$CR$2,'История отказов'!AY1077)=0,COUNTIF('История отказов'!$AY$5:AY1077,'История отказов'!AY1077)=1),1073,""))</f>
        <v/>
      </c>
      <c r="DL1074">
        <f>IF(DB1074="","",IF(AND(COUNTIF($DA$2:$DA$47,DB1074)=0,COUNTIF($DB$2:DB1074,DB1074)=1),1073,""))</f>
        <v/>
      </c>
    </row>
    <row r="1075">
      <c r="A1075" s="74" t="n"/>
      <c r="B1075" s="75" t="n"/>
      <c r="C1075" s="76" t="n"/>
      <c r="DB1075">
        <f>IF('История отказов'!AH1078="","",'История отказов'!AH1078)</f>
        <v/>
      </c>
      <c r="DC1075">
        <f>IF('История отказов'!AE1078="","",IF(AND(COUNTIF($CT$2:$CT$2,'История отказов'!AE1078)=0,COUNTIFS('История отказов'!$F$5:F1078,"ШГН",'История отказов'!$AE$5:AE1078,'История отказов'!AE1078)=1,'История отказов'!F1078="ШГН"),1074,""))</f>
        <v/>
      </c>
      <c r="DD1075">
        <f>IF('История отказов'!AE1078="","",IF(AND(COUNTIF($CU$2:$CU$3,'История отказов'!AE1078)=0,COUNTIFS('История отказов'!$F$5:F1078,"ЭЦН",'История отказов'!$AE$5:AE1078,'История отказов'!AE1078)=1,'История отказов'!F1078="ЭЦН"),1074,""))</f>
        <v/>
      </c>
      <c r="DE1075">
        <f>IF('История отказов'!AE1078="","",IF(AND(COUNTIF($CV$2:$CV$3,'История отказов'!AE1078)=0,COUNTIFS('История отказов'!$F$5:F1078,"ЭВН",'История отказов'!$AE$5:AE1078,'История отказов'!AE1078)=1,'История отказов'!F1078="ЭВН"),1074,""))</f>
        <v/>
      </c>
      <c r="DF1075">
        <f>IF('История отказов'!AE1078="","",IF(AND(COUNTIF($CX$2:$CX$2,'История отказов'!AE1078)=0,COUNTIFS('История отказов'!$F$5:F1078,"ШВН",'История отказов'!$AE$5:AE1078,'История отказов'!AE1078)=1,'История отказов'!F1078="ШВН"),1074,""))</f>
        <v/>
      </c>
      <c r="DG1075">
        <f>IF('История отказов'!AE1078="","",IF(AND(COUNTIF($CW$2:$CW$2,'История отказов'!AE1078)=0,COUNTIFS('История отказов'!$F$5:F1078,"НПУ-ВД",'История отказов'!$AE$5:AE1078,'История отказов'!AE1078)=1,'История отказов'!F1078="НПУ-ВД"),1074,""))</f>
        <v/>
      </c>
      <c r="DH1075">
        <f>IF('История отказов'!AE1078="","",IF(AND(COUNTIF($CY$2:$CY$6,'История отказов'!AE1078)=0,COUNTIF('История отказов'!$AE$5:AE1078,'История отказов'!AE1078)=1),1074,""))</f>
        <v/>
      </c>
      <c r="DI1075">
        <f>IF('История отказов'!AK1078="","",IF(AND(COUNTIF($CL$2:$CL$3,'История отказов'!AK1078)=0,COUNTIF('История отказов'!$AK$5:AK1078,'История отказов'!AK1078)=1),1074,""))</f>
        <v/>
      </c>
      <c r="DJ1075">
        <f>IF('История отказов'!AU1078="","",IF(AND(COUNTIF($CP$2:$CP$3,'История отказов'!AU1078)=0,COUNTIF('История отказов'!$AU$5:AU1078,'История отказов'!AU1078)=1),1074,""))</f>
        <v/>
      </c>
      <c r="DK1075">
        <f>IF('История отказов'!AY1078="","",IF(AND(COUNTIF($CR$2:$CR$2,'История отказов'!AY1078)=0,COUNTIF('История отказов'!$AY$5:AY1078,'История отказов'!AY1078)=1),1074,""))</f>
        <v/>
      </c>
      <c r="DL1075">
        <f>IF(DB1075="","",IF(AND(COUNTIF($DA$2:$DA$47,DB1075)=0,COUNTIF($DB$2:DB1075,DB1075)=1),1074,""))</f>
        <v/>
      </c>
    </row>
    <row r="1076">
      <c r="A1076" s="74" t="n"/>
      <c r="B1076" s="75" t="n"/>
      <c r="C1076" s="76" t="n"/>
      <c r="DB1076">
        <f>IF('История отказов'!AH1079="","",'История отказов'!AH1079)</f>
        <v/>
      </c>
      <c r="DC1076">
        <f>IF('История отказов'!AE1079="","",IF(AND(COUNTIF($CT$2:$CT$2,'История отказов'!AE1079)=0,COUNTIFS('История отказов'!$F$5:F1079,"ШГН",'История отказов'!$AE$5:AE1079,'История отказов'!AE1079)=1,'История отказов'!F1079="ШГН"),1075,""))</f>
        <v/>
      </c>
      <c r="DD1076">
        <f>IF('История отказов'!AE1079="","",IF(AND(COUNTIF($CU$2:$CU$3,'История отказов'!AE1079)=0,COUNTIFS('История отказов'!$F$5:F1079,"ЭЦН",'История отказов'!$AE$5:AE1079,'История отказов'!AE1079)=1,'История отказов'!F1079="ЭЦН"),1075,""))</f>
        <v/>
      </c>
      <c r="DE1076">
        <f>IF('История отказов'!AE1079="","",IF(AND(COUNTIF($CV$2:$CV$3,'История отказов'!AE1079)=0,COUNTIFS('История отказов'!$F$5:F1079,"ЭВН",'История отказов'!$AE$5:AE1079,'История отказов'!AE1079)=1,'История отказов'!F1079="ЭВН"),1075,""))</f>
        <v/>
      </c>
      <c r="DF1076">
        <f>IF('История отказов'!AE1079="","",IF(AND(COUNTIF($CX$2:$CX$2,'История отказов'!AE1079)=0,COUNTIFS('История отказов'!$F$5:F1079,"ШВН",'История отказов'!$AE$5:AE1079,'История отказов'!AE1079)=1,'История отказов'!F1079="ШВН"),1075,""))</f>
        <v/>
      </c>
      <c r="DG1076">
        <f>IF('История отказов'!AE1079="","",IF(AND(COUNTIF($CW$2:$CW$2,'История отказов'!AE1079)=0,COUNTIFS('История отказов'!$F$5:F1079,"НПУ-ВД",'История отказов'!$AE$5:AE1079,'История отказов'!AE1079)=1,'История отказов'!F1079="НПУ-ВД"),1075,""))</f>
        <v/>
      </c>
      <c r="DH1076">
        <f>IF('История отказов'!AE1079="","",IF(AND(COUNTIF($CY$2:$CY$6,'История отказов'!AE1079)=0,COUNTIF('История отказов'!$AE$5:AE1079,'История отказов'!AE1079)=1),1075,""))</f>
        <v/>
      </c>
      <c r="DI1076">
        <f>IF('История отказов'!AK1079="","",IF(AND(COUNTIF($CL$2:$CL$3,'История отказов'!AK1079)=0,COUNTIF('История отказов'!$AK$5:AK1079,'История отказов'!AK1079)=1),1075,""))</f>
        <v/>
      </c>
      <c r="DJ1076">
        <f>IF('История отказов'!AU1079="","",IF(AND(COUNTIF($CP$2:$CP$3,'История отказов'!AU1079)=0,COUNTIF('История отказов'!$AU$5:AU1079,'История отказов'!AU1079)=1),1075,""))</f>
        <v/>
      </c>
      <c r="DK1076">
        <f>IF('История отказов'!AY1079="","",IF(AND(COUNTIF($CR$2:$CR$2,'История отказов'!AY1079)=0,COUNTIF('История отказов'!$AY$5:AY1079,'История отказов'!AY1079)=1),1075,""))</f>
        <v/>
      </c>
      <c r="DL1076">
        <f>IF(DB1076="","",IF(AND(COUNTIF($DA$2:$DA$47,DB1076)=0,COUNTIF($DB$2:DB1076,DB1076)=1),1075,""))</f>
        <v/>
      </c>
    </row>
    <row r="1077">
      <c r="A1077" s="74" t="n"/>
      <c r="B1077" s="75" t="n"/>
      <c r="C1077" s="76" t="n"/>
      <c r="DB1077">
        <f>IF('История отказов'!AH1080="","",'История отказов'!AH1080)</f>
        <v/>
      </c>
      <c r="DC1077">
        <f>IF('История отказов'!AE1080="","",IF(AND(COUNTIF($CT$2:$CT$2,'История отказов'!AE1080)=0,COUNTIFS('История отказов'!$F$5:F1080,"ШГН",'История отказов'!$AE$5:AE1080,'История отказов'!AE1080)=1,'История отказов'!F1080="ШГН"),1076,""))</f>
        <v/>
      </c>
      <c r="DD1077">
        <f>IF('История отказов'!AE1080="","",IF(AND(COUNTIF($CU$2:$CU$3,'История отказов'!AE1080)=0,COUNTIFS('История отказов'!$F$5:F1080,"ЭЦН",'История отказов'!$AE$5:AE1080,'История отказов'!AE1080)=1,'История отказов'!F1080="ЭЦН"),1076,""))</f>
        <v/>
      </c>
      <c r="DE1077">
        <f>IF('История отказов'!AE1080="","",IF(AND(COUNTIF($CV$2:$CV$3,'История отказов'!AE1080)=0,COUNTIFS('История отказов'!$F$5:F1080,"ЭВН",'История отказов'!$AE$5:AE1080,'История отказов'!AE1080)=1,'История отказов'!F1080="ЭВН"),1076,""))</f>
        <v/>
      </c>
      <c r="DF1077">
        <f>IF('История отказов'!AE1080="","",IF(AND(COUNTIF($CX$2:$CX$2,'История отказов'!AE1080)=0,COUNTIFS('История отказов'!$F$5:F1080,"ШВН",'История отказов'!$AE$5:AE1080,'История отказов'!AE1080)=1,'История отказов'!F1080="ШВН"),1076,""))</f>
        <v/>
      </c>
      <c r="DG1077">
        <f>IF('История отказов'!AE1080="","",IF(AND(COUNTIF($CW$2:$CW$2,'История отказов'!AE1080)=0,COUNTIFS('История отказов'!$F$5:F1080,"НПУ-ВД",'История отказов'!$AE$5:AE1080,'История отказов'!AE1080)=1,'История отказов'!F1080="НПУ-ВД"),1076,""))</f>
        <v/>
      </c>
      <c r="DH1077">
        <f>IF('История отказов'!AE1080="","",IF(AND(COUNTIF($CY$2:$CY$6,'История отказов'!AE1080)=0,COUNTIF('История отказов'!$AE$5:AE1080,'История отказов'!AE1080)=1),1076,""))</f>
        <v/>
      </c>
      <c r="DI1077">
        <f>IF('История отказов'!AK1080="","",IF(AND(COUNTIF($CL$2:$CL$3,'История отказов'!AK1080)=0,COUNTIF('История отказов'!$AK$5:AK1080,'История отказов'!AK1080)=1),1076,""))</f>
        <v/>
      </c>
      <c r="DJ1077">
        <f>IF('История отказов'!AU1080="","",IF(AND(COUNTIF($CP$2:$CP$3,'История отказов'!AU1080)=0,COUNTIF('История отказов'!$AU$5:AU1080,'История отказов'!AU1080)=1),1076,""))</f>
        <v/>
      </c>
      <c r="DK1077">
        <f>IF('История отказов'!AY1080="","",IF(AND(COUNTIF($CR$2:$CR$2,'История отказов'!AY1080)=0,COUNTIF('История отказов'!$AY$5:AY1080,'История отказов'!AY1080)=1),1076,""))</f>
        <v/>
      </c>
      <c r="DL1077">
        <f>IF(DB1077="","",IF(AND(COUNTIF($DA$2:$DA$47,DB1077)=0,COUNTIF($DB$2:DB1077,DB1077)=1),1076,""))</f>
        <v/>
      </c>
    </row>
    <row r="1078">
      <c r="A1078" s="74" t="n"/>
      <c r="B1078" s="75" t="n"/>
      <c r="C1078" s="76" t="n"/>
      <c r="DB1078">
        <f>IF('История отказов'!AH1081="","",'История отказов'!AH1081)</f>
        <v/>
      </c>
      <c r="DC1078">
        <f>IF('История отказов'!AE1081="","",IF(AND(COUNTIF($CT$2:$CT$2,'История отказов'!AE1081)=0,COUNTIFS('История отказов'!$F$5:F1081,"ШГН",'История отказов'!$AE$5:AE1081,'История отказов'!AE1081)=1,'История отказов'!F1081="ШГН"),1077,""))</f>
        <v/>
      </c>
      <c r="DD1078">
        <f>IF('История отказов'!AE1081="","",IF(AND(COUNTIF($CU$2:$CU$3,'История отказов'!AE1081)=0,COUNTIFS('История отказов'!$F$5:F1081,"ЭЦН",'История отказов'!$AE$5:AE1081,'История отказов'!AE1081)=1,'История отказов'!F1081="ЭЦН"),1077,""))</f>
        <v/>
      </c>
      <c r="DE1078">
        <f>IF('История отказов'!AE1081="","",IF(AND(COUNTIF($CV$2:$CV$3,'История отказов'!AE1081)=0,COUNTIFS('История отказов'!$F$5:F1081,"ЭВН",'История отказов'!$AE$5:AE1081,'История отказов'!AE1081)=1,'История отказов'!F1081="ЭВН"),1077,""))</f>
        <v/>
      </c>
      <c r="DF1078">
        <f>IF('История отказов'!AE1081="","",IF(AND(COUNTIF($CX$2:$CX$2,'История отказов'!AE1081)=0,COUNTIFS('История отказов'!$F$5:F1081,"ШВН",'История отказов'!$AE$5:AE1081,'История отказов'!AE1081)=1,'История отказов'!F1081="ШВН"),1077,""))</f>
        <v/>
      </c>
      <c r="DG1078">
        <f>IF('История отказов'!AE1081="","",IF(AND(COUNTIF($CW$2:$CW$2,'История отказов'!AE1081)=0,COUNTIFS('История отказов'!$F$5:F1081,"НПУ-ВД",'История отказов'!$AE$5:AE1081,'История отказов'!AE1081)=1,'История отказов'!F1081="НПУ-ВД"),1077,""))</f>
        <v/>
      </c>
      <c r="DH1078">
        <f>IF('История отказов'!AE1081="","",IF(AND(COUNTIF($CY$2:$CY$6,'История отказов'!AE1081)=0,COUNTIF('История отказов'!$AE$5:AE1081,'История отказов'!AE1081)=1),1077,""))</f>
        <v/>
      </c>
      <c r="DI1078">
        <f>IF('История отказов'!AK1081="","",IF(AND(COUNTIF($CL$2:$CL$3,'История отказов'!AK1081)=0,COUNTIF('История отказов'!$AK$5:AK1081,'История отказов'!AK1081)=1),1077,""))</f>
        <v/>
      </c>
      <c r="DJ1078">
        <f>IF('История отказов'!AU1081="","",IF(AND(COUNTIF($CP$2:$CP$3,'История отказов'!AU1081)=0,COUNTIF('История отказов'!$AU$5:AU1081,'История отказов'!AU1081)=1),1077,""))</f>
        <v/>
      </c>
      <c r="DK1078">
        <f>IF('История отказов'!AY1081="","",IF(AND(COUNTIF($CR$2:$CR$2,'История отказов'!AY1081)=0,COUNTIF('История отказов'!$AY$5:AY1081,'История отказов'!AY1081)=1),1077,""))</f>
        <v/>
      </c>
      <c r="DL1078">
        <f>IF(DB1078="","",IF(AND(COUNTIF($DA$2:$DA$47,DB1078)=0,COUNTIF($DB$2:DB1078,DB1078)=1),1077,""))</f>
        <v/>
      </c>
    </row>
    <row r="1079">
      <c r="A1079" s="74" t="n"/>
      <c r="B1079" s="75" t="n"/>
      <c r="C1079" s="76" t="n"/>
      <c r="DB1079">
        <f>IF('История отказов'!AH1082="","",'История отказов'!AH1082)</f>
        <v/>
      </c>
      <c r="DC1079">
        <f>IF('История отказов'!AE1082="","",IF(AND(COUNTIF($CT$2:$CT$2,'История отказов'!AE1082)=0,COUNTIFS('История отказов'!$F$5:F1082,"ШГН",'История отказов'!$AE$5:AE1082,'История отказов'!AE1082)=1,'История отказов'!F1082="ШГН"),1078,""))</f>
        <v/>
      </c>
      <c r="DD1079">
        <f>IF('История отказов'!AE1082="","",IF(AND(COUNTIF($CU$2:$CU$3,'История отказов'!AE1082)=0,COUNTIFS('История отказов'!$F$5:F1082,"ЭЦН",'История отказов'!$AE$5:AE1082,'История отказов'!AE1082)=1,'История отказов'!F1082="ЭЦН"),1078,""))</f>
        <v/>
      </c>
      <c r="DE1079">
        <f>IF('История отказов'!AE1082="","",IF(AND(COUNTIF($CV$2:$CV$3,'История отказов'!AE1082)=0,COUNTIFS('История отказов'!$F$5:F1082,"ЭВН",'История отказов'!$AE$5:AE1082,'История отказов'!AE1082)=1,'История отказов'!F1082="ЭВН"),1078,""))</f>
        <v/>
      </c>
      <c r="DF1079">
        <f>IF('История отказов'!AE1082="","",IF(AND(COUNTIF($CX$2:$CX$2,'История отказов'!AE1082)=0,COUNTIFS('История отказов'!$F$5:F1082,"ШВН",'История отказов'!$AE$5:AE1082,'История отказов'!AE1082)=1,'История отказов'!F1082="ШВН"),1078,""))</f>
        <v/>
      </c>
      <c r="DG1079">
        <f>IF('История отказов'!AE1082="","",IF(AND(COUNTIF($CW$2:$CW$2,'История отказов'!AE1082)=0,COUNTIFS('История отказов'!$F$5:F1082,"НПУ-ВД",'История отказов'!$AE$5:AE1082,'История отказов'!AE1082)=1,'История отказов'!F1082="НПУ-ВД"),1078,""))</f>
        <v/>
      </c>
      <c r="DH1079">
        <f>IF('История отказов'!AE1082="","",IF(AND(COUNTIF($CY$2:$CY$6,'История отказов'!AE1082)=0,COUNTIF('История отказов'!$AE$5:AE1082,'История отказов'!AE1082)=1),1078,""))</f>
        <v/>
      </c>
      <c r="DI1079">
        <f>IF('История отказов'!AK1082="","",IF(AND(COUNTIF($CL$2:$CL$3,'История отказов'!AK1082)=0,COUNTIF('История отказов'!$AK$5:AK1082,'История отказов'!AK1082)=1),1078,""))</f>
        <v/>
      </c>
      <c r="DJ1079">
        <f>IF('История отказов'!AU1082="","",IF(AND(COUNTIF($CP$2:$CP$3,'История отказов'!AU1082)=0,COUNTIF('История отказов'!$AU$5:AU1082,'История отказов'!AU1082)=1),1078,""))</f>
        <v/>
      </c>
      <c r="DK1079">
        <f>IF('История отказов'!AY1082="","",IF(AND(COUNTIF($CR$2:$CR$2,'История отказов'!AY1082)=0,COUNTIF('История отказов'!$AY$5:AY1082,'История отказов'!AY1082)=1),1078,""))</f>
        <v/>
      </c>
      <c r="DL1079">
        <f>IF(DB1079="","",IF(AND(COUNTIF($DA$2:$DA$47,DB1079)=0,COUNTIF($DB$2:DB1079,DB1079)=1),1078,""))</f>
        <v/>
      </c>
    </row>
    <row r="1080">
      <c r="A1080" s="74" t="n"/>
      <c r="B1080" s="75" t="n"/>
      <c r="C1080" s="76" t="n"/>
      <c r="DB1080">
        <f>IF('История отказов'!AH1083="","",'История отказов'!AH1083)</f>
        <v/>
      </c>
      <c r="DC1080">
        <f>IF('История отказов'!AE1083="","",IF(AND(COUNTIF($CT$2:$CT$2,'История отказов'!AE1083)=0,COUNTIFS('История отказов'!$F$5:F1083,"ШГН",'История отказов'!$AE$5:AE1083,'История отказов'!AE1083)=1,'История отказов'!F1083="ШГН"),1079,""))</f>
        <v/>
      </c>
      <c r="DD1080">
        <f>IF('История отказов'!AE1083="","",IF(AND(COUNTIF($CU$2:$CU$3,'История отказов'!AE1083)=0,COUNTIFS('История отказов'!$F$5:F1083,"ЭЦН",'История отказов'!$AE$5:AE1083,'История отказов'!AE1083)=1,'История отказов'!F1083="ЭЦН"),1079,""))</f>
        <v/>
      </c>
      <c r="DE1080">
        <f>IF('История отказов'!AE1083="","",IF(AND(COUNTIF($CV$2:$CV$3,'История отказов'!AE1083)=0,COUNTIFS('История отказов'!$F$5:F1083,"ЭВН",'История отказов'!$AE$5:AE1083,'История отказов'!AE1083)=1,'История отказов'!F1083="ЭВН"),1079,""))</f>
        <v/>
      </c>
      <c r="DF1080">
        <f>IF('История отказов'!AE1083="","",IF(AND(COUNTIF($CX$2:$CX$2,'История отказов'!AE1083)=0,COUNTIFS('История отказов'!$F$5:F1083,"ШВН",'История отказов'!$AE$5:AE1083,'История отказов'!AE1083)=1,'История отказов'!F1083="ШВН"),1079,""))</f>
        <v/>
      </c>
      <c r="DG1080">
        <f>IF('История отказов'!AE1083="","",IF(AND(COUNTIF($CW$2:$CW$2,'История отказов'!AE1083)=0,COUNTIFS('История отказов'!$F$5:F1083,"НПУ-ВД",'История отказов'!$AE$5:AE1083,'История отказов'!AE1083)=1,'История отказов'!F1083="НПУ-ВД"),1079,""))</f>
        <v/>
      </c>
      <c r="DH1080">
        <f>IF('История отказов'!AE1083="","",IF(AND(COUNTIF($CY$2:$CY$6,'История отказов'!AE1083)=0,COUNTIF('История отказов'!$AE$5:AE1083,'История отказов'!AE1083)=1),1079,""))</f>
        <v/>
      </c>
      <c r="DI1080">
        <f>IF('История отказов'!AK1083="","",IF(AND(COUNTIF($CL$2:$CL$3,'История отказов'!AK1083)=0,COUNTIF('История отказов'!$AK$5:AK1083,'История отказов'!AK1083)=1),1079,""))</f>
        <v/>
      </c>
      <c r="DJ1080">
        <f>IF('История отказов'!AU1083="","",IF(AND(COUNTIF($CP$2:$CP$3,'История отказов'!AU1083)=0,COUNTIF('История отказов'!$AU$5:AU1083,'История отказов'!AU1083)=1),1079,""))</f>
        <v/>
      </c>
      <c r="DK1080">
        <f>IF('История отказов'!AY1083="","",IF(AND(COUNTIF($CR$2:$CR$2,'История отказов'!AY1083)=0,COUNTIF('История отказов'!$AY$5:AY1083,'История отказов'!AY1083)=1),1079,""))</f>
        <v/>
      </c>
      <c r="DL1080">
        <f>IF(DB1080="","",IF(AND(COUNTIF($DA$2:$DA$47,DB1080)=0,COUNTIF($DB$2:DB1080,DB1080)=1),1079,""))</f>
        <v/>
      </c>
    </row>
    <row r="1081">
      <c r="A1081" s="74" t="n"/>
      <c r="B1081" s="75" t="n"/>
      <c r="C1081" s="76" t="n"/>
      <c r="DB1081">
        <f>IF('История отказов'!AH1084="","",'История отказов'!AH1084)</f>
        <v/>
      </c>
      <c r="DC1081">
        <f>IF('История отказов'!AE1084="","",IF(AND(COUNTIF($CT$2:$CT$2,'История отказов'!AE1084)=0,COUNTIFS('История отказов'!$F$5:F1084,"ШГН",'История отказов'!$AE$5:AE1084,'История отказов'!AE1084)=1,'История отказов'!F1084="ШГН"),1080,""))</f>
        <v/>
      </c>
      <c r="DD1081">
        <f>IF('История отказов'!AE1084="","",IF(AND(COUNTIF($CU$2:$CU$3,'История отказов'!AE1084)=0,COUNTIFS('История отказов'!$F$5:F1084,"ЭЦН",'История отказов'!$AE$5:AE1084,'История отказов'!AE1084)=1,'История отказов'!F1084="ЭЦН"),1080,""))</f>
        <v/>
      </c>
      <c r="DE1081">
        <f>IF('История отказов'!AE1084="","",IF(AND(COUNTIF($CV$2:$CV$3,'История отказов'!AE1084)=0,COUNTIFS('История отказов'!$F$5:F1084,"ЭВН",'История отказов'!$AE$5:AE1084,'История отказов'!AE1084)=1,'История отказов'!F1084="ЭВН"),1080,""))</f>
        <v/>
      </c>
      <c r="DF1081">
        <f>IF('История отказов'!AE1084="","",IF(AND(COUNTIF($CX$2:$CX$2,'История отказов'!AE1084)=0,COUNTIFS('История отказов'!$F$5:F1084,"ШВН",'История отказов'!$AE$5:AE1084,'История отказов'!AE1084)=1,'История отказов'!F1084="ШВН"),1080,""))</f>
        <v/>
      </c>
      <c r="DG1081">
        <f>IF('История отказов'!AE1084="","",IF(AND(COUNTIF($CW$2:$CW$2,'История отказов'!AE1084)=0,COUNTIFS('История отказов'!$F$5:F1084,"НПУ-ВД",'История отказов'!$AE$5:AE1084,'История отказов'!AE1084)=1,'История отказов'!F1084="НПУ-ВД"),1080,""))</f>
        <v/>
      </c>
      <c r="DH1081">
        <f>IF('История отказов'!AE1084="","",IF(AND(COUNTIF($CY$2:$CY$6,'История отказов'!AE1084)=0,COUNTIF('История отказов'!$AE$5:AE1084,'История отказов'!AE1084)=1),1080,""))</f>
        <v/>
      </c>
      <c r="DI1081">
        <f>IF('История отказов'!AK1084="","",IF(AND(COUNTIF($CL$2:$CL$3,'История отказов'!AK1084)=0,COUNTIF('История отказов'!$AK$5:AK1084,'История отказов'!AK1084)=1),1080,""))</f>
        <v/>
      </c>
      <c r="DJ1081">
        <f>IF('История отказов'!AU1084="","",IF(AND(COUNTIF($CP$2:$CP$3,'История отказов'!AU1084)=0,COUNTIF('История отказов'!$AU$5:AU1084,'История отказов'!AU1084)=1),1080,""))</f>
        <v/>
      </c>
      <c r="DK1081">
        <f>IF('История отказов'!AY1084="","",IF(AND(COUNTIF($CR$2:$CR$2,'История отказов'!AY1084)=0,COUNTIF('История отказов'!$AY$5:AY1084,'История отказов'!AY1084)=1),1080,""))</f>
        <v/>
      </c>
      <c r="DL1081">
        <f>IF(DB1081="","",IF(AND(COUNTIF($DA$2:$DA$47,DB1081)=0,COUNTIF($DB$2:DB1081,DB1081)=1),1080,""))</f>
        <v/>
      </c>
    </row>
    <row r="1082">
      <c r="A1082" s="74" t="n"/>
      <c r="B1082" s="75" t="n"/>
      <c r="C1082" s="76" t="n"/>
      <c r="DB1082">
        <f>IF('История отказов'!AH1085="","",'История отказов'!AH1085)</f>
        <v/>
      </c>
      <c r="DC1082">
        <f>IF('История отказов'!AE1085="","",IF(AND(COUNTIF($CT$2:$CT$2,'История отказов'!AE1085)=0,COUNTIFS('История отказов'!$F$5:F1085,"ШГН",'История отказов'!$AE$5:AE1085,'История отказов'!AE1085)=1,'История отказов'!F1085="ШГН"),1081,""))</f>
        <v/>
      </c>
      <c r="DD1082">
        <f>IF('История отказов'!AE1085="","",IF(AND(COUNTIF($CU$2:$CU$3,'История отказов'!AE1085)=0,COUNTIFS('История отказов'!$F$5:F1085,"ЭЦН",'История отказов'!$AE$5:AE1085,'История отказов'!AE1085)=1,'История отказов'!F1085="ЭЦН"),1081,""))</f>
        <v/>
      </c>
      <c r="DE1082">
        <f>IF('История отказов'!AE1085="","",IF(AND(COUNTIF($CV$2:$CV$3,'История отказов'!AE1085)=0,COUNTIFS('История отказов'!$F$5:F1085,"ЭВН",'История отказов'!$AE$5:AE1085,'История отказов'!AE1085)=1,'История отказов'!F1085="ЭВН"),1081,""))</f>
        <v/>
      </c>
      <c r="DF1082">
        <f>IF('История отказов'!AE1085="","",IF(AND(COUNTIF($CX$2:$CX$2,'История отказов'!AE1085)=0,COUNTIFS('История отказов'!$F$5:F1085,"ШВН",'История отказов'!$AE$5:AE1085,'История отказов'!AE1085)=1,'История отказов'!F1085="ШВН"),1081,""))</f>
        <v/>
      </c>
      <c r="DG1082">
        <f>IF('История отказов'!AE1085="","",IF(AND(COUNTIF($CW$2:$CW$2,'История отказов'!AE1085)=0,COUNTIFS('История отказов'!$F$5:F1085,"НПУ-ВД",'История отказов'!$AE$5:AE1085,'История отказов'!AE1085)=1,'История отказов'!F1085="НПУ-ВД"),1081,""))</f>
        <v/>
      </c>
      <c r="DH1082">
        <f>IF('История отказов'!AE1085="","",IF(AND(COUNTIF($CY$2:$CY$6,'История отказов'!AE1085)=0,COUNTIF('История отказов'!$AE$5:AE1085,'История отказов'!AE1085)=1),1081,""))</f>
        <v/>
      </c>
      <c r="DI1082">
        <f>IF('История отказов'!AK1085="","",IF(AND(COUNTIF($CL$2:$CL$3,'История отказов'!AK1085)=0,COUNTIF('История отказов'!$AK$5:AK1085,'История отказов'!AK1085)=1),1081,""))</f>
        <v/>
      </c>
      <c r="DJ1082">
        <f>IF('История отказов'!AU1085="","",IF(AND(COUNTIF($CP$2:$CP$3,'История отказов'!AU1085)=0,COUNTIF('История отказов'!$AU$5:AU1085,'История отказов'!AU1085)=1),1081,""))</f>
        <v/>
      </c>
      <c r="DK1082">
        <f>IF('История отказов'!AY1085="","",IF(AND(COUNTIF($CR$2:$CR$2,'История отказов'!AY1085)=0,COUNTIF('История отказов'!$AY$5:AY1085,'История отказов'!AY1085)=1),1081,""))</f>
        <v/>
      </c>
      <c r="DL1082">
        <f>IF(DB1082="","",IF(AND(COUNTIF($DA$2:$DA$47,DB1082)=0,COUNTIF($DB$2:DB1082,DB1082)=1),1081,""))</f>
        <v/>
      </c>
    </row>
    <row r="1083">
      <c r="A1083" s="74" t="n"/>
      <c r="B1083" s="75" t="n"/>
      <c r="C1083" s="76" t="n"/>
      <c r="DB1083">
        <f>IF('История отказов'!AH1086="","",'История отказов'!AH1086)</f>
        <v/>
      </c>
      <c r="DC1083">
        <f>IF('История отказов'!AE1086="","",IF(AND(COUNTIF($CT$2:$CT$2,'История отказов'!AE1086)=0,COUNTIFS('История отказов'!$F$5:F1086,"ШГН",'История отказов'!$AE$5:AE1086,'История отказов'!AE1086)=1,'История отказов'!F1086="ШГН"),1082,""))</f>
        <v/>
      </c>
      <c r="DD1083">
        <f>IF('История отказов'!AE1086="","",IF(AND(COUNTIF($CU$2:$CU$3,'История отказов'!AE1086)=0,COUNTIFS('История отказов'!$F$5:F1086,"ЭЦН",'История отказов'!$AE$5:AE1086,'История отказов'!AE1086)=1,'История отказов'!F1086="ЭЦН"),1082,""))</f>
        <v/>
      </c>
      <c r="DE1083">
        <f>IF('История отказов'!AE1086="","",IF(AND(COUNTIF($CV$2:$CV$3,'История отказов'!AE1086)=0,COUNTIFS('История отказов'!$F$5:F1086,"ЭВН",'История отказов'!$AE$5:AE1086,'История отказов'!AE1086)=1,'История отказов'!F1086="ЭВН"),1082,""))</f>
        <v/>
      </c>
      <c r="DF1083">
        <f>IF('История отказов'!AE1086="","",IF(AND(COUNTIF($CX$2:$CX$2,'История отказов'!AE1086)=0,COUNTIFS('История отказов'!$F$5:F1086,"ШВН",'История отказов'!$AE$5:AE1086,'История отказов'!AE1086)=1,'История отказов'!F1086="ШВН"),1082,""))</f>
        <v/>
      </c>
      <c r="DG1083">
        <f>IF('История отказов'!AE1086="","",IF(AND(COUNTIF($CW$2:$CW$2,'История отказов'!AE1086)=0,COUNTIFS('История отказов'!$F$5:F1086,"НПУ-ВД",'История отказов'!$AE$5:AE1086,'История отказов'!AE1086)=1,'История отказов'!F1086="НПУ-ВД"),1082,""))</f>
        <v/>
      </c>
      <c r="DH1083">
        <f>IF('История отказов'!AE1086="","",IF(AND(COUNTIF($CY$2:$CY$6,'История отказов'!AE1086)=0,COUNTIF('История отказов'!$AE$5:AE1086,'История отказов'!AE1086)=1),1082,""))</f>
        <v/>
      </c>
      <c r="DI1083">
        <f>IF('История отказов'!AK1086="","",IF(AND(COUNTIF($CL$2:$CL$3,'История отказов'!AK1086)=0,COUNTIF('История отказов'!$AK$5:AK1086,'История отказов'!AK1086)=1),1082,""))</f>
        <v/>
      </c>
      <c r="DJ1083">
        <f>IF('История отказов'!AU1086="","",IF(AND(COUNTIF($CP$2:$CP$3,'История отказов'!AU1086)=0,COUNTIF('История отказов'!$AU$5:AU1086,'История отказов'!AU1086)=1),1082,""))</f>
        <v/>
      </c>
      <c r="DK1083">
        <f>IF('История отказов'!AY1086="","",IF(AND(COUNTIF($CR$2:$CR$2,'История отказов'!AY1086)=0,COUNTIF('История отказов'!$AY$5:AY1086,'История отказов'!AY1086)=1),1082,""))</f>
        <v/>
      </c>
      <c r="DL1083">
        <f>IF(DB1083="","",IF(AND(COUNTIF($DA$2:$DA$47,DB1083)=0,COUNTIF($DB$2:DB1083,DB1083)=1),1082,""))</f>
        <v/>
      </c>
    </row>
    <row r="1084">
      <c r="A1084" s="74" t="n"/>
      <c r="B1084" s="75" t="n"/>
      <c r="C1084" s="76" t="n"/>
      <c r="DB1084">
        <f>IF('История отказов'!AH1087="","",'История отказов'!AH1087)</f>
        <v/>
      </c>
      <c r="DC1084">
        <f>IF('История отказов'!AE1087="","",IF(AND(COUNTIF($CT$2:$CT$2,'История отказов'!AE1087)=0,COUNTIFS('История отказов'!$F$5:F1087,"ШГН",'История отказов'!$AE$5:AE1087,'История отказов'!AE1087)=1,'История отказов'!F1087="ШГН"),1083,""))</f>
        <v/>
      </c>
      <c r="DD1084">
        <f>IF('История отказов'!AE1087="","",IF(AND(COUNTIF($CU$2:$CU$3,'История отказов'!AE1087)=0,COUNTIFS('История отказов'!$F$5:F1087,"ЭЦН",'История отказов'!$AE$5:AE1087,'История отказов'!AE1087)=1,'История отказов'!F1087="ЭЦН"),1083,""))</f>
        <v/>
      </c>
      <c r="DE1084">
        <f>IF('История отказов'!AE1087="","",IF(AND(COUNTIF($CV$2:$CV$3,'История отказов'!AE1087)=0,COUNTIFS('История отказов'!$F$5:F1087,"ЭВН",'История отказов'!$AE$5:AE1087,'История отказов'!AE1087)=1,'История отказов'!F1087="ЭВН"),1083,""))</f>
        <v/>
      </c>
      <c r="DF1084">
        <f>IF('История отказов'!AE1087="","",IF(AND(COUNTIF($CX$2:$CX$2,'История отказов'!AE1087)=0,COUNTIFS('История отказов'!$F$5:F1087,"ШВН",'История отказов'!$AE$5:AE1087,'История отказов'!AE1087)=1,'История отказов'!F1087="ШВН"),1083,""))</f>
        <v/>
      </c>
      <c r="DG1084">
        <f>IF('История отказов'!AE1087="","",IF(AND(COUNTIF($CW$2:$CW$2,'История отказов'!AE1087)=0,COUNTIFS('История отказов'!$F$5:F1087,"НПУ-ВД",'История отказов'!$AE$5:AE1087,'История отказов'!AE1087)=1,'История отказов'!F1087="НПУ-ВД"),1083,""))</f>
        <v/>
      </c>
      <c r="DH1084">
        <f>IF('История отказов'!AE1087="","",IF(AND(COUNTIF($CY$2:$CY$6,'История отказов'!AE1087)=0,COUNTIF('История отказов'!$AE$5:AE1087,'История отказов'!AE1087)=1),1083,""))</f>
        <v/>
      </c>
      <c r="DI1084">
        <f>IF('История отказов'!AK1087="","",IF(AND(COUNTIF($CL$2:$CL$3,'История отказов'!AK1087)=0,COUNTIF('История отказов'!$AK$5:AK1087,'История отказов'!AK1087)=1),1083,""))</f>
        <v/>
      </c>
      <c r="DJ1084">
        <f>IF('История отказов'!AU1087="","",IF(AND(COUNTIF($CP$2:$CP$3,'История отказов'!AU1087)=0,COUNTIF('История отказов'!$AU$5:AU1087,'История отказов'!AU1087)=1),1083,""))</f>
        <v/>
      </c>
      <c r="DK1084">
        <f>IF('История отказов'!AY1087="","",IF(AND(COUNTIF($CR$2:$CR$2,'История отказов'!AY1087)=0,COUNTIF('История отказов'!$AY$5:AY1087,'История отказов'!AY1087)=1),1083,""))</f>
        <v/>
      </c>
      <c r="DL1084">
        <f>IF(DB1084="","",IF(AND(COUNTIF($DA$2:$DA$47,DB1084)=0,COUNTIF($DB$2:DB1084,DB1084)=1),1083,""))</f>
        <v/>
      </c>
    </row>
    <row r="1085">
      <c r="A1085" s="74" t="n"/>
      <c r="B1085" s="75" t="n"/>
      <c r="C1085" s="76" t="n"/>
      <c r="DB1085">
        <f>IF('История отказов'!AH1088="","",'История отказов'!AH1088)</f>
        <v/>
      </c>
      <c r="DC1085">
        <f>IF('История отказов'!AE1088="","",IF(AND(COUNTIF($CT$2:$CT$2,'История отказов'!AE1088)=0,COUNTIFS('История отказов'!$F$5:F1088,"ШГН",'История отказов'!$AE$5:AE1088,'История отказов'!AE1088)=1,'История отказов'!F1088="ШГН"),1084,""))</f>
        <v/>
      </c>
      <c r="DD1085">
        <f>IF('История отказов'!AE1088="","",IF(AND(COUNTIF($CU$2:$CU$3,'История отказов'!AE1088)=0,COUNTIFS('История отказов'!$F$5:F1088,"ЭЦН",'История отказов'!$AE$5:AE1088,'История отказов'!AE1088)=1,'История отказов'!F1088="ЭЦН"),1084,""))</f>
        <v/>
      </c>
      <c r="DE1085">
        <f>IF('История отказов'!AE1088="","",IF(AND(COUNTIF($CV$2:$CV$3,'История отказов'!AE1088)=0,COUNTIFS('История отказов'!$F$5:F1088,"ЭВН",'История отказов'!$AE$5:AE1088,'История отказов'!AE1088)=1,'История отказов'!F1088="ЭВН"),1084,""))</f>
        <v/>
      </c>
      <c r="DF1085">
        <f>IF('История отказов'!AE1088="","",IF(AND(COUNTIF($CX$2:$CX$2,'История отказов'!AE1088)=0,COUNTIFS('История отказов'!$F$5:F1088,"ШВН",'История отказов'!$AE$5:AE1088,'История отказов'!AE1088)=1,'История отказов'!F1088="ШВН"),1084,""))</f>
        <v/>
      </c>
      <c r="DG1085">
        <f>IF('История отказов'!AE1088="","",IF(AND(COUNTIF($CW$2:$CW$2,'История отказов'!AE1088)=0,COUNTIFS('История отказов'!$F$5:F1088,"НПУ-ВД",'История отказов'!$AE$5:AE1088,'История отказов'!AE1088)=1,'История отказов'!F1088="НПУ-ВД"),1084,""))</f>
        <v/>
      </c>
      <c r="DH1085">
        <f>IF('История отказов'!AE1088="","",IF(AND(COUNTIF($CY$2:$CY$6,'История отказов'!AE1088)=0,COUNTIF('История отказов'!$AE$5:AE1088,'История отказов'!AE1088)=1),1084,""))</f>
        <v/>
      </c>
      <c r="DI1085">
        <f>IF('История отказов'!AK1088="","",IF(AND(COUNTIF($CL$2:$CL$3,'История отказов'!AK1088)=0,COUNTIF('История отказов'!$AK$5:AK1088,'История отказов'!AK1088)=1),1084,""))</f>
        <v/>
      </c>
      <c r="DJ1085">
        <f>IF('История отказов'!AU1088="","",IF(AND(COUNTIF($CP$2:$CP$3,'История отказов'!AU1088)=0,COUNTIF('История отказов'!$AU$5:AU1088,'История отказов'!AU1088)=1),1084,""))</f>
        <v/>
      </c>
      <c r="DK1085">
        <f>IF('История отказов'!AY1088="","",IF(AND(COUNTIF($CR$2:$CR$2,'История отказов'!AY1088)=0,COUNTIF('История отказов'!$AY$5:AY1088,'История отказов'!AY1088)=1),1084,""))</f>
        <v/>
      </c>
      <c r="DL1085">
        <f>IF(DB1085="","",IF(AND(COUNTIF($DA$2:$DA$47,DB1085)=0,COUNTIF($DB$2:DB1085,DB1085)=1),1084,""))</f>
        <v/>
      </c>
    </row>
    <row r="1086">
      <c r="A1086" s="74" t="n"/>
      <c r="B1086" s="75" t="n"/>
      <c r="C1086" s="76" t="n"/>
      <c r="DB1086">
        <f>IF('История отказов'!AH1089="","",'История отказов'!AH1089)</f>
        <v/>
      </c>
      <c r="DC1086">
        <f>IF('История отказов'!AE1089="","",IF(AND(COUNTIF($CT$2:$CT$2,'История отказов'!AE1089)=0,COUNTIFS('История отказов'!$F$5:F1089,"ШГН",'История отказов'!$AE$5:AE1089,'История отказов'!AE1089)=1,'История отказов'!F1089="ШГН"),1085,""))</f>
        <v/>
      </c>
      <c r="DD1086">
        <f>IF('История отказов'!AE1089="","",IF(AND(COUNTIF($CU$2:$CU$3,'История отказов'!AE1089)=0,COUNTIFS('История отказов'!$F$5:F1089,"ЭЦН",'История отказов'!$AE$5:AE1089,'История отказов'!AE1089)=1,'История отказов'!F1089="ЭЦН"),1085,""))</f>
        <v/>
      </c>
      <c r="DE1086">
        <f>IF('История отказов'!AE1089="","",IF(AND(COUNTIF($CV$2:$CV$3,'История отказов'!AE1089)=0,COUNTIFS('История отказов'!$F$5:F1089,"ЭВН",'История отказов'!$AE$5:AE1089,'История отказов'!AE1089)=1,'История отказов'!F1089="ЭВН"),1085,""))</f>
        <v/>
      </c>
      <c r="DF1086">
        <f>IF('История отказов'!AE1089="","",IF(AND(COUNTIF($CX$2:$CX$2,'История отказов'!AE1089)=0,COUNTIFS('История отказов'!$F$5:F1089,"ШВН",'История отказов'!$AE$5:AE1089,'История отказов'!AE1089)=1,'История отказов'!F1089="ШВН"),1085,""))</f>
        <v/>
      </c>
      <c r="DG1086">
        <f>IF('История отказов'!AE1089="","",IF(AND(COUNTIF($CW$2:$CW$2,'История отказов'!AE1089)=0,COUNTIFS('История отказов'!$F$5:F1089,"НПУ-ВД",'История отказов'!$AE$5:AE1089,'История отказов'!AE1089)=1,'История отказов'!F1089="НПУ-ВД"),1085,""))</f>
        <v/>
      </c>
      <c r="DH1086">
        <f>IF('История отказов'!AE1089="","",IF(AND(COUNTIF($CY$2:$CY$6,'История отказов'!AE1089)=0,COUNTIF('История отказов'!$AE$5:AE1089,'История отказов'!AE1089)=1),1085,""))</f>
        <v/>
      </c>
      <c r="DI1086">
        <f>IF('История отказов'!AK1089="","",IF(AND(COUNTIF($CL$2:$CL$3,'История отказов'!AK1089)=0,COUNTIF('История отказов'!$AK$5:AK1089,'История отказов'!AK1089)=1),1085,""))</f>
        <v/>
      </c>
      <c r="DJ1086">
        <f>IF('История отказов'!AU1089="","",IF(AND(COUNTIF($CP$2:$CP$3,'История отказов'!AU1089)=0,COUNTIF('История отказов'!$AU$5:AU1089,'История отказов'!AU1089)=1),1085,""))</f>
        <v/>
      </c>
      <c r="DK1086">
        <f>IF('История отказов'!AY1089="","",IF(AND(COUNTIF($CR$2:$CR$2,'История отказов'!AY1089)=0,COUNTIF('История отказов'!$AY$5:AY1089,'История отказов'!AY1089)=1),1085,""))</f>
        <v/>
      </c>
      <c r="DL1086">
        <f>IF(DB1086="","",IF(AND(COUNTIF($DA$2:$DA$47,DB1086)=0,COUNTIF($DB$2:DB1086,DB1086)=1),1085,""))</f>
        <v/>
      </c>
    </row>
    <row r="1087">
      <c r="A1087" s="74" t="n"/>
      <c r="B1087" s="75" t="n"/>
      <c r="C1087" s="76" t="n"/>
      <c r="DB1087">
        <f>IF('История отказов'!AH1090="","",'История отказов'!AH1090)</f>
        <v/>
      </c>
      <c r="DC1087">
        <f>IF('История отказов'!AE1090="","",IF(AND(COUNTIF($CT$2:$CT$2,'История отказов'!AE1090)=0,COUNTIFS('История отказов'!$F$5:F1090,"ШГН",'История отказов'!$AE$5:AE1090,'История отказов'!AE1090)=1,'История отказов'!F1090="ШГН"),1086,""))</f>
        <v/>
      </c>
      <c r="DD1087">
        <f>IF('История отказов'!AE1090="","",IF(AND(COUNTIF($CU$2:$CU$3,'История отказов'!AE1090)=0,COUNTIFS('История отказов'!$F$5:F1090,"ЭЦН",'История отказов'!$AE$5:AE1090,'История отказов'!AE1090)=1,'История отказов'!F1090="ЭЦН"),1086,""))</f>
        <v/>
      </c>
      <c r="DE1087">
        <f>IF('История отказов'!AE1090="","",IF(AND(COUNTIF($CV$2:$CV$3,'История отказов'!AE1090)=0,COUNTIFS('История отказов'!$F$5:F1090,"ЭВН",'История отказов'!$AE$5:AE1090,'История отказов'!AE1090)=1,'История отказов'!F1090="ЭВН"),1086,""))</f>
        <v/>
      </c>
      <c r="DF1087">
        <f>IF('История отказов'!AE1090="","",IF(AND(COUNTIF($CX$2:$CX$2,'История отказов'!AE1090)=0,COUNTIFS('История отказов'!$F$5:F1090,"ШВН",'История отказов'!$AE$5:AE1090,'История отказов'!AE1090)=1,'История отказов'!F1090="ШВН"),1086,""))</f>
        <v/>
      </c>
      <c r="DG1087">
        <f>IF('История отказов'!AE1090="","",IF(AND(COUNTIF($CW$2:$CW$2,'История отказов'!AE1090)=0,COUNTIFS('История отказов'!$F$5:F1090,"НПУ-ВД",'История отказов'!$AE$5:AE1090,'История отказов'!AE1090)=1,'История отказов'!F1090="НПУ-ВД"),1086,""))</f>
        <v/>
      </c>
      <c r="DH1087">
        <f>IF('История отказов'!AE1090="","",IF(AND(COUNTIF($CY$2:$CY$6,'История отказов'!AE1090)=0,COUNTIF('История отказов'!$AE$5:AE1090,'История отказов'!AE1090)=1),1086,""))</f>
        <v/>
      </c>
      <c r="DI1087">
        <f>IF('История отказов'!AK1090="","",IF(AND(COUNTIF($CL$2:$CL$3,'История отказов'!AK1090)=0,COUNTIF('История отказов'!$AK$5:AK1090,'История отказов'!AK1090)=1),1086,""))</f>
        <v/>
      </c>
      <c r="DJ1087">
        <f>IF('История отказов'!AU1090="","",IF(AND(COUNTIF($CP$2:$CP$3,'История отказов'!AU1090)=0,COUNTIF('История отказов'!$AU$5:AU1090,'История отказов'!AU1090)=1),1086,""))</f>
        <v/>
      </c>
      <c r="DK1087">
        <f>IF('История отказов'!AY1090="","",IF(AND(COUNTIF($CR$2:$CR$2,'История отказов'!AY1090)=0,COUNTIF('История отказов'!$AY$5:AY1090,'История отказов'!AY1090)=1),1086,""))</f>
        <v/>
      </c>
      <c r="DL1087">
        <f>IF(DB1087="","",IF(AND(COUNTIF($DA$2:$DA$47,DB1087)=0,COUNTIF($DB$2:DB1087,DB1087)=1),1086,""))</f>
        <v/>
      </c>
    </row>
    <row r="1088">
      <c r="A1088" s="74" t="n"/>
      <c r="B1088" s="75" t="n"/>
      <c r="C1088" s="76" t="n"/>
      <c r="DB1088">
        <f>IF('История отказов'!AH1091="","",'История отказов'!AH1091)</f>
        <v/>
      </c>
      <c r="DC1088">
        <f>IF('История отказов'!AE1091="","",IF(AND(COUNTIF($CT$2:$CT$2,'История отказов'!AE1091)=0,COUNTIFS('История отказов'!$F$5:F1091,"ШГН",'История отказов'!$AE$5:AE1091,'История отказов'!AE1091)=1,'История отказов'!F1091="ШГН"),1087,""))</f>
        <v/>
      </c>
      <c r="DD1088">
        <f>IF('История отказов'!AE1091="","",IF(AND(COUNTIF($CU$2:$CU$3,'История отказов'!AE1091)=0,COUNTIFS('История отказов'!$F$5:F1091,"ЭЦН",'История отказов'!$AE$5:AE1091,'История отказов'!AE1091)=1,'История отказов'!F1091="ЭЦН"),1087,""))</f>
        <v/>
      </c>
      <c r="DE1088">
        <f>IF('История отказов'!AE1091="","",IF(AND(COUNTIF($CV$2:$CV$3,'История отказов'!AE1091)=0,COUNTIFS('История отказов'!$F$5:F1091,"ЭВН",'История отказов'!$AE$5:AE1091,'История отказов'!AE1091)=1,'История отказов'!F1091="ЭВН"),1087,""))</f>
        <v/>
      </c>
      <c r="DF1088">
        <f>IF('История отказов'!AE1091="","",IF(AND(COUNTIF($CX$2:$CX$2,'История отказов'!AE1091)=0,COUNTIFS('История отказов'!$F$5:F1091,"ШВН",'История отказов'!$AE$5:AE1091,'История отказов'!AE1091)=1,'История отказов'!F1091="ШВН"),1087,""))</f>
        <v/>
      </c>
      <c r="DG1088">
        <f>IF('История отказов'!AE1091="","",IF(AND(COUNTIF($CW$2:$CW$2,'История отказов'!AE1091)=0,COUNTIFS('История отказов'!$F$5:F1091,"НПУ-ВД",'История отказов'!$AE$5:AE1091,'История отказов'!AE1091)=1,'История отказов'!F1091="НПУ-ВД"),1087,""))</f>
        <v/>
      </c>
      <c r="DH1088">
        <f>IF('История отказов'!AE1091="","",IF(AND(COUNTIF($CY$2:$CY$6,'История отказов'!AE1091)=0,COUNTIF('История отказов'!$AE$5:AE1091,'История отказов'!AE1091)=1),1087,""))</f>
        <v/>
      </c>
      <c r="DI1088">
        <f>IF('История отказов'!AK1091="","",IF(AND(COUNTIF($CL$2:$CL$3,'История отказов'!AK1091)=0,COUNTIF('История отказов'!$AK$5:AK1091,'История отказов'!AK1091)=1),1087,""))</f>
        <v/>
      </c>
      <c r="DJ1088">
        <f>IF('История отказов'!AU1091="","",IF(AND(COUNTIF($CP$2:$CP$3,'История отказов'!AU1091)=0,COUNTIF('История отказов'!$AU$5:AU1091,'История отказов'!AU1091)=1),1087,""))</f>
        <v/>
      </c>
      <c r="DK1088">
        <f>IF('История отказов'!AY1091="","",IF(AND(COUNTIF($CR$2:$CR$2,'История отказов'!AY1091)=0,COUNTIF('История отказов'!$AY$5:AY1091,'История отказов'!AY1091)=1),1087,""))</f>
        <v/>
      </c>
      <c r="DL1088">
        <f>IF(DB1088="","",IF(AND(COUNTIF($DA$2:$DA$47,DB1088)=0,COUNTIF($DB$2:DB1088,DB1088)=1),1087,""))</f>
        <v/>
      </c>
    </row>
    <row r="1089">
      <c r="A1089" s="74" t="n"/>
      <c r="B1089" s="75" t="n"/>
      <c r="C1089" s="76" t="n"/>
      <c r="DB1089">
        <f>IF('История отказов'!AH1092="","",'История отказов'!AH1092)</f>
        <v/>
      </c>
      <c r="DC1089">
        <f>IF('История отказов'!AE1092="","",IF(AND(COUNTIF($CT$2:$CT$2,'История отказов'!AE1092)=0,COUNTIFS('История отказов'!$F$5:F1092,"ШГН",'История отказов'!$AE$5:AE1092,'История отказов'!AE1092)=1,'История отказов'!F1092="ШГН"),1088,""))</f>
        <v/>
      </c>
      <c r="DD1089">
        <f>IF('История отказов'!AE1092="","",IF(AND(COUNTIF($CU$2:$CU$3,'История отказов'!AE1092)=0,COUNTIFS('История отказов'!$F$5:F1092,"ЭЦН",'История отказов'!$AE$5:AE1092,'История отказов'!AE1092)=1,'История отказов'!F1092="ЭЦН"),1088,""))</f>
        <v/>
      </c>
      <c r="DE1089">
        <f>IF('История отказов'!AE1092="","",IF(AND(COUNTIF($CV$2:$CV$3,'История отказов'!AE1092)=0,COUNTIFS('История отказов'!$F$5:F1092,"ЭВН",'История отказов'!$AE$5:AE1092,'История отказов'!AE1092)=1,'История отказов'!F1092="ЭВН"),1088,""))</f>
        <v/>
      </c>
      <c r="DF1089">
        <f>IF('История отказов'!AE1092="","",IF(AND(COUNTIF($CX$2:$CX$2,'История отказов'!AE1092)=0,COUNTIFS('История отказов'!$F$5:F1092,"ШВН",'История отказов'!$AE$5:AE1092,'История отказов'!AE1092)=1,'История отказов'!F1092="ШВН"),1088,""))</f>
        <v/>
      </c>
      <c r="DG1089">
        <f>IF('История отказов'!AE1092="","",IF(AND(COUNTIF($CW$2:$CW$2,'История отказов'!AE1092)=0,COUNTIFS('История отказов'!$F$5:F1092,"НПУ-ВД",'История отказов'!$AE$5:AE1092,'История отказов'!AE1092)=1,'История отказов'!F1092="НПУ-ВД"),1088,""))</f>
        <v/>
      </c>
      <c r="DH1089">
        <f>IF('История отказов'!AE1092="","",IF(AND(COUNTIF($CY$2:$CY$6,'История отказов'!AE1092)=0,COUNTIF('История отказов'!$AE$5:AE1092,'История отказов'!AE1092)=1),1088,""))</f>
        <v/>
      </c>
      <c r="DI1089">
        <f>IF('История отказов'!AK1092="","",IF(AND(COUNTIF($CL$2:$CL$3,'История отказов'!AK1092)=0,COUNTIF('История отказов'!$AK$5:AK1092,'История отказов'!AK1092)=1),1088,""))</f>
        <v/>
      </c>
      <c r="DJ1089">
        <f>IF('История отказов'!AU1092="","",IF(AND(COUNTIF($CP$2:$CP$3,'История отказов'!AU1092)=0,COUNTIF('История отказов'!$AU$5:AU1092,'История отказов'!AU1092)=1),1088,""))</f>
        <v/>
      </c>
      <c r="DK1089">
        <f>IF('История отказов'!AY1092="","",IF(AND(COUNTIF($CR$2:$CR$2,'История отказов'!AY1092)=0,COUNTIF('История отказов'!$AY$5:AY1092,'История отказов'!AY1092)=1),1088,""))</f>
        <v/>
      </c>
      <c r="DL1089">
        <f>IF(DB1089="","",IF(AND(COUNTIF($DA$2:$DA$47,DB1089)=0,COUNTIF($DB$2:DB1089,DB1089)=1),1088,""))</f>
        <v/>
      </c>
    </row>
    <row r="1090">
      <c r="A1090" s="77" t="n"/>
      <c r="B1090" s="78" t="n"/>
      <c r="C1090" s="79" t="n"/>
      <c r="DB1090">
        <f>IF('История отказов'!AH1093="","",'История отказов'!AH1093)</f>
        <v/>
      </c>
      <c r="DC1090">
        <f>IF('История отказов'!AE1093="","",IF(AND(COUNTIF($CT$2:$CT$2,'История отказов'!AE1093)=0,COUNTIFS('История отказов'!$F$5:F1093,"ШГН",'История отказов'!$AE$5:AE1093,'История отказов'!AE1093)=1,'История отказов'!F1093="ШГН"),1089,""))</f>
        <v/>
      </c>
      <c r="DD1090">
        <f>IF('История отказов'!AE1093="","",IF(AND(COUNTIF($CU$2:$CU$3,'История отказов'!AE1093)=0,COUNTIFS('История отказов'!$F$5:F1093,"ЭЦН",'История отказов'!$AE$5:AE1093,'История отказов'!AE1093)=1,'История отказов'!F1093="ЭЦН"),1089,""))</f>
        <v/>
      </c>
      <c r="DE1090">
        <f>IF('История отказов'!AE1093="","",IF(AND(COUNTIF($CV$2:$CV$3,'История отказов'!AE1093)=0,COUNTIFS('История отказов'!$F$5:F1093,"ЭВН",'История отказов'!$AE$5:AE1093,'История отказов'!AE1093)=1,'История отказов'!F1093="ЭВН"),1089,""))</f>
        <v/>
      </c>
      <c r="DF1090">
        <f>IF('История отказов'!AE1093="","",IF(AND(COUNTIF($CX$2:$CX$2,'История отказов'!AE1093)=0,COUNTIFS('История отказов'!$F$5:F1093,"ШВН",'История отказов'!$AE$5:AE1093,'История отказов'!AE1093)=1,'История отказов'!F1093="ШВН"),1089,""))</f>
        <v/>
      </c>
      <c r="DG1090">
        <f>IF('История отказов'!AE1093="","",IF(AND(COUNTIF($CW$2:$CW$2,'История отказов'!AE1093)=0,COUNTIFS('История отказов'!$F$5:F1093,"НПУ-ВД",'История отказов'!$AE$5:AE1093,'История отказов'!AE1093)=1,'История отказов'!F1093="НПУ-ВД"),1089,""))</f>
        <v/>
      </c>
      <c r="DH1090">
        <f>IF('История отказов'!AE1093="","",IF(AND(COUNTIF($CY$2:$CY$6,'История отказов'!AE1093)=0,COUNTIF('История отказов'!$AE$5:AE1093,'История отказов'!AE1093)=1),1089,""))</f>
        <v/>
      </c>
      <c r="DI1090">
        <f>IF('История отказов'!AK1093="","",IF(AND(COUNTIF($CL$2:$CL$3,'История отказов'!AK1093)=0,COUNTIF('История отказов'!$AK$5:AK1093,'История отказов'!AK1093)=1),1089,""))</f>
        <v/>
      </c>
      <c r="DJ1090">
        <f>IF('История отказов'!AU1093="","",IF(AND(COUNTIF($CP$2:$CP$3,'История отказов'!AU1093)=0,COUNTIF('История отказов'!$AU$5:AU1093,'История отказов'!AU1093)=1),1089,""))</f>
        <v/>
      </c>
      <c r="DK1090">
        <f>IF('История отказов'!AY1093="","",IF(AND(COUNTIF($CR$2:$CR$2,'История отказов'!AY1093)=0,COUNTIF('История отказов'!$AY$5:AY1093,'История отказов'!AY1093)=1),1089,""))</f>
        <v/>
      </c>
      <c r="DL1090">
        <f>IF(DB1090="","",IF(AND(COUNTIF($DA$2:$DA$47,DB1090)=0,COUNTIF($DB$2:DB1090,DB1090)=1),1089,""))</f>
        <v/>
      </c>
    </row>
    <row r="1091">
      <c r="DB1091">
        <f>IF('История отказов'!AH1094="","",'История отказов'!AH1094)</f>
        <v/>
      </c>
      <c r="DC1091">
        <f>IF('История отказов'!AE1094="","",IF(AND(COUNTIF($CT$2:$CT$2,'История отказов'!AE1094)=0,COUNTIFS('История отказов'!$F$5:F1094,"ШГН",'История отказов'!$AE$5:AE1094,'История отказов'!AE1094)=1,'История отказов'!F1094="ШГН"),1090,""))</f>
        <v/>
      </c>
      <c r="DD1091">
        <f>IF('История отказов'!AE1094="","",IF(AND(COUNTIF($CU$2:$CU$3,'История отказов'!AE1094)=0,COUNTIFS('История отказов'!$F$5:F1094,"ЭЦН",'История отказов'!$AE$5:AE1094,'История отказов'!AE1094)=1,'История отказов'!F1094="ЭЦН"),1090,""))</f>
        <v/>
      </c>
      <c r="DE1091">
        <f>IF('История отказов'!AE1094="","",IF(AND(COUNTIF($CV$2:$CV$3,'История отказов'!AE1094)=0,COUNTIFS('История отказов'!$F$5:F1094,"ЭВН",'История отказов'!$AE$5:AE1094,'История отказов'!AE1094)=1,'История отказов'!F1094="ЭВН"),1090,""))</f>
        <v/>
      </c>
      <c r="DF1091">
        <f>IF('История отказов'!AE1094="","",IF(AND(COUNTIF($CX$2:$CX$2,'История отказов'!AE1094)=0,COUNTIFS('История отказов'!$F$5:F1094,"ШВН",'История отказов'!$AE$5:AE1094,'История отказов'!AE1094)=1,'История отказов'!F1094="ШВН"),1090,""))</f>
        <v/>
      </c>
      <c r="DG1091">
        <f>IF('История отказов'!AE1094="","",IF(AND(COUNTIF($CW$2:$CW$2,'История отказов'!AE1094)=0,COUNTIFS('История отказов'!$F$5:F1094,"НПУ-ВД",'История отказов'!$AE$5:AE1094,'История отказов'!AE1094)=1,'История отказов'!F1094="НПУ-ВД"),1090,""))</f>
        <v/>
      </c>
      <c r="DH1091">
        <f>IF('История отказов'!AE1094="","",IF(AND(COUNTIF($CY$2:$CY$6,'История отказов'!AE1094)=0,COUNTIF('История отказов'!$AE$5:AE1094,'История отказов'!AE1094)=1),1090,""))</f>
        <v/>
      </c>
      <c r="DI1091">
        <f>IF('История отказов'!AK1094="","",IF(AND(COUNTIF($CL$2:$CL$3,'История отказов'!AK1094)=0,COUNTIF('История отказов'!$AK$5:AK1094,'История отказов'!AK1094)=1),1090,""))</f>
        <v/>
      </c>
      <c r="DJ1091">
        <f>IF('История отказов'!AU1094="","",IF(AND(COUNTIF($CP$2:$CP$3,'История отказов'!AU1094)=0,COUNTIF('История отказов'!$AU$5:AU1094,'История отказов'!AU1094)=1),1090,""))</f>
        <v/>
      </c>
      <c r="DK1091">
        <f>IF('История отказов'!AY1094="","",IF(AND(COUNTIF($CR$2:$CR$2,'История отказов'!AY1094)=0,COUNTIF('История отказов'!$AY$5:AY1094,'История отказов'!AY1094)=1),1090,""))</f>
        <v/>
      </c>
      <c r="DL1091">
        <f>IF(DB1091="","",IF(AND(COUNTIF($DA$2:$DA$47,DB1091)=0,COUNTIF($DB$2:DB1091,DB1091)=1),1090,""))</f>
        <v/>
      </c>
    </row>
    <row r="1092">
      <c r="DB1092">
        <f>IF('История отказов'!AH1095="","",'История отказов'!AH1095)</f>
        <v/>
      </c>
      <c r="DC1092">
        <f>IF('История отказов'!AE1095="","",IF(AND(COUNTIF($CT$2:$CT$2,'История отказов'!AE1095)=0,COUNTIFS('История отказов'!$F$5:F1095,"ШГН",'История отказов'!$AE$5:AE1095,'История отказов'!AE1095)=1,'История отказов'!F1095="ШГН"),1091,""))</f>
        <v/>
      </c>
      <c r="DD1092">
        <f>IF('История отказов'!AE1095="","",IF(AND(COUNTIF($CU$2:$CU$3,'История отказов'!AE1095)=0,COUNTIFS('История отказов'!$F$5:F1095,"ЭЦН",'История отказов'!$AE$5:AE1095,'История отказов'!AE1095)=1,'История отказов'!F1095="ЭЦН"),1091,""))</f>
        <v/>
      </c>
      <c r="DE1092">
        <f>IF('История отказов'!AE1095="","",IF(AND(COUNTIF($CV$2:$CV$3,'История отказов'!AE1095)=0,COUNTIFS('История отказов'!$F$5:F1095,"ЭВН",'История отказов'!$AE$5:AE1095,'История отказов'!AE1095)=1,'История отказов'!F1095="ЭВН"),1091,""))</f>
        <v/>
      </c>
      <c r="DF1092">
        <f>IF('История отказов'!AE1095="","",IF(AND(COUNTIF($CX$2:$CX$2,'История отказов'!AE1095)=0,COUNTIFS('История отказов'!$F$5:F1095,"ШВН",'История отказов'!$AE$5:AE1095,'История отказов'!AE1095)=1,'История отказов'!F1095="ШВН"),1091,""))</f>
        <v/>
      </c>
      <c r="DG1092">
        <f>IF('История отказов'!AE1095="","",IF(AND(COUNTIF($CW$2:$CW$2,'История отказов'!AE1095)=0,COUNTIFS('История отказов'!$F$5:F1095,"НПУ-ВД",'История отказов'!$AE$5:AE1095,'История отказов'!AE1095)=1,'История отказов'!F1095="НПУ-ВД"),1091,""))</f>
        <v/>
      </c>
      <c r="DH1092">
        <f>IF('История отказов'!AE1095="","",IF(AND(COUNTIF($CY$2:$CY$6,'История отказов'!AE1095)=0,COUNTIF('История отказов'!$AE$5:AE1095,'История отказов'!AE1095)=1),1091,""))</f>
        <v/>
      </c>
      <c r="DI1092">
        <f>IF('История отказов'!AK1095="","",IF(AND(COUNTIF($CL$2:$CL$3,'История отказов'!AK1095)=0,COUNTIF('История отказов'!$AK$5:AK1095,'История отказов'!AK1095)=1),1091,""))</f>
        <v/>
      </c>
      <c r="DJ1092">
        <f>IF('История отказов'!AU1095="","",IF(AND(COUNTIF($CP$2:$CP$3,'История отказов'!AU1095)=0,COUNTIF('История отказов'!$AU$5:AU1095,'История отказов'!AU1095)=1),1091,""))</f>
        <v/>
      </c>
      <c r="DK1092">
        <f>IF('История отказов'!AY1095="","",IF(AND(COUNTIF($CR$2:$CR$2,'История отказов'!AY1095)=0,COUNTIF('История отказов'!$AY$5:AY1095,'История отказов'!AY1095)=1),1091,""))</f>
        <v/>
      </c>
      <c r="DL1092">
        <f>IF(DB1092="","",IF(AND(COUNTIF($DA$2:$DA$47,DB1092)=0,COUNTIF($DB$2:DB1092,DB1092)=1),1091,""))</f>
        <v/>
      </c>
    </row>
    <row r="1093">
      <c r="A1093" s="33" t="n"/>
      <c r="B1093" s="34" t="n"/>
      <c r="C1093" s="35" t="n"/>
      <c r="DB1093">
        <f>IF('История отказов'!AH1096="","",'История отказов'!AH1096)</f>
        <v/>
      </c>
      <c r="DC1093">
        <f>IF('История отказов'!AE1096="","",IF(AND(COUNTIF($CT$2:$CT$2,'История отказов'!AE1096)=0,COUNTIFS('История отказов'!$F$5:F1096,"ШГН",'История отказов'!$AE$5:AE1096,'История отказов'!AE1096)=1,'История отказов'!F1096="ШГН"),1092,""))</f>
        <v/>
      </c>
      <c r="DD1093">
        <f>IF('История отказов'!AE1096="","",IF(AND(COUNTIF($CU$2:$CU$3,'История отказов'!AE1096)=0,COUNTIFS('История отказов'!$F$5:F1096,"ЭЦН",'История отказов'!$AE$5:AE1096,'История отказов'!AE1096)=1,'История отказов'!F1096="ЭЦН"),1092,""))</f>
        <v/>
      </c>
      <c r="DE1093">
        <f>IF('История отказов'!AE1096="","",IF(AND(COUNTIF($CV$2:$CV$3,'История отказов'!AE1096)=0,COUNTIFS('История отказов'!$F$5:F1096,"ЭВН",'История отказов'!$AE$5:AE1096,'История отказов'!AE1096)=1,'История отказов'!F1096="ЭВН"),1092,""))</f>
        <v/>
      </c>
      <c r="DF1093">
        <f>IF('История отказов'!AE1096="","",IF(AND(COUNTIF($CX$2:$CX$2,'История отказов'!AE1096)=0,COUNTIFS('История отказов'!$F$5:F1096,"ШВН",'История отказов'!$AE$5:AE1096,'История отказов'!AE1096)=1,'История отказов'!F1096="ШВН"),1092,""))</f>
        <v/>
      </c>
      <c r="DG1093">
        <f>IF('История отказов'!AE1096="","",IF(AND(COUNTIF($CW$2:$CW$2,'История отказов'!AE1096)=0,COUNTIFS('История отказов'!$F$5:F1096,"НПУ-ВД",'История отказов'!$AE$5:AE1096,'История отказов'!AE1096)=1,'История отказов'!F1096="НПУ-ВД"),1092,""))</f>
        <v/>
      </c>
      <c r="DH1093">
        <f>IF('История отказов'!AE1096="","",IF(AND(COUNTIF($CY$2:$CY$6,'История отказов'!AE1096)=0,COUNTIF('История отказов'!$AE$5:AE1096,'История отказов'!AE1096)=1),1092,""))</f>
        <v/>
      </c>
      <c r="DI1093">
        <f>IF('История отказов'!AK1096="","",IF(AND(COUNTIF($CL$2:$CL$3,'История отказов'!AK1096)=0,COUNTIF('История отказов'!$AK$5:AK1096,'История отказов'!AK1096)=1),1092,""))</f>
        <v/>
      </c>
      <c r="DJ1093">
        <f>IF('История отказов'!AU1096="","",IF(AND(COUNTIF($CP$2:$CP$3,'История отказов'!AU1096)=0,COUNTIF('История отказов'!$AU$5:AU1096,'История отказов'!AU1096)=1),1092,""))</f>
        <v/>
      </c>
      <c r="DK1093">
        <f>IF('История отказов'!AY1096="","",IF(AND(COUNTIF($CR$2:$CR$2,'История отказов'!AY1096)=0,COUNTIF('История отказов'!$AY$5:AY1096,'История отказов'!AY1096)=1),1092,""))</f>
        <v/>
      </c>
      <c r="DL1093">
        <f>IF(DB1093="","",IF(AND(COUNTIF($DA$2:$DA$47,DB1093)=0,COUNTIF($DB$2:DB1093,DB1093)=1),1092,""))</f>
        <v/>
      </c>
    </row>
    <row r="1094">
      <c r="A1094" s="48" t="n"/>
      <c r="B1094" s="49" t="n"/>
      <c r="C1094" s="50" t="n"/>
      <c r="DB1094">
        <f>IF('История отказов'!AH1097="","",'История отказов'!AH1097)</f>
        <v/>
      </c>
      <c r="DC1094">
        <f>IF('История отказов'!AE1097="","",IF(AND(COUNTIF($CT$2:$CT$2,'История отказов'!AE1097)=0,COUNTIFS('История отказов'!$F$5:F1097,"ШГН",'История отказов'!$AE$5:AE1097,'История отказов'!AE1097)=1,'История отказов'!F1097="ШГН"),1093,""))</f>
        <v/>
      </c>
      <c r="DD1094">
        <f>IF('История отказов'!AE1097="","",IF(AND(COUNTIF($CU$2:$CU$3,'История отказов'!AE1097)=0,COUNTIFS('История отказов'!$F$5:F1097,"ЭЦН",'История отказов'!$AE$5:AE1097,'История отказов'!AE1097)=1,'История отказов'!F1097="ЭЦН"),1093,""))</f>
        <v/>
      </c>
      <c r="DE1094">
        <f>IF('История отказов'!AE1097="","",IF(AND(COUNTIF($CV$2:$CV$3,'История отказов'!AE1097)=0,COUNTIFS('История отказов'!$F$5:F1097,"ЭВН",'История отказов'!$AE$5:AE1097,'История отказов'!AE1097)=1,'История отказов'!F1097="ЭВН"),1093,""))</f>
        <v/>
      </c>
      <c r="DF1094">
        <f>IF('История отказов'!AE1097="","",IF(AND(COUNTIF($CX$2:$CX$2,'История отказов'!AE1097)=0,COUNTIFS('История отказов'!$F$5:F1097,"ШВН",'История отказов'!$AE$5:AE1097,'История отказов'!AE1097)=1,'История отказов'!F1097="ШВН"),1093,""))</f>
        <v/>
      </c>
      <c r="DG1094">
        <f>IF('История отказов'!AE1097="","",IF(AND(COUNTIF($CW$2:$CW$2,'История отказов'!AE1097)=0,COUNTIFS('История отказов'!$F$5:F1097,"НПУ-ВД",'История отказов'!$AE$5:AE1097,'История отказов'!AE1097)=1,'История отказов'!F1097="НПУ-ВД"),1093,""))</f>
        <v/>
      </c>
      <c r="DH1094">
        <f>IF('История отказов'!AE1097="","",IF(AND(COUNTIF($CY$2:$CY$6,'История отказов'!AE1097)=0,COUNTIF('История отказов'!$AE$5:AE1097,'История отказов'!AE1097)=1),1093,""))</f>
        <v/>
      </c>
      <c r="DI1094">
        <f>IF('История отказов'!AK1097="","",IF(AND(COUNTIF($CL$2:$CL$3,'История отказов'!AK1097)=0,COUNTIF('История отказов'!$AK$5:AK1097,'История отказов'!AK1097)=1),1093,""))</f>
        <v/>
      </c>
      <c r="DJ1094">
        <f>IF('История отказов'!AU1097="","",IF(AND(COUNTIF($CP$2:$CP$3,'История отказов'!AU1097)=0,COUNTIF('История отказов'!$AU$5:AU1097,'История отказов'!AU1097)=1),1093,""))</f>
        <v/>
      </c>
      <c r="DK1094">
        <f>IF('История отказов'!AY1097="","",IF(AND(COUNTIF($CR$2:$CR$2,'История отказов'!AY1097)=0,COUNTIF('История отказов'!$AY$5:AY1097,'История отказов'!AY1097)=1),1093,""))</f>
        <v/>
      </c>
      <c r="DL1094">
        <f>IF(DB1094="","",IF(AND(COUNTIF($DA$2:$DA$47,DB1094)=0,COUNTIF($DB$2:DB1094,DB1094)=1),1093,""))</f>
        <v/>
      </c>
    </row>
    <row r="1095">
      <c r="A1095" s="71" t="n"/>
      <c r="B1095" s="72" t="n"/>
      <c r="C1095" s="73" t="n"/>
      <c r="DB1095">
        <f>IF('История отказов'!AH1098="","",'История отказов'!AH1098)</f>
        <v/>
      </c>
      <c r="DC1095">
        <f>IF('История отказов'!AE1098="","",IF(AND(COUNTIF($CT$2:$CT$2,'История отказов'!AE1098)=0,COUNTIFS('История отказов'!$F$5:F1098,"ШГН",'История отказов'!$AE$5:AE1098,'История отказов'!AE1098)=1,'История отказов'!F1098="ШГН"),1094,""))</f>
        <v/>
      </c>
      <c r="DD1095">
        <f>IF('История отказов'!AE1098="","",IF(AND(COUNTIF($CU$2:$CU$3,'История отказов'!AE1098)=0,COUNTIFS('История отказов'!$F$5:F1098,"ЭЦН",'История отказов'!$AE$5:AE1098,'История отказов'!AE1098)=1,'История отказов'!F1098="ЭЦН"),1094,""))</f>
        <v/>
      </c>
      <c r="DE1095">
        <f>IF('История отказов'!AE1098="","",IF(AND(COUNTIF($CV$2:$CV$3,'История отказов'!AE1098)=0,COUNTIFS('История отказов'!$F$5:F1098,"ЭВН",'История отказов'!$AE$5:AE1098,'История отказов'!AE1098)=1,'История отказов'!F1098="ЭВН"),1094,""))</f>
        <v/>
      </c>
      <c r="DF1095">
        <f>IF('История отказов'!AE1098="","",IF(AND(COUNTIF($CX$2:$CX$2,'История отказов'!AE1098)=0,COUNTIFS('История отказов'!$F$5:F1098,"ШВН",'История отказов'!$AE$5:AE1098,'История отказов'!AE1098)=1,'История отказов'!F1098="ШВН"),1094,""))</f>
        <v/>
      </c>
      <c r="DG1095">
        <f>IF('История отказов'!AE1098="","",IF(AND(COUNTIF($CW$2:$CW$2,'История отказов'!AE1098)=0,COUNTIFS('История отказов'!$F$5:F1098,"НПУ-ВД",'История отказов'!$AE$5:AE1098,'История отказов'!AE1098)=1,'История отказов'!F1098="НПУ-ВД"),1094,""))</f>
        <v/>
      </c>
      <c r="DH1095">
        <f>IF('История отказов'!AE1098="","",IF(AND(COUNTIF($CY$2:$CY$6,'История отказов'!AE1098)=0,COUNTIF('История отказов'!$AE$5:AE1098,'История отказов'!AE1098)=1),1094,""))</f>
        <v/>
      </c>
      <c r="DI1095">
        <f>IF('История отказов'!AK1098="","",IF(AND(COUNTIF($CL$2:$CL$3,'История отказов'!AK1098)=0,COUNTIF('История отказов'!$AK$5:AK1098,'История отказов'!AK1098)=1),1094,""))</f>
        <v/>
      </c>
      <c r="DJ1095">
        <f>IF('История отказов'!AU1098="","",IF(AND(COUNTIF($CP$2:$CP$3,'История отказов'!AU1098)=0,COUNTIF('История отказов'!$AU$5:AU1098,'История отказов'!AU1098)=1),1094,""))</f>
        <v/>
      </c>
      <c r="DK1095">
        <f>IF('История отказов'!AY1098="","",IF(AND(COUNTIF($CR$2:$CR$2,'История отказов'!AY1098)=0,COUNTIF('История отказов'!$AY$5:AY1098,'История отказов'!AY1098)=1),1094,""))</f>
        <v/>
      </c>
      <c r="DL1095">
        <f>IF(DB1095="","",IF(AND(COUNTIF($DA$2:$DA$47,DB1095)=0,COUNTIF($DB$2:DB1095,DB1095)=1),1094,""))</f>
        <v/>
      </c>
    </row>
    <row r="1096">
      <c r="A1096" s="74" t="n"/>
      <c r="B1096" s="75" t="n"/>
      <c r="C1096" s="76" t="n"/>
      <c r="DB1096">
        <f>IF('История отказов'!AH1099="","",'История отказов'!AH1099)</f>
        <v/>
      </c>
      <c r="DC1096">
        <f>IF('История отказов'!AE1099="","",IF(AND(COUNTIF($CT$2:$CT$2,'История отказов'!AE1099)=0,COUNTIFS('История отказов'!$F$5:F1099,"ШГН",'История отказов'!$AE$5:AE1099,'История отказов'!AE1099)=1,'История отказов'!F1099="ШГН"),1095,""))</f>
        <v/>
      </c>
      <c r="DD1096">
        <f>IF('История отказов'!AE1099="","",IF(AND(COUNTIF($CU$2:$CU$3,'История отказов'!AE1099)=0,COUNTIFS('История отказов'!$F$5:F1099,"ЭЦН",'История отказов'!$AE$5:AE1099,'История отказов'!AE1099)=1,'История отказов'!F1099="ЭЦН"),1095,""))</f>
        <v/>
      </c>
      <c r="DE1096">
        <f>IF('История отказов'!AE1099="","",IF(AND(COUNTIF($CV$2:$CV$3,'История отказов'!AE1099)=0,COUNTIFS('История отказов'!$F$5:F1099,"ЭВН",'История отказов'!$AE$5:AE1099,'История отказов'!AE1099)=1,'История отказов'!F1099="ЭВН"),1095,""))</f>
        <v/>
      </c>
      <c r="DF1096">
        <f>IF('История отказов'!AE1099="","",IF(AND(COUNTIF($CX$2:$CX$2,'История отказов'!AE1099)=0,COUNTIFS('История отказов'!$F$5:F1099,"ШВН",'История отказов'!$AE$5:AE1099,'История отказов'!AE1099)=1,'История отказов'!F1099="ШВН"),1095,""))</f>
        <v/>
      </c>
      <c r="DG1096">
        <f>IF('История отказов'!AE1099="","",IF(AND(COUNTIF($CW$2:$CW$2,'История отказов'!AE1099)=0,COUNTIFS('История отказов'!$F$5:F1099,"НПУ-ВД",'История отказов'!$AE$5:AE1099,'История отказов'!AE1099)=1,'История отказов'!F1099="НПУ-ВД"),1095,""))</f>
        <v/>
      </c>
      <c r="DH1096">
        <f>IF('История отказов'!AE1099="","",IF(AND(COUNTIF($CY$2:$CY$6,'История отказов'!AE1099)=0,COUNTIF('История отказов'!$AE$5:AE1099,'История отказов'!AE1099)=1),1095,""))</f>
        <v/>
      </c>
      <c r="DI1096">
        <f>IF('История отказов'!AK1099="","",IF(AND(COUNTIF($CL$2:$CL$3,'История отказов'!AK1099)=0,COUNTIF('История отказов'!$AK$5:AK1099,'История отказов'!AK1099)=1),1095,""))</f>
        <v/>
      </c>
      <c r="DJ1096">
        <f>IF('История отказов'!AU1099="","",IF(AND(COUNTIF($CP$2:$CP$3,'История отказов'!AU1099)=0,COUNTIF('История отказов'!$AU$5:AU1099,'История отказов'!AU1099)=1),1095,""))</f>
        <v/>
      </c>
      <c r="DK1096">
        <f>IF('История отказов'!AY1099="","",IF(AND(COUNTIF($CR$2:$CR$2,'История отказов'!AY1099)=0,COUNTIF('История отказов'!$AY$5:AY1099,'История отказов'!AY1099)=1),1095,""))</f>
        <v/>
      </c>
      <c r="DL1096">
        <f>IF(DB1096="","",IF(AND(COUNTIF($DA$2:$DA$47,DB1096)=0,COUNTIF($DB$2:DB1096,DB1096)=1),1095,""))</f>
        <v/>
      </c>
    </row>
    <row r="1097">
      <c r="A1097" s="74" t="n"/>
      <c r="B1097" s="75" t="n"/>
      <c r="C1097" s="76" t="n"/>
      <c r="DB1097">
        <f>IF('История отказов'!AH1100="","",'История отказов'!AH1100)</f>
        <v/>
      </c>
      <c r="DC1097">
        <f>IF('История отказов'!AE1100="","",IF(AND(COUNTIF($CT$2:$CT$2,'История отказов'!AE1100)=0,COUNTIFS('История отказов'!$F$5:F1100,"ШГН",'История отказов'!$AE$5:AE1100,'История отказов'!AE1100)=1,'История отказов'!F1100="ШГН"),1096,""))</f>
        <v/>
      </c>
      <c r="DD1097">
        <f>IF('История отказов'!AE1100="","",IF(AND(COUNTIF($CU$2:$CU$3,'История отказов'!AE1100)=0,COUNTIFS('История отказов'!$F$5:F1100,"ЭЦН",'История отказов'!$AE$5:AE1100,'История отказов'!AE1100)=1,'История отказов'!F1100="ЭЦН"),1096,""))</f>
        <v/>
      </c>
      <c r="DE1097">
        <f>IF('История отказов'!AE1100="","",IF(AND(COUNTIF($CV$2:$CV$3,'История отказов'!AE1100)=0,COUNTIFS('История отказов'!$F$5:F1100,"ЭВН",'История отказов'!$AE$5:AE1100,'История отказов'!AE1100)=1,'История отказов'!F1100="ЭВН"),1096,""))</f>
        <v/>
      </c>
      <c r="DF1097">
        <f>IF('История отказов'!AE1100="","",IF(AND(COUNTIF($CX$2:$CX$2,'История отказов'!AE1100)=0,COUNTIFS('История отказов'!$F$5:F1100,"ШВН",'История отказов'!$AE$5:AE1100,'История отказов'!AE1100)=1,'История отказов'!F1100="ШВН"),1096,""))</f>
        <v/>
      </c>
      <c r="DG1097">
        <f>IF('История отказов'!AE1100="","",IF(AND(COUNTIF($CW$2:$CW$2,'История отказов'!AE1100)=0,COUNTIFS('История отказов'!$F$5:F1100,"НПУ-ВД",'История отказов'!$AE$5:AE1100,'История отказов'!AE1100)=1,'История отказов'!F1100="НПУ-ВД"),1096,""))</f>
        <v/>
      </c>
      <c r="DH1097">
        <f>IF('История отказов'!AE1100="","",IF(AND(COUNTIF($CY$2:$CY$6,'История отказов'!AE1100)=0,COUNTIF('История отказов'!$AE$5:AE1100,'История отказов'!AE1100)=1),1096,""))</f>
        <v/>
      </c>
      <c r="DI1097">
        <f>IF('История отказов'!AK1100="","",IF(AND(COUNTIF($CL$2:$CL$3,'История отказов'!AK1100)=0,COUNTIF('История отказов'!$AK$5:AK1100,'История отказов'!AK1100)=1),1096,""))</f>
        <v/>
      </c>
      <c r="DJ1097">
        <f>IF('История отказов'!AU1100="","",IF(AND(COUNTIF($CP$2:$CP$3,'История отказов'!AU1100)=0,COUNTIF('История отказов'!$AU$5:AU1100,'История отказов'!AU1100)=1),1096,""))</f>
        <v/>
      </c>
      <c r="DK1097">
        <f>IF('История отказов'!AY1100="","",IF(AND(COUNTIF($CR$2:$CR$2,'История отказов'!AY1100)=0,COUNTIF('История отказов'!$AY$5:AY1100,'История отказов'!AY1100)=1),1096,""))</f>
        <v/>
      </c>
      <c r="DL1097">
        <f>IF(DB1097="","",IF(AND(COUNTIF($DA$2:$DA$47,DB1097)=0,COUNTIF($DB$2:DB1097,DB1097)=1),1096,""))</f>
        <v/>
      </c>
    </row>
    <row r="1098">
      <c r="A1098" s="74" t="n"/>
      <c r="B1098" s="75" t="n"/>
      <c r="C1098" s="76" t="n"/>
      <c r="DB1098">
        <f>IF('История отказов'!AH1101="","",'История отказов'!AH1101)</f>
        <v/>
      </c>
      <c r="DC1098">
        <f>IF('История отказов'!AE1101="","",IF(AND(COUNTIF($CT$2:$CT$2,'История отказов'!AE1101)=0,COUNTIFS('История отказов'!$F$5:F1101,"ШГН",'История отказов'!$AE$5:AE1101,'История отказов'!AE1101)=1,'История отказов'!F1101="ШГН"),1097,""))</f>
        <v/>
      </c>
      <c r="DD1098">
        <f>IF('История отказов'!AE1101="","",IF(AND(COUNTIF($CU$2:$CU$3,'История отказов'!AE1101)=0,COUNTIFS('История отказов'!$F$5:F1101,"ЭЦН",'История отказов'!$AE$5:AE1101,'История отказов'!AE1101)=1,'История отказов'!F1101="ЭЦН"),1097,""))</f>
        <v/>
      </c>
      <c r="DE1098">
        <f>IF('История отказов'!AE1101="","",IF(AND(COUNTIF($CV$2:$CV$3,'История отказов'!AE1101)=0,COUNTIFS('История отказов'!$F$5:F1101,"ЭВН",'История отказов'!$AE$5:AE1101,'История отказов'!AE1101)=1,'История отказов'!F1101="ЭВН"),1097,""))</f>
        <v/>
      </c>
      <c r="DF1098">
        <f>IF('История отказов'!AE1101="","",IF(AND(COUNTIF($CX$2:$CX$2,'История отказов'!AE1101)=0,COUNTIFS('История отказов'!$F$5:F1101,"ШВН",'История отказов'!$AE$5:AE1101,'История отказов'!AE1101)=1,'История отказов'!F1101="ШВН"),1097,""))</f>
        <v/>
      </c>
      <c r="DG1098">
        <f>IF('История отказов'!AE1101="","",IF(AND(COUNTIF($CW$2:$CW$2,'История отказов'!AE1101)=0,COUNTIFS('История отказов'!$F$5:F1101,"НПУ-ВД",'История отказов'!$AE$5:AE1101,'История отказов'!AE1101)=1,'История отказов'!F1101="НПУ-ВД"),1097,""))</f>
        <v/>
      </c>
      <c r="DH1098">
        <f>IF('История отказов'!AE1101="","",IF(AND(COUNTIF($CY$2:$CY$6,'История отказов'!AE1101)=0,COUNTIF('История отказов'!$AE$5:AE1101,'История отказов'!AE1101)=1),1097,""))</f>
        <v/>
      </c>
      <c r="DI1098">
        <f>IF('История отказов'!AK1101="","",IF(AND(COUNTIF($CL$2:$CL$3,'История отказов'!AK1101)=0,COUNTIF('История отказов'!$AK$5:AK1101,'История отказов'!AK1101)=1),1097,""))</f>
        <v/>
      </c>
      <c r="DJ1098">
        <f>IF('История отказов'!AU1101="","",IF(AND(COUNTIF($CP$2:$CP$3,'История отказов'!AU1101)=0,COUNTIF('История отказов'!$AU$5:AU1101,'История отказов'!AU1101)=1),1097,""))</f>
        <v/>
      </c>
      <c r="DK1098">
        <f>IF('История отказов'!AY1101="","",IF(AND(COUNTIF($CR$2:$CR$2,'История отказов'!AY1101)=0,COUNTIF('История отказов'!$AY$5:AY1101,'История отказов'!AY1101)=1),1097,""))</f>
        <v/>
      </c>
      <c r="DL1098">
        <f>IF(DB1098="","",IF(AND(COUNTIF($DA$2:$DA$47,DB1098)=0,COUNTIF($DB$2:DB1098,DB1098)=1),1097,""))</f>
        <v/>
      </c>
    </row>
    <row r="1099">
      <c r="A1099" s="74" t="n"/>
      <c r="B1099" s="75" t="n"/>
      <c r="C1099" s="76" t="n"/>
      <c r="DB1099">
        <f>IF('История отказов'!AH1102="","",'История отказов'!AH1102)</f>
        <v/>
      </c>
      <c r="DC1099">
        <f>IF('История отказов'!AE1102="","",IF(AND(COUNTIF($CT$2:$CT$2,'История отказов'!AE1102)=0,COUNTIFS('История отказов'!$F$5:F1102,"ШГН",'История отказов'!$AE$5:AE1102,'История отказов'!AE1102)=1,'История отказов'!F1102="ШГН"),1098,""))</f>
        <v/>
      </c>
      <c r="DD1099">
        <f>IF('История отказов'!AE1102="","",IF(AND(COUNTIF($CU$2:$CU$3,'История отказов'!AE1102)=0,COUNTIFS('История отказов'!$F$5:F1102,"ЭЦН",'История отказов'!$AE$5:AE1102,'История отказов'!AE1102)=1,'История отказов'!F1102="ЭЦН"),1098,""))</f>
        <v/>
      </c>
      <c r="DE1099">
        <f>IF('История отказов'!AE1102="","",IF(AND(COUNTIF($CV$2:$CV$3,'История отказов'!AE1102)=0,COUNTIFS('История отказов'!$F$5:F1102,"ЭВН",'История отказов'!$AE$5:AE1102,'История отказов'!AE1102)=1,'История отказов'!F1102="ЭВН"),1098,""))</f>
        <v/>
      </c>
      <c r="DF1099">
        <f>IF('История отказов'!AE1102="","",IF(AND(COUNTIF($CX$2:$CX$2,'История отказов'!AE1102)=0,COUNTIFS('История отказов'!$F$5:F1102,"ШВН",'История отказов'!$AE$5:AE1102,'История отказов'!AE1102)=1,'История отказов'!F1102="ШВН"),1098,""))</f>
        <v/>
      </c>
      <c r="DG1099">
        <f>IF('История отказов'!AE1102="","",IF(AND(COUNTIF($CW$2:$CW$2,'История отказов'!AE1102)=0,COUNTIFS('История отказов'!$F$5:F1102,"НПУ-ВД",'История отказов'!$AE$5:AE1102,'История отказов'!AE1102)=1,'История отказов'!F1102="НПУ-ВД"),1098,""))</f>
        <v/>
      </c>
      <c r="DH1099">
        <f>IF('История отказов'!AE1102="","",IF(AND(COUNTIF($CY$2:$CY$6,'История отказов'!AE1102)=0,COUNTIF('История отказов'!$AE$5:AE1102,'История отказов'!AE1102)=1),1098,""))</f>
        <v/>
      </c>
      <c r="DI1099">
        <f>IF('История отказов'!AK1102="","",IF(AND(COUNTIF($CL$2:$CL$3,'История отказов'!AK1102)=0,COUNTIF('История отказов'!$AK$5:AK1102,'История отказов'!AK1102)=1),1098,""))</f>
        <v/>
      </c>
      <c r="DJ1099">
        <f>IF('История отказов'!AU1102="","",IF(AND(COUNTIF($CP$2:$CP$3,'История отказов'!AU1102)=0,COUNTIF('История отказов'!$AU$5:AU1102,'История отказов'!AU1102)=1),1098,""))</f>
        <v/>
      </c>
      <c r="DK1099">
        <f>IF('История отказов'!AY1102="","",IF(AND(COUNTIF($CR$2:$CR$2,'История отказов'!AY1102)=0,COUNTIF('История отказов'!$AY$5:AY1102,'История отказов'!AY1102)=1),1098,""))</f>
        <v/>
      </c>
      <c r="DL1099">
        <f>IF(DB1099="","",IF(AND(COUNTIF($DA$2:$DA$47,DB1099)=0,COUNTIF($DB$2:DB1099,DB1099)=1),1098,""))</f>
        <v/>
      </c>
    </row>
    <row r="1100">
      <c r="A1100" s="74" t="n"/>
      <c r="B1100" s="75" t="n"/>
      <c r="C1100" s="76" t="n"/>
      <c r="DB1100">
        <f>IF('История отказов'!AH1103="","",'История отказов'!AH1103)</f>
        <v/>
      </c>
      <c r="DC1100">
        <f>IF('История отказов'!AE1103="","",IF(AND(COUNTIF($CT$2:$CT$2,'История отказов'!AE1103)=0,COUNTIFS('История отказов'!$F$5:F1103,"ШГН",'История отказов'!$AE$5:AE1103,'История отказов'!AE1103)=1,'История отказов'!F1103="ШГН"),1099,""))</f>
        <v/>
      </c>
      <c r="DD1100">
        <f>IF('История отказов'!AE1103="","",IF(AND(COUNTIF($CU$2:$CU$3,'История отказов'!AE1103)=0,COUNTIFS('История отказов'!$F$5:F1103,"ЭЦН",'История отказов'!$AE$5:AE1103,'История отказов'!AE1103)=1,'История отказов'!F1103="ЭЦН"),1099,""))</f>
        <v/>
      </c>
      <c r="DE1100">
        <f>IF('История отказов'!AE1103="","",IF(AND(COUNTIF($CV$2:$CV$3,'История отказов'!AE1103)=0,COUNTIFS('История отказов'!$F$5:F1103,"ЭВН",'История отказов'!$AE$5:AE1103,'История отказов'!AE1103)=1,'История отказов'!F1103="ЭВН"),1099,""))</f>
        <v/>
      </c>
      <c r="DF1100">
        <f>IF('История отказов'!AE1103="","",IF(AND(COUNTIF($CX$2:$CX$2,'История отказов'!AE1103)=0,COUNTIFS('История отказов'!$F$5:F1103,"ШВН",'История отказов'!$AE$5:AE1103,'История отказов'!AE1103)=1,'История отказов'!F1103="ШВН"),1099,""))</f>
        <v/>
      </c>
      <c r="DG1100">
        <f>IF('История отказов'!AE1103="","",IF(AND(COUNTIF($CW$2:$CW$2,'История отказов'!AE1103)=0,COUNTIFS('История отказов'!$F$5:F1103,"НПУ-ВД",'История отказов'!$AE$5:AE1103,'История отказов'!AE1103)=1,'История отказов'!F1103="НПУ-ВД"),1099,""))</f>
        <v/>
      </c>
      <c r="DH1100">
        <f>IF('История отказов'!AE1103="","",IF(AND(COUNTIF($CY$2:$CY$6,'История отказов'!AE1103)=0,COUNTIF('История отказов'!$AE$5:AE1103,'История отказов'!AE1103)=1),1099,""))</f>
        <v/>
      </c>
      <c r="DI1100">
        <f>IF('История отказов'!AK1103="","",IF(AND(COUNTIF($CL$2:$CL$3,'История отказов'!AK1103)=0,COUNTIF('История отказов'!$AK$5:AK1103,'История отказов'!AK1103)=1),1099,""))</f>
        <v/>
      </c>
      <c r="DJ1100">
        <f>IF('История отказов'!AU1103="","",IF(AND(COUNTIF($CP$2:$CP$3,'История отказов'!AU1103)=0,COUNTIF('История отказов'!$AU$5:AU1103,'История отказов'!AU1103)=1),1099,""))</f>
        <v/>
      </c>
      <c r="DK1100">
        <f>IF('История отказов'!AY1103="","",IF(AND(COUNTIF($CR$2:$CR$2,'История отказов'!AY1103)=0,COUNTIF('История отказов'!$AY$5:AY1103,'История отказов'!AY1103)=1),1099,""))</f>
        <v/>
      </c>
      <c r="DL1100">
        <f>IF(DB1100="","",IF(AND(COUNTIF($DA$2:$DA$47,DB1100)=0,COUNTIF($DB$2:DB1100,DB1100)=1),1099,""))</f>
        <v/>
      </c>
    </row>
    <row r="1101">
      <c r="A1101" s="74" t="n"/>
      <c r="B1101" s="75" t="n"/>
      <c r="C1101" s="76" t="n"/>
      <c r="DB1101">
        <f>IF('История отказов'!AH1104="","",'История отказов'!AH1104)</f>
        <v/>
      </c>
      <c r="DC1101">
        <f>IF('История отказов'!AE1104="","",IF(AND(COUNTIF($CT$2:$CT$2,'История отказов'!AE1104)=0,COUNTIFS('История отказов'!$F$5:F1104,"ШГН",'История отказов'!$AE$5:AE1104,'История отказов'!AE1104)=1,'История отказов'!F1104="ШГН"),1100,""))</f>
        <v/>
      </c>
      <c r="DD1101">
        <f>IF('История отказов'!AE1104="","",IF(AND(COUNTIF($CU$2:$CU$3,'История отказов'!AE1104)=0,COUNTIFS('История отказов'!$F$5:F1104,"ЭЦН",'История отказов'!$AE$5:AE1104,'История отказов'!AE1104)=1,'История отказов'!F1104="ЭЦН"),1100,""))</f>
        <v/>
      </c>
      <c r="DE1101">
        <f>IF('История отказов'!AE1104="","",IF(AND(COUNTIF($CV$2:$CV$3,'История отказов'!AE1104)=0,COUNTIFS('История отказов'!$F$5:F1104,"ЭВН",'История отказов'!$AE$5:AE1104,'История отказов'!AE1104)=1,'История отказов'!F1104="ЭВН"),1100,""))</f>
        <v/>
      </c>
      <c r="DF1101">
        <f>IF('История отказов'!AE1104="","",IF(AND(COUNTIF($CX$2:$CX$2,'История отказов'!AE1104)=0,COUNTIFS('История отказов'!$F$5:F1104,"ШВН",'История отказов'!$AE$5:AE1104,'История отказов'!AE1104)=1,'История отказов'!F1104="ШВН"),1100,""))</f>
        <v/>
      </c>
      <c r="DG1101">
        <f>IF('История отказов'!AE1104="","",IF(AND(COUNTIF($CW$2:$CW$2,'История отказов'!AE1104)=0,COUNTIFS('История отказов'!$F$5:F1104,"НПУ-ВД",'История отказов'!$AE$5:AE1104,'История отказов'!AE1104)=1,'История отказов'!F1104="НПУ-ВД"),1100,""))</f>
        <v/>
      </c>
      <c r="DH1101">
        <f>IF('История отказов'!AE1104="","",IF(AND(COUNTIF($CY$2:$CY$6,'История отказов'!AE1104)=0,COUNTIF('История отказов'!$AE$5:AE1104,'История отказов'!AE1104)=1),1100,""))</f>
        <v/>
      </c>
      <c r="DI1101">
        <f>IF('История отказов'!AK1104="","",IF(AND(COUNTIF($CL$2:$CL$3,'История отказов'!AK1104)=0,COUNTIF('История отказов'!$AK$5:AK1104,'История отказов'!AK1104)=1),1100,""))</f>
        <v/>
      </c>
      <c r="DJ1101">
        <f>IF('История отказов'!AU1104="","",IF(AND(COUNTIF($CP$2:$CP$3,'История отказов'!AU1104)=0,COUNTIF('История отказов'!$AU$5:AU1104,'История отказов'!AU1104)=1),1100,""))</f>
        <v/>
      </c>
      <c r="DK1101">
        <f>IF('История отказов'!AY1104="","",IF(AND(COUNTIF($CR$2:$CR$2,'История отказов'!AY1104)=0,COUNTIF('История отказов'!$AY$5:AY1104,'История отказов'!AY1104)=1),1100,""))</f>
        <v/>
      </c>
      <c r="DL1101">
        <f>IF(DB1101="","",IF(AND(COUNTIF($DA$2:$DA$47,DB1101)=0,COUNTIF($DB$2:DB1101,DB1101)=1),1100,""))</f>
        <v/>
      </c>
    </row>
    <row r="1102">
      <c r="A1102" s="74" t="n"/>
      <c r="B1102" s="75" t="n"/>
      <c r="C1102" s="76" t="n"/>
      <c r="DB1102">
        <f>IF('История отказов'!AH1105="","",'История отказов'!AH1105)</f>
        <v/>
      </c>
      <c r="DC1102">
        <f>IF('История отказов'!AE1105="","",IF(AND(COUNTIF($CT$2:$CT$2,'История отказов'!AE1105)=0,COUNTIFS('История отказов'!$F$5:F1105,"ШГН",'История отказов'!$AE$5:AE1105,'История отказов'!AE1105)=1,'История отказов'!F1105="ШГН"),1101,""))</f>
        <v/>
      </c>
      <c r="DD1102">
        <f>IF('История отказов'!AE1105="","",IF(AND(COUNTIF($CU$2:$CU$3,'История отказов'!AE1105)=0,COUNTIFS('История отказов'!$F$5:F1105,"ЭЦН",'История отказов'!$AE$5:AE1105,'История отказов'!AE1105)=1,'История отказов'!F1105="ЭЦН"),1101,""))</f>
        <v/>
      </c>
      <c r="DE1102">
        <f>IF('История отказов'!AE1105="","",IF(AND(COUNTIF($CV$2:$CV$3,'История отказов'!AE1105)=0,COUNTIFS('История отказов'!$F$5:F1105,"ЭВН",'История отказов'!$AE$5:AE1105,'История отказов'!AE1105)=1,'История отказов'!F1105="ЭВН"),1101,""))</f>
        <v/>
      </c>
      <c r="DF1102">
        <f>IF('История отказов'!AE1105="","",IF(AND(COUNTIF($CX$2:$CX$2,'История отказов'!AE1105)=0,COUNTIFS('История отказов'!$F$5:F1105,"ШВН",'История отказов'!$AE$5:AE1105,'История отказов'!AE1105)=1,'История отказов'!F1105="ШВН"),1101,""))</f>
        <v/>
      </c>
      <c r="DG1102">
        <f>IF('История отказов'!AE1105="","",IF(AND(COUNTIF($CW$2:$CW$2,'История отказов'!AE1105)=0,COUNTIFS('История отказов'!$F$5:F1105,"НПУ-ВД",'История отказов'!$AE$5:AE1105,'История отказов'!AE1105)=1,'История отказов'!F1105="НПУ-ВД"),1101,""))</f>
        <v/>
      </c>
      <c r="DH1102">
        <f>IF('История отказов'!AE1105="","",IF(AND(COUNTIF($CY$2:$CY$6,'История отказов'!AE1105)=0,COUNTIF('История отказов'!$AE$5:AE1105,'История отказов'!AE1105)=1),1101,""))</f>
        <v/>
      </c>
      <c r="DI1102">
        <f>IF('История отказов'!AK1105="","",IF(AND(COUNTIF($CL$2:$CL$3,'История отказов'!AK1105)=0,COUNTIF('История отказов'!$AK$5:AK1105,'История отказов'!AK1105)=1),1101,""))</f>
        <v/>
      </c>
      <c r="DJ1102">
        <f>IF('История отказов'!AU1105="","",IF(AND(COUNTIF($CP$2:$CP$3,'История отказов'!AU1105)=0,COUNTIF('История отказов'!$AU$5:AU1105,'История отказов'!AU1105)=1),1101,""))</f>
        <v/>
      </c>
      <c r="DK1102">
        <f>IF('История отказов'!AY1105="","",IF(AND(COUNTIF($CR$2:$CR$2,'История отказов'!AY1105)=0,COUNTIF('История отказов'!$AY$5:AY1105,'История отказов'!AY1105)=1),1101,""))</f>
        <v/>
      </c>
      <c r="DL1102">
        <f>IF(DB1102="","",IF(AND(COUNTIF($DA$2:$DA$47,DB1102)=0,COUNTIF($DB$2:DB1102,DB1102)=1),1101,""))</f>
        <v/>
      </c>
    </row>
    <row r="1103">
      <c r="A1103" s="74" t="n"/>
      <c r="B1103" s="75" t="n"/>
      <c r="C1103" s="76" t="n"/>
      <c r="DB1103">
        <f>IF('История отказов'!AH1106="","",'История отказов'!AH1106)</f>
        <v/>
      </c>
      <c r="DC1103">
        <f>IF('История отказов'!AE1106="","",IF(AND(COUNTIF($CT$2:$CT$2,'История отказов'!AE1106)=0,COUNTIFS('История отказов'!$F$5:F1106,"ШГН",'История отказов'!$AE$5:AE1106,'История отказов'!AE1106)=1,'История отказов'!F1106="ШГН"),1102,""))</f>
        <v/>
      </c>
      <c r="DD1103">
        <f>IF('История отказов'!AE1106="","",IF(AND(COUNTIF($CU$2:$CU$3,'История отказов'!AE1106)=0,COUNTIFS('История отказов'!$F$5:F1106,"ЭЦН",'История отказов'!$AE$5:AE1106,'История отказов'!AE1106)=1,'История отказов'!F1106="ЭЦН"),1102,""))</f>
        <v/>
      </c>
      <c r="DE1103">
        <f>IF('История отказов'!AE1106="","",IF(AND(COUNTIF($CV$2:$CV$3,'История отказов'!AE1106)=0,COUNTIFS('История отказов'!$F$5:F1106,"ЭВН",'История отказов'!$AE$5:AE1106,'История отказов'!AE1106)=1,'История отказов'!F1106="ЭВН"),1102,""))</f>
        <v/>
      </c>
      <c r="DF1103">
        <f>IF('История отказов'!AE1106="","",IF(AND(COUNTIF($CX$2:$CX$2,'История отказов'!AE1106)=0,COUNTIFS('История отказов'!$F$5:F1106,"ШВН",'История отказов'!$AE$5:AE1106,'История отказов'!AE1106)=1,'История отказов'!F1106="ШВН"),1102,""))</f>
        <v/>
      </c>
      <c r="DG1103">
        <f>IF('История отказов'!AE1106="","",IF(AND(COUNTIF($CW$2:$CW$2,'История отказов'!AE1106)=0,COUNTIFS('История отказов'!$F$5:F1106,"НПУ-ВД",'История отказов'!$AE$5:AE1106,'История отказов'!AE1106)=1,'История отказов'!F1106="НПУ-ВД"),1102,""))</f>
        <v/>
      </c>
      <c r="DH1103">
        <f>IF('История отказов'!AE1106="","",IF(AND(COUNTIF($CY$2:$CY$6,'История отказов'!AE1106)=0,COUNTIF('История отказов'!$AE$5:AE1106,'История отказов'!AE1106)=1),1102,""))</f>
        <v/>
      </c>
      <c r="DI1103">
        <f>IF('История отказов'!AK1106="","",IF(AND(COUNTIF($CL$2:$CL$3,'История отказов'!AK1106)=0,COUNTIF('История отказов'!$AK$5:AK1106,'История отказов'!AK1106)=1),1102,""))</f>
        <v/>
      </c>
      <c r="DJ1103">
        <f>IF('История отказов'!AU1106="","",IF(AND(COUNTIF($CP$2:$CP$3,'История отказов'!AU1106)=0,COUNTIF('История отказов'!$AU$5:AU1106,'История отказов'!AU1106)=1),1102,""))</f>
        <v/>
      </c>
      <c r="DK1103">
        <f>IF('История отказов'!AY1106="","",IF(AND(COUNTIF($CR$2:$CR$2,'История отказов'!AY1106)=0,COUNTIF('История отказов'!$AY$5:AY1106,'История отказов'!AY1106)=1),1102,""))</f>
        <v/>
      </c>
      <c r="DL1103">
        <f>IF(DB1103="","",IF(AND(COUNTIF($DA$2:$DA$47,DB1103)=0,COUNTIF($DB$2:DB1103,DB1103)=1),1102,""))</f>
        <v/>
      </c>
    </row>
    <row r="1104">
      <c r="A1104" s="74" t="n"/>
      <c r="B1104" s="75" t="n"/>
      <c r="C1104" s="76" t="n"/>
      <c r="DB1104">
        <f>IF('История отказов'!AH1107="","",'История отказов'!AH1107)</f>
        <v/>
      </c>
      <c r="DC1104">
        <f>IF('История отказов'!AE1107="","",IF(AND(COUNTIF($CT$2:$CT$2,'История отказов'!AE1107)=0,COUNTIFS('История отказов'!$F$5:F1107,"ШГН",'История отказов'!$AE$5:AE1107,'История отказов'!AE1107)=1,'История отказов'!F1107="ШГН"),1103,""))</f>
        <v/>
      </c>
      <c r="DD1104">
        <f>IF('История отказов'!AE1107="","",IF(AND(COUNTIF($CU$2:$CU$3,'История отказов'!AE1107)=0,COUNTIFS('История отказов'!$F$5:F1107,"ЭЦН",'История отказов'!$AE$5:AE1107,'История отказов'!AE1107)=1,'История отказов'!F1107="ЭЦН"),1103,""))</f>
        <v/>
      </c>
      <c r="DE1104">
        <f>IF('История отказов'!AE1107="","",IF(AND(COUNTIF($CV$2:$CV$3,'История отказов'!AE1107)=0,COUNTIFS('История отказов'!$F$5:F1107,"ЭВН",'История отказов'!$AE$5:AE1107,'История отказов'!AE1107)=1,'История отказов'!F1107="ЭВН"),1103,""))</f>
        <v/>
      </c>
      <c r="DF1104">
        <f>IF('История отказов'!AE1107="","",IF(AND(COUNTIF($CX$2:$CX$2,'История отказов'!AE1107)=0,COUNTIFS('История отказов'!$F$5:F1107,"ШВН",'История отказов'!$AE$5:AE1107,'История отказов'!AE1107)=1,'История отказов'!F1107="ШВН"),1103,""))</f>
        <v/>
      </c>
      <c r="DG1104">
        <f>IF('История отказов'!AE1107="","",IF(AND(COUNTIF($CW$2:$CW$2,'История отказов'!AE1107)=0,COUNTIFS('История отказов'!$F$5:F1107,"НПУ-ВД",'История отказов'!$AE$5:AE1107,'История отказов'!AE1107)=1,'История отказов'!F1107="НПУ-ВД"),1103,""))</f>
        <v/>
      </c>
      <c r="DH1104">
        <f>IF('История отказов'!AE1107="","",IF(AND(COUNTIF($CY$2:$CY$6,'История отказов'!AE1107)=0,COUNTIF('История отказов'!$AE$5:AE1107,'История отказов'!AE1107)=1),1103,""))</f>
        <v/>
      </c>
      <c r="DI1104">
        <f>IF('История отказов'!AK1107="","",IF(AND(COUNTIF($CL$2:$CL$3,'История отказов'!AK1107)=0,COUNTIF('История отказов'!$AK$5:AK1107,'История отказов'!AK1107)=1),1103,""))</f>
        <v/>
      </c>
      <c r="DJ1104">
        <f>IF('История отказов'!AU1107="","",IF(AND(COUNTIF($CP$2:$CP$3,'История отказов'!AU1107)=0,COUNTIF('История отказов'!$AU$5:AU1107,'История отказов'!AU1107)=1),1103,""))</f>
        <v/>
      </c>
      <c r="DK1104">
        <f>IF('История отказов'!AY1107="","",IF(AND(COUNTIF($CR$2:$CR$2,'История отказов'!AY1107)=0,COUNTIF('История отказов'!$AY$5:AY1107,'История отказов'!AY1107)=1),1103,""))</f>
        <v/>
      </c>
      <c r="DL1104">
        <f>IF(DB1104="","",IF(AND(COUNTIF($DA$2:$DA$47,DB1104)=0,COUNTIF($DB$2:DB1104,DB1104)=1),1103,""))</f>
        <v/>
      </c>
    </row>
    <row r="1105">
      <c r="A1105" s="74" t="n"/>
      <c r="B1105" s="75" t="n"/>
      <c r="C1105" s="76" t="n"/>
      <c r="DB1105">
        <f>IF('История отказов'!AH1108="","",'История отказов'!AH1108)</f>
        <v/>
      </c>
      <c r="DC1105">
        <f>IF('История отказов'!AE1108="","",IF(AND(COUNTIF($CT$2:$CT$2,'История отказов'!AE1108)=0,COUNTIFS('История отказов'!$F$5:F1108,"ШГН",'История отказов'!$AE$5:AE1108,'История отказов'!AE1108)=1,'История отказов'!F1108="ШГН"),1104,""))</f>
        <v/>
      </c>
      <c r="DD1105">
        <f>IF('История отказов'!AE1108="","",IF(AND(COUNTIF($CU$2:$CU$3,'История отказов'!AE1108)=0,COUNTIFS('История отказов'!$F$5:F1108,"ЭЦН",'История отказов'!$AE$5:AE1108,'История отказов'!AE1108)=1,'История отказов'!F1108="ЭЦН"),1104,""))</f>
        <v/>
      </c>
      <c r="DE1105">
        <f>IF('История отказов'!AE1108="","",IF(AND(COUNTIF($CV$2:$CV$3,'История отказов'!AE1108)=0,COUNTIFS('История отказов'!$F$5:F1108,"ЭВН",'История отказов'!$AE$5:AE1108,'История отказов'!AE1108)=1,'История отказов'!F1108="ЭВН"),1104,""))</f>
        <v/>
      </c>
      <c r="DF1105">
        <f>IF('История отказов'!AE1108="","",IF(AND(COUNTIF($CX$2:$CX$2,'История отказов'!AE1108)=0,COUNTIFS('История отказов'!$F$5:F1108,"ШВН",'История отказов'!$AE$5:AE1108,'История отказов'!AE1108)=1,'История отказов'!F1108="ШВН"),1104,""))</f>
        <v/>
      </c>
      <c r="DG1105">
        <f>IF('История отказов'!AE1108="","",IF(AND(COUNTIF($CW$2:$CW$2,'История отказов'!AE1108)=0,COUNTIFS('История отказов'!$F$5:F1108,"НПУ-ВД",'История отказов'!$AE$5:AE1108,'История отказов'!AE1108)=1,'История отказов'!F1108="НПУ-ВД"),1104,""))</f>
        <v/>
      </c>
      <c r="DH1105">
        <f>IF('История отказов'!AE1108="","",IF(AND(COUNTIF($CY$2:$CY$6,'История отказов'!AE1108)=0,COUNTIF('История отказов'!$AE$5:AE1108,'История отказов'!AE1108)=1),1104,""))</f>
        <v/>
      </c>
      <c r="DI1105">
        <f>IF('История отказов'!AK1108="","",IF(AND(COUNTIF($CL$2:$CL$3,'История отказов'!AK1108)=0,COUNTIF('История отказов'!$AK$5:AK1108,'История отказов'!AK1108)=1),1104,""))</f>
        <v/>
      </c>
      <c r="DJ1105">
        <f>IF('История отказов'!AU1108="","",IF(AND(COUNTIF($CP$2:$CP$3,'История отказов'!AU1108)=0,COUNTIF('История отказов'!$AU$5:AU1108,'История отказов'!AU1108)=1),1104,""))</f>
        <v/>
      </c>
      <c r="DK1105">
        <f>IF('История отказов'!AY1108="","",IF(AND(COUNTIF($CR$2:$CR$2,'История отказов'!AY1108)=0,COUNTIF('История отказов'!$AY$5:AY1108,'История отказов'!AY1108)=1),1104,""))</f>
        <v/>
      </c>
      <c r="DL1105">
        <f>IF(DB1105="","",IF(AND(COUNTIF($DA$2:$DA$47,DB1105)=0,COUNTIF($DB$2:DB1105,DB1105)=1),1104,""))</f>
        <v/>
      </c>
    </row>
    <row r="1106">
      <c r="A1106" s="74" t="n"/>
      <c r="B1106" s="75" t="n"/>
      <c r="C1106" s="76" t="n"/>
      <c r="DB1106">
        <f>IF('История отказов'!AH1109="","",'История отказов'!AH1109)</f>
        <v/>
      </c>
      <c r="DC1106">
        <f>IF('История отказов'!AE1109="","",IF(AND(COUNTIF($CT$2:$CT$2,'История отказов'!AE1109)=0,COUNTIFS('История отказов'!$F$5:F1109,"ШГН",'История отказов'!$AE$5:AE1109,'История отказов'!AE1109)=1,'История отказов'!F1109="ШГН"),1105,""))</f>
        <v/>
      </c>
      <c r="DD1106">
        <f>IF('История отказов'!AE1109="","",IF(AND(COUNTIF($CU$2:$CU$3,'История отказов'!AE1109)=0,COUNTIFS('История отказов'!$F$5:F1109,"ЭЦН",'История отказов'!$AE$5:AE1109,'История отказов'!AE1109)=1,'История отказов'!F1109="ЭЦН"),1105,""))</f>
        <v/>
      </c>
      <c r="DE1106">
        <f>IF('История отказов'!AE1109="","",IF(AND(COUNTIF($CV$2:$CV$3,'История отказов'!AE1109)=0,COUNTIFS('История отказов'!$F$5:F1109,"ЭВН",'История отказов'!$AE$5:AE1109,'История отказов'!AE1109)=1,'История отказов'!F1109="ЭВН"),1105,""))</f>
        <v/>
      </c>
      <c r="DF1106">
        <f>IF('История отказов'!AE1109="","",IF(AND(COUNTIF($CX$2:$CX$2,'История отказов'!AE1109)=0,COUNTIFS('История отказов'!$F$5:F1109,"ШВН",'История отказов'!$AE$5:AE1109,'История отказов'!AE1109)=1,'История отказов'!F1109="ШВН"),1105,""))</f>
        <v/>
      </c>
      <c r="DG1106">
        <f>IF('История отказов'!AE1109="","",IF(AND(COUNTIF($CW$2:$CW$2,'История отказов'!AE1109)=0,COUNTIFS('История отказов'!$F$5:F1109,"НПУ-ВД",'История отказов'!$AE$5:AE1109,'История отказов'!AE1109)=1,'История отказов'!F1109="НПУ-ВД"),1105,""))</f>
        <v/>
      </c>
      <c r="DH1106">
        <f>IF('История отказов'!AE1109="","",IF(AND(COUNTIF($CY$2:$CY$6,'История отказов'!AE1109)=0,COUNTIF('История отказов'!$AE$5:AE1109,'История отказов'!AE1109)=1),1105,""))</f>
        <v/>
      </c>
      <c r="DI1106">
        <f>IF('История отказов'!AK1109="","",IF(AND(COUNTIF($CL$2:$CL$3,'История отказов'!AK1109)=0,COUNTIF('История отказов'!$AK$5:AK1109,'История отказов'!AK1109)=1),1105,""))</f>
        <v/>
      </c>
      <c r="DJ1106">
        <f>IF('История отказов'!AU1109="","",IF(AND(COUNTIF($CP$2:$CP$3,'История отказов'!AU1109)=0,COUNTIF('История отказов'!$AU$5:AU1109,'История отказов'!AU1109)=1),1105,""))</f>
        <v/>
      </c>
      <c r="DK1106">
        <f>IF('История отказов'!AY1109="","",IF(AND(COUNTIF($CR$2:$CR$2,'История отказов'!AY1109)=0,COUNTIF('История отказов'!$AY$5:AY1109,'История отказов'!AY1109)=1),1105,""))</f>
        <v/>
      </c>
      <c r="DL1106">
        <f>IF(DB1106="","",IF(AND(COUNTIF($DA$2:$DA$47,DB1106)=0,COUNTIF($DB$2:DB1106,DB1106)=1),1105,""))</f>
        <v/>
      </c>
    </row>
    <row r="1107">
      <c r="A1107" s="74" t="n"/>
      <c r="B1107" s="75" t="n"/>
      <c r="C1107" s="76" t="n"/>
      <c r="DB1107">
        <f>IF('История отказов'!AH1110="","",'История отказов'!AH1110)</f>
        <v/>
      </c>
      <c r="DC1107">
        <f>IF('История отказов'!AE1110="","",IF(AND(COUNTIF($CT$2:$CT$2,'История отказов'!AE1110)=0,COUNTIFS('История отказов'!$F$5:F1110,"ШГН",'История отказов'!$AE$5:AE1110,'История отказов'!AE1110)=1,'История отказов'!F1110="ШГН"),1106,""))</f>
        <v/>
      </c>
      <c r="DD1107">
        <f>IF('История отказов'!AE1110="","",IF(AND(COUNTIF($CU$2:$CU$3,'История отказов'!AE1110)=0,COUNTIFS('История отказов'!$F$5:F1110,"ЭЦН",'История отказов'!$AE$5:AE1110,'История отказов'!AE1110)=1,'История отказов'!F1110="ЭЦН"),1106,""))</f>
        <v/>
      </c>
      <c r="DE1107">
        <f>IF('История отказов'!AE1110="","",IF(AND(COUNTIF($CV$2:$CV$3,'История отказов'!AE1110)=0,COUNTIFS('История отказов'!$F$5:F1110,"ЭВН",'История отказов'!$AE$5:AE1110,'История отказов'!AE1110)=1,'История отказов'!F1110="ЭВН"),1106,""))</f>
        <v/>
      </c>
      <c r="DF1107">
        <f>IF('История отказов'!AE1110="","",IF(AND(COUNTIF($CX$2:$CX$2,'История отказов'!AE1110)=0,COUNTIFS('История отказов'!$F$5:F1110,"ШВН",'История отказов'!$AE$5:AE1110,'История отказов'!AE1110)=1,'История отказов'!F1110="ШВН"),1106,""))</f>
        <v/>
      </c>
      <c r="DG1107">
        <f>IF('История отказов'!AE1110="","",IF(AND(COUNTIF($CW$2:$CW$2,'История отказов'!AE1110)=0,COUNTIFS('История отказов'!$F$5:F1110,"НПУ-ВД",'История отказов'!$AE$5:AE1110,'История отказов'!AE1110)=1,'История отказов'!F1110="НПУ-ВД"),1106,""))</f>
        <v/>
      </c>
      <c r="DH1107">
        <f>IF('История отказов'!AE1110="","",IF(AND(COUNTIF($CY$2:$CY$6,'История отказов'!AE1110)=0,COUNTIF('История отказов'!$AE$5:AE1110,'История отказов'!AE1110)=1),1106,""))</f>
        <v/>
      </c>
      <c r="DI1107">
        <f>IF('История отказов'!AK1110="","",IF(AND(COUNTIF($CL$2:$CL$3,'История отказов'!AK1110)=0,COUNTIF('История отказов'!$AK$5:AK1110,'История отказов'!AK1110)=1),1106,""))</f>
        <v/>
      </c>
      <c r="DJ1107">
        <f>IF('История отказов'!AU1110="","",IF(AND(COUNTIF($CP$2:$CP$3,'История отказов'!AU1110)=0,COUNTIF('История отказов'!$AU$5:AU1110,'История отказов'!AU1110)=1),1106,""))</f>
        <v/>
      </c>
      <c r="DK1107">
        <f>IF('История отказов'!AY1110="","",IF(AND(COUNTIF($CR$2:$CR$2,'История отказов'!AY1110)=0,COUNTIF('История отказов'!$AY$5:AY1110,'История отказов'!AY1110)=1),1106,""))</f>
        <v/>
      </c>
      <c r="DL1107">
        <f>IF(DB1107="","",IF(AND(COUNTIF($DA$2:$DA$47,DB1107)=0,COUNTIF($DB$2:DB1107,DB1107)=1),1106,""))</f>
        <v/>
      </c>
    </row>
    <row r="1108">
      <c r="A1108" s="74" t="n"/>
      <c r="B1108" s="75" t="n"/>
      <c r="C1108" s="76" t="n"/>
      <c r="DB1108">
        <f>IF('История отказов'!AH1111="","",'История отказов'!AH1111)</f>
        <v/>
      </c>
      <c r="DC1108">
        <f>IF('История отказов'!AE1111="","",IF(AND(COUNTIF($CT$2:$CT$2,'История отказов'!AE1111)=0,COUNTIFS('История отказов'!$F$5:F1111,"ШГН",'История отказов'!$AE$5:AE1111,'История отказов'!AE1111)=1,'История отказов'!F1111="ШГН"),1107,""))</f>
        <v/>
      </c>
      <c r="DD1108">
        <f>IF('История отказов'!AE1111="","",IF(AND(COUNTIF($CU$2:$CU$3,'История отказов'!AE1111)=0,COUNTIFS('История отказов'!$F$5:F1111,"ЭЦН",'История отказов'!$AE$5:AE1111,'История отказов'!AE1111)=1,'История отказов'!F1111="ЭЦН"),1107,""))</f>
        <v/>
      </c>
      <c r="DE1108">
        <f>IF('История отказов'!AE1111="","",IF(AND(COUNTIF($CV$2:$CV$3,'История отказов'!AE1111)=0,COUNTIFS('История отказов'!$F$5:F1111,"ЭВН",'История отказов'!$AE$5:AE1111,'История отказов'!AE1111)=1,'История отказов'!F1111="ЭВН"),1107,""))</f>
        <v/>
      </c>
      <c r="DF1108">
        <f>IF('История отказов'!AE1111="","",IF(AND(COUNTIF($CX$2:$CX$2,'История отказов'!AE1111)=0,COUNTIFS('История отказов'!$F$5:F1111,"ШВН",'История отказов'!$AE$5:AE1111,'История отказов'!AE1111)=1,'История отказов'!F1111="ШВН"),1107,""))</f>
        <v/>
      </c>
      <c r="DG1108">
        <f>IF('История отказов'!AE1111="","",IF(AND(COUNTIF($CW$2:$CW$2,'История отказов'!AE1111)=0,COUNTIFS('История отказов'!$F$5:F1111,"НПУ-ВД",'История отказов'!$AE$5:AE1111,'История отказов'!AE1111)=1,'История отказов'!F1111="НПУ-ВД"),1107,""))</f>
        <v/>
      </c>
      <c r="DH1108">
        <f>IF('История отказов'!AE1111="","",IF(AND(COUNTIF($CY$2:$CY$6,'История отказов'!AE1111)=0,COUNTIF('История отказов'!$AE$5:AE1111,'История отказов'!AE1111)=1),1107,""))</f>
        <v/>
      </c>
      <c r="DI1108">
        <f>IF('История отказов'!AK1111="","",IF(AND(COUNTIF($CL$2:$CL$3,'История отказов'!AK1111)=0,COUNTIF('История отказов'!$AK$5:AK1111,'История отказов'!AK1111)=1),1107,""))</f>
        <v/>
      </c>
      <c r="DJ1108">
        <f>IF('История отказов'!AU1111="","",IF(AND(COUNTIF($CP$2:$CP$3,'История отказов'!AU1111)=0,COUNTIF('История отказов'!$AU$5:AU1111,'История отказов'!AU1111)=1),1107,""))</f>
        <v/>
      </c>
      <c r="DK1108">
        <f>IF('История отказов'!AY1111="","",IF(AND(COUNTIF($CR$2:$CR$2,'История отказов'!AY1111)=0,COUNTIF('История отказов'!$AY$5:AY1111,'История отказов'!AY1111)=1),1107,""))</f>
        <v/>
      </c>
      <c r="DL1108">
        <f>IF(DB1108="","",IF(AND(COUNTIF($DA$2:$DA$47,DB1108)=0,COUNTIF($DB$2:DB1108,DB1108)=1),1107,""))</f>
        <v/>
      </c>
    </row>
    <row r="1109">
      <c r="A1109" s="74" t="n"/>
      <c r="B1109" s="75" t="n"/>
      <c r="C1109" s="76" t="n"/>
      <c r="DB1109">
        <f>IF('История отказов'!AH1112="","",'История отказов'!AH1112)</f>
        <v/>
      </c>
      <c r="DC1109">
        <f>IF('История отказов'!AE1112="","",IF(AND(COUNTIF($CT$2:$CT$2,'История отказов'!AE1112)=0,COUNTIFS('История отказов'!$F$5:F1112,"ШГН",'История отказов'!$AE$5:AE1112,'История отказов'!AE1112)=1,'История отказов'!F1112="ШГН"),1108,""))</f>
        <v/>
      </c>
      <c r="DD1109">
        <f>IF('История отказов'!AE1112="","",IF(AND(COUNTIF($CU$2:$CU$3,'История отказов'!AE1112)=0,COUNTIFS('История отказов'!$F$5:F1112,"ЭЦН",'История отказов'!$AE$5:AE1112,'История отказов'!AE1112)=1,'История отказов'!F1112="ЭЦН"),1108,""))</f>
        <v/>
      </c>
      <c r="DE1109">
        <f>IF('История отказов'!AE1112="","",IF(AND(COUNTIF($CV$2:$CV$3,'История отказов'!AE1112)=0,COUNTIFS('История отказов'!$F$5:F1112,"ЭВН",'История отказов'!$AE$5:AE1112,'История отказов'!AE1112)=1,'История отказов'!F1112="ЭВН"),1108,""))</f>
        <v/>
      </c>
      <c r="DF1109">
        <f>IF('История отказов'!AE1112="","",IF(AND(COUNTIF($CX$2:$CX$2,'История отказов'!AE1112)=0,COUNTIFS('История отказов'!$F$5:F1112,"ШВН",'История отказов'!$AE$5:AE1112,'История отказов'!AE1112)=1,'История отказов'!F1112="ШВН"),1108,""))</f>
        <v/>
      </c>
      <c r="DG1109">
        <f>IF('История отказов'!AE1112="","",IF(AND(COUNTIF($CW$2:$CW$2,'История отказов'!AE1112)=0,COUNTIFS('История отказов'!$F$5:F1112,"НПУ-ВД",'История отказов'!$AE$5:AE1112,'История отказов'!AE1112)=1,'История отказов'!F1112="НПУ-ВД"),1108,""))</f>
        <v/>
      </c>
      <c r="DH1109">
        <f>IF('История отказов'!AE1112="","",IF(AND(COUNTIF($CY$2:$CY$6,'История отказов'!AE1112)=0,COUNTIF('История отказов'!$AE$5:AE1112,'История отказов'!AE1112)=1),1108,""))</f>
        <v/>
      </c>
      <c r="DI1109">
        <f>IF('История отказов'!AK1112="","",IF(AND(COUNTIF($CL$2:$CL$3,'История отказов'!AK1112)=0,COUNTIF('История отказов'!$AK$5:AK1112,'История отказов'!AK1112)=1),1108,""))</f>
        <v/>
      </c>
      <c r="DJ1109">
        <f>IF('История отказов'!AU1112="","",IF(AND(COUNTIF($CP$2:$CP$3,'История отказов'!AU1112)=0,COUNTIF('История отказов'!$AU$5:AU1112,'История отказов'!AU1112)=1),1108,""))</f>
        <v/>
      </c>
      <c r="DK1109">
        <f>IF('История отказов'!AY1112="","",IF(AND(COUNTIF($CR$2:$CR$2,'История отказов'!AY1112)=0,COUNTIF('История отказов'!$AY$5:AY1112,'История отказов'!AY1112)=1),1108,""))</f>
        <v/>
      </c>
      <c r="DL1109">
        <f>IF(DB1109="","",IF(AND(COUNTIF($DA$2:$DA$47,DB1109)=0,COUNTIF($DB$2:DB1109,DB1109)=1),1108,""))</f>
        <v/>
      </c>
    </row>
    <row r="1110">
      <c r="A1110" s="74" t="n"/>
      <c r="B1110" s="75" t="n"/>
      <c r="C1110" s="76" t="n"/>
      <c r="DB1110">
        <f>IF('История отказов'!AH1113="","",'История отказов'!AH1113)</f>
        <v/>
      </c>
      <c r="DC1110">
        <f>IF('История отказов'!AE1113="","",IF(AND(COUNTIF($CT$2:$CT$2,'История отказов'!AE1113)=0,COUNTIFS('История отказов'!$F$5:F1113,"ШГН",'История отказов'!$AE$5:AE1113,'История отказов'!AE1113)=1,'История отказов'!F1113="ШГН"),1109,""))</f>
        <v/>
      </c>
      <c r="DD1110">
        <f>IF('История отказов'!AE1113="","",IF(AND(COUNTIF($CU$2:$CU$3,'История отказов'!AE1113)=0,COUNTIFS('История отказов'!$F$5:F1113,"ЭЦН",'История отказов'!$AE$5:AE1113,'История отказов'!AE1113)=1,'История отказов'!F1113="ЭЦН"),1109,""))</f>
        <v/>
      </c>
      <c r="DE1110">
        <f>IF('История отказов'!AE1113="","",IF(AND(COUNTIF($CV$2:$CV$3,'История отказов'!AE1113)=0,COUNTIFS('История отказов'!$F$5:F1113,"ЭВН",'История отказов'!$AE$5:AE1113,'История отказов'!AE1113)=1,'История отказов'!F1113="ЭВН"),1109,""))</f>
        <v/>
      </c>
      <c r="DF1110">
        <f>IF('История отказов'!AE1113="","",IF(AND(COUNTIF($CX$2:$CX$2,'История отказов'!AE1113)=0,COUNTIFS('История отказов'!$F$5:F1113,"ШВН",'История отказов'!$AE$5:AE1113,'История отказов'!AE1113)=1,'История отказов'!F1113="ШВН"),1109,""))</f>
        <v/>
      </c>
      <c r="DG1110">
        <f>IF('История отказов'!AE1113="","",IF(AND(COUNTIF($CW$2:$CW$2,'История отказов'!AE1113)=0,COUNTIFS('История отказов'!$F$5:F1113,"НПУ-ВД",'История отказов'!$AE$5:AE1113,'История отказов'!AE1113)=1,'История отказов'!F1113="НПУ-ВД"),1109,""))</f>
        <v/>
      </c>
      <c r="DH1110">
        <f>IF('История отказов'!AE1113="","",IF(AND(COUNTIF($CY$2:$CY$6,'История отказов'!AE1113)=0,COUNTIF('История отказов'!$AE$5:AE1113,'История отказов'!AE1113)=1),1109,""))</f>
        <v/>
      </c>
      <c r="DI1110">
        <f>IF('История отказов'!AK1113="","",IF(AND(COUNTIF($CL$2:$CL$3,'История отказов'!AK1113)=0,COUNTIF('История отказов'!$AK$5:AK1113,'История отказов'!AK1113)=1),1109,""))</f>
        <v/>
      </c>
      <c r="DJ1110">
        <f>IF('История отказов'!AU1113="","",IF(AND(COUNTIF($CP$2:$CP$3,'История отказов'!AU1113)=0,COUNTIF('История отказов'!$AU$5:AU1113,'История отказов'!AU1113)=1),1109,""))</f>
        <v/>
      </c>
      <c r="DK1110">
        <f>IF('История отказов'!AY1113="","",IF(AND(COUNTIF($CR$2:$CR$2,'История отказов'!AY1113)=0,COUNTIF('История отказов'!$AY$5:AY1113,'История отказов'!AY1113)=1),1109,""))</f>
        <v/>
      </c>
      <c r="DL1110">
        <f>IF(DB1110="","",IF(AND(COUNTIF($DA$2:$DA$47,DB1110)=0,COUNTIF($DB$2:DB1110,DB1110)=1),1109,""))</f>
        <v/>
      </c>
    </row>
    <row r="1111">
      <c r="A1111" s="74" t="n"/>
      <c r="B1111" s="75" t="n"/>
      <c r="C1111" s="76" t="n"/>
      <c r="DB1111">
        <f>IF('История отказов'!AH1114="","",'История отказов'!AH1114)</f>
        <v/>
      </c>
      <c r="DC1111">
        <f>IF('История отказов'!AE1114="","",IF(AND(COUNTIF($CT$2:$CT$2,'История отказов'!AE1114)=0,COUNTIFS('История отказов'!$F$5:F1114,"ШГН",'История отказов'!$AE$5:AE1114,'История отказов'!AE1114)=1,'История отказов'!F1114="ШГН"),1110,""))</f>
        <v/>
      </c>
      <c r="DD1111">
        <f>IF('История отказов'!AE1114="","",IF(AND(COUNTIF($CU$2:$CU$3,'История отказов'!AE1114)=0,COUNTIFS('История отказов'!$F$5:F1114,"ЭЦН",'История отказов'!$AE$5:AE1114,'История отказов'!AE1114)=1,'История отказов'!F1114="ЭЦН"),1110,""))</f>
        <v/>
      </c>
      <c r="DE1111">
        <f>IF('История отказов'!AE1114="","",IF(AND(COUNTIF($CV$2:$CV$3,'История отказов'!AE1114)=0,COUNTIFS('История отказов'!$F$5:F1114,"ЭВН",'История отказов'!$AE$5:AE1114,'История отказов'!AE1114)=1,'История отказов'!F1114="ЭВН"),1110,""))</f>
        <v/>
      </c>
      <c r="DF1111">
        <f>IF('История отказов'!AE1114="","",IF(AND(COUNTIF($CX$2:$CX$2,'История отказов'!AE1114)=0,COUNTIFS('История отказов'!$F$5:F1114,"ШВН",'История отказов'!$AE$5:AE1114,'История отказов'!AE1114)=1,'История отказов'!F1114="ШВН"),1110,""))</f>
        <v/>
      </c>
      <c r="DG1111">
        <f>IF('История отказов'!AE1114="","",IF(AND(COUNTIF($CW$2:$CW$2,'История отказов'!AE1114)=0,COUNTIFS('История отказов'!$F$5:F1114,"НПУ-ВД",'История отказов'!$AE$5:AE1114,'История отказов'!AE1114)=1,'История отказов'!F1114="НПУ-ВД"),1110,""))</f>
        <v/>
      </c>
      <c r="DH1111">
        <f>IF('История отказов'!AE1114="","",IF(AND(COUNTIF($CY$2:$CY$6,'История отказов'!AE1114)=0,COUNTIF('История отказов'!$AE$5:AE1114,'История отказов'!AE1114)=1),1110,""))</f>
        <v/>
      </c>
      <c r="DI1111">
        <f>IF('История отказов'!AK1114="","",IF(AND(COUNTIF($CL$2:$CL$3,'История отказов'!AK1114)=0,COUNTIF('История отказов'!$AK$5:AK1114,'История отказов'!AK1114)=1),1110,""))</f>
        <v/>
      </c>
      <c r="DJ1111">
        <f>IF('История отказов'!AU1114="","",IF(AND(COUNTIF($CP$2:$CP$3,'История отказов'!AU1114)=0,COUNTIF('История отказов'!$AU$5:AU1114,'История отказов'!AU1114)=1),1110,""))</f>
        <v/>
      </c>
      <c r="DK1111">
        <f>IF('История отказов'!AY1114="","",IF(AND(COUNTIF($CR$2:$CR$2,'История отказов'!AY1114)=0,COUNTIF('История отказов'!$AY$5:AY1114,'История отказов'!AY1114)=1),1110,""))</f>
        <v/>
      </c>
      <c r="DL1111">
        <f>IF(DB1111="","",IF(AND(COUNTIF($DA$2:$DA$47,DB1111)=0,COUNTIF($DB$2:DB1111,DB1111)=1),1110,""))</f>
        <v/>
      </c>
    </row>
    <row r="1112">
      <c r="A1112" s="74" t="n"/>
      <c r="B1112" s="75" t="n"/>
      <c r="C1112" s="76" t="n"/>
      <c r="DB1112">
        <f>IF('История отказов'!AH1115="","",'История отказов'!AH1115)</f>
        <v/>
      </c>
      <c r="DC1112">
        <f>IF('История отказов'!AE1115="","",IF(AND(COUNTIF($CT$2:$CT$2,'История отказов'!AE1115)=0,COUNTIFS('История отказов'!$F$5:F1115,"ШГН",'История отказов'!$AE$5:AE1115,'История отказов'!AE1115)=1,'История отказов'!F1115="ШГН"),1111,""))</f>
        <v/>
      </c>
      <c r="DD1112">
        <f>IF('История отказов'!AE1115="","",IF(AND(COUNTIF($CU$2:$CU$3,'История отказов'!AE1115)=0,COUNTIFS('История отказов'!$F$5:F1115,"ЭЦН",'История отказов'!$AE$5:AE1115,'История отказов'!AE1115)=1,'История отказов'!F1115="ЭЦН"),1111,""))</f>
        <v/>
      </c>
      <c r="DE1112">
        <f>IF('История отказов'!AE1115="","",IF(AND(COUNTIF($CV$2:$CV$3,'История отказов'!AE1115)=0,COUNTIFS('История отказов'!$F$5:F1115,"ЭВН",'История отказов'!$AE$5:AE1115,'История отказов'!AE1115)=1,'История отказов'!F1115="ЭВН"),1111,""))</f>
        <v/>
      </c>
      <c r="DF1112">
        <f>IF('История отказов'!AE1115="","",IF(AND(COUNTIF($CX$2:$CX$2,'История отказов'!AE1115)=0,COUNTIFS('История отказов'!$F$5:F1115,"ШВН",'История отказов'!$AE$5:AE1115,'История отказов'!AE1115)=1,'История отказов'!F1115="ШВН"),1111,""))</f>
        <v/>
      </c>
      <c r="DG1112">
        <f>IF('История отказов'!AE1115="","",IF(AND(COUNTIF($CW$2:$CW$2,'История отказов'!AE1115)=0,COUNTIFS('История отказов'!$F$5:F1115,"НПУ-ВД",'История отказов'!$AE$5:AE1115,'История отказов'!AE1115)=1,'История отказов'!F1115="НПУ-ВД"),1111,""))</f>
        <v/>
      </c>
      <c r="DH1112">
        <f>IF('История отказов'!AE1115="","",IF(AND(COUNTIF($CY$2:$CY$6,'История отказов'!AE1115)=0,COUNTIF('История отказов'!$AE$5:AE1115,'История отказов'!AE1115)=1),1111,""))</f>
        <v/>
      </c>
      <c r="DI1112">
        <f>IF('История отказов'!AK1115="","",IF(AND(COUNTIF($CL$2:$CL$3,'История отказов'!AK1115)=0,COUNTIF('История отказов'!$AK$5:AK1115,'История отказов'!AK1115)=1),1111,""))</f>
        <v/>
      </c>
      <c r="DJ1112">
        <f>IF('История отказов'!AU1115="","",IF(AND(COUNTIF($CP$2:$CP$3,'История отказов'!AU1115)=0,COUNTIF('История отказов'!$AU$5:AU1115,'История отказов'!AU1115)=1),1111,""))</f>
        <v/>
      </c>
      <c r="DK1112">
        <f>IF('История отказов'!AY1115="","",IF(AND(COUNTIF($CR$2:$CR$2,'История отказов'!AY1115)=0,COUNTIF('История отказов'!$AY$5:AY1115,'История отказов'!AY1115)=1),1111,""))</f>
        <v/>
      </c>
      <c r="DL1112">
        <f>IF(DB1112="","",IF(AND(COUNTIF($DA$2:$DA$47,DB1112)=0,COUNTIF($DB$2:DB1112,DB1112)=1),1111,""))</f>
        <v/>
      </c>
    </row>
    <row r="1113">
      <c r="A1113" s="74" t="n"/>
      <c r="B1113" s="75" t="n"/>
      <c r="C1113" s="76" t="n"/>
      <c r="DB1113">
        <f>IF('История отказов'!AH1116="","",'История отказов'!AH1116)</f>
        <v/>
      </c>
      <c r="DC1113">
        <f>IF('История отказов'!AE1116="","",IF(AND(COUNTIF($CT$2:$CT$2,'История отказов'!AE1116)=0,COUNTIFS('История отказов'!$F$5:F1116,"ШГН",'История отказов'!$AE$5:AE1116,'История отказов'!AE1116)=1,'История отказов'!F1116="ШГН"),1112,""))</f>
        <v/>
      </c>
      <c r="DD1113">
        <f>IF('История отказов'!AE1116="","",IF(AND(COUNTIF($CU$2:$CU$3,'История отказов'!AE1116)=0,COUNTIFS('История отказов'!$F$5:F1116,"ЭЦН",'История отказов'!$AE$5:AE1116,'История отказов'!AE1116)=1,'История отказов'!F1116="ЭЦН"),1112,""))</f>
        <v/>
      </c>
      <c r="DE1113">
        <f>IF('История отказов'!AE1116="","",IF(AND(COUNTIF($CV$2:$CV$3,'История отказов'!AE1116)=0,COUNTIFS('История отказов'!$F$5:F1116,"ЭВН",'История отказов'!$AE$5:AE1116,'История отказов'!AE1116)=1,'История отказов'!F1116="ЭВН"),1112,""))</f>
        <v/>
      </c>
      <c r="DF1113">
        <f>IF('История отказов'!AE1116="","",IF(AND(COUNTIF($CX$2:$CX$2,'История отказов'!AE1116)=0,COUNTIFS('История отказов'!$F$5:F1116,"ШВН",'История отказов'!$AE$5:AE1116,'История отказов'!AE1116)=1,'История отказов'!F1116="ШВН"),1112,""))</f>
        <v/>
      </c>
      <c r="DG1113">
        <f>IF('История отказов'!AE1116="","",IF(AND(COUNTIF($CW$2:$CW$2,'История отказов'!AE1116)=0,COUNTIFS('История отказов'!$F$5:F1116,"НПУ-ВД",'История отказов'!$AE$5:AE1116,'История отказов'!AE1116)=1,'История отказов'!F1116="НПУ-ВД"),1112,""))</f>
        <v/>
      </c>
      <c r="DH1113">
        <f>IF('История отказов'!AE1116="","",IF(AND(COUNTIF($CY$2:$CY$6,'История отказов'!AE1116)=0,COUNTIF('История отказов'!$AE$5:AE1116,'История отказов'!AE1116)=1),1112,""))</f>
        <v/>
      </c>
      <c r="DI1113">
        <f>IF('История отказов'!AK1116="","",IF(AND(COUNTIF($CL$2:$CL$3,'История отказов'!AK1116)=0,COUNTIF('История отказов'!$AK$5:AK1116,'История отказов'!AK1116)=1),1112,""))</f>
        <v/>
      </c>
      <c r="DJ1113">
        <f>IF('История отказов'!AU1116="","",IF(AND(COUNTIF($CP$2:$CP$3,'История отказов'!AU1116)=0,COUNTIF('История отказов'!$AU$5:AU1116,'История отказов'!AU1116)=1),1112,""))</f>
        <v/>
      </c>
      <c r="DK1113">
        <f>IF('История отказов'!AY1116="","",IF(AND(COUNTIF($CR$2:$CR$2,'История отказов'!AY1116)=0,COUNTIF('История отказов'!$AY$5:AY1116,'История отказов'!AY1116)=1),1112,""))</f>
        <v/>
      </c>
      <c r="DL1113">
        <f>IF(DB1113="","",IF(AND(COUNTIF($DA$2:$DA$47,DB1113)=0,COUNTIF($DB$2:DB1113,DB1113)=1),1112,""))</f>
        <v/>
      </c>
    </row>
    <row r="1114">
      <c r="A1114" s="74" t="n"/>
      <c r="B1114" s="75" t="n"/>
      <c r="C1114" s="76" t="n"/>
      <c r="DB1114">
        <f>IF('История отказов'!AH1117="","",'История отказов'!AH1117)</f>
        <v/>
      </c>
      <c r="DC1114">
        <f>IF('История отказов'!AE1117="","",IF(AND(COUNTIF($CT$2:$CT$2,'История отказов'!AE1117)=0,COUNTIFS('История отказов'!$F$5:F1117,"ШГН",'История отказов'!$AE$5:AE1117,'История отказов'!AE1117)=1,'История отказов'!F1117="ШГН"),1113,""))</f>
        <v/>
      </c>
      <c r="DD1114">
        <f>IF('История отказов'!AE1117="","",IF(AND(COUNTIF($CU$2:$CU$3,'История отказов'!AE1117)=0,COUNTIFS('История отказов'!$F$5:F1117,"ЭЦН",'История отказов'!$AE$5:AE1117,'История отказов'!AE1117)=1,'История отказов'!F1117="ЭЦН"),1113,""))</f>
        <v/>
      </c>
      <c r="DE1114">
        <f>IF('История отказов'!AE1117="","",IF(AND(COUNTIF($CV$2:$CV$3,'История отказов'!AE1117)=0,COUNTIFS('История отказов'!$F$5:F1117,"ЭВН",'История отказов'!$AE$5:AE1117,'История отказов'!AE1117)=1,'История отказов'!F1117="ЭВН"),1113,""))</f>
        <v/>
      </c>
      <c r="DF1114">
        <f>IF('История отказов'!AE1117="","",IF(AND(COUNTIF($CX$2:$CX$2,'История отказов'!AE1117)=0,COUNTIFS('История отказов'!$F$5:F1117,"ШВН",'История отказов'!$AE$5:AE1117,'История отказов'!AE1117)=1,'История отказов'!F1117="ШВН"),1113,""))</f>
        <v/>
      </c>
      <c r="DG1114">
        <f>IF('История отказов'!AE1117="","",IF(AND(COUNTIF($CW$2:$CW$2,'История отказов'!AE1117)=0,COUNTIFS('История отказов'!$F$5:F1117,"НПУ-ВД",'История отказов'!$AE$5:AE1117,'История отказов'!AE1117)=1,'История отказов'!F1117="НПУ-ВД"),1113,""))</f>
        <v/>
      </c>
      <c r="DH1114">
        <f>IF('История отказов'!AE1117="","",IF(AND(COUNTIF($CY$2:$CY$6,'История отказов'!AE1117)=0,COUNTIF('История отказов'!$AE$5:AE1117,'История отказов'!AE1117)=1),1113,""))</f>
        <v/>
      </c>
      <c r="DI1114">
        <f>IF('История отказов'!AK1117="","",IF(AND(COUNTIF($CL$2:$CL$3,'История отказов'!AK1117)=0,COUNTIF('История отказов'!$AK$5:AK1117,'История отказов'!AK1117)=1),1113,""))</f>
        <v/>
      </c>
      <c r="DJ1114">
        <f>IF('История отказов'!AU1117="","",IF(AND(COUNTIF($CP$2:$CP$3,'История отказов'!AU1117)=0,COUNTIF('История отказов'!$AU$5:AU1117,'История отказов'!AU1117)=1),1113,""))</f>
        <v/>
      </c>
      <c r="DK1114">
        <f>IF('История отказов'!AY1117="","",IF(AND(COUNTIF($CR$2:$CR$2,'История отказов'!AY1117)=0,COUNTIF('История отказов'!$AY$5:AY1117,'История отказов'!AY1117)=1),1113,""))</f>
        <v/>
      </c>
      <c r="DL1114">
        <f>IF(DB1114="","",IF(AND(COUNTIF($DA$2:$DA$47,DB1114)=0,COUNTIF($DB$2:DB1114,DB1114)=1),1113,""))</f>
        <v/>
      </c>
    </row>
    <row r="1115">
      <c r="A1115" s="74" t="n"/>
      <c r="B1115" s="75" t="n"/>
      <c r="C1115" s="76" t="n"/>
      <c r="DB1115">
        <f>IF('История отказов'!AH1118="","",'История отказов'!AH1118)</f>
        <v/>
      </c>
      <c r="DC1115">
        <f>IF('История отказов'!AE1118="","",IF(AND(COUNTIF($CT$2:$CT$2,'История отказов'!AE1118)=0,COUNTIFS('История отказов'!$F$5:F1118,"ШГН",'История отказов'!$AE$5:AE1118,'История отказов'!AE1118)=1,'История отказов'!F1118="ШГН"),1114,""))</f>
        <v/>
      </c>
      <c r="DD1115">
        <f>IF('История отказов'!AE1118="","",IF(AND(COUNTIF($CU$2:$CU$3,'История отказов'!AE1118)=0,COUNTIFS('История отказов'!$F$5:F1118,"ЭЦН",'История отказов'!$AE$5:AE1118,'История отказов'!AE1118)=1,'История отказов'!F1118="ЭЦН"),1114,""))</f>
        <v/>
      </c>
      <c r="DE1115">
        <f>IF('История отказов'!AE1118="","",IF(AND(COUNTIF($CV$2:$CV$3,'История отказов'!AE1118)=0,COUNTIFS('История отказов'!$F$5:F1118,"ЭВН",'История отказов'!$AE$5:AE1118,'История отказов'!AE1118)=1,'История отказов'!F1118="ЭВН"),1114,""))</f>
        <v/>
      </c>
      <c r="DF1115">
        <f>IF('История отказов'!AE1118="","",IF(AND(COUNTIF($CX$2:$CX$2,'История отказов'!AE1118)=0,COUNTIFS('История отказов'!$F$5:F1118,"ШВН",'История отказов'!$AE$5:AE1118,'История отказов'!AE1118)=1,'История отказов'!F1118="ШВН"),1114,""))</f>
        <v/>
      </c>
      <c r="DG1115">
        <f>IF('История отказов'!AE1118="","",IF(AND(COUNTIF($CW$2:$CW$2,'История отказов'!AE1118)=0,COUNTIFS('История отказов'!$F$5:F1118,"НПУ-ВД",'История отказов'!$AE$5:AE1118,'История отказов'!AE1118)=1,'История отказов'!F1118="НПУ-ВД"),1114,""))</f>
        <v/>
      </c>
      <c r="DH1115">
        <f>IF('История отказов'!AE1118="","",IF(AND(COUNTIF($CY$2:$CY$6,'История отказов'!AE1118)=0,COUNTIF('История отказов'!$AE$5:AE1118,'История отказов'!AE1118)=1),1114,""))</f>
        <v/>
      </c>
      <c r="DI1115">
        <f>IF('История отказов'!AK1118="","",IF(AND(COUNTIF($CL$2:$CL$3,'История отказов'!AK1118)=0,COUNTIF('История отказов'!$AK$5:AK1118,'История отказов'!AK1118)=1),1114,""))</f>
        <v/>
      </c>
      <c r="DJ1115">
        <f>IF('История отказов'!AU1118="","",IF(AND(COUNTIF($CP$2:$CP$3,'История отказов'!AU1118)=0,COUNTIF('История отказов'!$AU$5:AU1118,'История отказов'!AU1118)=1),1114,""))</f>
        <v/>
      </c>
      <c r="DK1115">
        <f>IF('История отказов'!AY1118="","",IF(AND(COUNTIF($CR$2:$CR$2,'История отказов'!AY1118)=0,COUNTIF('История отказов'!$AY$5:AY1118,'История отказов'!AY1118)=1),1114,""))</f>
        <v/>
      </c>
      <c r="DL1115">
        <f>IF(DB1115="","",IF(AND(COUNTIF($DA$2:$DA$47,DB1115)=0,COUNTIF($DB$2:DB1115,DB1115)=1),1114,""))</f>
        <v/>
      </c>
    </row>
    <row r="1116">
      <c r="A1116" s="74" t="n"/>
      <c r="B1116" s="75" t="n"/>
      <c r="C1116" s="76" t="n"/>
      <c r="DB1116">
        <f>IF('История отказов'!AH1119="","",'История отказов'!AH1119)</f>
        <v/>
      </c>
      <c r="DC1116">
        <f>IF('История отказов'!AE1119="","",IF(AND(COUNTIF($CT$2:$CT$2,'История отказов'!AE1119)=0,COUNTIFS('История отказов'!$F$5:F1119,"ШГН",'История отказов'!$AE$5:AE1119,'История отказов'!AE1119)=1,'История отказов'!F1119="ШГН"),1115,""))</f>
        <v/>
      </c>
      <c r="DD1116">
        <f>IF('История отказов'!AE1119="","",IF(AND(COUNTIF($CU$2:$CU$3,'История отказов'!AE1119)=0,COUNTIFS('История отказов'!$F$5:F1119,"ЭЦН",'История отказов'!$AE$5:AE1119,'История отказов'!AE1119)=1,'История отказов'!F1119="ЭЦН"),1115,""))</f>
        <v/>
      </c>
      <c r="DE1116">
        <f>IF('История отказов'!AE1119="","",IF(AND(COUNTIF($CV$2:$CV$3,'История отказов'!AE1119)=0,COUNTIFS('История отказов'!$F$5:F1119,"ЭВН",'История отказов'!$AE$5:AE1119,'История отказов'!AE1119)=1,'История отказов'!F1119="ЭВН"),1115,""))</f>
        <v/>
      </c>
      <c r="DF1116">
        <f>IF('История отказов'!AE1119="","",IF(AND(COUNTIF($CX$2:$CX$2,'История отказов'!AE1119)=0,COUNTIFS('История отказов'!$F$5:F1119,"ШВН",'История отказов'!$AE$5:AE1119,'История отказов'!AE1119)=1,'История отказов'!F1119="ШВН"),1115,""))</f>
        <v/>
      </c>
      <c r="DG1116">
        <f>IF('История отказов'!AE1119="","",IF(AND(COUNTIF($CW$2:$CW$2,'История отказов'!AE1119)=0,COUNTIFS('История отказов'!$F$5:F1119,"НПУ-ВД",'История отказов'!$AE$5:AE1119,'История отказов'!AE1119)=1,'История отказов'!F1119="НПУ-ВД"),1115,""))</f>
        <v/>
      </c>
      <c r="DH1116">
        <f>IF('История отказов'!AE1119="","",IF(AND(COUNTIF($CY$2:$CY$6,'История отказов'!AE1119)=0,COUNTIF('История отказов'!$AE$5:AE1119,'История отказов'!AE1119)=1),1115,""))</f>
        <v/>
      </c>
      <c r="DI1116">
        <f>IF('История отказов'!AK1119="","",IF(AND(COUNTIF($CL$2:$CL$3,'История отказов'!AK1119)=0,COUNTIF('История отказов'!$AK$5:AK1119,'История отказов'!AK1119)=1),1115,""))</f>
        <v/>
      </c>
      <c r="DJ1116">
        <f>IF('История отказов'!AU1119="","",IF(AND(COUNTIF($CP$2:$CP$3,'История отказов'!AU1119)=0,COUNTIF('История отказов'!$AU$5:AU1119,'История отказов'!AU1119)=1),1115,""))</f>
        <v/>
      </c>
      <c r="DK1116">
        <f>IF('История отказов'!AY1119="","",IF(AND(COUNTIF($CR$2:$CR$2,'История отказов'!AY1119)=0,COUNTIF('История отказов'!$AY$5:AY1119,'История отказов'!AY1119)=1),1115,""))</f>
        <v/>
      </c>
      <c r="DL1116">
        <f>IF(DB1116="","",IF(AND(COUNTIF($DA$2:$DA$47,DB1116)=0,COUNTIF($DB$2:DB1116,DB1116)=1),1115,""))</f>
        <v/>
      </c>
    </row>
    <row r="1117">
      <c r="A1117" s="74" t="n"/>
      <c r="B1117" s="75" t="n"/>
      <c r="C1117" s="76" t="n"/>
      <c r="DB1117">
        <f>IF('История отказов'!AH1120="","",'История отказов'!AH1120)</f>
        <v/>
      </c>
      <c r="DC1117">
        <f>IF('История отказов'!AE1120="","",IF(AND(COUNTIF($CT$2:$CT$2,'История отказов'!AE1120)=0,COUNTIFS('История отказов'!$F$5:F1120,"ШГН",'История отказов'!$AE$5:AE1120,'История отказов'!AE1120)=1,'История отказов'!F1120="ШГН"),1116,""))</f>
        <v/>
      </c>
      <c r="DD1117">
        <f>IF('История отказов'!AE1120="","",IF(AND(COUNTIF($CU$2:$CU$3,'История отказов'!AE1120)=0,COUNTIFS('История отказов'!$F$5:F1120,"ЭЦН",'История отказов'!$AE$5:AE1120,'История отказов'!AE1120)=1,'История отказов'!F1120="ЭЦН"),1116,""))</f>
        <v/>
      </c>
      <c r="DE1117">
        <f>IF('История отказов'!AE1120="","",IF(AND(COUNTIF($CV$2:$CV$3,'История отказов'!AE1120)=0,COUNTIFS('История отказов'!$F$5:F1120,"ЭВН",'История отказов'!$AE$5:AE1120,'История отказов'!AE1120)=1,'История отказов'!F1120="ЭВН"),1116,""))</f>
        <v/>
      </c>
      <c r="DF1117">
        <f>IF('История отказов'!AE1120="","",IF(AND(COUNTIF($CX$2:$CX$2,'История отказов'!AE1120)=0,COUNTIFS('История отказов'!$F$5:F1120,"ШВН",'История отказов'!$AE$5:AE1120,'История отказов'!AE1120)=1,'История отказов'!F1120="ШВН"),1116,""))</f>
        <v/>
      </c>
      <c r="DG1117">
        <f>IF('История отказов'!AE1120="","",IF(AND(COUNTIF($CW$2:$CW$2,'История отказов'!AE1120)=0,COUNTIFS('История отказов'!$F$5:F1120,"НПУ-ВД",'История отказов'!$AE$5:AE1120,'История отказов'!AE1120)=1,'История отказов'!F1120="НПУ-ВД"),1116,""))</f>
        <v/>
      </c>
      <c r="DH1117">
        <f>IF('История отказов'!AE1120="","",IF(AND(COUNTIF($CY$2:$CY$6,'История отказов'!AE1120)=0,COUNTIF('История отказов'!$AE$5:AE1120,'История отказов'!AE1120)=1),1116,""))</f>
        <v/>
      </c>
      <c r="DI1117">
        <f>IF('История отказов'!AK1120="","",IF(AND(COUNTIF($CL$2:$CL$3,'История отказов'!AK1120)=0,COUNTIF('История отказов'!$AK$5:AK1120,'История отказов'!AK1120)=1),1116,""))</f>
        <v/>
      </c>
      <c r="DJ1117">
        <f>IF('История отказов'!AU1120="","",IF(AND(COUNTIF($CP$2:$CP$3,'История отказов'!AU1120)=0,COUNTIF('История отказов'!$AU$5:AU1120,'История отказов'!AU1120)=1),1116,""))</f>
        <v/>
      </c>
      <c r="DK1117">
        <f>IF('История отказов'!AY1120="","",IF(AND(COUNTIF($CR$2:$CR$2,'История отказов'!AY1120)=0,COUNTIF('История отказов'!$AY$5:AY1120,'История отказов'!AY1120)=1),1116,""))</f>
        <v/>
      </c>
      <c r="DL1117">
        <f>IF(DB1117="","",IF(AND(COUNTIF($DA$2:$DA$47,DB1117)=0,COUNTIF($DB$2:DB1117,DB1117)=1),1116,""))</f>
        <v/>
      </c>
    </row>
    <row r="1118">
      <c r="A1118" s="74" t="n"/>
      <c r="B1118" s="75" t="n"/>
      <c r="C1118" s="76" t="n"/>
      <c r="DB1118">
        <f>IF('История отказов'!AH1121="","",'История отказов'!AH1121)</f>
        <v/>
      </c>
      <c r="DC1118">
        <f>IF('История отказов'!AE1121="","",IF(AND(COUNTIF($CT$2:$CT$2,'История отказов'!AE1121)=0,COUNTIFS('История отказов'!$F$5:F1121,"ШГН",'История отказов'!$AE$5:AE1121,'История отказов'!AE1121)=1,'История отказов'!F1121="ШГН"),1117,""))</f>
        <v/>
      </c>
      <c r="DD1118">
        <f>IF('История отказов'!AE1121="","",IF(AND(COUNTIF($CU$2:$CU$3,'История отказов'!AE1121)=0,COUNTIFS('История отказов'!$F$5:F1121,"ЭЦН",'История отказов'!$AE$5:AE1121,'История отказов'!AE1121)=1,'История отказов'!F1121="ЭЦН"),1117,""))</f>
        <v/>
      </c>
      <c r="DE1118">
        <f>IF('История отказов'!AE1121="","",IF(AND(COUNTIF($CV$2:$CV$3,'История отказов'!AE1121)=0,COUNTIFS('История отказов'!$F$5:F1121,"ЭВН",'История отказов'!$AE$5:AE1121,'История отказов'!AE1121)=1,'История отказов'!F1121="ЭВН"),1117,""))</f>
        <v/>
      </c>
      <c r="DF1118">
        <f>IF('История отказов'!AE1121="","",IF(AND(COUNTIF($CX$2:$CX$2,'История отказов'!AE1121)=0,COUNTIFS('История отказов'!$F$5:F1121,"ШВН",'История отказов'!$AE$5:AE1121,'История отказов'!AE1121)=1,'История отказов'!F1121="ШВН"),1117,""))</f>
        <v/>
      </c>
      <c r="DG1118">
        <f>IF('История отказов'!AE1121="","",IF(AND(COUNTIF($CW$2:$CW$2,'История отказов'!AE1121)=0,COUNTIFS('История отказов'!$F$5:F1121,"НПУ-ВД",'История отказов'!$AE$5:AE1121,'История отказов'!AE1121)=1,'История отказов'!F1121="НПУ-ВД"),1117,""))</f>
        <v/>
      </c>
      <c r="DH1118">
        <f>IF('История отказов'!AE1121="","",IF(AND(COUNTIF($CY$2:$CY$6,'История отказов'!AE1121)=0,COUNTIF('История отказов'!$AE$5:AE1121,'История отказов'!AE1121)=1),1117,""))</f>
        <v/>
      </c>
      <c r="DI1118">
        <f>IF('История отказов'!AK1121="","",IF(AND(COUNTIF($CL$2:$CL$3,'История отказов'!AK1121)=0,COUNTIF('История отказов'!$AK$5:AK1121,'История отказов'!AK1121)=1),1117,""))</f>
        <v/>
      </c>
      <c r="DJ1118">
        <f>IF('История отказов'!AU1121="","",IF(AND(COUNTIF($CP$2:$CP$3,'История отказов'!AU1121)=0,COUNTIF('История отказов'!$AU$5:AU1121,'История отказов'!AU1121)=1),1117,""))</f>
        <v/>
      </c>
      <c r="DK1118">
        <f>IF('История отказов'!AY1121="","",IF(AND(COUNTIF($CR$2:$CR$2,'История отказов'!AY1121)=0,COUNTIF('История отказов'!$AY$5:AY1121,'История отказов'!AY1121)=1),1117,""))</f>
        <v/>
      </c>
      <c r="DL1118">
        <f>IF(DB1118="","",IF(AND(COUNTIF($DA$2:$DA$47,DB1118)=0,COUNTIF($DB$2:DB1118,DB1118)=1),1117,""))</f>
        <v/>
      </c>
    </row>
    <row r="1119">
      <c r="A1119" s="74" t="n"/>
      <c r="B1119" s="75" t="n"/>
      <c r="C1119" s="76" t="n"/>
      <c r="DB1119">
        <f>IF('История отказов'!AH1122="","",'История отказов'!AH1122)</f>
        <v/>
      </c>
      <c r="DC1119">
        <f>IF('История отказов'!AE1122="","",IF(AND(COUNTIF($CT$2:$CT$2,'История отказов'!AE1122)=0,COUNTIFS('История отказов'!$F$5:F1122,"ШГН",'История отказов'!$AE$5:AE1122,'История отказов'!AE1122)=1,'История отказов'!F1122="ШГН"),1118,""))</f>
        <v/>
      </c>
      <c r="DD1119">
        <f>IF('История отказов'!AE1122="","",IF(AND(COUNTIF($CU$2:$CU$3,'История отказов'!AE1122)=0,COUNTIFS('История отказов'!$F$5:F1122,"ЭЦН",'История отказов'!$AE$5:AE1122,'История отказов'!AE1122)=1,'История отказов'!F1122="ЭЦН"),1118,""))</f>
        <v/>
      </c>
      <c r="DE1119">
        <f>IF('История отказов'!AE1122="","",IF(AND(COUNTIF($CV$2:$CV$3,'История отказов'!AE1122)=0,COUNTIFS('История отказов'!$F$5:F1122,"ЭВН",'История отказов'!$AE$5:AE1122,'История отказов'!AE1122)=1,'История отказов'!F1122="ЭВН"),1118,""))</f>
        <v/>
      </c>
      <c r="DF1119">
        <f>IF('История отказов'!AE1122="","",IF(AND(COUNTIF($CX$2:$CX$2,'История отказов'!AE1122)=0,COUNTIFS('История отказов'!$F$5:F1122,"ШВН",'История отказов'!$AE$5:AE1122,'История отказов'!AE1122)=1,'История отказов'!F1122="ШВН"),1118,""))</f>
        <v/>
      </c>
      <c r="DG1119">
        <f>IF('История отказов'!AE1122="","",IF(AND(COUNTIF($CW$2:$CW$2,'История отказов'!AE1122)=0,COUNTIFS('История отказов'!$F$5:F1122,"НПУ-ВД",'История отказов'!$AE$5:AE1122,'История отказов'!AE1122)=1,'История отказов'!F1122="НПУ-ВД"),1118,""))</f>
        <v/>
      </c>
      <c r="DH1119">
        <f>IF('История отказов'!AE1122="","",IF(AND(COUNTIF($CY$2:$CY$6,'История отказов'!AE1122)=0,COUNTIF('История отказов'!$AE$5:AE1122,'История отказов'!AE1122)=1),1118,""))</f>
        <v/>
      </c>
      <c r="DI1119">
        <f>IF('История отказов'!AK1122="","",IF(AND(COUNTIF($CL$2:$CL$3,'История отказов'!AK1122)=0,COUNTIF('История отказов'!$AK$5:AK1122,'История отказов'!AK1122)=1),1118,""))</f>
        <v/>
      </c>
      <c r="DJ1119">
        <f>IF('История отказов'!AU1122="","",IF(AND(COUNTIF($CP$2:$CP$3,'История отказов'!AU1122)=0,COUNTIF('История отказов'!$AU$5:AU1122,'История отказов'!AU1122)=1),1118,""))</f>
        <v/>
      </c>
      <c r="DK1119">
        <f>IF('История отказов'!AY1122="","",IF(AND(COUNTIF($CR$2:$CR$2,'История отказов'!AY1122)=0,COUNTIF('История отказов'!$AY$5:AY1122,'История отказов'!AY1122)=1),1118,""))</f>
        <v/>
      </c>
      <c r="DL1119">
        <f>IF(DB1119="","",IF(AND(COUNTIF($DA$2:$DA$47,DB1119)=0,COUNTIF($DB$2:DB1119,DB1119)=1),1118,""))</f>
        <v/>
      </c>
    </row>
    <row r="1120">
      <c r="A1120" s="74" t="n"/>
      <c r="B1120" s="75" t="n"/>
      <c r="C1120" s="76" t="n"/>
      <c r="DB1120">
        <f>IF('История отказов'!AH1123="","",'История отказов'!AH1123)</f>
        <v/>
      </c>
      <c r="DC1120">
        <f>IF('История отказов'!AE1123="","",IF(AND(COUNTIF($CT$2:$CT$2,'История отказов'!AE1123)=0,COUNTIFS('История отказов'!$F$5:F1123,"ШГН",'История отказов'!$AE$5:AE1123,'История отказов'!AE1123)=1,'История отказов'!F1123="ШГН"),1119,""))</f>
        <v/>
      </c>
      <c r="DD1120">
        <f>IF('История отказов'!AE1123="","",IF(AND(COUNTIF($CU$2:$CU$3,'История отказов'!AE1123)=0,COUNTIFS('История отказов'!$F$5:F1123,"ЭЦН",'История отказов'!$AE$5:AE1123,'История отказов'!AE1123)=1,'История отказов'!F1123="ЭЦН"),1119,""))</f>
        <v/>
      </c>
      <c r="DE1120">
        <f>IF('История отказов'!AE1123="","",IF(AND(COUNTIF($CV$2:$CV$3,'История отказов'!AE1123)=0,COUNTIFS('История отказов'!$F$5:F1123,"ЭВН",'История отказов'!$AE$5:AE1123,'История отказов'!AE1123)=1,'История отказов'!F1123="ЭВН"),1119,""))</f>
        <v/>
      </c>
      <c r="DF1120">
        <f>IF('История отказов'!AE1123="","",IF(AND(COUNTIF($CX$2:$CX$2,'История отказов'!AE1123)=0,COUNTIFS('История отказов'!$F$5:F1123,"ШВН",'История отказов'!$AE$5:AE1123,'История отказов'!AE1123)=1,'История отказов'!F1123="ШВН"),1119,""))</f>
        <v/>
      </c>
      <c r="DG1120">
        <f>IF('История отказов'!AE1123="","",IF(AND(COUNTIF($CW$2:$CW$2,'История отказов'!AE1123)=0,COUNTIFS('История отказов'!$F$5:F1123,"НПУ-ВД",'История отказов'!$AE$5:AE1123,'История отказов'!AE1123)=1,'История отказов'!F1123="НПУ-ВД"),1119,""))</f>
        <v/>
      </c>
      <c r="DH1120">
        <f>IF('История отказов'!AE1123="","",IF(AND(COUNTIF($CY$2:$CY$6,'История отказов'!AE1123)=0,COUNTIF('История отказов'!$AE$5:AE1123,'История отказов'!AE1123)=1),1119,""))</f>
        <v/>
      </c>
      <c r="DI1120">
        <f>IF('История отказов'!AK1123="","",IF(AND(COUNTIF($CL$2:$CL$3,'История отказов'!AK1123)=0,COUNTIF('История отказов'!$AK$5:AK1123,'История отказов'!AK1123)=1),1119,""))</f>
        <v/>
      </c>
      <c r="DJ1120">
        <f>IF('История отказов'!AU1123="","",IF(AND(COUNTIF($CP$2:$CP$3,'История отказов'!AU1123)=0,COUNTIF('История отказов'!$AU$5:AU1123,'История отказов'!AU1123)=1),1119,""))</f>
        <v/>
      </c>
      <c r="DK1120">
        <f>IF('История отказов'!AY1123="","",IF(AND(COUNTIF($CR$2:$CR$2,'История отказов'!AY1123)=0,COUNTIF('История отказов'!$AY$5:AY1123,'История отказов'!AY1123)=1),1119,""))</f>
        <v/>
      </c>
      <c r="DL1120">
        <f>IF(DB1120="","",IF(AND(COUNTIF($DA$2:$DA$47,DB1120)=0,COUNTIF($DB$2:DB1120,DB1120)=1),1119,""))</f>
        <v/>
      </c>
    </row>
    <row r="1121">
      <c r="A1121" s="74" t="n"/>
      <c r="B1121" s="75" t="n"/>
      <c r="C1121" s="76" t="n"/>
      <c r="DB1121">
        <f>IF('История отказов'!AH1124="","",'История отказов'!AH1124)</f>
        <v/>
      </c>
      <c r="DC1121">
        <f>IF('История отказов'!AE1124="","",IF(AND(COUNTIF($CT$2:$CT$2,'История отказов'!AE1124)=0,COUNTIFS('История отказов'!$F$5:F1124,"ШГН",'История отказов'!$AE$5:AE1124,'История отказов'!AE1124)=1,'История отказов'!F1124="ШГН"),1120,""))</f>
        <v/>
      </c>
      <c r="DD1121">
        <f>IF('История отказов'!AE1124="","",IF(AND(COUNTIF($CU$2:$CU$3,'История отказов'!AE1124)=0,COUNTIFS('История отказов'!$F$5:F1124,"ЭЦН",'История отказов'!$AE$5:AE1124,'История отказов'!AE1124)=1,'История отказов'!F1124="ЭЦН"),1120,""))</f>
        <v/>
      </c>
      <c r="DE1121">
        <f>IF('История отказов'!AE1124="","",IF(AND(COUNTIF($CV$2:$CV$3,'История отказов'!AE1124)=0,COUNTIFS('История отказов'!$F$5:F1124,"ЭВН",'История отказов'!$AE$5:AE1124,'История отказов'!AE1124)=1,'История отказов'!F1124="ЭВН"),1120,""))</f>
        <v/>
      </c>
      <c r="DF1121">
        <f>IF('История отказов'!AE1124="","",IF(AND(COUNTIF($CX$2:$CX$2,'История отказов'!AE1124)=0,COUNTIFS('История отказов'!$F$5:F1124,"ШВН",'История отказов'!$AE$5:AE1124,'История отказов'!AE1124)=1,'История отказов'!F1124="ШВН"),1120,""))</f>
        <v/>
      </c>
      <c r="DG1121">
        <f>IF('История отказов'!AE1124="","",IF(AND(COUNTIF($CW$2:$CW$2,'История отказов'!AE1124)=0,COUNTIFS('История отказов'!$F$5:F1124,"НПУ-ВД",'История отказов'!$AE$5:AE1124,'История отказов'!AE1124)=1,'История отказов'!F1124="НПУ-ВД"),1120,""))</f>
        <v/>
      </c>
      <c r="DH1121">
        <f>IF('История отказов'!AE1124="","",IF(AND(COUNTIF($CY$2:$CY$6,'История отказов'!AE1124)=0,COUNTIF('История отказов'!$AE$5:AE1124,'История отказов'!AE1124)=1),1120,""))</f>
        <v/>
      </c>
      <c r="DI1121">
        <f>IF('История отказов'!AK1124="","",IF(AND(COUNTIF($CL$2:$CL$3,'История отказов'!AK1124)=0,COUNTIF('История отказов'!$AK$5:AK1124,'История отказов'!AK1124)=1),1120,""))</f>
        <v/>
      </c>
      <c r="DJ1121">
        <f>IF('История отказов'!AU1124="","",IF(AND(COUNTIF($CP$2:$CP$3,'История отказов'!AU1124)=0,COUNTIF('История отказов'!$AU$5:AU1124,'История отказов'!AU1124)=1),1120,""))</f>
        <v/>
      </c>
      <c r="DK1121">
        <f>IF('История отказов'!AY1124="","",IF(AND(COUNTIF($CR$2:$CR$2,'История отказов'!AY1124)=0,COUNTIF('История отказов'!$AY$5:AY1124,'История отказов'!AY1124)=1),1120,""))</f>
        <v/>
      </c>
      <c r="DL1121">
        <f>IF(DB1121="","",IF(AND(COUNTIF($DA$2:$DA$47,DB1121)=0,COUNTIF($DB$2:DB1121,DB1121)=1),1120,""))</f>
        <v/>
      </c>
    </row>
    <row r="1122">
      <c r="A1122" s="74" t="n"/>
      <c r="B1122" s="75" t="n"/>
      <c r="C1122" s="76" t="n"/>
      <c r="DB1122">
        <f>IF('История отказов'!AH1125="","",'История отказов'!AH1125)</f>
        <v/>
      </c>
      <c r="DC1122">
        <f>IF('История отказов'!AE1125="","",IF(AND(COUNTIF($CT$2:$CT$2,'История отказов'!AE1125)=0,COUNTIFS('История отказов'!$F$5:F1125,"ШГН",'История отказов'!$AE$5:AE1125,'История отказов'!AE1125)=1,'История отказов'!F1125="ШГН"),1121,""))</f>
        <v/>
      </c>
      <c r="DD1122">
        <f>IF('История отказов'!AE1125="","",IF(AND(COUNTIF($CU$2:$CU$3,'История отказов'!AE1125)=0,COUNTIFS('История отказов'!$F$5:F1125,"ЭЦН",'История отказов'!$AE$5:AE1125,'История отказов'!AE1125)=1,'История отказов'!F1125="ЭЦН"),1121,""))</f>
        <v/>
      </c>
      <c r="DE1122">
        <f>IF('История отказов'!AE1125="","",IF(AND(COUNTIF($CV$2:$CV$3,'История отказов'!AE1125)=0,COUNTIFS('История отказов'!$F$5:F1125,"ЭВН",'История отказов'!$AE$5:AE1125,'История отказов'!AE1125)=1,'История отказов'!F1125="ЭВН"),1121,""))</f>
        <v/>
      </c>
      <c r="DF1122">
        <f>IF('История отказов'!AE1125="","",IF(AND(COUNTIF($CX$2:$CX$2,'История отказов'!AE1125)=0,COUNTIFS('История отказов'!$F$5:F1125,"ШВН",'История отказов'!$AE$5:AE1125,'История отказов'!AE1125)=1,'История отказов'!F1125="ШВН"),1121,""))</f>
        <v/>
      </c>
      <c r="DG1122">
        <f>IF('История отказов'!AE1125="","",IF(AND(COUNTIF($CW$2:$CW$2,'История отказов'!AE1125)=0,COUNTIFS('История отказов'!$F$5:F1125,"НПУ-ВД",'История отказов'!$AE$5:AE1125,'История отказов'!AE1125)=1,'История отказов'!F1125="НПУ-ВД"),1121,""))</f>
        <v/>
      </c>
      <c r="DH1122">
        <f>IF('История отказов'!AE1125="","",IF(AND(COUNTIF($CY$2:$CY$6,'История отказов'!AE1125)=0,COUNTIF('История отказов'!$AE$5:AE1125,'История отказов'!AE1125)=1),1121,""))</f>
        <v/>
      </c>
      <c r="DI1122">
        <f>IF('История отказов'!AK1125="","",IF(AND(COUNTIF($CL$2:$CL$3,'История отказов'!AK1125)=0,COUNTIF('История отказов'!$AK$5:AK1125,'История отказов'!AK1125)=1),1121,""))</f>
        <v/>
      </c>
      <c r="DJ1122">
        <f>IF('История отказов'!AU1125="","",IF(AND(COUNTIF($CP$2:$CP$3,'История отказов'!AU1125)=0,COUNTIF('История отказов'!$AU$5:AU1125,'История отказов'!AU1125)=1),1121,""))</f>
        <v/>
      </c>
      <c r="DK1122">
        <f>IF('История отказов'!AY1125="","",IF(AND(COUNTIF($CR$2:$CR$2,'История отказов'!AY1125)=0,COUNTIF('История отказов'!$AY$5:AY1125,'История отказов'!AY1125)=1),1121,""))</f>
        <v/>
      </c>
      <c r="DL1122">
        <f>IF(DB1122="","",IF(AND(COUNTIF($DA$2:$DA$47,DB1122)=0,COUNTIF($DB$2:DB1122,DB1122)=1),1121,""))</f>
        <v/>
      </c>
    </row>
    <row r="1123">
      <c r="A1123" s="77" t="n"/>
      <c r="B1123" s="78" t="n"/>
      <c r="C1123" s="79" t="n"/>
      <c r="DB1123">
        <f>IF('История отказов'!AH1126="","",'История отказов'!AH1126)</f>
        <v/>
      </c>
      <c r="DC1123">
        <f>IF('История отказов'!AE1126="","",IF(AND(COUNTIF($CT$2:$CT$2,'История отказов'!AE1126)=0,COUNTIFS('История отказов'!$F$5:F1126,"ШГН",'История отказов'!$AE$5:AE1126,'История отказов'!AE1126)=1,'История отказов'!F1126="ШГН"),1122,""))</f>
        <v/>
      </c>
      <c r="DD1123">
        <f>IF('История отказов'!AE1126="","",IF(AND(COUNTIF($CU$2:$CU$3,'История отказов'!AE1126)=0,COUNTIFS('История отказов'!$F$5:F1126,"ЭЦН",'История отказов'!$AE$5:AE1126,'История отказов'!AE1126)=1,'История отказов'!F1126="ЭЦН"),1122,""))</f>
        <v/>
      </c>
      <c r="DE1123">
        <f>IF('История отказов'!AE1126="","",IF(AND(COUNTIF($CV$2:$CV$3,'История отказов'!AE1126)=0,COUNTIFS('История отказов'!$F$5:F1126,"ЭВН",'История отказов'!$AE$5:AE1126,'История отказов'!AE1126)=1,'История отказов'!F1126="ЭВН"),1122,""))</f>
        <v/>
      </c>
      <c r="DF1123">
        <f>IF('История отказов'!AE1126="","",IF(AND(COUNTIF($CX$2:$CX$2,'История отказов'!AE1126)=0,COUNTIFS('История отказов'!$F$5:F1126,"ШВН",'История отказов'!$AE$5:AE1126,'История отказов'!AE1126)=1,'История отказов'!F1126="ШВН"),1122,""))</f>
        <v/>
      </c>
      <c r="DG1123">
        <f>IF('История отказов'!AE1126="","",IF(AND(COUNTIF($CW$2:$CW$2,'История отказов'!AE1126)=0,COUNTIFS('История отказов'!$F$5:F1126,"НПУ-ВД",'История отказов'!$AE$5:AE1126,'История отказов'!AE1126)=1,'История отказов'!F1126="НПУ-ВД"),1122,""))</f>
        <v/>
      </c>
      <c r="DH1123">
        <f>IF('История отказов'!AE1126="","",IF(AND(COUNTIF($CY$2:$CY$6,'История отказов'!AE1126)=0,COUNTIF('История отказов'!$AE$5:AE1126,'История отказов'!AE1126)=1),1122,""))</f>
        <v/>
      </c>
      <c r="DI1123">
        <f>IF('История отказов'!AK1126="","",IF(AND(COUNTIF($CL$2:$CL$3,'История отказов'!AK1126)=0,COUNTIF('История отказов'!$AK$5:AK1126,'История отказов'!AK1126)=1),1122,""))</f>
        <v/>
      </c>
      <c r="DJ1123">
        <f>IF('История отказов'!AU1126="","",IF(AND(COUNTIF($CP$2:$CP$3,'История отказов'!AU1126)=0,COUNTIF('История отказов'!$AU$5:AU1126,'История отказов'!AU1126)=1),1122,""))</f>
        <v/>
      </c>
      <c r="DK1123">
        <f>IF('История отказов'!AY1126="","",IF(AND(COUNTIF($CR$2:$CR$2,'История отказов'!AY1126)=0,COUNTIF('История отказов'!$AY$5:AY1126,'История отказов'!AY1126)=1),1122,""))</f>
        <v/>
      </c>
      <c r="DL1123">
        <f>IF(DB1123="","",IF(AND(COUNTIF($DA$2:$DA$47,DB1123)=0,COUNTIF($DB$2:DB1123,DB1123)=1),1122,""))</f>
        <v/>
      </c>
    </row>
    <row r="1124">
      <c r="DB1124">
        <f>IF('История отказов'!AH1127="","",'История отказов'!AH1127)</f>
        <v/>
      </c>
      <c r="DC1124">
        <f>IF('История отказов'!AE1127="","",IF(AND(COUNTIF($CT$2:$CT$2,'История отказов'!AE1127)=0,COUNTIFS('История отказов'!$F$5:F1127,"ШГН",'История отказов'!$AE$5:AE1127,'История отказов'!AE1127)=1,'История отказов'!F1127="ШГН"),1123,""))</f>
        <v/>
      </c>
      <c r="DD1124">
        <f>IF('История отказов'!AE1127="","",IF(AND(COUNTIF($CU$2:$CU$3,'История отказов'!AE1127)=0,COUNTIFS('История отказов'!$F$5:F1127,"ЭЦН",'История отказов'!$AE$5:AE1127,'История отказов'!AE1127)=1,'История отказов'!F1127="ЭЦН"),1123,""))</f>
        <v/>
      </c>
      <c r="DE1124">
        <f>IF('История отказов'!AE1127="","",IF(AND(COUNTIF($CV$2:$CV$3,'История отказов'!AE1127)=0,COUNTIFS('История отказов'!$F$5:F1127,"ЭВН",'История отказов'!$AE$5:AE1127,'История отказов'!AE1127)=1,'История отказов'!F1127="ЭВН"),1123,""))</f>
        <v/>
      </c>
      <c r="DF1124">
        <f>IF('История отказов'!AE1127="","",IF(AND(COUNTIF($CX$2:$CX$2,'История отказов'!AE1127)=0,COUNTIFS('История отказов'!$F$5:F1127,"ШВН",'История отказов'!$AE$5:AE1127,'История отказов'!AE1127)=1,'История отказов'!F1127="ШВН"),1123,""))</f>
        <v/>
      </c>
      <c r="DG1124">
        <f>IF('История отказов'!AE1127="","",IF(AND(COUNTIF($CW$2:$CW$2,'История отказов'!AE1127)=0,COUNTIFS('История отказов'!$F$5:F1127,"НПУ-ВД",'История отказов'!$AE$5:AE1127,'История отказов'!AE1127)=1,'История отказов'!F1127="НПУ-ВД"),1123,""))</f>
        <v/>
      </c>
      <c r="DH1124">
        <f>IF('История отказов'!AE1127="","",IF(AND(COUNTIF($CY$2:$CY$6,'История отказов'!AE1127)=0,COUNTIF('История отказов'!$AE$5:AE1127,'История отказов'!AE1127)=1),1123,""))</f>
        <v/>
      </c>
      <c r="DI1124">
        <f>IF('История отказов'!AK1127="","",IF(AND(COUNTIF($CL$2:$CL$3,'История отказов'!AK1127)=0,COUNTIF('История отказов'!$AK$5:AK1127,'История отказов'!AK1127)=1),1123,""))</f>
        <v/>
      </c>
      <c r="DJ1124">
        <f>IF('История отказов'!AU1127="","",IF(AND(COUNTIF($CP$2:$CP$3,'История отказов'!AU1127)=0,COUNTIF('История отказов'!$AU$5:AU1127,'История отказов'!AU1127)=1),1123,""))</f>
        <v/>
      </c>
      <c r="DK1124">
        <f>IF('История отказов'!AY1127="","",IF(AND(COUNTIF($CR$2:$CR$2,'История отказов'!AY1127)=0,COUNTIF('История отказов'!$AY$5:AY1127,'История отказов'!AY1127)=1),1123,""))</f>
        <v/>
      </c>
      <c r="DL1124">
        <f>IF(DB1124="","",IF(AND(COUNTIF($DA$2:$DA$47,DB1124)=0,COUNTIF($DB$2:DB1124,DB1124)=1),1123,""))</f>
        <v/>
      </c>
    </row>
    <row r="1125">
      <c r="DB1125">
        <f>IF('История отказов'!AH1128="","",'История отказов'!AH1128)</f>
        <v/>
      </c>
      <c r="DC1125">
        <f>IF('История отказов'!AE1128="","",IF(AND(COUNTIF($CT$2:$CT$2,'История отказов'!AE1128)=0,COUNTIFS('История отказов'!$F$5:F1128,"ШГН",'История отказов'!$AE$5:AE1128,'История отказов'!AE1128)=1,'История отказов'!F1128="ШГН"),1124,""))</f>
        <v/>
      </c>
      <c r="DD1125">
        <f>IF('История отказов'!AE1128="","",IF(AND(COUNTIF($CU$2:$CU$3,'История отказов'!AE1128)=0,COUNTIFS('История отказов'!$F$5:F1128,"ЭЦН",'История отказов'!$AE$5:AE1128,'История отказов'!AE1128)=1,'История отказов'!F1128="ЭЦН"),1124,""))</f>
        <v/>
      </c>
      <c r="DE1125">
        <f>IF('История отказов'!AE1128="","",IF(AND(COUNTIF($CV$2:$CV$3,'История отказов'!AE1128)=0,COUNTIFS('История отказов'!$F$5:F1128,"ЭВН",'История отказов'!$AE$5:AE1128,'История отказов'!AE1128)=1,'История отказов'!F1128="ЭВН"),1124,""))</f>
        <v/>
      </c>
      <c r="DF1125">
        <f>IF('История отказов'!AE1128="","",IF(AND(COUNTIF($CX$2:$CX$2,'История отказов'!AE1128)=0,COUNTIFS('История отказов'!$F$5:F1128,"ШВН",'История отказов'!$AE$5:AE1128,'История отказов'!AE1128)=1,'История отказов'!F1128="ШВН"),1124,""))</f>
        <v/>
      </c>
      <c r="DG1125">
        <f>IF('История отказов'!AE1128="","",IF(AND(COUNTIF($CW$2:$CW$2,'История отказов'!AE1128)=0,COUNTIFS('История отказов'!$F$5:F1128,"НПУ-ВД",'История отказов'!$AE$5:AE1128,'История отказов'!AE1128)=1,'История отказов'!F1128="НПУ-ВД"),1124,""))</f>
        <v/>
      </c>
      <c r="DH1125">
        <f>IF('История отказов'!AE1128="","",IF(AND(COUNTIF($CY$2:$CY$6,'История отказов'!AE1128)=0,COUNTIF('История отказов'!$AE$5:AE1128,'История отказов'!AE1128)=1),1124,""))</f>
        <v/>
      </c>
      <c r="DI1125">
        <f>IF('История отказов'!AK1128="","",IF(AND(COUNTIF($CL$2:$CL$3,'История отказов'!AK1128)=0,COUNTIF('История отказов'!$AK$5:AK1128,'История отказов'!AK1128)=1),1124,""))</f>
        <v/>
      </c>
      <c r="DJ1125">
        <f>IF('История отказов'!AU1128="","",IF(AND(COUNTIF($CP$2:$CP$3,'История отказов'!AU1128)=0,COUNTIF('История отказов'!$AU$5:AU1128,'История отказов'!AU1128)=1),1124,""))</f>
        <v/>
      </c>
      <c r="DK1125">
        <f>IF('История отказов'!AY1128="","",IF(AND(COUNTIF($CR$2:$CR$2,'История отказов'!AY1128)=0,COUNTIF('История отказов'!$AY$5:AY1128,'История отказов'!AY1128)=1),1124,""))</f>
        <v/>
      </c>
      <c r="DL1125">
        <f>IF(DB1125="","",IF(AND(COUNTIF($DA$2:$DA$47,DB1125)=0,COUNTIF($DB$2:DB1125,DB1125)=1),1124,""))</f>
        <v/>
      </c>
    </row>
    <row r="1126">
      <c r="A1126" s="98" t="n"/>
      <c r="DB1126">
        <f>IF('История отказов'!AH1129="","",'История отказов'!AH1129)</f>
        <v/>
      </c>
      <c r="DC1126">
        <f>IF('История отказов'!AE1129="","",IF(AND(COUNTIF($CT$2:$CT$2,'История отказов'!AE1129)=0,COUNTIFS('История отказов'!$F$5:F1129,"ШГН",'История отказов'!$AE$5:AE1129,'История отказов'!AE1129)=1,'История отказов'!F1129="ШГН"),1125,""))</f>
        <v/>
      </c>
      <c r="DD1126">
        <f>IF('История отказов'!AE1129="","",IF(AND(COUNTIF($CU$2:$CU$3,'История отказов'!AE1129)=0,COUNTIFS('История отказов'!$F$5:F1129,"ЭЦН",'История отказов'!$AE$5:AE1129,'История отказов'!AE1129)=1,'История отказов'!F1129="ЭЦН"),1125,""))</f>
        <v/>
      </c>
      <c r="DE1126">
        <f>IF('История отказов'!AE1129="","",IF(AND(COUNTIF($CV$2:$CV$3,'История отказов'!AE1129)=0,COUNTIFS('История отказов'!$F$5:F1129,"ЭВН",'История отказов'!$AE$5:AE1129,'История отказов'!AE1129)=1,'История отказов'!F1129="ЭВН"),1125,""))</f>
        <v/>
      </c>
      <c r="DF1126">
        <f>IF('История отказов'!AE1129="","",IF(AND(COUNTIF($CX$2:$CX$2,'История отказов'!AE1129)=0,COUNTIFS('История отказов'!$F$5:F1129,"ШВН",'История отказов'!$AE$5:AE1129,'История отказов'!AE1129)=1,'История отказов'!F1129="ШВН"),1125,""))</f>
        <v/>
      </c>
      <c r="DG1126">
        <f>IF('История отказов'!AE1129="","",IF(AND(COUNTIF($CW$2:$CW$2,'История отказов'!AE1129)=0,COUNTIFS('История отказов'!$F$5:F1129,"НПУ-ВД",'История отказов'!$AE$5:AE1129,'История отказов'!AE1129)=1,'История отказов'!F1129="НПУ-ВД"),1125,""))</f>
        <v/>
      </c>
      <c r="DH1126">
        <f>IF('История отказов'!AE1129="","",IF(AND(COUNTIF($CY$2:$CY$6,'История отказов'!AE1129)=0,COUNTIF('История отказов'!$AE$5:AE1129,'История отказов'!AE1129)=1),1125,""))</f>
        <v/>
      </c>
      <c r="DI1126">
        <f>IF('История отказов'!AK1129="","",IF(AND(COUNTIF($CL$2:$CL$3,'История отказов'!AK1129)=0,COUNTIF('История отказов'!$AK$5:AK1129,'История отказов'!AK1129)=1),1125,""))</f>
        <v/>
      </c>
      <c r="DJ1126">
        <f>IF('История отказов'!AU1129="","",IF(AND(COUNTIF($CP$2:$CP$3,'История отказов'!AU1129)=0,COUNTIF('История отказов'!$AU$5:AU1129,'История отказов'!AU1129)=1),1125,""))</f>
        <v/>
      </c>
      <c r="DK1126">
        <f>IF('История отказов'!AY1129="","",IF(AND(COUNTIF($CR$2:$CR$2,'История отказов'!AY1129)=0,COUNTIF('История отказов'!$AY$5:AY1129,'История отказов'!AY1129)=1),1125,""))</f>
        <v/>
      </c>
      <c r="DL1126">
        <f>IF(DB1126="","",IF(AND(COUNTIF($DA$2:$DA$47,DB1126)=0,COUNTIF($DB$2:DB1126,DB1126)=1),1125,""))</f>
        <v/>
      </c>
    </row>
    <row r="1127">
      <c r="A1127" s="102" t="n"/>
      <c r="DB1127">
        <f>IF('История отказов'!AH1130="","",'История отказов'!AH1130)</f>
        <v/>
      </c>
      <c r="DC1127">
        <f>IF('История отказов'!AE1130="","",IF(AND(COUNTIF($CT$2:$CT$2,'История отказов'!AE1130)=0,COUNTIFS('История отказов'!$F$5:F1130,"ШГН",'История отказов'!$AE$5:AE1130,'История отказов'!AE1130)=1,'История отказов'!F1130="ШГН"),1126,""))</f>
        <v/>
      </c>
      <c r="DD1127">
        <f>IF('История отказов'!AE1130="","",IF(AND(COUNTIF($CU$2:$CU$3,'История отказов'!AE1130)=0,COUNTIFS('История отказов'!$F$5:F1130,"ЭЦН",'История отказов'!$AE$5:AE1130,'История отказов'!AE1130)=1,'История отказов'!F1130="ЭЦН"),1126,""))</f>
        <v/>
      </c>
      <c r="DE1127">
        <f>IF('История отказов'!AE1130="","",IF(AND(COUNTIF($CV$2:$CV$3,'История отказов'!AE1130)=0,COUNTIFS('История отказов'!$F$5:F1130,"ЭВН",'История отказов'!$AE$5:AE1130,'История отказов'!AE1130)=1,'История отказов'!F1130="ЭВН"),1126,""))</f>
        <v/>
      </c>
      <c r="DF1127">
        <f>IF('История отказов'!AE1130="","",IF(AND(COUNTIF($CX$2:$CX$2,'История отказов'!AE1130)=0,COUNTIFS('История отказов'!$F$5:F1130,"ШВН",'История отказов'!$AE$5:AE1130,'История отказов'!AE1130)=1,'История отказов'!F1130="ШВН"),1126,""))</f>
        <v/>
      </c>
      <c r="DG1127">
        <f>IF('История отказов'!AE1130="","",IF(AND(COUNTIF($CW$2:$CW$2,'История отказов'!AE1130)=0,COUNTIFS('История отказов'!$F$5:F1130,"НПУ-ВД",'История отказов'!$AE$5:AE1130,'История отказов'!AE1130)=1,'История отказов'!F1130="НПУ-ВД"),1126,""))</f>
        <v/>
      </c>
      <c r="DH1127">
        <f>IF('История отказов'!AE1130="","",IF(AND(COUNTIF($CY$2:$CY$6,'История отказов'!AE1130)=0,COUNTIF('История отказов'!$AE$5:AE1130,'История отказов'!AE1130)=1),1126,""))</f>
        <v/>
      </c>
      <c r="DI1127">
        <f>IF('История отказов'!AK1130="","",IF(AND(COUNTIF($CL$2:$CL$3,'История отказов'!AK1130)=0,COUNTIF('История отказов'!$AK$5:AK1130,'История отказов'!AK1130)=1),1126,""))</f>
        <v/>
      </c>
      <c r="DJ1127">
        <f>IF('История отказов'!AU1130="","",IF(AND(COUNTIF($CP$2:$CP$3,'История отказов'!AU1130)=0,COUNTIF('История отказов'!$AU$5:AU1130,'История отказов'!AU1130)=1),1126,""))</f>
        <v/>
      </c>
      <c r="DK1127">
        <f>IF('История отказов'!AY1130="","",IF(AND(COUNTIF($CR$2:$CR$2,'История отказов'!AY1130)=0,COUNTIF('История отказов'!$AY$5:AY1130,'История отказов'!AY1130)=1),1126,""))</f>
        <v/>
      </c>
      <c r="DL1127">
        <f>IF(DB1127="","",IF(AND(COUNTIF($DA$2:$DA$47,DB1127)=0,COUNTIF($DB$2:DB1127,DB1127)=1),1126,""))</f>
        <v/>
      </c>
    </row>
    <row r="1128">
      <c r="A1128" s="109" t="n"/>
      <c r="DB1128">
        <f>IF('История отказов'!AH1131="","",'История отказов'!AH1131)</f>
        <v/>
      </c>
      <c r="DC1128">
        <f>IF('История отказов'!AE1131="","",IF(AND(COUNTIF($CT$2:$CT$2,'История отказов'!AE1131)=0,COUNTIFS('История отказов'!$F$5:F1131,"ШГН",'История отказов'!$AE$5:AE1131,'История отказов'!AE1131)=1,'История отказов'!F1131="ШГН"),1127,""))</f>
        <v/>
      </c>
      <c r="DD1128">
        <f>IF('История отказов'!AE1131="","",IF(AND(COUNTIF($CU$2:$CU$3,'История отказов'!AE1131)=0,COUNTIFS('История отказов'!$F$5:F1131,"ЭЦН",'История отказов'!$AE$5:AE1131,'История отказов'!AE1131)=1,'История отказов'!F1131="ЭЦН"),1127,""))</f>
        <v/>
      </c>
      <c r="DE1128">
        <f>IF('История отказов'!AE1131="","",IF(AND(COUNTIF($CV$2:$CV$3,'История отказов'!AE1131)=0,COUNTIFS('История отказов'!$F$5:F1131,"ЭВН",'История отказов'!$AE$5:AE1131,'История отказов'!AE1131)=1,'История отказов'!F1131="ЭВН"),1127,""))</f>
        <v/>
      </c>
      <c r="DF1128">
        <f>IF('История отказов'!AE1131="","",IF(AND(COUNTIF($CX$2:$CX$2,'История отказов'!AE1131)=0,COUNTIFS('История отказов'!$F$5:F1131,"ШВН",'История отказов'!$AE$5:AE1131,'История отказов'!AE1131)=1,'История отказов'!F1131="ШВН"),1127,""))</f>
        <v/>
      </c>
      <c r="DG1128">
        <f>IF('История отказов'!AE1131="","",IF(AND(COUNTIF($CW$2:$CW$2,'История отказов'!AE1131)=0,COUNTIFS('История отказов'!$F$5:F1131,"НПУ-ВД",'История отказов'!$AE$5:AE1131,'История отказов'!AE1131)=1,'История отказов'!F1131="НПУ-ВД"),1127,""))</f>
        <v/>
      </c>
      <c r="DH1128">
        <f>IF('История отказов'!AE1131="","",IF(AND(COUNTIF($CY$2:$CY$6,'История отказов'!AE1131)=0,COUNTIF('История отказов'!$AE$5:AE1131,'История отказов'!AE1131)=1),1127,""))</f>
        <v/>
      </c>
      <c r="DI1128">
        <f>IF('История отказов'!AK1131="","",IF(AND(COUNTIF($CL$2:$CL$3,'История отказов'!AK1131)=0,COUNTIF('История отказов'!$AK$5:AK1131,'История отказов'!AK1131)=1),1127,""))</f>
        <v/>
      </c>
      <c r="DJ1128">
        <f>IF('История отказов'!AU1131="","",IF(AND(COUNTIF($CP$2:$CP$3,'История отказов'!AU1131)=0,COUNTIF('История отказов'!$AU$5:AU1131,'История отказов'!AU1131)=1),1127,""))</f>
        <v/>
      </c>
      <c r="DK1128">
        <f>IF('История отказов'!AY1131="","",IF(AND(COUNTIF($CR$2:$CR$2,'История отказов'!AY1131)=0,COUNTIF('История отказов'!$AY$5:AY1131,'История отказов'!AY1131)=1),1127,""))</f>
        <v/>
      </c>
      <c r="DL1128">
        <f>IF(DB1128="","",IF(AND(COUNTIF($DA$2:$DA$47,DB1128)=0,COUNTIF($DB$2:DB1128,DB1128)=1),1127,""))</f>
        <v/>
      </c>
    </row>
    <row r="1129">
      <c r="A1129" s="110" t="n"/>
      <c r="DB1129">
        <f>IF('История отказов'!AH1132="","",'История отказов'!AH1132)</f>
        <v/>
      </c>
      <c r="DC1129">
        <f>IF('История отказов'!AE1132="","",IF(AND(COUNTIF($CT$2:$CT$2,'История отказов'!AE1132)=0,COUNTIFS('История отказов'!$F$5:F1132,"ШГН",'История отказов'!$AE$5:AE1132,'История отказов'!AE1132)=1,'История отказов'!F1132="ШГН"),1128,""))</f>
        <v/>
      </c>
      <c r="DD1129">
        <f>IF('История отказов'!AE1132="","",IF(AND(COUNTIF($CU$2:$CU$3,'История отказов'!AE1132)=0,COUNTIFS('История отказов'!$F$5:F1132,"ЭЦН",'История отказов'!$AE$5:AE1132,'История отказов'!AE1132)=1,'История отказов'!F1132="ЭЦН"),1128,""))</f>
        <v/>
      </c>
      <c r="DE1129">
        <f>IF('История отказов'!AE1132="","",IF(AND(COUNTIF($CV$2:$CV$3,'История отказов'!AE1132)=0,COUNTIFS('История отказов'!$F$5:F1132,"ЭВН",'История отказов'!$AE$5:AE1132,'История отказов'!AE1132)=1,'История отказов'!F1132="ЭВН"),1128,""))</f>
        <v/>
      </c>
      <c r="DF1129">
        <f>IF('История отказов'!AE1132="","",IF(AND(COUNTIF($CX$2:$CX$2,'История отказов'!AE1132)=0,COUNTIFS('История отказов'!$F$5:F1132,"ШВН",'История отказов'!$AE$5:AE1132,'История отказов'!AE1132)=1,'История отказов'!F1132="ШВН"),1128,""))</f>
        <v/>
      </c>
      <c r="DG1129">
        <f>IF('История отказов'!AE1132="","",IF(AND(COUNTIF($CW$2:$CW$2,'История отказов'!AE1132)=0,COUNTIFS('История отказов'!$F$5:F1132,"НПУ-ВД",'История отказов'!$AE$5:AE1132,'История отказов'!AE1132)=1,'История отказов'!F1132="НПУ-ВД"),1128,""))</f>
        <v/>
      </c>
      <c r="DH1129">
        <f>IF('История отказов'!AE1132="","",IF(AND(COUNTIF($CY$2:$CY$6,'История отказов'!AE1132)=0,COUNTIF('История отказов'!$AE$5:AE1132,'История отказов'!AE1132)=1),1128,""))</f>
        <v/>
      </c>
      <c r="DI1129">
        <f>IF('История отказов'!AK1132="","",IF(AND(COUNTIF($CL$2:$CL$3,'История отказов'!AK1132)=0,COUNTIF('История отказов'!$AK$5:AK1132,'История отказов'!AK1132)=1),1128,""))</f>
        <v/>
      </c>
      <c r="DJ1129">
        <f>IF('История отказов'!AU1132="","",IF(AND(COUNTIF($CP$2:$CP$3,'История отказов'!AU1132)=0,COUNTIF('История отказов'!$AU$5:AU1132,'История отказов'!AU1132)=1),1128,""))</f>
        <v/>
      </c>
      <c r="DK1129">
        <f>IF('История отказов'!AY1132="","",IF(AND(COUNTIF($CR$2:$CR$2,'История отказов'!AY1132)=0,COUNTIF('История отказов'!$AY$5:AY1132,'История отказов'!AY1132)=1),1128,""))</f>
        <v/>
      </c>
      <c r="DL1129">
        <f>IF(DB1129="","",IF(AND(COUNTIF($DA$2:$DA$47,DB1129)=0,COUNTIF($DB$2:DB1129,DB1129)=1),1128,""))</f>
        <v/>
      </c>
    </row>
    <row r="1130">
      <c r="A1130" s="110" t="n"/>
      <c r="DB1130">
        <f>IF('История отказов'!AH1133="","",'История отказов'!AH1133)</f>
        <v/>
      </c>
      <c r="DC1130">
        <f>IF('История отказов'!AE1133="","",IF(AND(COUNTIF($CT$2:$CT$2,'История отказов'!AE1133)=0,COUNTIFS('История отказов'!$F$5:F1133,"ШГН",'История отказов'!$AE$5:AE1133,'История отказов'!AE1133)=1,'История отказов'!F1133="ШГН"),1129,""))</f>
        <v/>
      </c>
      <c r="DD1130">
        <f>IF('История отказов'!AE1133="","",IF(AND(COUNTIF($CU$2:$CU$3,'История отказов'!AE1133)=0,COUNTIFS('История отказов'!$F$5:F1133,"ЭЦН",'История отказов'!$AE$5:AE1133,'История отказов'!AE1133)=1,'История отказов'!F1133="ЭЦН"),1129,""))</f>
        <v/>
      </c>
      <c r="DE1130">
        <f>IF('История отказов'!AE1133="","",IF(AND(COUNTIF($CV$2:$CV$3,'История отказов'!AE1133)=0,COUNTIFS('История отказов'!$F$5:F1133,"ЭВН",'История отказов'!$AE$5:AE1133,'История отказов'!AE1133)=1,'История отказов'!F1133="ЭВН"),1129,""))</f>
        <v/>
      </c>
      <c r="DF1130">
        <f>IF('История отказов'!AE1133="","",IF(AND(COUNTIF($CX$2:$CX$2,'История отказов'!AE1133)=0,COUNTIFS('История отказов'!$F$5:F1133,"ШВН",'История отказов'!$AE$5:AE1133,'История отказов'!AE1133)=1,'История отказов'!F1133="ШВН"),1129,""))</f>
        <v/>
      </c>
      <c r="DG1130">
        <f>IF('История отказов'!AE1133="","",IF(AND(COUNTIF($CW$2:$CW$2,'История отказов'!AE1133)=0,COUNTIFS('История отказов'!$F$5:F1133,"НПУ-ВД",'История отказов'!$AE$5:AE1133,'История отказов'!AE1133)=1,'История отказов'!F1133="НПУ-ВД"),1129,""))</f>
        <v/>
      </c>
      <c r="DH1130">
        <f>IF('История отказов'!AE1133="","",IF(AND(COUNTIF($CY$2:$CY$6,'История отказов'!AE1133)=0,COUNTIF('История отказов'!$AE$5:AE1133,'История отказов'!AE1133)=1),1129,""))</f>
        <v/>
      </c>
      <c r="DI1130">
        <f>IF('История отказов'!AK1133="","",IF(AND(COUNTIF($CL$2:$CL$3,'История отказов'!AK1133)=0,COUNTIF('История отказов'!$AK$5:AK1133,'История отказов'!AK1133)=1),1129,""))</f>
        <v/>
      </c>
      <c r="DJ1130">
        <f>IF('История отказов'!AU1133="","",IF(AND(COUNTIF($CP$2:$CP$3,'История отказов'!AU1133)=0,COUNTIF('История отказов'!$AU$5:AU1133,'История отказов'!AU1133)=1),1129,""))</f>
        <v/>
      </c>
      <c r="DK1130">
        <f>IF('История отказов'!AY1133="","",IF(AND(COUNTIF($CR$2:$CR$2,'История отказов'!AY1133)=0,COUNTIF('История отказов'!$AY$5:AY1133,'История отказов'!AY1133)=1),1129,""))</f>
        <v/>
      </c>
      <c r="DL1130">
        <f>IF(DB1130="","",IF(AND(COUNTIF($DA$2:$DA$47,DB1130)=0,COUNTIF($DB$2:DB1130,DB1130)=1),1129,""))</f>
        <v/>
      </c>
    </row>
    <row r="1131">
      <c r="A1131" s="110" t="n"/>
      <c r="DB1131">
        <f>IF('История отказов'!AH1134="","",'История отказов'!AH1134)</f>
        <v/>
      </c>
      <c r="DC1131">
        <f>IF('История отказов'!AE1134="","",IF(AND(COUNTIF($CT$2:$CT$2,'История отказов'!AE1134)=0,COUNTIFS('История отказов'!$F$5:F1134,"ШГН",'История отказов'!$AE$5:AE1134,'История отказов'!AE1134)=1,'История отказов'!F1134="ШГН"),1130,""))</f>
        <v/>
      </c>
      <c r="DD1131">
        <f>IF('История отказов'!AE1134="","",IF(AND(COUNTIF($CU$2:$CU$3,'История отказов'!AE1134)=0,COUNTIFS('История отказов'!$F$5:F1134,"ЭЦН",'История отказов'!$AE$5:AE1134,'История отказов'!AE1134)=1,'История отказов'!F1134="ЭЦН"),1130,""))</f>
        <v/>
      </c>
      <c r="DE1131">
        <f>IF('История отказов'!AE1134="","",IF(AND(COUNTIF($CV$2:$CV$3,'История отказов'!AE1134)=0,COUNTIFS('История отказов'!$F$5:F1134,"ЭВН",'История отказов'!$AE$5:AE1134,'История отказов'!AE1134)=1,'История отказов'!F1134="ЭВН"),1130,""))</f>
        <v/>
      </c>
      <c r="DF1131">
        <f>IF('История отказов'!AE1134="","",IF(AND(COUNTIF($CX$2:$CX$2,'История отказов'!AE1134)=0,COUNTIFS('История отказов'!$F$5:F1134,"ШВН",'История отказов'!$AE$5:AE1134,'История отказов'!AE1134)=1,'История отказов'!F1134="ШВН"),1130,""))</f>
        <v/>
      </c>
      <c r="DG1131">
        <f>IF('История отказов'!AE1134="","",IF(AND(COUNTIF($CW$2:$CW$2,'История отказов'!AE1134)=0,COUNTIFS('История отказов'!$F$5:F1134,"НПУ-ВД",'История отказов'!$AE$5:AE1134,'История отказов'!AE1134)=1,'История отказов'!F1134="НПУ-ВД"),1130,""))</f>
        <v/>
      </c>
      <c r="DH1131">
        <f>IF('История отказов'!AE1134="","",IF(AND(COUNTIF($CY$2:$CY$6,'История отказов'!AE1134)=0,COUNTIF('История отказов'!$AE$5:AE1134,'История отказов'!AE1134)=1),1130,""))</f>
        <v/>
      </c>
      <c r="DI1131">
        <f>IF('История отказов'!AK1134="","",IF(AND(COUNTIF($CL$2:$CL$3,'История отказов'!AK1134)=0,COUNTIF('История отказов'!$AK$5:AK1134,'История отказов'!AK1134)=1),1130,""))</f>
        <v/>
      </c>
      <c r="DJ1131">
        <f>IF('История отказов'!AU1134="","",IF(AND(COUNTIF($CP$2:$CP$3,'История отказов'!AU1134)=0,COUNTIF('История отказов'!$AU$5:AU1134,'История отказов'!AU1134)=1),1130,""))</f>
        <v/>
      </c>
      <c r="DK1131">
        <f>IF('История отказов'!AY1134="","",IF(AND(COUNTIF($CR$2:$CR$2,'История отказов'!AY1134)=0,COUNTIF('История отказов'!$AY$5:AY1134,'История отказов'!AY1134)=1),1130,""))</f>
        <v/>
      </c>
      <c r="DL1131">
        <f>IF(DB1131="","",IF(AND(COUNTIF($DA$2:$DA$47,DB1131)=0,COUNTIF($DB$2:DB1131,DB1131)=1),1130,""))</f>
        <v/>
      </c>
    </row>
    <row r="1132">
      <c r="A1132" s="110" t="n"/>
      <c r="DB1132">
        <f>IF('История отказов'!AH1135="","",'История отказов'!AH1135)</f>
        <v/>
      </c>
      <c r="DC1132">
        <f>IF('История отказов'!AE1135="","",IF(AND(COUNTIF($CT$2:$CT$2,'История отказов'!AE1135)=0,COUNTIFS('История отказов'!$F$5:F1135,"ШГН",'История отказов'!$AE$5:AE1135,'История отказов'!AE1135)=1,'История отказов'!F1135="ШГН"),1131,""))</f>
        <v/>
      </c>
      <c r="DD1132">
        <f>IF('История отказов'!AE1135="","",IF(AND(COUNTIF($CU$2:$CU$3,'История отказов'!AE1135)=0,COUNTIFS('История отказов'!$F$5:F1135,"ЭЦН",'История отказов'!$AE$5:AE1135,'История отказов'!AE1135)=1,'История отказов'!F1135="ЭЦН"),1131,""))</f>
        <v/>
      </c>
      <c r="DE1132">
        <f>IF('История отказов'!AE1135="","",IF(AND(COUNTIF($CV$2:$CV$3,'История отказов'!AE1135)=0,COUNTIFS('История отказов'!$F$5:F1135,"ЭВН",'История отказов'!$AE$5:AE1135,'История отказов'!AE1135)=1,'История отказов'!F1135="ЭВН"),1131,""))</f>
        <v/>
      </c>
      <c r="DF1132">
        <f>IF('История отказов'!AE1135="","",IF(AND(COUNTIF($CX$2:$CX$2,'История отказов'!AE1135)=0,COUNTIFS('История отказов'!$F$5:F1135,"ШВН",'История отказов'!$AE$5:AE1135,'История отказов'!AE1135)=1,'История отказов'!F1135="ШВН"),1131,""))</f>
        <v/>
      </c>
      <c r="DG1132">
        <f>IF('История отказов'!AE1135="","",IF(AND(COUNTIF($CW$2:$CW$2,'История отказов'!AE1135)=0,COUNTIFS('История отказов'!$F$5:F1135,"НПУ-ВД",'История отказов'!$AE$5:AE1135,'История отказов'!AE1135)=1,'История отказов'!F1135="НПУ-ВД"),1131,""))</f>
        <v/>
      </c>
      <c r="DH1132">
        <f>IF('История отказов'!AE1135="","",IF(AND(COUNTIF($CY$2:$CY$6,'История отказов'!AE1135)=0,COUNTIF('История отказов'!$AE$5:AE1135,'История отказов'!AE1135)=1),1131,""))</f>
        <v/>
      </c>
      <c r="DI1132">
        <f>IF('История отказов'!AK1135="","",IF(AND(COUNTIF($CL$2:$CL$3,'История отказов'!AK1135)=0,COUNTIF('История отказов'!$AK$5:AK1135,'История отказов'!AK1135)=1),1131,""))</f>
        <v/>
      </c>
      <c r="DJ1132">
        <f>IF('История отказов'!AU1135="","",IF(AND(COUNTIF($CP$2:$CP$3,'История отказов'!AU1135)=0,COUNTIF('История отказов'!$AU$5:AU1135,'История отказов'!AU1135)=1),1131,""))</f>
        <v/>
      </c>
      <c r="DK1132">
        <f>IF('История отказов'!AY1135="","",IF(AND(COUNTIF($CR$2:$CR$2,'История отказов'!AY1135)=0,COUNTIF('История отказов'!$AY$5:AY1135,'История отказов'!AY1135)=1),1131,""))</f>
        <v/>
      </c>
      <c r="DL1132">
        <f>IF(DB1132="","",IF(AND(COUNTIF($DA$2:$DA$47,DB1132)=0,COUNTIF($DB$2:DB1132,DB1132)=1),1131,""))</f>
        <v/>
      </c>
    </row>
    <row r="1133">
      <c r="A1133" s="110" t="n"/>
      <c r="DB1133">
        <f>IF('История отказов'!AH1136="","",'История отказов'!AH1136)</f>
        <v/>
      </c>
      <c r="DC1133">
        <f>IF('История отказов'!AE1136="","",IF(AND(COUNTIF($CT$2:$CT$2,'История отказов'!AE1136)=0,COUNTIFS('История отказов'!$F$5:F1136,"ШГН",'История отказов'!$AE$5:AE1136,'История отказов'!AE1136)=1,'История отказов'!F1136="ШГН"),1132,""))</f>
        <v/>
      </c>
      <c r="DD1133">
        <f>IF('История отказов'!AE1136="","",IF(AND(COUNTIF($CU$2:$CU$3,'История отказов'!AE1136)=0,COUNTIFS('История отказов'!$F$5:F1136,"ЭЦН",'История отказов'!$AE$5:AE1136,'История отказов'!AE1136)=1,'История отказов'!F1136="ЭЦН"),1132,""))</f>
        <v/>
      </c>
      <c r="DE1133">
        <f>IF('История отказов'!AE1136="","",IF(AND(COUNTIF($CV$2:$CV$3,'История отказов'!AE1136)=0,COUNTIFS('История отказов'!$F$5:F1136,"ЭВН",'История отказов'!$AE$5:AE1136,'История отказов'!AE1136)=1,'История отказов'!F1136="ЭВН"),1132,""))</f>
        <v/>
      </c>
      <c r="DF1133">
        <f>IF('История отказов'!AE1136="","",IF(AND(COUNTIF($CX$2:$CX$2,'История отказов'!AE1136)=0,COUNTIFS('История отказов'!$F$5:F1136,"ШВН",'История отказов'!$AE$5:AE1136,'История отказов'!AE1136)=1,'История отказов'!F1136="ШВН"),1132,""))</f>
        <v/>
      </c>
      <c r="DG1133">
        <f>IF('История отказов'!AE1136="","",IF(AND(COUNTIF($CW$2:$CW$2,'История отказов'!AE1136)=0,COUNTIFS('История отказов'!$F$5:F1136,"НПУ-ВД",'История отказов'!$AE$5:AE1136,'История отказов'!AE1136)=1,'История отказов'!F1136="НПУ-ВД"),1132,""))</f>
        <v/>
      </c>
      <c r="DH1133">
        <f>IF('История отказов'!AE1136="","",IF(AND(COUNTIF($CY$2:$CY$6,'История отказов'!AE1136)=0,COUNTIF('История отказов'!$AE$5:AE1136,'История отказов'!AE1136)=1),1132,""))</f>
        <v/>
      </c>
      <c r="DI1133">
        <f>IF('История отказов'!AK1136="","",IF(AND(COUNTIF($CL$2:$CL$3,'История отказов'!AK1136)=0,COUNTIF('История отказов'!$AK$5:AK1136,'История отказов'!AK1136)=1),1132,""))</f>
        <v/>
      </c>
      <c r="DJ1133">
        <f>IF('История отказов'!AU1136="","",IF(AND(COUNTIF($CP$2:$CP$3,'История отказов'!AU1136)=0,COUNTIF('История отказов'!$AU$5:AU1136,'История отказов'!AU1136)=1),1132,""))</f>
        <v/>
      </c>
      <c r="DK1133">
        <f>IF('История отказов'!AY1136="","",IF(AND(COUNTIF($CR$2:$CR$2,'История отказов'!AY1136)=0,COUNTIF('История отказов'!$AY$5:AY1136,'История отказов'!AY1136)=1),1132,""))</f>
        <v/>
      </c>
      <c r="DL1133">
        <f>IF(DB1133="","",IF(AND(COUNTIF($DA$2:$DA$47,DB1133)=0,COUNTIF($DB$2:DB1133,DB1133)=1),1132,""))</f>
        <v/>
      </c>
    </row>
    <row r="1134">
      <c r="A1134" s="110" t="n"/>
      <c r="DB1134">
        <f>IF('История отказов'!AH1137="","",'История отказов'!AH1137)</f>
        <v/>
      </c>
      <c r="DC1134">
        <f>IF('История отказов'!AE1137="","",IF(AND(COUNTIF($CT$2:$CT$2,'История отказов'!AE1137)=0,COUNTIFS('История отказов'!$F$5:F1137,"ШГН",'История отказов'!$AE$5:AE1137,'История отказов'!AE1137)=1,'История отказов'!F1137="ШГН"),1133,""))</f>
        <v/>
      </c>
      <c r="DD1134">
        <f>IF('История отказов'!AE1137="","",IF(AND(COUNTIF($CU$2:$CU$3,'История отказов'!AE1137)=0,COUNTIFS('История отказов'!$F$5:F1137,"ЭЦН",'История отказов'!$AE$5:AE1137,'История отказов'!AE1137)=1,'История отказов'!F1137="ЭЦН"),1133,""))</f>
        <v/>
      </c>
      <c r="DE1134">
        <f>IF('История отказов'!AE1137="","",IF(AND(COUNTIF($CV$2:$CV$3,'История отказов'!AE1137)=0,COUNTIFS('История отказов'!$F$5:F1137,"ЭВН",'История отказов'!$AE$5:AE1137,'История отказов'!AE1137)=1,'История отказов'!F1137="ЭВН"),1133,""))</f>
        <v/>
      </c>
      <c r="DF1134">
        <f>IF('История отказов'!AE1137="","",IF(AND(COUNTIF($CX$2:$CX$2,'История отказов'!AE1137)=0,COUNTIFS('История отказов'!$F$5:F1137,"ШВН",'История отказов'!$AE$5:AE1137,'История отказов'!AE1137)=1,'История отказов'!F1137="ШВН"),1133,""))</f>
        <v/>
      </c>
      <c r="DG1134">
        <f>IF('История отказов'!AE1137="","",IF(AND(COUNTIF($CW$2:$CW$2,'История отказов'!AE1137)=0,COUNTIFS('История отказов'!$F$5:F1137,"НПУ-ВД",'История отказов'!$AE$5:AE1137,'История отказов'!AE1137)=1,'История отказов'!F1137="НПУ-ВД"),1133,""))</f>
        <v/>
      </c>
      <c r="DH1134">
        <f>IF('История отказов'!AE1137="","",IF(AND(COUNTIF($CY$2:$CY$6,'История отказов'!AE1137)=0,COUNTIF('История отказов'!$AE$5:AE1137,'История отказов'!AE1137)=1),1133,""))</f>
        <v/>
      </c>
      <c r="DI1134">
        <f>IF('История отказов'!AK1137="","",IF(AND(COUNTIF($CL$2:$CL$3,'История отказов'!AK1137)=0,COUNTIF('История отказов'!$AK$5:AK1137,'История отказов'!AK1137)=1),1133,""))</f>
        <v/>
      </c>
      <c r="DJ1134">
        <f>IF('История отказов'!AU1137="","",IF(AND(COUNTIF($CP$2:$CP$3,'История отказов'!AU1137)=0,COUNTIF('История отказов'!$AU$5:AU1137,'История отказов'!AU1137)=1),1133,""))</f>
        <v/>
      </c>
      <c r="DK1134">
        <f>IF('История отказов'!AY1137="","",IF(AND(COUNTIF($CR$2:$CR$2,'История отказов'!AY1137)=0,COUNTIF('История отказов'!$AY$5:AY1137,'История отказов'!AY1137)=1),1133,""))</f>
        <v/>
      </c>
      <c r="DL1134">
        <f>IF(DB1134="","",IF(AND(COUNTIF($DA$2:$DA$47,DB1134)=0,COUNTIF($DB$2:DB1134,DB1134)=1),1133,""))</f>
        <v/>
      </c>
    </row>
    <row r="1135">
      <c r="A1135" s="110" t="n"/>
      <c r="DB1135">
        <f>IF('История отказов'!AH1138="","",'История отказов'!AH1138)</f>
        <v/>
      </c>
      <c r="DC1135">
        <f>IF('История отказов'!AE1138="","",IF(AND(COUNTIF($CT$2:$CT$2,'История отказов'!AE1138)=0,COUNTIFS('История отказов'!$F$5:F1138,"ШГН",'История отказов'!$AE$5:AE1138,'История отказов'!AE1138)=1,'История отказов'!F1138="ШГН"),1134,""))</f>
        <v/>
      </c>
      <c r="DD1135">
        <f>IF('История отказов'!AE1138="","",IF(AND(COUNTIF($CU$2:$CU$3,'История отказов'!AE1138)=0,COUNTIFS('История отказов'!$F$5:F1138,"ЭЦН",'История отказов'!$AE$5:AE1138,'История отказов'!AE1138)=1,'История отказов'!F1138="ЭЦН"),1134,""))</f>
        <v/>
      </c>
      <c r="DE1135">
        <f>IF('История отказов'!AE1138="","",IF(AND(COUNTIF($CV$2:$CV$3,'История отказов'!AE1138)=0,COUNTIFS('История отказов'!$F$5:F1138,"ЭВН",'История отказов'!$AE$5:AE1138,'История отказов'!AE1138)=1,'История отказов'!F1138="ЭВН"),1134,""))</f>
        <v/>
      </c>
      <c r="DF1135">
        <f>IF('История отказов'!AE1138="","",IF(AND(COUNTIF($CX$2:$CX$2,'История отказов'!AE1138)=0,COUNTIFS('История отказов'!$F$5:F1138,"ШВН",'История отказов'!$AE$5:AE1138,'История отказов'!AE1138)=1,'История отказов'!F1138="ШВН"),1134,""))</f>
        <v/>
      </c>
      <c r="DG1135">
        <f>IF('История отказов'!AE1138="","",IF(AND(COUNTIF($CW$2:$CW$2,'История отказов'!AE1138)=0,COUNTIFS('История отказов'!$F$5:F1138,"НПУ-ВД",'История отказов'!$AE$5:AE1138,'История отказов'!AE1138)=1,'История отказов'!F1138="НПУ-ВД"),1134,""))</f>
        <v/>
      </c>
      <c r="DH1135">
        <f>IF('История отказов'!AE1138="","",IF(AND(COUNTIF($CY$2:$CY$6,'История отказов'!AE1138)=0,COUNTIF('История отказов'!$AE$5:AE1138,'История отказов'!AE1138)=1),1134,""))</f>
        <v/>
      </c>
      <c r="DI1135">
        <f>IF('История отказов'!AK1138="","",IF(AND(COUNTIF($CL$2:$CL$3,'История отказов'!AK1138)=0,COUNTIF('История отказов'!$AK$5:AK1138,'История отказов'!AK1138)=1),1134,""))</f>
        <v/>
      </c>
      <c r="DJ1135">
        <f>IF('История отказов'!AU1138="","",IF(AND(COUNTIF($CP$2:$CP$3,'История отказов'!AU1138)=0,COUNTIF('История отказов'!$AU$5:AU1138,'История отказов'!AU1138)=1),1134,""))</f>
        <v/>
      </c>
      <c r="DK1135">
        <f>IF('История отказов'!AY1138="","",IF(AND(COUNTIF($CR$2:$CR$2,'История отказов'!AY1138)=0,COUNTIF('История отказов'!$AY$5:AY1138,'История отказов'!AY1138)=1),1134,""))</f>
        <v/>
      </c>
      <c r="DL1135">
        <f>IF(DB1135="","",IF(AND(COUNTIF($DA$2:$DA$47,DB1135)=0,COUNTIF($DB$2:DB1135,DB1135)=1),1134,""))</f>
        <v/>
      </c>
    </row>
    <row r="1136">
      <c r="A1136" s="110" t="n"/>
      <c r="DB1136">
        <f>IF('История отказов'!AH1139="","",'История отказов'!AH1139)</f>
        <v/>
      </c>
      <c r="DC1136">
        <f>IF('История отказов'!AE1139="","",IF(AND(COUNTIF($CT$2:$CT$2,'История отказов'!AE1139)=0,COUNTIFS('История отказов'!$F$5:F1139,"ШГН",'История отказов'!$AE$5:AE1139,'История отказов'!AE1139)=1,'История отказов'!F1139="ШГН"),1135,""))</f>
        <v/>
      </c>
      <c r="DD1136">
        <f>IF('История отказов'!AE1139="","",IF(AND(COUNTIF($CU$2:$CU$3,'История отказов'!AE1139)=0,COUNTIFS('История отказов'!$F$5:F1139,"ЭЦН",'История отказов'!$AE$5:AE1139,'История отказов'!AE1139)=1,'История отказов'!F1139="ЭЦН"),1135,""))</f>
        <v/>
      </c>
      <c r="DE1136">
        <f>IF('История отказов'!AE1139="","",IF(AND(COUNTIF($CV$2:$CV$3,'История отказов'!AE1139)=0,COUNTIFS('История отказов'!$F$5:F1139,"ЭВН",'История отказов'!$AE$5:AE1139,'История отказов'!AE1139)=1,'История отказов'!F1139="ЭВН"),1135,""))</f>
        <v/>
      </c>
      <c r="DF1136">
        <f>IF('История отказов'!AE1139="","",IF(AND(COUNTIF($CX$2:$CX$2,'История отказов'!AE1139)=0,COUNTIFS('История отказов'!$F$5:F1139,"ШВН",'История отказов'!$AE$5:AE1139,'История отказов'!AE1139)=1,'История отказов'!F1139="ШВН"),1135,""))</f>
        <v/>
      </c>
      <c r="DG1136">
        <f>IF('История отказов'!AE1139="","",IF(AND(COUNTIF($CW$2:$CW$2,'История отказов'!AE1139)=0,COUNTIFS('История отказов'!$F$5:F1139,"НПУ-ВД",'История отказов'!$AE$5:AE1139,'История отказов'!AE1139)=1,'История отказов'!F1139="НПУ-ВД"),1135,""))</f>
        <v/>
      </c>
      <c r="DH1136">
        <f>IF('История отказов'!AE1139="","",IF(AND(COUNTIF($CY$2:$CY$6,'История отказов'!AE1139)=0,COUNTIF('История отказов'!$AE$5:AE1139,'История отказов'!AE1139)=1),1135,""))</f>
        <v/>
      </c>
      <c r="DI1136">
        <f>IF('История отказов'!AK1139="","",IF(AND(COUNTIF($CL$2:$CL$3,'История отказов'!AK1139)=0,COUNTIF('История отказов'!$AK$5:AK1139,'История отказов'!AK1139)=1),1135,""))</f>
        <v/>
      </c>
      <c r="DJ1136">
        <f>IF('История отказов'!AU1139="","",IF(AND(COUNTIF($CP$2:$CP$3,'История отказов'!AU1139)=0,COUNTIF('История отказов'!$AU$5:AU1139,'История отказов'!AU1139)=1),1135,""))</f>
        <v/>
      </c>
      <c r="DK1136">
        <f>IF('История отказов'!AY1139="","",IF(AND(COUNTIF($CR$2:$CR$2,'История отказов'!AY1139)=0,COUNTIF('История отказов'!$AY$5:AY1139,'История отказов'!AY1139)=1),1135,""))</f>
        <v/>
      </c>
      <c r="DL1136">
        <f>IF(DB1136="","",IF(AND(COUNTIF($DA$2:$DA$47,DB1136)=0,COUNTIF($DB$2:DB1136,DB1136)=1),1135,""))</f>
        <v/>
      </c>
    </row>
    <row r="1137">
      <c r="A1137" s="110" t="n"/>
      <c r="DB1137">
        <f>IF('История отказов'!AH1140="","",'История отказов'!AH1140)</f>
        <v/>
      </c>
      <c r="DC1137">
        <f>IF('История отказов'!AE1140="","",IF(AND(COUNTIF($CT$2:$CT$2,'История отказов'!AE1140)=0,COUNTIFS('История отказов'!$F$5:F1140,"ШГН",'История отказов'!$AE$5:AE1140,'История отказов'!AE1140)=1,'История отказов'!F1140="ШГН"),1136,""))</f>
        <v/>
      </c>
      <c r="DD1137">
        <f>IF('История отказов'!AE1140="","",IF(AND(COUNTIF($CU$2:$CU$3,'История отказов'!AE1140)=0,COUNTIFS('История отказов'!$F$5:F1140,"ЭЦН",'История отказов'!$AE$5:AE1140,'История отказов'!AE1140)=1,'История отказов'!F1140="ЭЦН"),1136,""))</f>
        <v/>
      </c>
      <c r="DE1137">
        <f>IF('История отказов'!AE1140="","",IF(AND(COUNTIF($CV$2:$CV$3,'История отказов'!AE1140)=0,COUNTIFS('История отказов'!$F$5:F1140,"ЭВН",'История отказов'!$AE$5:AE1140,'История отказов'!AE1140)=1,'История отказов'!F1140="ЭВН"),1136,""))</f>
        <v/>
      </c>
      <c r="DF1137">
        <f>IF('История отказов'!AE1140="","",IF(AND(COUNTIF($CX$2:$CX$2,'История отказов'!AE1140)=0,COUNTIFS('История отказов'!$F$5:F1140,"ШВН",'История отказов'!$AE$5:AE1140,'История отказов'!AE1140)=1,'История отказов'!F1140="ШВН"),1136,""))</f>
        <v/>
      </c>
      <c r="DG1137">
        <f>IF('История отказов'!AE1140="","",IF(AND(COUNTIF($CW$2:$CW$2,'История отказов'!AE1140)=0,COUNTIFS('История отказов'!$F$5:F1140,"НПУ-ВД",'История отказов'!$AE$5:AE1140,'История отказов'!AE1140)=1,'История отказов'!F1140="НПУ-ВД"),1136,""))</f>
        <v/>
      </c>
      <c r="DH1137">
        <f>IF('История отказов'!AE1140="","",IF(AND(COUNTIF($CY$2:$CY$6,'История отказов'!AE1140)=0,COUNTIF('История отказов'!$AE$5:AE1140,'История отказов'!AE1140)=1),1136,""))</f>
        <v/>
      </c>
      <c r="DI1137">
        <f>IF('История отказов'!AK1140="","",IF(AND(COUNTIF($CL$2:$CL$3,'История отказов'!AK1140)=0,COUNTIF('История отказов'!$AK$5:AK1140,'История отказов'!AK1140)=1),1136,""))</f>
        <v/>
      </c>
      <c r="DJ1137">
        <f>IF('История отказов'!AU1140="","",IF(AND(COUNTIF($CP$2:$CP$3,'История отказов'!AU1140)=0,COUNTIF('История отказов'!$AU$5:AU1140,'История отказов'!AU1140)=1),1136,""))</f>
        <v/>
      </c>
      <c r="DK1137">
        <f>IF('История отказов'!AY1140="","",IF(AND(COUNTIF($CR$2:$CR$2,'История отказов'!AY1140)=0,COUNTIF('История отказов'!$AY$5:AY1140,'История отказов'!AY1140)=1),1136,""))</f>
        <v/>
      </c>
      <c r="DL1137">
        <f>IF(DB1137="","",IF(AND(COUNTIF($DA$2:$DA$47,DB1137)=0,COUNTIF($DB$2:DB1137,DB1137)=1),1136,""))</f>
        <v/>
      </c>
    </row>
    <row r="1138">
      <c r="A1138" s="110" t="n"/>
      <c r="DB1138">
        <f>IF('История отказов'!AH1141="","",'История отказов'!AH1141)</f>
        <v/>
      </c>
      <c r="DC1138">
        <f>IF('История отказов'!AE1141="","",IF(AND(COUNTIF($CT$2:$CT$2,'История отказов'!AE1141)=0,COUNTIFS('История отказов'!$F$5:F1141,"ШГН",'История отказов'!$AE$5:AE1141,'История отказов'!AE1141)=1,'История отказов'!F1141="ШГН"),1137,""))</f>
        <v/>
      </c>
      <c r="DD1138">
        <f>IF('История отказов'!AE1141="","",IF(AND(COUNTIF($CU$2:$CU$3,'История отказов'!AE1141)=0,COUNTIFS('История отказов'!$F$5:F1141,"ЭЦН",'История отказов'!$AE$5:AE1141,'История отказов'!AE1141)=1,'История отказов'!F1141="ЭЦН"),1137,""))</f>
        <v/>
      </c>
      <c r="DE1138">
        <f>IF('История отказов'!AE1141="","",IF(AND(COUNTIF($CV$2:$CV$3,'История отказов'!AE1141)=0,COUNTIFS('История отказов'!$F$5:F1141,"ЭВН",'История отказов'!$AE$5:AE1141,'История отказов'!AE1141)=1,'История отказов'!F1141="ЭВН"),1137,""))</f>
        <v/>
      </c>
      <c r="DF1138">
        <f>IF('История отказов'!AE1141="","",IF(AND(COUNTIF($CX$2:$CX$2,'История отказов'!AE1141)=0,COUNTIFS('История отказов'!$F$5:F1141,"ШВН",'История отказов'!$AE$5:AE1141,'История отказов'!AE1141)=1,'История отказов'!F1141="ШВН"),1137,""))</f>
        <v/>
      </c>
      <c r="DG1138">
        <f>IF('История отказов'!AE1141="","",IF(AND(COUNTIF($CW$2:$CW$2,'История отказов'!AE1141)=0,COUNTIFS('История отказов'!$F$5:F1141,"НПУ-ВД",'История отказов'!$AE$5:AE1141,'История отказов'!AE1141)=1,'История отказов'!F1141="НПУ-ВД"),1137,""))</f>
        <v/>
      </c>
      <c r="DH1138">
        <f>IF('История отказов'!AE1141="","",IF(AND(COUNTIF($CY$2:$CY$6,'История отказов'!AE1141)=0,COUNTIF('История отказов'!$AE$5:AE1141,'История отказов'!AE1141)=1),1137,""))</f>
        <v/>
      </c>
      <c r="DI1138">
        <f>IF('История отказов'!AK1141="","",IF(AND(COUNTIF($CL$2:$CL$3,'История отказов'!AK1141)=0,COUNTIF('История отказов'!$AK$5:AK1141,'История отказов'!AK1141)=1),1137,""))</f>
        <v/>
      </c>
      <c r="DJ1138">
        <f>IF('История отказов'!AU1141="","",IF(AND(COUNTIF($CP$2:$CP$3,'История отказов'!AU1141)=0,COUNTIF('История отказов'!$AU$5:AU1141,'История отказов'!AU1141)=1),1137,""))</f>
        <v/>
      </c>
      <c r="DK1138">
        <f>IF('История отказов'!AY1141="","",IF(AND(COUNTIF($CR$2:$CR$2,'История отказов'!AY1141)=0,COUNTIF('История отказов'!$AY$5:AY1141,'История отказов'!AY1141)=1),1137,""))</f>
        <v/>
      </c>
      <c r="DL1138">
        <f>IF(DB1138="","",IF(AND(COUNTIF($DA$2:$DA$47,DB1138)=0,COUNTIF($DB$2:DB1138,DB1138)=1),1137,""))</f>
        <v/>
      </c>
    </row>
    <row r="1139">
      <c r="A1139" s="110" t="n"/>
      <c r="DB1139">
        <f>IF('История отказов'!AH1142="","",'История отказов'!AH1142)</f>
        <v/>
      </c>
      <c r="DC1139">
        <f>IF('История отказов'!AE1142="","",IF(AND(COUNTIF($CT$2:$CT$2,'История отказов'!AE1142)=0,COUNTIFS('История отказов'!$F$5:F1142,"ШГН",'История отказов'!$AE$5:AE1142,'История отказов'!AE1142)=1,'История отказов'!F1142="ШГН"),1138,""))</f>
        <v/>
      </c>
      <c r="DD1139">
        <f>IF('История отказов'!AE1142="","",IF(AND(COUNTIF($CU$2:$CU$3,'История отказов'!AE1142)=0,COUNTIFS('История отказов'!$F$5:F1142,"ЭЦН",'История отказов'!$AE$5:AE1142,'История отказов'!AE1142)=1,'История отказов'!F1142="ЭЦН"),1138,""))</f>
        <v/>
      </c>
      <c r="DE1139">
        <f>IF('История отказов'!AE1142="","",IF(AND(COUNTIF($CV$2:$CV$3,'История отказов'!AE1142)=0,COUNTIFS('История отказов'!$F$5:F1142,"ЭВН",'История отказов'!$AE$5:AE1142,'История отказов'!AE1142)=1,'История отказов'!F1142="ЭВН"),1138,""))</f>
        <v/>
      </c>
      <c r="DF1139">
        <f>IF('История отказов'!AE1142="","",IF(AND(COUNTIF($CX$2:$CX$2,'История отказов'!AE1142)=0,COUNTIFS('История отказов'!$F$5:F1142,"ШВН",'История отказов'!$AE$5:AE1142,'История отказов'!AE1142)=1,'История отказов'!F1142="ШВН"),1138,""))</f>
        <v/>
      </c>
      <c r="DG1139">
        <f>IF('История отказов'!AE1142="","",IF(AND(COUNTIF($CW$2:$CW$2,'История отказов'!AE1142)=0,COUNTIFS('История отказов'!$F$5:F1142,"НПУ-ВД",'История отказов'!$AE$5:AE1142,'История отказов'!AE1142)=1,'История отказов'!F1142="НПУ-ВД"),1138,""))</f>
        <v/>
      </c>
      <c r="DH1139">
        <f>IF('История отказов'!AE1142="","",IF(AND(COUNTIF($CY$2:$CY$6,'История отказов'!AE1142)=0,COUNTIF('История отказов'!$AE$5:AE1142,'История отказов'!AE1142)=1),1138,""))</f>
        <v/>
      </c>
      <c r="DI1139">
        <f>IF('История отказов'!AK1142="","",IF(AND(COUNTIF($CL$2:$CL$3,'История отказов'!AK1142)=0,COUNTIF('История отказов'!$AK$5:AK1142,'История отказов'!AK1142)=1),1138,""))</f>
        <v/>
      </c>
      <c r="DJ1139">
        <f>IF('История отказов'!AU1142="","",IF(AND(COUNTIF($CP$2:$CP$3,'История отказов'!AU1142)=0,COUNTIF('История отказов'!$AU$5:AU1142,'История отказов'!AU1142)=1),1138,""))</f>
        <v/>
      </c>
      <c r="DK1139">
        <f>IF('История отказов'!AY1142="","",IF(AND(COUNTIF($CR$2:$CR$2,'История отказов'!AY1142)=0,COUNTIF('История отказов'!$AY$5:AY1142,'История отказов'!AY1142)=1),1138,""))</f>
        <v/>
      </c>
      <c r="DL1139">
        <f>IF(DB1139="","",IF(AND(COUNTIF($DA$2:$DA$47,DB1139)=0,COUNTIF($DB$2:DB1139,DB1139)=1),1138,""))</f>
        <v/>
      </c>
    </row>
    <row r="1140">
      <c r="A1140" s="110" t="n"/>
      <c r="DB1140">
        <f>IF('История отказов'!AH1143="","",'История отказов'!AH1143)</f>
        <v/>
      </c>
      <c r="DC1140">
        <f>IF('История отказов'!AE1143="","",IF(AND(COUNTIF($CT$2:$CT$2,'История отказов'!AE1143)=0,COUNTIFS('История отказов'!$F$5:F1143,"ШГН",'История отказов'!$AE$5:AE1143,'История отказов'!AE1143)=1,'История отказов'!F1143="ШГН"),1139,""))</f>
        <v/>
      </c>
      <c r="DD1140">
        <f>IF('История отказов'!AE1143="","",IF(AND(COUNTIF($CU$2:$CU$3,'История отказов'!AE1143)=0,COUNTIFS('История отказов'!$F$5:F1143,"ЭЦН",'История отказов'!$AE$5:AE1143,'История отказов'!AE1143)=1,'История отказов'!F1143="ЭЦН"),1139,""))</f>
        <v/>
      </c>
      <c r="DE1140">
        <f>IF('История отказов'!AE1143="","",IF(AND(COUNTIF($CV$2:$CV$3,'История отказов'!AE1143)=0,COUNTIFS('История отказов'!$F$5:F1143,"ЭВН",'История отказов'!$AE$5:AE1143,'История отказов'!AE1143)=1,'История отказов'!F1143="ЭВН"),1139,""))</f>
        <v/>
      </c>
      <c r="DF1140">
        <f>IF('История отказов'!AE1143="","",IF(AND(COUNTIF($CX$2:$CX$2,'История отказов'!AE1143)=0,COUNTIFS('История отказов'!$F$5:F1143,"ШВН",'История отказов'!$AE$5:AE1143,'История отказов'!AE1143)=1,'История отказов'!F1143="ШВН"),1139,""))</f>
        <v/>
      </c>
      <c r="DG1140">
        <f>IF('История отказов'!AE1143="","",IF(AND(COUNTIF($CW$2:$CW$2,'История отказов'!AE1143)=0,COUNTIFS('История отказов'!$F$5:F1143,"НПУ-ВД",'История отказов'!$AE$5:AE1143,'История отказов'!AE1143)=1,'История отказов'!F1143="НПУ-ВД"),1139,""))</f>
        <v/>
      </c>
      <c r="DH1140">
        <f>IF('История отказов'!AE1143="","",IF(AND(COUNTIF($CY$2:$CY$6,'История отказов'!AE1143)=0,COUNTIF('История отказов'!$AE$5:AE1143,'История отказов'!AE1143)=1),1139,""))</f>
        <v/>
      </c>
      <c r="DI1140">
        <f>IF('История отказов'!AK1143="","",IF(AND(COUNTIF($CL$2:$CL$3,'История отказов'!AK1143)=0,COUNTIF('История отказов'!$AK$5:AK1143,'История отказов'!AK1143)=1),1139,""))</f>
        <v/>
      </c>
      <c r="DJ1140">
        <f>IF('История отказов'!AU1143="","",IF(AND(COUNTIF($CP$2:$CP$3,'История отказов'!AU1143)=0,COUNTIF('История отказов'!$AU$5:AU1143,'История отказов'!AU1143)=1),1139,""))</f>
        <v/>
      </c>
      <c r="DK1140">
        <f>IF('История отказов'!AY1143="","",IF(AND(COUNTIF($CR$2:$CR$2,'История отказов'!AY1143)=0,COUNTIF('История отказов'!$AY$5:AY1143,'История отказов'!AY1143)=1),1139,""))</f>
        <v/>
      </c>
      <c r="DL1140">
        <f>IF(DB1140="","",IF(AND(COUNTIF($DA$2:$DA$47,DB1140)=0,COUNTIF($DB$2:DB1140,DB1140)=1),1139,""))</f>
        <v/>
      </c>
    </row>
    <row r="1141">
      <c r="A1141" s="110" t="n"/>
      <c r="DB1141">
        <f>IF('История отказов'!AH1144="","",'История отказов'!AH1144)</f>
        <v/>
      </c>
      <c r="DC1141">
        <f>IF('История отказов'!AE1144="","",IF(AND(COUNTIF($CT$2:$CT$2,'История отказов'!AE1144)=0,COUNTIFS('История отказов'!$F$5:F1144,"ШГН",'История отказов'!$AE$5:AE1144,'История отказов'!AE1144)=1,'История отказов'!F1144="ШГН"),1140,""))</f>
        <v/>
      </c>
      <c r="DD1141">
        <f>IF('История отказов'!AE1144="","",IF(AND(COUNTIF($CU$2:$CU$3,'История отказов'!AE1144)=0,COUNTIFS('История отказов'!$F$5:F1144,"ЭЦН",'История отказов'!$AE$5:AE1144,'История отказов'!AE1144)=1,'История отказов'!F1144="ЭЦН"),1140,""))</f>
        <v/>
      </c>
      <c r="DE1141">
        <f>IF('История отказов'!AE1144="","",IF(AND(COUNTIF($CV$2:$CV$3,'История отказов'!AE1144)=0,COUNTIFS('История отказов'!$F$5:F1144,"ЭВН",'История отказов'!$AE$5:AE1144,'История отказов'!AE1144)=1,'История отказов'!F1144="ЭВН"),1140,""))</f>
        <v/>
      </c>
      <c r="DF1141">
        <f>IF('История отказов'!AE1144="","",IF(AND(COUNTIF($CX$2:$CX$2,'История отказов'!AE1144)=0,COUNTIFS('История отказов'!$F$5:F1144,"ШВН",'История отказов'!$AE$5:AE1144,'История отказов'!AE1144)=1,'История отказов'!F1144="ШВН"),1140,""))</f>
        <v/>
      </c>
      <c r="DG1141">
        <f>IF('История отказов'!AE1144="","",IF(AND(COUNTIF($CW$2:$CW$2,'История отказов'!AE1144)=0,COUNTIFS('История отказов'!$F$5:F1144,"НПУ-ВД",'История отказов'!$AE$5:AE1144,'История отказов'!AE1144)=1,'История отказов'!F1144="НПУ-ВД"),1140,""))</f>
        <v/>
      </c>
      <c r="DH1141">
        <f>IF('История отказов'!AE1144="","",IF(AND(COUNTIF($CY$2:$CY$6,'История отказов'!AE1144)=0,COUNTIF('История отказов'!$AE$5:AE1144,'История отказов'!AE1144)=1),1140,""))</f>
        <v/>
      </c>
      <c r="DI1141">
        <f>IF('История отказов'!AK1144="","",IF(AND(COUNTIF($CL$2:$CL$3,'История отказов'!AK1144)=0,COUNTIF('История отказов'!$AK$5:AK1144,'История отказов'!AK1144)=1),1140,""))</f>
        <v/>
      </c>
      <c r="DJ1141">
        <f>IF('История отказов'!AU1144="","",IF(AND(COUNTIF($CP$2:$CP$3,'История отказов'!AU1144)=0,COUNTIF('История отказов'!$AU$5:AU1144,'История отказов'!AU1144)=1),1140,""))</f>
        <v/>
      </c>
      <c r="DK1141">
        <f>IF('История отказов'!AY1144="","",IF(AND(COUNTIF($CR$2:$CR$2,'История отказов'!AY1144)=0,COUNTIF('История отказов'!$AY$5:AY1144,'История отказов'!AY1144)=1),1140,""))</f>
        <v/>
      </c>
      <c r="DL1141">
        <f>IF(DB1141="","",IF(AND(COUNTIF($DA$2:$DA$47,DB1141)=0,COUNTIF($DB$2:DB1141,DB1141)=1),1140,""))</f>
        <v/>
      </c>
    </row>
    <row r="1142">
      <c r="A1142" s="110" t="n"/>
      <c r="DB1142">
        <f>IF('История отказов'!AH1145="","",'История отказов'!AH1145)</f>
        <v/>
      </c>
      <c r="DC1142">
        <f>IF('История отказов'!AE1145="","",IF(AND(COUNTIF($CT$2:$CT$2,'История отказов'!AE1145)=0,COUNTIFS('История отказов'!$F$5:F1145,"ШГН",'История отказов'!$AE$5:AE1145,'История отказов'!AE1145)=1,'История отказов'!F1145="ШГН"),1141,""))</f>
        <v/>
      </c>
      <c r="DD1142">
        <f>IF('История отказов'!AE1145="","",IF(AND(COUNTIF($CU$2:$CU$3,'История отказов'!AE1145)=0,COUNTIFS('История отказов'!$F$5:F1145,"ЭЦН",'История отказов'!$AE$5:AE1145,'История отказов'!AE1145)=1,'История отказов'!F1145="ЭЦН"),1141,""))</f>
        <v/>
      </c>
      <c r="DE1142">
        <f>IF('История отказов'!AE1145="","",IF(AND(COUNTIF($CV$2:$CV$3,'История отказов'!AE1145)=0,COUNTIFS('История отказов'!$F$5:F1145,"ЭВН",'История отказов'!$AE$5:AE1145,'История отказов'!AE1145)=1,'История отказов'!F1145="ЭВН"),1141,""))</f>
        <v/>
      </c>
      <c r="DF1142">
        <f>IF('История отказов'!AE1145="","",IF(AND(COUNTIF($CX$2:$CX$2,'История отказов'!AE1145)=0,COUNTIFS('История отказов'!$F$5:F1145,"ШВН",'История отказов'!$AE$5:AE1145,'История отказов'!AE1145)=1,'История отказов'!F1145="ШВН"),1141,""))</f>
        <v/>
      </c>
      <c r="DG1142">
        <f>IF('История отказов'!AE1145="","",IF(AND(COUNTIF($CW$2:$CW$2,'История отказов'!AE1145)=0,COUNTIFS('История отказов'!$F$5:F1145,"НПУ-ВД",'История отказов'!$AE$5:AE1145,'История отказов'!AE1145)=1,'История отказов'!F1145="НПУ-ВД"),1141,""))</f>
        <v/>
      </c>
      <c r="DH1142">
        <f>IF('История отказов'!AE1145="","",IF(AND(COUNTIF($CY$2:$CY$6,'История отказов'!AE1145)=0,COUNTIF('История отказов'!$AE$5:AE1145,'История отказов'!AE1145)=1),1141,""))</f>
        <v/>
      </c>
      <c r="DI1142">
        <f>IF('История отказов'!AK1145="","",IF(AND(COUNTIF($CL$2:$CL$3,'История отказов'!AK1145)=0,COUNTIF('История отказов'!$AK$5:AK1145,'История отказов'!AK1145)=1),1141,""))</f>
        <v/>
      </c>
      <c r="DJ1142">
        <f>IF('История отказов'!AU1145="","",IF(AND(COUNTIF($CP$2:$CP$3,'История отказов'!AU1145)=0,COUNTIF('История отказов'!$AU$5:AU1145,'История отказов'!AU1145)=1),1141,""))</f>
        <v/>
      </c>
      <c r="DK1142">
        <f>IF('История отказов'!AY1145="","",IF(AND(COUNTIF($CR$2:$CR$2,'История отказов'!AY1145)=0,COUNTIF('История отказов'!$AY$5:AY1145,'История отказов'!AY1145)=1),1141,""))</f>
        <v/>
      </c>
      <c r="DL1142">
        <f>IF(DB1142="","",IF(AND(COUNTIF($DA$2:$DA$47,DB1142)=0,COUNTIF($DB$2:DB1142,DB1142)=1),1141,""))</f>
        <v/>
      </c>
    </row>
    <row r="1143">
      <c r="A1143" s="110" t="n"/>
      <c r="DB1143">
        <f>IF('История отказов'!AH1146="","",'История отказов'!AH1146)</f>
        <v/>
      </c>
      <c r="DC1143">
        <f>IF('История отказов'!AE1146="","",IF(AND(COUNTIF($CT$2:$CT$2,'История отказов'!AE1146)=0,COUNTIFS('История отказов'!$F$5:F1146,"ШГН",'История отказов'!$AE$5:AE1146,'История отказов'!AE1146)=1,'История отказов'!F1146="ШГН"),1142,""))</f>
        <v/>
      </c>
      <c r="DD1143">
        <f>IF('История отказов'!AE1146="","",IF(AND(COUNTIF($CU$2:$CU$3,'История отказов'!AE1146)=0,COUNTIFS('История отказов'!$F$5:F1146,"ЭЦН",'История отказов'!$AE$5:AE1146,'История отказов'!AE1146)=1,'История отказов'!F1146="ЭЦН"),1142,""))</f>
        <v/>
      </c>
      <c r="DE1143">
        <f>IF('История отказов'!AE1146="","",IF(AND(COUNTIF($CV$2:$CV$3,'История отказов'!AE1146)=0,COUNTIFS('История отказов'!$F$5:F1146,"ЭВН",'История отказов'!$AE$5:AE1146,'История отказов'!AE1146)=1,'История отказов'!F1146="ЭВН"),1142,""))</f>
        <v/>
      </c>
      <c r="DF1143">
        <f>IF('История отказов'!AE1146="","",IF(AND(COUNTIF($CX$2:$CX$2,'История отказов'!AE1146)=0,COUNTIFS('История отказов'!$F$5:F1146,"ШВН",'История отказов'!$AE$5:AE1146,'История отказов'!AE1146)=1,'История отказов'!F1146="ШВН"),1142,""))</f>
        <v/>
      </c>
      <c r="DG1143">
        <f>IF('История отказов'!AE1146="","",IF(AND(COUNTIF($CW$2:$CW$2,'История отказов'!AE1146)=0,COUNTIFS('История отказов'!$F$5:F1146,"НПУ-ВД",'История отказов'!$AE$5:AE1146,'История отказов'!AE1146)=1,'История отказов'!F1146="НПУ-ВД"),1142,""))</f>
        <v/>
      </c>
      <c r="DH1143">
        <f>IF('История отказов'!AE1146="","",IF(AND(COUNTIF($CY$2:$CY$6,'История отказов'!AE1146)=0,COUNTIF('История отказов'!$AE$5:AE1146,'История отказов'!AE1146)=1),1142,""))</f>
        <v/>
      </c>
      <c r="DI1143">
        <f>IF('История отказов'!AK1146="","",IF(AND(COUNTIF($CL$2:$CL$3,'История отказов'!AK1146)=0,COUNTIF('История отказов'!$AK$5:AK1146,'История отказов'!AK1146)=1),1142,""))</f>
        <v/>
      </c>
      <c r="DJ1143">
        <f>IF('История отказов'!AU1146="","",IF(AND(COUNTIF($CP$2:$CP$3,'История отказов'!AU1146)=0,COUNTIF('История отказов'!$AU$5:AU1146,'История отказов'!AU1146)=1),1142,""))</f>
        <v/>
      </c>
      <c r="DK1143">
        <f>IF('История отказов'!AY1146="","",IF(AND(COUNTIF($CR$2:$CR$2,'История отказов'!AY1146)=0,COUNTIF('История отказов'!$AY$5:AY1146,'История отказов'!AY1146)=1),1142,""))</f>
        <v/>
      </c>
      <c r="DL1143">
        <f>IF(DB1143="","",IF(AND(COUNTIF($DA$2:$DA$47,DB1143)=0,COUNTIF($DB$2:DB1143,DB1143)=1),1142,""))</f>
        <v/>
      </c>
    </row>
    <row r="1144">
      <c r="A1144" s="110" t="n"/>
      <c r="DB1144">
        <f>IF('История отказов'!AH1147="","",'История отказов'!AH1147)</f>
        <v/>
      </c>
      <c r="DC1144">
        <f>IF('История отказов'!AE1147="","",IF(AND(COUNTIF($CT$2:$CT$2,'История отказов'!AE1147)=0,COUNTIFS('История отказов'!$F$5:F1147,"ШГН",'История отказов'!$AE$5:AE1147,'История отказов'!AE1147)=1,'История отказов'!F1147="ШГН"),1143,""))</f>
        <v/>
      </c>
      <c r="DD1144">
        <f>IF('История отказов'!AE1147="","",IF(AND(COUNTIF($CU$2:$CU$3,'История отказов'!AE1147)=0,COUNTIFS('История отказов'!$F$5:F1147,"ЭЦН",'История отказов'!$AE$5:AE1147,'История отказов'!AE1147)=1,'История отказов'!F1147="ЭЦН"),1143,""))</f>
        <v/>
      </c>
      <c r="DE1144">
        <f>IF('История отказов'!AE1147="","",IF(AND(COUNTIF($CV$2:$CV$3,'История отказов'!AE1147)=0,COUNTIFS('История отказов'!$F$5:F1147,"ЭВН",'История отказов'!$AE$5:AE1147,'История отказов'!AE1147)=1,'История отказов'!F1147="ЭВН"),1143,""))</f>
        <v/>
      </c>
      <c r="DF1144">
        <f>IF('История отказов'!AE1147="","",IF(AND(COUNTIF($CX$2:$CX$2,'История отказов'!AE1147)=0,COUNTIFS('История отказов'!$F$5:F1147,"ШВН",'История отказов'!$AE$5:AE1147,'История отказов'!AE1147)=1,'История отказов'!F1147="ШВН"),1143,""))</f>
        <v/>
      </c>
      <c r="DG1144">
        <f>IF('История отказов'!AE1147="","",IF(AND(COUNTIF($CW$2:$CW$2,'История отказов'!AE1147)=0,COUNTIFS('История отказов'!$F$5:F1147,"НПУ-ВД",'История отказов'!$AE$5:AE1147,'История отказов'!AE1147)=1,'История отказов'!F1147="НПУ-ВД"),1143,""))</f>
        <v/>
      </c>
      <c r="DH1144">
        <f>IF('История отказов'!AE1147="","",IF(AND(COUNTIF($CY$2:$CY$6,'История отказов'!AE1147)=0,COUNTIF('История отказов'!$AE$5:AE1147,'История отказов'!AE1147)=1),1143,""))</f>
        <v/>
      </c>
      <c r="DI1144">
        <f>IF('История отказов'!AK1147="","",IF(AND(COUNTIF($CL$2:$CL$3,'История отказов'!AK1147)=0,COUNTIF('История отказов'!$AK$5:AK1147,'История отказов'!AK1147)=1),1143,""))</f>
        <v/>
      </c>
      <c r="DJ1144">
        <f>IF('История отказов'!AU1147="","",IF(AND(COUNTIF($CP$2:$CP$3,'История отказов'!AU1147)=0,COUNTIF('История отказов'!$AU$5:AU1147,'История отказов'!AU1147)=1),1143,""))</f>
        <v/>
      </c>
      <c r="DK1144">
        <f>IF('История отказов'!AY1147="","",IF(AND(COUNTIF($CR$2:$CR$2,'История отказов'!AY1147)=0,COUNTIF('История отказов'!$AY$5:AY1147,'История отказов'!AY1147)=1),1143,""))</f>
        <v/>
      </c>
      <c r="DL1144">
        <f>IF(DB1144="","",IF(AND(COUNTIF($DA$2:$DA$47,DB1144)=0,COUNTIF($DB$2:DB1144,DB1144)=1),1143,""))</f>
        <v/>
      </c>
    </row>
    <row r="1145">
      <c r="A1145" s="110" t="n"/>
      <c r="DB1145">
        <f>IF('История отказов'!AH1148="","",'История отказов'!AH1148)</f>
        <v/>
      </c>
      <c r="DC1145">
        <f>IF('История отказов'!AE1148="","",IF(AND(COUNTIF($CT$2:$CT$2,'История отказов'!AE1148)=0,COUNTIFS('История отказов'!$F$5:F1148,"ШГН",'История отказов'!$AE$5:AE1148,'История отказов'!AE1148)=1,'История отказов'!F1148="ШГН"),1144,""))</f>
        <v/>
      </c>
      <c r="DD1145">
        <f>IF('История отказов'!AE1148="","",IF(AND(COUNTIF($CU$2:$CU$3,'История отказов'!AE1148)=0,COUNTIFS('История отказов'!$F$5:F1148,"ЭЦН",'История отказов'!$AE$5:AE1148,'История отказов'!AE1148)=1,'История отказов'!F1148="ЭЦН"),1144,""))</f>
        <v/>
      </c>
      <c r="DE1145">
        <f>IF('История отказов'!AE1148="","",IF(AND(COUNTIF($CV$2:$CV$3,'История отказов'!AE1148)=0,COUNTIFS('История отказов'!$F$5:F1148,"ЭВН",'История отказов'!$AE$5:AE1148,'История отказов'!AE1148)=1,'История отказов'!F1148="ЭВН"),1144,""))</f>
        <v/>
      </c>
      <c r="DF1145">
        <f>IF('История отказов'!AE1148="","",IF(AND(COUNTIF($CX$2:$CX$2,'История отказов'!AE1148)=0,COUNTIFS('История отказов'!$F$5:F1148,"ШВН",'История отказов'!$AE$5:AE1148,'История отказов'!AE1148)=1,'История отказов'!F1148="ШВН"),1144,""))</f>
        <v/>
      </c>
      <c r="DG1145">
        <f>IF('История отказов'!AE1148="","",IF(AND(COUNTIF($CW$2:$CW$2,'История отказов'!AE1148)=0,COUNTIFS('История отказов'!$F$5:F1148,"НПУ-ВД",'История отказов'!$AE$5:AE1148,'История отказов'!AE1148)=1,'История отказов'!F1148="НПУ-ВД"),1144,""))</f>
        <v/>
      </c>
      <c r="DH1145">
        <f>IF('История отказов'!AE1148="","",IF(AND(COUNTIF($CY$2:$CY$6,'История отказов'!AE1148)=0,COUNTIF('История отказов'!$AE$5:AE1148,'История отказов'!AE1148)=1),1144,""))</f>
        <v/>
      </c>
      <c r="DI1145">
        <f>IF('История отказов'!AK1148="","",IF(AND(COUNTIF($CL$2:$CL$3,'История отказов'!AK1148)=0,COUNTIF('История отказов'!$AK$5:AK1148,'История отказов'!AK1148)=1),1144,""))</f>
        <v/>
      </c>
      <c r="DJ1145">
        <f>IF('История отказов'!AU1148="","",IF(AND(COUNTIF($CP$2:$CP$3,'История отказов'!AU1148)=0,COUNTIF('История отказов'!$AU$5:AU1148,'История отказов'!AU1148)=1),1144,""))</f>
        <v/>
      </c>
      <c r="DK1145">
        <f>IF('История отказов'!AY1148="","",IF(AND(COUNTIF($CR$2:$CR$2,'История отказов'!AY1148)=0,COUNTIF('История отказов'!$AY$5:AY1148,'История отказов'!AY1148)=1),1144,""))</f>
        <v/>
      </c>
      <c r="DL1145">
        <f>IF(DB1145="","",IF(AND(COUNTIF($DA$2:$DA$47,DB1145)=0,COUNTIF($DB$2:DB1145,DB1145)=1),1144,""))</f>
        <v/>
      </c>
    </row>
    <row r="1146">
      <c r="A1146" s="110" t="n"/>
      <c r="DB1146">
        <f>IF('История отказов'!AH1149="","",'История отказов'!AH1149)</f>
        <v/>
      </c>
      <c r="DC1146">
        <f>IF('История отказов'!AE1149="","",IF(AND(COUNTIF($CT$2:$CT$2,'История отказов'!AE1149)=0,COUNTIFS('История отказов'!$F$5:F1149,"ШГН",'История отказов'!$AE$5:AE1149,'История отказов'!AE1149)=1,'История отказов'!F1149="ШГН"),1145,""))</f>
        <v/>
      </c>
      <c r="DD1146">
        <f>IF('История отказов'!AE1149="","",IF(AND(COUNTIF($CU$2:$CU$3,'История отказов'!AE1149)=0,COUNTIFS('История отказов'!$F$5:F1149,"ЭЦН",'История отказов'!$AE$5:AE1149,'История отказов'!AE1149)=1,'История отказов'!F1149="ЭЦН"),1145,""))</f>
        <v/>
      </c>
      <c r="DE1146">
        <f>IF('История отказов'!AE1149="","",IF(AND(COUNTIF($CV$2:$CV$3,'История отказов'!AE1149)=0,COUNTIFS('История отказов'!$F$5:F1149,"ЭВН",'История отказов'!$AE$5:AE1149,'История отказов'!AE1149)=1,'История отказов'!F1149="ЭВН"),1145,""))</f>
        <v/>
      </c>
      <c r="DF1146">
        <f>IF('История отказов'!AE1149="","",IF(AND(COUNTIF($CX$2:$CX$2,'История отказов'!AE1149)=0,COUNTIFS('История отказов'!$F$5:F1149,"ШВН",'История отказов'!$AE$5:AE1149,'История отказов'!AE1149)=1,'История отказов'!F1149="ШВН"),1145,""))</f>
        <v/>
      </c>
      <c r="DG1146">
        <f>IF('История отказов'!AE1149="","",IF(AND(COUNTIF($CW$2:$CW$2,'История отказов'!AE1149)=0,COUNTIFS('История отказов'!$F$5:F1149,"НПУ-ВД",'История отказов'!$AE$5:AE1149,'История отказов'!AE1149)=1,'История отказов'!F1149="НПУ-ВД"),1145,""))</f>
        <v/>
      </c>
      <c r="DH1146">
        <f>IF('История отказов'!AE1149="","",IF(AND(COUNTIF($CY$2:$CY$6,'История отказов'!AE1149)=0,COUNTIF('История отказов'!$AE$5:AE1149,'История отказов'!AE1149)=1),1145,""))</f>
        <v/>
      </c>
      <c r="DI1146">
        <f>IF('История отказов'!AK1149="","",IF(AND(COUNTIF($CL$2:$CL$3,'История отказов'!AK1149)=0,COUNTIF('История отказов'!$AK$5:AK1149,'История отказов'!AK1149)=1),1145,""))</f>
        <v/>
      </c>
      <c r="DJ1146">
        <f>IF('История отказов'!AU1149="","",IF(AND(COUNTIF($CP$2:$CP$3,'История отказов'!AU1149)=0,COUNTIF('История отказов'!$AU$5:AU1149,'История отказов'!AU1149)=1),1145,""))</f>
        <v/>
      </c>
      <c r="DK1146">
        <f>IF('История отказов'!AY1149="","",IF(AND(COUNTIF($CR$2:$CR$2,'История отказов'!AY1149)=0,COUNTIF('История отказов'!$AY$5:AY1149,'История отказов'!AY1149)=1),1145,""))</f>
        <v/>
      </c>
      <c r="DL1146">
        <f>IF(DB1146="","",IF(AND(COUNTIF($DA$2:$DA$47,DB1146)=0,COUNTIF($DB$2:DB1146,DB1146)=1),1145,""))</f>
        <v/>
      </c>
    </row>
    <row r="1147">
      <c r="A1147" s="110" t="n"/>
      <c r="DB1147">
        <f>IF('История отказов'!AH1150="","",'История отказов'!AH1150)</f>
        <v/>
      </c>
      <c r="DC1147">
        <f>IF('История отказов'!AE1150="","",IF(AND(COUNTIF($CT$2:$CT$2,'История отказов'!AE1150)=0,COUNTIFS('История отказов'!$F$5:F1150,"ШГН",'История отказов'!$AE$5:AE1150,'История отказов'!AE1150)=1,'История отказов'!F1150="ШГН"),1146,""))</f>
        <v/>
      </c>
      <c r="DD1147">
        <f>IF('История отказов'!AE1150="","",IF(AND(COUNTIF($CU$2:$CU$3,'История отказов'!AE1150)=0,COUNTIFS('История отказов'!$F$5:F1150,"ЭЦН",'История отказов'!$AE$5:AE1150,'История отказов'!AE1150)=1,'История отказов'!F1150="ЭЦН"),1146,""))</f>
        <v/>
      </c>
      <c r="DE1147">
        <f>IF('История отказов'!AE1150="","",IF(AND(COUNTIF($CV$2:$CV$3,'История отказов'!AE1150)=0,COUNTIFS('История отказов'!$F$5:F1150,"ЭВН",'История отказов'!$AE$5:AE1150,'История отказов'!AE1150)=1,'История отказов'!F1150="ЭВН"),1146,""))</f>
        <v/>
      </c>
      <c r="DF1147">
        <f>IF('История отказов'!AE1150="","",IF(AND(COUNTIF($CX$2:$CX$2,'История отказов'!AE1150)=0,COUNTIFS('История отказов'!$F$5:F1150,"ШВН",'История отказов'!$AE$5:AE1150,'История отказов'!AE1150)=1,'История отказов'!F1150="ШВН"),1146,""))</f>
        <v/>
      </c>
      <c r="DG1147">
        <f>IF('История отказов'!AE1150="","",IF(AND(COUNTIF($CW$2:$CW$2,'История отказов'!AE1150)=0,COUNTIFS('История отказов'!$F$5:F1150,"НПУ-ВД",'История отказов'!$AE$5:AE1150,'История отказов'!AE1150)=1,'История отказов'!F1150="НПУ-ВД"),1146,""))</f>
        <v/>
      </c>
      <c r="DH1147">
        <f>IF('История отказов'!AE1150="","",IF(AND(COUNTIF($CY$2:$CY$6,'История отказов'!AE1150)=0,COUNTIF('История отказов'!$AE$5:AE1150,'История отказов'!AE1150)=1),1146,""))</f>
        <v/>
      </c>
      <c r="DI1147">
        <f>IF('История отказов'!AK1150="","",IF(AND(COUNTIF($CL$2:$CL$3,'История отказов'!AK1150)=0,COUNTIF('История отказов'!$AK$5:AK1150,'История отказов'!AK1150)=1),1146,""))</f>
        <v/>
      </c>
      <c r="DJ1147">
        <f>IF('История отказов'!AU1150="","",IF(AND(COUNTIF($CP$2:$CP$3,'История отказов'!AU1150)=0,COUNTIF('История отказов'!$AU$5:AU1150,'История отказов'!AU1150)=1),1146,""))</f>
        <v/>
      </c>
      <c r="DK1147">
        <f>IF('История отказов'!AY1150="","",IF(AND(COUNTIF($CR$2:$CR$2,'История отказов'!AY1150)=0,COUNTIF('История отказов'!$AY$5:AY1150,'История отказов'!AY1150)=1),1146,""))</f>
        <v/>
      </c>
      <c r="DL1147">
        <f>IF(DB1147="","",IF(AND(COUNTIF($DA$2:$DA$47,DB1147)=0,COUNTIF($DB$2:DB1147,DB1147)=1),1146,""))</f>
        <v/>
      </c>
    </row>
    <row r="1148">
      <c r="A1148" s="110" t="n"/>
      <c r="DB1148">
        <f>IF('История отказов'!AH1151="","",'История отказов'!AH1151)</f>
        <v/>
      </c>
      <c r="DC1148">
        <f>IF('История отказов'!AE1151="","",IF(AND(COUNTIF($CT$2:$CT$2,'История отказов'!AE1151)=0,COUNTIFS('История отказов'!$F$5:F1151,"ШГН",'История отказов'!$AE$5:AE1151,'История отказов'!AE1151)=1,'История отказов'!F1151="ШГН"),1147,""))</f>
        <v/>
      </c>
      <c r="DD1148">
        <f>IF('История отказов'!AE1151="","",IF(AND(COUNTIF($CU$2:$CU$3,'История отказов'!AE1151)=0,COUNTIFS('История отказов'!$F$5:F1151,"ЭЦН",'История отказов'!$AE$5:AE1151,'История отказов'!AE1151)=1,'История отказов'!F1151="ЭЦН"),1147,""))</f>
        <v/>
      </c>
      <c r="DE1148">
        <f>IF('История отказов'!AE1151="","",IF(AND(COUNTIF($CV$2:$CV$3,'История отказов'!AE1151)=0,COUNTIFS('История отказов'!$F$5:F1151,"ЭВН",'История отказов'!$AE$5:AE1151,'История отказов'!AE1151)=1,'История отказов'!F1151="ЭВН"),1147,""))</f>
        <v/>
      </c>
      <c r="DF1148">
        <f>IF('История отказов'!AE1151="","",IF(AND(COUNTIF($CX$2:$CX$2,'История отказов'!AE1151)=0,COUNTIFS('История отказов'!$F$5:F1151,"ШВН",'История отказов'!$AE$5:AE1151,'История отказов'!AE1151)=1,'История отказов'!F1151="ШВН"),1147,""))</f>
        <v/>
      </c>
      <c r="DG1148">
        <f>IF('История отказов'!AE1151="","",IF(AND(COUNTIF($CW$2:$CW$2,'История отказов'!AE1151)=0,COUNTIFS('История отказов'!$F$5:F1151,"НПУ-ВД",'История отказов'!$AE$5:AE1151,'История отказов'!AE1151)=1,'История отказов'!F1151="НПУ-ВД"),1147,""))</f>
        <v/>
      </c>
      <c r="DH1148">
        <f>IF('История отказов'!AE1151="","",IF(AND(COUNTIF($CY$2:$CY$6,'История отказов'!AE1151)=0,COUNTIF('История отказов'!$AE$5:AE1151,'История отказов'!AE1151)=1),1147,""))</f>
        <v/>
      </c>
      <c r="DI1148">
        <f>IF('История отказов'!AK1151="","",IF(AND(COUNTIF($CL$2:$CL$3,'История отказов'!AK1151)=0,COUNTIF('История отказов'!$AK$5:AK1151,'История отказов'!AK1151)=1),1147,""))</f>
        <v/>
      </c>
      <c r="DJ1148">
        <f>IF('История отказов'!AU1151="","",IF(AND(COUNTIF($CP$2:$CP$3,'История отказов'!AU1151)=0,COUNTIF('История отказов'!$AU$5:AU1151,'История отказов'!AU1151)=1),1147,""))</f>
        <v/>
      </c>
      <c r="DK1148">
        <f>IF('История отказов'!AY1151="","",IF(AND(COUNTIF($CR$2:$CR$2,'История отказов'!AY1151)=0,COUNTIF('История отказов'!$AY$5:AY1151,'История отказов'!AY1151)=1),1147,""))</f>
        <v/>
      </c>
      <c r="DL1148">
        <f>IF(DB1148="","",IF(AND(COUNTIF($DA$2:$DA$47,DB1148)=0,COUNTIF($DB$2:DB1148,DB1148)=1),1147,""))</f>
        <v/>
      </c>
    </row>
    <row r="1149">
      <c r="A1149" s="110" t="n"/>
      <c r="DB1149">
        <f>IF('История отказов'!AH1152="","",'История отказов'!AH1152)</f>
        <v/>
      </c>
      <c r="DC1149">
        <f>IF('История отказов'!AE1152="","",IF(AND(COUNTIF($CT$2:$CT$2,'История отказов'!AE1152)=0,COUNTIFS('История отказов'!$F$5:F1152,"ШГН",'История отказов'!$AE$5:AE1152,'История отказов'!AE1152)=1,'История отказов'!F1152="ШГН"),1148,""))</f>
        <v/>
      </c>
      <c r="DD1149">
        <f>IF('История отказов'!AE1152="","",IF(AND(COUNTIF($CU$2:$CU$3,'История отказов'!AE1152)=0,COUNTIFS('История отказов'!$F$5:F1152,"ЭЦН",'История отказов'!$AE$5:AE1152,'История отказов'!AE1152)=1,'История отказов'!F1152="ЭЦН"),1148,""))</f>
        <v/>
      </c>
      <c r="DE1149">
        <f>IF('История отказов'!AE1152="","",IF(AND(COUNTIF($CV$2:$CV$3,'История отказов'!AE1152)=0,COUNTIFS('История отказов'!$F$5:F1152,"ЭВН",'История отказов'!$AE$5:AE1152,'История отказов'!AE1152)=1,'История отказов'!F1152="ЭВН"),1148,""))</f>
        <v/>
      </c>
      <c r="DF1149">
        <f>IF('История отказов'!AE1152="","",IF(AND(COUNTIF($CX$2:$CX$2,'История отказов'!AE1152)=0,COUNTIFS('История отказов'!$F$5:F1152,"ШВН",'История отказов'!$AE$5:AE1152,'История отказов'!AE1152)=1,'История отказов'!F1152="ШВН"),1148,""))</f>
        <v/>
      </c>
      <c r="DG1149">
        <f>IF('История отказов'!AE1152="","",IF(AND(COUNTIF($CW$2:$CW$2,'История отказов'!AE1152)=0,COUNTIFS('История отказов'!$F$5:F1152,"НПУ-ВД",'История отказов'!$AE$5:AE1152,'История отказов'!AE1152)=1,'История отказов'!F1152="НПУ-ВД"),1148,""))</f>
        <v/>
      </c>
      <c r="DH1149">
        <f>IF('История отказов'!AE1152="","",IF(AND(COUNTIF($CY$2:$CY$6,'История отказов'!AE1152)=0,COUNTIF('История отказов'!$AE$5:AE1152,'История отказов'!AE1152)=1),1148,""))</f>
        <v/>
      </c>
      <c r="DI1149">
        <f>IF('История отказов'!AK1152="","",IF(AND(COUNTIF($CL$2:$CL$3,'История отказов'!AK1152)=0,COUNTIF('История отказов'!$AK$5:AK1152,'История отказов'!AK1152)=1),1148,""))</f>
        <v/>
      </c>
      <c r="DJ1149">
        <f>IF('История отказов'!AU1152="","",IF(AND(COUNTIF($CP$2:$CP$3,'История отказов'!AU1152)=0,COUNTIF('История отказов'!$AU$5:AU1152,'История отказов'!AU1152)=1),1148,""))</f>
        <v/>
      </c>
      <c r="DK1149">
        <f>IF('История отказов'!AY1152="","",IF(AND(COUNTIF($CR$2:$CR$2,'История отказов'!AY1152)=0,COUNTIF('История отказов'!$AY$5:AY1152,'История отказов'!AY1152)=1),1148,""))</f>
        <v/>
      </c>
      <c r="DL1149">
        <f>IF(DB1149="","",IF(AND(COUNTIF($DA$2:$DA$47,DB1149)=0,COUNTIF($DB$2:DB1149,DB1149)=1),1148,""))</f>
        <v/>
      </c>
    </row>
    <row r="1150">
      <c r="A1150" s="110" t="n"/>
      <c r="DB1150">
        <f>IF('История отказов'!AH1153="","",'История отказов'!AH1153)</f>
        <v/>
      </c>
      <c r="DC1150">
        <f>IF('История отказов'!AE1153="","",IF(AND(COUNTIF($CT$2:$CT$2,'История отказов'!AE1153)=0,COUNTIFS('История отказов'!$F$5:F1153,"ШГН",'История отказов'!$AE$5:AE1153,'История отказов'!AE1153)=1,'История отказов'!F1153="ШГН"),1149,""))</f>
        <v/>
      </c>
      <c r="DD1150">
        <f>IF('История отказов'!AE1153="","",IF(AND(COUNTIF($CU$2:$CU$3,'История отказов'!AE1153)=0,COUNTIFS('История отказов'!$F$5:F1153,"ЭЦН",'История отказов'!$AE$5:AE1153,'История отказов'!AE1153)=1,'История отказов'!F1153="ЭЦН"),1149,""))</f>
        <v/>
      </c>
      <c r="DE1150">
        <f>IF('История отказов'!AE1153="","",IF(AND(COUNTIF($CV$2:$CV$3,'История отказов'!AE1153)=0,COUNTIFS('История отказов'!$F$5:F1153,"ЭВН",'История отказов'!$AE$5:AE1153,'История отказов'!AE1153)=1,'История отказов'!F1153="ЭВН"),1149,""))</f>
        <v/>
      </c>
      <c r="DF1150">
        <f>IF('История отказов'!AE1153="","",IF(AND(COUNTIF($CX$2:$CX$2,'История отказов'!AE1153)=0,COUNTIFS('История отказов'!$F$5:F1153,"ШВН",'История отказов'!$AE$5:AE1153,'История отказов'!AE1153)=1,'История отказов'!F1153="ШВН"),1149,""))</f>
        <v/>
      </c>
      <c r="DG1150">
        <f>IF('История отказов'!AE1153="","",IF(AND(COUNTIF($CW$2:$CW$2,'История отказов'!AE1153)=0,COUNTIFS('История отказов'!$F$5:F1153,"НПУ-ВД",'История отказов'!$AE$5:AE1153,'История отказов'!AE1153)=1,'История отказов'!F1153="НПУ-ВД"),1149,""))</f>
        <v/>
      </c>
      <c r="DH1150">
        <f>IF('История отказов'!AE1153="","",IF(AND(COUNTIF($CY$2:$CY$6,'История отказов'!AE1153)=0,COUNTIF('История отказов'!$AE$5:AE1153,'История отказов'!AE1153)=1),1149,""))</f>
        <v/>
      </c>
      <c r="DI1150">
        <f>IF('История отказов'!AK1153="","",IF(AND(COUNTIF($CL$2:$CL$3,'История отказов'!AK1153)=0,COUNTIF('История отказов'!$AK$5:AK1153,'История отказов'!AK1153)=1),1149,""))</f>
        <v/>
      </c>
      <c r="DJ1150">
        <f>IF('История отказов'!AU1153="","",IF(AND(COUNTIF($CP$2:$CP$3,'История отказов'!AU1153)=0,COUNTIF('История отказов'!$AU$5:AU1153,'История отказов'!AU1153)=1),1149,""))</f>
        <v/>
      </c>
      <c r="DK1150">
        <f>IF('История отказов'!AY1153="","",IF(AND(COUNTIF($CR$2:$CR$2,'История отказов'!AY1153)=0,COUNTIF('История отказов'!$AY$5:AY1153,'История отказов'!AY1153)=1),1149,""))</f>
        <v/>
      </c>
      <c r="DL1150">
        <f>IF(DB1150="","",IF(AND(COUNTIF($DA$2:$DA$47,DB1150)=0,COUNTIF($DB$2:DB1150,DB1150)=1),1149,""))</f>
        <v/>
      </c>
    </row>
    <row r="1151">
      <c r="A1151" s="110" t="n"/>
      <c r="DB1151">
        <f>IF('История отказов'!AH1154="","",'История отказов'!AH1154)</f>
        <v/>
      </c>
      <c r="DC1151">
        <f>IF('История отказов'!AE1154="","",IF(AND(COUNTIF($CT$2:$CT$2,'История отказов'!AE1154)=0,COUNTIFS('История отказов'!$F$5:F1154,"ШГН",'История отказов'!$AE$5:AE1154,'История отказов'!AE1154)=1,'История отказов'!F1154="ШГН"),1150,""))</f>
        <v/>
      </c>
      <c r="DD1151">
        <f>IF('История отказов'!AE1154="","",IF(AND(COUNTIF($CU$2:$CU$3,'История отказов'!AE1154)=0,COUNTIFS('История отказов'!$F$5:F1154,"ЭЦН",'История отказов'!$AE$5:AE1154,'История отказов'!AE1154)=1,'История отказов'!F1154="ЭЦН"),1150,""))</f>
        <v/>
      </c>
      <c r="DE1151">
        <f>IF('История отказов'!AE1154="","",IF(AND(COUNTIF($CV$2:$CV$3,'История отказов'!AE1154)=0,COUNTIFS('История отказов'!$F$5:F1154,"ЭВН",'История отказов'!$AE$5:AE1154,'История отказов'!AE1154)=1,'История отказов'!F1154="ЭВН"),1150,""))</f>
        <v/>
      </c>
      <c r="DF1151">
        <f>IF('История отказов'!AE1154="","",IF(AND(COUNTIF($CX$2:$CX$2,'История отказов'!AE1154)=0,COUNTIFS('История отказов'!$F$5:F1154,"ШВН",'История отказов'!$AE$5:AE1154,'История отказов'!AE1154)=1,'История отказов'!F1154="ШВН"),1150,""))</f>
        <v/>
      </c>
      <c r="DG1151">
        <f>IF('История отказов'!AE1154="","",IF(AND(COUNTIF($CW$2:$CW$2,'История отказов'!AE1154)=0,COUNTIFS('История отказов'!$F$5:F1154,"НПУ-ВД",'История отказов'!$AE$5:AE1154,'История отказов'!AE1154)=1,'История отказов'!F1154="НПУ-ВД"),1150,""))</f>
        <v/>
      </c>
      <c r="DH1151">
        <f>IF('История отказов'!AE1154="","",IF(AND(COUNTIF($CY$2:$CY$6,'История отказов'!AE1154)=0,COUNTIF('История отказов'!$AE$5:AE1154,'История отказов'!AE1154)=1),1150,""))</f>
        <v/>
      </c>
      <c r="DI1151">
        <f>IF('История отказов'!AK1154="","",IF(AND(COUNTIF($CL$2:$CL$3,'История отказов'!AK1154)=0,COUNTIF('История отказов'!$AK$5:AK1154,'История отказов'!AK1154)=1),1150,""))</f>
        <v/>
      </c>
      <c r="DJ1151">
        <f>IF('История отказов'!AU1154="","",IF(AND(COUNTIF($CP$2:$CP$3,'История отказов'!AU1154)=0,COUNTIF('История отказов'!$AU$5:AU1154,'История отказов'!AU1154)=1),1150,""))</f>
        <v/>
      </c>
      <c r="DK1151">
        <f>IF('История отказов'!AY1154="","",IF(AND(COUNTIF($CR$2:$CR$2,'История отказов'!AY1154)=0,COUNTIF('История отказов'!$AY$5:AY1154,'История отказов'!AY1154)=1),1150,""))</f>
        <v/>
      </c>
      <c r="DL1151">
        <f>IF(DB1151="","",IF(AND(COUNTIF($DA$2:$DA$47,DB1151)=0,COUNTIF($DB$2:DB1151,DB1151)=1),1150,""))</f>
        <v/>
      </c>
    </row>
    <row r="1152">
      <c r="A1152" s="110" t="n"/>
      <c r="DB1152">
        <f>IF('История отказов'!AH1155="","",'История отказов'!AH1155)</f>
        <v/>
      </c>
      <c r="DC1152">
        <f>IF('История отказов'!AE1155="","",IF(AND(COUNTIF($CT$2:$CT$2,'История отказов'!AE1155)=0,COUNTIFS('История отказов'!$F$5:F1155,"ШГН",'История отказов'!$AE$5:AE1155,'История отказов'!AE1155)=1,'История отказов'!F1155="ШГН"),1151,""))</f>
        <v/>
      </c>
      <c r="DD1152">
        <f>IF('История отказов'!AE1155="","",IF(AND(COUNTIF($CU$2:$CU$3,'История отказов'!AE1155)=0,COUNTIFS('История отказов'!$F$5:F1155,"ЭЦН",'История отказов'!$AE$5:AE1155,'История отказов'!AE1155)=1,'История отказов'!F1155="ЭЦН"),1151,""))</f>
        <v/>
      </c>
      <c r="DE1152">
        <f>IF('История отказов'!AE1155="","",IF(AND(COUNTIF($CV$2:$CV$3,'История отказов'!AE1155)=0,COUNTIFS('История отказов'!$F$5:F1155,"ЭВН",'История отказов'!$AE$5:AE1155,'История отказов'!AE1155)=1,'История отказов'!F1155="ЭВН"),1151,""))</f>
        <v/>
      </c>
      <c r="DF1152">
        <f>IF('История отказов'!AE1155="","",IF(AND(COUNTIF($CX$2:$CX$2,'История отказов'!AE1155)=0,COUNTIFS('История отказов'!$F$5:F1155,"ШВН",'История отказов'!$AE$5:AE1155,'История отказов'!AE1155)=1,'История отказов'!F1155="ШВН"),1151,""))</f>
        <v/>
      </c>
      <c r="DG1152">
        <f>IF('История отказов'!AE1155="","",IF(AND(COUNTIF($CW$2:$CW$2,'История отказов'!AE1155)=0,COUNTIFS('История отказов'!$F$5:F1155,"НПУ-ВД",'История отказов'!$AE$5:AE1155,'История отказов'!AE1155)=1,'История отказов'!F1155="НПУ-ВД"),1151,""))</f>
        <v/>
      </c>
      <c r="DH1152">
        <f>IF('История отказов'!AE1155="","",IF(AND(COUNTIF($CY$2:$CY$6,'История отказов'!AE1155)=0,COUNTIF('История отказов'!$AE$5:AE1155,'История отказов'!AE1155)=1),1151,""))</f>
        <v/>
      </c>
      <c r="DI1152">
        <f>IF('История отказов'!AK1155="","",IF(AND(COUNTIF($CL$2:$CL$3,'История отказов'!AK1155)=0,COUNTIF('История отказов'!$AK$5:AK1155,'История отказов'!AK1155)=1),1151,""))</f>
        <v/>
      </c>
      <c r="DJ1152">
        <f>IF('История отказов'!AU1155="","",IF(AND(COUNTIF($CP$2:$CP$3,'История отказов'!AU1155)=0,COUNTIF('История отказов'!$AU$5:AU1155,'История отказов'!AU1155)=1),1151,""))</f>
        <v/>
      </c>
      <c r="DK1152">
        <f>IF('История отказов'!AY1155="","",IF(AND(COUNTIF($CR$2:$CR$2,'История отказов'!AY1155)=0,COUNTIF('История отказов'!$AY$5:AY1155,'История отказов'!AY1155)=1),1151,""))</f>
        <v/>
      </c>
      <c r="DL1152">
        <f>IF(DB1152="","",IF(AND(COUNTIF($DA$2:$DA$47,DB1152)=0,COUNTIF($DB$2:DB1152,DB1152)=1),1151,""))</f>
        <v/>
      </c>
    </row>
    <row r="1153">
      <c r="A1153" s="111" t="n"/>
      <c r="DB1153">
        <f>IF('История отказов'!AH1156="","",'История отказов'!AH1156)</f>
        <v/>
      </c>
      <c r="DC1153">
        <f>IF('История отказов'!AE1156="","",IF(AND(COUNTIF($CT$2:$CT$2,'История отказов'!AE1156)=0,COUNTIFS('История отказов'!$F$5:F1156,"ШГН",'История отказов'!$AE$5:AE1156,'История отказов'!AE1156)=1,'История отказов'!F1156="ШГН"),1152,""))</f>
        <v/>
      </c>
      <c r="DD1153">
        <f>IF('История отказов'!AE1156="","",IF(AND(COUNTIF($CU$2:$CU$3,'История отказов'!AE1156)=0,COUNTIFS('История отказов'!$F$5:F1156,"ЭЦН",'История отказов'!$AE$5:AE1156,'История отказов'!AE1156)=1,'История отказов'!F1156="ЭЦН"),1152,""))</f>
        <v/>
      </c>
      <c r="DE1153">
        <f>IF('История отказов'!AE1156="","",IF(AND(COUNTIF($CV$2:$CV$3,'История отказов'!AE1156)=0,COUNTIFS('История отказов'!$F$5:F1156,"ЭВН",'История отказов'!$AE$5:AE1156,'История отказов'!AE1156)=1,'История отказов'!F1156="ЭВН"),1152,""))</f>
        <v/>
      </c>
      <c r="DF1153">
        <f>IF('История отказов'!AE1156="","",IF(AND(COUNTIF($CX$2:$CX$2,'История отказов'!AE1156)=0,COUNTIFS('История отказов'!$F$5:F1156,"ШВН",'История отказов'!$AE$5:AE1156,'История отказов'!AE1156)=1,'История отказов'!F1156="ШВН"),1152,""))</f>
        <v/>
      </c>
      <c r="DG1153">
        <f>IF('История отказов'!AE1156="","",IF(AND(COUNTIF($CW$2:$CW$2,'История отказов'!AE1156)=0,COUNTIFS('История отказов'!$F$5:F1156,"НПУ-ВД",'История отказов'!$AE$5:AE1156,'История отказов'!AE1156)=1,'История отказов'!F1156="НПУ-ВД"),1152,""))</f>
        <v/>
      </c>
      <c r="DH1153">
        <f>IF('История отказов'!AE1156="","",IF(AND(COUNTIF($CY$2:$CY$6,'История отказов'!AE1156)=0,COUNTIF('История отказов'!$AE$5:AE1156,'История отказов'!AE1156)=1),1152,""))</f>
        <v/>
      </c>
      <c r="DI1153">
        <f>IF('История отказов'!AK1156="","",IF(AND(COUNTIF($CL$2:$CL$3,'История отказов'!AK1156)=0,COUNTIF('История отказов'!$AK$5:AK1156,'История отказов'!AK1156)=1),1152,""))</f>
        <v/>
      </c>
      <c r="DJ1153">
        <f>IF('История отказов'!AU1156="","",IF(AND(COUNTIF($CP$2:$CP$3,'История отказов'!AU1156)=0,COUNTIF('История отказов'!$AU$5:AU1156,'История отказов'!AU1156)=1),1152,""))</f>
        <v/>
      </c>
      <c r="DK1153">
        <f>IF('История отказов'!AY1156="","",IF(AND(COUNTIF($CR$2:$CR$2,'История отказов'!AY1156)=0,COUNTIF('История отказов'!$AY$5:AY1156,'История отказов'!AY1156)=1),1152,""))</f>
        <v/>
      </c>
      <c r="DL1153">
        <f>IF(DB1153="","",IF(AND(COUNTIF($DA$2:$DA$47,DB1153)=0,COUNTIF($DB$2:DB1153,DB1153)=1),1152,""))</f>
        <v/>
      </c>
    </row>
    <row r="1154">
      <c r="DB1154">
        <f>IF('История отказов'!AH1157="","",'История отказов'!AH1157)</f>
        <v/>
      </c>
      <c r="DC1154">
        <f>IF('История отказов'!AE1157="","",IF(AND(COUNTIF($CT$2:$CT$2,'История отказов'!AE1157)=0,COUNTIFS('История отказов'!$F$5:F1157,"ШГН",'История отказов'!$AE$5:AE1157,'История отказов'!AE1157)=1,'История отказов'!F1157="ШГН"),1153,""))</f>
        <v/>
      </c>
      <c r="DD1154">
        <f>IF('История отказов'!AE1157="","",IF(AND(COUNTIF($CU$2:$CU$3,'История отказов'!AE1157)=0,COUNTIFS('История отказов'!$F$5:F1157,"ЭЦН",'История отказов'!$AE$5:AE1157,'История отказов'!AE1157)=1,'История отказов'!F1157="ЭЦН"),1153,""))</f>
        <v/>
      </c>
      <c r="DE1154">
        <f>IF('История отказов'!AE1157="","",IF(AND(COUNTIF($CV$2:$CV$3,'История отказов'!AE1157)=0,COUNTIFS('История отказов'!$F$5:F1157,"ЭВН",'История отказов'!$AE$5:AE1157,'История отказов'!AE1157)=1,'История отказов'!F1157="ЭВН"),1153,""))</f>
        <v/>
      </c>
      <c r="DF1154">
        <f>IF('История отказов'!AE1157="","",IF(AND(COUNTIF($CX$2:$CX$2,'История отказов'!AE1157)=0,COUNTIFS('История отказов'!$F$5:F1157,"ШВН",'История отказов'!$AE$5:AE1157,'История отказов'!AE1157)=1,'История отказов'!F1157="ШВН"),1153,""))</f>
        <v/>
      </c>
      <c r="DG1154">
        <f>IF('История отказов'!AE1157="","",IF(AND(COUNTIF($CW$2:$CW$2,'История отказов'!AE1157)=0,COUNTIFS('История отказов'!$F$5:F1157,"НПУ-ВД",'История отказов'!$AE$5:AE1157,'История отказов'!AE1157)=1,'История отказов'!F1157="НПУ-ВД"),1153,""))</f>
        <v/>
      </c>
      <c r="DH1154">
        <f>IF('История отказов'!AE1157="","",IF(AND(COUNTIF($CY$2:$CY$6,'История отказов'!AE1157)=0,COUNTIF('История отказов'!$AE$5:AE1157,'История отказов'!AE1157)=1),1153,""))</f>
        <v/>
      </c>
      <c r="DI1154">
        <f>IF('История отказов'!AK1157="","",IF(AND(COUNTIF($CL$2:$CL$3,'История отказов'!AK1157)=0,COUNTIF('История отказов'!$AK$5:AK1157,'История отказов'!AK1157)=1),1153,""))</f>
        <v/>
      </c>
      <c r="DJ1154">
        <f>IF('История отказов'!AU1157="","",IF(AND(COUNTIF($CP$2:$CP$3,'История отказов'!AU1157)=0,COUNTIF('История отказов'!$AU$5:AU1157,'История отказов'!AU1157)=1),1153,""))</f>
        <v/>
      </c>
      <c r="DK1154">
        <f>IF('История отказов'!AY1157="","",IF(AND(COUNTIF($CR$2:$CR$2,'История отказов'!AY1157)=0,COUNTIF('История отказов'!$AY$5:AY1157,'История отказов'!AY1157)=1),1153,""))</f>
        <v/>
      </c>
      <c r="DL1154">
        <f>IF(DB1154="","",IF(AND(COUNTIF($DA$2:$DA$47,DB1154)=0,COUNTIF($DB$2:DB1154,DB1154)=1),1153,""))</f>
        <v/>
      </c>
    </row>
    <row r="1155">
      <c r="DB1155">
        <f>IF('История отказов'!AH1158="","",'История отказов'!AH1158)</f>
        <v/>
      </c>
      <c r="DC1155">
        <f>IF('История отказов'!AE1158="","",IF(AND(COUNTIF($CT$2:$CT$2,'История отказов'!AE1158)=0,COUNTIFS('История отказов'!$F$5:F1158,"ШГН",'История отказов'!$AE$5:AE1158,'История отказов'!AE1158)=1,'История отказов'!F1158="ШГН"),1154,""))</f>
        <v/>
      </c>
      <c r="DD1155">
        <f>IF('История отказов'!AE1158="","",IF(AND(COUNTIF($CU$2:$CU$3,'История отказов'!AE1158)=0,COUNTIFS('История отказов'!$F$5:F1158,"ЭЦН",'История отказов'!$AE$5:AE1158,'История отказов'!AE1158)=1,'История отказов'!F1158="ЭЦН"),1154,""))</f>
        <v/>
      </c>
      <c r="DE1155">
        <f>IF('История отказов'!AE1158="","",IF(AND(COUNTIF($CV$2:$CV$3,'История отказов'!AE1158)=0,COUNTIFS('История отказов'!$F$5:F1158,"ЭВН",'История отказов'!$AE$5:AE1158,'История отказов'!AE1158)=1,'История отказов'!F1158="ЭВН"),1154,""))</f>
        <v/>
      </c>
      <c r="DF1155">
        <f>IF('История отказов'!AE1158="","",IF(AND(COUNTIF($CX$2:$CX$2,'История отказов'!AE1158)=0,COUNTIFS('История отказов'!$F$5:F1158,"ШВН",'История отказов'!$AE$5:AE1158,'История отказов'!AE1158)=1,'История отказов'!F1158="ШВН"),1154,""))</f>
        <v/>
      </c>
      <c r="DG1155">
        <f>IF('История отказов'!AE1158="","",IF(AND(COUNTIF($CW$2:$CW$2,'История отказов'!AE1158)=0,COUNTIFS('История отказов'!$F$5:F1158,"НПУ-ВД",'История отказов'!$AE$5:AE1158,'История отказов'!AE1158)=1,'История отказов'!F1158="НПУ-ВД"),1154,""))</f>
        <v/>
      </c>
      <c r="DH1155">
        <f>IF('История отказов'!AE1158="","",IF(AND(COUNTIF($CY$2:$CY$6,'История отказов'!AE1158)=0,COUNTIF('История отказов'!$AE$5:AE1158,'История отказов'!AE1158)=1),1154,""))</f>
        <v/>
      </c>
      <c r="DI1155">
        <f>IF('История отказов'!AK1158="","",IF(AND(COUNTIF($CL$2:$CL$3,'История отказов'!AK1158)=0,COUNTIF('История отказов'!$AK$5:AK1158,'История отказов'!AK1158)=1),1154,""))</f>
        <v/>
      </c>
      <c r="DJ1155">
        <f>IF('История отказов'!AU1158="","",IF(AND(COUNTIF($CP$2:$CP$3,'История отказов'!AU1158)=0,COUNTIF('История отказов'!$AU$5:AU1158,'История отказов'!AU1158)=1),1154,""))</f>
        <v/>
      </c>
      <c r="DK1155">
        <f>IF('История отказов'!AY1158="","",IF(AND(COUNTIF($CR$2:$CR$2,'История отказов'!AY1158)=0,COUNTIF('История отказов'!$AY$5:AY1158,'История отказов'!AY1158)=1),1154,""))</f>
        <v/>
      </c>
      <c r="DL1155">
        <f>IF(DB1155="","",IF(AND(COUNTIF($DA$2:$DA$47,DB1155)=0,COUNTIF($DB$2:DB1155,DB1155)=1),1154,""))</f>
        <v/>
      </c>
    </row>
    <row r="1156">
      <c r="A1156" s="33" t="n"/>
      <c r="B1156" s="34" t="n"/>
      <c r="C1156" s="34" t="n"/>
      <c r="D1156" s="34" t="n"/>
      <c r="E1156" s="34" t="n"/>
      <c r="F1156" s="34" t="n"/>
      <c r="G1156" s="35" t="n"/>
      <c r="DB1156">
        <f>IF('История отказов'!AH1159="","",'История отказов'!AH1159)</f>
        <v/>
      </c>
      <c r="DC1156">
        <f>IF('История отказов'!AE1159="","",IF(AND(COUNTIF($CT$2:$CT$2,'История отказов'!AE1159)=0,COUNTIFS('История отказов'!$F$5:F1159,"ШГН",'История отказов'!$AE$5:AE1159,'История отказов'!AE1159)=1,'История отказов'!F1159="ШГН"),1155,""))</f>
        <v/>
      </c>
      <c r="DD1156">
        <f>IF('История отказов'!AE1159="","",IF(AND(COUNTIF($CU$2:$CU$3,'История отказов'!AE1159)=0,COUNTIFS('История отказов'!$F$5:F1159,"ЭЦН",'История отказов'!$AE$5:AE1159,'История отказов'!AE1159)=1,'История отказов'!F1159="ЭЦН"),1155,""))</f>
        <v/>
      </c>
      <c r="DE1156">
        <f>IF('История отказов'!AE1159="","",IF(AND(COUNTIF($CV$2:$CV$3,'История отказов'!AE1159)=0,COUNTIFS('История отказов'!$F$5:F1159,"ЭВН",'История отказов'!$AE$5:AE1159,'История отказов'!AE1159)=1,'История отказов'!F1159="ЭВН"),1155,""))</f>
        <v/>
      </c>
      <c r="DF1156">
        <f>IF('История отказов'!AE1159="","",IF(AND(COUNTIF($CX$2:$CX$2,'История отказов'!AE1159)=0,COUNTIFS('История отказов'!$F$5:F1159,"ШВН",'История отказов'!$AE$5:AE1159,'История отказов'!AE1159)=1,'История отказов'!F1159="ШВН"),1155,""))</f>
        <v/>
      </c>
      <c r="DG1156">
        <f>IF('История отказов'!AE1159="","",IF(AND(COUNTIF($CW$2:$CW$2,'История отказов'!AE1159)=0,COUNTIFS('История отказов'!$F$5:F1159,"НПУ-ВД",'История отказов'!$AE$5:AE1159,'История отказов'!AE1159)=1,'История отказов'!F1159="НПУ-ВД"),1155,""))</f>
        <v/>
      </c>
      <c r="DH1156">
        <f>IF('История отказов'!AE1159="","",IF(AND(COUNTIF($CY$2:$CY$6,'История отказов'!AE1159)=0,COUNTIF('История отказов'!$AE$5:AE1159,'История отказов'!AE1159)=1),1155,""))</f>
        <v/>
      </c>
      <c r="DI1156">
        <f>IF('История отказов'!AK1159="","",IF(AND(COUNTIF($CL$2:$CL$3,'История отказов'!AK1159)=0,COUNTIF('История отказов'!$AK$5:AK1159,'История отказов'!AK1159)=1),1155,""))</f>
        <v/>
      </c>
      <c r="DJ1156">
        <f>IF('История отказов'!AU1159="","",IF(AND(COUNTIF($CP$2:$CP$3,'История отказов'!AU1159)=0,COUNTIF('История отказов'!$AU$5:AU1159,'История отказов'!AU1159)=1),1155,""))</f>
        <v/>
      </c>
      <c r="DK1156">
        <f>IF('История отказов'!AY1159="","",IF(AND(COUNTIF($CR$2:$CR$2,'История отказов'!AY1159)=0,COUNTIF('История отказов'!$AY$5:AY1159,'История отказов'!AY1159)=1),1155,""))</f>
        <v/>
      </c>
      <c r="DL1156">
        <f>IF(DB1156="","",IF(AND(COUNTIF($DA$2:$DA$47,DB1156)=0,COUNTIF($DB$2:DB1156,DB1156)=1),1155,""))</f>
        <v/>
      </c>
    </row>
    <row r="1157">
      <c r="A1157" s="48" t="n"/>
      <c r="B1157" s="49" t="n"/>
      <c r="C1157" s="49" t="n"/>
      <c r="D1157" s="49" t="n"/>
      <c r="E1157" s="49" t="n"/>
      <c r="F1157" s="49" t="n"/>
      <c r="G1157" s="50" t="n"/>
      <c r="DB1157">
        <f>IF('История отказов'!AH1160="","",'История отказов'!AH1160)</f>
        <v/>
      </c>
      <c r="DC1157">
        <f>IF('История отказов'!AE1160="","",IF(AND(COUNTIF($CT$2:$CT$2,'История отказов'!AE1160)=0,COUNTIFS('История отказов'!$F$5:F1160,"ШГН",'История отказов'!$AE$5:AE1160,'История отказов'!AE1160)=1,'История отказов'!F1160="ШГН"),1156,""))</f>
        <v/>
      </c>
      <c r="DD1157">
        <f>IF('История отказов'!AE1160="","",IF(AND(COUNTIF($CU$2:$CU$3,'История отказов'!AE1160)=0,COUNTIFS('История отказов'!$F$5:F1160,"ЭЦН",'История отказов'!$AE$5:AE1160,'История отказов'!AE1160)=1,'История отказов'!F1160="ЭЦН"),1156,""))</f>
        <v/>
      </c>
      <c r="DE1157">
        <f>IF('История отказов'!AE1160="","",IF(AND(COUNTIF($CV$2:$CV$3,'История отказов'!AE1160)=0,COUNTIFS('История отказов'!$F$5:F1160,"ЭВН",'История отказов'!$AE$5:AE1160,'История отказов'!AE1160)=1,'История отказов'!F1160="ЭВН"),1156,""))</f>
        <v/>
      </c>
      <c r="DF1157">
        <f>IF('История отказов'!AE1160="","",IF(AND(COUNTIF($CX$2:$CX$2,'История отказов'!AE1160)=0,COUNTIFS('История отказов'!$F$5:F1160,"ШВН",'История отказов'!$AE$5:AE1160,'История отказов'!AE1160)=1,'История отказов'!F1160="ШВН"),1156,""))</f>
        <v/>
      </c>
      <c r="DG1157">
        <f>IF('История отказов'!AE1160="","",IF(AND(COUNTIF($CW$2:$CW$2,'История отказов'!AE1160)=0,COUNTIFS('История отказов'!$F$5:F1160,"НПУ-ВД",'История отказов'!$AE$5:AE1160,'История отказов'!AE1160)=1,'История отказов'!F1160="НПУ-ВД"),1156,""))</f>
        <v/>
      </c>
      <c r="DH1157">
        <f>IF('История отказов'!AE1160="","",IF(AND(COUNTIF($CY$2:$CY$6,'История отказов'!AE1160)=0,COUNTIF('История отказов'!$AE$5:AE1160,'История отказов'!AE1160)=1),1156,""))</f>
        <v/>
      </c>
      <c r="DI1157">
        <f>IF('История отказов'!AK1160="","",IF(AND(COUNTIF($CL$2:$CL$3,'История отказов'!AK1160)=0,COUNTIF('История отказов'!$AK$5:AK1160,'История отказов'!AK1160)=1),1156,""))</f>
        <v/>
      </c>
      <c r="DJ1157">
        <f>IF('История отказов'!AU1160="","",IF(AND(COUNTIF($CP$2:$CP$3,'История отказов'!AU1160)=0,COUNTIF('История отказов'!$AU$5:AU1160,'История отказов'!AU1160)=1),1156,""))</f>
        <v/>
      </c>
      <c r="DK1157">
        <f>IF('История отказов'!AY1160="","",IF(AND(COUNTIF($CR$2:$CR$2,'История отказов'!AY1160)=0,COUNTIF('История отказов'!$AY$5:AY1160,'История отказов'!AY1160)=1),1156,""))</f>
        <v/>
      </c>
      <c r="DL1157">
        <f>IF(DB1157="","",IF(AND(COUNTIF($DA$2:$DA$47,DB1157)=0,COUNTIF($DB$2:DB1157,DB1157)=1),1156,""))</f>
        <v/>
      </c>
    </row>
    <row r="1158">
      <c r="A1158" s="71" t="n"/>
      <c r="B1158" s="72" t="n"/>
      <c r="C1158" s="72" t="n"/>
      <c r="D1158" s="72" t="n"/>
      <c r="E1158" s="72" t="n"/>
      <c r="F1158" s="72" t="n"/>
      <c r="G1158" s="73" t="n"/>
      <c r="DB1158">
        <f>IF('История отказов'!AH1161="","",'История отказов'!AH1161)</f>
        <v/>
      </c>
      <c r="DC1158">
        <f>IF('История отказов'!AE1161="","",IF(AND(COUNTIF($CT$2:$CT$2,'История отказов'!AE1161)=0,COUNTIFS('История отказов'!$F$5:F1161,"ШГН",'История отказов'!$AE$5:AE1161,'История отказов'!AE1161)=1,'История отказов'!F1161="ШГН"),1157,""))</f>
        <v/>
      </c>
      <c r="DD1158">
        <f>IF('История отказов'!AE1161="","",IF(AND(COUNTIF($CU$2:$CU$3,'История отказов'!AE1161)=0,COUNTIFS('История отказов'!$F$5:F1161,"ЭЦН",'История отказов'!$AE$5:AE1161,'История отказов'!AE1161)=1,'История отказов'!F1161="ЭЦН"),1157,""))</f>
        <v/>
      </c>
      <c r="DE1158">
        <f>IF('История отказов'!AE1161="","",IF(AND(COUNTIF($CV$2:$CV$3,'История отказов'!AE1161)=0,COUNTIFS('История отказов'!$F$5:F1161,"ЭВН",'История отказов'!$AE$5:AE1161,'История отказов'!AE1161)=1,'История отказов'!F1161="ЭВН"),1157,""))</f>
        <v/>
      </c>
      <c r="DF1158">
        <f>IF('История отказов'!AE1161="","",IF(AND(COUNTIF($CX$2:$CX$2,'История отказов'!AE1161)=0,COUNTIFS('История отказов'!$F$5:F1161,"ШВН",'История отказов'!$AE$5:AE1161,'История отказов'!AE1161)=1,'История отказов'!F1161="ШВН"),1157,""))</f>
        <v/>
      </c>
      <c r="DG1158">
        <f>IF('История отказов'!AE1161="","",IF(AND(COUNTIF($CW$2:$CW$2,'История отказов'!AE1161)=0,COUNTIFS('История отказов'!$F$5:F1161,"НПУ-ВД",'История отказов'!$AE$5:AE1161,'История отказов'!AE1161)=1,'История отказов'!F1161="НПУ-ВД"),1157,""))</f>
        <v/>
      </c>
      <c r="DH1158">
        <f>IF('История отказов'!AE1161="","",IF(AND(COUNTIF($CY$2:$CY$6,'История отказов'!AE1161)=0,COUNTIF('История отказов'!$AE$5:AE1161,'История отказов'!AE1161)=1),1157,""))</f>
        <v/>
      </c>
      <c r="DI1158">
        <f>IF('История отказов'!AK1161="","",IF(AND(COUNTIF($CL$2:$CL$3,'История отказов'!AK1161)=0,COUNTIF('История отказов'!$AK$5:AK1161,'История отказов'!AK1161)=1),1157,""))</f>
        <v/>
      </c>
      <c r="DJ1158">
        <f>IF('История отказов'!AU1161="","",IF(AND(COUNTIF($CP$2:$CP$3,'История отказов'!AU1161)=0,COUNTIF('История отказов'!$AU$5:AU1161,'История отказов'!AU1161)=1),1157,""))</f>
        <v/>
      </c>
      <c r="DK1158">
        <f>IF('История отказов'!AY1161="","",IF(AND(COUNTIF($CR$2:$CR$2,'История отказов'!AY1161)=0,COUNTIF('История отказов'!$AY$5:AY1161,'История отказов'!AY1161)=1),1157,""))</f>
        <v/>
      </c>
      <c r="DL1158">
        <f>IF(DB1158="","",IF(AND(COUNTIF($DA$2:$DA$47,DB1158)=0,COUNTIF($DB$2:DB1158,DB1158)=1),1157,""))</f>
        <v/>
      </c>
    </row>
    <row r="1159">
      <c r="A1159" s="74" t="n"/>
      <c r="B1159" s="75" t="n"/>
      <c r="C1159" s="75" t="n"/>
      <c r="D1159" s="75" t="n"/>
      <c r="E1159" s="75" t="n"/>
      <c r="F1159" s="75" t="n"/>
      <c r="G1159" s="76" t="n"/>
      <c r="DB1159">
        <f>IF('История отказов'!AH1162="","",'История отказов'!AH1162)</f>
        <v/>
      </c>
      <c r="DC1159">
        <f>IF('История отказов'!AE1162="","",IF(AND(COUNTIF($CT$2:$CT$2,'История отказов'!AE1162)=0,COUNTIFS('История отказов'!$F$5:F1162,"ШГН",'История отказов'!$AE$5:AE1162,'История отказов'!AE1162)=1,'История отказов'!F1162="ШГН"),1158,""))</f>
        <v/>
      </c>
      <c r="DD1159">
        <f>IF('История отказов'!AE1162="","",IF(AND(COUNTIF($CU$2:$CU$3,'История отказов'!AE1162)=0,COUNTIFS('История отказов'!$F$5:F1162,"ЭЦН",'История отказов'!$AE$5:AE1162,'История отказов'!AE1162)=1,'История отказов'!F1162="ЭЦН"),1158,""))</f>
        <v/>
      </c>
      <c r="DE1159">
        <f>IF('История отказов'!AE1162="","",IF(AND(COUNTIF($CV$2:$CV$3,'История отказов'!AE1162)=0,COUNTIFS('История отказов'!$F$5:F1162,"ЭВН",'История отказов'!$AE$5:AE1162,'История отказов'!AE1162)=1,'История отказов'!F1162="ЭВН"),1158,""))</f>
        <v/>
      </c>
      <c r="DF1159">
        <f>IF('История отказов'!AE1162="","",IF(AND(COUNTIF($CX$2:$CX$2,'История отказов'!AE1162)=0,COUNTIFS('История отказов'!$F$5:F1162,"ШВН",'История отказов'!$AE$5:AE1162,'История отказов'!AE1162)=1,'История отказов'!F1162="ШВН"),1158,""))</f>
        <v/>
      </c>
      <c r="DG1159">
        <f>IF('История отказов'!AE1162="","",IF(AND(COUNTIF($CW$2:$CW$2,'История отказов'!AE1162)=0,COUNTIFS('История отказов'!$F$5:F1162,"НПУ-ВД",'История отказов'!$AE$5:AE1162,'История отказов'!AE1162)=1,'История отказов'!F1162="НПУ-ВД"),1158,""))</f>
        <v/>
      </c>
      <c r="DH1159">
        <f>IF('История отказов'!AE1162="","",IF(AND(COUNTIF($CY$2:$CY$6,'История отказов'!AE1162)=0,COUNTIF('История отказов'!$AE$5:AE1162,'История отказов'!AE1162)=1),1158,""))</f>
        <v/>
      </c>
      <c r="DI1159">
        <f>IF('История отказов'!AK1162="","",IF(AND(COUNTIF($CL$2:$CL$3,'История отказов'!AK1162)=0,COUNTIF('История отказов'!$AK$5:AK1162,'История отказов'!AK1162)=1),1158,""))</f>
        <v/>
      </c>
      <c r="DJ1159">
        <f>IF('История отказов'!AU1162="","",IF(AND(COUNTIF($CP$2:$CP$3,'История отказов'!AU1162)=0,COUNTIF('История отказов'!$AU$5:AU1162,'История отказов'!AU1162)=1),1158,""))</f>
        <v/>
      </c>
      <c r="DK1159">
        <f>IF('История отказов'!AY1162="","",IF(AND(COUNTIF($CR$2:$CR$2,'История отказов'!AY1162)=0,COUNTIF('История отказов'!$AY$5:AY1162,'История отказов'!AY1162)=1),1158,""))</f>
        <v/>
      </c>
      <c r="DL1159">
        <f>IF(DB1159="","",IF(AND(COUNTIF($DA$2:$DA$47,DB1159)=0,COUNTIF($DB$2:DB1159,DB1159)=1),1158,""))</f>
        <v/>
      </c>
    </row>
    <row r="1160">
      <c r="A1160" s="74" t="n"/>
      <c r="B1160" s="75" t="n"/>
      <c r="C1160" s="75" t="n"/>
      <c r="D1160" s="75" t="n"/>
      <c r="E1160" s="75" t="n"/>
      <c r="F1160" s="75" t="n"/>
      <c r="G1160" s="76" t="n"/>
      <c r="DB1160">
        <f>IF('История отказов'!AH1163="","",'История отказов'!AH1163)</f>
        <v/>
      </c>
      <c r="DC1160">
        <f>IF('История отказов'!AE1163="","",IF(AND(COUNTIF($CT$2:$CT$2,'История отказов'!AE1163)=0,COUNTIFS('История отказов'!$F$5:F1163,"ШГН",'История отказов'!$AE$5:AE1163,'История отказов'!AE1163)=1,'История отказов'!F1163="ШГН"),1159,""))</f>
        <v/>
      </c>
      <c r="DD1160">
        <f>IF('История отказов'!AE1163="","",IF(AND(COUNTIF($CU$2:$CU$3,'История отказов'!AE1163)=0,COUNTIFS('История отказов'!$F$5:F1163,"ЭЦН",'История отказов'!$AE$5:AE1163,'История отказов'!AE1163)=1,'История отказов'!F1163="ЭЦН"),1159,""))</f>
        <v/>
      </c>
      <c r="DE1160">
        <f>IF('История отказов'!AE1163="","",IF(AND(COUNTIF($CV$2:$CV$3,'История отказов'!AE1163)=0,COUNTIFS('История отказов'!$F$5:F1163,"ЭВН",'История отказов'!$AE$5:AE1163,'История отказов'!AE1163)=1,'История отказов'!F1163="ЭВН"),1159,""))</f>
        <v/>
      </c>
      <c r="DF1160">
        <f>IF('История отказов'!AE1163="","",IF(AND(COUNTIF($CX$2:$CX$2,'История отказов'!AE1163)=0,COUNTIFS('История отказов'!$F$5:F1163,"ШВН",'История отказов'!$AE$5:AE1163,'История отказов'!AE1163)=1,'История отказов'!F1163="ШВН"),1159,""))</f>
        <v/>
      </c>
      <c r="DG1160">
        <f>IF('История отказов'!AE1163="","",IF(AND(COUNTIF($CW$2:$CW$2,'История отказов'!AE1163)=0,COUNTIFS('История отказов'!$F$5:F1163,"НПУ-ВД",'История отказов'!$AE$5:AE1163,'История отказов'!AE1163)=1,'История отказов'!F1163="НПУ-ВД"),1159,""))</f>
        <v/>
      </c>
      <c r="DH1160">
        <f>IF('История отказов'!AE1163="","",IF(AND(COUNTIF($CY$2:$CY$6,'История отказов'!AE1163)=0,COUNTIF('История отказов'!$AE$5:AE1163,'История отказов'!AE1163)=1),1159,""))</f>
        <v/>
      </c>
      <c r="DI1160">
        <f>IF('История отказов'!AK1163="","",IF(AND(COUNTIF($CL$2:$CL$3,'История отказов'!AK1163)=0,COUNTIF('История отказов'!$AK$5:AK1163,'История отказов'!AK1163)=1),1159,""))</f>
        <v/>
      </c>
      <c r="DJ1160">
        <f>IF('История отказов'!AU1163="","",IF(AND(COUNTIF($CP$2:$CP$3,'История отказов'!AU1163)=0,COUNTIF('История отказов'!$AU$5:AU1163,'История отказов'!AU1163)=1),1159,""))</f>
        <v/>
      </c>
      <c r="DK1160">
        <f>IF('История отказов'!AY1163="","",IF(AND(COUNTIF($CR$2:$CR$2,'История отказов'!AY1163)=0,COUNTIF('История отказов'!$AY$5:AY1163,'История отказов'!AY1163)=1),1159,""))</f>
        <v/>
      </c>
      <c r="DL1160">
        <f>IF(DB1160="","",IF(AND(COUNTIF($DA$2:$DA$47,DB1160)=0,COUNTIF($DB$2:DB1160,DB1160)=1),1159,""))</f>
        <v/>
      </c>
    </row>
    <row r="1161">
      <c r="A1161" s="74" t="n"/>
      <c r="B1161" s="75" t="n"/>
      <c r="C1161" s="75" t="n"/>
      <c r="D1161" s="75" t="n"/>
      <c r="E1161" s="75" t="n"/>
      <c r="F1161" s="75" t="n"/>
      <c r="G1161" s="76" t="n"/>
      <c r="DB1161">
        <f>IF('История отказов'!AH1164="","",'История отказов'!AH1164)</f>
        <v/>
      </c>
      <c r="DC1161">
        <f>IF('История отказов'!AE1164="","",IF(AND(COUNTIF($CT$2:$CT$2,'История отказов'!AE1164)=0,COUNTIFS('История отказов'!$F$5:F1164,"ШГН",'История отказов'!$AE$5:AE1164,'История отказов'!AE1164)=1,'История отказов'!F1164="ШГН"),1160,""))</f>
        <v/>
      </c>
      <c r="DD1161">
        <f>IF('История отказов'!AE1164="","",IF(AND(COUNTIF($CU$2:$CU$3,'История отказов'!AE1164)=0,COUNTIFS('История отказов'!$F$5:F1164,"ЭЦН",'История отказов'!$AE$5:AE1164,'История отказов'!AE1164)=1,'История отказов'!F1164="ЭЦН"),1160,""))</f>
        <v/>
      </c>
      <c r="DE1161">
        <f>IF('История отказов'!AE1164="","",IF(AND(COUNTIF($CV$2:$CV$3,'История отказов'!AE1164)=0,COUNTIFS('История отказов'!$F$5:F1164,"ЭВН",'История отказов'!$AE$5:AE1164,'История отказов'!AE1164)=1,'История отказов'!F1164="ЭВН"),1160,""))</f>
        <v/>
      </c>
      <c r="DF1161">
        <f>IF('История отказов'!AE1164="","",IF(AND(COUNTIF($CX$2:$CX$2,'История отказов'!AE1164)=0,COUNTIFS('История отказов'!$F$5:F1164,"ШВН",'История отказов'!$AE$5:AE1164,'История отказов'!AE1164)=1,'История отказов'!F1164="ШВН"),1160,""))</f>
        <v/>
      </c>
      <c r="DG1161">
        <f>IF('История отказов'!AE1164="","",IF(AND(COUNTIF($CW$2:$CW$2,'История отказов'!AE1164)=0,COUNTIFS('История отказов'!$F$5:F1164,"НПУ-ВД",'История отказов'!$AE$5:AE1164,'История отказов'!AE1164)=1,'История отказов'!F1164="НПУ-ВД"),1160,""))</f>
        <v/>
      </c>
      <c r="DH1161">
        <f>IF('История отказов'!AE1164="","",IF(AND(COUNTIF($CY$2:$CY$6,'История отказов'!AE1164)=0,COUNTIF('История отказов'!$AE$5:AE1164,'История отказов'!AE1164)=1),1160,""))</f>
        <v/>
      </c>
      <c r="DI1161">
        <f>IF('История отказов'!AK1164="","",IF(AND(COUNTIF($CL$2:$CL$3,'История отказов'!AK1164)=0,COUNTIF('История отказов'!$AK$5:AK1164,'История отказов'!AK1164)=1),1160,""))</f>
        <v/>
      </c>
      <c r="DJ1161">
        <f>IF('История отказов'!AU1164="","",IF(AND(COUNTIF($CP$2:$CP$3,'История отказов'!AU1164)=0,COUNTIF('История отказов'!$AU$5:AU1164,'История отказов'!AU1164)=1),1160,""))</f>
        <v/>
      </c>
      <c r="DK1161">
        <f>IF('История отказов'!AY1164="","",IF(AND(COUNTIF($CR$2:$CR$2,'История отказов'!AY1164)=0,COUNTIF('История отказов'!$AY$5:AY1164,'История отказов'!AY1164)=1),1160,""))</f>
        <v/>
      </c>
      <c r="DL1161">
        <f>IF(DB1161="","",IF(AND(COUNTIF($DA$2:$DA$47,DB1161)=0,COUNTIF($DB$2:DB1161,DB1161)=1),1160,""))</f>
        <v/>
      </c>
    </row>
    <row r="1162">
      <c r="A1162" s="74" t="n"/>
      <c r="B1162" s="75" t="n"/>
      <c r="C1162" s="75" t="n"/>
      <c r="D1162" s="75" t="n"/>
      <c r="E1162" s="75" t="n"/>
      <c r="F1162" s="75" t="n"/>
      <c r="G1162" s="76" t="n"/>
      <c r="DB1162">
        <f>IF('История отказов'!AH1165="","",'История отказов'!AH1165)</f>
        <v/>
      </c>
      <c r="DC1162">
        <f>IF('История отказов'!AE1165="","",IF(AND(COUNTIF($CT$2:$CT$2,'История отказов'!AE1165)=0,COUNTIFS('История отказов'!$F$5:F1165,"ШГН",'История отказов'!$AE$5:AE1165,'История отказов'!AE1165)=1,'История отказов'!F1165="ШГН"),1161,""))</f>
        <v/>
      </c>
      <c r="DD1162">
        <f>IF('История отказов'!AE1165="","",IF(AND(COUNTIF($CU$2:$CU$3,'История отказов'!AE1165)=0,COUNTIFS('История отказов'!$F$5:F1165,"ЭЦН",'История отказов'!$AE$5:AE1165,'История отказов'!AE1165)=1,'История отказов'!F1165="ЭЦН"),1161,""))</f>
        <v/>
      </c>
      <c r="DE1162">
        <f>IF('История отказов'!AE1165="","",IF(AND(COUNTIF($CV$2:$CV$3,'История отказов'!AE1165)=0,COUNTIFS('История отказов'!$F$5:F1165,"ЭВН",'История отказов'!$AE$5:AE1165,'История отказов'!AE1165)=1,'История отказов'!F1165="ЭВН"),1161,""))</f>
        <v/>
      </c>
      <c r="DF1162">
        <f>IF('История отказов'!AE1165="","",IF(AND(COUNTIF($CX$2:$CX$2,'История отказов'!AE1165)=0,COUNTIFS('История отказов'!$F$5:F1165,"ШВН",'История отказов'!$AE$5:AE1165,'История отказов'!AE1165)=1,'История отказов'!F1165="ШВН"),1161,""))</f>
        <v/>
      </c>
      <c r="DG1162">
        <f>IF('История отказов'!AE1165="","",IF(AND(COUNTIF($CW$2:$CW$2,'История отказов'!AE1165)=0,COUNTIFS('История отказов'!$F$5:F1165,"НПУ-ВД",'История отказов'!$AE$5:AE1165,'История отказов'!AE1165)=1,'История отказов'!F1165="НПУ-ВД"),1161,""))</f>
        <v/>
      </c>
      <c r="DH1162">
        <f>IF('История отказов'!AE1165="","",IF(AND(COUNTIF($CY$2:$CY$6,'История отказов'!AE1165)=0,COUNTIF('История отказов'!$AE$5:AE1165,'История отказов'!AE1165)=1),1161,""))</f>
        <v/>
      </c>
      <c r="DI1162">
        <f>IF('История отказов'!AK1165="","",IF(AND(COUNTIF($CL$2:$CL$3,'История отказов'!AK1165)=0,COUNTIF('История отказов'!$AK$5:AK1165,'История отказов'!AK1165)=1),1161,""))</f>
        <v/>
      </c>
      <c r="DJ1162">
        <f>IF('История отказов'!AU1165="","",IF(AND(COUNTIF($CP$2:$CP$3,'История отказов'!AU1165)=0,COUNTIF('История отказов'!$AU$5:AU1165,'История отказов'!AU1165)=1),1161,""))</f>
        <v/>
      </c>
      <c r="DK1162">
        <f>IF('История отказов'!AY1165="","",IF(AND(COUNTIF($CR$2:$CR$2,'История отказов'!AY1165)=0,COUNTIF('История отказов'!$AY$5:AY1165,'История отказов'!AY1165)=1),1161,""))</f>
        <v/>
      </c>
      <c r="DL1162">
        <f>IF(DB1162="","",IF(AND(COUNTIF($DA$2:$DA$47,DB1162)=0,COUNTIF($DB$2:DB1162,DB1162)=1),1161,""))</f>
        <v/>
      </c>
    </row>
    <row r="1163">
      <c r="A1163" s="74" t="n"/>
      <c r="B1163" s="75" t="n"/>
      <c r="C1163" s="75" t="n"/>
      <c r="D1163" s="75" t="n"/>
      <c r="E1163" s="75" t="n"/>
      <c r="F1163" s="75" t="n"/>
      <c r="G1163" s="76" t="n"/>
      <c r="DB1163">
        <f>IF('История отказов'!AH1166="","",'История отказов'!AH1166)</f>
        <v/>
      </c>
      <c r="DC1163">
        <f>IF('История отказов'!AE1166="","",IF(AND(COUNTIF($CT$2:$CT$2,'История отказов'!AE1166)=0,COUNTIFS('История отказов'!$F$5:F1166,"ШГН",'История отказов'!$AE$5:AE1166,'История отказов'!AE1166)=1,'История отказов'!F1166="ШГН"),1162,""))</f>
        <v/>
      </c>
      <c r="DD1163">
        <f>IF('История отказов'!AE1166="","",IF(AND(COUNTIF($CU$2:$CU$3,'История отказов'!AE1166)=0,COUNTIFS('История отказов'!$F$5:F1166,"ЭЦН",'История отказов'!$AE$5:AE1166,'История отказов'!AE1166)=1,'История отказов'!F1166="ЭЦН"),1162,""))</f>
        <v/>
      </c>
      <c r="DE1163">
        <f>IF('История отказов'!AE1166="","",IF(AND(COUNTIF($CV$2:$CV$3,'История отказов'!AE1166)=0,COUNTIFS('История отказов'!$F$5:F1166,"ЭВН",'История отказов'!$AE$5:AE1166,'История отказов'!AE1166)=1,'История отказов'!F1166="ЭВН"),1162,""))</f>
        <v/>
      </c>
      <c r="DF1163">
        <f>IF('История отказов'!AE1166="","",IF(AND(COUNTIF($CX$2:$CX$2,'История отказов'!AE1166)=0,COUNTIFS('История отказов'!$F$5:F1166,"ШВН",'История отказов'!$AE$5:AE1166,'История отказов'!AE1166)=1,'История отказов'!F1166="ШВН"),1162,""))</f>
        <v/>
      </c>
      <c r="DG1163">
        <f>IF('История отказов'!AE1166="","",IF(AND(COUNTIF($CW$2:$CW$2,'История отказов'!AE1166)=0,COUNTIFS('История отказов'!$F$5:F1166,"НПУ-ВД",'История отказов'!$AE$5:AE1166,'История отказов'!AE1166)=1,'История отказов'!F1166="НПУ-ВД"),1162,""))</f>
        <v/>
      </c>
      <c r="DH1163">
        <f>IF('История отказов'!AE1166="","",IF(AND(COUNTIF($CY$2:$CY$6,'История отказов'!AE1166)=0,COUNTIF('История отказов'!$AE$5:AE1166,'История отказов'!AE1166)=1),1162,""))</f>
        <v/>
      </c>
      <c r="DI1163">
        <f>IF('История отказов'!AK1166="","",IF(AND(COUNTIF($CL$2:$CL$3,'История отказов'!AK1166)=0,COUNTIF('История отказов'!$AK$5:AK1166,'История отказов'!AK1166)=1),1162,""))</f>
        <v/>
      </c>
      <c r="DJ1163">
        <f>IF('История отказов'!AU1166="","",IF(AND(COUNTIF($CP$2:$CP$3,'История отказов'!AU1166)=0,COUNTIF('История отказов'!$AU$5:AU1166,'История отказов'!AU1166)=1),1162,""))</f>
        <v/>
      </c>
      <c r="DK1163">
        <f>IF('История отказов'!AY1166="","",IF(AND(COUNTIF($CR$2:$CR$2,'История отказов'!AY1166)=0,COUNTIF('История отказов'!$AY$5:AY1166,'История отказов'!AY1166)=1),1162,""))</f>
        <v/>
      </c>
      <c r="DL1163">
        <f>IF(DB1163="","",IF(AND(COUNTIF($DA$2:$DA$47,DB1163)=0,COUNTIF($DB$2:DB1163,DB1163)=1),1162,""))</f>
        <v/>
      </c>
    </row>
    <row r="1164">
      <c r="A1164" s="74" t="n"/>
      <c r="B1164" s="75" t="n"/>
      <c r="C1164" s="75" t="n"/>
      <c r="D1164" s="75" t="n"/>
      <c r="E1164" s="75" t="n"/>
      <c r="F1164" s="75" t="n"/>
      <c r="G1164" s="76" t="n"/>
      <c r="DB1164">
        <f>IF('История отказов'!AH1167="","",'История отказов'!AH1167)</f>
        <v/>
      </c>
      <c r="DC1164">
        <f>IF('История отказов'!AE1167="","",IF(AND(COUNTIF($CT$2:$CT$2,'История отказов'!AE1167)=0,COUNTIFS('История отказов'!$F$5:F1167,"ШГН",'История отказов'!$AE$5:AE1167,'История отказов'!AE1167)=1,'История отказов'!F1167="ШГН"),1163,""))</f>
        <v/>
      </c>
      <c r="DD1164">
        <f>IF('История отказов'!AE1167="","",IF(AND(COUNTIF($CU$2:$CU$3,'История отказов'!AE1167)=0,COUNTIFS('История отказов'!$F$5:F1167,"ЭЦН",'История отказов'!$AE$5:AE1167,'История отказов'!AE1167)=1,'История отказов'!F1167="ЭЦН"),1163,""))</f>
        <v/>
      </c>
      <c r="DE1164">
        <f>IF('История отказов'!AE1167="","",IF(AND(COUNTIF($CV$2:$CV$3,'История отказов'!AE1167)=0,COUNTIFS('История отказов'!$F$5:F1167,"ЭВН",'История отказов'!$AE$5:AE1167,'История отказов'!AE1167)=1,'История отказов'!F1167="ЭВН"),1163,""))</f>
        <v/>
      </c>
      <c r="DF1164">
        <f>IF('История отказов'!AE1167="","",IF(AND(COUNTIF($CX$2:$CX$2,'История отказов'!AE1167)=0,COUNTIFS('История отказов'!$F$5:F1167,"ШВН",'История отказов'!$AE$5:AE1167,'История отказов'!AE1167)=1,'История отказов'!F1167="ШВН"),1163,""))</f>
        <v/>
      </c>
      <c r="DG1164">
        <f>IF('История отказов'!AE1167="","",IF(AND(COUNTIF($CW$2:$CW$2,'История отказов'!AE1167)=0,COUNTIFS('История отказов'!$F$5:F1167,"НПУ-ВД",'История отказов'!$AE$5:AE1167,'История отказов'!AE1167)=1,'История отказов'!F1167="НПУ-ВД"),1163,""))</f>
        <v/>
      </c>
      <c r="DH1164">
        <f>IF('История отказов'!AE1167="","",IF(AND(COUNTIF($CY$2:$CY$6,'История отказов'!AE1167)=0,COUNTIF('История отказов'!$AE$5:AE1167,'История отказов'!AE1167)=1),1163,""))</f>
        <v/>
      </c>
      <c r="DI1164">
        <f>IF('История отказов'!AK1167="","",IF(AND(COUNTIF($CL$2:$CL$3,'История отказов'!AK1167)=0,COUNTIF('История отказов'!$AK$5:AK1167,'История отказов'!AK1167)=1),1163,""))</f>
        <v/>
      </c>
      <c r="DJ1164">
        <f>IF('История отказов'!AU1167="","",IF(AND(COUNTIF($CP$2:$CP$3,'История отказов'!AU1167)=0,COUNTIF('История отказов'!$AU$5:AU1167,'История отказов'!AU1167)=1),1163,""))</f>
        <v/>
      </c>
      <c r="DK1164">
        <f>IF('История отказов'!AY1167="","",IF(AND(COUNTIF($CR$2:$CR$2,'История отказов'!AY1167)=0,COUNTIF('История отказов'!$AY$5:AY1167,'История отказов'!AY1167)=1),1163,""))</f>
        <v/>
      </c>
      <c r="DL1164">
        <f>IF(DB1164="","",IF(AND(COUNTIF($DA$2:$DA$47,DB1164)=0,COUNTIF($DB$2:DB1164,DB1164)=1),1163,""))</f>
        <v/>
      </c>
    </row>
    <row r="1165">
      <c r="A1165" s="74" t="n"/>
      <c r="B1165" s="75" t="n"/>
      <c r="C1165" s="75" t="n"/>
      <c r="D1165" s="75" t="n"/>
      <c r="E1165" s="75" t="n"/>
      <c r="F1165" s="75" t="n"/>
      <c r="G1165" s="76" t="n"/>
      <c r="DB1165">
        <f>IF('История отказов'!AH1168="","",'История отказов'!AH1168)</f>
        <v/>
      </c>
      <c r="DC1165">
        <f>IF('История отказов'!AE1168="","",IF(AND(COUNTIF($CT$2:$CT$2,'История отказов'!AE1168)=0,COUNTIFS('История отказов'!$F$5:F1168,"ШГН",'История отказов'!$AE$5:AE1168,'История отказов'!AE1168)=1,'История отказов'!F1168="ШГН"),1164,""))</f>
        <v/>
      </c>
      <c r="DD1165">
        <f>IF('История отказов'!AE1168="","",IF(AND(COUNTIF($CU$2:$CU$3,'История отказов'!AE1168)=0,COUNTIFS('История отказов'!$F$5:F1168,"ЭЦН",'История отказов'!$AE$5:AE1168,'История отказов'!AE1168)=1,'История отказов'!F1168="ЭЦН"),1164,""))</f>
        <v/>
      </c>
      <c r="DE1165">
        <f>IF('История отказов'!AE1168="","",IF(AND(COUNTIF($CV$2:$CV$3,'История отказов'!AE1168)=0,COUNTIFS('История отказов'!$F$5:F1168,"ЭВН",'История отказов'!$AE$5:AE1168,'История отказов'!AE1168)=1,'История отказов'!F1168="ЭВН"),1164,""))</f>
        <v/>
      </c>
      <c r="DF1165">
        <f>IF('История отказов'!AE1168="","",IF(AND(COUNTIF($CX$2:$CX$2,'История отказов'!AE1168)=0,COUNTIFS('История отказов'!$F$5:F1168,"ШВН",'История отказов'!$AE$5:AE1168,'История отказов'!AE1168)=1,'История отказов'!F1168="ШВН"),1164,""))</f>
        <v/>
      </c>
      <c r="DG1165">
        <f>IF('История отказов'!AE1168="","",IF(AND(COUNTIF($CW$2:$CW$2,'История отказов'!AE1168)=0,COUNTIFS('История отказов'!$F$5:F1168,"НПУ-ВД",'История отказов'!$AE$5:AE1168,'История отказов'!AE1168)=1,'История отказов'!F1168="НПУ-ВД"),1164,""))</f>
        <v/>
      </c>
      <c r="DH1165">
        <f>IF('История отказов'!AE1168="","",IF(AND(COUNTIF($CY$2:$CY$6,'История отказов'!AE1168)=0,COUNTIF('История отказов'!$AE$5:AE1168,'История отказов'!AE1168)=1),1164,""))</f>
        <v/>
      </c>
      <c r="DI1165">
        <f>IF('История отказов'!AK1168="","",IF(AND(COUNTIF($CL$2:$CL$3,'История отказов'!AK1168)=0,COUNTIF('История отказов'!$AK$5:AK1168,'История отказов'!AK1168)=1),1164,""))</f>
        <v/>
      </c>
      <c r="DJ1165">
        <f>IF('История отказов'!AU1168="","",IF(AND(COUNTIF($CP$2:$CP$3,'История отказов'!AU1168)=0,COUNTIF('История отказов'!$AU$5:AU1168,'История отказов'!AU1168)=1),1164,""))</f>
        <v/>
      </c>
      <c r="DK1165">
        <f>IF('История отказов'!AY1168="","",IF(AND(COUNTIF($CR$2:$CR$2,'История отказов'!AY1168)=0,COUNTIF('История отказов'!$AY$5:AY1168,'История отказов'!AY1168)=1),1164,""))</f>
        <v/>
      </c>
      <c r="DL1165">
        <f>IF(DB1165="","",IF(AND(COUNTIF($DA$2:$DA$47,DB1165)=0,COUNTIF($DB$2:DB1165,DB1165)=1),1164,""))</f>
        <v/>
      </c>
    </row>
    <row r="1166">
      <c r="A1166" s="74" t="n"/>
      <c r="B1166" s="75" t="n"/>
      <c r="C1166" s="75" t="n"/>
      <c r="D1166" s="75" t="n"/>
      <c r="E1166" s="75" t="n"/>
      <c r="F1166" s="75" t="n"/>
      <c r="G1166" s="76" t="n"/>
      <c r="DB1166">
        <f>IF('История отказов'!AH1169="","",'История отказов'!AH1169)</f>
        <v/>
      </c>
      <c r="DC1166">
        <f>IF('История отказов'!AE1169="","",IF(AND(COUNTIF($CT$2:$CT$2,'История отказов'!AE1169)=0,COUNTIFS('История отказов'!$F$5:F1169,"ШГН",'История отказов'!$AE$5:AE1169,'История отказов'!AE1169)=1,'История отказов'!F1169="ШГН"),1165,""))</f>
        <v/>
      </c>
      <c r="DD1166">
        <f>IF('История отказов'!AE1169="","",IF(AND(COUNTIF($CU$2:$CU$3,'История отказов'!AE1169)=0,COUNTIFS('История отказов'!$F$5:F1169,"ЭЦН",'История отказов'!$AE$5:AE1169,'История отказов'!AE1169)=1,'История отказов'!F1169="ЭЦН"),1165,""))</f>
        <v/>
      </c>
      <c r="DE1166">
        <f>IF('История отказов'!AE1169="","",IF(AND(COUNTIF($CV$2:$CV$3,'История отказов'!AE1169)=0,COUNTIFS('История отказов'!$F$5:F1169,"ЭВН",'История отказов'!$AE$5:AE1169,'История отказов'!AE1169)=1,'История отказов'!F1169="ЭВН"),1165,""))</f>
        <v/>
      </c>
      <c r="DF1166">
        <f>IF('История отказов'!AE1169="","",IF(AND(COUNTIF($CX$2:$CX$2,'История отказов'!AE1169)=0,COUNTIFS('История отказов'!$F$5:F1169,"ШВН",'История отказов'!$AE$5:AE1169,'История отказов'!AE1169)=1,'История отказов'!F1169="ШВН"),1165,""))</f>
        <v/>
      </c>
      <c r="DG1166">
        <f>IF('История отказов'!AE1169="","",IF(AND(COUNTIF($CW$2:$CW$2,'История отказов'!AE1169)=0,COUNTIFS('История отказов'!$F$5:F1169,"НПУ-ВД",'История отказов'!$AE$5:AE1169,'История отказов'!AE1169)=1,'История отказов'!F1169="НПУ-ВД"),1165,""))</f>
        <v/>
      </c>
      <c r="DH1166">
        <f>IF('История отказов'!AE1169="","",IF(AND(COUNTIF($CY$2:$CY$6,'История отказов'!AE1169)=0,COUNTIF('История отказов'!$AE$5:AE1169,'История отказов'!AE1169)=1),1165,""))</f>
        <v/>
      </c>
      <c r="DI1166">
        <f>IF('История отказов'!AK1169="","",IF(AND(COUNTIF($CL$2:$CL$3,'История отказов'!AK1169)=0,COUNTIF('История отказов'!$AK$5:AK1169,'История отказов'!AK1169)=1),1165,""))</f>
        <v/>
      </c>
      <c r="DJ1166">
        <f>IF('История отказов'!AU1169="","",IF(AND(COUNTIF($CP$2:$CP$3,'История отказов'!AU1169)=0,COUNTIF('История отказов'!$AU$5:AU1169,'История отказов'!AU1169)=1),1165,""))</f>
        <v/>
      </c>
      <c r="DK1166">
        <f>IF('История отказов'!AY1169="","",IF(AND(COUNTIF($CR$2:$CR$2,'История отказов'!AY1169)=0,COUNTIF('История отказов'!$AY$5:AY1169,'История отказов'!AY1169)=1),1165,""))</f>
        <v/>
      </c>
      <c r="DL1166">
        <f>IF(DB1166="","",IF(AND(COUNTIF($DA$2:$DA$47,DB1166)=0,COUNTIF($DB$2:DB1166,DB1166)=1),1165,""))</f>
        <v/>
      </c>
    </row>
    <row r="1167">
      <c r="A1167" s="74" t="n"/>
      <c r="B1167" s="75" t="n"/>
      <c r="C1167" s="75" t="n"/>
      <c r="D1167" s="75" t="n"/>
      <c r="E1167" s="75" t="n"/>
      <c r="F1167" s="75" t="n"/>
      <c r="G1167" s="76" t="n"/>
      <c r="DB1167">
        <f>IF('История отказов'!AH1170="","",'История отказов'!AH1170)</f>
        <v/>
      </c>
      <c r="DC1167">
        <f>IF('История отказов'!AE1170="","",IF(AND(COUNTIF($CT$2:$CT$2,'История отказов'!AE1170)=0,COUNTIFS('История отказов'!$F$5:F1170,"ШГН",'История отказов'!$AE$5:AE1170,'История отказов'!AE1170)=1,'История отказов'!F1170="ШГН"),1166,""))</f>
        <v/>
      </c>
      <c r="DD1167">
        <f>IF('История отказов'!AE1170="","",IF(AND(COUNTIF($CU$2:$CU$3,'История отказов'!AE1170)=0,COUNTIFS('История отказов'!$F$5:F1170,"ЭЦН",'История отказов'!$AE$5:AE1170,'История отказов'!AE1170)=1,'История отказов'!F1170="ЭЦН"),1166,""))</f>
        <v/>
      </c>
      <c r="DE1167">
        <f>IF('История отказов'!AE1170="","",IF(AND(COUNTIF($CV$2:$CV$3,'История отказов'!AE1170)=0,COUNTIFS('История отказов'!$F$5:F1170,"ЭВН",'История отказов'!$AE$5:AE1170,'История отказов'!AE1170)=1,'История отказов'!F1170="ЭВН"),1166,""))</f>
        <v/>
      </c>
      <c r="DF1167">
        <f>IF('История отказов'!AE1170="","",IF(AND(COUNTIF($CX$2:$CX$2,'История отказов'!AE1170)=0,COUNTIFS('История отказов'!$F$5:F1170,"ШВН",'История отказов'!$AE$5:AE1170,'История отказов'!AE1170)=1,'История отказов'!F1170="ШВН"),1166,""))</f>
        <v/>
      </c>
      <c r="DG1167">
        <f>IF('История отказов'!AE1170="","",IF(AND(COUNTIF($CW$2:$CW$2,'История отказов'!AE1170)=0,COUNTIFS('История отказов'!$F$5:F1170,"НПУ-ВД",'История отказов'!$AE$5:AE1170,'История отказов'!AE1170)=1,'История отказов'!F1170="НПУ-ВД"),1166,""))</f>
        <v/>
      </c>
      <c r="DH1167">
        <f>IF('История отказов'!AE1170="","",IF(AND(COUNTIF($CY$2:$CY$6,'История отказов'!AE1170)=0,COUNTIF('История отказов'!$AE$5:AE1170,'История отказов'!AE1170)=1),1166,""))</f>
        <v/>
      </c>
      <c r="DI1167">
        <f>IF('История отказов'!AK1170="","",IF(AND(COUNTIF($CL$2:$CL$3,'История отказов'!AK1170)=0,COUNTIF('История отказов'!$AK$5:AK1170,'История отказов'!AK1170)=1),1166,""))</f>
        <v/>
      </c>
      <c r="DJ1167">
        <f>IF('История отказов'!AU1170="","",IF(AND(COUNTIF($CP$2:$CP$3,'История отказов'!AU1170)=0,COUNTIF('История отказов'!$AU$5:AU1170,'История отказов'!AU1170)=1),1166,""))</f>
        <v/>
      </c>
      <c r="DK1167">
        <f>IF('История отказов'!AY1170="","",IF(AND(COUNTIF($CR$2:$CR$2,'История отказов'!AY1170)=0,COUNTIF('История отказов'!$AY$5:AY1170,'История отказов'!AY1170)=1),1166,""))</f>
        <v/>
      </c>
      <c r="DL1167">
        <f>IF(DB1167="","",IF(AND(COUNTIF($DA$2:$DA$47,DB1167)=0,COUNTIF($DB$2:DB1167,DB1167)=1),1166,""))</f>
        <v/>
      </c>
    </row>
    <row r="1168">
      <c r="A1168" s="74" t="n"/>
      <c r="B1168" s="75" t="n"/>
      <c r="C1168" s="75" t="n"/>
      <c r="D1168" s="75" t="n"/>
      <c r="E1168" s="75" t="n"/>
      <c r="F1168" s="75" t="n"/>
      <c r="G1168" s="76" t="n"/>
      <c r="DB1168">
        <f>IF('История отказов'!AH1171="","",'История отказов'!AH1171)</f>
        <v/>
      </c>
      <c r="DC1168">
        <f>IF('История отказов'!AE1171="","",IF(AND(COUNTIF($CT$2:$CT$2,'История отказов'!AE1171)=0,COUNTIFS('История отказов'!$F$5:F1171,"ШГН",'История отказов'!$AE$5:AE1171,'История отказов'!AE1171)=1,'История отказов'!F1171="ШГН"),1167,""))</f>
        <v/>
      </c>
      <c r="DD1168">
        <f>IF('История отказов'!AE1171="","",IF(AND(COUNTIF($CU$2:$CU$3,'История отказов'!AE1171)=0,COUNTIFS('История отказов'!$F$5:F1171,"ЭЦН",'История отказов'!$AE$5:AE1171,'История отказов'!AE1171)=1,'История отказов'!F1171="ЭЦН"),1167,""))</f>
        <v/>
      </c>
      <c r="DE1168">
        <f>IF('История отказов'!AE1171="","",IF(AND(COUNTIF($CV$2:$CV$3,'История отказов'!AE1171)=0,COUNTIFS('История отказов'!$F$5:F1171,"ЭВН",'История отказов'!$AE$5:AE1171,'История отказов'!AE1171)=1,'История отказов'!F1171="ЭВН"),1167,""))</f>
        <v/>
      </c>
      <c r="DF1168">
        <f>IF('История отказов'!AE1171="","",IF(AND(COUNTIF($CX$2:$CX$2,'История отказов'!AE1171)=0,COUNTIFS('История отказов'!$F$5:F1171,"ШВН",'История отказов'!$AE$5:AE1171,'История отказов'!AE1171)=1,'История отказов'!F1171="ШВН"),1167,""))</f>
        <v/>
      </c>
      <c r="DG1168">
        <f>IF('История отказов'!AE1171="","",IF(AND(COUNTIF($CW$2:$CW$2,'История отказов'!AE1171)=0,COUNTIFS('История отказов'!$F$5:F1171,"НПУ-ВД",'История отказов'!$AE$5:AE1171,'История отказов'!AE1171)=1,'История отказов'!F1171="НПУ-ВД"),1167,""))</f>
        <v/>
      </c>
      <c r="DH1168">
        <f>IF('История отказов'!AE1171="","",IF(AND(COUNTIF($CY$2:$CY$6,'История отказов'!AE1171)=0,COUNTIF('История отказов'!$AE$5:AE1171,'История отказов'!AE1171)=1),1167,""))</f>
        <v/>
      </c>
      <c r="DI1168">
        <f>IF('История отказов'!AK1171="","",IF(AND(COUNTIF($CL$2:$CL$3,'История отказов'!AK1171)=0,COUNTIF('История отказов'!$AK$5:AK1171,'История отказов'!AK1171)=1),1167,""))</f>
        <v/>
      </c>
      <c r="DJ1168">
        <f>IF('История отказов'!AU1171="","",IF(AND(COUNTIF($CP$2:$CP$3,'История отказов'!AU1171)=0,COUNTIF('История отказов'!$AU$5:AU1171,'История отказов'!AU1171)=1),1167,""))</f>
        <v/>
      </c>
      <c r="DK1168">
        <f>IF('История отказов'!AY1171="","",IF(AND(COUNTIF($CR$2:$CR$2,'История отказов'!AY1171)=0,COUNTIF('История отказов'!$AY$5:AY1171,'История отказов'!AY1171)=1),1167,""))</f>
        <v/>
      </c>
      <c r="DL1168">
        <f>IF(DB1168="","",IF(AND(COUNTIF($DA$2:$DA$47,DB1168)=0,COUNTIF($DB$2:DB1168,DB1168)=1),1167,""))</f>
        <v/>
      </c>
    </row>
    <row r="1169">
      <c r="A1169" s="74" t="n"/>
      <c r="B1169" s="75" t="n"/>
      <c r="C1169" s="75" t="n"/>
      <c r="D1169" s="75" t="n"/>
      <c r="E1169" s="75" t="n"/>
      <c r="F1169" s="75" t="n"/>
      <c r="G1169" s="76" t="n"/>
      <c r="DB1169">
        <f>IF('История отказов'!AH1172="","",'История отказов'!AH1172)</f>
        <v/>
      </c>
      <c r="DC1169">
        <f>IF('История отказов'!AE1172="","",IF(AND(COUNTIF($CT$2:$CT$2,'История отказов'!AE1172)=0,COUNTIFS('История отказов'!$F$5:F1172,"ШГН",'История отказов'!$AE$5:AE1172,'История отказов'!AE1172)=1,'История отказов'!F1172="ШГН"),1168,""))</f>
        <v/>
      </c>
      <c r="DD1169">
        <f>IF('История отказов'!AE1172="","",IF(AND(COUNTIF($CU$2:$CU$3,'История отказов'!AE1172)=0,COUNTIFS('История отказов'!$F$5:F1172,"ЭЦН",'История отказов'!$AE$5:AE1172,'История отказов'!AE1172)=1,'История отказов'!F1172="ЭЦН"),1168,""))</f>
        <v/>
      </c>
      <c r="DE1169">
        <f>IF('История отказов'!AE1172="","",IF(AND(COUNTIF($CV$2:$CV$3,'История отказов'!AE1172)=0,COUNTIFS('История отказов'!$F$5:F1172,"ЭВН",'История отказов'!$AE$5:AE1172,'История отказов'!AE1172)=1,'История отказов'!F1172="ЭВН"),1168,""))</f>
        <v/>
      </c>
      <c r="DF1169">
        <f>IF('История отказов'!AE1172="","",IF(AND(COUNTIF($CX$2:$CX$2,'История отказов'!AE1172)=0,COUNTIFS('История отказов'!$F$5:F1172,"ШВН",'История отказов'!$AE$5:AE1172,'История отказов'!AE1172)=1,'История отказов'!F1172="ШВН"),1168,""))</f>
        <v/>
      </c>
      <c r="DG1169">
        <f>IF('История отказов'!AE1172="","",IF(AND(COUNTIF($CW$2:$CW$2,'История отказов'!AE1172)=0,COUNTIFS('История отказов'!$F$5:F1172,"НПУ-ВД",'История отказов'!$AE$5:AE1172,'История отказов'!AE1172)=1,'История отказов'!F1172="НПУ-ВД"),1168,""))</f>
        <v/>
      </c>
      <c r="DH1169">
        <f>IF('История отказов'!AE1172="","",IF(AND(COUNTIF($CY$2:$CY$6,'История отказов'!AE1172)=0,COUNTIF('История отказов'!$AE$5:AE1172,'История отказов'!AE1172)=1),1168,""))</f>
        <v/>
      </c>
      <c r="DI1169">
        <f>IF('История отказов'!AK1172="","",IF(AND(COUNTIF($CL$2:$CL$3,'История отказов'!AK1172)=0,COUNTIF('История отказов'!$AK$5:AK1172,'История отказов'!AK1172)=1),1168,""))</f>
        <v/>
      </c>
      <c r="DJ1169">
        <f>IF('История отказов'!AU1172="","",IF(AND(COUNTIF($CP$2:$CP$3,'История отказов'!AU1172)=0,COUNTIF('История отказов'!$AU$5:AU1172,'История отказов'!AU1172)=1),1168,""))</f>
        <v/>
      </c>
      <c r="DK1169">
        <f>IF('История отказов'!AY1172="","",IF(AND(COUNTIF($CR$2:$CR$2,'История отказов'!AY1172)=0,COUNTIF('История отказов'!$AY$5:AY1172,'История отказов'!AY1172)=1),1168,""))</f>
        <v/>
      </c>
      <c r="DL1169">
        <f>IF(DB1169="","",IF(AND(COUNTIF($DA$2:$DA$47,DB1169)=0,COUNTIF($DB$2:DB1169,DB1169)=1),1168,""))</f>
        <v/>
      </c>
    </row>
    <row r="1170">
      <c r="A1170" s="74" t="n"/>
      <c r="B1170" s="75" t="n"/>
      <c r="C1170" s="75" t="n"/>
      <c r="D1170" s="75" t="n"/>
      <c r="E1170" s="75" t="n"/>
      <c r="F1170" s="75" t="n"/>
      <c r="G1170" s="76" t="n"/>
      <c r="DB1170">
        <f>IF('История отказов'!AH1173="","",'История отказов'!AH1173)</f>
        <v/>
      </c>
      <c r="DC1170">
        <f>IF('История отказов'!AE1173="","",IF(AND(COUNTIF($CT$2:$CT$2,'История отказов'!AE1173)=0,COUNTIFS('История отказов'!$F$5:F1173,"ШГН",'История отказов'!$AE$5:AE1173,'История отказов'!AE1173)=1,'История отказов'!F1173="ШГН"),1169,""))</f>
        <v/>
      </c>
      <c r="DD1170">
        <f>IF('История отказов'!AE1173="","",IF(AND(COUNTIF($CU$2:$CU$3,'История отказов'!AE1173)=0,COUNTIFS('История отказов'!$F$5:F1173,"ЭЦН",'История отказов'!$AE$5:AE1173,'История отказов'!AE1173)=1,'История отказов'!F1173="ЭЦН"),1169,""))</f>
        <v/>
      </c>
      <c r="DE1170">
        <f>IF('История отказов'!AE1173="","",IF(AND(COUNTIF($CV$2:$CV$3,'История отказов'!AE1173)=0,COUNTIFS('История отказов'!$F$5:F1173,"ЭВН",'История отказов'!$AE$5:AE1173,'История отказов'!AE1173)=1,'История отказов'!F1173="ЭВН"),1169,""))</f>
        <v/>
      </c>
      <c r="DF1170">
        <f>IF('История отказов'!AE1173="","",IF(AND(COUNTIF($CX$2:$CX$2,'История отказов'!AE1173)=0,COUNTIFS('История отказов'!$F$5:F1173,"ШВН",'История отказов'!$AE$5:AE1173,'История отказов'!AE1173)=1,'История отказов'!F1173="ШВН"),1169,""))</f>
        <v/>
      </c>
      <c r="DG1170">
        <f>IF('История отказов'!AE1173="","",IF(AND(COUNTIF($CW$2:$CW$2,'История отказов'!AE1173)=0,COUNTIFS('История отказов'!$F$5:F1173,"НПУ-ВД",'История отказов'!$AE$5:AE1173,'История отказов'!AE1173)=1,'История отказов'!F1173="НПУ-ВД"),1169,""))</f>
        <v/>
      </c>
      <c r="DH1170">
        <f>IF('История отказов'!AE1173="","",IF(AND(COUNTIF($CY$2:$CY$6,'История отказов'!AE1173)=0,COUNTIF('История отказов'!$AE$5:AE1173,'История отказов'!AE1173)=1),1169,""))</f>
        <v/>
      </c>
      <c r="DI1170">
        <f>IF('История отказов'!AK1173="","",IF(AND(COUNTIF($CL$2:$CL$3,'История отказов'!AK1173)=0,COUNTIF('История отказов'!$AK$5:AK1173,'История отказов'!AK1173)=1),1169,""))</f>
        <v/>
      </c>
      <c r="DJ1170">
        <f>IF('История отказов'!AU1173="","",IF(AND(COUNTIF($CP$2:$CP$3,'История отказов'!AU1173)=0,COUNTIF('История отказов'!$AU$5:AU1173,'История отказов'!AU1173)=1),1169,""))</f>
        <v/>
      </c>
      <c r="DK1170">
        <f>IF('История отказов'!AY1173="","",IF(AND(COUNTIF($CR$2:$CR$2,'История отказов'!AY1173)=0,COUNTIF('История отказов'!$AY$5:AY1173,'История отказов'!AY1173)=1),1169,""))</f>
        <v/>
      </c>
      <c r="DL1170">
        <f>IF(DB1170="","",IF(AND(COUNTIF($DA$2:$DA$47,DB1170)=0,COUNTIF($DB$2:DB1170,DB1170)=1),1169,""))</f>
        <v/>
      </c>
    </row>
    <row r="1171">
      <c r="A1171" s="74" t="n"/>
      <c r="B1171" s="75" t="n"/>
      <c r="C1171" s="75" t="n"/>
      <c r="D1171" s="75" t="n"/>
      <c r="E1171" s="75" t="n"/>
      <c r="F1171" s="75" t="n"/>
      <c r="G1171" s="76" t="n"/>
      <c r="DB1171">
        <f>IF('История отказов'!AH1174="","",'История отказов'!AH1174)</f>
        <v/>
      </c>
      <c r="DC1171">
        <f>IF('История отказов'!AE1174="","",IF(AND(COUNTIF($CT$2:$CT$2,'История отказов'!AE1174)=0,COUNTIFS('История отказов'!$F$5:F1174,"ШГН",'История отказов'!$AE$5:AE1174,'История отказов'!AE1174)=1,'История отказов'!F1174="ШГН"),1170,""))</f>
        <v/>
      </c>
      <c r="DD1171">
        <f>IF('История отказов'!AE1174="","",IF(AND(COUNTIF($CU$2:$CU$3,'История отказов'!AE1174)=0,COUNTIFS('История отказов'!$F$5:F1174,"ЭЦН",'История отказов'!$AE$5:AE1174,'История отказов'!AE1174)=1,'История отказов'!F1174="ЭЦН"),1170,""))</f>
        <v/>
      </c>
      <c r="DE1171">
        <f>IF('История отказов'!AE1174="","",IF(AND(COUNTIF($CV$2:$CV$3,'История отказов'!AE1174)=0,COUNTIFS('История отказов'!$F$5:F1174,"ЭВН",'История отказов'!$AE$5:AE1174,'История отказов'!AE1174)=1,'История отказов'!F1174="ЭВН"),1170,""))</f>
        <v/>
      </c>
      <c r="DF1171">
        <f>IF('История отказов'!AE1174="","",IF(AND(COUNTIF($CX$2:$CX$2,'История отказов'!AE1174)=0,COUNTIFS('История отказов'!$F$5:F1174,"ШВН",'История отказов'!$AE$5:AE1174,'История отказов'!AE1174)=1,'История отказов'!F1174="ШВН"),1170,""))</f>
        <v/>
      </c>
      <c r="DG1171">
        <f>IF('История отказов'!AE1174="","",IF(AND(COUNTIF($CW$2:$CW$2,'История отказов'!AE1174)=0,COUNTIFS('История отказов'!$F$5:F1174,"НПУ-ВД",'История отказов'!$AE$5:AE1174,'История отказов'!AE1174)=1,'История отказов'!F1174="НПУ-ВД"),1170,""))</f>
        <v/>
      </c>
      <c r="DH1171">
        <f>IF('История отказов'!AE1174="","",IF(AND(COUNTIF($CY$2:$CY$6,'История отказов'!AE1174)=0,COUNTIF('История отказов'!$AE$5:AE1174,'История отказов'!AE1174)=1),1170,""))</f>
        <v/>
      </c>
      <c r="DI1171">
        <f>IF('История отказов'!AK1174="","",IF(AND(COUNTIF($CL$2:$CL$3,'История отказов'!AK1174)=0,COUNTIF('История отказов'!$AK$5:AK1174,'История отказов'!AK1174)=1),1170,""))</f>
        <v/>
      </c>
      <c r="DJ1171">
        <f>IF('История отказов'!AU1174="","",IF(AND(COUNTIF($CP$2:$CP$3,'История отказов'!AU1174)=0,COUNTIF('История отказов'!$AU$5:AU1174,'История отказов'!AU1174)=1),1170,""))</f>
        <v/>
      </c>
      <c r="DK1171">
        <f>IF('История отказов'!AY1174="","",IF(AND(COUNTIF($CR$2:$CR$2,'История отказов'!AY1174)=0,COUNTIF('История отказов'!$AY$5:AY1174,'История отказов'!AY1174)=1),1170,""))</f>
        <v/>
      </c>
      <c r="DL1171">
        <f>IF(DB1171="","",IF(AND(COUNTIF($DA$2:$DA$47,DB1171)=0,COUNTIF($DB$2:DB1171,DB1171)=1),1170,""))</f>
        <v/>
      </c>
    </row>
    <row r="1172">
      <c r="A1172" s="74" t="n"/>
      <c r="B1172" s="75" t="n"/>
      <c r="C1172" s="75" t="n"/>
      <c r="D1172" s="75" t="n"/>
      <c r="E1172" s="75" t="n"/>
      <c r="F1172" s="75" t="n"/>
      <c r="G1172" s="76" t="n"/>
      <c r="DB1172">
        <f>IF('История отказов'!AH1175="","",'История отказов'!AH1175)</f>
        <v/>
      </c>
      <c r="DC1172">
        <f>IF('История отказов'!AE1175="","",IF(AND(COUNTIF($CT$2:$CT$2,'История отказов'!AE1175)=0,COUNTIFS('История отказов'!$F$5:F1175,"ШГН",'История отказов'!$AE$5:AE1175,'История отказов'!AE1175)=1,'История отказов'!F1175="ШГН"),1171,""))</f>
        <v/>
      </c>
      <c r="DD1172">
        <f>IF('История отказов'!AE1175="","",IF(AND(COUNTIF($CU$2:$CU$3,'История отказов'!AE1175)=0,COUNTIFS('История отказов'!$F$5:F1175,"ЭЦН",'История отказов'!$AE$5:AE1175,'История отказов'!AE1175)=1,'История отказов'!F1175="ЭЦН"),1171,""))</f>
        <v/>
      </c>
      <c r="DE1172">
        <f>IF('История отказов'!AE1175="","",IF(AND(COUNTIF($CV$2:$CV$3,'История отказов'!AE1175)=0,COUNTIFS('История отказов'!$F$5:F1175,"ЭВН",'История отказов'!$AE$5:AE1175,'История отказов'!AE1175)=1,'История отказов'!F1175="ЭВН"),1171,""))</f>
        <v/>
      </c>
      <c r="DF1172">
        <f>IF('История отказов'!AE1175="","",IF(AND(COUNTIF($CX$2:$CX$2,'История отказов'!AE1175)=0,COUNTIFS('История отказов'!$F$5:F1175,"ШВН",'История отказов'!$AE$5:AE1175,'История отказов'!AE1175)=1,'История отказов'!F1175="ШВН"),1171,""))</f>
        <v/>
      </c>
      <c r="DG1172">
        <f>IF('История отказов'!AE1175="","",IF(AND(COUNTIF($CW$2:$CW$2,'История отказов'!AE1175)=0,COUNTIFS('История отказов'!$F$5:F1175,"НПУ-ВД",'История отказов'!$AE$5:AE1175,'История отказов'!AE1175)=1,'История отказов'!F1175="НПУ-ВД"),1171,""))</f>
        <v/>
      </c>
      <c r="DH1172">
        <f>IF('История отказов'!AE1175="","",IF(AND(COUNTIF($CY$2:$CY$6,'История отказов'!AE1175)=0,COUNTIF('История отказов'!$AE$5:AE1175,'История отказов'!AE1175)=1),1171,""))</f>
        <v/>
      </c>
      <c r="DI1172">
        <f>IF('История отказов'!AK1175="","",IF(AND(COUNTIF($CL$2:$CL$3,'История отказов'!AK1175)=0,COUNTIF('История отказов'!$AK$5:AK1175,'История отказов'!AK1175)=1),1171,""))</f>
        <v/>
      </c>
      <c r="DJ1172">
        <f>IF('История отказов'!AU1175="","",IF(AND(COUNTIF($CP$2:$CP$3,'История отказов'!AU1175)=0,COUNTIF('История отказов'!$AU$5:AU1175,'История отказов'!AU1175)=1),1171,""))</f>
        <v/>
      </c>
      <c r="DK1172">
        <f>IF('История отказов'!AY1175="","",IF(AND(COUNTIF($CR$2:$CR$2,'История отказов'!AY1175)=0,COUNTIF('История отказов'!$AY$5:AY1175,'История отказов'!AY1175)=1),1171,""))</f>
        <v/>
      </c>
      <c r="DL1172">
        <f>IF(DB1172="","",IF(AND(COUNTIF($DA$2:$DA$47,DB1172)=0,COUNTIF($DB$2:DB1172,DB1172)=1),1171,""))</f>
        <v/>
      </c>
    </row>
    <row r="1173">
      <c r="A1173" s="74" t="n"/>
      <c r="B1173" s="75" t="n"/>
      <c r="C1173" s="75" t="n"/>
      <c r="D1173" s="75" t="n"/>
      <c r="E1173" s="75" t="n"/>
      <c r="F1173" s="75" t="n"/>
      <c r="G1173" s="76" t="n"/>
      <c r="DB1173">
        <f>IF('История отказов'!AH1176="","",'История отказов'!AH1176)</f>
        <v/>
      </c>
      <c r="DC1173">
        <f>IF('История отказов'!AE1176="","",IF(AND(COUNTIF($CT$2:$CT$2,'История отказов'!AE1176)=0,COUNTIFS('История отказов'!$F$5:F1176,"ШГН",'История отказов'!$AE$5:AE1176,'История отказов'!AE1176)=1,'История отказов'!F1176="ШГН"),1172,""))</f>
        <v/>
      </c>
      <c r="DD1173">
        <f>IF('История отказов'!AE1176="","",IF(AND(COUNTIF($CU$2:$CU$3,'История отказов'!AE1176)=0,COUNTIFS('История отказов'!$F$5:F1176,"ЭЦН",'История отказов'!$AE$5:AE1176,'История отказов'!AE1176)=1,'История отказов'!F1176="ЭЦН"),1172,""))</f>
        <v/>
      </c>
      <c r="DE1173">
        <f>IF('История отказов'!AE1176="","",IF(AND(COUNTIF($CV$2:$CV$3,'История отказов'!AE1176)=0,COUNTIFS('История отказов'!$F$5:F1176,"ЭВН",'История отказов'!$AE$5:AE1176,'История отказов'!AE1176)=1,'История отказов'!F1176="ЭВН"),1172,""))</f>
        <v/>
      </c>
      <c r="DF1173">
        <f>IF('История отказов'!AE1176="","",IF(AND(COUNTIF($CX$2:$CX$2,'История отказов'!AE1176)=0,COUNTIFS('История отказов'!$F$5:F1176,"ШВН",'История отказов'!$AE$5:AE1176,'История отказов'!AE1176)=1,'История отказов'!F1176="ШВН"),1172,""))</f>
        <v/>
      </c>
      <c r="DG1173">
        <f>IF('История отказов'!AE1176="","",IF(AND(COUNTIF($CW$2:$CW$2,'История отказов'!AE1176)=0,COUNTIFS('История отказов'!$F$5:F1176,"НПУ-ВД",'История отказов'!$AE$5:AE1176,'История отказов'!AE1176)=1,'История отказов'!F1176="НПУ-ВД"),1172,""))</f>
        <v/>
      </c>
      <c r="DH1173">
        <f>IF('История отказов'!AE1176="","",IF(AND(COUNTIF($CY$2:$CY$6,'История отказов'!AE1176)=0,COUNTIF('История отказов'!$AE$5:AE1176,'История отказов'!AE1176)=1),1172,""))</f>
        <v/>
      </c>
      <c r="DI1173">
        <f>IF('История отказов'!AK1176="","",IF(AND(COUNTIF($CL$2:$CL$3,'История отказов'!AK1176)=0,COUNTIF('История отказов'!$AK$5:AK1176,'История отказов'!AK1176)=1),1172,""))</f>
        <v/>
      </c>
      <c r="DJ1173">
        <f>IF('История отказов'!AU1176="","",IF(AND(COUNTIF($CP$2:$CP$3,'История отказов'!AU1176)=0,COUNTIF('История отказов'!$AU$5:AU1176,'История отказов'!AU1176)=1),1172,""))</f>
        <v/>
      </c>
      <c r="DK1173">
        <f>IF('История отказов'!AY1176="","",IF(AND(COUNTIF($CR$2:$CR$2,'История отказов'!AY1176)=0,COUNTIF('История отказов'!$AY$5:AY1176,'История отказов'!AY1176)=1),1172,""))</f>
        <v/>
      </c>
      <c r="DL1173">
        <f>IF(DB1173="","",IF(AND(COUNTIF($DA$2:$DA$47,DB1173)=0,COUNTIF($DB$2:DB1173,DB1173)=1),1172,""))</f>
        <v/>
      </c>
    </row>
    <row r="1174">
      <c r="A1174" s="74" t="n"/>
      <c r="B1174" s="75" t="n"/>
      <c r="C1174" s="75" t="n"/>
      <c r="D1174" s="75" t="n"/>
      <c r="E1174" s="75" t="n"/>
      <c r="F1174" s="75" t="n"/>
      <c r="G1174" s="76" t="n"/>
      <c r="DB1174">
        <f>IF('История отказов'!AH1177="","",'История отказов'!AH1177)</f>
        <v/>
      </c>
      <c r="DC1174">
        <f>IF('История отказов'!AE1177="","",IF(AND(COUNTIF($CT$2:$CT$2,'История отказов'!AE1177)=0,COUNTIFS('История отказов'!$F$5:F1177,"ШГН",'История отказов'!$AE$5:AE1177,'История отказов'!AE1177)=1,'История отказов'!F1177="ШГН"),1173,""))</f>
        <v/>
      </c>
      <c r="DD1174">
        <f>IF('История отказов'!AE1177="","",IF(AND(COUNTIF($CU$2:$CU$3,'История отказов'!AE1177)=0,COUNTIFS('История отказов'!$F$5:F1177,"ЭЦН",'История отказов'!$AE$5:AE1177,'История отказов'!AE1177)=1,'История отказов'!F1177="ЭЦН"),1173,""))</f>
        <v/>
      </c>
      <c r="DE1174">
        <f>IF('История отказов'!AE1177="","",IF(AND(COUNTIF($CV$2:$CV$3,'История отказов'!AE1177)=0,COUNTIFS('История отказов'!$F$5:F1177,"ЭВН",'История отказов'!$AE$5:AE1177,'История отказов'!AE1177)=1,'История отказов'!F1177="ЭВН"),1173,""))</f>
        <v/>
      </c>
      <c r="DF1174">
        <f>IF('История отказов'!AE1177="","",IF(AND(COUNTIF($CX$2:$CX$2,'История отказов'!AE1177)=0,COUNTIFS('История отказов'!$F$5:F1177,"ШВН",'История отказов'!$AE$5:AE1177,'История отказов'!AE1177)=1,'История отказов'!F1177="ШВН"),1173,""))</f>
        <v/>
      </c>
      <c r="DG1174">
        <f>IF('История отказов'!AE1177="","",IF(AND(COUNTIF($CW$2:$CW$2,'История отказов'!AE1177)=0,COUNTIFS('История отказов'!$F$5:F1177,"НПУ-ВД",'История отказов'!$AE$5:AE1177,'История отказов'!AE1177)=1,'История отказов'!F1177="НПУ-ВД"),1173,""))</f>
        <v/>
      </c>
      <c r="DH1174">
        <f>IF('История отказов'!AE1177="","",IF(AND(COUNTIF($CY$2:$CY$6,'История отказов'!AE1177)=0,COUNTIF('История отказов'!$AE$5:AE1177,'История отказов'!AE1177)=1),1173,""))</f>
        <v/>
      </c>
      <c r="DI1174">
        <f>IF('История отказов'!AK1177="","",IF(AND(COUNTIF($CL$2:$CL$3,'История отказов'!AK1177)=0,COUNTIF('История отказов'!$AK$5:AK1177,'История отказов'!AK1177)=1),1173,""))</f>
        <v/>
      </c>
      <c r="DJ1174">
        <f>IF('История отказов'!AU1177="","",IF(AND(COUNTIF($CP$2:$CP$3,'История отказов'!AU1177)=0,COUNTIF('История отказов'!$AU$5:AU1177,'История отказов'!AU1177)=1),1173,""))</f>
        <v/>
      </c>
      <c r="DK1174">
        <f>IF('История отказов'!AY1177="","",IF(AND(COUNTIF($CR$2:$CR$2,'История отказов'!AY1177)=0,COUNTIF('История отказов'!$AY$5:AY1177,'История отказов'!AY1177)=1),1173,""))</f>
        <v/>
      </c>
      <c r="DL1174">
        <f>IF(DB1174="","",IF(AND(COUNTIF($DA$2:$DA$47,DB1174)=0,COUNTIF($DB$2:DB1174,DB1174)=1),1173,""))</f>
        <v/>
      </c>
    </row>
    <row r="1175">
      <c r="A1175" s="74" t="n"/>
      <c r="B1175" s="75" t="n"/>
      <c r="C1175" s="75" t="n"/>
      <c r="D1175" s="75" t="n"/>
      <c r="E1175" s="75" t="n"/>
      <c r="F1175" s="75" t="n"/>
      <c r="G1175" s="76" t="n"/>
      <c r="DB1175">
        <f>IF('История отказов'!AH1178="","",'История отказов'!AH1178)</f>
        <v/>
      </c>
      <c r="DC1175">
        <f>IF('История отказов'!AE1178="","",IF(AND(COUNTIF($CT$2:$CT$2,'История отказов'!AE1178)=0,COUNTIFS('История отказов'!$F$5:F1178,"ШГН",'История отказов'!$AE$5:AE1178,'История отказов'!AE1178)=1,'История отказов'!F1178="ШГН"),1174,""))</f>
        <v/>
      </c>
      <c r="DD1175">
        <f>IF('История отказов'!AE1178="","",IF(AND(COUNTIF($CU$2:$CU$3,'История отказов'!AE1178)=0,COUNTIFS('История отказов'!$F$5:F1178,"ЭЦН",'История отказов'!$AE$5:AE1178,'История отказов'!AE1178)=1,'История отказов'!F1178="ЭЦН"),1174,""))</f>
        <v/>
      </c>
      <c r="DE1175">
        <f>IF('История отказов'!AE1178="","",IF(AND(COUNTIF($CV$2:$CV$3,'История отказов'!AE1178)=0,COUNTIFS('История отказов'!$F$5:F1178,"ЭВН",'История отказов'!$AE$5:AE1178,'История отказов'!AE1178)=1,'История отказов'!F1178="ЭВН"),1174,""))</f>
        <v/>
      </c>
      <c r="DF1175">
        <f>IF('История отказов'!AE1178="","",IF(AND(COUNTIF($CX$2:$CX$2,'История отказов'!AE1178)=0,COUNTIFS('История отказов'!$F$5:F1178,"ШВН",'История отказов'!$AE$5:AE1178,'История отказов'!AE1178)=1,'История отказов'!F1178="ШВН"),1174,""))</f>
        <v/>
      </c>
      <c r="DG1175">
        <f>IF('История отказов'!AE1178="","",IF(AND(COUNTIF($CW$2:$CW$2,'История отказов'!AE1178)=0,COUNTIFS('История отказов'!$F$5:F1178,"НПУ-ВД",'История отказов'!$AE$5:AE1178,'История отказов'!AE1178)=1,'История отказов'!F1178="НПУ-ВД"),1174,""))</f>
        <v/>
      </c>
      <c r="DH1175">
        <f>IF('История отказов'!AE1178="","",IF(AND(COUNTIF($CY$2:$CY$6,'История отказов'!AE1178)=0,COUNTIF('История отказов'!$AE$5:AE1178,'История отказов'!AE1178)=1),1174,""))</f>
        <v/>
      </c>
      <c r="DI1175">
        <f>IF('История отказов'!AK1178="","",IF(AND(COUNTIF($CL$2:$CL$3,'История отказов'!AK1178)=0,COUNTIF('История отказов'!$AK$5:AK1178,'История отказов'!AK1178)=1),1174,""))</f>
        <v/>
      </c>
      <c r="DJ1175">
        <f>IF('История отказов'!AU1178="","",IF(AND(COUNTIF($CP$2:$CP$3,'История отказов'!AU1178)=0,COUNTIF('История отказов'!$AU$5:AU1178,'История отказов'!AU1178)=1),1174,""))</f>
        <v/>
      </c>
      <c r="DK1175">
        <f>IF('История отказов'!AY1178="","",IF(AND(COUNTIF($CR$2:$CR$2,'История отказов'!AY1178)=0,COUNTIF('История отказов'!$AY$5:AY1178,'История отказов'!AY1178)=1),1174,""))</f>
        <v/>
      </c>
      <c r="DL1175">
        <f>IF(DB1175="","",IF(AND(COUNTIF($DA$2:$DA$47,DB1175)=0,COUNTIF($DB$2:DB1175,DB1175)=1),1174,""))</f>
        <v/>
      </c>
    </row>
    <row r="1176">
      <c r="A1176" s="74" t="n"/>
      <c r="B1176" s="75" t="n"/>
      <c r="C1176" s="75" t="n"/>
      <c r="D1176" s="75" t="n"/>
      <c r="E1176" s="75" t="n"/>
      <c r="F1176" s="75" t="n"/>
      <c r="G1176" s="76" t="n"/>
      <c r="DB1176">
        <f>IF('История отказов'!AH1179="","",'История отказов'!AH1179)</f>
        <v/>
      </c>
      <c r="DC1176">
        <f>IF('История отказов'!AE1179="","",IF(AND(COUNTIF($CT$2:$CT$2,'История отказов'!AE1179)=0,COUNTIFS('История отказов'!$F$5:F1179,"ШГН",'История отказов'!$AE$5:AE1179,'История отказов'!AE1179)=1,'История отказов'!F1179="ШГН"),1175,""))</f>
        <v/>
      </c>
      <c r="DD1176">
        <f>IF('История отказов'!AE1179="","",IF(AND(COUNTIF($CU$2:$CU$3,'История отказов'!AE1179)=0,COUNTIFS('История отказов'!$F$5:F1179,"ЭЦН",'История отказов'!$AE$5:AE1179,'История отказов'!AE1179)=1,'История отказов'!F1179="ЭЦН"),1175,""))</f>
        <v/>
      </c>
      <c r="DE1176">
        <f>IF('История отказов'!AE1179="","",IF(AND(COUNTIF($CV$2:$CV$3,'История отказов'!AE1179)=0,COUNTIFS('История отказов'!$F$5:F1179,"ЭВН",'История отказов'!$AE$5:AE1179,'История отказов'!AE1179)=1,'История отказов'!F1179="ЭВН"),1175,""))</f>
        <v/>
      </c>
      <c r="DF1176">
        <f>IF('История отказов'!AE1179="","",IF(AND(COUNTIF($CX$2:$CX$2,'История отказов'!AE1179)=0,COUNTIFS('История отказов'!$F$5:F1179,"ШВН",'История отказов'!$AE$5:AE1179,'История отказов'!AE1179)=1,'История отказов'!F1179="ШВН"),1175,""))</f>
        <v/>
      </c>
      <c r="DG1176">
        <f>IF('История отказов'!AE1179="","",IF(AND(COUNTIF($CW$2:$CW$2,'История отказов'!AE1179)=0,COUNTIFS('История отказов'!$F$5:F1179,"НПУ-ВД",'История отказов'!$AE$5:AE1179,'История отказов'!AE1179)=1,'История отказов'!F1179="НПУ-ВД"),1175,""))</f>
        <v/>
      </c>
      <c r="DH1176">
        <f>IF('История отказов'!AE1179="","",IF(AND(COUNTIF($CY$2:$CY$6,'История отказов'!AE1179)=0,COUNTIF('История отказов'!$AE$5:AE1179,'История отказов'!AE1179)=1),1175,""))</f>
        <v/>
      </c>
      <c r="DI1176">
        <f>IF('История отказов'!AK1179="","",IF(AND(COUNTIF($CL$2:$CL$3,'История отказов'!AK1179)=0,COUNTIF('История отказов'!$AK$5:AK1179,'История отказов'!AK1179)=1),1175,""))</f>
        <v/>
      </c>
      <c r="DJ1176">
        <f>IF('История отказов'!AU1179="","",IF(AND(COUNTIF($CP$2:$CP$3,'История отказов'!AU1179)=0,COUNTIF('История отказов'!$AU$5:AU1179,'История отказов'!AU1179)=1),1175,""))</f>
        <v/>
      </c>
      <c r="DK1176">
        <f>IF('История отказов'!AY1179="","",IF(AND(COUNTIF($CR$2:$CR$2,'История отказов'!AY1179)=0,COUNTIF('История отказов'!$AY$5:AY1179,'История отказов'!AY1179)=1),1175,""))</f>
        <v/>
      </c>
      <c r="DL1176">
        <f>IF(DB1176="","",IF(AND(COUNTIF($DA$2:$DA$47,DB1176)=0,COUNTIF($DB$2:DB1176,DB1176)=1),1175,""))</f>
        <v/>
      </c>
    </row>
    <row r="1177">
      <c r="A1177" s="77" t="n"/>
      <c r="B1177" s="78" t="n"/>
      <c r="C1177" s="78" t="n"/>
      <c r="D1177" s="78" t="n"/>
      <c r="E1177" s="78" t="n"/>
      <c r="F1177" s="78" t="n"/>
      <c r="G1177" s="79" t="n"/>
      <c r="DB1177">
        <f>IF('История отказов'!AH1180="","",'История отказов'!AH1180)</f>
        <v/>
      </c>
      <c r="DC1177">
        <f>IF('История отказов'!AE1180="","",IF(AND(COUNTIF($CT$2:$CT$2,'История отказов'!AE1180)=0,COUNTIFS('История отказов'!$F$5:F1180,"ШГН",'История отказов'!$AE$5:AE1180,'История отказов'!AE1180)=1,'История отказов'!F1180="ШГН"),1176,""))</f>
        <v/>
      </c>
      <c r="DD1177">
        <f>IF('История отказов'!AE1180="","",IF(AND(COUNTIF($CU$2:$CU$3,'История отказов'!AE1180)=0,COUNTIFS('История отказов'!$F$5:F1180,"ЭЦН",'История отказов'!$AE$5:AE1180,'История отказов'!AE1180)=1,'История отказов'!F1180="ЭЦН"),1176,""))</f>
        <v/>
      </c>
      <c r="DE1177">
        <f>IF('История отказов'!AE1180="","",IF(AND(COUNTIF($CV$2:$CV$3,'История отказов'!AE1180)=0,COUNTIFS('История отказов'!$F$5:F1180,"ЭВН",'История отказов'!$AE$5:AE1180,'История отказов'!AE1180)=1,'История отказов'!F1180="ЭВН"),1176,""))</f>
        <v/>
      </c>
      <c r="DF1177">
        <f>IF('История отказов'!AE1180="","",IF(AND(COUNTIF($CX$2:$CX$2,'История отказов'!AE1180)=0,COUNTIFS('История отказов'!$F$5:F1180,"ШВН",'История отказов'!$AE$5:AE1180,'История отказов'!AE1180)=1,'История отказов'!F1180="ШВН"),1176,""))</f>
        <v/>
      </c>
      <c r="DG1177">
        <f>IF('История отказов'!AE1180="","",IF(AND(COUNTIF($CW$2:$CW$2,'История отказов'!AE1180)=0,COUNTIFS('История отказов'!$F$5:F1180,"НПУ-ВД",'История отказов'!$AE$5:AE1180,'История отказов'!AE1180)=1,'История отказов'!F1180="НПУ-ВД"),1176,""))</f>
        <v/>
      </c>
      <c r="DH1177">
        <f>IF('История отказов'!AE1180="","",IF(AND(COUNTIF($CY$2:$CY$6,'История отказов'!AE1180)=0,COUNTIF('История отказов'!$AE$5:AE1180,'История отказов'!AE1180)=1),1176,""))</f>
        <v/>
      </c>
      <c r="DI1177">
        <f>IF('История отказов'!AK1180="","",IF(AND(COUNTIF($CL$2:$CL$3,'История отказов'!AK1180)=0,COUNTIF('История отказов'!$AK$5:AK1180,'История отказов'!AK1180)=1),1176,""))</f>
        <v/>
      </c>
      <c r="DJ1177">
        <f>IF('История отказов'!AU1180="","",IF(AND(COUNTIF($CP$2:$CP$3,'История отказов'!AU1180)=0,COUNTIF('История отказов'!$AU$5:AU1180,'История отказов'!AU1180)=1),1176,""))</f>
        <v/>
      </c>
      <c r="DK1177">
        <f>IF('История отказов'!AY1180="","",IF(AND(COUNTIF($CR$2:$CR$2,'История отказов'!AY1180)=0,COUNTIF('История отказов'!$AY$5:AY1180,'История отказов'!AY1180)=1),1176,""))</f>
        <v/>
      </c>
      <c r="DL1177">
        <f>IF(DB1177="","",IF(AND(COUNTIF($DA$2:$DA$47,DB1177)=0,COUNTIF($DB$2:DB1177,DB1177)=1),1176,""))</f>
        <v/>
      </c>
    </row>
    <row r="1178">
      <c r="DB1178">
        <f>IF('История отказов'!AH1181="","",'История отказов'!AH1181)</f>
        <v/>
      </c>
      <c r="DC1178">
        <f>IF('История отказов'!AE1181="","",IF(AND(COUNTIF($CT$2:$CT$2,'История отказов'!AE1181)=0,COUNTIFS('История отказов'!$F$5:F1181,"ШГН",'История отказов'!$AE$5:AE1181,'История отказов'!AE1181)=1,'История отказов'!F1181="ШГН"),1177,""))</f>
        <v/>
      </c>
      <c r="DD1178">
        <f>IF('История отказов'!AE1181="","",IF(AND(COUNTIF($CU$2:$CU$3,'История отказов'!AE1181)=0,COUNTIFS('История отказов'!$F$5:F1181,"ЭЦН",'История отказов'!$AE$5:AE1181,'История отказов'!AE1181)=1,'История отказов'!F1181="ЭЦН"),1177,""))</f>
        <v/>
      </c>
      <c r="DE1178">
        <f>IF('История отказов'!AE1181="","",IF(AND(COUNTIF($CV$2:$CV$3,'История отказов'!AE1181)=0,COUNTIFS('История отказов'!$F$5:F1181,"ЭВН",'История отказов'!$AE$5:AE1181,'История отказов'!AE1181)=1,'История отказов'!F1181="ЭВН"),1177,""))</f>
        <v/>
      </c>
      <c r="DF1178">
        <f>IF('История отказов'!AE1181="","",IF(AND(COUNTIF($CX$2:$CX$2,'История отказов'!AE1181)=0,COUNTIFS('История отказов'!$F$5:F1181,"ШВН",'История отказов'!$AE$5:AE1181,'История отказов'!AE1181)=1,'История отказов'!F1181="ШВН"),1177,""))</f>
        <v/>
      </c>
      <c r="DG1178">
        <f>IF('История отказов'!AE1181="","",IF(AND(COUNTIF($CW$2:$CW$2,'История отказов'!AE1181)=0,COUNTIFS('История отказов'!$F$5:F1181,"НПУ-ВД",'История отказов'!$AE$5:AE1181,'История отказов'!AE1181)=1,'История отказов'!F1181="НПУ-ВД"),1177,""))</f>
        <v/>
      </c>
      <c r="DH1178">
        <f>IF('История отказов'!AE1181="","",IF(AND(COUNTIF($CY$2:$CY$6,'История отказов'!AE1181)=0,COUNTIF('История отказов'!$AE$5:AE1181,'История отказов'!AE1181)=1),1177,""))</f>
        <v/>
      </c>
      <c r="DI1178">
        <f>IF('История отказов'!AK1181="","",IF(AND(COUNTIF($CL$2:$CL$3,'История отказов'!AK1181)=0,COUNTIF('История отказов'!$AK$5:AK1181,'История отказов'!AK1181)=1),1177,""))</f>
        <v/>
      </c>
      <c r="DJ1178">
        <f>IF('История отказов'!AU1181="","",IF(AND(COUNTIF($CP$2:$CP$3,'История отказов'!AU1181)=0,COUNTIF('История отказов'!$AU$5:AU1181,'История отказов'!AU1181)=1),1177,""))</f>
        <v/>
      </c>
      <c r="DK1178">
        <f>IF('История отказов'!AY1181="","",IF(AND(COUNTIF($CR$2:$CR$2,'История отказов'!AY1181)=0,COUNTIF('История отказов'!$AY$5:AY1181,'История отказов'!AY1181)=1),1177,""))</f>
        <v/>
      </c>
      <c r="DL1178">
        <f>IF(DB1178="","",IF(AND(COUNTIF($DA$2:$DA$47,DB1178)=0,COUNTIF($DB$2:DB1178,DB1178)=1),1177,""))</f>
        <v/>
      </c>
    </row>
    <row r="1179">
      <c r="DB1179">
        <f>IF('История отказов'!AH1182="","",'История отказов'!AH1182)</f>
        <v/>
      </c>
      <c r="DC1179">
        <f>IF('История отказов'!AE1182="","",IF(AND(COUNTIF($CT$2:$CT$2,'История отказов'!AE1182)=0,COUNTIFS('История отказов'!$F$5:F1182,"ШГН",'История отказов'!$AE$5:AE1182,'История отказов'!AE1182)=1,'История отказов'!F1182="ШГН"),1178,""))</f>
        <v/>
      </c>
      <c r="DD1179">
        <f>IF('История отказов'!AE1182="","",IF(AND(COUNTIF($CU$2:$CU$3,'История отказов'!AE1182)=0,COUNTIFS('История отказов'!$F$5:F1182,"ЭЦН",'История отказов'!$AE$5:AE1182,'История отказов'!AE1182)=1,'История отказов'!F1182="ЭЦН"),1178,""))</f>
        <v/>
      </c>
      <c r="DE1179">
        <f>IF('История отказов'!AE1182="","",IF(AND(COUNTIF($CV$2:$CV$3,'История отказов'!AE1182)=0,COUNTIFS('История отказов'!$F$5:F1182,"ЭВН",'История отказов'!$AE$5:AE1182,'История отказов'!AE1182)=1,'История отказов'!F1182="ЭВН"),1178,""))</f>
        <v/>
      </c>
      <c r="DF1179">
        <f>IF('История отказов'!AE1182="","",IF(AND(COUNTIF($CX$2:$CX$2,'История отказов'!AE1182)=0,COUNTIFS('История отказов'!$F$5:F1182,"ШВН",'История отказов'!$AE$5:AE1182,'История отказов'!AE1182)=1,'История отказов'!F1182="ШВН"),1178,""))</f>
        <v/>
      </c>
      <c r="DG1179">
        <f>IF('История отказов'!AE1182="","",IF(AND(COUNTIF($CW$2:$CW$2,'История отказов'!AE1182)=0,COUNTIFS('История отказов'!$F$5:F1182,"НПУ-ВД",'История отказов'!$AE$5:AE1182,'История отказов'!AE1182)=1,'История отказов'!F1182="НПУ-ВД"),1178,""))</f>
        <v/>
      </c>
      <c r="DH1179">
        <f>IF('История отказов'!AE1182="","",IF(AND(COUNTIF($CY$2:$CY$6,'История отказов'!AE1182)=0,COUNTIF('История отказов'!$AE$5:AE1182,'История отказов'!AE1182)=1),1178,""))</f>
        <v/>
      </c>
      <c r="DI1179">
        <f>IF('История отказов'!AK1182="","",IF(AND(COUNTIF($CL$2:$CL$3,'История отказов'!AK1182)=0,COUNTIF('История отказов'!$AK$5:AK1182,'История отказов'!AK1182)=1),1178,""))</f>
        <v/>
      </c>
      <c r="DJ1179">
        <f>IF('История отказов'!AU1182="","",IF(AND(COUNTIF($CP$2:$CP$3,'История отказов'!AU1182)=0,COUNTIF('История отказов'!$AU$5:AU1182,'История отказов'!AU1182)=1),1178,""))</f>
        <v/>
      </c>
      <c r="DK1179">
        <f>IF('История отказов'!AY1182="","",IF(AND(COUNTIF($CR$2:$CR$2,'История отказов'!AY1182)=0,COUNTIF('История отказов'!$AY$5:AY1182,'История отказов'!AY1182)=1),1178,""))</f>
        <v/>
      </c>
      <c r="DL1179">
        <f>IF(DB1179="","",IF(AND(COUNTIF($DA$2:$DA$47,DB1179)=0,COUNTIF($DB$2:DB1179,DB1179)=1),1178,""))</f>
        <v/>
      </c>
    </row>
    <row r="1180">
      <c r="A1180" s="98" t="n"/>
      <c r="DB1180">
        <f>IF('История отказов'!AH1183="","",'История отказов'!AH1183)</f>
        <v/>
      </c>
      <c r="DC1180">
        <f>IF('История отказов'!AE1183="","",IF(AND(COUNTIF($CT$2:$CT$2,'История отказов'!AE1183)=0,COUNTIFS('История отказов'!$F$5:F1183,"ШГН",'История отказов'!$AE$5:AE1183,'История отказов'!AE1183)=1,'История отказов'!F1183="ШГН"),1179,""))</f>
        <v/>
      </c>
      <c r="DD1180">
        <f>IF('История отказов'!AE1183="","",IF(AND(COUNTIF($CU$2:$CU$3,'История отказов'!AE1183)=0,COUNTIFS('История отказов'!$F$5:F1183,"ЭЦН",'История отказов'!$AE$5:AE1183,'История отказов'!AE1183)=1,'История отказов'!F1183="ЭЦН"),1179,""))</f>
        <v/>
      </c>
      <c r="DE1180">
        <f>IF('История отказов'!AE1183="","",IF(AND(COUNTIF($CV$2:$CV$3,'История отказов'!AE1183)=0,COUNTIFS('История отказов'!$F$5:F1183,"ЭВН",'История отказов'!$AE$5:AE1183,'История отказов'!AE1183)=1,'История отказов'!F1183="ЭВН"),1179,""))</f>
        <v/>
      </c>
      <c r="DF1180">
        <f>IF('История отказов'!AE1183="","",IF(AND(COUNTIF($CX$2:$CX$2,'История отказов'!AE1183)=0,COUNTIFS('История отказов'!$F$5:F1183,"ШВН",'История отказов'!$AE$5:AE1183,'История отказов'!AE1183)=1,'История отказов'!F1183="ШВН"),1179,""))</f>
        <v/>
      </c>
      <c r="DG1180">
        <f>IF('История отказов'!AE1183="","",IF(AND(COUNTIF($CW$2:$CW$2,'История отказов'!AE1183)=0,COUNTIFS('История отказов'!$F$5:F1183,"НПУ-ВД",'История отказов'!$AE$5:AE1183,'История отказов'!AE1183)=1,'История отказов'!F1183="НПУ-ВД"),1179,""))</f>
        <v/>
      </c>
      <c r="DH1180">
        <f>IF('История отказов'!AE1183="","",IF(AND(COUNTIF($CY$2:$CY$6,'История отказов'!AE1183)=0,COUNTIF('История отказов'!$AE$5:AE1183,'История отказов'!AE1183)=1),1179,""))</f>
        <v/>
      </c>
      <c r="DI1180">
        <f>IF('История отказов'!AK1183="","",IF(AND(COUNTIF($CL$2:$CL$3,'История отказов'!AK1183)=0,COUNTIF('История отказов'!$AK$5:AK1183,'История отказов'!AK1183)=1),1179,""))</f>
        <v/>
      </c>
      <c r="DJ1180">
        <f>IF('История отказов'!AU1183="","",IF(AND(COUNTIF($CP$2:$CP$3,'История отказов'!AU1183)=0,COUNTIF('История отказов'!$AU$5:AU1183,'История отказов'!AU1183)=1),1179,""))</f>
        <v/>
      </c>
      <c r="DK1180">
        <f>IF('История отказов'!AY1183="","",IF(AND(COUNTIF($CR$2:$CR$2,'История отказов'!AY1183)=0,COUNTIF('История отказов'!$AY$5:AY1183,'История отказов'!AY1183)=1),1179,""))</f>
        <v/>
      </c>
      <c r="DL1180">
        <f>IF(DB1180="","",IF(AND(COUNTIF($DA$2:$DA$47,DB1180)=0,COUNTIF($DB$2:DB1180,DB1180)=1),1179,""))</f>
        <v/>
      </c>
    </row>
    <row r="1181">
      <c r="A1181" s="102" t="n"/>
      <c r="DB1181">
        <f>IF('История отказов'!AH1184="","",'История отказов'!AH1184)</f>
        <v/>
      </c>
      <c r="DC1181">
        <f>IF('История отказов'!AE1184="","",IF(AND(COUNTIF($CT$2:$CT$2,'История отказов'!AE1184)=0,COUNTIFS('История отказов'!$F$5:F1184,"ШГН",'История отказов'!$AE$5:AE1184,'История отказов'!AE1184)=1,'История отказов'!F1184="ШГН"),1180,""))</f>
        <v/>
      </c>
      <c r="DD1181">
        <f>IF('История отказов'!AE1184="","",IF(AND(COUNTIF($CU$2:$CU$3,'История отказов'!AE1184)=0,COUNTIFS('История отказов'!$F$5:F1184,"ЭЦН",'История отказов'!$AE$5:AE1184,'История отказов'!AE1184)=1,'История отказов'!F1184="ЭЦН"),1180,""))</f>
        <v/>
      </c>
      <c r="DE1181">
        <f>IF('История отказов'!AE1184="","",IF(AND(COUNTIF($CV$2:$CV$3,'История отказов'!AE1184)=0,COUNTIFS('История отказов'!$F$5:F1184,"ЭВН",'История отказов'!$AE$5:AE1184,'История отказов'!AE1184)=1,'История отказов'!F1184="ЭВН"),1180,""))</f>
        <v/>
      </c>
      <c r="DF1181">
        <f>IF('История отказов'!AE1184="","",IF(AND(COUNTIF($CX$2:$CX$2,'История отказов'!AE1184)=0,COUNTIFS('История отказов'!$F$5:F1184,"ШВН",'История отказов'!$AE$5:AE1184,'История отказов'!AE1184)=1,'История отказов'!F1184="ШВН"),1180,""))</f>
        <v/>
      </c>
      <c r="DG1181">
        <f>IF('История отказов'!AE1184="","",IF(AND(COUNTIF($CW$2:$CW$2,'История отказов'!AE1184)=0,COUNTIFS('История отказов'!$F$5:F1184,"НПУ-ВД",'История отказов'!$AE$5:AE1184,'История отказов'!AE1184)=1,'История отказов'!F1184="НПУ-ВД"),1180,""))</f>
        <v/>
      </c>
      <c r="DH1181">
        <f>IF('История отказов'!AE1184="","",IF(AND(COUNTIF($CY$2:$CY$6,'История отказов'!AE1184)=0,COUNTIF('История отказов'!$AE$5:AE1184,'История отказов'!AE1184)=1),1180,""))</f>
        <v/>
      </c>
      <c r="DI1181">
        <f>IF('История отказов'!AK1184="","",IF(AND(COUNTIF($CL$2:$CL$3,'История отказов'!AK1184)=0,COUNTIF('История отказов'!$AK$5:AK1184,'История отказов'!AK1184)=1),1180,""))</f>
        <v/>
      </c>
      <c r="DJ1181">
        <f>IF('История отказов'!AU1184="","",IF(AND(COUNTIF($CP$2:$CP$3,'История отказов'!AU1184)=0,COUNTIF('История отказов'!$AU$5:AU1184,'История отказов'!AU1184)=1),1180,""))</f>
        <v/>
      </c>
      <c r="DK1181">
        <f>IF('История отказов'!AY1184="","",IF(AND(COUNTIF($CR$2:$CR$2,'История отказов'!AY1184)=0,COUNTIF('История отказов'!$AY$5:AY1184,'История отказов'!AY1184)=1),1180,""))</f>
        <v/>
      </c>
      <c r="DL1181">
        <f>IF(DB1181="","",IF(AND(COUNTIF($DA$2:$DA$47,DB1181)=0,COUNTIF($DB$2:DB1181,DB1181)=1),1180,""))</f>
        <v/>
      </c>
    </row>
    <row r="1182">
      <c r="A1182" s="109" t="n"/>
      <c r="DB1182">
        <f>IF('История отказов'!AH1185="","",'История отказов'!AH1185)</f>
        <v/>
      </c>
      <c r="DC1182">
        <f>IF('История отказов'!AE1185="","",IF(AND(COUNTIF($CT$2:$CT$2,'История отказов'!AE1185)=0,COUNTIFS('История отказов'!$F$5:F1185,"ШГН",'История отказов'!$AE$5:AE1185,'История отказов'!AE1185)=1,'История отказов'!F1185="ШГН"),1181,""))</f>
        <v/>
      </c>
      <c r="DD1182">
        <f>IF('История отказов'!AE1185="","",IF(AND(COUNTIF($CU$2:$CU$3,'История отказов'!AE1185)=0,COUNTIFS('История отказов'!$F$5:F1185,"ЭЦН",'История отказов'!$AE$5:AE1185,'История отказов'!AE1185)=1,'История отказов'!F1185="ЭЦН"),1181,""))</f>
        <v/>
      </c>
      <c r="DE1182">
        <f>IF('История отказов'!AE1185="","",IF(AND(COUNTIF($CV$2:$CV$3,'История отказов'!AE1185)=0,COUNTIFS('История отказов'!$F$5:F1185,"ЭВН",'История отказов'!$AE$5:AE1185,'История отказов'!AE1185)=1,'История отказов'!F1185="ЭВН"),1181,""))</f>
        <v/>
      </c>
      <c r="DF1182">
        <f>IF('История отказов'!AE1185="","",IF(AND(COUNTIF($CX$2:$CX$2,'История отказов'!AE1185)=0,COUNTIFS('История отказов'!$F$5:F1185,"ШВН",'История отказов'!$AE$5:AE1185,'История отказов'!AE1185)=1,'История отказов'!F1185="ШВН"),1181,""))</f>
        <v/>
      </c>
      <c r="DG1182">
        <f>IF('История отказов'!AE1185="","",IF(AND(COUNTIF($CW$2:$CW$2,'История отказов'!AE1185)=0,COUNTIFS('История отказов'!$F$5:F1185,"НПУ-ВД",'История отказов'!$AE$5:AE1185,'История отказов'!AE1185)=1,'История отказов'!F1185="НПУ-ВД"),1181,""))</f>
        <v/>
      </c>
      <c r="DH1182">
        <f>IF('История отказов'!AE1185="","",IF(AND(COUNTIF($CY$2:$CY$6,'История отказов'!AE1185)=0,COUNTIF('История отказов'!$AE$5:AE1185,'История отказов'!AE1185)=1),1181,""))</f>
        <v/>
      </c>
      <c r="DI1182">
        <f>IF('История отказов'!AK1185="","",IF(AND(COUNTIF($CL$2:$CL$3,'История отказов'!AK1185)=0,COUNTIF('История отказов'!$AK$5:AK1185,'История отказов'!AK1185)=1),1181,""))</f>
        <v/>
      </c>
      <c r="DJ1182">
        <f>IF('История отказов'!AU1185="","",IF(AND(COUNTIF($CP$2:$CP$3,'История отказов'!AU1185)=0,COUNTIF('История отказов'!$AU$5:AU1185,'История отказов'!AU1185)=1),1181,""))</f>
        <v/>
      </c>
      <c r="DK1182">
        <f>IF('История отказов'!AY1185="","",IF(AND(COUNTIF($CR$2:$CR$2,'История отказов'!AY1185)=0,COUNTIF('История отказов'!$AY$5:AY1185,'История отказов'!AY1185)=1),1181,""))</f>
        <v/>
      </c>
      <c r="DL1182">
        <f>IF(DB1182="","",IF(AND(COUNTIF($DA$2:$DA$47,DB1182)=0,COUNTIF($DB$2:DB1182,DB1182)=1),1181,""))</f>
        <v/>
      </c>
    </row>
    <row r="1183">
      <c r="A1183" s="110" t="n"/>
      <c r="DB1183">
        <f>IF('История отказов'!AH1186="","",'История отказов'!AH1186)</f>
        <v/>
      </c>
      <c r="DC1183">
        <f>IF('История отказов'!AE1186="","",IF(AND(COUNTIF($CT$2:$CT$2,'История отказов'!AE1186)=0,COUNTIFS('История отказов'!$F$5:F1186,"ШГН",'История отказов'!$AE$5:AE1186,'История отказов'!AE1186)=1,'История отказов'!F1186="ШГН"),1182,""))</f>
        <v/>
      </c>
      <c r="DD1183">
        <f>IF('История отказов'!AE1186="","",IF(AND(COUNTIF($CU$2:$CU$3,'История отказов'!AE1186)=0,COUNTIFS('История отказов'!$F$5:F1186,"ЭЦН",'История отказов'!$AE$5:AE1186,'История отказов'!AE1186)=1,'История отказов'!F1186="ЭЦН"),1182,""))</f>
        <v/>
      </c>
      <c r="DE1183">
        <f>IF('История отказов'!AE1186="","",IF(AND(COUNTIF($CV$2:$CV$3,'История отказов'!AE1186)=0,COUNTIFS('История отказов'!$F$5:F1186,"ЭВН",'История отказов'!$AE$5:AE1186,'История отказов'!AE1186)=1,'История отказов'!F1186="ЭВН"),1182,""))</f>
        <v/>
      </c>
      <c r="DF1183">
        <f>IF('История отказов'!AE1186="","",IF(AND(COUNTIF($CX$2:$CX$2,'История отказов'!AE1186)=0,COUNTIFS('История отказов'!$F$5:F1186,"ШВН",'История отказов'!$AE$5:AE1186,'История отказов'!AE1186)=1,'История отказов'!F1186="ШВН"),1182,""))</f>
        <v/>
      </c>
      <c r="DG1183">
        <f>IF('История отказов'!AE1186="","",IF(AND(COUNTIF($CW$2:$CW$2,'История отказов'!AE1186)=0,COUNTIFS('История отказов'!$F$5:F1186,"НПУ-ВД",'История отказов'!$AE$5:AE1186,'История отказов'!AE1186)=1,'История отказов'!F1186="НПУ-ВД"),1182,""))</f>
        <v/>
      </c>
      <c r="DH1183">
        <f>IF('История отказов'!AE1186="","",IF(AND(COUNTIF($CY$2:$CY$6,'История отказов'!AE1186)=0,COUNTIF('История отказов'!$AE$5:AE1186,'История отказов'!AE1186)=1),1182,""))</f>
        <v/>
      </c>
      <c r="DI1183">
        <f>IF('История отказов'!AK1186="","",IF(AND(COUNTIF($CL$2:$CL$3,'История отказов'!AK1186)=0,COUNTIF('История отказов'!$AK$5:AK1186,'История отказов'!AK1186)=1),1182,""))</f>
        <v/>
      </c>
      <c r="DJ1183">
        <f>IF('История отказов'!AU1186="","",IF(AND(COUNTIF($CP$2:$CP$3,'История отказов'!AU1186)=0,COUNTIF('История отказов'!$AU$5:AU1186,'История отказов'!AU1186)=1),1182,""))</f>
        <v/>
      </c>
      <c r="DK1183">
        <f>IF('История отказов'!AY1186="","",IF(AND(COUNTIF($CR$2:$CR$2,'История отказов'!AY1186)=0,COUNTIF('История отказов'!$AY$5:AY1186,'История отказов'!AY1186)=1),1182,""))</f>
        <v/>
      </c>
      <c r="DL1183">
        <f>IF(DB1183="","",IF(AND(COUNTIF($DA$2:$DA$47,DB1183)=0,COUNTIF($DB$2:DB1183,DB1183)=1),1182,""))</f>
        <v/>
      </c>
    </row>
    <row r="1184">
      <c r="A1184" s="110" t="n"/>
      <c r="DB1184">
        <f>IF('История отказов'!AH1187="","",'История отказов'!AH1187)</f>
        <v/>
      </c>
      <c r="DC1184">
        <f>IF('История отказов'!AE1187="","",IF(AND(COUNTIF($CT$2:$CT$2,'История отказов'!AE1187)=0,COUNTIFS('История отказов'!$F$5:F1187,"ШГН",'История отказов'!$AE$5:AE1187,'История отказов'!AE1187)=1,'История отказов'!F1187="ШГН"),1183,""))</f>
        <v/>
      </c>
      <c r="DD1184">
        <f>IF('История отказов'!AE1187="","",IF(AND(COUNTIF($CU$2:$CU$3,'История отказов'!AE1187)=0,COUNTIFS('История отказов'!$F$5:F1187,"ЭЦН",'История отказов'!$AE$5:AE1187,'История отказов'!AE1187)=1,'История отказов'!F1187="ЭЦН"),1183,""))</f>
        <v/>
      </c>
      <c r="DE1184">
        <f>IF('История отказов'!AE1187="","",IF(AND(COUNTIF($CV$2:$CV$3,'История отказов'!AE1187)=0,COUNTIFS('История отказов'!$F$5:F1187,"ЭВН",'История отказов'!$AE$5:AE1187,'История отказов'!AE1187)=1,'История отказов'!F1187="ЭВН"),1183,""))</f>
        <v/>
      </c>
      <c r="DF1184">
        <f>IF('История отказов'!AE1187="","",IF(AND(COUNTIF($CX$2:$CX$2,'История отказов'!AE1187)=0,COUNTIFS('История отказов'!$F$5:F1187,"ШВН",'История отказов'!$AE$5:AE1187,'История отказов'!AE1187)=1,'История отказов'!F1187="ШВН"),1183,""))</f>
        <v/>
      </c>
      <c r="DG1184">
        <f>IF('История отказов'!AE1187="","",IF(AND(COUNTIF($CW$2:$CW$2,'История отказов'!AE1187)=0,COUNTIFS('История отказов'!$F$5:F1187,"НПУ-ВД",'История отказов'!$AE$5:AE1187,'История отказов'!AE1187)=1,'История отказов'!F1187="НПУ-ВД"),1183,""))</f>
        <v/>
      </c>
      <c r="DH1184">
        <f>IF('История отказов'!AE1187="","",IF(AND(COUNTIF($CY$2:$CY$6,'История отказов'!AE1187)=0,COUNTIF('История отказов'!$AE$5:AE1187,'История отказов'!AE1187)=1),1183,""))</f>
        <v/>
      </c>
      <c r="DI1184">
        <f>IF('История отказов'!AK1187="","",IF(AND(COUNTIF($CL$2:$CL$3,'История отказов'!AK1187)=0,COUNTIF('История отказов'!$AK$5:AK1187,'История отказов'!AK1187)=1),1183,""))</f>
        <v/>
      </c>
      <c r="DJ1184">
        <f>IF('История отказов'!AU1187="","",IF(AND(COUNTIF($CP$2:$CP$3,'История отказов'!AU1187)=0,COUNTIF('История отказов'!$AU$5:AU1187,'История отказов'!AU1187)=1),1183,""))</f>
        <v/>
      </c>
      <c r="DK1184">
        <f>IF('История отказов'!AY1187="","",IF(AND(COUNTIF($CR$2:$CR$2,'История отказов'!AY1187)=0,COUNTIF('История отказов'!$AY$5:AY1187,'История отказов'!AY1187)=1),1183,""))</f>
        <v/>
      </c>
      <c r="DL1184">
        <f>IF(DB1184="","",IF(AND(COUNTIF($DA$2:$DA$47,DB1184)=0,COUNTIF($DB$2:DB1184,DB1184)=1),1183,""))</f>
        <v/>
      </c>
    </row>
    <row r="1185">
      <c r="A1185" s="110" t="n"/>
      <c r="DB1185">
        <f>IF('История отказов'!AH1188="","",'История отказов'!AH1188)</f>
        <v/>
      </c>
      <c r="DC1185">
        <f>IF('История отказов'!AE1188="","",IF(AND(COUNTIF($CT$2:$CT$2,'История отказов'!AE1188)=0,COUNTIFS('История отказов'!$F$5:F1188,"ШГН",'История отказов'!$AE$5:AE1188,'История отказов'!AE1188)=1,'История отказов'!F1188="ШГН"),1184,""))</f>
        <v/>
      </c>
      <c r="DD1185">
        <f>IF('История отказов'!AE1188="","",IF(AND(COUNTIF($CU$2:$CU$3,'История отказов'!AE1188)=0,COUNTIFS('История отказов'!$F$5:F1188,"ЭЦН",'История отказов'!$AE$5:AE1188,'История отказов'!AE1188)=1,'История отказов'!F1188="ЭЦН"),1184,""))</f>
        <v/>
      </c>
      <c r="DE1185">
        <f>IF('История отказов'!AE1188="","",IF(AND(COUNTIF($CV$2:$CV$3,'История отказов'!AE1188)=0,COUNTIFS('История отказов'!$F$5:F1188,"ЭВН",'История отказов'!$AE$5:AE1188,'История отказов'!AE1188)=1,'История отказов'!F1188="ЭВН"),1184,""))</f>
        <v/>
      </c>
      <c r="DF1185">
        <f>IF('История отказов'!AE1188="","",IF(AND(COUNTIF($CX$2:$CX$2,'История отказов'!AE1188)=0,COUNTIFS('История отказов'!$F$5:F1188,"ШВН",'История отказов'!$AE$5:AE1188,'История отказов'!AE1188)=1,'История отказов'!F1188="ШВН"),1184,""))</f>
        <v/>
      </c>
      <c r="DG1185">
        <f>IF('История отказов'!AE1188="","",IF(AND(COUNTIF($CW$2:$CW$2,'История отказов'!AE1188)=0,COUNTIFS('История отказов'!$F$5:F1188,"НПУ-ВД",'История отказов'!$AE$5:AE1188,'История отказов'!AE1188)=1,'История отказов'!F1188="НПУ-ВД"),1184,""))</f>
        <v/>
      </c>
      <c r="DH1185">
        <f>IF('История отказов'!AE1188="","",IF(AND(COUNTIF($CY$2:$CY$6,'История отказов'!AE1188)=0,COUNTIF('История отказов'!$AE$5:AE1188,'История отказов'!AE1188)=1),1184,""))</f>
        <v/>
      </c>
      <c r="DI1185">
        <f>IF('История отказов'!AK1188="","",IF(AND(COUNTIF($CL$2:$CL$3,'История отказов'!AK1188)=0,COUNTIF('История отказов'!$AK$5:AK1188,'История отказов'!AK1188)=1),1184,""))</f>
        <v/>
      </c>
      <c r="DJ1185">
        <f>IF('История отказов'!AU1188="","",IF(AND(COUNTIF($CP$2:$CP$3,'История отказов'!AU1188)=0,COUNTIF('История отказов'!$AU$5:AU1188,'История отказов'!AU1188)=1),1184,""))</f>
        <v/>
      </c>
      <c r="DK1185">
        <f>IF('История отказов'!AY1188="","",IF(AND(COUNTIF($CR$2:$CR$2,'История отказов'!AY1188)=0,COUNTIF('История отказов'!$AY$5:AY1188,'История отказов'!AY1188)=1),1184,""))</f>
        <v/>
      </c>
      <c r="DL1185">
        <f>IF(DB1185="","",IF(AND(COUNTIF($DA$2:$DA$47,DB1185)=0,COUNTIF($DB$2:DB1185,DB1185)=1),1184,""))</f>
        <v/>
      </c>
    </row>
    <row r="1186">
      <c r="A1186" s="110" t="n"/>
      <c r="DB1186">
        <f>IF('История отказов'!AH1189="","",'История отказов'!AH1189)</f>
        <v/>
      </c>
      <c r="DC1186">
        <f>IF('История отказов'!AE1189="","",IF(AND(COUNTIF($CT$2:$CT$2,'История отказов'!AE1189)=0,COUNTIFS('История отказов'!$F$5:F1189,"ШГН",'История отказов'!$AE$5:AE1189,'История отказов'!AE1189)=1,'История отказов'!F1189="ШГН"),1185,""))</f>
        <v/>
      </c>
      <c r="DD1186">
        <f>IF('История отказов'!AE1189="","",IF(AND(COUNTIF($CU$2:$CU$3,'История отказов'!AE1189)=0,COUNTIFS('История отказов'!$F$5:F1189,"ЭЦН",'История отказов'!$AE$5:AE1189,'История отказов'!AE1189)=1,'История отказов'!F1189="ЭЦН"),1185,""))</f>
        <v/>
      </c>
      <c r="DE1186">
        <f>IF('История отказов'!AE1189="","",IF(AND(COUNTIF($CV$2:$CV$3,'История отказов'!AE1189)=0,COUNTIFS('История отказов'!$F$5:F1189,"ЭВН",'История отказов'!$AE$5:AE1189,'История отказов'!AE1189)=1,'История отказов'!F1189="ЭВН"),1185,""))</f>
        <v/>
      </c>
      <c r="DF1186">
        <f>IF('История отказов'!AE1189="","",IF(AND(COUNTIF($CX$2:$CX$2,'История отказов'!AE1189)=0,COUNTIFS('История отказов'!$F$5:F1189,"ШВН",'История отказов'!$AE$5:AE1189,'История отказов'!AE1189)=1,'История отказов'!F1189="ШВН"),1185,""))</f>
        <v/>
      </c>
      <c r="DG1186">
        <f>IF('История отказов'!AE1189="","",IF(AND(COUNTIF($CW$2:$CW$2,'История отказов'!AE1189)=0,COUNTIFS('История отказов'!$F$5:F1189,"НПУ-ВД",'История отказов'!$AE$5:AE1189,'История отказов'!AE1189)=1,'История отказов'!F1189="НПУ-ВД"),1185,""))</f>
        <v/>
      </c>
      <c r="DH1186">
        <f>IF('История отказов'!AE1189="","",IF(AND(COUNTIF($CY$2:$CY$6,'История отказов'!AE1189)=0,COUNTIF('История отказов'!$AE$5:AE1189,'История отказов'!AE1189)=1),1185,""))</f>
        <v/>
      </c>
      <c r="DI1186">
        <f>IF('История отказов'!AK1189="","",IF(AND(COUNTIF($CL$2:$CL$3,'История отказов'!AK1189)=0,COUNTIF('История отказов'!$AK$5:AK1189,'История отказов'!AK1189)=1),1185,""))</f>
        <v/>
      </c>
      <c r="DJ1186">
        <f>IF('История отказов'!AU1189="","",IF(AND(COUNTIF($CP$2:$CP$3,'История отказов'!AU1189)=0,COUNTIF('История отказов'!$AU$5:AU1189,'История отказов'!AU1189)=1),1185,""))</f>
        <v/>
      </c>
      <c r="DK1186">
        <f>IF('История отказов'!AY1189="","",IF(AND(COUNTIF($CR$2:$CR$2,'История отказов'!AY1189)=0,COUNTIF('История отказов'!$AY$5:AY1189,'История отказов'!AY1189)=1),1185,""))</f>
        <v/>
      </c>
      <c r="DL1186">
        <f>IF(DB1186="","",IF(AND(COUNTIF($DA$2:$DA$47,DB1186)=0,COUNTIF($DB$2:DB1186,DB1186)=1),1185,""))</f>
        <v/>
      </c>
    </row>
    <row r="1187">
      <c r="A1187" s="110" t="n"/>
      <c r="DB1187">
        <f>IF('История отказов'!AH1190="","",'История отказов'!AH1190)</f>
        <v/>
      </c>
      <c r="DC1187">
        <f>IF('История отказов'!AE1190="","",IF(AND(COUNTIF($CT$2:$CT$2,'История отказов'!AE1190)=0,COUNTIFS('История отказов'!$F$5:F1190,"ШГН",'История отказов'!$AE$5:AE1190,'История отказов'!AE1190)=1,'История отказов'!F1190="ШГН"),1186,""))</f>
        <v/>
      </c>
      <c r="DD1187">
        <f>IF('История отказов'!AE1190="","",IF(AND(COUNTIF($CU$2:$CU$3,'История отказов'!AE1190)=0,COUNTIFS('История отказов'!$F$5:F1190,"ЭЦН",'История отказов'!$AE$5:AE1190,'История отказов'!AE1190)=1,'История отказов'!F1190="ЭЦН"),1186,""))</f>
        <v/>
      </c>
      <c r="DE1187">
        <f>IF('История отказов'!AE1190="","",IF(AND(COUNTIF($CV$2:$CV$3,'История отказов'!AE1190)=0,COUNTIFS('История отказов'!$F$5:F1190,"ЭВН",'История отказов'!$AE$5:AE1190,'История отказов'!AE1190)=1,'История отказов'!F1190="ЭВН"),1186,""))</f>
        <v/>
      </c>
      <c r="DF1187">
        <f>IF('История отказов'!AE1190="","",IF(AND(COUNTIF($CX$2:$CX$2,'История отказов'!AE1190)=0,COUNTIFS('История отказов'!$F$5:F1190,"ШВН",'История отказов'!$AE$5:AE1190,'История отказов'!AE1190)=1,'История отказов'!F1190="ШВН"),1186,""))</f>
        <v/>
      </c>
      <c r="DG1187">
        <f>IF('История отказов'!AE1190="","",IF(AND(COUNTIF($CW$2:$CW$2,'История отказов'!AE1190)=0,COUNTIFS('История отказов'!$F$5:F1190,"НПУ-ВД",'История отказов'!$AE$5:AE1190,'История отказов'!AE1190)=1,'История отказов'!F1190="НПУ-ВД"),1186,""))</f>
        <v/>
      </c>
      <c r="DH1187">
        <f>IF('История отказов'!AE1190="","",IF(AND(COUNTIF($CY$2:$CY$6,'История отказов'!AE1190)=0,COUNTIF('История отказов'!$AE$5:AE1190,'История отказов'!AE1190)=1),1186,""))</f>
        <v/>
      </c>
      <c r="DI1187">
        <f>IF('История отказов'!AK1190="","",IF(AND(COUNTIF($CL$2:$CL$3,'История отказов'!AK1190)=0,COUNTIF('История отказов'!$AK$5:AK1190,'История отказов'!AK1190)=1),1186,""))</f>
        <v/>
      </c>
      <c r="DJ1187">
        <f>IF('История отказов'!AU1190="","",IF(AND(COUNTIF($CP$2:$CP$3,'История отказов'!AU1190)=0,COUNTIF('История отказов'!$AU$5:AU1190,'История отказов'!AU1190)=1),1186,""))</f>
        <v/>
      </c>
      <c r="DK1187">
        <f>IF('История отказов'!AY1190="","",IF(AND(COUNTIF($CR$2:$CR$2,'История отказов'!AY1190)=0,COUNTIF('История отказов'!$AY$5:AY1190,'История отказов'!AY1190)=1),1186,""))</f>
        <v/>
      </c>
      <c r="DL1187">
        <f>IF(DB1187="","",IF(AND(COUNTIF($DA$2:$DA$47,DB1187)=0,COUNTIF($DB$2:DB1187,DB1187)=1),1186,""))</f>
        <v/>
      </c>
    </row>
    <row r="1188">
      <c r="A1188" s="110" t="n"/>
      <c r="DB1188">
        <f>IF('История отказов'!AH1191="","",'История отказов'!AH1191)</f>
        <v/>
      </c>
      <c r="DC1188">
        <f>IF('История отказов'!AE1191="","",IF(AND(COUNTIF($CT$2:$CT$2,'История отказов'!AE1191)=0,COUNTIFS('История отказов'!$F$5:F1191,"ШГН",'История отказов'!$AE$5:AE1191,'История отказов'!AE1191)=1,'История отказов'!F1191="ШГН"),1187,""))</f>
        <v/>
      </c>
      <c r="DD1188">
        <f>IF('История отказов'!AE1191="","",IF(AND(COUNTIF($CU$2:$CU$3,'История отказов'!AE1191)=0,COUNTIFS('История отказов'!$F$5:F1191,"ЭЦН",'История отказов'!$AE$5:AE1191,'История отказов'!AE1191)=1,'История отказов'!F1191="ЭЦН"),1187,""))</f>
        <v/>
      </c>
      <c r="DE1188">
        <f>IF('История отказов'!AE1191="","",IF(AND(COUNTIF($CV$2:$CV$3,'История отказов'!AE1191)=0,COUNTIFS('История отказов'!$F$5:F1191,"ЭВН",'История отказов'!$AE$5:AE1191,'История отказов'!AE1191)=1,'История отказов'!F1191="ЭВН"),1187,""))</f>
        <v/>
      </c>
      <c r="DF1188">
        <f>IF('История отказов'!AE1191="","",IF(AND(COUNTIF($CX$2:$CX$2,'История отказов'!AE1191)=0,COUNTIFS('История отказов'!$F$5:F1191,"ШВН",'История отказов'!$AE$5:AE1191,'История отказов'!AE1191)=1,'История отказов'!F1191="ШВН"),1187,""))</f>
        <v/>
      </c>
      <c r="DG1188">
        <f>IF('История отказов'!AE1191="","",IF(AND(COUNTIF($CW$2:$CW$2,'История отказов'!AE1191)=0,COUNTIFS('История отказов'!$F$5:F1191,"НПУ-ВД",'История отказов'!$AE$5:AE1191,'История отказов'!AE1191)=1,'История отказов'!F1191="НПУ-ВД"),1187,""))</f>
        <v/>
      </c>
      <c r="DH1188">
        <f>IF('История отказов'!AE1191="","",IF(AND(COUNTIF($CY$2:$CY$6,'История отказов'!AE1191)=0,COUNTIF('История отказов'!$AE$5:AE1191,'История отказов'!AE1191)=1),1187,""))</f>
        <v/>
      </c>
      <c r="DI1188">
        <f>IF('История отказов'!AK1191="","",IF(AND(COUNTIF($CL$2:$CL$3,'История отказов'!AK1191)=0,COUNTIF('История отказов'!$AK$5:AK1191,'История отказов'!AK1191)=1),1187,""))</f>
        <v/>
      </c>
      <c r="DJ1188">
        <f>IF('История отказов'!AU1191="","",IF(AND(COUNTIF($CP$2:$CP$3,'История отказов'!AU1191)=0,COUNTIF('История отказов'!$AU$5:AU1191,'История отказов'!AU1191)=1),1187,""))</f>
        <v/>
      </c>
      <c r="DK1188">
        <f>IF('История отказов'!AY1191="","",IF(AND(COUNTIF($CR$2:$CR$2,'История отказов'!AY1191)=0,COUNTIF('История отказов'!$AY$5:AY1191,'История отказов'!AY1191)=1),1187,""))</f>
        <v/>
      </c>
      <c r="DL1188">
        <f>IF(DB1188="","",IF(AND(COUNTIF($DA$2:$DA$47,DB1188)=0,COUNTIF($DB$2:DB1188,DB1188)=1),1187,""))</f>
        <v/>
      </c>
    </row>
    <row r="1189">
      <c r="A1189" s="110" t="n"/>
      <c r="DB1189">
        <f>IF('История отказов'!AH1192="","",'История отказов'!AH1192)</f>
        <v/>
      </c>
      <c r="DC1189">
        <f>IF('История отказов'!AE1192="","",IF(AND(COUNTIF($CT$2:$CT$2,'История отказов'!AE1192)=0,COUNTIFS('История отказов'!$F$5:F1192,"ШГН",'История отказов'!$AE$5:AE1192,'История отказов'!AE1192)=1,'История отказов'!F1192="ШГН"),1188,""))</f>
        <v/>
      </c>
      <c r="DD1189">
        <f>IF('История отказов'!AE1192="","",IF(AND(COUNTIF($CU$2:$CU$3,'История отказов'!AE1192)=0,COUNTIFS('История отказов'!$F$5:F1192,"ЭЦН",'История отказов'!$AE$5:AE1192,'История отказов'!AE1192)=1,'История отказов'!F1192="ЭЦН"),1188,""))</f>
        <v/>
      </c>
      <c r="DE1189">
        <f>IF('История отказов'!AE1192="","",IF(AND(COUNTIF($CV$2:$CV$3,'История отказов'!AE1192)=0,COUNTIFS('История отказов'!$F$5:F1192,"ЭВН",'История отказов'!$AE$5:AE1192,'История отказов'!AE1192)=1,'История отказов'!F1192="ЭВН"),1188,""))</f>
        <v/>
      </c>
      <c r="DF1189">
        <f>IF('История отказов'!AE1192="","",IF(AND(COUNTIF($CX$2:$CX$2,'История отказов'!AE1192)=0,COUNTIFS('История отказов'!$F$5:F1192,"ШВН",'История отказов'!$AE$5:AE1192,'История отказов'!AE1192)=1,'История отказов'!F1192="ШВН"),1188,""))</f>
        <v/>
      </c>
      <c r="DG1189">
        <f>IF('История отказов'!AE1192="","",IF(AND(COUNTIF($CW$2:$CW$2,'История отказов'!AE1192)=0,COUNTIFS('История отказов'!$F$5:F1192,"НПУ-ВД",'История отказов'!$AE$5:AE1192,'История отказов'!AE1192)=1,'История отказов'!F1192="НПУ-ВД"),1188,""))</f>
        <v/>
      </c>
      <c r="DH1189">
        <f>IF('История отказов'!AE1192="","",IF(AND(COUNTIF($CY$2:$CY$6,'История отказов'!AE1192)=0,COUNTIF('История отказов'!$AE$5:AE1192,'История отказов'!AE1192)=1),1188,""))</f>
        <v/>
      </c>
      <c r="DI1189">
        <f>IF('История отказов'!AK1192="","",IF(AND(COUNTIF($CL$2:$CL$3,'История отказов'!AK1192)=0,COUNTIF('История отказов'!$AK$5:AK1192,'История отказов'!AK1192)=1),1188,""))</f>
        <v/>
      </c>
      <c r="DJ1189">
        <f>IF('История отказов'!AU1192="","",IF(AND(COUNTIF($CP$2:$CP$3,'История отказов'!AU1192)=0,COUNTIF('История отказов'!$AU$5:AU1192,'История отказов'!AU1192)=1),1188,""))</f>
        <v/>
      </c>
      <c r="DK1189">
        <f>IF('История отказов'!AY1192="","",IF(AND(COUNTIF($CR$2:$CR$2,'История отказов'!AY1192)=0,COUNTIF('История отказов'!$AY$5:AY1192,'История отказов'!AY1192)=1),1188,""))</f>
        <v/>
      </c>
      <c r="DL1189">
        <f>IF(DB1189="","",IF(AND(COUNTIF($DA$2:$DA$47,DB1189)=0,COUNTIF($DB$2:DB1189,DB1189)=1),1188,""))</f>
        <v/>
      </c>
    </row>
    <row r="1190">
      <c r="A1190" s="110" t="n"/>
      <c r="DB1190">
        <f>IF('История отказов'!AH1193="","",'История отказов'!AH1193)</f>
        <v/>
      </c>
      <c r="DC1190">
        <f>IF('История отказов'!AE1193="","",IF(AND(COUNTIF($CT$2:$CT$2,'История отказов'!AE1193)=0,COUNTIFS('История отказов'!$F$5:F1193,"ШГН",'История отказов'!$AE$5:AE1193,'История отказов'!AE1193)=1,'История отказов'!F1193="ШГН"),1189,""))</f>
        <v/>
      </c>
      <c r="DD1190">
        <f>IF('История отказов'!AE1193="","",IF(AND(COUNTIF($CU$2:$CU$3,'История отказов'!AE1193)=0,COUNTIFS('История отказов'!$F$5:F1193,"ЭЦН",'История отказов'!$AE$5:AE1193,'История отказов'!AE1193)=1,'История отказов'!F1193="ЭЦН"),1189,""))</f>
        <v/>
      </c>
      <c r="DE1190">
        <f>IF('История отказов'!AE1193="","",IF(AND(COUNTIF($CV$2:$CV$3,'История отказов'!AE1193)=0,COUNTIFS('История отказов'!$F$5:F1193,"ЭВН",'История отказов'!$AE$5:AE1193,'История отказов'!AE1193)=1,'История отказов'!F1193="ЭВН"),1189,""))</f>
        <v/>
      </c>
      <c r="DF1190">
        <f>IF('История отказов'!AE1193="","",IF(AND(COUNTIF($CX$2:$CX$2,'История отказов'!AE1193)=0,COUNTIFS('История отказов'!$F$5:F1193,"ШВН",'История отказов'!$AE$5:AE1193,'История отказов'!AE1193)=1,'История отказов'!F1193="ШВН"),1189,""))</f>
        <v/>
      </c>
      <c r="DG1190">
        <f>IF('История отказов'!AE1193="","",IF(AND(COUNTIF($CW$2:$CW$2,'История отказов'!AE1193)=0,COUNTIFS('История отказов'!$F$5:F1193,"НПУ-ВД",'История отказов'!$AE$5:AE1193,'История отказов'!AE1193)=1,'История отказов'!F1193="НПУ-ВД"),1189,""))</f>
        <v/>
      </c>
      <c r="DH1190">
        <f>IF('История отказов'!AE1193="","",IF(AND(COUNTIF($CY$2:$CY$6,'История отказов'!AE1193)=0,COUNTIF('История отказов'!$AE$5:AE1193,'История отказов'!AE1193)=1),1189,""))</f>
        <v/>
      </c>
      <c r="DI1190">
        <f>IF('История отказов'!AK1193="","",IF(AND(COUNTIF($CL$2:$CL$3,'История отказов'!AK1193)=0,COUNTIF('История отказов'!$AK$5:AK1193,'История отказов'!AK1193)=1),1189,""))</f>
        <v/>
      </c>
      <c r="DJ1190">
        <f>IF('История отказов'!AU1193="","",IF(AND(COUNTIF($CP$2:$CP$3,'История отказов'!AU1193)=0,COUNTIF('История отказов'!$AU$5:AU1193,'История отказов'!AU1193)=1),1189,""))</f>
        <v/>
      </c>
      <c r="DK1190">
        <f>IF('История отказов'!AY1193="","",IF(AND(COUNTIF($CR$2:$CR$2,'История отказов'!AY1193)=0,COUNTIF('История отказов'!$AY$5:AY1193,'История отказов'!AY1193)=1),1189,""))</f>
        <v/>
      </c>
      <c r="DL1190">
        <f>IF(DB1190="","",IF(AND(COUNTIF($DA$2:$DA$47,DB1190)=0,COUNTIF($DB$2:DB1190,DB1190)=1),1189,""))</f>
        <v/>
      </c>
    </row>
    <row r="1191">
      <c r="A1191" s="110" t="n"/>
      <c r="DB1191">
        <f>IF('История отказов'!AH1194="","",'История отказов'!AH1194)</f>
        <v/>
      </c>
      <c r="DC1191">
        <f>IF('История отказов'!AE1194="","",IF(AND(COUNTIF($CT$2:$CT$2,'История отказов'!AE1194)=0,COUNTIFS('История отказов'!$F$5:F1194,"ШГН",'История отказов'!$AE$5:AE1194,'История отказов'!AE1194)=1,'История отказов'!F1194="ШГН"),1190,""))</f>
        <v/>
      </c>
      <c r="DD1191">
        <f>IF('История отказов'!AE1194="","",IF(AND(COUNTIF($CU$2:$CU$3,'История отказов'!AE1194)=0,COUNTIFS('История отказов'!$F$5:F1194,"ЭЦН",'История отказов'!$AE$5:AE1194,'История отказов'!AE1194)=1,'История отказов'!F1194="ЭЦН"),1190,""))</f>
        <v/>
      </c>
      <c r="DE1191">
        <f>IF('История отказов'!AE1194="","",IF(AND(COUNTIF($CV$2:$CV$3,'История отказов'!AE1194)=0,COUNTIFS('История отказов'!$F$5:F1194,"ЭВН",'История отказов'!$AE$5:AE1194,'История отказов'!AE1194)=1,'История отказов'!F1194="ЭВН"),1190,""))</f>
        <v/>
      </c>
      <c r="DF1191">
        <f>IF('История отказов'!AE1194="","",IF(AND(COUNTIF($CX$2:$CX$2,'История отказов'!AE1194)=0,COUNTIFS('История отказов'!$F$5:F1194,"ШВН",'История отказов'!$AE$5:AE1194,'История отказов'!AE1194)=1,'История отказов'!F1194="ШВН"),1190,""))</f>
        <v/>
      </c>
      <c r="DG1191">
        <f>IF('История отказов'!AE1194="","",IF(AND(COUNTIF($CW$2:$CW$2,'История отказов'!AE1194)=0,COUNTIFS('История отказов'!$F$5:F1194,"НПУ-ВД",'История отказов'!$AE$5:AE1194,'История отказов'!AE1194)=1,'История отказов'!F1194="НПУ-ВД"),1190,""))</f>
        <v/>
      </c>
      <c r="DH1191">
        <f>IF('История отказов'!AE1194="","",IF(AND(COUNTIF($CY$2:$CY$6,'История отказов'!AE1194)=0,COUNTIF('История отказов'!$AE$5:AE1194,'История отказов'!AE1194)=1),1190,""))</f>
        <v/>
      </c>
      <c r="DI1191">
        <f>IF('История отказов'!AK1194="","",IF(AND(COUNTIF($CL$2:$CL$3,'История отказов'!AK1194)=0,COUNTIF('История отказов'!$AK$5:AK1194,'История отказов'!AK1194)=1),1190,""))</f>
        <v/>
      </c>
      <c r="DJ1191">
        <f>IF('История отказов'!AU1194="","",IF(AND(COUNTIF($CP$2:$CP$3,'История отказов'!AU1194)=0,COUNTIF('История отказов'!$AU$5:AU1194,'История отказов'!AU1194)=1),1190,""))</f>
        <v/>
      </c>
      <c r="DK1191">
        <f>IF('История отказов'!AY1194="","",IF(AND(COUNTIF($CR$2:$CR$2,'История отказов'!AY1194)=0,COUNTIF('История отказов'!$AY$5:AY1194,'История отказов'!AY1194)=1),1190,""))</f>
        <v/>
      </c>
      <c r="DL1191">
        <f>IF(DB1191="","",IF(AND(COUNTIF($DA$2:$DA$47,DB1191)=0,COUNTIF($DB$2:DB1191,DB1191)=1),1190,""))</f>
        <v/>
      </c>
    </row>
    <row r="1192">
      <c r="A1192" s="110" t="n"/>
      <c r="DB1192">
        <f>IF('История отказов'!AH1195="","",'История отказов'!AH1195)</f>
        <v/>
      </c>
      <c r="DC1192">
        <f>IF('История отказов'!AE1195="","",IF(AND(COUNTIF($CT$2:$CT$2,'История отказов'!AE1195)=0,COUNTIFS('История отказов'!$F$5:F1195,"ШГН",'История отказов'!$AE$5:AE1195,'История отказов'!AE1195)=1,'История отказов'!F1195="ШГН"),1191,""))</f>
        <v/>
      </c>
      <c r="DD1192">
        <f>IF('История отказов'!AE1195="","",IF(AND(COUNTIF($CU$2:$CU$3,'История отказов'!AE1195)=0,COUNTIFS('История отказов'!$F$5:F1195,"ЭЦН",'История отказов'!$AE$5:AE1195,'История отказов'!AE1195)=1,'История отказов'!F1195="ЭЦН"),1191,""))</f>
        <v/>
      </c>
      <c r="DE1192">
        <f>IF('История отказов'!AE1195="","",IF(AND(COUNTIF($CV$2:$CV$3,'История отказов'!AE1195)=0,COUNTIFS('История отказов'!$F$5:F1195,"ЭВН",'История отказов'!$AE$5:AE1195,'История отказов'!AE1195)=1,'История отказов'!F1195="ЭВН"),1191,""))</f>
        <v/>
      </c>
      <c r="DF1192">
        <f>IF('История отказов'!AE1195="","",IF(AND(COUNTIF($CX$2:$CX$2,'История отказов'!AE1195)=0,COUNTIFS('История отказов'!$F$5:F1195,"ШВН",'История отказов'!$AE$5:AE1195,'История отказов'!AE1195)=1,'История отказов'!F1195="ШВН"),1191,""))</f>
        <v/>
      </c>
      <c r="DG1192">
        <f>IF('История отказов'!AE1195="","",IF(AND(COUNTIF($CW$2:$CW$2,'История отказов'!AE1195)=0,COUNTIFS('История отказов'!$F$5:F1195,"НПУ-ВД",'История отказов'!$AE$5:AE1195,'История отказов'!AE1195)=1,'История отказов'!F1195="НПУ-ВД"),1191,""))</f>
        <v/>
      </c>
      <c r="DH1192">
        <f>IF('История отказов'!AE1195="","",IF(AND(COUNTIF($CY$2:$CY$6,'История отказов'!AE1195)=0,COUNTIF('История отказов'!$AE$5:AE1195,'История отказов'!AE1195)=1),1191,""))</f>
        <v/>
      </c>
      <c r="DI1192">
        <f>IF('История отказов'!AK1195="","",IF(AND(COUNTIF($CL$2:$CL$3,'История отказов'!AK1195)=0,COUNTIF('История отказов'!$AK$5:AK1195,'История отказов'!AK1195)=1),1191,""))</f>
        <v/>
      </c>
      <c r="DJ1192">
        <f>IF('История отказов'!AU1195="","",IF(AND(COUNTIF($CP$2:$CP$3,'История отказов'!AU1195)=0,COUNTIF('История отказов'!$AU$5:AU1195,'История отказов'!AU1195)=1),1191,""))</f>
        <v/>
      </c>
      <c r="DK1192">
        <f>IF('История отказов'!AY1195="","",IF(AND(COUNTIF($CR$2:$CR$2,'История отказов'!AY1195)=0,COUNTIF('История отказов'!$AY$5:AY1195,'История отказов'!AY1195)=1),1191,""))</f>
        <v/>
      </c>
      <c r="DL1192">
        <f>IF(DB1192="","",IF(AND(COUNTIF($DA$2:$DA$47,DB1192)=0,COUNTIF($DB$2:DB1192,DB1192)=1),1191,""))</f>
        <v/>
      </c>
    </row>
    <row r="1193">
      <c r="A1193" s="110" t="n"/>
      <c r="DB1193">
        <f>IF('История отказов'!AH1196="","",'История отказов'!AH1196)</f>
        <v/>
      </c>
      <c r="DC1193">
        <f>IF('История отказов'!AE1196="","",IF(AND(COUNTIF($CT$2:$CT$2,'История отказов'!AE1196)=0,COUNTIFS('История отказов'!$F$5:F1196,"ШГН",'История отказов'!$AE$5:AE1196,'История отказов'!AE1196)=1,'История отказов'!F1196="ШГН"),1192,""))</f>
        <v/>
      </c>
      <c r="DD1193">
        <f>IF('История отказов'!AE1196="","",IF(AND(COUNTIF($CU$2:$CU$3,'История отказов'!AE1196)=0,COUNTIFS('История отказов'!$F$5:F1196,"ЭЦН",'История отказов'!$AE$5:AE1196,'История отказов'!AE1196)=1,'История отказов'!F1196="ЭЦН"),1192,""))</f>
        <v/>
      </c>
      <c r="DE1193">
        <f>IF('История отказов'!AE1196="","",IF(AND(COUNTIF($CV$2:$CV$3,'История отказов'!AE1196)=0,COUNTIFS('История отказов'!$F$5:F1196,"ЭВН",'История отказов'!$AE$5:AE1196,'История отказов'!AE1196)=1,'История отказов'!F1196="ЭВН"),1192,""))</f>
        <v/>
      </c>
      <c r="DF1193">
        <f>IF('История отказов'!AE1196="","",IF(AND(COUNTIF($CX$2:$CX$2,'История отказов'!AE1196)=0,COUNTIFS('История отказов'!$F$5:F1196,"ШВН",'История отказов'!$AE$5:AE1196,'История отказов'!AE1196)=1,'История отказов'!F1196="ШВН"),1192,""))</f>
        <v/>
      </c>
      <c r="DG1193">
        <f>IF('История отказов'!AE1196="","",IF(AND(COUNTIF($CW$2:$CW$2,'История отказов'!AE1196)=0,COUNTIFS('История отказов'!$F$5:F1196,"НПУ-ВД",'История отказов'!$AE$5:AE1196,'История отказов'!AE1196)=1,'История отказов'!F1196="НПУ-ВД"),1192,""))</f>
        <v/>
      </c>
      <c r="DH1193">
        <f>IF('История отказов'!AE1196="","",IF(AND(COUNTIF($CY$2:$CY$6,'История отказов'!AE1196)=0,COUNTIF('История отказов'!$AE$5:AE1196,'История отказов'!AE1196)=1),1192,""))</f>
        <v/>
      </c>
      <c r="DI1193">
        <f>IF('История отказов'!AK1196="","",IF(AND(COUNTIF($CL$2:$CL$3,'История отказов'!AK1196)=0,COUNTIF('История отказов'!$AK$5:AK1196,'История отказов'!AK1196)=1),1192,""))</f>
        <v/>
      </c>
      <c r="DJ1193">
        <f>IF('История отказов'!AU1196="","",IF(AND(COUNTIF($CP$2:$CP$3,'История отказов'!AU1196)=0,COUNTIF('История отказов'!$AU$5:AU1196,'История отказов'!AU1196)=1),1192,""))</f>
        <v/>
      </c>
      <c r="DK1193">
        <f>IF('История отказов'!AY1196="","",IF(AND(COUNTIF($CR$2:$CR$2,'История отказов'!AY1196)=0,COUNTIF('История отказов'!$AY$5:AY1196,'История отказов'!AY1196)=1),1192,""))</f>
        <v/>
      </c>
      <c r="DL1193">
        <f>IF(DB1193="","",IF(AND(COUNTIF($DA$2:$DA$47,DB1193)=0,COUNTIF($DB$2:DB1193,DB1193)=1),1192,""))</f>
        <v/>
      </c>
    </row>
    <row r="1194">
      <c r="A1194" s="110" t="n"/>
      <c r="DB1194">
        <f>IF('История отказов'!AH1197="","",'История отказов'!AH1197)</f>
        <v/>
      </c>
      <c r="DC1194">
        <f>IF('История отказов'!AE1197="","",IF(AND(COUNTIF($CT$2:$CT$2,'История отказов'!AE1197)=0,COUNTIFS('История отказов'!$F$5:F1197,"ШГН",'История отказов'!$AE$5:AE1197,'История отказов'!AE1197)=1,'История отказов'!F1197="ШГН"),1193,""))</f>
        <v/>
      </c>
      <c r="DD1194">
        <f>IF('История отказов'!AE1197="","",IF(AND(COUNTIF($CU$2:$CU$3,'История отказов'!AE1197)=0,COUNTIFS('История отказов'!$F$5:F1197,"ЭЦН",'История отказов'!$AE$5:AE1197,'История отказов'!AE1197)=1,'История отказов'!F1197="ЭЦН"),1193,""))</f>
        <v/>
      </c>
      <c r="DE1194">
        <f>IF('История отказов'!AE1197="","",IF(AND(COUNTIF($CV$2:$CV$3,'История отказов'!AE1197)=0,COUNTIFS('История отказов'!$F$5:F1197,"ЭВН",'История отказов'!$AE$5:AE1197,'История отказов'!AE1197)=1,'История отказов'!F1197="ЭВН"),1193,""))</f>
        <v/>
      </c>
      <c r="DF1194">
        <f>IF('История отказов'!AE1197="","",IF(AND(COUNTIF($CX$2:$CX$2,'История отказов'!AE1197)=0,COUNTIFS('История отказов'!$F$5:F1197,"ШВН",'История отказов'!$AE$5:AE1197,'История отказов'!AE1197)=1,'История отказов'!F1197="ШВН"),1193,""))</f>
        <v/>
      </c>
      <c r="DG1194">
        <f>IF('История отказов'!AE1197="","",IF(AND(COUNTIF($CW$2:$CW$2,'История отказов'!AE1197)=0,COUNTIFS('История отказов'!$F$5:F1197,"НПУ-ВД",'История отказов'!$AE$5:AE1197,'История отказов'!AE1197)=1,'История отказов'!F1197="НПУ-ВД"),1193,""))</f>
        <v/>
      </c>
      <c r="DH1194">
        <f>IF('История отказов'!AE1197="","",IF(AND(COUNTIF($CY$2:$CY$6,'История отказов'!AE1197)=0,COUNTIF('История отказов'!$AE$5:AE1197,'История отказов'!AE1197)=1),1193,""))</f>
        <v/>
      </c>
      <c r="DI1194">
        <f>IF('История отказов'!AK1197="","",IF(AND(COUNTIF($CL$2:$CL$3,'История отказов'!AK1197)=0,COUNTIF('История отказов'!$AK$5:AK1197,'История отказов'!AK1197)=1),1193,""))</f>
        <v/>
      </c>
      <c r="DJ1194">
        <f>IF('История отказов'!AU1197="","",IF(AND(COUNTIF($CP$2:$CP$3,'История отказов'!AU1197)=0,COUNTIF('История отказов'!$AU$5:AU1197,'История отказов'!AU1197)=1),1193,""))</f>
        <v/>
      </c>
      <c r="DK1194">
        <f>IF('История отказов'!AY1197="","",IF(AND(COUNTIF($CR$2:$CR$2,'История отказов'!AY1197)=0,COUNTIF('История отказов'!$AY$5:AY1197,'История отказов'!AY1197)=1),1193,""))</f>
        <v/>
      </c>
      <c r="DL1194">
        <f>IF(DB1194="","",IF(AND(COUNTIF($DA$2:$DA$47,DB1194)=0,COUNTIF($DB$2:DB1194,DB1194)=1),1193,""))</f>
        <v/>
      </c>
    </row>
    <row r="1195">
      <c r="A1195" s="110" t="n"/>
      <c r="DB1195">
        <f>IF('История отказов'!AH1198="","",'История отказов'!AH1198)</f>
        <v/>
      </c>
      <c r="DC1195">
        <f>IF('История отказов'!AE1198="","",IF(AND(COUNTIF($CT$2:$CT$2,'История отказов'!AE1198)=0,COUNTIFS('История отказов'!$F$5:F1198,"ШГН",'История отказов'!$AE$5:AE1198,'История отказов'!AE1198)=1,'История отказов'!F1198="ШГН"),1194,""))</f>
        <v/>
      </c>
      <c r="DD1195">
        <f>IF('История отказов'!AE1198="","",IF(AND(COUNTIF($CU$2:$CU$3,'История отказов'!AE1198)=0,COUNTIFS('История отказов'!$F$5:F1198,"ЭЦН",'История отказов'!$AE$5:AE1198,'История отказов'!AE1198)=1,'История отказов'!F1198="ЭЦН"),1194,""))</f>
        <v/>
      </c>
      <c r="DE1195">
        <f>IF('История отказов'!AE1198="","",IF(AND(COUNTIF($CV$2:$CV$3,'История отказов'!AE1198)=0,COUNTIFS('История отказов'!$F$5:F1198,"ЭВН",'История отказов'!$AE$5:AE1198,'История отказов'!AE1198)=1,'История отказов'!F1198="ЭВН"),1194,""))</f>
        <v/>
      </c>
      <c r="DF1195">
        <f>IF('История отказов'!AE1198="","",IF(AND(COUNTIF($CX$2:$CX$2,'История отказов'!AE1198)=0,COUNTIFS('История отказов'!$F$5:F1198,"ШВН",'История отказов'!$AE$5:AE1198,'История отказов'!AE1198)=1,'История отказов'!F1198="ШВН"),1194,""))</f>
        <v/>
      </c>
      <c r="DG1195">
        <f>IF('История отказов'!AE1198="","",IF(AND(COUNTIF($CW$2:$CW$2,'История отказов'!AE1198)=0,COUNTIFS('История отказов'!$F$5:F1198,"НПУ-ВД",'История отказов'!$AE$5:AE1198,'История отказов'!AE1198)=1,'История отказов'!F1198="НПУ-ВД"),1194,""))</f>
        <v/>
      </c>
      <c r="DH1195">
        <f>IF('История отказов'!AE1198="","",IF(AND(COUNTIF($CY$2:$CY$6,'История отказов'!AE1198)=0,COUNTIF('История отказов'!$AE$5:AE1198,'История отказов'!AE1198)=1),1194,""))</f>
        <v/>
      </c>
      <c r="DI1195">
        <f>IF('История отказов'!AK1198="","",IF(AND(COUNTIF($CL$2:$CL$3,'История отказов'!AK1198)=0,COUNTIF('История отказов'!$AK$5:AK1198,'История отказов'!AK1198)=1),1194,""))</f>
        <v/>
      </c>
      <c r="DJ1195">
        <f>IF('История отказов'!AU1198="","",IF(AND(COUNTIF($CP$2:$CP$3,'История отказов'!AU1198)=0,COUNTIF('История отказов'!$AU$5:AU1198,'История отказов'!AU1198)=1),1194,""))</f>
        <v/>
      </c>
      <c r="DK1195">
        <f>IF('История отказов'!AY1198="","",IF(AND(COUNTIF($CR$2:$CR$2,'История отказов'!AY1198)=0,COUNTIF('История отказов'!$AY$5:AY1198,'История отказов'!AY1198)=1),1194,""))</f>
        <v/>
      </c>
      <c r="DL1195">
        <f>IF(DB1195="","",IF(AND(COUNTIF($DA$2:$DA$47,DB1195)=0,COUNTIF($DB$2:DB1195,DB1195)=1),1194,""))</f>
        <v/>
      </c>
    </row>
    <row r="1196">
      <c r="A1196" s="111" t="n"/>
      <c r="DB1196">
        <f>IF('История отказов'!AH1199="","",'История отказов'!AH1199)</f>
        <v/>
      </c>
      <c r="DC1196">
        <f>IF('История отказов'!AE1199="","",IF(AND(COUNTIF($CT$2:$CT$2,'История отказов'!AE1199)=0,COUNTIFS('История отказов'!$F$5:F1199,"ШГН",'История отказов'!$AE$5:AE1199,'История отказов'!AE1199)=1,'История отказов'!F1199="ШГН"),1195,""))</f>
        <v/>
      </c>
      <c r="DD1196">
        <f>IF('История отказов'!AE1199="","",IF(AND(COUNTIF($CU$2:$CU$3,'История отказов'!AE1199)=0,COUNTIFS('История отказов'!$F$5:F1199,"ЭЦН",'История отказов'!$AE$5:AE1199,'История отказов'!AE1199)=1,'История отказов'!F1199="ЭЦН"),1195,""))</f>
        <v/>
      </c>
      <c r="DE1196">
        <f>IF('История отказов'!AE1199="","",IF(AND(COUNTIF($CV$2:$CV$3,'История отказов'!AE1199)=0,COUNTIFS('История отказов'!$F$5:F1199,"ЭВН",'История отказов'!$AE$5:AE1199,'История отказов'!AE1199)=1,'История отказов'!F1199="ЭВН"),1195,""))</f>
        <v/>
      </c>
      <c r="DF1196">
        <f>IF('История отказов'!AE1199="","",IF(AND(COUNTIF($CX$2:$CX$2,'История отказов'!AE1199)=0,COUNTIFS('История отказов'!$F$5:F1199,"ШВН",'История отказов'!$AE$5:AE1199,'История отказов'!AE1199)=1,'История отказов'!F1199="ШВН"),1195,""))</f>
        <v/>
      </c>
      <c r="DG1196">
        <f>IF('История отказов'!AE1199="","",IF(AND(COUNTIF($CW$2:$CW$2,'История отказов'!AE1199)=0,COUNTIFS('История отказов'!$F$5:F1199,"НПУ-ВД",'История отказов'!$AE$5:AE1199,'История отказов'!AE1199)=1,'История отказов'!F1199="НПУ-ВД"),1195,""))</f>
        <v/>
      </c>
      <c r="DH1196">
        <f>IF('История отказов'!AE1199="","",IF(AND(COUNTIF($CY$2:$CY$6,'История отказов'!AE1199)=0,COUNTIF('История отказов'!$AE$5:AE1199,'История отказов'!AE1199)=1),1195,""))</f>
        <v/>
      </c>
      <c r="DI1196">
        <f>IF('История отказов'!AK1199="","",IF(AND(COUNTIF($CL$2:$CL$3,'История отказов'!AK1199)=0,COUNTIF('История отказов'!$AK$5:AK1199,'История отказов'!AK1199)=1),1195,""))</f>
        <v/>
      </c>
      <c r="DJ1196">
        <f>IF('История отказов'!AU1199="","",IF(AND(COUNTIF($CP$2:$CP$3,'История отказов'!AU1199)=0,COUNTIF('История отказов'!$AU$5:AU1199,'История отказов'!AU1199)=1),1195,""))</f>
        <v/>
      </c>
      <c r="DK1196">
        <f>IF('История отказов'!AY1199="","",IF(AND(COUNTIF($CR$2:$CR$2,'История отказов'!AY1199)=0,COUNTIF('История отказов'!$AY$5:AY1199,'История отказов'!AY1199)=1),1195,""))</f>
        <v/>
      </c>
      <c r="DL1196">
        <f>IF(DB1196="","",IF(AND(COUNTIF($DA$2:$DA$47,DB1196)=0,COUNTIF($DB$2:DB1196,DB1196)=1),1195,""))</f>
        <v/>
      </c>
    </row>
    <row r="1197">
      <c r="DB1197">
        <f>IF('История отказов'!AH1200="","",'История отказов'!AH1200)</f>
        <v/>
      </c>
      <c r="DC1197">
        <f>IF('История отказов'!AE1200="","",IF(AND(COUNTIF($CT$2:$CT$2,'История отказов'!AE1200)=0,COUNTIFS('История отказов'!$F$5:F1200,"ШГН",'История отказов'!$AE$5:AE1200,'История отказов'!AE1200)=1,'История отказов'!F1200="ШГН"),1196,""))</f>
        <v/>
      </c>
      <c r="DD1197">
        <f>IF('История отказов'!AE1200="","",IF(AND(COUNTIF($CU$2:$CU$3,'История отказов'!AE1200)=0,COUNTIFS('История отказов'!$F$5:F1200,"ЭЦН",'История отказов'!$AE$5:AE1200,'История отказов'!AE1200)=1,'История отказов'!F1200="ЭЦН"),1196,""))</f>
        <v/>
      </c>
      <c r="DE1197">
        <f>IF('История отказов'!AE1200="","",IF(AND(COUNTIF($CV$2:$CV$3,'История отказов'!AE1200)=0,COUNTIFS('История отказов'!$F$5:F1200,"ЭВН",'История отказов'!$AE$5:AE1200,'История отказов'!AE1200)=1,'История отказов'!F1200="ЭВН"),1196,""))</f>
        <v/>
      </c>
      <c r="DF1197">
        <f>IF('История отказов'!AE1200="","",IF(AND(COUNTIF($CX$2:$CX$2,'История отказов'!AE1200)=0,COUNTIFS('История отказов'!$F$5:F1200,"ШВН",'История отказов'!$AE$5:AE1200,'История отказов'!AE1200)=1,'История отказов'!F1200="ШВН"),1196,""))</f>
        <v/>
      </c>
      <c r="DG1197">
        <f>IF('История отказов'!AE1200="","",IF(AND(COUNTIF($CW$2:$CW$2,'История отказов'!AE1200)=0,COUNTIFS('История отказов'!$F$5:F1200,"НПУ-ВД",'История отказов'!$AE$5:AE1200,'История отказов'!AE1200)=1,'История отказов'!F1200="НПУ-ВД"),1196,""))</f>
        <v/>
      </c>
      <c r="DH1197">
        <f>IF('История отказов'!AE1200="","",IF(AND(COUNTIF($CY$2:$CY$6,'История отказов'!AE1200)=0,COUNTIF('История отказов'!$AE$5:AE1200,'История отказов'!AE1200)=1),1196,""))</f>
        <v/>
      </c>
      <c r="DI1197">
        <f>IF('История отказов'!AK1200="","",IF(AND(COUNTIF($CL$2:$CL$3,'История отказов'!AK1200)=0,COUNTIF('История отказов'!$AK$5:AK1200,'История отказов'!AK1200)=1),1196,""))</f>
        <v/>
      </c>
      <c r="DJ1197">
        <f>IF('История отказов'!AU1200="","",IF(AND(COUNTIF($CP$2:$CP$3,'История отказов'!AU1200)=0,COUNTIF('История отказов'!$AU$5:AU1200,'История отказов'!AU1200)=1),1196,""))</f>
        <v/>
      </c>
      <c r="DK1197">
        <f>IF('История отказов'!AY1200="","",IF(AND(COUNTIF($CR$2:$CR$2,'История отказов'!AY1200)=0,COUNTIF('История отказов'!$AY$5:AY1200,'История отказов'!AY1200)=1),1196,""))</f>
        <v/>
      </c>
      <c r="DL1197">
        <f>IF(DB1197="","",IF(AND(COUNTIF($DA$2:$DA$47,DB1197)=0,COUNTIF($DB$2:DB1197,DB1197)=1),1196,""))</f>
        <v/>
      </c>
    </row>
    <row r="1198">
      <c r="DB1198">
        <f>IF('История отказов'!AH1201="","",'История отказов'!AH1201)</f>
        <v/>
      </c>
      <c r="DC1198">
        <f>IF('История отказов'!AE1201="","",IF(AND(COUNTIF($CT$2:$CT$2,'История отказов'!AE1201)=0,COUNTIFS('История отказов'!$F$5:F1201,"ШГН",'История отказов'!$AE$5:AE1201,'История отказов'!AE1201)=1,'История отказов'!F1201="ШГН"),1197,""))</f>
        <v/>
      </c>
      <c r="DD1198">
        <f>IF('История отказов'!AE1201="","",IF(AND(COUNTIF($CU$2:$CU$3,'История отказов'!AE1201)=0,COUNTIFS('История отказов'!$F$5:F1201,"ЭЦН",'История отказов'!$AE$5:AE1201,'История отказов'!AE1201)=1,'История отказов'!F1201="ЭЦН"),1197,""))</f>
        <v/>
      </c>
      <c r="DE1198">
        <f>IF('История отказов'!AE1201="","",IF(AND(COUNTIF($CV$2:$CV$3,'История отказов'!AE1201)=0,COUNTIFS('История отказов'!$F$5:F1201,"ЭВН",'История отказов'!$AE$5:AE1201,'История отказов'!AE1201)=1,'История отказов'!F1201="ЭВН"),1197,""))</f>
        <v/>
      </c>
      <c r="DF1198">
        <f>IF('История отказов'!AE1201="","",IF(AND(COUNTIF($CX$2:$CX$2,'История отказов'!AE1201)=0,COUNTIFS('История отказов'!$F$5:F1201,"ШВН",'История отказов'!$AE$5:AE1201,'История отказов'!AE1201)=1,'История отказов'!F1201="ШВН"),1197,""))</f>
        <v/>
      </c>
      <c r="DG1198">
        <f>IF('История отказов'!AE1201="","",IF(AND(COUNTIF($CW$2:$CW$2,'История отказов'!AE1201)=0,COUNTIFS('История отказов'!$F$5:F1201,"НПУ-ВД",'История отказов'!$AE$5:AE1201,'История отказов'!AE1201)=1,'История отказов'!F1201="НПУ-ВД"),1197,""))</f>
        <v/>
      </c>
      <c r="DH1198">
        <f>IF('История отказов'!AE1201="","",IF(AND(COUNTIF($CY$2:$CY$6,'История отказов'!AE1201)=0,COUNTIF('История отказов'!$AE$5:AE1201,'История отказов'!AE1201)=1),1197,""))</f>
        <v/>
      </c>
      <c r="DI1198">
        <f>IF('История отказов'!AK1201="","",IF(AND(COUNTIF($CL$2:$CL$3,'История отказов'!AK1201)=0,COUNTIF('История отказов'!$AK$5:AK1201,'История отказов'!AK1201)=1),1197,""))</f>
        <v/>
      </c>
      <c r="DJ1198">
        <f>IF('История отказов'!AU1201="","",IF(AND(COUNTIF($CP$2:$CP$3,'История отказов'!AU1201)=0,COUNTIF('История отказов'!$AU$5:AU1201,'История отказов'!AU1201)=1),1197,""))</f>
        <v/>
      </c>
      <c r="DK1198">
        <f>IF('История отказов'!AY1201="","",IF(AND(COUNTIF($CR$2:$CR$2,'История отказов'!AY1201)=0,COUNTIF('История отказов'!$AY$5:AY1201,'История отказов'!AY1201)=1),1197,""))</f>
        <v/>
      </c>
      <c r="DL1198">
        <f>IF(DB1198="","",IF(AND(COUNTIF($DA$2:$DA$47,DB1198)=0,COUNTIF($DB$2:DB1198,DB1198)=1),1197,""))</f>
        <v/>
      </c>
    </row>
    <row r="1199">
      <c r="A1199" s="33" t="n"/>
      <c r="B1199" s="35" t="n"/>
      <c r="DB1199">
        <f>IF('История отказов'!AH1202="","",'История отказов'!AH1202)</f>
        <v/>
      </c>
      <c r="DC1199">
        <f>IF('История отказов'!AE1202="","",IF(AND(COUNTIF($CT$2:$CT$2,'История отказов'!AE1202)=0,COUNTIFS('История отказов'!$F$5:F1202,"ШГН",'История отказов'!$AE$5:AE1202,'История отказов'!AE1202)=1,'История отказов'!F1202="ШГН"),1198,""))</f>
        <v/>
      </c>
      <c r="DD1199">
        <f>IF('История отказов'!AE1202="","",IF(AND(COUNTIF($CU$2:$CU$3,'История отказов'!AE1202)=0,COUNTIFS('История отказов'!$F$5:F1202,"ЭЦН",'История отказов'!$AE$5:AE1202,'История отказов'!AE1202)=1,'История отказов'!F1202="ЭЦН"),1198,""))</f>
        <v/>
      </c>
      <c r="DE1199">
        <f>IF('История отказов'!AE1202="","",IF(AND(COUNTIF($CV$2:$CV$3,'История отказов'!AE1202)=0,COUNTIFS('История отказов'!$F$5:F1202,"ЭВН",'История отказов'!$AE$5:AE1202,'История отказов'!AE1202)=1,'История отказов'!F1202="ЭВН"),1198,""))</f>
        <v/>
      </c>
      <c r="DF1199">
        <f>IF('История отказов'!AE1202="","",IF(AND(COUNTIF($CX$2:$CX$2,'История отказов'!AE1202)=0,COUNTIFS('История отказов'!$F$5:F1202,"ШВН",'История отказов'!$AE$5:AE1202,'История отказов'!AE1202)=1,'История отказов'!F1202="ШВН"),1198,""))</f>
        <v/>
      </c>
      <c r="DG1199">
        <f>IF('История отказов'!AE1202="","",IF(AND(COUNTIF($CW$2:$CW$2,'История отказов'!AE1202)=0,COUNTIFS('История отказов'!$F$5:F1202,"НПУ-ВД",'История отказов'!$AE$5:AE1202,'История отказов'!AE1202)=1,'История отказов'!F1202="НПУ-ВД"),1198,""))</f>
        <v/>
      </c>
      <c r="DH1199">
        <f>IF('История отказов'!AE1202="","",IF(AND(COUNTIF($CY$2:$CY$6,'История отказов'!AE1202)=0,COUNTIF('История отказов'!$AE$5:AE1202,'История отказов'!AE1202)=1),1198,""))</f>
        <v/>
      </c>
      <c r="DI1199">
        <f>IF('История отказов'!AK1202="","",IF(AND(COUNTIF($CL$2:$CL$3,'История отказов'!AK1202)=0,COUNTIF('История отказов'!$AK$5:AK1202,'История отказов'!AK1202)=1),1198,""))</f>
        <v/>
      </c>
      <c r="DJ1199">
        <f>IF('История отказов'!AU1202="","",IF(AND(COUNTIF($CP$2:$CP$3,'История отказов'!AU1202)=0,COUNTIF('История отказов'!$AU$5:AU1202,'История отказов'!AU1202)=1),1198,""))</f>
        <v/>
      </c>
      <c r="DK1199">
        <f>IF('История отказов'!AY1202="","",IF(AND(COUNTIF($CR$2:$CR$2,'История отказов'!AY1202)=0,COUNTIF('История отказов'!$AY$5:AY1202,'История отказов'!AY1202)=1),1198,""))</f>
        <v/>
      </c>
      <c r="DL1199">
        <f>IF(DB1199="","",IF(AND(COUNTIF($DA$2:$DA$47,DB1199)=0,COUNTIF($DB$2:DB1199,DB1199)=1),1198,""))</f>
        <v/>
      </c>
    </row>
    <row r="1200">
      <c r="A1200" s="48" t="n"/>
      <c r="B1200" s="50" t="n"/>
      <c r="DB1200">
        <f>IF('История отказов'!AH1203="","",'История отказов'!AH1203)</f>
        <v/>
      </c>
      <c r="DC1200">
        <f>IF('История отказов'!AE1203="","",IF(AND(COUNTIF($CT$2:$CT$2,'История отказов'!AE1203)=0,COUNTIFS('История отказов'!$F$5:F1203,"ШГН",'История отказов'!$AE$5:AE1203,'История отказов'!AE1203)=1,'История отказов'!F1203="ШГН"),1199,""))</f>
        <v/>
      </c>
      <c r="DD1200">
        <f>IF('История отказов'!AE1203="","",IF(AND(COUNTIF($CU$2:$CU$3,'История отказов'!AE1203)=0,COUNTIFS('История отказов'!$F$5:F1203,"ЭЦН",'История отказов'!$AE$5:AE1203,'История отказов'!AE1203)=1,'История отказов'!F1203="ЭЦН"),1199,""))</f>
        <v/>
      </c>
      <c r="DE1200">
        <f>IF('История отказов'!AE1203="","",IF(AND(COUNTIF($CV$2:$CV$3,'История отказов'!AE1203)=0,COUNTIFS('История отказов'!$F$5:F1203,"ЭВН",'История отказов'!$AE$5:AE1203,'История отказов'!AE1203)=1,'История отказов'!F1203="ЭВН"),1199,""))</f>
        <v/>
      </c>
      <c r="DF1200">
        <f>IF('История отказов'!AE1203="","",IF(AND(COUNTIF($CX$2:$CX$2,'История отказов'!AE1203)=0,COUNTIFS('История отказов'!$F$5:F1203,"ШВН",'История отказов'!$AE$5:AE1203,'История отказов'!AE1203)=1,'История отказов'!F1203="ШВН"),1199,""))</f>
        <v/>
      </c>
      <c r="DG1200">
        <f>IF('История отказов'!AE1203="","",IF(AND(COUNTIF($CW$2:$CW$2,'История отказов'!AE1203)=0,COUNTIFS('История отказов'!$F$5:F1203,"НПУ-ВД",'История отказов'!$AE$5:AE1203,'История отказов'!AE1203)=1,'История отказов'!F1203="НПУ-ВД"),1199,""))</f>
        <v/>
      </c>
      <c r="DH1200">
        <f>IF('История отказов'!AE1203="","",IF(AND(COUNTIF($CY$2:$CY$6,'История отказов'!AE1203)=0,COUNTIF('История отказов'!$AE$5:AE1203,'История отказов'!AE1203)=1),1199,""))</f>
        <v/>
      </c>
      <c r="DI1200">
        <f>IF('История отказов'!AK1203="","",IF(AND(COUNTIF($CL$2:$CL$3,'История отказов'!AK1203)=0,COUNTIF('История отказов'!$AK$5:AK1203,'История отказов'!AK1203)=1),1199,""))</f>
        <v/>
      </c>
      <c r="DJ1200">
        <f>IF('История отказов'!AU1203="","",IF(AND(COUNTIF($CP$2:$CP$3,'История отказов'!AU1203)=0,COUNTIF('История отказов'!$AU$5:AU1203,'История отказов'!AU1203)=1),1199,""))</f>
        <v/>
      </c>
      <c r="DK1200">
        <f>IF('История отказов'!AY1203="","",IF(AND(COUNTIF($CR$2:$CR$2,'История отказов'!AY1203)=0,COUNTIF('История отказов'!$AY$5:AY1203,'История отказов'!AY1203)=1),1199,""))</f>
        <v/>
      </c>
      <c r="DL1200">
        <f>IF(DB1200="","",IF(AND(COUNTIF($DA$2:$DA$47,DB1200)=0,COUNTIF($DB$2:DB1200,DB1200)=1),1199,""))</f>
        <v/>
      </c>
    </row>
    <row r="1201">
      <c r="A1201" s="71" t="n"/>
      <c r="B1201" s="73" t="n"/>
      <c r="DB1201">
        <f>IF('История отказов'!AH1204="","",'История отказов'!AH1204)</f>
        <v/>
      </c>
      <c r="DC1201">
        <f>IF('История отказов'!AE1204="","",IF(AND(COUNTIF($CT$2:$CT$2,'История отказов'!AE1204)=0,COUNTIFS('История отказов'!$F$5:F1204,"ШГН",'История отказов'!$AE$5:AE1204,'История отказов'!AE1204)=1,'История отказов'!F1204="ШГН"),1200,""))</f>
        <v/>
      </c>
      <c r="DD1201">
        <f>IF('История отказов'!AE1204="","",IF(AND(COUNTIF($CU$2:$CU$3,'История отказов'!AE1204)=0,COUNTIFS('История отказов'!$F$5:F1204,"ЭЦН",'История отказов'!$AE$5:AE1204,'История отказов'!AE1204)=1,'История отказов'!F1204="ЭЦН"),1200,""))</f>
        <v/>
      </c>
      <c r="DE1201">
        <f>IF('История отказов'!AE1204="","",IF(AND(COUNTIF($CV$2:$CV$3,'История отказов'!AE1204)=0,COUNTIFS('История отказов'!$F$5:F1204,"ЭВН",'История отказов'!$AE$5:AE1204,'История отказов'!AE1204)=1,'История отказов'!F1204="ЭВН"),1200,""))</f>
        <v/>
      </c>
      <c r="DF1201">
        <f>IF('История отказов'!AE1204="","",IF(AND(COUNTIF($CX$2:$CX$2,'История отказов'!AE1204)=0,COUNTIFS('История отказов'!$F$5:F1204,"ШВН",'История отказов'!$AE$5:AE1204,'История отказов'!AE1204)=1,'История отказов'!F1204="ШВН"),1200,""))</f>
        <v/>
      </c>
      <c r="DG1201">
        <f>IF('История отказов'!AE1204="","",IF(AND(COUNTIF($CW$2:$CW$2,'История отказов'!AE1204)=0,COUNTIFS('История отказов'!$F$5:F1204,"НПУ-ВД",'История отказов'!$AE$5:AE1204,'История отказов'!AE1204)=1,'История отказов'!F1204="НПУ-ВД"),1200,""))</f>
        <v/>
      </c>
      <c r="DH1201">
        <f>IF('История отказов'!AE1204="","",IF(AND(COUNTIF($CY$2:$CY$6,'История отказов'!AE1204)=0,COUNTIF('История отказов'!$AE$5:AE1204,'История отказов'!AE1204)=1),1200,""))</f>
        <v/>
      </c>
      <c r="DI1201">
        <f>IF('История отказов'!AK1204="","",IF(AND(COUNTIF($CL$2:$CL$3,'История отказов'!AK1204)=0,COUNTIF('История отказов'!$AK$5:AK1204,'История отказов'!AK1204)=1),1200,""))</f>
        <v/>
      </c>
      <c r="DJ1201">
        <f>IF('История отказов'!AU1204="","",IF(AND(COUNTIF($CP$2:$CP$3,'История отказов'!AU1204)=0,COUNTIF('История отказов'!$AU$5:AU1204,'История отказов'!AU1204)=1),1200,""))</f>
        <v/>
      </c>
      <c r="DK1201">
        <f>IF('История отказов'!AY1204="","",IF(AND(COUNTIF($CR$2:$CR$2,'История отказов'!AY1204)=0,COUNTIF('История отказов'!$AY$5:AY1204,'История отказов'!AY1204)=1),1200,""))</f>
        <v/>
      </c>
      <c r="DL1201">
        <f>IF(DB1201="","",IF(AND(COUNTIF($DA$2:$DA$47,DB1201)=0,COUNTIF($DB$2:DB1201,DB1201)=1),1200,""))</f>
        <v/>
      </c>
    </row>
    <row r="1202">
      <c r="A1202" s="74" t="n"/>
      <c r="B1202" s="76" t="n"/>
      <c r="DB1202">
        <f>IF('История отказов'!AM5="","",'История отказов'!AM5)</f>
        <v/>
      </c>
      <c r="DL1202">
        <f>IF(DB1202="","",IF(AND(COUNTIF($DA$2:$DA$47,DB1202)=0,COUNTIF($DB$2:DB1202,DB1202)=1),1201,""))</f>
        <v/>
      </c>
    </row>
    <row r="1203">
      <c r="A1203" s="74" t="n"/>
      <c r="B1203" s="76" t="n"/>
      <c r="DB1203">
        <f>IF('История отказов'!AM6="","",'История отказов'!AM6)</f>
        <v/>
      </c>
      <c r="DL1203">
        <f>IF(DB1203="","",IF(AND(COUNTIF($DA$2:$DA$47,DB1203)=0,COUNTIF($DB$2:DB1203,DB1203)=1),1202,""))</f>
        <v/>
      </c>
    </row>
    <row r="1204">
      <c r="A1204" s="74" t="n"/>
      <c r="B1204" s="76" t="n"/>
      <c r="DB1204">
        <f>IF('История отказов'!AM7="","",'История отказов'!AM7)</f>
        <v/>
      </c>
      <c r="DL1204">
        <f>IF(DB1204="","",IF(AND(COUNTIF($DA$2:$DA$47,DB1204)=0,COUNTIF($DB$2:DB1204,DB1204)=1),1203,""))</f>
        <v/>
      </c>
    </row>
    <row r="1205">
      <c r="A1205" s="74" t="n"/>
      <c r="B1205" s="76" t="n"/>
      <c r="DB1205">
        <f>IF('История отказов'!AM8="","",'История отказов'!AM8)</f>
        <v/>
      </c>
      <c r="DL1205">
        <f>IF(DB1205="","",IF(AND(COUNTIF($DA$2:$DA$47,DB1205)=0,COUNTIF($DB$2:DB1205,DB1205)=1),1204,""))</f>
        <v/>
      </c>
    </row>
    <row r="1206">
      <c r="A1206" s="74" t="n"/>
      <c r="B1206" s="76" t="n"/>
      <c r="DB1206">
        <f>IF('История отказов'!AM9="","",'История отказов'!AM9)</f>
        <v/>
      </c>
      <c r="DL1206">
        <f>IF(DB1206="","",IF(AND(COUNTIF($DA$2:$DA$47,DB1206)=0,COUNTIF($DB$2:DB1206,DB1206)=1),1205,""))</f>
        <v/>
      </c>
    </row>
    <row r="1207">
      <c r="A1207" s="74" t="n"/>
      <c r="B1207" s="76" t="n"/>
      <c r="DB1207">
        <f>IF('История отказов'!AM10="","",'История отказов'!AM10)</f>
        <v/>
      </c>
      <c r="DL1207">
        <f>IF(DB1207="","",IF(AND(COUNTIF($DA$2:$DA$47,DB1207)=0,COUNTIF($DB$2:DB1207,DB1207)=1),1206,""))</f>
        <v/>
      </c>
    </row>
    <row r="1208">
      <c r="A1208" s="74" t="n"/>
      <c r="B1208" s="76" t="n"/>
      <c r="DB1208">
        <f>IF('История отказов'!AM11="","",'История отказов'!AM11)</f>
        <v/>
      </c>
      <c r="DL1208">
        <f>IF(DB1208="","",IF(AND(COUNTIF($DA$2:$DA$47,DB1208)=0,COUNTIF($DB$2:DB1208,DB1208)=1),1207,""))</f>
        <v/>
      </c>
    </row>
    <row r="1209">
      <c r="A1209" s="74" t="n"/>
      <c r="B1209" s="76" t="n"/>
      <c r="DB1209">
        <f>IF('История отказов'!AM12="","",'История отказов'!AM12)</f>
        <v/>
      </c>
      <c r="DL1209">
        <f>IF(DB1209="","",IF(AND(COUNTIF($DA$2:$DA$47,DB1209)=0,COUNTIF($DB$2:DB1209,DB1209)=1),1208,""))</f>
        <v/>
      </c>
    </row>
    <row r="1210">
      <c r="A1210" s="74" t="n"/>
      <c r="B1210" s="76" t="n"/>
      <c r="DB1210">
        <f>IF('История отказов'!AM13="","",'История отказов'!AM13)</f>
        <v/>
      </c>
      <c r="DL1210">
        <f>IF(DB1210="","",IF(AND(COUNTIF($DA$2:$DA$47,DB1210)=0,COUNTIF($DB$2:DB1210,DB1210)=1),1209,""))</f>
        <v/>
      </c>
    </row>
    <row r="1211">
      <c r="A1211" s="74" t="n"/>
      <c r="B1211" s="76" t="n"/>
      <c r="DB1211">
        <f>IF('История отказов'!AM14="","",'История отказов'!AM14)</f>
        <v/>
      </c>
      <c r="DL1211">
        <f>IF(DB1211="","",IF(AND(COUNTIF($DA$2:$DA$47,DB1211)=0,COUNTIF($DB$2:DB1211,DB1211)=1),1210,""))</f>
        <v/>
      </c>
    </row>
    <row r="1212">
      <c r="A1212" s="74" t="n"/>
      <c r="B1212" s="76" t="n"/>
      <c r="DB1212">
        <f>IF('История отказов'!AM15="","",'История отказов'!AM15)</f>
        <v/>
      </c>
      <c r="DL1212">
        <f>IF(DB1212="","",IF(AND(COUNTIF($DA$2:$DA$47,DB1212)=0,COUNTIF($DB$2:DB1212,DB1212)=1),1211,""))</f>
        <v/>
      </c>
    </row>
    <row r="1213">
      <c r="A1213" s="74" t="n"/>
      <c r="B1213" s="76" t="n"/>
      <c r="DB1213">
        <f>IF('История отказов'!AM16="","",'История отказов'!AM16)</f>
        <v/>
      </c>
      <c r="DL1213">
        <f>IF(DB1213="","",IF(AND(COUNTIF($DA$2:$DA$47,DB1213)=0,COUNTIF($DB$2:DB1213,DB1213)=1),1212,""))</f>
        <v/>
      </c>
    </row>
    <row r="1214">
      <c r="A1214" s="74" t="n"/>
      <c r="B1214" s="76" t="n"/>
      <c r="DB1214">
        <f>IF('История отказов'!AM17="","",'История отказов'!AM17)</f>
        <v/>
      </c>
      <c r="DL1214">
        <f>IF(DB1214="","",IF(AND(COUNTIF($DA$2:$DA$47,DB1214)=0,COUNTIF($DB$2:DB1214,DB1214)=1),1213,""))</f>
        <v/>
      </c>
    </row>
    <row r="1215">
      <c r="A1215" s="74" t="n"/>
      <c r="B1215" s="76" t="n"/>
      <c r="DB1215">
        <f>IF('История отказов'!AM18="","",'История отказов'!AM18)</f>
        <v/>
      </c>
      <c r="DL1215">
        <f>IF(DB1215="","",IF(AND(COUNTIF($DA$2:$DA$47,DB1215)=0,COUNTIF($DB$2:DB1215,DB1215)=1),1214,""))</f>
        <v/>
      </c>
    </row>
    <row r="1216">
      <c r="A1216" s="74" t="n"/>
      <c r="B1216" s="76" t="n"/>
      <c r="DB1216">
        <f>IF('История отказов'!AM19="","",'История отказов'!AM19)</f>
        <v/>
      </c>
      <c r="DL1216">
        <f>IF(DB1216="","",IF(AND(COUNTIF($DA$2:$DA$47,DB1216)=0,COUNTIF($DB$2:DB1216,DB1216)=1),1215,""))</f>
        <v/>
      </c>
    </row>
    <row r="1217">
      <c r="A1217" s="74" t="n"/>
      <c r="B1217" s="76" t="n"/>
      <c r="DB1217">
        <f>IF('История отказов'!AM20="","",'История отказов'!AM20)</f>
        <v/>
      </c>
      <c r="DL1217">
        <f>IF(DB1217="","",IF(AND(COUNTIF($DA$2:$DA$47,DB1217)=0,COUNTIF($DB$2:DB1217,DB1217)=1),1216,""))</f>
        <v/>
      </c>
    </row>
    <row r="1218">
      <c r="A1218" s="74" t="n"/>
      <c r="B1218" s="76" t="n"/>
      <c r="DB1218">
        <f>IF('История отказов'!AM21="","",'История отказов'!AM21)</f>
        <v/>
      </c>
      <c r="DL1218">
        <f>IF(DB1218="","",IF(AND(COUNTIF($DA$2:$DA$47,DB1218)=0,COUNTIF($DB$2:DB1218,DB1218)=1),1217,""))</f>
        <v/>
      </c>
    </row>
    <row r="1219">
      <c r="A1219" s="74" t="n"/>
      <c r="B1219" s="76" t="n"/>
      <c r="DB1219">
        <f>IF('История отказов'!AM22="","",'История отказов'!AM22)</f>
        <v/>
      </c>
      <c r="DL1219">
        <f>IF(DB1219="","",IF(AND(COUNTIF($DA$2:$DA$47,DB1219)=0,COUNTIF($DB$2:DB1219,DB1219)=1),1218,""))</f>
        <v/>
      </c>
    </row>
    <row r="1220">
      <c r="A1220" s="74" t="n"/>
      <c r="B1220" s="76" t="n"/>
      <c r="DB1220">
        <f>IF('История отказов'!AM23="","",'История отказов'!AM23)</f>
        <v/>
      </c>
      <c r="DL1220">
        <f>IF(DB1220="","",IF(AND(COUNTIF($DA$2:$DA$47,DB1220)=0,COUNTIF($DB$2:DB1220,DB1220)=1),1219,""))</f>
        <v/>
      </c>
    </row>
    <row r="1221">
      <c r="A1221" s="74" t="n"/>
      <c r="B1221" s="76" t="n"/>
      <c r="DB1221">
        <f>IF('История отказов'!AM24="","",'История отказов'!AM24)</f>
        <v/>
      </c>
      <c r="DL1221">
        <f>IF(DB1221="","",IF(AND(COUNTIF($DA$2:$DA$47,DB1221)=0,COUNTIF($DB$2:DB1221,DB1221)=1),1220,""))</f>
        <v/>
      </c>
    </row>
    <row r="1222">
      <c r="A1222" s="74" t="n"/>
      <c r="B1222" s="76" t="n"/>
      <c r="DB1222">
        <f>IF('История отказов'!AM25="","",'История отказов'!AM25)</f>
        <v/>
      </c>
      <c r="DL1222">
        <f>IF(DB1222="","",IF(AND(COUNTIF($DA$2:$DA$47,DB1222)=0,COUNTIF($DB$2:DB1222,DB1222)=1),1221,""))</f>
        <v/>
      </c>
    </row>
    <row r="1223">
      <c r="A1223" s="74" t="n"/>
      <c r="B1223" s="76" t="n"/>
      <c r="DB1223">
        <f>IF('История отказов'!AM26="","",'История отказов'!AM26)</f>
        <v/>
      </c>
      <c r="DL1223">
        <f>IF(DB1223="","",IF(AND(COUNTIF($DA$2:$DA$47,DB1223)=0,COUNTIF($DB$2:DB1223,DB1223)=1),1222,""))</f>
        <v/>
      </c>
    </row>
    <row r="1224">
      <c r="A1224" s="74" t="n"/>
      <c r="B1224" s="76" t="n"/>
      <c r="DB1224">
        <f>IF('История отказов'!AM27="","",'История отказов'!AM27)</f>
        <v/>
      </c>
      <c r="DL1224">
        <f>IF(DB1224="","",IF(AND(COUNTIF($DA$2:$DA$47,DB1224)=0,COUNTIF($DB$2:DB1224,DB1224)=1),1223,""))</f>
        <v/>
      </c>
    </row>
    <row r="1225">
      <c r="A1225" s="74" t="n"/>
      <c r="B1225" s="76" t="n"/>
      <c r="DB1225">
        <f>IF('История отказов'!AM28="","",'История отказов'!AM28)</f>
        <v/>
      </c>
      <c r="DL1225">
        <f>IF(DB1225="","",IF(AND(COUNTIF($DA$2:$DA$47,DB1225)=0,COUNTIF($DB$2:DB1225,DB1225)=1),1224,""))</f>
        <v/>
      </c>
    </row>
    <row r="1226">
      <c r="A1226" s="74" t="n"/>
      <c r="B1226" s="76" t="n"/>
      <c r="DB1226">
        <f>IF('История отказов'!AM29="","",'История отказов'!AM29)</f>
        <v/>
      </c>
      <c r="DL1226">
        <f>IF(DB1226="","",IF(AND(COUNTIF($DA$2:$DA$47,DB1226)=0,COUNTIF($DB$2:DB1226,DB1226)=1),1225,""))</f>
        <v/>
      </c>
    </row>
    <row r="1227">
      <c r="A1227" s="74" t="n"/>
      <c r="B1227" s="76" t="n"/>
      <c r="DB1227">
        <f>IF('История отказов'!AM30="","",'История отказов'!AM30)</f>
        <v/>
      </c>
      <c r="DL1227">
        <f>IF(DB1227="","",IF(AND(COUNTIF($DA$2:$DA$47,DB1227)=0,COUNTIF($DB$2:DB1227,DB1227)=1),1226,""))</f>
        <v/>
      </c>
    </row>
    <row r="1228">
      <c r="A1228" s="77" t="n"/>
      <c r="B1228" s="79" t="n"/>
      <c r="DB1228">
        <f>IF('История отказов'!AM31="","",'История отказов'!AM31)</f>
        <v/>
      </c>
      <c r="DL1228">
        <f>IF(DB1228="","",IF(AND(COUNTIF($DA$2:$DA$47,DB1228)=0,COUNTIF($DB$2:DB1228,DB1228)=1),1227,""))</f>
        <v/>
      </c>
    </row>
    <row r="1229">
      <c r="DB1229">
        <f>IF('История отказов'!AM32="","",'История отказов'!AM32)</f>
        <v/>
      </c>
      <c r="DL1229">
        <f>IF(DB1229="","",IF(AND(COUNTIF($DA$2:$DA$47,DB1229)=0,COUNTIF($DB$2:DB1229,DB1229)=1),1228,""))</f>
        <v/>
      </c>
    </row>
    <row r="1230">
      <c r="DB1230">
        <f>IF('История отказов'!AM33="","",'История отказов'!AM33)</f>
        <v/>
      </c>
      <c r="DL1230">
        <f>IF(DB1230="","",IF(AND(COUNTIF($DA$2:$DA$47,DB1230)=0,COUNTIF($DB$2:DB1230,DB1230)=1),1229,""))</f>
        <v/>
      </c>
    </row>
    <row r="1231">
      <c r="A1231" s="274" t="inlineStr">
        <is>
          <t>АВТОМАТИЧЕСКОЕ ПОПОЛНЕНИЕ СПРАВОЧНИКА</t>
        </is>
      </c>
      <c r="DB1231">
        <f>IF('История отказов'!AM34="","",'История отказов'!AM34)</f>
        <v/>
      </c>
      <c r="DL1231">
        <f>IF(DB1231="","",IF(AND(COUNTIF($DA$2:$DA$47,DB1231)=0,COUNTIF($DB$2:DB1231,DB1231)=1),1230,""))</f>
        <v/>
      </c>
    </row>
    <row r="1232" ht="30" customHeight="1" s="210">
      <c r="A1232" s="275" t="inlineStr">
        <is>
          <t>Новый производитель или год, введённый в «Истории отказов», появляется в соответствующем выпадающем списке после пересчёта книги. Поля допускают ручной ввод; повторения не добавляются.</t>
        </is>
      </c>
      <c r="B1232" s="1" t="n"/>
      <c r="C1232" s="1" t="n"/>
      <c r="D1232" s="1" t="n"/>
      <c r="E1232" s="1" t="n"/>
      <c r="F1232" s="1" t="n"/>
      <c r="G1232" s="1" t="n"/>
      <c r="H1232" s="1" t="n"/>
      <c r="I1232" s="1" t="n"/>
      <c r="J1232" s="1" t="n"/>
      <c r="K1232" s="1" t="n"/>
      <c r="L1232" s="1" t="n"/>
      <c r="M1232" s="1" t="n"/>
      <c r="N1232" s="1" t="n"/>
      <c r="O1232" s="1" t="n"/>
      <c r="DB1232">
        <f>IF('История отказов'!AM35="","",'История отказов'!AM35)</f>
        <v/>
      </c>
      <c r="DL1232">
        <f>IF(DB1232="","",IF(AND(COUNTIF($DA$2:$DA$47,DB1232)=0,COUNTIF($DB$2:DB1232,DB1232)=1),1231,""))</f>
        <v/>
      </c>
    </row>
    <row r="1233">
      <c r="DB1233">
        <f>IF('История отказов'!AM36="","",'История отказов'!AM36)</f>
        <v/>
      </c>
      <c r="DL1233">
        <f>IF(DB1233="","",IF(AND(COUNTIF($DA$2:$DA$47,DB1233)=0,COUNTIF($DB$2:DB1233,DB1233)=1),1232,""))</f>
        <v/>
      </c>
    </row>
    <row r="1234">
      <c r="A1234" s="276" t="inlineStr">
        <is>
          <t>Насос ШГН</t>
        </is>
      </c>
      <c r="B1234" s="276" t="inlineStr">
        <is>
          <t>Насос ЭЦН</t>
        </is>
      </c>
      <c r="C1234" s="276" t="inlineStr">
        <is>
          <t>Насос ЭВН</t>
        </is>
      </c>
      <c r="D1234" s="276" t="inlineStr">
        <is>
          <t>Насос ШВН</t>
        </is>
      </c>
      <c r="E1234" s="276" t="inlineStr">
        <is>
          <t>Насос НПУ-ВД</t>
        </is>
      </c>
      <c r="F1234" s="276" t="inlineStr">
        <is>
          <t>Насос — все</t>
        </is>
      </c>
      <c r="G1234" s="276" t="inlineStr">
        <is>
          <t>Двигатель</t>
        </is>
      </c>
      <c r="H1234" s="276" t="inlineStr">
        <is>
          <t>Гидрозащита</t>
        </is>
      </c>
      <c r="I1234" s="276" t="inlineStr">
        <is>
          <t>ТМС</t>
        </is>
      </c>
      <c r="J1234" s="276" t="inlineStr">
        <is>
          <t>Год — новые</t>
        </is>
      </c>
      <c r="DB1234">
        <f>IF('История отказов'!AM37="","",'История отказов'!AM37)</f>
        <v/>
      </c>
      <c r="DL1234">
        <f>IF(DB1234="","",IF(AND(COUNTIF($DA$2:$DA$47,DB1234)=0,COUNTIF($DB$2:DB1234,DB1234)=1),1233,""))</f>
        <v/>
      </c>
    </row>
    <row r="1235">
      <c r="A1235">
        <f>IF(CT3="","",CT3)</f>
        <v/>
      </c>
      <c r="B1235">
        <f>IF(CU4="","",CU4)</f>
        <v/>
      </c>
      <c r="C1235">
        <f>IF(CV4="","",CV4)</f>
        <v/>
      </c>
      <c r="D1235">
        <f>IF(CX3="","",CX3)</f>
        <v/>
      </c>
      <c r="E1235">
        <f>IF(CW3="","",CW3)</f>
        <v/>
      </c>
      <c r="F1235">
        <f>IF(CY7="","",CY7)</f>
        <v/>
      </c>
      <c r="G1235">
        <f>IF(CL4="","",CL4)</f>
        <v/>
      </c>
      <c r="H1235">
        <f>IF(CP4="","",CP4)</f>
        <v/>
      </c>
      <c r="I1235">
        <f>IF(CR3="","",CR3)</f>
        <v/>
      </c>
      <c r="J1235">
        <f>IF(DA48="","",DA48)</f>
        <v/>
      </c>
      <c r="DB1235">
        <f>IF('История отказов'!AM38="","",'История отказов'!AM38)</f>
        <v/>
      </c>
      <c r="DL1235">
        <f>IF(DB1235="","",IF(AND(COUNTIF($DA$2:$DA$47,DB1235)=0,COUNTIF($DB$2:DB1235,DB1235)=1),1234,""))</f>
        <v/>
      </c>
    </row>
    <row r="1236">
      <c r="A1236">
        <f>IF(CT4="","",CT4)</f>
        <v/>
      </c>
      <c r="B1236">
        <f>IF(CU5="","",CU5)</f>
        <v/>
      </c>
      <c r="C1236">
        <f>IF(CV5="","",CV5)</f>
        <v/>
      </c>
      <c r="D1236">
        <f>IF(CX4="","",CX4)</f>
        <v/>
      </c>
      <c r="E1236">
        <f>IF(CW4="","",CW4)</f>
        <v/>
      </c>
      <c r="F1236">
        <f>IF(CY8="","",CY8)</f>
        <v/>
      </c>
      <c r="G1236">
        <f>IF(CL5="","",CL5)</f>
        <v/>
      </c>
      <c r="H1236">
        <f>IF(CP5="","",CP5)</f>
        <v/>
      </c>
      <c r="I1236">
        <f>IF(CR4="","",CR4)</f>
        <v/>
      </c>
      <c r="J1236">
        <f>IF(DA49="","",DA49)</f>
        <v/>
      </c>
      <c r="DB1236">
        <f>IF('История отказов'!AM39="","",'История отказов'!AM39)</f>
        <v/>
      </c>
      <c r="DL1236">
        <f>IF(DB1236="","",IF(AND(COUNTIF($DA$2:$DA$47,DB1236)=0,COUNTIF($DB$2:DB1236,DB1236)=1),1235,""))</f>
        <v/>
      </c>
    </row>
    <row r="1237">
      <c r="A1237">
        <f>IF(CT5="","",CT5)</f>
        <v/>
      </c>
      <c r="B1237">
        <f>IF(CU6="","",CU6)</f>
        <v/>
      </c>
      <c r="C1237">
        <f>IF(CV6="","",CV6)</f>
        <v/>
      </c>
      <c r="D1237">
        <f>IF(CX5="","",CX5)</f>
        <v/>
      </c>
      <c r="E1237">
        <f>IF(CW5="","",CW5)</f>
        <v/>
      </c>
      <c r="F1237">
        <f>IF(CY9="","",CY9)</f>
        <v/>
      </c>
      <c r="G1237">
        <f>IF(CL6="","",CL6)</f>
        <v/>
      </c>
      <c r="H1237">
        <f>IF(CP6="","",CP6)</f>
        <v/>
      </c>
      <c r="I1237">
        <f>IF(CR5="","",CR5)</f>
        <v/>
      </c>
      <c r="J1237">
        <f>IF(DA50="","",DA50)</f>
        <v/>
      </c>
      <c r="DB1237">
        <f>IF('История отказов'!AM40="","",'История отказов'!AM40)</f>
        <v/>
      </c>
      <c r="DL1237">
        <f>IF(DB1237="","",IF(AND(COUNTIF($DA$2:$DA$47,DB1237)=0,COUNTIF($DB$2:DB1237,DB1237)=1),1236,""))</f>
        <v/>
      </c>
    </row>
    <row r="1238">
      <c r="A1238">
        <f>IF(CT6="","",CT6)</f>
        <v/>
      </c>
      <c r="B1238">
        <f>IF(CU7="","",CU7)</f>
        <v/>
      </c>
      <c r="C1238">
        <f>IF(CV7="","",CV7)</f>
        <v/>
      </c>
      <c r="D1238">
        <f>IF(CX6="","",CX6)</f>
        <v/>
      </c>
      <c r="E1238">
        <f>IF(CW6="","",CW6)</f>
        <v/>
      </c>
      <c r="F1238">
        <f>IF(CY10="","",CY10)</f>
        <v/>
      </c>
      <c r="G1238">
        <f>IF(CL7="","",CL7)</f>
        <v/>
      </c>
      <c r="H1238">
        <f>IF(CP7="","",CP7)</f>
        <v/>
      </c>
      <c r="I1238">
        <f>IF(CR6="","",CR6)</f>
        <v/>
      </c>
      <c r="J1238">
        <f>IF(DA51="","",DA51)</f>
        <v/>
      </c>
      <c r="DB1238">
        <f>IF('История отказов'!AM41="","",'История отказов'!AM41)</f>
        <v/>
      </c>
      <c r="DL1238">
        <f>IF(DB1238="","",IF(AND(COUNTIF($DA$2:$DA$47,DB1238)=0,COUNTIF($DB$2:DB1238,DB1238)=1),1237,""))</f>
        <v/>
      </c>
    </row>
    <row r="1239">
      <c r="A1239">
        <f>IF(CT7="","",CT7)</f>
        <v/>
      </c>
      <c r="B1239">
        <f>IF(CU8="","",CU8)</f>
        <v/>
      </c>
      <c r="C1239">
        <f>IF(CV8="","",CV8)</f>
        <v/>
      </c>
      <c r="D1239">
        <f>IF(CX7="","",CX7)</f>
        <v/>
      </c>
      <c r="E1239">
        <f>IF(CW7="","",CW7)</f>
        <v/>
      </c>
      <c r="F1239">
        <f>IF(CY11="","",CY11)</f>
        <v/>
      </c>
      <c r="G1239">
        <f>IF(CL8="","",CL8)</f>
        <v/>
      </c>
      <c r="H1239">
        <f>IF(CP8="","",CP8)</f>
        <v/>
      </c>
      <c r="I1239">
        <f>IF(CR7="","",CR7)</f>
        <v/>
      </c>
      <c r="J1239">
        <f>IF(DA52="","",DA52)</f>
        <v/>
      </c>
      <c r="DB1239">
        <f>IF('История отказов'!AM42="","",'История отказов'!AM42)</f>
        <v/>
      </c>
      <c r="DL1239">
        <f>IF(DB1239="","",IF(AND(COUNTIF($DA$2:$DA$47,DB1239)=0,COUNTIF($DB$2:DB1239,DB1239)=1),1238,""))</f>
        <v/>
      </c>
    </row>
    <row r="1240">
      <c r="A1240">
        <f>IF(CT8="","",CT8)</f>
        <v/>
      </c>
      <c r="B1240">
        <f>IF(CU9="","",CU9)</f>
        <v/>
      </c>
      <c r="C1240">
        <f>IF(CV9="","",CV9)</f>
        <v/>
      </c>
      <c r="D1240">
        <f>IF(CX8="","",CX8)</f>
        <v/>
      </c>
      <c r="E1240">
        <f>IF(CW8="","",CW8)</f>
        <v/>
      </c>
      <c r="F1240">
        <f>IF(CY12="","",CY12)</f>
        <v/>
      </c>
      <c r="G1240">
        <f>IF(CL9="","",CL9)</f>
        <v/>
      </c>
      <c r="H1240">
        <f>IF(CP9="","",CP9)</f>
        <v/>
      </c>
      <c r="I1240">
        <f>IF(CR8="","",CR8)</f>
        <v/>
      </c>
      <c r="J1240">
        <f>IF(DA53="","",DA53)</f>
        <v/>
      </c>
      <c r="DB1240">
        <f>IF('История отказов'!AM43="","",'История отказов'!AM43)</f>
        <v/>
      </c>
      <c r="DL1240">
        <f>IF(DB1240="","",IF(AND(COUNTIF($DA$2:$DA$47,DB1240)=0,COUNTIF($DB$2:DB1240,DB1240)=1),1239,""))</f>
        <v/>
      </c>
    </row>
    <row r="1241">
      <c r="A1241">
        <f>IF(CT9="","",CT9)</f>
        <v/>
      </c>
      <c r="B1241">
        <f>IF(CU10="","",CU10)</f>
        <v/>
      </c>
      <c r="C1241">
        <f>IF(CV10="","",CV10)</f>
        <v/>
      </c>
      <c r="D1241">
        <f>IF(CX9="","",CX9)</f>
        <v/>
      </c>
      <c r="E1241">
        <f>IF(CW9="","",CW9)</f>
        <v/>
      </c>
      <c r="F1241">
        <f>IF(CY13="","",CY13)</f>
        <v/>
      </c>
      <c r="G1241">
        <f>IF(CL10="","",CL10)</f>
        <v/>
      </c>
      <c r="H1241">
        <f>IF(CP10="","",CP10)</f>
        <v/>
      </c>
      <c r="I1241">
        <f>IF(CR9="","",CR9)</f>
        <v/>
      </c>
      <c r="J1241">
        <f>IF(DA54="","",DA54)</f>
        <v/>
      </c>
      <c r="DB1241">
        <f>IF('История отказов'!AM44="","",'История отказов'!AM44)</f>
        <v/>
      </c>
      <c r="DL1241">
        <f>IF(DB1241="","",IF(AND(COUNTIF($DA$2:$DA$47,DB1241)=0,COUNTIF($DB$2:DB1241,DB1241)=1),1240,""))</f>
        <v/>
      </c>
    </row>
    <row r="1242">
      <c r="A1242">
        <f>IF(CT10="","",CT10)</f>
        <v/>
      </c>
      <c r="B1242">
        <f>IF(CU11="","",CU11)</f>
        <v/>
      </c>
      <c r="C1242">
        <f>IF(CV11="","",CV11)</f>
        <v/>
      </c>
      <c r="D1242">
        <f>IF(CX10="","",CX10)</f>
        <v/>
      </c>
      <c r="E1242">
        <f>IF(CW10="","",CW10)</f>
        <v/>
      </c>
      <c r="F1242">
        <f>IF(CY14="","",CY14)</f>
        <v/>
      </c>
      <c r="G1242">
        <f>IF(CL11="","",CL11)</f>
        <v/>
      </c>
      <c r="H1242">
        <f>IF(CP11="","",CP11)</f>
        <v/>
      </c>
      <c r="I1242">
        <f>IF(CR10="","",CR10)</f>
        <v/>
      </c>
      <c r="J1242">
        <f>IF(DA55="","",DA55)</f>
        <v/>
      </c>
      <c r="DB1242">
        <f>IF('История отказов'!AM45="","",'История отказов'!AM45)</f>
        <v/>
      </c>
      <c r="DL1242">
        <f>IF(DB1242="","",IF(AND(COUNTIF($DA$2:$DA$47,DB1242)=0,COUNTIF($DB$2:DB1242,DB1242)=1),1241,""))</f>
        <v/>
      </c>
    </row>
    <row r="1243">
      <c r="A1243">
        <f>IF(CT11="","",CT11)</f>
        <v/>
      </c>
      <c r="B1243">
        <f>IF(CU12="","",CU12)</f>
        <v/>
      </c>
      <c r="C1243">
        <f>IF(CV12="","",CV12)</f>
        <v/>
      </c>
      <c r="D1243">
        <f>IF(CX11="","",CX11)</f>
        <v/>
      </c>
      <c r="E1243">
        <f>IF(CW11="","",CW11)</f>
        <v/>
      </c>
      <c r="F1243">
        <f>IF(CY15="","",CY15)</f>
        <v/>
      </c>
      <c r="G1243">
        <f>IF(CL12="","",CL12)</f>
        <v/>
      </c>
      <c r="H1243">
        <f>IF(CP12="","",CP12)</f>
        <v/>
      </c>
      <c r="I1243">
        <f>IF(CR11="","",CR11)</f>
        <v/>
      </c>
      <c r="J1243">
        <f>IF(DA56="","",DA56)</f>
        <v/>
      </c>
      <c r="DB1243">
        <f>IF('История отказов'!AM46="","",'История отказов'!AM46)</f>
        <v/>
      </c>
      <c r="DL1243">
        <f>IF(DB1243="","",IF(AND(COUNTIF($DA$2:$DA$47,DB1243)=0,COUNTIF($DB$2:DB1243,DB1243)=1),1242,""))</f>
        <v/>
      </c>
    </row>
    <row r="1244">
      <c r="A1244">
        <f>IF(CT12="","",CT12)</f>
        <v/>
      </c>
      <c r="B1244">
        <f>IF(CU13="","",CU13)</f>
        <v/>
      </c>
      <c r="C1244">
        <f>IF(CV13="","",CV13)</f>
        <v/>
      </c>
      <c r="D1244">
        <f>IF(CX12="","",CX12)</f>
        <v/>
      </c>
      <c r="E1244">
        <f>IF(CW12="","",CW12)</f>
        <v/>
      </c>
      <c r="F1244">
        <f>IF(CY16="","",CY16)</f>
        <v/>
      </c>
      <c r="G1244">
        <f>IF(CL13="","",CL13)</f>
        <v/>
      </c>
      <c r="H1244">
        <f>IF(CP13="","",CP13)</f>
        <v/>
      </c>
      <c r="I1244">
        <f>IF(CR12="","",CR12)</f>
        <v/>
      </c>
      <c r="J1244">
        <f>IF(DA57="","",DA57)</f>
        <v/>
      </c>
      <c r="DB1244">
        <f>IF('История отказов'!AM47="","",'История отказов'!AM47)</f>
        <v/>
      </c>
      <c r="DL1244">
        <f>IF(DB1244="","",IF(AND(COUNTIF($DA$2:$DA$47,DB1244)=0,COUNTIF($DB$2:DB1244,DB1244)=1),1243,""))</f>
        <v/>
      </c>
    </row>
    <row r="1245">
      <c r="A1245">
        <f>IF(CT13="","",CT13)</f>
        <v/>
      </c>
      <c r="B1245">
        <f>IF(CU14="","",CU14)</f>
        <v/>
      </c>
      <c r="C1245">
        <f>IF(CV14="","",CV14)</f>
        <v/>
      </c>
      <c r="D1245">
        <f>IF(CX13="","",CX13)</f>
        <v/>
      </c>
      <c r="E1245">
        <f>IF(CW13="","",CW13)</f>
        <v/>
      </c>
      <c r="F1245">
        <f>IF(CY17="","",CY17)</f>
        <v/>
      </c>
      <c r="G1245">
        <f>IF(CL14="","",CL14)</f>
        <v/>
      </c>
      <c r="H1245">
        <f>IF(CP14="","",CP14)</f>
        <v/>
      </c>
      <c r="I1245">
        <f>IF(CR13="","",CR13)</f>
        <v/>
      </c>
      <c r="J1245">
        <f>IF(DA58="","",DA58)</f>
        <v/>
      </c>
      <c r="DB1245">
        <f>IF('История отказов'!AM48="","",'История отказов'!AM48)</f>
        <v/>
      </c>
      <c r="DL1245">
        <f>IF(DB1245="","",IF(AND(COUNTIF($DA$2:$DA$47,DB1245)=0,COUNTIF($DB$2:DB1245,DB1245)=1),1244,""))</f>
        <v/>
      </c>
    </row>
    <row r="1246">
      <c r="A1246">
        <f>IF(CT14="","",CT14)</f>
        <v/>
      </c>
      <c r="B1246">
        <f>IF(CU15="","",CU15)</f>
        <v/>
      </c>
      <c r="C1246">
        <f>IF(CV15="","",CV15)</f>
        <v/>
      </c>
      <c r="D1246">
        <f>IF(CX14="","",CX14)</f>
        <v/>
      </c>
      <c r="E1246">
        <f>IF(CW14="","",CW14)</f>
        <v/>
      </c>
      <c r="F1246">
        <f>IF(CY18="","",CY18)</f>
        <v/>
      </c>
      <c r="G1246">
        <f>IF(CL15="","",CL15)</f>
        <v/>
      </c>
      <c r="H1246">
        <f>IF(CP15="","",CP15)</f>
        <v/>
      </c>
      <c r="I1246">
        <f>IF(CR14="","",CR14)</f>
        <v/>
      </c>
      <c r="J1246">
        <f>IF(DA59="","",DA59)</f>
        <v/>
      </c>
      <c r="DB1246">
        <f>IF('История отказов'!AM49="","",'История отказов'!AM49)</f>
        <v/>
      </c>
      <c r="DL1246">
        <f>IF(DB1246="","",IF(AND(COUNTIF($DA$2:$DA$47,DB1246)=0,COUNTIF($DB$2:DB1246,DB1246)=1),1245,""))</f>
        <v/>
      </c>
    </row>
    <row r="1247">
      <c r="A1247">
        <f>IF(CT15="","",CT15)</f>
        <v/>
      </c>
      <c r="B1247">
        <f>IF(CU16="","",CU16)</f>
        <v/>
      </c>
      <c r="C1247">
        <f>IF(CV16="","",CV16)</f>
        <v/>
      </c>
      <c r="D1247">
        <f>IF(CX15="","",CX15)</f>
        <v/>
      </c>
      <c r="E1247">
        <f>IF(CW15="","",CW15)</f>
        <v/>
      </c>
      <c r="F1247">
        <f>IF(CY19="","",CY19)</f>
        <v/>
      </c>
      <c r="G1247">
        <f>IF(CL16="","",CL16)</f>
        <v/>
      </c>
      <c r="H1247">
        <f>IF(CP16="","",CP16)</f>
        <v/>
      </c>
      <c r="I1247">
        <f>IF(CR15="","",CR15)</f>
        <v/>
      </c>
      <c r="J1247">
        <f>IF(DA60="","",DA60)</f>
        <v/>
      </c>
      <c r="DB1247">
        <f>IF('История отказов'!AM50="","",'История отказов'!AM50)</f>
        <v/>
      </c>
      <c r="DL1247">
        <f>IF(DB1247="","",IF(AND(COUNTIF($DA$2:$DA$47,DB1247)=0,COUNTIF($DB$2:DB1247,DB1247)=1),1246,""))</f>
        <v/>
      </c>
    </row>
    <row r="1248">
      <c r="A1248">
        <f>IF(CT16="","",CT16)</f>
        <v/>
      </c>
      <c r="B1248">
        <f>IF(CU17="","",CU17)</f>
        <v/>
      </c>
      <c r="C1248">
        <f>IF(CV17="","",CV17)</f>
        <v/>
      </c>
      <c r="D1248">
        <f>IF(CX16="","",CX16)</f>
        <v/>
      </c>
      <c r="E1248">
        <f>IF(CW16="","",CW16)</f>
        <v/>
      </c>
      <c r="F1248">
        <f>IF(CY20="","",CY20)</f>
        <v/>
      </c>
      <c r="G1248">
        <f>IF(CL17="","",CL17)</f>
        <v/>
      </c>
      <c r="H1248">
        <f>IF(CP17="","",CP17)</f>
        <v/>
      </c>
      <c r="I1248">
        <f>IF(CR16="","",CR16)</f>
        <v/>
      </c>
      <c r="J1248">
        <f>IF(DA61="","",DA61)</f>
        <v/>
      </c>
      <c r="DB1248">
        <f>IF('История отказов'!AM51="","",'История отказов'!AM51)</f>
        <v/>
      </c>
      <c r="DL1248">
        <f>IF(DB1248="","",IF(AND(COUNTIF($DA$2:$DA$47,DB1248)=0,COUNTIF($DB$2:DB1248,DB1248)=1),1247,""))</f>
        <v/>
      </c>
    </row>
    <row r="1249">
      <c r="A1249">
        <f>IF(CT17="","",CT17)</f>
        <v/>
      </c>
      <c r="B1249">
        <f>IF(CU18="","",CU18)</f>
        <v/>
      </c>
      <c r="C1249">
        <f>IF(CV18="","",CV18)</f>
        <v/>
      </c>
      <c r="D1249">
        <f>IF(CX17="","",CX17)</f>
        <v/>
      </c>
      <c r="E1249">
        <f>IF(CW17="","",CW17)</f>
        <v/>
      </c>
      <c r="F1249">
        <f>IF(CY21="","",CY21)</f>
        <v/>
      </c>
      <c r="G1249">
        <f>IF(CL18="","",CL18)</f>
        <v/>
      </c>
      <c r="H1249">
        <f>IF(CP18="","",CP18)</f>
        <v/>
      </c>
      <c r="I1249">
        <f>IF(CR17="","",CR17)</f>
        <v/>
      </c>
      <c r="J1249">
        <f>IF(DA62="","",DA62)</f>
        <v/>
      </c>
      <c r="DB1249">
        <f>IF('История отказов'!AM52="","",'История отказов'!AM52)</f>
        <v/>
      </c>
      <c r="DL1249">
        <f>IF(DB1249="","",IF(AND(COUNTIF($DA$2:$DA$47,DB1249)=0,COUNTIF($DB$2:DB1249,DB1249)=1),1248,""))</f>
        <v/>
      </c>
    </row>
    <row r="1250">
      <c r="A1250">
        <f>IF(CT18="","",CT18)</f>
        <v/>
      </c>
      <c r="B1250">
        <f>IF(CU19="","",CU19)</f>
        <v/>
      </c>
      <c r="C1250">
        <f>IF(CV19="","",CV19)</f>
        <v/>
      </c>
      <c r="D1250">
        <f>IF(CX18="","",CX18)</f>
        <v/>
      </c>
      <c r="E1250">
        <f>IF(CW18="","",CW18)</f>
        <v/>
      </c>
      <c r="F1250">
        <f>IF(CY22="","",CY22)</f>
        <v/>
      </c>
      <c r="G1250">
        <f>IF(CL19="","",CL19)</f>
        <v/>
      </c>
      <c r="H1250">
        <f>IF(CP19="","",CP19)</f>
        <v/>
      </c>
      <c r="I1250">
        <f>IF(CR18="","",CR18)</f>
        <v/>
      </c>
      <c r="J1250">
        <f>IF(DA63="","",DA63)</f>
        <v/>
      </c>
      <c r="DB1250">
        <f>IF('История отказов'!AM53="","",'История отказов'!AM53)</f>
        <v/>
      </c>
      <c r="DL1250">
        <f>IF(DB1250="","",IF(AND(COUNTIF($DA$2:$DA$47,DB1250)=0,COUNTIF($DB$2:DB1250,DB1250)=1),1249,""))</f>
        <v/>
      </c>
    </row>
    <row r="1251">
      <c r="A1251">
        <f>IF(CT19="","",CT19)</f>
        <v/>
      </c>
      <c r="B1251">
        <f>IF(CU20="","",CU20)</f>
        <v/>
      </c>
      <c r="C1251">
        <f>IF(CV20="","",CV20)</f>
        <v/>
      </c>
      <c r="D1251">
        <f>IF(CX19="","",CX19)</f>
        <v/>
      </c>
      <c r="E1251">
        <f>IF(CW19="","",CW19)</f>
        <v/>
      </c>
      <c r="F1251">
        <f>IF(CY23="","",CY23)</f>
        <v/>
      </c>
      <c r="G1251">
        <f>IF(CL20="","",CL20)</f>
        <v/>
      </c>
      <c r="H1251">
        <f>IF(CP20="","",CP20)</f>
        <v/>
      </c>
      <c r="I1251">
        <f>IF(CR19="","",CR19)</f>
        <v/>
      </c>
      <c r="J1251">
        <f>IF(DA64="","",DA64)</f>
        <v/>
      </c>
      <c r="DB1251">
        <f>IF('История отказов'!AM54="","",'История отказов'!AM54)</f>
        <v/>
      </c>
      <c r="DL1251">
        <f>IF(DB1251="","",IF(AND(COUNTIF($DA$2:$DA$47,DB1251)=0,COUNTIF($DB$2:DB1251,DB1251)=1),1250,""))</f>
        <v/>
      </c>
    </row>
    <row r="1252">
      <c r="A1252">
        <f>IF(CT20="","",CT20)</f>
        <v/>
      </c>
      <c r="B1252">
        <f>IF(CU21="","",CU21)</f>
        <v/>
      </c>
      <c r="C1252">
        <f>IF(CV21="","",CV21)</f>
        <v/>
      </c>
      <c r="D1252">
        <f>IF(CX20="","",CX20)</f>
        <v/>
      </c>
      <c r="E1252">
        <f>IF(CW20="","",CW20)</f>
        <v/>
      </c>
      <c r="F1252">
        <f>IF(CY24="","",CY24)</f>
        <v/>
      </c>
      <c r="G1252">
        <f>IF(CL21="","",CL21)</f>
        <v/>
      </c>
      <c r="H1252">
        <f>IF(CP21="","",CP21)</f>
        <v/>
      </c>
      <c r="I1252">
        <f>IF(CR20="","",CR20)</f>
        <v/>
      </c>
      <c r="J1252">
        <f>IF(DA65="","",DA65)</f>
        <v/>
      </c>
      <c r="DB1252">
        <f>IF('История отказов'!AM55="","",'История отказов'!AM55)</f>
        <v/>
      </c>
      <c r="DL1252">
        <f>IF(DB1252="","",IF(AND(COUNTIF($DA$2:$DA$47,DB1252)=0,COUNTIF($DB$2:DB1252,DB1252)=1),1251,""))</f>
        <v/>
      </c>
    </row>
    <row r="1253">
      <c r="A1253">
        <f>IF(CT21="","",CT21)</f>
        <v/>
      </c>
      <c r="B1253">
        <f>IF(CU22="","",CU22)</f>
        <v/>
      </c>
      <c r="C1253">
        <f>IF(CV22="","",CV22)</f>
        <v/>
      </c>
      <c r="D1253">
        <f>IF(CX21="","",CX21)</f>
        <v/>
      </c>
      <c r="E1253">
        <f>IF(CW21="","",CW21)</f>
        <v/>
      </c>
      <c r="F1253">
        <f>IF(CY25="","",CY25)</f>
        <v/>
      </c>
      <c r="G1253">
        <f>IF(CL22="","",CL22)</f>
        <v/>
      </c>
      <c r="H1253">
        <f>IF(CP22="","",CP22)</f>
        <v/>
      </c>
      <c r="I1253">
        <f>IF(CR21="","",CR21)</f>
        <v/>
      </c>
      <c r="J1253">
        <f>IF(DA66="","",DA66)</f>
        <v/>
      </c>
      <c r="DB1253">
        <f>IF('История отказов'!AM56="","",'История отказов'!AM56)</f>
        <v/>
      </c>
      <c r="DL1253">
        <f>IF(DB1253="","",IF(AND(COUNTIF($DA$2:$DA$47,DB1253)=0,COUNTIF($DB$2:DB1253,DB1253)=1),1252,""))</f>
        <v/>
      </c>
    </row>
    <row r="1254">
      <c r="A1254">
        <f>IF(CT22="","",CT22)</f>
        <v/>
      </c>
      <c r="B1254">
        <f>IF(CU23="","",CU23)</f>
        <v/>
      </c>
      <c r="C1254">
        <f>IF(CV23="","",CV23)</f>
        <v/>
      </c>
      <c r="D1254">
        <f>IF(CX22="","",CX22)</f>
        <v/>
      </c>
      <c r="E1254">
        <f>IF(CW22="","",CW22)</f>
        <v/>
      </c>
      <c r="F1254">
        <f>IF(CY26="","",CY26)</f>
        <v/>
      </c>
      <c r="G1254">
        <f>IF(CL23="","",CL23)</f>
        <v/>
      </c>
      <c r="H1254">
        <f>IF(CP23="","",CP23)</f>
        <v/>
      </c>
      <c r="I1254">
        <f>IF(CR22="","",CR22)</f>
        <v/>
      </c>
      <c r="J1254">
        <f>IF(DA67="","",DA67)</f>
        <v/>
      </c>
      <c r="DB1254">
        <f>IF('История отказов'!AM57="","",'История отказов'!AM57)</f>
        <v/>
      </c>
      <c r="DL1254">
        <f>IF(DB1254="","",IF(AND(COUNTIF($DA$2:$DA$47,DB1254)=0,COUNTIF($DB$2:DB1254,DB1254)=1),1253,""))</f>
        <v/>
      </c>
    </row>
    <row r="1255">
      <c r="A1255">
        <f>IF(CT23="","",CT23)</f>
        <v/>
      </c>
      <c r="B1255">
        <f>IF(CU24="","",CU24)</f>
        <v/>
      </c>
      <c r="C1255">
        <f>IF(CV24="","",CV24)</f>
        <v/>
      </c>
      <c r="D1255">
        <f>IF(CX23="","",CX23)</f>
        <v/>
      </c>
      <c r="E1255">
        <f>IF(CW23="","",CW23)</f>
        <v/>
      </c>
      <c r="F1255">
        <f>IF(CY27="","",CY27)</f>
        <v/>
      </c>
      <c r="G1255">
        <f>IF(CL24="","",CL24)</f>
        <v/>
      </c>
      <c r="H1255">
        <f>IF(CP24="","",CP24)</f>
        <v/>
      </c>
      <c r="I1255">
        <f>IF(CR23="","",CR23)</f>
        <v/>
      </c>
      <c r="J1255">
        <f>IF(DA68="","",DA68)</f>
        <v/>
      </c>
      <c r="DB1255">
        <f>IF('История отказов'!AM58="","",'История отказов'!AM58)</f>
        <v/>
      </c>
      <c r="DL1255">
        <f>IF(DB1255="","",IF(AND(COUNTIF($DA$2:$DA$47,DB1255)=0,COUNTIF($DB$2:DB1255,DB1255)=1),1254,""))</f>
        <v/>
      </c>
    </row>
    <row r="1256">
      <c r="A1256">
        <f>IF(CT24="","",CT24)</f>
        <v/>
      </c>
      <c r="B1256">
        <f>IF(CU25="","",CU25)</f>
        <v/>
      </c>
      <c r="C1256">
        <f>IF(CV25="","",CV25)</f>
        <v/>
      </c>
      <c r="D1256">
        <f>IF(CX24="","",CX24)</f>
        <v/>
      </c>
      <c r="E1256">
        <f>IF(CW24="","",CW24)</f>
        <v/>
      </c>
      <c r="F1256">
        <f>IF(CY28="","",CY28)</f>
        <v/>
      </c>
      <c r="G1256">
        <f>IF(CL25="","",CL25)</f>
        <v/>
      </c>
      <c r="H1256">
        <f>IF(CP25="","",CP25)</f>
        <v/>
      </c>
      <c r="I1256">
        <f>IF(CR24="","",CR24)</f>
        <v/>
      </c>
      <c r="J1256">
        <f>IF(DA69="","",DA69)</f>
        <v/>
      </c>
      <c r="DB1256">
        <f>IF('История отказов'!AM59="","",'История отказов'!AM59)</f>
        <v/>
      </c>
      <c r="DL1256">
        <f>IF(DB1256="","",IF(AND(COUNTIF($DA$2:$DA$47,DB1256)=0,COUNTIF($DB$2:DB1256,DB1256)=1),1255,""))</f>
        <v/>
      </c>
    </row>
    <row r="1257">
      <c r="A1257">
        <f>IF(CT25="","",CT25)</f>
        <v/>
      </c>
      <c r="B1257">
        <f>IF(CU26="","",CU26)</f>
        <v/>
      </c>
      <c r="C1257">
        <f>IF(CV26="","",CV26)</f>
        <v/>
      </c>
      <c r="D1257">
        <f>IF(CX25="","",CX25)</f>
        <v/>
      </c>
      <c r="E1257">
        <f>IF(CW25="","",CW25)</f>
        <v/>
      </c>
      <c r="F1257">
        <f>IF(CY29="","",CY29)</f>
        <v/>
      </c>
      <c r="G1257">
        <f>IF(CL26="","",CL26)</f>
        <v/>
      </c>
      <c r="H1257">
        <f>IF(CP26="","",CP26)</f>
        <v/>
      </c>
      <c r="I1257">
        <f>IF(CR25="","",CR25)</f>
        <v/>
      </c>
      <c r="J1257">
        <f>IF(DA70="","",DA70)</f>
        <v/>
      </c>
      <c r="DB1257">
        <f>IF('История отказов'!AM60="","",'История отказов'!AM60)</f>
        <v/>
      </c>
      <c r="DL1257">
        <f>IF(DB1257="","",IF(AND(COUNTIF($DA$2:$DA$47,DB1257)=0,COUNTIF($DB$2:DB1257,DB1257)=1),1256,""))</f>
        <v/>
      </c>
    </row>
    <row r="1258">
      <c r="A1258">
        <f>IF(CT26="","",CT26)</f>
        <v/>
      </c>
      <c r="B1258">
        <f>IF(CU27="","",CU27)</f>
        <v/>
      </c>
      <c r="C1258">
        <f>IF(CV27="","",CV27)</f>
        <v/>
      </c>
      <c r="D1258">
        <f>IF(CX26="","",CX26)</f>
        <v/>
      </c>
      <c r="E1258">
        <f>IF(CW26="","",CW26)</f>
        <v/>
      </c>
      <c r="F1258">
        <f>IF(CY30="","",CY30)</f>
        <v/>
      </c>
      <c r="G1258">
        <f>IF(CL27="","",CL27)</f>
        <v/>
      </c>
      <c r="H1258">
        <f>IF(CP27="","",CP27)</f>
        <v/>
      </c>
      <c r="I1258">
        <f>IF(CR26="","",CR26)</f>
        <v/>
      </c>
      <c r="J1258">
        <f>IF(DA71="","",DA71)</f>
        <v/>
      </c>
      <c r="DB1258">
        <f>IF('История отказов'!AM61="","",'История отказов'!AM61)</f>
        <v/>
      </c>
      <c r="DL1258">
        <f>IF(DB1258="","",IF(AND(COUNTIF($DA$2:$DA$47,DB1258)=0,COUNTIF($DB$2:DB1258,DB1258)=1),1257,""))</f>
        <v/>
      </c>
    </row>
    <row r="1259">
      <c r="A1259">
        <f>IF(CT27="","",CT27)</f>
        <v/>
      </c>
      <c r="B1259">
        <f>IF(CU28="","",CU28)</f>
        <v/>
      </c>
      <c r="C1259">
        <f>IF(CV28="","",CV28)</f>
        <v/>
      </c>
      <c r="D1259">
        <f>IF(CX27="","",CX27)</f>
        <v/>
      </c>
      <c r="E1259">
        <f>IF(CW27="","",CW27)</f>
        <v/>
      </c>
      <c r="F1259">
        <f>IF(CY31="","",CY31)</f>
        <v/>
      </c>
      <c r="G1259">
        <f>IF(CL28="","",CL28)</f>
        <v/>
      </c>
      <c r="H1259">
        <f>IF(CP28="","",CP28)</f>
        <v/>
      </c>
      <c r="I1259">
        <f>IF(CR27="","",CR27)</f>
        <v/>
      </c>
      <c r="J1259">
        <f>IF(DA72="","",DA72)</f>
        <v/>
      </c>
      <c r="DB1259">
        <f>IF('История отказов'!AM62="","",'История отказов'!AM62)</f>
        <v/>
      </c>
      <c r="DL1259">
        <f>IF(DB1259="","",IF(AND(COUNTIF($DA$2:$DA$47,DB1259)=0,COUNTIF($DB$2:DB1259,DB1259)=1),1258,""))</f>
        <v/>
      </c>
    </row>
    <row r="1260">
      <c r="A1260">
        <f>IF(CT28="","",CT28)</f>
        <v/>
      </c>
      <c r="B1260">
        <f>IF(CU29="","",CU29)</f>
        <v/>
      </c>
      <c r="C1260">
        <f>IF(CV29="","",CV29)</f>
        <v/>
      </c>
      <c r="D1260">
        <f>IF(CX28="","",CX28)</f>
        <v/>
      </c>
      <c r="E1260">
        <f>IF(CW28="","",CW28)</f>
        <v/>
      </c>
      <c r="F1260">
        <f>IF(CY32="","",CY32)</f>
        <v/>
      </c>
      <c r="G1260">
        <f>IF(CL29="","",CL29)</f>
        <v/>
      </c>
      <c r="H1260">
        <f>IF(CP29="","",CP29)</f>
        <v/>
      </c>
      <c r="I1260">
        <f>IF(CR28="","",CR28)</f>
        <v/>
      </c>
      <c r="J1260">
        <f>IF(DA73="","",DA73)</f>
        <v/>
      </c>
      <c r="DB1260">
        <f>IF('История отказов'!AM63="","",'История отказов'!AM63)</f>
        <v/>
      </c>
      <c r="DL1260">
        <f>IF(DB1260="","",IF(AND(COUNTIF($DA$2:$DA$47,DB1260)=0,COUNTIF($DB$2:DB1260,DB1260)=1),1259,""))</f>
        <v/>
      </c>
    </row>
    <row r="1261">
      <c r="A1261">
        <f>IF(CT29="","",CT29)</f>
        <v/>
      </c>
      <c r="B1261">
        <f>IF(CU30="","",CU30)</f>
        <v/>
      </c>
      <c r="C1261">
        <f>IF(CV30="","",CV30)</f>
        <v/>
      </c>
      <c r="D1261">
        <f>IF(CX29="","",CX29)</f>
        <v/>
      </c>
      <c r="E1261">
        <f>IF(CW29="","",CW29)</f>
        <v/>
      </c>
      <c r="F1261">
        <f>IF(CY33="","",CY33)</f>
        <v/>
      </c>
      <c r="G1261">
        <f>IF(CL30="","",CL30)</f>
        <v/>
      </c>
      <c r="H1261">
        <f>IF(CP30="","",CP30)</f>
        <v/>
      </c>
      <c r="I1261">
        <f>IF(CR29="","",CR29)</f>
        <v/>
      </c>
      <c r="J1261">
        <f>IF(DA74="","",DA74)</f>
        <v/>
      </c>
      <c r="DB1261">
        <f>IF('История отказов'!AM64="","",'История отказов'!AM64)</f>
        <v/>
      </c>
      <c r="DL1261">
        <f>IF(DB1261="","",IF(AND(COUNTIF($DA$2:$DA$47,DB1261)=0,COUNTIF($DB$2:DB1261,DB1261)=1),1260,""))</f>
        <v/>
      </c>
    </row>
    <row r="1262">
      <c r="A1262">
        <f>IF(CT30="","",CT30)</f>
        <v/>
      </c>
      <c r="B1262">
        <f>IF(CU31="","",CU31)</f>
        <v/>
      </c>
      <c r="C1262">
        <f>IF(CV31="","",CV31)</f>
        <v/>
      </c>
      <c r="D1262">
        <f>IF(CX30="","",CX30)</f>
        <v/>
      </c>
      <c r="E1262">
        <f>IF(CW30="","",CW30)</f>
        <v/>
      </c>
      <c r="F1262">
        <f>IF(CY34="","",CY34)</f>
        <v/>
      </c>
      <c r="G1262">
        <f>IF(CL31="","",CL31)</f>
        <v/>
      </c>
      <c r="H1262">
        <f>IF(CP31="","",CP31)</f>
        <v/>
      </c>
      <c r="I1262">
        <f>IF(CR30="","",CR30)</f>
        <v/>
      </c>
      <c r="J1262">
        <f>IF(DA75="","",DA75)</f>
        <v/>
      </c>
      <c r="DB1262">
        <f>IF('История отказов'!AM65="","",'История отказов'!AM65)</f>
        <v/>
      </c>
      <c r="DL1262">
        <f>IF(DB1262="","",IF(AND(COUNTIF($DA$2:$DA$47,DB1262)=0,COUNTIF($DB$2:DB1262,DB1262)=1),1261,""))</f>
        <v/>
      </c>
    </row>
    <row r="1263">
      <c r="A1263">
        <f>IF(CT31="","",CT31)</f>
        <v/>
      </c>
      <c r="B1263">
        <f>IF(CU32="","",CU32)</f>
        <v/>
      </c>
      <c r="C1263">
        <f>IF(CV32="","",CV32)</f>
        <v/>
      </c>
      <c r="D1263">
        <f>IF(CX31="","",CX31)</f>
        <v/>
      </c>
      <c r="E1263">
        <f>IF(CW31="","",CW31)</f>
        <v/>
      </c>
      <c r="F1263">
        <f>IF(CY35="","",CY35)</f>
        <v/>
      </c>
      <c r="G1263">
        <f>IF(CL32="","",CL32)</f>
        <v/>
      </c>
      <c r="H1263">
        <f>IF(CP32="","",CP32)</f>
        <v/>
      </c>
      <c r="I1263">
        <f>IF(CR31="","",CR31)</f>
        <v/>
      </c>
      <c r="J1263">
        <f>IF(DA76="","",DA76)</f>
        <v/>
      </c>
      <c r="DB1263">
        <f>IF('История отказов'!AM66="","",'История отказов'!AM66)</f>
        <v/>
      </c>
      <c r="DL1263">
        <f>IF(DB1263="","",IF(AND(COUNTIF($DA$2:$DA$47,DB1263)=0,COUNTIF($DB$2:DB1263,DB1263)=1),1262,""))</f>
        <v/>
      </c>
    </row>
    <row r="1264">
      <c r="A1264">
        <f>IF(CT32="","",CT32)</f>
        <v/>
      </c>
      <c r="B1264">
        <f>IF(CU33="","",CU33)</f>
        <v/>
      </c>
      <c r="C1264">
        <f>IF(CV33="","",CV33)</f>
        <v/>
      </c>
      <c r="D1264">
        <f>IF(CX32="","",CX32)</f>
        <v/>
      </c>
      <c r="E1264">
        <f>IF(CW32="","",CW32)</f>
        <v/>
      </c>
      <c r="F1264">
        <f>IF(CY36="","",CY36)</f>
        <v/>
      </c>
      <c r="G1264">
        <f>IF(CL33="","",CL33)</f>
        <v/>
      </c>
      <c r="H1264">
        <f>IF(CP33="","",CP33)</f>
        <v/>
      </c>
      <c r="I1264">
        <f>IF(CR32="","",CR32)</f>
        <v/>
      </c>
      <c r="J1264">
        <f>IF(DA77="","",DA77)</f>
        <v/>
      </c>
      <c r="DB1264">
        <f>IF('История отказов'!AM67="","",'История отказов'!AM67)</f>
        <v/>
      </c>
      <c r="DL1264">
        <f>IF(DB1264="","",IF(AND(COUNTIF($DA$2:$DA$47,DB1264)=0,COUNTIF($DB$2:DB1264,DB1264)=1),1263,""))</f>
        <v/>
      </c>
    </row>
    <row r="1265">
      <c r="DB1265">
        <f>IF('История отказов'!AM68="","",'История отказов'!AM68)</f>
        <v/>
      </c>
      <c r="DL1265">
        <f>IF(DB1265="","",IF(AND(COUNTIF($DA$2:$DA$47,DB1265)=0,COUNTIF($DB$2:DB1265,DB1265)=1),1264,""))</f>
        <v/>
      </c>
    </row>
    <row r="1266">
      <c r="DB1266">
        <f>IF('История отказов'!AM69="","",'История отказов'!AM69)</f>
        <v/>
      </c>
      <c r="DL1266">
        <f>IF(DB1266="","",IF(AND(COUNTIF($DA$2:$DA$47,DB1266)=0,COUNTIF($DB$2:DB1266,DB1266)=1),1265,""))</f>
        <v/>
      </c>
    </row>
    <row r="1267">
      <c r="DB1267">
        <f>IF('История отказов'!AM70="","",'История отказов'!AM70)</f>
        <v/>
      </c>
      <c r="DL1267">
        <f>IF(DB1267="","",IF(AND(COUNTIF($DA$2:$DA$47,DB1267)=0,COUNTIF($DB$2:DB1267,DB1267)=1),1266,""))</f>
        <v/>
      </c>
    </row>
    <row r="1268">
      <c r="DB1268">
        <f>IF('История отказов'!AM71="","",'История отказов'!AM71)</f>
        <v/>
      </c>
      <c r="DL1268">
        <f>IF(DB1268="","",IF(AND(COUNTIF($DA$2:$DA$47,DB1268)=0,COUNTIF($DB$2:DB1268,DB1268)=1),1267,""))</f>
        <v/>
      </c>
    </row>
    <row r="1269">
      <c r="DB1269">
        <f>IF('История отказов'!AM72="","",'История отказов'!AM72)</f>
        <v/>
      </c>
      <c r="DL1269">
        <f>IF(DB1269="","",IF(AND(COUNTIF($DA$2:$DA$47,DB1269)=0,COUNTIF($DB$2:DB1269,DB1269)=1),1268,""))</f>
        <v/>
      </c>
    </row>
    <row r="1270">
      <c r="DB1270">
        <f>IF('История отказов'!AM73="","",'История отказов'!AM73)</f>
        <v/>
      </c>
      <c r="DL1270">
        <f>IF(DB1270="","",IF(AND(COUNTIF($DA$2:$DA$47,DB1270)=0,COUNTIF($DB$2:DB1270,DB1270)=1),1269,""))</f>
        <v/>
      </c>
    </row>
    <row r="1271">
      <c r="DB1271">
        <f>IF('История отказов'!AM74="","",'История отказов'!AM74)</f>
        <v/>
      </c>
      <c r="DL1271">
        <f>IF(DB1271="","",IF(AND(COUNTIF($DA$2:$DA$47,DB1271)=0,COUNTIF($DB$2:DB1271,DB1271)=1),1270,""))</f>
        <v/>
      </c>
    </row>
    <row r="1272">
      <c r="DB1272">
        <f>IF('История отказов'!AM75="","",'История отказов'!AM75)</f>
        <v/>
      </c>
      <c r="DL1272">
        <f>IF(DB1272="","",IF(AND(COUNTIF($DA$2:$DA$47,DB1272)=0,COUNTIF($DB$2:DB1272,DB1272)=1),1271,""))</f>
        <v/>
      </c>
    </row>
    <row r="1273">
      <c r="DB1273">
        <f>IF('История отказов'!AM76="","",'История отказов'!AM76)</f>
        <v/>
      </c>
      <c r="DL1273">
        <f>IF(DB1273="","",IF(AND(COUNTIF($DA$2:$DA$47,DB1273)=0,COUNTIF($DB$2:DB1273,DB1273)=1),1272,""))</f>
        <v/>
      </c>
    </row>
    <row r="1274">
      <c r="DB1274">
        <f>IF('История отказов'!AM77="","",'История отказов'!AM77)</f>
        <v/>
      </c>
      <c r="DL1274">
        <f>IF(DB1274="","",IF(AND(COUNTIF($DA$2:$DA$47,DB1274)=0,COUNTIF($DB$2:DB1274,DB1274)=1),1273,""))</f>
        <v/>
      </c>
    </row>
    <row r="1275">
      <c r="DB1275">
        <f>IF('История отказов'!AM78="","",'История отказов'!AM78)</f>
        <v/>
      </c>
      <c r="DL1275">
        <f>IF(DB1275="","",IF(AND(COUNTIF($DA$2:$DA$47,DB1275)=0,COUNTIF($DB$2:DB1275,DB1275)=1),1274,""))</f>
        <v/>
      </c>
    </row>
    <row r="1276">
      <c r="DB1276">
        <f>IF('История отказов'!AM79="","",'История отказов'!AM79)</f>
        <v/>
      </c>
      <c r="DL1276">
        <f>IF(DB1276="","",IF(AND(COUNTIF($DA$2:$DA$47,DB1276)=0,COUNTIF($DB$2:DB1276,DB1276)=1),1275,""))</f>
        <v/>
      </c>
    </row>
    <row r="1277">
      <c r="DB1277">
        <f>IF('История отказов'!AM80="","",'История отказов'!AM80)</f>
        <v/>
      </c>
      <c r="DL1277">
        <f>IF(DB1277="","",IF(AND(COUNTIF($DA$2:$DA$47,DB1277)=0,COUNTIF($DB$2:DB1277,DB1277)=1),1276,""))</f>
        <v/>
      </c>
    </row>
    <row r="1278">
      <c r="DB1278">
        <f>IF('История отказов'!AM81="","",'История отказов'!AM81)</f>
        <v/>
      </c>
      <c r="DL1278">
        <f>IF(DB1278="","",IF(AND(COUNTIF($DA$2:$DA$47,DB1278)=0,COUNTIF($DB$2:DB1278,DB1278)=1),1277,""))</f>
        <v/>
      </c>
    </row>
    <row r="1279">
      <c r="DB1279">
        <f>IF('История отказов'!AM82="","",'История отказов'!AM82)</f>
        <v/>
      </c>
      <c r="DL1279">
        <f>IF(DB1279="","",IF(AND(COUNTIF($DA$2:$DA$47,DB1279)=0,COUNTIF($DB$2:DB1279,DB1279)=1),1278,""))</f>
        <v/>
      </c>
    </row>
    <row r="1280">
      <c r="DB1280">
        <f>IF('История отказов'!AM83="","",'История отказов'!AM83)</f>
        <v/>
      </c>
      <c r="DL1280">
        <f>IF(DB1280="","",IF(AND(COUNTIF($DA$2:$DA$47,DB1280)=0,COUNTIF($DB$2:DB1280,DB1280)=1),1279,""))</f>
        <v/>
      </c>
    </row>
    <row r="1281">
      <c r="DB1281">
        <f>IF('История отказов'!AM84="","",'История отказов'!AM84)</f>
        <v/>
      </c>
      <c r="DL1281">
        <f>IF(DB1281="","",IF(AND(COUNTIF($DA$2:$DA$47,DB1281)=0,COUNTIF($DB$2:DB1281,DB1281)=1),1280,""))</f>
        <v/>
      </c>
    </row>
    <row r="1282">
      <c r="DB1282">
        <f>IF('История отказов'!AM85="","",'История отказов'!AM85)</f>
        <v/>
      </c>
      <c r="DL1282">
        <f>IF(DB1282="","",IF(AND(COUNTIF($DA$2:$DA$47,DB1282)=0,COUNTIF($DB$2:DB1282,DB1282)=1),1281,""))</f>
        <v/>
      </c>
    </row>
    <row r="1283">
      <c r="DB1283">
        <f>IF('История отказов'!AM86="","",'История отказов'!AM86)</f>
        <v/>
      </c>
      <c r="DL1283">
        <f>IF(DB1283="","",IF(AND(COUNTIF($DA$2:$DA$47,DB1283)=0,COUNTIF($DB$2:DB1283,DB1283)=1),1282,""))</f>
        <v/>
      </c>
    </row>
    <row r="1284">
      <c r="DB1284">
        <f>IF('История отказов'!AM87="","",'История отказов'!AM87)</f>
        <v/>
      </c>
      <c r="DL1284">
        <f>IF(DB1284="","",IF(AND(COUNTIF($DA$2:$DA$47,DB1284)=0,COUNTIF($DB$2:DB1284,DB1284)=1),1283,""))</f>
        <v/>
      </c>
    </row>
    <row r="1285">
      <c r="DB1285">
        <f>IF('История отказов'!AM88="","",'История отказов'!AM88)</f>
        <v/>
      </c>
      <c r="DL1285">
        <f>IF(DB1285="","",IF(AND(COUNTIF($DA$2:$DA$47,DB1285)=0,COUNTIF($DB$2:DB1285,DB1285)=1),1284,""))</f>
        <v/>
      </c>
    </row>
    <row r="1286">
      <c r="DB1286">
        <f>IF('История отказов'!AM89="","",'История отказов'!AM89)</f>
        <v/>
      </c>
      <c r="DL1286">
        <f>IF(DB1286="","",IF(AND(COUNTIF($DA$2:$DA$47,DB1286)=0,COUNTIF($DB$2:DB1286,DB1286)=1),1285,""))</f>
        <v/>
      </c>
    </row>
    <row r="1287">
      <c r="DB1287">
        <f>IF('История отказов'!AM90="","",'История отказов'!AM90)</f>
        <v/>
      </c>
      <c r="DL1287">
        <f>IF(DB1287="","",IF(AND(COUNTIF($DA$2:$DA$47,DB1287)=0,COUNTIF($DB$2:DB1287,DB1287)=1),1286,""))</f>
        <v/>
      </c>
    </row>
    <row r="1288">
      <c r="DB1288">
        <f>IF('История отказов'!AM91="","",'История отказов'!AM91)</f>
        <v/>
      </c>
      <c r="DL1288">
        <f>IF(DB1288="","",IF(AND(COUNTIF($DA$2:$DA$47,DB1288)=0,COUNTIF($DB$2:DB1288,DB1288)=1),1287,""))</f>
        <v/>
      </c>
    </row>
    <row r="1289">
      <c r="DB1289">
        <f>IF('История отказов'!AM92="","",'История отказов'!AM92)</f>
        <v/>
      </c>
      <c r="DL1289">
        <f>IF(DB1289="","",IF(AND(COUNTIF($DA$2:$DA$47,DB1289)=0,COUNTIF($DB$2:DB1289,DB1289)=1),1288,""))</f>
        <v/>
      </c>
    </row>
    <row r="1290">
      <c r="DB1290">
        <f>IF('История отказов'!AM93="","",'История отказов'!AM93)</f>
        <v/>
      </c>
      <c r="DL1290">
        <f>IF(DB1290="","",IF(AND(COUNTIF($DA$2:$DA$47,DB1290)=0,COUNTIF($DB$2:DB1290,DB1290)=1),1289,""))</f>
        <v/>
      </c>
    </row>
    <row r="1291">
      <c r="DB1291">
        <f>IF('История отказов'!AM94="","",'История отказов'!AM94)</f>
        <v/>
      </c>
      <c r="DL1291">
        <f>IF(DB1291="","",IF(AND(COUNTIF($DA$2:$DA$47,DB1291)=0,COUNTIF($DB$2:DB1291,DB1291)=1),1290,""))</f>
        <v/>
      </c>
    </row>
    <row r="1292">
      <c r="DB1292">
        <f>IF('История отказов'!AM95="","",'История отказов'!AM95)</f>
        <v/>
      </c>
      <c r="DL1292">
        <f>IF(DB1292="","",IF(AND(COUNTIF($DA$2:$DA$47,DB1292)=0,COUNTIF($DB$2:DB1292,DB1292)=1),1291,""))</f>
        <v/>
      </c>
    </row>
    <row r="1293">
      <c r="DB1293">
        <f>IF('История отказов'!AM96="","",'История отказов'!AM96)</f>
        <v/>
      </c>
      <c r="DL1293">
        <f>IF(DB1293="","",IF(AND(COUNTIF($DA$2:$DA$47,DB1293)=0,COUNTIF($DB$2:DB1293,DB1293)=1),1292,""))</f>
        <v/>
      </c>
    </row>
    <row r="1294">
      <c r="DB1294">
        <f>IF('История отказов'!AM97="","",'История отказов'!AM97)</f>
        <v/>
      </c>
      <c r="DL1294">
        <f>IF(DB1294="","",IF(AND(COUNTIF($DA$2:$DA$47,DB1294)=0,COUNTIF($DB$2:DB1294,DB1294)=1),1293,""))</f>
        <v/>
      </c>
    </row>
    <row r="1295">
      <c r="DB1295">
        <f>IF('История отказов'!AM98="","",'История отказов'!AM98)</f>
        <v/>
      </c>
      <c r="DL1295">
        <f>IF(DB1295="","",IF(AND(COUNTIF($DA$2:$DA$47,DB1295)=0,COUNTIF($DB$2:DB1295,DB1295)=1),1294,""))</f>
        <v/>
      </c>
    </row>
    <row r="1296">
      <c r="DB1296">
        <f>IF('История отказов'!AM99="","",'История отказов'!AM99)</f>
        <v/>
      </c>
      <c r="DL1296">
        <f>IF(DB1296="","",IF(AND(COUNTIF($DA$2:$DA$47,DB1296)=0,COUNTIF($DB$2:DB1296,DB1296)=1),1295,""))</f>
        <v/>
      </c>
    </row>
    <row r="1297">
      <c r="DB1297">
        <f>IF('История отказов'!AM100="","",'История отказов'!AM100)</f>
        <v/>
      </c>
      <c r="DL1297">
        <f>IF(DB1297="","",IF(AND(COUNTIF($DA$2:$DA$47,DB1297)=0,COUNTIF($DB$2:DB1297,DB1297)=1),1296,""))</f>
        <v/>
      </c>
    </row>
    <row r="1298">
      <c r="DB1298">
        <f>IF('История отказов'!AM101="","",'История отказов'!AM101)</f>
        <v/>
      </c>
      <c r="DL1298">
        <f>IF(DB1298="","",IF(AND(COUNTIF($DA$2:$DA$47,DB1298)=0,COUNTIF($DB$2:DB1298,DB1298)=1),1297,""))</f>
        <v/>
      </c>
    </row>
    <row r="1299">
      <c r="DB1299">
        <f>IF('История отказов'!AM102="","",'История отказов'!AM102)</f>
        <v/>
      </c>
      <c r="DL1299">
        <f>IF(DB1299="","",IF(AND(COUNTIF($DA$2:$DA$47,DB1299)=0,COUNTIF($DB$2:DB1299,DB1299)=1),1298,""))</f>
        <v/>
      </c>
    </row>
    <row r="1300">
      <c r="DB1300">
        <f>IF('История отказов'!AM103="","",'История отказов'!AM103)</f>
        <v/>
      </c>
      <c r="DL1300">
        <f>IF(DB1300="","",IF(AND(COUNTIF($DA$2:$DA$47,DB1300)=0,COUNTIF($DB$2:DB1300,DB1300)=1),1299,""))</f>
        <v/>
      </c>
    </row>
    <row r="1301">
      <c r="DB1301">
        <f>IF('История отказов'!AM104="","",'История отказов'!AM104)</f>
        <v/>
      </c>
      <c r="DL1301">
        <f>IF(DB1301="","",IF(AND(COUNTIF($DA$2:$DA$47,DB1301)=0,COUNTIF($DB$2:DB1301,DB1301)=1),1300,""))</f>
        <v/>
      </c>
    </row>
    <row r="1302">
      <c r="DB1302">
        <f>IF('История отказов'!AM105="","",'История отказов'!AM105)</f>
        <v/>
      </c>
      <c r="DL1302">
        <f>IF(DB1302="","",IF(AND(COUNTIF($DA$2:$DA$47,DB1302)=0,COUNTIF($DB$2:DB1302,DB1302)=1),1301,""))</f>
        <v/>
      </c>
    </row>
    <row r="1303">
      <c r="DB1303">
        <f>IF('История отказов'!AM106="","",'История отказов'!AM106)</f>
        <v/>
      </c>
      <c r="DL1303">
        <f>IF(DB1303="","",IF(AND(COUNTIF($DA$2:$DA$47,DB1303)=0,COUNTIF($DB$2:DB1303,DB1303)=1),1302,""))</f>
        <v/>
      </c>
    </row>
    <row r="1304">
      <c r="DB1304">
        <f>IF('История отказов'!AM107="","",'История отказов'!AM107)</f>
        <v/>
      </c>
      <c r="DL1304">
        <f>IF(DB1304="","",IF(AND(COUNTIF($DA$2:$DA$47,DB1304)=0,COUNTIF($DB$2:DB1304,DB1304)=1),1303,""))</f>
        <v/>
      </c>
    </row>
    <row r="1305">
      <c r="DB1305">
        <f>IF('История отказов'!AM108="","",'История отказов'!AM108)</f>
        <v/>
      </c>
      <c r="DL1305">
        <f>IF(DB1305="","",IF(AND(COUNTIF($DA$2:$DA$47,DB1305)=0,COUNTIF($DB$2:DB1305,DB1305)=1),1304,""))</f>
        <v/>
      </c>
    </row>
    <row r="1306">
      <c r="DB1306">
        <f>IF('История отказов'!AM109="","",'История отказов'!AM109)</f>
        <v/>
      </c>
      <c r="DL1306">
        <f>IF(DB1306="","",IF(AND(COUNTIF($DA$2:$DA$47,DB1306)=0,COUNTIF($DB$2:DB1306,DB1306)=1),1305,""))</f>
        <v/>
      </c>
    </row>
    <row r="1307">
      <c r="DB1307">
        <f>IF('История отказов'!AM110="","",'История отказов'!AM110)</f>
        <v/>
      </c>
      <c r="DL1307">
        <f>IF(DB1307="","",IF(AND(COUNTIF($DA$2:$DA$47,DB1307)=0,COUNTIF($DB$2:DB1307,DB1307)=1),1306,""))</f>
        <v/>
      </c>
    </row>
    <row r="1308">
      <c r="DB1308">
        <f>IF('История отказов'!AM111="","",'История отказов'!AM111)</f>
        <v/>
      </c>
      <c r="DL1308">
        <f>IF(DB1308="","",IF(AND(COUNTIF($DA$2:$DA$47,DB1308)=0,COUNTIF($DB$2:DB1308,DB1308)=1),1307,""))</f>
        <v/>
      </c>
    </row>
    <row r="1309">
      <c r="DB1309">
        <f>IF('История отказов'!AM112="","",'История отказов'!AM112)</f>
        <v/>
      </c>
      <c r="DL1309">
        <f>IF(DB1309="","",IF(AND(COUNTIF($DA$2:$DA$47,DB1309)=0,COUNTIF($DB$2:DB1309,DB1309)=1),1308,""))</f>
        <v/>
      </c>
    </row>
    <row r="1310">
      <c r="DB1310">
        <f>IF('История отказов'!AM113="","",'История отказов'!AM113)</f>
        <v/>
      </c>
      <c r="DL1310">
        <f>IF(DB1310="","",IF(AND(COUNTIF($DA$2:$DA$47,DB1310)=0,COUNTIF($DB$2:DB1310,DB1310)=1),1309,""))</f>
        <v/>
      </c>
    </row>
    <row r="1311">
      <c r="DB1311">
        <f>IF('История отказов'!AM114="","",'История отказов'!AM114)</f>
        <v/>
      </c>
      <c r="DL1311">
        <f>IF(DB1311="","",IF(AND(COUNTIF($DA$2:$DA$47,DB1311)=0,COUNTIF($DB$2:DB1311,DB1311)=1),1310,""))</f>
        <v/>
      </c>
    </row>
    <row r="1312">
      <c r="DB1312">
        <f>IF('История отказов'!AM115="","",'История отказов'!AM115)</f>
        <v/>
      </c>
      <c r="DL1312">
        <f>IF(DB1312="","",IF(AND(COUNTIF($DA$2:$DA$47,DB1312)=0,COUNTIF($DB$2:DB1312,DB1312)=1),1311,""))</f>
        <v/>
      </c>
    </row>
    <row r="1313">
      <c r="DB1313">
        <f>IF('История отказов'!AM116="","",'История отказов'!AM116)</f>
        <v/>
      </c>
      <c r="DL1313">
        <f>IF(DB1313="","",IF(AND(COUNTIF($DA$2:$DA$47,DB1313)=0,COUNTIF($DB$2:DB1313,DB1313)=1),1312,""))</f>
        <v/>
      </c>
    </row>
    <row r="1314">
      <c r="DB1314">
        <f>IF('История отказов'!AM117="","",'История отказов'!AM117)</f>
        <v/>
      </c>
      <c r="DL1314">
        <f>IF(DB1314="","",IF(AND(COUNTIF($DA$2:$DA$47,DB1314)=0,COUNTIF($DB$2:DB1314,DB1314)=1),1313,""))</f>
        <v/>
      </c>
    </row>
    <row r="1315">
      <c r="DB1315">
        <f>IF('История отказов'!AM118="","",'История отказов'!AM118)</f>
        <v/>
      </c>
      <c r="DL1315">
        <f>IF(DB1315="","",IF(AND(COUNTIF($DA$2:$DA$47,DB1315)=0,COUNTIF($DB$2:DB1315,DB1315)=1),1314,""))</f>
        <v/>
      </c>
    </row>
    <row r="1316">
      <c r="DB1316">
        <f>IF('История отказов'!AM119="","",'История отказов'!AM119)</f>
        <v/>
      </c>
      <c r="DL1316">
        <f>IF(DB1316="","",IF(AND(COUNTIF($DA$2:$DA$47,DB1316)=0,COUNTIF($DB$2:DB1316,DB1316)=1),1315,""))</f>
        <v/>
      </c>
    </row>
    <row r="1317">
      <c r="DB1317">
        <f>IF('История отказов'!AM120="","",'История отказов'!AM120)</f>
        <v/>
      </c>
      <c r="DL1317">
        <f>IF(DB1317="","",IF(AND(COUNTIF($DA$2:$DA$47,DB1317)=0,COUNTIF($DB$2:DB1317,DB1317)=1),1316,""))</f>
        <v/>
      </c>
    </row>
    <row r="1318">
      <c r="DB1318">
        <f>IF('История отказов'!AM121="","",'История отказов'!AM121)</f>
        <v/>
      </c>
      <c r="DL1318">
        <f>IF(DB1318="","",IF(AND(COUNTIF($DA$2:$DA$47,DB1318)=0,COUNTIF($DB$2:DB1318,DB1318)=1),1317,""))</f>
        <v/>
      </c>
    </row>
    <row r="1319">
      <c r="DB1319">
        <f>IF('История отказов'!AM122="","",'История отказов'!AM122)</f>
        <v/>
      </c>
      <c r="DL1319">
        <f>IF(DB1319="","",IF(AND(COUNTIF($DA$2:$DA$47,DB1319)=0,COUNTIF($DB$2:DB1319,DB1319)=1),1318,""))</f>
        <v/>
      </c>
    </row>
    <row r="1320">
      <c r="DB1320">
        <f>IF('История отказов'!AM123="","",'История отказов'!AM123)</f>
        <v/>
      </c>
      <c r="DL1320">
        <f>IF(DB1320="","",IF(AND(COUNTIF($DA$2:$DA$47,DB1320)=0,COUNTIF($DB$2:DB1320,DB1320)=1),1319,""))</f>
        <v/>
      </c>
    </row>
    <row r="1321">
      <c r="DB1321">
        <f>IF('История отказов'!AM124="","",'История отказов'!AM124)</f>
        <v/>
      </c>
      <c r="DL1321">
        <f>IF(DB1321="","",IF(AND(COUNTIF($DA$2:$DA$47,DB1321)=0,COUNTIF($DB$2:DB1321,DB1321)=1),1320,""))</f>
        <v/>
      </c>
    </row>
    <row r="1322">
      <c r="DB1322">
        <f>IF('История отказов'!AM125="","",'История отказов'!AM125)</f>
        <v/>
      </c>
      <c r="DL1322">
        <f>IF(DB1322="","",IF(AND(COUNTIF($DA$2:$DA$47,DB1322)=0,COUNTIF($DB$2:DB1322,DB1322)=1),1321,""))</f>
        <v/>
      </c>
    </row>
    <row r="1323">
      <c r="DB1323">
        <f>IF('История отказов'!AM126="","",'История отказов'!AM126)</f>
        <v/>
      </c>
      <c r="DL1323">
        <f>IF(DB1323="","",IF(AND(COUNTIF($DA$2:$DA$47,DB1323)=0,COUNTIF($DB$2:DB1323,DB1323)=1),1322,""))</f>
        <v/>
      </c>
    </row>
    <row r="1324">
      <c r="DB1324">
        <f>IF('История отказов'!AM127="","",'История отказов'!AM127)</f>
        <v/>
      </c>
      <c r="DL1324">
        <f>IF(DB1324="","",IF(AND(COUNTIF($DA$2:$DA$47,DB1324)=0,COUNTIF($DB$2:DB1324,DB1324)=1),1323,""))</f>
        <v/>
      </c>
    </row>
    <row r="1325">
      <c r="DB1325">
        <f>IF('История отказов'!AM128="","",'История отказов'!AM128)</f>
        <v/>
      </c>
      <c r="DL1325">
        <f>IF(DB1325="","",IF(AND(COUNTIF($DA$2:$DA$47,DB1325)=0,COUNTIF($DB$2:DB1325,DB1325)=1),1324,""))</f>
        <v/>
      </c>
    </row>
    <row r="1326">
      <c r="DB1326">
        <f>IF('История отказов'!AM129="","",'История отказов'!AM129)</f>
        <v/>
      </c>
      <c r="DL1326">
        <f>IF(DB1326="","",IF(AND(COUNTIF($DA$2:$DA$47,DB1326)=0,COUNTIF($DB$2:DB1326,DB1326)=1),1325,""))</f>
        <v/>
      </c>
    </row>
    <row r="1327">
      <c r="DB1327">
        <f>IF('История отказов'!AM130="","",'История отказов'!AM130)</f>
        <v/>
      </c>
      <c r="DL1327">
        <f>IF(DB1327="","",IF(AND(COUNTIF($DA$2:$DA$47,DB1327)=0,COUNTIF($DB$2:DB1327,DB1327)=1),1326,""))</f>
        <v/>
      </c>
    </row>
    <row r="1328">
      <c r="DB1328">
        <f>IF('История отказов'!AM131="","",'История отказов'!AM131)</f>
        <v/>
      </c>
      <c r="DL1328">
        <f>IF(DB1328="","",IF(AND(COUNTIF($DA$2:$DA$47,DB1328)=0,COUNTIF($DB$2:DB1328,DB1328)=1),1327,""))</f>
        <v/>
      </c>
    </row>
    <row r="1329">
      <c r="DB1329">
        <f>IF('История отказов'!AM132="","",'История отказов'!AM132)</f>
        <v/>
      </c>
      <c r="DL1329">
        <f>IF(DB1329="","",IF(AND(COUNTIF($DA$2:$DA$47,DB1329)=0,COUNTIF($DB$2:DB1329,DB1329)=1),1328,""))</f>
        <v/>
      </c>
    </row>
    <row r="1330">
      <c r="DB1330">
        <f>IF('История отказов'!AM133="","",'История отказов'!AM133)</f>
        <v/>
      </c>
      <c r="DL1330">
        <f>IF(DB1330="","",IF(AND(COUNTIF($DA$2:$DA$47,DB1330)=0,COUNTIF($DB$2:DB1330,DB1330)=1),1329,""))</f>
        <v/>
      </c>
    </row>
    <row r="1331">
      <c r="DB1331">
        <f>IF('История отказов'!AM134="","",'История отказов'!AM134)</f>
        <v/>
      </c>
      <c r="DL1331">
        <f>IF(DB1331="","",IF(AND(COUNTIF($DA$2:$DA$47,DB1331)=0,COUNTIF($DB$2:DB1331,DB1331)=1),1330,""))</f>
        <v/>
      </c>
    </row>
    <row r="1332">
      <c r="DB1332">
        <f>IF('История отказов'!AM135="","",'История отказов'!AM135)</f>
        <v/>
      </c>
      <c r="DL1332">
        <f>IF(DB1332="","",IF(AND(COUNTIF($DA$2:$DA$47,DB1332)=0,COUNTIF($DB$2:DB1332,DB1332)=1),1331,""))</f>
        <v/>
      </c>
    </row>
    <row r="1333">
      <c r="DB1333">
        <f>IF('История отказов'!AM136="","",'История отказов'!AM136)</f>
        <v/>
      </c>
      <c r="DL1333">
        <f>IF(DB1333="","",IF(AND(COUNTIF($DA$2:$DA$47,DB1333)=0,COUNTIF($DB$2:DB1333,DB1333)=1),1332,""))</f>
        <v/>
      </c>
    </row>
    <row r="1334">
      <c r="DB1334">
        <f>IF('История отказов'!AM137="","",'История отказов'!AM137)</f>
        <v/>
      </c>
      <c r="DL1334">
        <f>IF(DB1334="","",IF(AND(COUNTIF($DA$2:$DA$47,DB1334)=0,COUNTIF($DB$2:DB1334,DB1334)=1),1333,""))</f>
        <v/>
      </c>
    </row>
    <row r="1335">
      <c r="DB1335">
        <f>IF('История отказов'!AM138="","",'История отказов'!AM138)</f>
        <v/>
      </c>
      <c r="DL1335">
        <f>IF(DB1335="","",IF(AND(COUNTIF($DA$2:$DA$47,DB1335)=0,COUNTIF($DB$2:DB1335,DB1335)=1),1334,""))</f>
        <v/>
      </c>
    </row>
    <row r="1336">
      <c r="DB1336">
        <f>IF('История отказов'!AM139="","",'История отказов'!AM139)</f>
        <v/>
      </c>
      <c r="DL1336">
        <f>IF(DB1336="","",IF(AND(COUNTIF($DA$2:$DA$47,DB1336)=0,COUNTIF($DB$2:DB1336,DB1336)=1),1335,""))</f>
        <v/>
      </c>
    </row>
    <row r="1337">
      <c r="DB1337">
        <f>IF('История отказов'!AM140="","",'История отказов'!AM140)</f>
        <v/>
      </c>
      <c r="DL1337">
        <f>IF(DB1337="","",IF(AND(COUNTIF($DA$2:$DA$47,DB1337)=0,COUNTIF($DB$2:DB1337,DB1337)=1),1336,""))</f>
        <v/>
      </c>
    </row>
    <row r="1338">
      <c r="DB1338">
        <f>IF('История отказов'!AM141="","",'История отказов'!AM141)</f>
        <v/>
      </c>
      <c r="DL1338">
        <f>IF(DB1338="","",IF(AND(COUNTIF($DA$2:$DA$47,DB1338)=0,COUNTIF($DB$2:DB1338,DB1338)=1),1337,""))</f>
        <v/>
      </c>
    </row>
    <row r="1339">
      <c r="DB1339">
        <f>IF('История отказов'!AM142="","",'История отказов'!AM142)</f>
        <v/>
      </c>
      <c r="DL1339">
        <f>IF(DB1339="","",IF(AND(COUNTIF($DA$2:$DA$47,DB1339)=0,COUNTIF($DB$2:DB1339,DB1339)=1),1338,""))</f>
        <v/>
      </c>
    </row>
    <row r="1340">
      <c r="DB1340">
        <f>IF('История отказов'!AM143="","",'История отказов'!AM143)</f>
        <v/>
      </c>
      <c r="DL1340">
        <f>IF(DB1340="","",IF(AND(COUNTIF($DA$2:$DA$47,DB1340)=0,COUNTIF($DB$2:DB1340,DB1340)=1),1339,""))</f>
        <v/>
      </c>
    </row>
    <row r="1341">
      <c r="DB1341">
        <f>IF('История отказов'!AM144="","",'История отказов'!AM144)</f>
        <v/>
      </c>
      <c r="DL1341">
        <f>IF(DB1341="","",IF(AND(COUNTIF($DA$2:$DA$47,DB1341)=0,COUNTIF($DB$2:DB1341,DB1341)=1),1340,""))</f>
        <v/>
      </c>
    </row>
    <row r="1342">
      <c r="DB1342">
        <f>IF('История отказов'!AM145="","",'История отказов'!AM145)</f>
        <v/>
      </c>
      <c r="DL1342">
        <f>IF(DB1342="","",IF(AND(COUNTIF($DA$2:$DA$47,DB1342)=0,COUNTIF($DB$2:DB1342,DB1342)=1),1341,""))</f>
        <v/>
      </c>
    </row>
    <row r="1343">
      <c r="DB1343">
        <f>IF('История отказов'!AM146="","",'История отказов'!AM146)</f>
        <v/>
      </c>
      <c r="DL1343">
        <f>IF(DB1343="","",IF(AND(COUNTIF($DA$2:$DA$47,DB1343)=0,COUNTIF($DB$2:DB1343,DB1343)=1),1342,""))</f>
        <v/>
      </c>
    </row>
    <row r="1344">
      <c r="DB1344">
        <f>IF('История отказов'!AM147="","",'История отказов'!AM147)</f>
        <v/>
      </c>
      <c r="DL1344">
        <f>IF(DB1344="","",IF(AND(COUNTIF($DA$2:$DA$47,DB1344)=0,COUNTIF($DB$2:DB1344,DB1344)=1),1343,""))</f>
        <v/>
      </c>
    </row>
    <row r="1345">
      <c r="DB1345">
        <f>IF('История отказов'!AM148="","",'История отказов'!AM148)</f>
        <v/>
      </c>
      <c r="DL1345">
        <f>IF(DB1345="","",IF(AND(COUNTIF($DA$2:$DA$47,DB1345)=0,COUNTIF($DB$2:DB1345,DB1345)=1),1344,""))</f>
        <v/>
      </c>
    </row>
    <row r="1346">
      <c r="DB1346">
        <f>IF('История отказов'!AM149="","",'История отказов'!AM149)</f>
        <v/>
      </c>
      <c r="DL1346">
        <f>IF(DB1346="","",IF(AND(COUNTIF($DA$2:$DA$47,DB1346)=0,COUNTIF($DB$2:DB1346,DB1346)=1),1345,""))</f>
        <v/>
      </c>
    </row>
    <row r="1347">
      <c r="DB1347">
        <f>IF('История отказов'!AM150="","",'История отказов'!AM150)</f>
        <v/>
      </c>
      <c r="DL1347">
        <f>IF(DB1347="","",IF(AND(COUNTIF($DA$2:$DA$47,DB1347)=0,COUNTIF($DB$2:DB1347,DB1347)=1),1346,""))</f>
        <v/>
      </c>
    </row>
    <row r="1348">
      <c r="DB1348">
        <f>IF('История отказов'!AM151="","",'История отказов'!AM151)</f>
        <v/>
      </c>
      <c r="DL1348">
        <f>IF(DB1348="","",IF(AND(COUNTIF($DA$2:$DA$47,DB1348)=0,COUNTIF($DB$2:DB1348,DB1348)=1),1347,""))</f>
        <v/>
      </c>
    </row>
    <row r="1349">
      <c r="DB1349">
        <f>IF('История отказов'!AM152="","",'История отказов'!AM152)</f>
        <v/>
      </c>
      <c r="DL1349">
        <f>IF(DB1349="","",IF(AND(COUNTIF($DA$2:$DA$47,DB1349)=0,COUNTIF($DB$2:DB1349,DB1349)=1),1348,""))</f>
        <v/>
      </c>
    </row>
    <row r="1350">
      <c r="DB1350">
        <f>IF('История отказов'!AM153="","",'История отказов'!AM153)</f>
        <v/>
      </c>
      <c r="DL1350">
        <f>IF(DB1350="","",IF(AND(COUNTIF($DA$2:$DA$47,DB1350)=0,COUNTIF($DB$2:DB1350,DB1350)=1),1349,""))</f>
        <v/>
      </c>
    </row>
    <row r="1351">
      <c r="DB1351">
        <f>IF('История отказов'!AM154="","",'История отказов'!AM154)</f>
        <v/>
      </c>
      <c r="DL1351">
        <f>IF(DB1351="","",IF(AND(COUNTIF($DA$2:$DA$47,DB1351)=0,COUNTIF($DB$2:DB1351,DB1351)=1),1350,""))</f>
        <v/>
      </c>
    </row>
    <row r="1352">
      <c r="DB1352">
        <f>IF('История отказов'!AM155="","",'История отказов'!AM155)</f>
        <v/>
      </c>
      <c r="DL1352">
        <f>IF(DB1352="","",IF(AND(COUNTIF($DA$2:$DA$47,DB1352)=0,COUNTIF($DB$2:DB1352,DB1352)=1),1351,""))</f>
        <v/>
      </c>
    </row>
    <row r="1353">
      <c r="DB1353">
        <f>IF('История отказов'!AM156="","",'История отказов'!AM156)</f>
        <v/>
      </c>
      <c r="DL1353">
        <f>IF(DB1353="","",IF(AND(COUNTIF($DA$2:$DA$47,DB1353)=0,COUNTIF($DB$2:DB1353,DB1353)=1),1352,""))</f>
        <v/>
      </c>
    </row>
    <row r="1354">
      <c r="DB1354">
        <f>IF('История отказов'!AM157="","",'История отказов'!AM157)</f>
        <v/>
      </c>
      <c r="DL1354">
        <f>IF(DB1354="","",IF(AND(COUNTIF($DA$2:$DA$47,DB1354)=0,COUNTIF($DB$2:DB1354,DB1354)=1),1353,""))</f>
        <v/>
      </c>
    </row>
    <row r="1355">
      <c r="DB1355">
        <f>IF('История отказов'!AM158="","",'История отказов'!AM158)</f>
        <v/>
      </c>
      <c r="DL1355">
        <f>IF(DB1355="","",IF(AND(COUNTIF($DA$2:$DA$47,DB1355)=0,COUNTIF($DB$2:DB1355,DB1355)=1),1354,""))</f>
        <v/>
      </c>
    </row>
    <row r="1356">
      <c r="DB1356">
        <f>IF('История отказов'!AM159="","",'История отказов'!AM159)</f>
        <v/>
      </c>
      <c r="DL1356">
        <f>IF(DB1356="","",IF(AND(COUNTIF($DA$2:$DA$47,DB1356)=0,COUNTIF($DB$2:DB1356,DB1356)=1),1355,""))</f>
        <v/>
      </c>
    </row>
    <row r="1357">
      <c r="DB1357">
        <f>IF('История отказов'!AM160="","",'История отказов'!AM160)</f>
        <v/>
      </c>
      <c r="DL1357">
        <f>IF(DB1357="","",IF(AND(COUNTIF($DA$2:$DA$47,DB1357)=0,COUNTIF($DB$2:DB1357,DB1357)=1),1356,""))</f>
        <v/>
      </c>
    </row>
    <row r="1358">
      <c r="DB1358">
        <f>IF('История отказов'!AM161="","",'История отказов'!AM161)</f>
        <v/>
      </c>
      <c r="DL1358">
        <f>IF(DB1358="","",IF(AND(COUNTIF($DA$2:$DA$47,DB1358)=0,COUNTIF($DB$2:DB1358,DB1358)=1),1357,""))</f>
        <v/>
      </c>
    </row>
    <row r="1359">
      <c r="DB1359">
        <f>IF('История отказов'!AM162="","",'История отказов'!AM162)</f>
        <v/>
      </c>
      <c r="DL1359">
        <f>IF(DB1359="","",IF(AND(COUNTIF($DA$2:$DA$47,DB1359)=0,COUNTIF($DB$2:DB1359,DB1359)=1),1358,""))</f>
        <v/>
      </c>
    </row>
    <row r="1360">
      <c r="DB1360">
        <f>IF('История отказов'!AM163="","",'История отказов'!AM163)</f>
        <v/>
      </c>
      <c r="DL1360">
        <f>IF(DB1360="","",IF(AND(COUNTIF($DA$2:$DA$47,DB1360)=0,COUNTIF($DB$2:DB1360,DB1360)=1),1359,""))</f>
        <v/>
      </c>
    </row>
    <row r="1361">
      <c r="DB1361">
        <f>IF('История отказов'!AM164="","",'История отказов'!AM164)</f>
        <v/>
      </c>
      <c r="DL1361">
        <f>IF(DB1361="","",IF(AND(COUNTIF($DA$2:$DA$47,DB1361)=0,COUNTIF($DB$2:DB1361,DB1361)=1),1360,""))</f>
        <v/>
      </c>
    </row>
    <row r="1362">
      <c r="DB1362">
        <f>IF('История отказов'!AM165="","",'История отказов'!AM165)</f>
        <v/>
      </c>
      <c r="DL1362">
        <f>IF(DB1362="","",IF(AND(COUNTIF($DA$2:$DA$47,DB1362)=0,COUNTIF($DB$2:DB1362,DB1362)=1),1361,""))</f>
        <v/>
      </c>
    </row>
    <row r="1363">
      <c r="DB1363">
        <f>IF('История отказов'!AM166="","",'История отказов'!AM166)</f>
        <v/>
      </c>
      <c r="DL1363">
        <f>IF(DB1363="","",IF(AND(COUNTIF($DA$2:$DA$47,DB1363)=0,COUNTIF($DB$2:DB1363,DB1363)=1),1362,""))</f>
        <v/>
      </c>
    </row>
    <row r="1364">
      <c r="DB1364">
        <f>IF('История отказов'!AM167="","",'История отказов'!AM167)</f>
        <v/>
      </c>
      <c r="DL1364">
        <f>IF(DB1364="","",IF(AND(COUNTIF($DA$2:$DA$47,DB1364)=0,COUNTIF($DB$2:DB1364,DB1364)=1),1363,""))</f>
        <v/>
      </c>
    </row>
    <row r="1365">
      <c r="DB1365">
        <f>IF('История отказов'!AM168="","",'История отказов'!AM168)</f>
        <v/>
      </c>
      <c r="DL1365">
        <f>IF(DB1365="","",IF(AND(COUNTIF($DA$2:$DA$47,DB1365)=0,COUNTIF($DB$2:DB1365,DB1365)=1),1364,""))</f>
        <v/>
      </c>
    </row>
    <row r="1366">
      <c r="DB1366">
        <f>IF('История отказов'!AM169="","",'История отказов'!AM169)</f>
        <v/>
      </c>
      <c r="DL1366">
        <f>IF(DB1366="","",IF(AND(COUNTIF($DA$2:$DA$47,DB1366)=0,COUNTIF($DB$2:DB1366,DB1366)=1),1365,""))</f>
        <v/>
      </c>
    </row>
    <row r="1367">
      <c r="DB1367">
        <f>IF('История отказов'!AM170="","",'История отказов'!AM170)</f>
        <v/>
      </c>
      <c r="DL1367">
        <f>IF(DB1367="","",IF(AND(COUNTIF($DA$2:$DA$47,DB1367)=0,COUNTIF($DB$2:DB1367,DB1367)=1),1366,""))</f>
        <v/>
      </c>
    </row>
    <row r="1368">
      <c r="DB1368">
        <f>IF('История отказов'!AM171="","",'История отказов'!AM171)</f>
        <v/>
      </c>
      <c r="DL1368">
        <f>IF(DB1368="","",IF(AND(COUNTIF($DA$2:$DA$47,DB1368)=0,COUNTIF($DB$2:DB1368,DB1368)=1),1367,""))</f>
        <v/>
      </c>
    </row>
    <row r="1369">
      <c r="DB1369">
        <f>IF('История отказов'!AM172="","",'История отказов'!AM172)</f>
        <v/>
      </c>
      <c r="DL1369">
        <f>IF(DB1369="","",IF(AND(COUNTIF($DA$2:$DA$47,DB1369)=0,COUNTIF($DB$2:DB1369,DB1369)=1),1368,""))</f>
        <v/>
      </c>
    </row>
    <row r="1370">
      <c r="DB1370">
        <f>IF('История отказов'!AM173="","",'История отказов'!AM173)</f>
        <v/>
      </c>
      <c r="DL1370">
        <f>IF(DB1370="","",IF(AND(COUNTIF($DA$2:$DA$47,DB1370)=0,COUNTIF($DB$2:DB1370,DB1370)=1),1369,""))</f>
        <v/>
      </c>
    </row>
    <row r="1371">
      <c r="DB1371">
        <f>IF('История отказов'!AM174="","",'История отказов'!AM174)</f>
        <v/>
      </c>
      <c r="DL1371">
        <f>IF(DB1371="","",IF(AND(COUNTIF($DA$2:$DA$47,DB1371)=0,COUNTIF($DB$2:DB1371,DB1371)=1),1370,""))</f>
        <v/>
      </c>
    </row>
    <row r="1372">
      <c r="DB1372">
        <f>IF('История отказов'!AM175="","",'История отказов'!AM175)</f>
        <v/>
      </c>
      <c r="DL1372">
        <f>IF(DB1372="","",IF(AND(COUNTIF($DA$2:$DA$47,DB1372)=0,COUNTIF($DB$2:DB1372,DB1372)=1),1371,""))</f>
        <v/>
      </c>
    </row>
    <row r="1373">
      <c r="DB1373">
        <f>IF('История отказов'!AM176="","",'История отказов'!AM176)</f>
        <v/>
      </c>
      <c r="DL1373">
        <f>IF(DB1373="","",IF(AND(COUNTIF($DA$2:$DA$47,DB1373)=0,COUNTIF($DB$2:DB1373,DB1373)=1),1372,""))</f>
        <v/>
      </c>
    </row>
    <row r="1374">
      <c r="DB1374">
        <f>IF('История отказов'!AM177="","",'История отказов'!AM177)</f>
        <v/>
      </c>
      <c r="DL1374">
        <f>IF(DB1374="","",IF(AND(COUNTIF($DA$2:$DA$47,DB1374)=0,COUNTIF($DB$2:DB1374,DB1374)=1),1373,""))</f>
        <v/>
      </c>
    </row>
    <row r="1375">
      <c r="DB1375">
        <f>IF('История отказов'!AM178="","",'История отказов'!AM178)</f>
        <v/>
      </c>
      <c r="DL1375">
        <f>IF(DB1375="","",IF(AND(COUNTIF($DA$2:$DA$47,DB1375)=0,COUNTIF($DB$2:DB1375,DB1375)=1),1374,""))</f>
        <v/>
      </c>
    </row>
    <row r="1376">
      <c r="DB1376">
        <f>IF('История отказов'!AM179="","",'История отказов'!AM179)</f>
        <v/>
      </c>
      <c r="DL1376">
        <f>IF(DB1376="","",IF(AND(COUNTIF($DA$2:$DA$47,DB1376)=0,COUNTIF($DB$2:DB1376,DB1376)=1),1375,""))</f>
        <v/>
      </c>
    </row>
    <row r="1377">
      <c r="DB1377">
        <f>IF('История отказов'!AM180="","",'История отказов'!AM180)</f>
        <v/>
      </c>
      <c r="DL1377">
        <f>IF(DB1377="","",IF(AND(COUNTIF($DA$2:$DA$47,DB1377)=0,COUNTIF($DB$2:DB1377,DB1377)=1),1376,""))</f>
        <v/>
      </c>
    </row>
    <row r="1378">
      <c r="DB1378">
        <f>IF('История отказов'!AM181="","",'История отказов'!AM181)</f>
        <v/>
      </c>
      <c r="DL1378">
        <f>IF(DB1378="","",IF(AND(COUNTIF($DA$2:$DA$47,DB1378)=0,COUNTIF($DB$2:DB1378,DB1378)=1),1377,""))</f>
        <v/>
      </c>
    </row>
    <row r="1379">
      <c r="DB1379">
        <f>IF('История отказов'!AM182="","",'История отказов'!AM182)</f>
        <v/>
      </c>
      <c r="DL1379">
        <f>IF(DB1379="","",IF(AND(COUNTIF($DA$2:$DA$47,DB1379)=0,COUNTIF($DB$2:DB1379,DB1379)=1),1378,""))</f>
        <v/>
      </c>
    </row>
    <row r="1380">
      <c r="DB1380">
        <f>IF('История отказов'!AM183="","",'История отказов'!AM183)</f>
        <v/>
      </c>
      <c r="DL1380">
        <f>IF(DB1380="","",IF(AND(COUNTIF($DA$2:$DA$47,DB1380)=0,COUNTIF($DB$2:DB1380,DB1380)=1),1379,""))</f>
        <v/>
      </c>
    </row>
    <row r="1381">
      <c r="DB1381">
        <f>IF('История отказов'!AM184="","",'История отказов'!AM184)</f>
        <v/>
      </c>
      <c r="DL1381">
        <f>IF(DB1381="","",IF(AND(COUNTIF($DA$2:$DA$47,DB1381)=0,COUNTIF($DB$2:DB1381,DB1381)=1),1380,""))</f>
        <v/>
      </c>
    </row>
    <row r="1382">
      <c r="DB1382">
        <f>IF('История отказов'!AM185="","",'История отказов'!AM185)</f>
        <v/>
      </c>
      <c r="DL1382">
        <f>IF(DB1382="","",IF(AND(COUNTIF($DA$2:$DA$47,DB1382)=0,COUNTIF($DB$2:DB1382,DB1382)=1),1381,""))</f>
        <v/>
      </c>
    </row>
    <row r="1383">
      <c r="DB1383">
        <f>IF('История отказов'!AM186="","",'История отказов'!AM186)</f>
        <v/>
      </c>
      <c r="DL1383">
        <f>IF(DB1383="","",IF(AND(COUNTIF($DA$2:$DA$47,DB1383)=0,COUNTIF($DB$2:DB1383,DB1383)=1),1382,""))</f>
        <v/>
      </c>
    </row>
    <row r="1384">
      <c r="DB1384">
        <f>IF('История отказов'!AM187="","",'История отказов'!AM187)</f>
        <v/>
      </c>
      <c r="DL1384">
        <f>IF(DB1384="","",IF(AND(COUNTIF($DA$2:$DA$47,DB1384)=0,COUNTIF($DB$2:DB1384,DB1384)=1),1383,""))</f>
        <v/>
      </c>
    </row>
    <row r="1385">
      <c r="DB1385">
        <f>IF('История отказов'!AM188="","",'История отказов'!AM188)</f>
        <v/>
      </c>
      <c r="DL1385">
        <f>IF(DB1385="","",IF(AND(COUNTIF($DA$2:$DA$47,DB1385)=0,COUNTIF($DB$2:DB1385,DB1385)=1),1384,""))</f>
        <v/>
      </c>
    </row>
    <row r="1386">
      <c r="DB1386">
        <f>IF('История отказов'!AM189="","",'История отказов'!AM189)</f>
        <v/>
      </c>
      <c r="DL1386">
        <f>IF(DB1386="","",IF(AND(COUNTIF($DA$2:$DA$47,DB1386)=0,COUNTIF($DB$2:DB1386,DB1386)=1),1385,""))</f>
        <v/>
      </c>
    </row>
    <row r="1387">
      <c r="DB1387">
        <f>IF('История отказов'!AM190="","",'История отказов'!AM190)</f>
        <v/>
      </c>
      <c r="DL1387">
        <f>IF(DB1387="","",IF(AND(COUNTIF($DA$2:$DA$47,DB1387)=0,COUNTIF($DB$2:DB1387,DB1387)=1),1386,""))</f>
        <v/>
      </c>
    </row>
    <row r="1388">
      <c r="DB1388">
        <f>IF('История отказов'!AM191="","",'История отказов'!AM191)</f>
        <v/>
      </c>
      <c r="DL1388">
        <f>IF(DB1388="","",IF(AND(COUNTIF($DA$2:$DA$47,DB1388)=0,COUNTIF($DB$2:DB1388,DB1388)=1),1387,""))</f>
        <v/>
      </c>
    </row>
    <row r="1389">
      <c r="DB1389">
        <f>IF('История отказов'!AM192="","",'История отказов'!AM192)</f>
        <v/>
      </c>
      <c r="DL1389">
        <f>IF(DB1389="","",IF(AND(COUNTIF($DA$2:$DA$47,DB1389)=0,COUNTIF($DB$2:DB1389,DB1389)=1),1388,""))</f>
        <v/>
      </c>
    </row>
    <row r="1390">
      <c r="DB1390">
        <f>IF('История отказов'!AM193="","",'История отказов'!AM193)</f>
        <v/>
      </c>
      <c r="DL1390">
        <f>IF(DB1390="","",IF(AND(COUNTIF($DA$2:$DA$47,DB1390)=0,COUNTIF($DB$2:DB1390,DB1390)=1),1389,""))</f>
        <v/>
      </c>
    </row>
    <row r="1391">
      <c r="DB1391">
        <f>IF('История отказов'!AM194="","",'История отказов'!AM194)</f>
        <v/>
      </c>
      <c r="DL1391">
        <f>IF(DB1391="","",IF(AND(COUNTIF($DA$2:$DA$47,DB1391)=0,COUNTIF($DB$2:DB1391,DB1391)=1),1390,""))</f>
        <v/>
      </c>
    </row>
    <row r="1392">
      <c r="DB1392">
        <f>IF('История отказов'!AM195="","",'История отказов'!AM195)</f>
        <v/>
      </c>
      <c r="DL1392">
        <f>IF(DB1392="","",IF(AND(COUNTIF($DA$2:$DA$47,DB1392)=0,COUNTIF($DB$2:DB1392,DB1392)=1),1391,""))</f>
        <v/>
      </c>
    </row>
    <row r="1393">
      <c r="DB1393">
        <f>IF('История отказов'!AM196="","",'История отказов'!AM196)</f>
        <v/>
      </c>
      <c r="DL1393">
        <f>IF(DB1393="","",IF(AND(COUNTIF($DA$2:$DA$47,DB1393)=0,COUNTIF($DB$2:DB1393,DB1393)=1),1392,""))</f>
        <v/>
      </c>
    </row>
    <row r="1394">
      <c r="DB1394">
        <f>IF('История отказов'!AM197="","",'История отказов'!AM197)</f>
        <v/>
      </c>
      <c r="DL1394">
        <f>IF(DB1394="","",IF(AND(COUNTIF($DA$2:$DA$47,DB1394)=0,COUNTIF($DB$2:DB1394,DB1394)=1),1393,""))</f>
        <v/>
      </c>
    </row>
    <row r="1395">
      <c r="DB1395">
        <f>IF('История отказов'!AM198="","",'История отказов'!AM198)</f>
        <v/>
      </c>
      <c r="DL1395">
        <f>IF(DB1395="","",IF(AND(COUNTIF($DA$2:$DA$47,DB1395)=0,COUNTIF($DB$2:DB1395,DB1395)=1),1394,""))</f>
        <v/>
      </c>
    </row>
    <row r="1396">
      <c r="DB1396">
        <f>IF('История отказов'!AM199="","",'История отказов'!AM199)</f>
        <v/>
      </c>
      <c r="DL1396">
        <f>IF(DB1396="","",IF(AND(COUNTIF($DA$2:$DA$47,DB1396)=0,COUNTIF($DB$2:DB1396,DB1396)=1),1395,""))</f>
        <v/>
      </c>
    </row>
    <row r="1397">
      <c r="DB1397">
        <f>IF('История отказов'!AM200="","",'История отказов'!AM200)</f>
        <v/>
      </c>
      <c r="DL1397">
        <f>IF(DB1397="","",IF(AND(COUNTIF($DA$2:$DA$47,DB1397)=0,COUNTIF($DB$2:DB1397,DB1397)=1),1396,""))</f>
        <v/>
      </c>
    </row>
    <row r="1398">
      <c r="DB1398">
        <f>IF('История отказов'!AM201="","",'История отказов'!AM201)</f>
        <v/>
      </c>
      <c r="DL1398">
        <f>IF(DB1398="","",IF(AND(COUNTIF($DA$2:$DA$47,DB1398)=0,COUNTIF($DB$2:DB1398,DB1398)=1),1397,""))</f>
        <v/>
      </c>
    </row>
    <row r="1399">
      <c r="DB1399">
        <f>IF('История отказов'!AM202="","",'История отказов'!AM202)</f>
        <v/>
      </c>
      <c r="DL1399">
        <f>IF(DB1399="","",IF(AND(COUNTIF($DA$2:$DA$47,DB1399)=0,COUNTIF($DB$2:DB1399,DB1399)=1),1398,""))</f>
        <v/>
      </c>
    </row>
    <row r="1400">
      <c r="DB1400">
        <f>IF('История отказов'!AM203="","",'История отказов'!AM203)</f>
        <v/>
      </c>
      <c r="DL1400">
        <f>IF(DB1400="","",IF(AND(COUNTIF($DA$2:$DA$47,DB1400)=0,COUNTIF($DB$2:DB1400,DB1400)=1),1399,""))</f>
        <v/>
      </c>
    </row>
    <row r="1401">
      <c r="DB1401">
        <f>IF('История отказов'!AM204="","",'История отказов'!AM204)</f>
        <v/>
      </c>
      <c r="DL1401">
        <f>IF(DB1401="","",IF(AND(COUNTIF($DA$2:$DA$47,DB1401)=0,COUNTIF($DB$2:DB1401,DB1401)=1),1400,""))</f>
        <v/>
      </c>
    </row>
    <row r="1402">
      <c r="DB1402">
        <f>IF('История отказов'!AM205="","",'История отказов'!AM205)</f>
        <v/>
      </c>
      <c r="DL1402">
        <f>IF(DB1402="","",IF(AND(COUNTIF($DA$2:$DA$47,DB1402)=0,COUNTIF($DB$2:DB1402,DB1402)=1),1401,""))</f>
        <v/>
      </c>
    </row>
    <row r="1403">
      <c r="DB1403">
        <f>IF('История отказов'!AM206="","",'История отказов'!AM206)</f>
        <v/>
      </c>
      <c r="DL1403">
        <f>IF(DB1403="","",IF(AND(COUNTIF($DA$2:$DA$47,DB1403)=0,COUNTIF($DB$2:DB1403,DB1403)=1),1402,""))</f>
        <v/>
      </c>
    </row>
    <row r="1404">
      <c r="DB1404">
        <f>IF('История отказов'!AM207="","",'История отказов'!AM207)</f>
        <v/>
      </c>
      <c r="DL1404">
        <f>IF(DB1404="","",IF(AND(COUNTIF($DA$2:$DA$47,DB1404)=0,COUNTIF($DB$2:DB1404,DB1404)=1),1403,""))</f>
        <v/>
      </c>
    </row>
    <row r="1405">
      <c r="DB1405">
        <f>IF('История отказов'!AM208="","",'История отказов'!AM208)</f>
        <v/>
      </c>
      <c r="DL1405">
        <f>IF(DB1405="","",IF(AND(COUNTIF($DA$2:$DA$47,DB1405)=0,COUNTIF($DB$2:DB1405,DB1405)=1),1404,""))</f>
        <v/>
      </c>
    </row>
    <row r="1406">
      <c r="DB1406">
        <f>IF('История отказов'!AM209="","",'История отказов'!AM209)</f>
        <v/>
      </c>
      <c r="DL1406">
        <f>IF(DB1406="","",IF(AND(COUNTIF($DA$2:$DA$47,DB1406)=0,COUNTIF($DB$2:DB1406,DB1406)=1),1405,""))</f>
        <v/>
      </c>
    </row>
    <row r="1407">
      <c r="DB1407">
        <f>IF('История отказов'!AM210="","",'История отказов'!AM210)</f>
        <v/>
      </c>
      <c r="DL1407">
        <f>IF(DB1407="","",IF(AND(COUNTIF($DA$2:$DA$47,DB1407)=0,COUNTIF($DB$2:DB1407,DB1407)=1),1406,""))</f>
        <v/>
      </c>
    </row>
    <row r="1408">
      <c r="DB1408">
        <f>IF('История отказов'!AM211="","",'История отказов'!AM211)</f>
        <v/>
      </c>
      <c r="DL1408">
        <f>IF(DB1408="","",IF(AND(COUNTIF($DA$2:$DA$47,DB1408)=0,COUNTIF($DB$2:DB1408,DB1408)=1),1407,""))</f>
        <v/>
      </c>
    </row>
    <row r="1409">
      <c r="DB1409">
        <f>IF('История отказов'!AM212="","",'История отказов'!AM212)</f>
        <v/>
      </c>
      <c r="DL1409">
        <f>IF(DB1409="","",IF(AND(COUNTIF($DA$2:$DA$47,DB1409)=0,COUNTIF($DB$2:DB1409,DB1409)=1),1408,""))</f>
        <v/>
      </c>
    </row>
    <row r="1410">
      <c r="DB1410">
        <f>IF('История отказов'!AM213="","",'История отказов'!AM213)</f>
        <v/>
      </c>
      <c r="DL1410">
        <f>IF(DB1410="","",IF(AND(COUNTIF($DA$2:$DA$47,DB1410)=0,COUNTIF($DB$2:DB1410,DB1410)=1),1409,""))</f>
        <v/>
      </c>
    </row>
    <row r="1411">
      <c r="DB1411">
        <f>IF('История отказов'!AM214="","",'История отказов'!AM214)</f>
        <v/>
      </c>
      <c r="DL1411">
        <f>IF(DB1411="","",IF(AND(COUNTIF($DA$2:$DA$47,DB1411)=0,COUNTIF($DB$2:DB1411,DB1411)=1),1410,""))</f>
        <v/>
      </c>
    </row>
    <row r="1412">
      <c r="DB1412">
        <f>IF('История отказов'!AM215="","",'История отказов'!AM215)</f>
        <v/>
      </c>
      <c r="DL1412">
        <f>IF(DB1412="","",IF(AND(COUNTIF($DA$2:$DA$47,DB1412)=0,COUNTIF($DB$2:DB1412,DB1412)=1),1411,""))</f>
        <v/>
      </c>
    </row>
    <row r="1413">
      <c r="DB1413">
        <f>IF('История отказов'!AM216="","",'История отказов'!AM216)</f>
        <v/>
      </c>
      <c r="DL1413">
        <f>IF(DB1413="","",IF(AND(COUNTIF($DA$2:$DA$47,DB1413)=0,COUNTIF($DB$2:DB1413,DB1413)=1),1412,""))</f>
        <v/>
      </c>
    </row>
    <row r="1414">
      <c r="DB1414">
        <f>IF('История отказов'!AM217="","",'История отказов'!AM217)</f>
        <v/>
      </c>
      <c r="DL1414">
        <f>IF(DB1414="","",IF(AND(COUNTIF($DA$2:$DA$47,DB1414)=0,COUNTIF($DB$2:DB1414,DB1414)=1),1413,""))</f>
        <v/>
      </c>
    </row>
    <row r="1415">
      <c r="DB1415">
        <f>IF('История отказов'!AM218="","",'История отказов'!AM218)</f>
        <v/>
      </c>
      <c r="DL1415">
        <f>IF(DB1415="","",IF(AND(COUNTIF($DA$2:$DA$47,DB1415)=0,COUNTIF($DB$2:DB1415,DB1415)=1),1414,""))</f>
        <v/>
      </c>
    </row>
    <row r="1416">
      <c r="DB1416">
        <f>IF('История отказов'!AM219="","",'История отказов'!AM219)</f>
        <v/>
      </c>
      <c r="DL1416">
        <f>IF(DB1416="","",IF(AND(COUNTIF($DA$2:$DA$47,DB1416)=0,COUNTIF($DB$2:DB1416,DB1416)=1),1415,""))</f>
        <v/>
      </c>
    </row>
    <row r="1417">
      <c r="DB1417">
        <f>IF('История отказов'!AM220="","",'История отказов'!AM220)</f>
        <v/>
      </c>
      <c r="DL1417">
        <f>IF(DB1417="","",IF(AND(COUNTIF($DA$2:$DA$47,DB1417)=0,COUNTIF($DB$2:DB1417,DB1417)=1),1416,""))</f>
        <v/>
      </c>
    </row>
    <row r="1418">
      <c r="DB1418">
        <f>IF('История отказов'!AM221="","",'История отказов'!AM221)</f>
        <v/>
      </c>
      <c r="DL1418">
        <f>IF(DB1418="","",IF(AND(COUNTIF($DA$2:$DA$47,DB1418)=0,COUNTIF($DB$2:DB1418,DB1418)=1),1417,""))</f>
        <v/>
      </c>
    </row>
    <row r="1419">
      <c r="DB1419">
        <f>IF('История отказов'!AM222="","",'История отказов'!AM222)</f>
        <v/>
      </c>
      <c r="DL1419">
        <f>IF(DB1419="","",IF(AND(COUNTIF($DA$2:$DA$47,DB1419)=0,COUNTIF($DB$2:DB1419,DB1419)=1),1418,""))</f>
        <v/>
      </c>
    </row>
    <row r="1420">
      <c r="DB1420">
        <f>IF('История отказов'!AM223="","",'История отказов'!AM223)</f>
        <v/>
      </c>
      <c r="DL1420">
        <f>IF(DB1420="","",IF(AND(COUNTIF($DA$2:$DA$47,DB1420)=0,COUNTIF($DB$2:DB1420,DB1420)=1),1419,""))</f>
        <v/>
      </c>
    </row>
    <row r="1421">
      <c r="DB1421">
        <f>IF('История отказов'!AM224="","",'История отказов'!AM224)</f>
        <v/>
      </c>
      <c r="DL1421">
        <f>IF(DB1421="","",IF(AND(COUNTIF($DA$2:$DA$47,DB1421)=0,COUNTIF($DB$2:DB1421,DB1421)=1),1420,""))</f>
        <v/>
      </c>
    </row>
    <row r="1422">
      <c r="DB1422">
        <f>IF('История отказов'!AM225="","",'История отказов'!AM225)</f>
        <v/>
      </c>
      <c r="DL1422">
        <f>IF(DB1422="","",IF(AND(COUNTIF($DA$2:$DA$47,DB1422)=0,COUNTIF($DB$2:DB1422,DB1422)=1),1421,""))</f>
        <v/>
      </c>
    </row>
    <row r="1423">
      <c r="DB1423">
        <f>IF('История отказов'!AM226="","",'История отказов'!AM226)</f>
        <v/>
      </c>
      <c r="DL1423">
        <f>IF(DB1423="","",IF(AND(COUNTIF($DA$2:$DA$47,DB1423)=0,COUNTIF($DB$2:DB1423,DB1423)=1),1422,""))</f>
        <v/>
      </c>
    </row>
    <row r="1424">
      <c r="DB1424">
        <f>IF('История отказов'!AM227="","",'История отказов'!AM227)</f>
        <v/>
      </c>
      <c r="DL1424">
        <f>IF(DB1424="","",IF(AND(COUNTIF($DA$2:$DA$47,DB1424)=0,COUNTIF($DB$2:DB1424,DB1424)=1),1423,""))</f>
        <v/>
      </c>
    </row>
    <row r="1425">
      <c r="DB1425">
        <f>IF('История отказов'!AM228="","",'История отказов'!AM228)</f>
        <v/>
      </c>
      <c r="DL1425">
        <f>IF(DB1425="","",IF(AND(COUNTIF($DA$2:$DA$47,DB1425)=0,COUNTIF($DB$2:DB1425,DB1425)=1),1424,""))</f>
        <v/>
      </c>
    </row>
    <row r="1426">
      <c r="DB1426">
        <f>IF('История отказов'!AM229="","",'История отказов'!AM229)</f>
        <v/>
      </c>
      <c r="DL1426">
        <f>IF(DB1426="","",IF(AND(COUNTIF($DA$2:$DA$47,DB1426)=0,COUNTIF($DB$2:DB1426,DB1426)=1),1425,""))</f>
        <v/>
      </c>
    </row>
    <row r="1427">
      <c r="DB1427">
        <f>IF('История отказов'!AM230="","",'История отказов'!AM230)</f>
        <v/>
      </c>
      <c r="DL1427">
        <f>IF(DB1427="","",IF(AND(COUNTIF($DA$2:$DA$47,DB1427)=0,COUNTIF($DB$2:DB1427,DB1427)=1),1426,""))</f>
        <v/>
      </c>
    </row>
    <row r="1428">
      <c r="DB1428">
        <f>IF('История отказов'!AM231="","",'История отказов'!AM231)</f>
        <v/>
      </c>
      <c r="DL1428">
        <f>IF(DB1428="","",IF(AND(COUNTIF($DA$2:$DA$47,DB1428)=0,COUNTIF($DB$2:DB1428,DB1428)=1),1427,""))</f>
        <v/>
      </c>
    </row>
    <row r="1429">
      <c r="DB1429">
        <f>IF('История отказов'!AM232="","",'История отказов'!AM232)</f>
        <v/>
      </c>
      <c r="DL1429">
        <f>IF(DB1429="","",IF(AND(COUNTIF($DA$2:$DA$47,DB1429)=0,COUNTIF($DB$2:DB1429,DB1429)=1),1428,""))</f>
        <v/>
      </c>
    </row>
    <row r="1430">
      <c r="DB1430">
        <f>IF('История отказов'!AM233="","",'История отказов'!AM233)</f>
        <v/>
      </c>
      <c r="DL1430">
        <f>IF(DB1430="","",IF(AND(COUNTIF($DA$2:$DA$47,DB1430)=0,COUNTIF($DB$2:DB1430,DB1430)=1),1429,""))</f>
        <v/>
      </c>
    </row>
    <row r="1431">
      <c r="DB1431">
        <f>IF('История отказов'!AM234="","",'История отказов'!AM234)</f>
        <v/>
      </c>
      <c r="DL1431">
        <f>IF(DB1431="","",IF(AND(COUNTIF($DA$2:$DA$47,DB1431)=0,COUNTIF($DB$2:DB1431,DB1431)=1),1430,""))</f>
        <v/>
      </c>
    </row>
    <row r="1432">
      <c r="DB1432">
        <f>IF('История отказов'!AM235="","",'История отказов'!AM235)</f>
        <v/>
      </c>
      <c r="DL1432">
        <f>IF(DB1432="","",IF(AND(COUNTIF($DA$2:$DA$47,DB1432)=0,COUNTIF($DB$2:DB1432,DB1432)=1),1431,""))</f>
        <v/>
      </c>
    </row>
    <row r="1433">
      <c r="DB1433">
        <f>IF('История отказов'!AM236="","",'История отказов'!AM236)</f>
        <v/>
      </c>
      <c r="DL1433">
        <f>IF(DB1433="","",IF(AND(COUNTIF($DA$2:$DA$47,DB1433)=0,COUNTIF($DB$2:DB1433,DB1433)=1),1432,""))</f>
        <v/>
      </c>
    </row>
    <row r="1434">
      <c r="DB1434">
        <f>IF('История отказов'!AM237="","",'История отказов'!AM237)</f>
        <v/>
      </c>
      <c r="DL1434">
        <f>IF(DB1434="","",IF(AND(COUNTIF($DA$2:$DA$47,DB1434)=0,COUNTIF($DB$2:DB1434,DB1434)=1),1433,""))</f>
        <v/>
      </c>
    </row>
    <row r="1435">
      <c r="DB1435">
        <f>IF('История отказов'!AM238="","",'История отказов'!AM238)</f>
        <v/>
      </c>
      <c r="DL1435">
        <f>IF(DB1435="","",IF(AND(COUNTIF($DA$2:$DA$47,DB1435)=0,COUNTIF($DB$2:DB1435,DB1435)=1),1434,""))</f>
        <v/>
      </c>
    </row>
    <row r="1436">
      <c r="DB1436">
        <f>IF('История отказов'!AM239="","",'История отказов'!AM239)</f>
        <v/>
      </c>
      <c r="DL1436">
        <f>IF(DB1436="","",IF(AND(COUNTIF($DA$2:$DA$47,DB1436)=0,COUNTIF($DB$2:DB1436,DB1436)=1),1435,""))</f>
        <v/>
      </c>
    </row>
    <row r="1437">
      <c r="DB1437">
        <f>IF('История отказов'!AM240="","",'История отказов'!AM240)</f>
        <v/>
      </c>
      <c r="DL1437">
        <f>IF(DB1437="","",IF(AND(COUNTIF($DA$2:$DA$47,DB1437)=0,COUNTIF($DB$2:DB1437,DB1437)=1),1436,""))</f>
        <v/>
      </c>
    </row>
    <row r="1438">
      <c r="DB1438">
        <f>IF('История отказов'!AM241="","",'История отказов'!AM241)</f>
        <v/>
      </c>
      <c r="DL1438">
        <f>IF(DB1438="","",IF(AND(COUNTIF($DA$2:$DA$47,DB1438)=0,COUNTIF($DB$2:DB1438,DB1438)=1),1437,""))</f>
        <v/>
      </c>
    </row>
    <row r="1439">
      <c r="DB1439">
        <f>IF('История отказов'!AM242="","",'История отказов'!AM242)</f>
        <v/>
      </c>
      <c r="DL1439">
        <f>IF(DB1439="","",IF(AND(COUNTIF($DA$2:$DA$47,DB1439)=0,COUNTIF($DB$2:DB1439,DB1439)=1),1438,""))</f>
        <v/>
      </c>
    </row>
    <row r="1440">
      <c r="DB1440">
        <f>IF('История отказов'!AM243="","",'История отказов'!AM243)</f>
        <v/>
      </c>
      <c r="DL1440">
        <f>IF(DB1440="","",IF(AND(COUNTIF($DA$2:$DA$47,DB1440)=0,COUNTIF($DB$2:DB1440,DB1440)=1),1439,""))</f>
        <v/>
      </c>
    </row>
    <row r="1441">
      <c r="DB1441">
        <f>IF('История отказов'!AM244="","",'История отказов'!AM244)</f>
        <v/>
      </c>
      <c r="DL1441">
        <f>IF(DB1441="","",IF(AND(COUNTIF($DA$2:$DA$47,DB1441)=0,COUNTIF($DB$2:DB1441,DB1441)=1),1440,""))</f>
        <v/>
      </c>
    </row>
    <row r="1442">
      <c r="DB1442">
        <f>IF('История отказов'!AM245="","",'История отказов'!AM245)</f>
        <v/>
      </c>
      <c r="DL1442">
        <f>IF(DB1442="","",IF(AND(COUNTIF($DA$2:$DA$47,DB1442)=0,COUNTIF($DB$2:DB1442,DB1442)=1),1441,""))</f>
        <v/>
      </c>
    </row>
    <row r="1443">
      <c r="DB1443">
        <f>IF('История отказов'!AM246="","",'История отказов'!AM246)</f>
        <v/>
      </c>
      <c r="DL1443">
        <f>IF(DB1443="","",IF(AND(COUNTIF($DA$2:$DA$47,DB1443)=0,COUNTIF($DB$2:DB1443,DB1443)=1),1442,""))</f>
        <v/>
      </c>
    </row>
    <row r="1444">
      <c r="DB1444">
        <f>IF('История отказов'!AM247="","",'История отказов'!AM247)</f>
        <v/>
      </c>
      <c r="DL1444">
        <f>IF(DB1444="","",IF(AND(COUNTIF($DA$2:$DA$47,DB1444)=0,COUNTIF($DB$2:DB1444,DB1444)=1),1443,""))</f>
        <v/>
      </c>
    </row>
    <row r="1445">
      <c r="DB1445">
        <f>IF('История отказов'!AM248="","",'История отказов'!AM248)</f>
        <v/>
      </c>
      <c r="DL1445">
        <f>IF(DB1445="","",IF(AND(COUNTIF($DA$2:$DA$47,DB1445)=0,COUNTIF($DB$2:DB1445,DB1445)=1),1444,""))</f>
        <v/>
      </c>
    </row>
    <row r="1446">
      <c r="DB1446">
        <f>IF('История отказов'!AM249="","",'История отказов'!AM249)</f>
        <v/>
      </c>
      <c r="DL1446">
        <f>IF(DB1446="","",IF(AND(COUNTIF($DA$2:$DA$47,DB1446)=0,COUNTIF($DB$2:DB1446,DB1446)=1),1445,""))</f>
        <v/>
      </c>
    </row>
    <row r="1447">
      <c r="DB1447">
        <f>IF('История отказов'!AM250="","",'История отказов'!AM250)</f>
        <v/>
      </c>
      <c r="DL1447">
        <f>IF(DB1447="","",IF(AND(COUNTIF($DA$2:$DA$47,DB1447)=0,COUNTIF($DB$2:DB1447,DB1447)=1),1446,""))</f>
        <v/>
      </c>
    </row>
    <row r="1448">
      <c r="DB1448">
        <f>IF('История отказов'!AM251="","",'История отказов'!AM251)</f>
        <v/>
      </c>
      <c r="DL1448">
        <f>IF(DB1448="","",IF(AND(COUNTIF($DA$2:$DA$47,DB1448)=0,COUNTIF($DB$2:DB1448,DB1448)=1),1447,""))</f>
        <v/>
      </c>
    </row>
    <row r="1449">
      <c r="DB1449">
        <f>IF('История отказов'!AM252="","",'История отказов'!AM252)</f>
        <v/>
      </c>
      <c r="DL1449">
        <f>IF(DB1449="","",IF(AND(COUNTIF($DA$2:$DA$47,DB1449)=0,COUNTIF($DB$2:DB1449,DB1449)=1),1448,""))</f>
        <v/>
      </c>
    </row>
    <row r="1450">
      <c r="DB1450">
        <f>IF('История отказов'!AM253="","",'История отказов'!AM253)</f>
        <v/>
      </c>
      <c r="DL1450">
        <f>IF(DB1450="","",IF(AND(COUNTIF($DA$2:$DA$47,DB1450)=0,COUNTIF($DB$2:DB1450,DB1450)=1),1449,""))</f>
        <v/>
      </c>
    </row>
    <row r="1451">
      <c r="DB1451">
        <f>IF('История отказов'!AM254="","",'История отказов'!AM254)</f>
        <v/>
      </c>
      <c r="DL1451">
        <f>IF(DB1451="","",IF(AND(COUNTIF($DA$2:$DA$47,DB1451)=0,COUNTIF($DB$2:DB1451,DB1451)=1),1450,""))</f>
        <v/>
      </c>
    </row>
    <row r="1452">
      <c r="DB1452">
        <f>IF('История отказов'!AM255="","",'История отказов'!AM255)</f>
        <v/>
      </c>
      <c r="DL1452">
        <f>IF(DB1452="","",IF(AND(COUNTIF($DA$2:$DA$47,DB1452)=0,COUNTIF($DB$2:DB1452,DB1452)=1),1451,""))</f>
        <v/>
      </c>
    </row>
    <row r="1453">
      <c r="DB1453">
        <f>IF('История отказов'!AM256="","",'История отказов'!AM256)</f>
        <v/>
      </c>
      <c r="DL1453">
        <f>IF(DB1453="","",IF(AND(COUNTIF($DA$2:$DA$47,DB1453)=0,COUNTIF($DB$2:DB1453,DB1453)=1),1452,""))</f>
        <v/>
      </c>
    </row>
    <row r="1454">
      <c r="DB1454">
        <f>IF('История отказов'!AM257="","",'История отказов'!AM257)</f>
        <v/>
      </c>
      <c r="DL1454">
        <f>IF(DB1454="","",IF(AND(COUNTIF($DA$2:$DA$47,DB1454)=0,COUNTIF($DB$2:DB1454,DB1454)=1),1453,""))</f>
        <v/>
      </c>
    </row>
    <row r="1455">
      <c r="DB1455">
        <f>IF('История отказов'!AM258="","",'История отказов'!AM258)</f>
        <v/>
      </c>
      <c r="DL1455">
        <f>IF(DB1455="","",IF(AND(COUNTIF($DA$2:$DA$47,DB1455)=0,COUNTIF($DB$2:DB1455,DB1455)=1),1454,""))</f>
        <v/>
      </c>
    </row>
    <row r="1456">
      <c r="DB1456">
        <f>IF('История отказов'!AM259="","",'История отказов'!AM259)</f>
        <v/>
      </c>
      <c r="DL1456">
        <f>IF(DB1456="","",IF(AND(COUNTIF($DA$2:$DA$47,DB1456)=0,COUNTIF($DB$2:DB1456,DB1456)=1),1455,""))</f>
        <v/>
      </c>
    </row>
    <row r="1457">
      <c r="DB1457">
        <f>IF('История отказов'!AM260="","",'История отказов'!AM260)</f>
        <v/>
      </c>
      <c r="DL1457">
        <f>IF(DB1457="","",IF(AND(COUNTIF($DA$2:$DA$47,DB1457)=0,COUNTIF($DB$2:DB1457,DB1457)=1),1456,""))</f>
        <v/>
      </c>
    </row>
    <row r="1458">
      <c r="DB1458">
        <f>IF('История отказов'!AM261="","",'История отказов'!AM261)</f>
        <v/>
      </c>
      <c r="DL1458">
        <f>IF(DB1458="","",IF(AND(COUNTIF($DA$2:$DA$47,DB1458)=0,COUNTIF($DB$2:DB1458,DB1458)=1),1457,""))</f>
        <v/>
      </c>
    </row>
    <row r="1459">
      <c r="DB1459">
        <f>IF('История отказов'!AM262="","",'История отказов'!AM262)</f>
        <v/>
      </c>
      <c r="DL1459">
        <f>IF(DB1459="","",IF(AND(COUNTIF($DA$2:$DA$47,DB1459)=0,COUNTIF($DB$2:DB1459,DB1459)=1),1458,""))</f>
        <v/>
      </c>
    </row>
    <row r="1460">
      <c r="DB1460">
        <f>IF('История отказов'!AM263="","",'История отказов'!AM263)</f>
        <v/>
      </c>
      <c r="DL1460">
        <f>IF(DB1460="","",IF(AND(COUNTIF($DA$2:$DA$47,DB1460)=0,COUNTIF($DB$2:DB1460,DB1460)=1),1459,""))</f>
        <v/>
      </c>
    </row>
    <row r="1461">
      <c r="DB1461">
        <f>IF('История отказов'!AM264="","",'История отказов'!AM264)</f>
        <v/>
      </c>
      <c r="DL1461">
        <f>IF(DB1461="","",IF(AND(COUNTIF($DA$2:$DA$47,DB1461)=0,COUNTIF($DB$2:DB1461,DB1461)=1),1460,""))</f>
        <v/>
      </c>
    </row>
    <row r="1462">
      <c r="DB1462">
        <f>IF('История отказов'!AM265="","",'История отказов'!AM265)</f>
        <v/>
      </c>
      <c r="DL1462">
        <f>IF(DB1462="","",IF(AND(COUNTIF($DA$2:$DA$47,DB1462)=0,COUNTIF($DB$2:DB1462,DB1462)=1),1461,""))</f>
        <v/>
      </c>
    </row>
    <row r="1463">
      <c r="DB1463">
        <f>IF('История отказов'!AM266="","",'История отказов'!AM266)</f>
        <v/>
      </c>
      <c r="DL1463">
        <f>IF(DB1463="","",IF(AND(COUNTIF($DA$2:$DA$47,DB1463)=0,COUNTIF($DB$2:DB1463,DB1463)=1),1462,""))</f>
        <v/>
      </c>
    </row>
    <row r="1464">
      <c r="DB1464">
        <f>IF('История отказов'!AM267="","",'История отказов'!AM267)</f>
        <v/>
      </c>
      <c r="DL1464">
        <f>IF(DB1464="","",IF(AND(COUNTIF($DA$2:$DA$47,DB1464)=0,COUNTIF($DB$2:DB1464,DB1464)=1),1463,""))</f>
        <v/>
      </c>
    </row>
    <row r="1465">
      <c r="DB1465">
        <f>IF('История отказов'!AM268="","",'История отказов'!AM268)</f>
        <v/>
      </c>
      <c r="DL1465">
        <f>IF(DB1465="","",IF(AND(COUNTIF($DA$2:$DA$47,DB1465)=0,COUNTIF($DB$2:DB1465,DB1465)=1),1464,""))</f>
        <v/>
      </c>
    </row>
    <row r="1466">
      <c r="DB1466">
        <f>IF('История отказов'!AM269="","",'История отказов'!AM269)</f>
        <v/>
      </c>
      <c r="DL1466">
        <f>IF(DB1466="","",IF(AND(COUNTIF($DA$2:$DA$47,DB1466)=0,COUNTIF($DB$2:DB1466,DB1466)=1),1465,""))</f>
        <v/>
      </c>
    </row>
    <row r="1467">
      <c r="DB1467">
        <f>IF('История отказов'!AM270="","",'История отказов'!AM270)</f>
        <v/>
      </c>
      <c r="DL1467">
        <f>IF(DB1467="","",IF(AND(COUNTIF($DA$2:$DA$47,DB1467)=0,COUNTIF($DB$2:DB1467,DB1467)=1),1466,""))</f>
        <v/>
      </c>
    </row>
    <row r="1468">
      <c r="DB1468">
        <f>IF('История отказов'!AM271="","",'История отказов'!AM271)</f>
        <v/>
      </c>
      <c r="DL1468">
        <f>IF(DB1468="","",IF(AND(COUNTIF($DA$2:$DA$47,DB1468)=0,COUNTIF($DB$2:DB1468,DB1468)=1),1467,""))</f>
        <v/>
      </c>
    </row>
    <row r="1469">
      <c r="DB1469">
        <f>IF('История отказов'!AM272="","",'История отказов'!AM272)</f>
        <v/>
      </c>
      <c r="DL1469">
        <f>IF(DB1469="","",IF(AND(COUNTIF($DA$2:$DA$47,DB1469)=0,COUNTIF($DB$2:DB1469,DB1469)=1),1468,""))</f>
        <v/>
      </c>
    </row>
    <row r="1470">
      <c r="DB1470">
        <f>IF('История отказов'!AM273="","",'История отказов'!AM273)</f>
        <v/>
      </c>
      <c r="DL1470">
        <f>IF(DB1470="","",IF(AND(COUNTIF($DA$2:$DA$47,DB1470)=0,COUNTIF($DB$2:DB1470,DB1470)=1),1469,""))</f>
        <v/>
      </c>
    </row>
    <row r="1471">
      <c r="DB1471">
        <f>IF('История отказов'!AM274="","",'История отказов'!AM274)</f>
        <v/>
      </c>
      <c r="DL1471">
        <f>IF(DB1471="","",IF(AND(COUNTIF($DA$2:$DA$47,DB1471)=0,COUNTIF($DB$2:DB1471,DB1471)=1),1470,""))</f>
        <v/>
      </c>
    </row>
    <row r="1472">
      <c r="DB1472">
        <f>IF('История отказов'!AM275="","",'История отказов'!AM275)</f>
        <v/>
      </c>
      <c r="DL1472">
        <f>IF(DB1472="","",IF(AND(COUNTIF($DA$2:$DA$47,DB1472)=0,COUNTIF($DB$2:DB1472,DB1472)=1),1471,""))</f>
        <v/>
      </c>
    </row>
    <row r="1473">
      <c r="DB1473">
        <f>IF('История отказов'!AM276="","",'История отказов'!AM276)</f>
        <v/>
      </c>
      <c r="DL1473">
        <f>IF(DB1473="","",IF(AND(COUNTIF($DA$2:$DA$47,DB1473)=0,COUNTIF($DB$2:DB1473,DB1473)=1),1472,""))</f>
        <v/>
      </c>
    </row>
    <row r="1474">
      <c r="DB1474">
        <f>IF('История отказов'!AM277="","",'История отказов'!AM277)</f>
        <v/>
      </c>
      <c r="DL1474">
        <f>IF(DB1474="","",IF(AND(COUNTIF($DA$2:$DA$47,DB1474)=0,COUNTIF($DB$2:DB1474,DB1474)=1),1473,""))</f>
        <v/>
      </c>
    </row>
    <row r="1475">
      <c r="DB1475">
        <f>IF('История отказов'!AM278="","",'История отказов'!AM278)</f>
        <v/>
      </c>
      <c r="DL1475">
        <f>IF(DB1475="","",IF(AND(COUNTIF($DA$2:$DA$47,DB1475)=0,COUNTIF($DB$2:DB1475,DB1475)=1),1474,""))</f>
        <v/>
      </c>
    </row>
    <row r="1476">
      <c r="DB1476">
        <f>IF('История отказов'!AM279="","",'История отказов'!AM279)</f>
        <v/>
      </c>
      <c r="DL1476">
        <f>IF(DB1476="","",IF(AND(COUNTIF($DA$2:$DA$47,DB1476)=0,COUNTIF($DB$2:DB1476,DB1476)=1),1475,""))</f>
        <v/>
      </c>
    </row>
    <row r="1477">
      <c r="DB1477">
        <f>IF('История отказов'!AM280="","",'История отказов'!AM280)</f>
        <v/>
      </c>
      <c r="DL1477">
        <f>IF(DB1477="","",IF(AND(COUNTIF($DA$2:$DA$47,DB1477)=0,COUNTIF($DB$2:DB1477,DB1477)=1),1476,""))</f>
        <v/>
      </c>
    </row>
    <row r="1478">
      <c r="DB1478">
        <f>IF('История отказов'!AM281="","",'История отказов'!AM281)</f>
        <v/>
      </c>
      <c r="DL1478">
        <f>IF(DB1478="","",IF(AND(COUNTIF($DA$2:$DA$47,DB1478)=0,COUNTIF($DB$2:DB1478,DB1478)=1),1477,""))</f>
        <v/>
      </c>
    </row>
    <row r="1479">
      <c r="DB1479">
        <f>IF('История отказов'!AM282="","",'История отказов'!AM282)</f>
        <v/>
      </c>
      <c r="DL1479">
        <f>IF(DB1479="","",IF(AND(COUNTIF($DA$2:$DA$47,DB1479)=0,COUNTIF($DB$2:DB1479,DB1479)=1),1478,""))</f>
        <v/>
      </c>
    </row>
    <row r="1480">
      <c r="DB1480">
        <f>IF('История отказов'!AM283="","",'История отказов'!AM283)</f>
        <v/>
      </c>
      <c r="DL1480">
        <f>IF(DB1480="","",IF(AND(COUNTIF($DA$2:$DA$47,DB1480)=0,COUNTIF($DB$2:DB1480,DB1480)=1),1479,""))</f>
        <v/>
      </c>
    </row>
    <row r="1481">
      <c r="DB1481">
        <f>IF('История отказов'!AM284="","",'История отказов'!AM284)</f>
        <v/>
      </c>
      <c r="DL1481">
        <f>IF(DB1481="","",IF(AND(COUNTIF($DA$2:$DA$47,DB1481)=0,COUNTIF($DB$2:DB1481,DB1481)=1),1480,""))</f>
        <v/>
      </c>
    </row>
    <row r="1482">
      <c r="DB1482">
        <f>IF('История отказов'!AM285="","",'История отказов'!AM285)</f>
        <v/>
      </c>
      <c r="DL1482">
        <f>IF(DB1482="","",IF(AND(COUNTIF($DA$2:$DA$47,DB1482)=0,COUNTIF($DB$2:DB1482,DB1482)=1),1481,""))</f>
        <v/>
      </c>
    </row>
    <row r="1483">
      <c r="DB1483">
        <f>IF('История отказов'!AM286="","",'История отказов'!AM286)</f>
        <v/>
      </c>
      <c r="DL1483">
        <f>IF(DB1483="","",IF(AND(COUNTIF($DA$2:$DA$47,DB1483)=0,COUNTIF($DB$2:DB1483,DB1483)=1),1482,""))</f>
        <v/>
      </c>
    </row>
    <row r="1484">
      <c r="DB1484">
        <f>IF('История отказов'!AM287="","",'История отказов'!AM287)</f>
        <v/>
      </c>
      <c r="DL1484">
        <f>IF(DB1484="","",IF(AND(COUNTIF($DA$2:$DA$47,DB1484)=0,COUNTIF($DB$2:DB1484,DB1484)=1),1483,""))</f>
        <v/>
      </c>
    </row>
    <row r="1485">
      <c r="DB1485">
        <f>IF('История отказов'!AM288="","",'История отказов'!AM288)</f>
        <v/>
      </c>
      <c r="DL1485">
        <f>IF(DB1485="","",IF(AND(COUNTIF($DA$2:$DA$47,DB1485)=0,COUNTIF($DB$2:DB1485,DB1485)=1),1484,""))</f>
        <v/>
      </c>
    </row>
    <row r="1486">
      <c r="DB1486">
        <f>IF('История отказов'!AM289="","",'История отказов'!AM289)</f>
        <v/>
      </c>
      <c r="DL1486">
        <f>IF(DB1486="","",IF(AND(COUNTIF($DA$2:$DA$47,DB1486)=0,COUNTIF($DB$2:DB1486,DB1486)=1),1485,""))</f>
        <v/>
      </c>
    </row>
    <row r="1487">
      <c r="DB1487">
        <f>IF('История отказов'!AM290="","",'История отказов'!AM290)</f>
        <v/>
      </c>
      <c r="DL1487">
        <f>IF(DB1487="","",IF(AND(COUNTIF($DA$2:$DA$47,DB1487)=0,COUNTIF($DB$2:DB1487,DB1487)=1),1486,""))</f>
        <v/>
      </c>
    </row>
    <row r="1488">
      <c r="DB1488">
        <f>IF('История отказов'!AM291="","",'История отказов'!AM291)</f>
        <v/>
      </c>
      <c r="DL1488">
        <f>IF(DB1488="","",IF(AND(COUNTIF($DA$2:$DA$47,DB1488)=0,COUNTIF($DB$2:DB1488,DB1488)=1),1487,""))</f>
        <v/>
      </c>
    </row>
    <row r="1489">
      <c r="DB1489">
        <f>IF('История отказов'!AM292="","",'История отказов'!AM292)</f>
        <v/>
      </c>
      <c r="DL1489">
        <f>IF(DB1489="","",IF(AND(COUNTIF($DA$2:$DA$47,DB1489)=0,COUNTIF($DB$2:DB1489,DB1489)=1),1488,""))</f>
        <v/>
      </c>
    </row>
    <row r="1490">
      <c r="DB1490">
        <f>IF('История отказов'!AM293="","",'История отказов'!AM293)</f>
        <v/>
      </c>
      <c r="DL1490">
        <f>IF(DB1490="","",IF(AND(COUNTIF($DA$2:$DA$47,DB1490)=0,COUNTIF($DB$2:DB1490,DB1490)=1),1489,""))</f>
        <v/>
      </c>
    </row>
    <row r="1491">
      <c r="DB1491">
        <f>IF('История отказов'!AM294="","",'История отказов'!AM294)</f>
        <v/>
      </c>
      <c r="DL1491">
        <f>IF(DB1491="","",IF(AND(COUNTIF($DA$2:$DA$47,DB1491)=0,COUNTIF($DB$2:DB1491,DB1491)=1),1490,""))</f>
        <v/>
      </c>
    </row>
    <row r="1492">
      <c r="DB1492">
        <f>IF('История отказов'!AM295="","",'История отказов'!AM295)</f>
        <v/>
      </c>
      <c r="DL1492">
        <f>IF(DB1492="","",IF(AND(COUNTIF($DA$2:$DA$47,DB1492)=0,COUNTIF($DB$2:DB1492,DB1492)=1),1491,""))</f>
        <v/>
      </c>
    </row>
    <row r="1493">
      <c r="DB1493">
        <f>IF('История отказов'!AM296="","",'История отказов'!AM296)</f>
        <v/>
      </c>
      <c r="DL1493">
        <f>IF(DB1493="","",IF(AND(COUNTIF($DA$2:$DA$47,DB1493)=0,COUNTIF($DB$2:DB1493,DB1493)=1),1492,""))</f>
        <v/>
      </c>
    </row>
    <row r="1494">
      <c r="DB1494">
        <f>IF('История отказов'!AM297="","",'История отказов'!AM297)</f>
        <v/>
      </c>
      <c r="DL1494">
        <f>IF(DB1494="","",IF(AND(COUNTIF($DA$2:$DA$47,DB1494)=0,COUNTIF($DB$2:DB1494,DB1494)=1),1493,""))</f>
        <v/>
      </c>
    </row>
    <row r="1495">
      <c r="DB1495">
        <f>IF('История отказов'!AM298="","",'История отказов'!AM298)</f>
        <v/>
      </c>
      <c r="DL1495">
        <f>IF(DB1495="","",IF(AND(COUNTIF($DA$2:$DA$47,DB1495)=0,COUNTIF($DB$2:DB1495,DB1495)=1),1494,""))</f>
        <v/>
      </c>
    </row>
    <row r="1496">
      <c r="DB1496">
        <f>IF('История отказов'!AM299="","",'История отказов'!AM299)</f>
        <v/>
      </c>
      <c r="DL1496">
        <f>IF(DB1496="","",IF(AND(COUNTIF($DA$2:$DA$47,DB1496)=0,COUNTIF($DB$2:DB1496,DB1496)=1),1495,""))</f>
        <v/>
      </c>
    </row>
    <row r="1497">
      <c r="DB1497">
        <f>IF('История отказов'!AM300="","",'История отказов'!AM300)</f>
        <v/>
      </c>
      <c r="DL1497">
        <f>IF(DB1497="","",IF(AND(COUNTIF($DA$2:$DA$47,DB1497)=0,COUNTIF($DB$2:DB1497,DB1497)=1),1496,""))</f>
        <v/>
      </c>
    </row>
    <row r="1498">
      <c r="DB1498">
        <f>IF('История отказов'!AM301="","",'История отказов'!AM301)</f>
        <v/>
      </c>
      <c r="DL1498">
        <f>IF(DB1498="","",IF(AND(COUNTIF($DA$2:$DA$47,DB1498)=0,COUNTIF($DB$2:DB1498,DB1498)=1),1497,""))</f>
        <v/>
      </c>
    </row>
    <row r="1499">
      <c r="DB1499">
        <f>IF('История отказов'!AM302="","",'История отказов'!AM302)</f>
        <v/>
      </c>
      <c r="DL1499">
        <f>IF(DB1499="","",IF(AND(COUNTIF($DA$2:$DA$47,DB1499)=0,COUNTIF($DB$2:DB1499,DB1499)=1),1498,""))</f>
        <v/>
      </c>
    </row>
    <row r="1500">
      <c r="DB1500">
        <f>IF('История отказов'!AM303="","",'История отказов'!AM303)</f>
        <v/>
      </c>
      <c r="DL1500">
        <f>IF(DB1500="","",IF(AND(COUNTIF($DA$2:$DA$47,DB1500)=0,COUNTIF($DB$2:DB1500,DB1500)=1),1499,""))</f>
        <v/>
      </c>
    </row>
    <row r="1501">
      <c r="DB1501">
        <f>IF('История отказов'!AM304="","",'История отказов'!AM304)</f>
        <v/>
      </c>
      <c r="DL1501">
        <f>IF(DB1501="","",IF(AND(COUNTIF($DA$2:$DA$47,DB1501)=0,COUNTIF($DB$2:DB1501,DB1501)=1),1500,""))</f>
        <v/>
      </c>
    </row>
    <row r="1502">
      <c r="DB1502">
        <f>IF('История отказов'!AM305="","",'История отказов'!AM305)</f>
        <v/>
      </c>
      <c r="DL1502">
        <f>IF(DB1502="","",IF(AND(COUNTIF($DA$2:$DA$47,DB1502)=0,COUNTIF($DB$2:DB1502,DB1502)=1),1501,""))</f>
        <v/>
      </c>
    </row>
    <row r="1503">
      <c r="DB1503">
        <f>IF('История отказов'!AM306="","",'История отказов'!AM306)</f>
        <v/>
      </c>
      <c r="DL1503">
        <f>IF(DB1503="","",IF(AND(COUNTIF($DA$2:$DA$47,DB1503)=0,COUNTIF($DB$2:DB1503,DB1503)=1),1502,""))</f>
        <v/>
      </c>
    </row>
    <row r="1504">
      <c r="DB1504">
        <f>IF('История отказов'!AM307="","",'История отказов'!AM307)</f>
        <v/>
      </c>
      <c r="DL1504">
        <f>IF(DB1504="","",IF(AND(COUNTIF($DA$2:$DA$47,DB1504)=0,COUNTIF($DB$2:DB1504,DB1504)=1),1503,""))</f>
        <v/>
      </c>
    </row>
    <row r="1505">
      <c r="DB1505">
        <f>IF('История отказов'!AM308="","",'История отказов'!AM308)</f>
        <v/>
      </c>
      <c r="DL1505">
        <f>IF(DB1505="","",IF(AND(COUNTIF($DA$2:$DA$47,DB1505)=0,COUNTIF($DB$2:DB1505,DB1505)=1),1504,""))</f>
        <v/>
      </c>
    </row>
    <row r="1506">
      <c r="DB1506">
        <f>IF('История отказов'!AM309="","",'История отказов'!AM309)</f>
        <v/>
      </c>
      <c r="DL1506">
        <f>IF(DB1506="","",IF(AND(COUNTIF($DA$2:$DA$47,DB1506)=0,COUNTIF($DB$2:DB1506,DB1506)=1),1505,""))</f>
        <v/>
      </c>
    </row>
    <row r="1507">
      <c r="DB1507">
        <f>IF('История отказов'!AM310="","",'История отказов'!AM310)</f>
        <v/>
      </c>
      <c r="DL1507">
        <f>IF(DB1507="","",IF(AND(COUNTIF($DA$2:$DA$47,DB1507)=0,COUNTIF($DB$2:DB1507,DB1507)=1),1506,""))</f>
        <v/>
      </c>
    </row>
    <row r="1508">
      <c r="DB1508">
        <f>IF('История отказов'!AM311="","",'История отказов'!AM311)</f>
        <v/>
      </c>
      <c r="DL1508">
        <f>IF(DB1508="","",IF(AND(COUNTIF($DA$2:$DA$47,DB1508)=0,COUNTIF($DB$2:DB1508,DB1508)=1),1507,""))</f>
        <v/>
      </c>
    </row>
    <row r="1509">
      <c r="DB1509">
        <f>IF('История отказов'!AM312="","",'История отказов'!AM312)</f>
        <v/>
      </c>
      <c r="DL1509">
        <f>IF(DB1509="","",IF(AND(COUNTIF($DA$2:$DA$47,DB1509)=0,COUNTIF($DB$2:DB1509,DB1509)=1),1508,""))</f>
        <v/>
      </c>
    </row>
    <row r="1510">
      <c r="DB1510">
        <f>IF('История отказов'!AM313="","",'История отказов'!AM313)</f>
        <v/>
      </c>
      <c r="DL1510">
        <f>IF(DB1510="","",IF(AND(COUNTIF($DA$2:$DA$47,DB1510)=0,COUNTIF($DB$2:DB1510,DB1510)=1),1509,""))</f>
        <v/>
      </c>
    </row>
    <row r="1511">
      <c r="DB1511">
        <f>IF('История отказов'!AM314="","",'История отказов'!AM314)</f>
        <v/>
      </c>
      <c r="DL1511">
        <f>IF(DB1511="","",IF(AND(COUNTIF($DA$2:$DA$47,DB1511)=0,COUNTIF($DB$2:DB1511,DB1511)=1),1510,""))</f>
        <v/>
      </c>
    </row>
    <row r="1512">
      <c r="DB1512">
        <f>IF('История отказов'!AM315="","",'История отказов'!AM315)</f>
        <v/>
      </c>
      <c r="DL1512">
        <f>IF(DB1512="","",IF(AND(COUNTIF($DA$2:$DA$47,DB1512)=0,COUNTIF($DB$2:DB1512,DB1512)=1),1511,""))</f>
        <v/>
      </c>
    </row>
    <row r="1513">
      <c r="DB1513">
        <f>IF('История отказов'!AM316="","",'История отказов'!AM316)</f>
        <v/>
      </c>
      <c r="DL1513">
        <f>IF(DB1513="","",IF(AND(COUNTIF($DA$2:$DA$47,DB1513)=0,COUNTIF($DB$2:DB1513,DB1513)=1),1512,""))</f>
        <v/>
      </c>
    </row>
    <row r="1514">
      <c r="DB1514">
        <f>IF('История отказов'!AM317="","",'История отказов'!AM317)</f>
        <v/>
      </c>
      <c r="DL1514">
        <f>IF(DB1514="","",IF(AND(COUNTIF($DA$2:$DA$47,DB1514)=0,COUNTIF($DB$2:DB1514,DB1514)=1),1513,""))</f>
        <v/>
      </c>
    </row>
    <row r="1515">
      <c r="DB1515">
        <f>IF('История отказов'!AM318="","",'История отказов'!AM318)</f>
        <v/>
      </c>
      <c r="DL1515">
        <f>IF(DB1515="","",IF(AND(COUNTIF($DA$2:$DA$47,DB1515)=0,COUNTIF($DB$2:DB1515,DB1515)=1),1514,""))</f>
        <v/>
      </c>
    </row>
    <row r="1516">
      <c r="DB1516">
        <f>IF('История отказов'!AM319="","",'История отказов'!AM319)</f>
        <v/>
      </c>
      <c r="DL1516">
        <f>IF(DB1516="","",IF(AND(COUNTIF($DA$2:$DA$47,DB1516)=0,COUNTIF($DB$2:DB1516,DB1516)=1),1515,""))</f>
        <v/>
      </c>
    </row>
    <row r="1517">
      <c r="DB1517">
        <f>IF('История отказов'!AM320="","",'История отказов'!AM320)</f>
        <v/>
      </c>
      <c r="DL1517">
        <f>IF(DB1517="","",IF(AND(COUNTIF($DA$2:$DA$47,DB1517)=0,COUNTIF($DB$2:DB1517,DB1517)=1),1516,""))</f>
        <v/>
      </c>
    </row>
    <row r="1518">
      <c r="DB1518">
        <f>IF('История отказов'!AM321="","",'История отказов'!AM321)</f>
        <v/>
      </c>
      <c r="DL1518">
        <f>IF(DB1518="","",IF(AND(COUNTIF($DA$2:$DA$47,DB1518)=0,COUNTIF($DB$2:DB1518,DB1518)=1),1517,""))</f>
        <v/>
      </c>
    </row>
    <row r="1519">
      <c r="DB1519">
        <f>IF('История отказов'!AM322="","",'История отказов'!AM322)</f>
        <v/>
      </c>
      <c r="DL1519">
        <f>IF(DB1519="","",IF(AND(COUNTIF($DA$2:$DA$47,DB1519)=0,COUNTIF($DB$2:DB1519,DB1519)=1),1518,""))</f>
        <v/>
      </c>
    </row>
    <row r="1520">
      <c r="DB1520">
        <f>IF('История отказов'!AM323="","",'История отказов'!AM323)</f>
        <v/>
      </c>
      <c r="DL1520">
        <f>IF(DB1520="","",IF(AND(COUNTIF($DA$2:$DA$47,DB1520)=0,COUNTIF($DB$2:DB1520,DB1520)=1),1519,""))</f>
        <v/>
      </c>
    </row>
    <row r="1521">
      <c r="DB1521">
        <f>IF('История отказов'!AM324="","",'История отказов'!AM324)</f>
        <v/>
      </c>
      <c r="DL1521">
        <f>IF(DB1521="","",IF(AND(COUNTIF($DA$2:$DA$47,DB1521)=0,COUNTIF($DB$2:DB1521,DB1521)=1),1520,""))</f>
        <v/>
      </c>
    </row>
    <row r="1522">
      <c r="DB1522">
        <f>IF('История отказов'!AM325="","",'История отказов'!AM325)</f>
        <v/>
      </c>
      <c r="DL1522">
        <f>IF(DB1522="","",IF(AND(COUNTIF($DA$2:$DA$47,DB1522)=0,COUNTIF($DB$2:DB1522,DB1522)=1),1521,""))</f>
        <v/>
      </c>
    </row>
    <row r="1523">
      <c r="DB1523">
        <f>IF('История отказов'!AM326="","",'История отказов'!AM326)</f>
        <v/>
      </c>
      <c r="DL1523">
        <f>IF(DB1523="","",IF(AND(COUNTIF($DA$2:$DA$47,DB1523)=0,COUNTIF($DB$2:DB1523,DB1523)=1),1522,""))</f>
        <v/>
      </c>
    </row>
    <row r="1524">
      <c r="DB1524">
        <f>IF('История отказов'!AM327="","",'История отказов'!AM327)</f>
        <v/>
      </c>
      <c r="DL1524">
        <f>IF(DB1524="","",IF(AND(COUNTIF($DA$2:$DA$47,DB1524)=0,COUNTIF($DB$2:DB1524,DB1524)=1),1523,""))</f>
        <v/>
      </c>
    </row>
    <row r="1525">
      <c r="DB1525">
        <f>IF('История отказов'!AM328="","",'История отказов'!AM328)</f>
        <v/>
      </c>
      <c r="DL1525">
        <f>IF(DB1525="","",IF(AND(COUNTIF($DA$2:$DA$47,DB1525)=0,COUNTIF($DB$2:DB1525,DB1525)=1),1524,""))</f>
        <v/>
      </c>
    </row>
    <row r="1526">
      <c r="DB1526">
        <f>IF('История отказов'!AM329="","",'История отказов'!AM329)</f>
        <v/>
      </c>
      <c r="DL1526">
        <f>IF(DB1526="","",IF(AND(COUNTIF($DA$2:$DA$47,DB1526)=0,COUNTIF($DB$2:DB1526,DB1526)=1),1525,""))</f>
        <v/>
      </c>
    </row>
    <row r="1527">
      <c r="DB1527">
        <f>IF('История отказов'!AM330="","",'История отказов'!AM330)</f>
        <v/>
      </c>
      <c r="DL1527">
        <f>IF(DB1527="","",IF(AND(COUNTIF($DA$2:$DA$47,DB1527)=0,COUNTIF($DB$2:DB1527,DB1527)=1),1526,""))</f>
        <v/>
      </c>
    </row>
    <row r="1528">
      <c r="DB1528">
        <f>IF('История отказов'!AM331="","",'История отказов'!AM331)</f>
        <v/>
      </c>
      <c r="DL1528">
        <f>IF(DB1528="","",IF(AND(COUNTIF($DA$2:$DA$47,DB1528)=0,COUNTIF($DB$2:DB1528,DB1528)=1),1527,""))</f>
        <v/>
      </c>
    </row>
    <row r="1529">
      <c r="DB1529">
        <f>IF('История отказов'!AM332="","",'История отказов'!AM332)</f>
        <v/>
      </c>
      <c r="DL1529">
        <f>IF(DB1529="","",IF(AND(COUNTIF($DA$2:$DA$47,DB1529)=0,COUNTIF($DB$2:DB1529,DB1529)=1),1528,""))</f>
        <v/>
      </c>
    </row>
    <row r="1530">
      <c r="DB1530">
        <f>IF('История отказов'!AM333="","",'История отказов'!AM333)</f>
        <v/>
      </c>
      <c r="DL1530">
        <f>IF(DB1530="","",IF(AND(COUNTIF($DA$2:$DA$47,DB1530)=0,COUNTIF($DB$2:DB1530,DB1530)=1),1529,""))</f>
        <v/>
      </c>
    </row>
    <row r="1531">
      <c r="DB1531">
        <f>IF('История отказов'!AM334="","",'История отказов'!AM334)</f>
        <v/>
      </c>
      <c r="DL1531">
        <f>IF(DB1531="","",IF(AND(COUNTIF($DA$2:$DA$47,DB1531)=0,COUNTIF($DB$2:DB1531,DB1531)=1),1530,""))</f>
        <v/>
      </c>
    </row>
    <row r="1532">
      <c r="DB1532">
        <f>IF('История отказов'!AM335="","",'История отказов'!AM335)</f>
        <v/>
      </c>
      <c r="DL1532">
        <f>IF(DB1532="","",IF(AND(COUNTIF($DA$2:$DA$47,DB1532)=0,COUNTIF($DB$2:DB1532,DB1532)=1),1531,""))</f>
        <v/>
      </c>
    </row>
    <row r="1533">
      <c r="DB1533">
        <f>IF('История отказов'!AM336="","",'История отказов'!AM336)</f>
        <v/>
      </c>
      <c r="DL1533">
        <f>IF(DB1533="","",IF(AND(COUNTIF($DA$2:$DA$47,DB1533)=0,COUNTIF($DB$2:DB1533,DB1533)=1),1532,""))</f>
        <v/>
      </c>
    </row>
    <row r="1534">
      <c r="DB1534">
        <f>IF('История отказов'!AM337="","",'История отказов'!AM337)</f>
        <v/>
      </c>
      <c r="DL1534">
        <f>IF(DB1534="","",IF(AND(COUNTIF($DA$2:$DA$47,DB1534)=0,COUNTIF($DB$2:DB1534,DB1534)=1),1533,""))</f>
        <v/>
      </c>
    </row>
    <row r="1535">
      <c r="DB1535">
        <f>IF('История отказов'!AM338="","",'История отказов'!AM338)</f>
        <v/>
      </c>
      <c r="DL1535">
        <f>IF(DB1535="","",IF(AND(COUNTIF($DA$2:$DA$47,DB1535)=0,COUNTIF($DB$2:DB1535,DB1535)=1),1534,""))</f>
        <v/>
      </c>
    </row>
    <row r="1536">
      <c r="DB1536">
        <f>IF('История отказов'!AM339="","",'История отказов'!AM339)</f>
        <v/>
      </c>
      <c r="DL1536">
        <f>IF(DB1536="","",IF(AND(COUNTIF($DA$2:$DA$47,DB1536)=0,COUNTIF($DB$2:DB1536,DB1536)=1),1535,""))</f>
        <v/>
      </c>
    </row>
    <row r="1537">
      <c r="DB1537">
        <f>IF('История отказов'!AM340="","",'История отказов'!AM340)</f>
        <v/>
      </c>
      <c r="DL1537">
        <f>IF(DB1537="","",IF(AND(COUNTIF($DA$2:$DA$47,DB1537)=0,COUNTIF($DB$2:DB1537,DB1537)=1),1536,""))</f>
        <v/>
      </c>
    </row>
    <row r="1538">
      <c r="DB1538">
        <f>IF('История отказов'!AM341="","",'История отказов'!AM341)</f>
        <v/>
      </c>
      <c r="DL1538">
        <f>IF(DB1538="","",IF(AND(COUNTIF($DA$2:$DA$47,DB1538)=0,COUNTIF($DB$2:DB1538,DB1538)=1),1537,""))</f>
        <v/>
      </c>
    </row>
    <row r="1539">
      <c r="DB1539">
        <f>IF('История отказов'!AM342="","",'История отказов'!AM342)</f>
        <v/>
      </c>
      <c r="DL1539">
        <f>IF(DB1539="","",IF(AND(COUNTIF($DA$2:$DA$47,DB1539)=0,COUNTIF($DB$2:DB1539,DB1539)=1),1538,""))</f>
        <v/>
      </c>
    </row>
    <row r="1540">
      <c r="DB1540">
        <f>IF('История отказов'!AM343="","",'История отказов'!AM343)</f>
        <v/>
      </c>
      <c r="DL1540">
        <f>IF(DB1540="","",IF(AND(COUNTIF($DA$2:$DA$47,DB1540)=0,COUNTIF($DB$2:DB1540,DB1540)=1),1539,""))</f>
        <v/>
      </c>
    </row>
    <row r="1541">
      <c r="DB1541">
        <f>IF('История отказов'!AM344="","",'История отказов'!AM344)</f>
        <v/>
      </c>
      <c r="DL1541">
        <f>IF(DB1541="","",IF(AND(COUNTIF($DA$2:$DA$47,DB1541)=0,COUNTIF($DB$2:DB1541,DB1541)=1),1540,""))</f>
        <v/>
      </c>
    </row>
    <row r="1542">
      <c r="DB1542">
        <f>IF('История отказов'!AM345="","",'История отказов'!AM345)</f>
        <v/>
      </c>
      <c r="DL1542">
        <f>IF(DB1542="","",IF(AND(COUNTIF($DA$2:$DA$47,DB1542)=0,COUNTIF($DB$2:DB1542,DB1542)=1),1541,""))</f>
        <v/>
      </c>
    </row>
    <row r="1543">
      <c r="DB1543">
        <f>IF('История отказов'!AM346="","",'История отказов'!AM346)</f>
        <v/>
      </c>
      <c r="DL1543">
        <f>IF(DB1543="","",IF(AND(COUNTIF($DA$2:$DA$47,DB1543)=0,COUNTIF($DB$2:DB1543,DB1543)=1),1542,""))</f>
        <v/>
      </c>
    </row>
    <row r="1544">
      <c r="DB1544">
        <f>IF('История отказов'!AM347="","",'История отказов'!AM347)</f>
        <v/>
      </c>
      <c r="DL1544">
        <f>IF(DB1544="","",IF(AND(COUNTIF($DA$2:$DA$47,DB1544)=0,COUNTIF($DB$2:DB1544,DB1544)=1),1543,""))</f>
        <v/>
      </c>
    </row>
    <row r="1545">
      <c r="DB1545">
        <f>IF('История отказов'!AM348="","",'История отказов'!AM348)</f>
        <v/>
      </c>
      <c r="DL1545">
        <f>IF(DB1545="","",IF(AND(COUNTIF($DA$2:$DA$47,DB1545)=0,COUNTIF($DB$2:DB1545,DB1545)=1),1544,""))</f>
        <v/>
      </c>
    </row>
    <row r="1546">
      <c r="DB1546">
        <f>IF('История отказов'!AM349="","",'История отказов'!AM349)</f>
        <v/>
      </c>
      <c r="DL1546">
        <f>IF(DB1546="","",IF(AND(COUNTIF($DA$2:$DA$47,DB1546)=0,COUNTIF($DB$2:DB1546,DB1546)=1),1545,""))</f>
        <v/>
      </c>
    </row>
    <row r="1547">
      <c r="DB1547">
        <f>IF('История отказов'!AM350="","",'История отказов'!AM350)</f>
        <v/>
      </c>
      <c r="DL1547">
        <f>IF(DB1547="","",IF(AND(COUNTIF($DA$2:$DA$47,DB1547)=0,COUNTIF($DB$2:DB1547,DB1547)=1),1546,""))</f>
        <v/>
      </c>
    </row>
    <row r="1548">
      <c r="DB1548">
        <f>IF('История отказов'!AM351="","",'История отказов'!AM351)</f>
        <v/>
      </c>
      <c r="DL1548">
        <f>IF(DB1548="","",IF(AND(COUNTIF($DA$2:$DA$47,DB1548)=0,COUNTIF($DB$2:DB1548,DB1548)=1),1547,""))</f>
        <v/>
      </c>
    </row>
    <row r="1549">
      <c r="DB1549">
        <f>IF('История отказов'!AM352="","",'История отказов'!AM352)</f>
        <v/>
      </c>
      <c r="DL1549">
        <f>IF(DB1549="","",IF(AND(COUNTIF($DA$2:$DA$47,DB1549)=0,COUNTIF($DB$2:DB1549,DB1549)=1),1548,""))</f>
        <v/>
      </c>
    </row>
    <row r="1550">
      <c r="DB1550">
        <f>IF('История отказов'!AM353="","",'История отказов'!AM353)</f>
        <v/>
      </c>
      <c r="DL1550">
        <f>IF(DB1550="","",IF(AND(COUNTIF($DA$2:$DA$47,DB1550)=0,COUNTIF($DB$2:DB1550,DB1550)=1),1549,""))</f>
        <v/>
      </c>
    </row>
    <row r="1551">
      <c r="DB1551">
        <f>IF('История отказов'!AM354="","",'История отказов'!AM354)</f>
        <v/>
      </c>
      <c r="DL1551">
        <f>IF(DB1551="","",IF(AND(COUNTIF($DA$2:$DA$47,DB1551)=0,COUNTIF($DB$2:DB1551,DB1551)=1),1550,""))</f>
        <v/>
      </c>
    </row>
    <row r="1552">
      <c r="DB1552">
        <f>IF('История отказов'!AM355="","",'История отказов'!AM355)</f>
        <v/>
      </c>
      <c r="DL1552">
        <f>IF(DB1552="","",IF(AND(COUNTIF($DA$2:$DA$47,DB1552)=0,COUNTIF($DB$2:DB1552,DB1552)=1),1551,""))</f>
        <v/>
      </c>
    </row>
    <row r="1553">
      <c r="DB1553">
        <f>IF('История отказов'!AM356="","",'История отказов'!AM356)</f>
        <v/>
      </c>
      <c r="DL1553">
        <f>IF(DB1553="","",IF(AND(COUNTIF($DA$2:$DA$47,DB1553)=0,COUNTIF($DB$2:DB1553,DB1553)=1),1552,""))</f>
        <v/>
      </c>
    </row>
    <row r="1554">
      <c r="DB1554">
        <f>IF('История отказов'!AM357="","",'История отказов'!AM357)</f>
        <v/>
      </c>
      <c r="DL1554">
        <f>IF(DB1554="","",IF(AND(COUNTIF($DA$2:$DA$47,DB1554)=0,COUNTIF($DB$2:DB1554,DB1554)=1),1553,""))</f>
        <v/>
      </c>
    </row>
    <row r="1555">
      <c r="DB1555">
        <f>IF('История отказов'!AM358="","",'История отказов'!AM358)</f>
        <v/>
      </c>
      <c r="DL1555">
        <f>IF(DB1555="","",IF(AND(COUNTIF($DA$2:$DA$47,DB1555)=0,COUNTIF($DB$2:DB1555,DB1555)=1),1554,""))</f>
        <v/>
      </c>
    </row>
    <row r="1556">
      <c r="DB1556">
        <f>IF('История отказов'!AM359="","",'История отказов'!AM359)</f>
        <v/>
      </c>
      <c r="DL1556">
        <f>IF(DB1556="","",IF(AND(COUNTIF($DA$2:$DA$47,DB1556)=0,COUNTIF($DB$2:DB1556,DB1556)=1),1555,""))</f>
        <v/>
      </c>
    </row>
    <row r="1557">
      <c r="DB1557">
        <f>IF('История отказов'!AM360="","",'История отказов'!AM360)</f>
        <v/>
      </c>
      <c r="DL1557">
        <f>IF(DB1557="","",IF(AND(COUNTIF($DA$2:$DA$47,DB1557)=0,COUNTIF($DB$2:DB1557,DB1557)=1),1556,""))</f>
        <v/>
      </c>
    </row>
    <row r="1558">
      <c r="DB1558">
        <f>IF('История отказов'!AM361="","",'История отказов'!AM361)</f>
        <v/>
      </c>
      <c r="DL1558">
        <f>IF(DB1558="","",IF(AND(COUNTIF($DA$2:$DA$47,DB1558)=0,COUNTIF($DB$2:DB1558,DB1558)=1),1557,""))</f>
        <v/>
      </c>
    </row>
    <row r="1559">
      <c r="DB1559">
        <f>IF('История отказов'!AM362="","",'История отказов'!AM362)</f>
        <v/>
      </c>
      <c r="DL1559">
        <f>IF(DB1559="","",IF(AND(COUNTIF($DA$2:$DA$47,DB1559)=0,COUNTIF($DB$2:DB1559,DB1559)=1),1558,""))</f>
        <v/>
      </c>
    </row>
    <row r="1560">
      <c r="DB1560">
        <f>IF('История отказов'!AM363="","",'История отказов'!AM363)</f>
        <v/>
      </c>
      <c r="DL1560">
        <f>IF(DB1560="","",IF(AND(COUNTIF($DA$2:$DA$47,DB1560)=0,COUNTIF($DB$2:DB1560,DB1560)=1),1559,""))</f>
        <v/>
      </c>
    </row>
    <row r="1561">
      <c r="DB1561">
        <f>IF('История отказов'!AM364="","",'История отказов'!AM364)</f>
        <v/>
      </c>
      <c r="DL1561">
        <f>IF(DB1561="","",IF(AND(COUNTIF($DA$2:$DA$47,DB1561)=0,COUNTIF($DB$2:DB1561,DB1561)=1),1560,""))</f>
        <v/>
      </c>
    </row>
    <row r="1562">
      <c r="DB1562">
        <f>IF('История отказов'!AM365="","",'История отказов'!AM365)</f>
        <v/>
      </c>
      <c r="DL1562">
        <f>IF(DB1562="","",IF(AND(COUNTIF($DA$2:$DA$47,DB1562)=0,COUNTIF($DB$2:DB1562,DB1562)=1),1561,""))</f>
        <v/>
      </c>
    </row>
    <row r="1563">
      <c r="DB1563">
        <f>IF('История отказов'!AM366="","",'История отказов'!AM366)</f>
        <v/>
      </c>
      <c r="DL1563">
        <f>IF(DB1563="","",IF(AND(COUNTIF($DA$2:$DA$47,DB1563)=0,COUNTIF($DB$2:DB1563,DB1563)=1),1562,""))</f>
        <v/>
      </c>
    </row>
    <row r="1564">
      <c r="DB1564">
        <f>IF('История отказов'!AM367="","",'История отказов'!AM367)</f>
        <v/>
      </c>
      <c r="DL1564">
        <f>IF(DB1564="","",IF(AND(COUNTIF($DA$2:$DA$47,DB1564)=0,COUNTIF($DB$2:DB1564,DB1564)=1),1563,""))</f>
        <v/>
      </c>
    </row>
    <row r="1565">
      <c r="DB1565">
        <f>IF('История отказов'!AM368="","",'История отказов'!AM368)</f>
        <v/>
      </c>
      <c r="DL1565">
        <f>IF(DB1565="","",IF(AND(COUNTIF($DA$2:$DA$47,DB1565)=0,COUNTIF($DB$2:DB1565,DB1565)=1),1564,""))</f>
        <v/>
      </c>
    </row>
    <row r="1566">
      <c r="DB1566">
        <f>IF('История отказов'!AM369="","",'История отказов'!AM369)</f>
        <v/>
      </c>
      <c r="DL1566">
        <f>IF(DB1566="","",IF(AND(COUNTIF($DA$2:$DA$47,DB1566)=0,COUNTIF($DB$2:DB1566,DB1566)=1),1565,""))</f>
        <v/>
      </c>
    </row>
    <row r="1567">
      <c r="DB1567">
        <f>IF('История отказов'!AM370="","",'История отказов'!AM370)</f>
        <v/>
      </c>
      <c r="DL1567">
        <f>IF(DB1567="","",IF(AND(COUNTIF($DA$2:$DA$47,DB1567)=0,COUNTIF($DB$2:DB1567,DB1567)=1),1566,""))</f>
        <v/>
      </c>
    </row>
    <row r="1568">
      <c r="DB1568">
        <f>IF('История отказов'!AM371="","",'История отказов'!AM371)</f>
        <v/>
      </c>
      <c r="DL1568">
        <f>IF(DB1568="","",IF(AND(COUNTIF($DA$2:$DA$47,DB1568)=0,COUNTIF($DB$2:DB1568,DB1568)=1),1567,""))</f>
        <v/>
      </c>
    </row>
    <row r="1569">
      <c r="DB1569">
        <f>IF('История отказов'!AM372="","",'История отказов'!AM372)</f>
        <v/>
      </c>
      <c r="DL1569">
        <f>IF(DB1569="","",IF(AND(COUNTIF($DA$2:$DA$47,DB1569)=0,COUNTIF($DB$2:DB1569,DB1569)=1),1568,""))</f>
        <v/>
      </c>
    </row>
    <row r="1570">
      <c r="DB1570">
        <f>IF('История отказов'!AM373="","",'История отказов'!AM373)</f>
        <v/>
      </c>
      <c r="DL1570">
        <f>IF(DB1570="","",IF(AND(COUNTIF($DA$2:$DA$47,DB1570)=0,COUNTIF($DB$2:DB1570,DB1570)=1),1569,""))</f>
        <v/>
      </c>
    </row>
    <row r="1571">
      <c r="DB1571">
        <f>IF('История отказов'!AM374="","",'История отказов'!AM374)</f>
        <v/>
      </c>
      <c r="DL1571">
        <f>IF(DB1571="","",IF(AND(COUNTIF($DA$2:$DA$47,DB1571)=0,COUNTIF($DB$2:DB1571,DB1571)=1),1570,""))</f>
        <v/>
      </c>
    </row>
    <row r="1572">
      <c r="DB1572">
        <f>IF('История отказов'!AM375="","",'История отказов'!AM375)</f>
        <v/>
      </c>
      <c r="DL1572">
        <f>IF(DB1572="","",IF(AND(COUNTIF($DA$2:$DA$47,DB1572)=0,COUNTIF($DB$2:DB1572,DB1572)=1),1571,""))</f>
        <v/>
      </c>
    </row>
    <row r="1573">
      <c r="DB1573">
        <f>IF('История отказов'!AM376="","",'История отказов'!AM376)</f>
        <v/>
      </c>
      <c r="DL1573">
        <f>IF(DB1573="","",IF(AND(COUNTIF($DA$2:$DA$47,DB1573)=0,COUNTIF($DB$2:DB1573,DB1573)=1),1572,""))</f>
        <v/>
      </c>
    </row>
    <row r="1574">
      <c r="DB1574">
        <f>IF('История отказов'!AM377="","",'История отказов'!AM377)</f>
        <v/>
      </c>
      <c r="DL1574">
        <f>IF(DB1574="","",IF(AND(COUNTIF($DA$2:$DA$47,DB1574)=0,COUNTIF($DB$2:DB1574,DB1574)=1),1573,""))</f>
        <v/>
      </c>
    </row>
    <row r="1575">
      <c r="DB1575">
        <f>IF('История отказов'!AM378="","",'История отказов'!AM378)</f>
        <v/>
      </c>
      <c r="DL1575">
        <f>IF(DB1575="","",IF(AND(COUNTIF($DA$2:$DA$47,DB1575)=0,COUNTIF($DB$2:DB1575,DB1575)=1),1574,""))</f>
        <v/>
      </c>
    </row>
    <row r="1576">
      <c r="DB1576">
        <f>IF('История отказов'!AM379="","",'История отказов'!AM379)</f>
        <v/>
      </c>
      <c r="DL1576">
        <f>IF(DB1576="","",IF(AND(COUNTIF($DA$2:$DA$47,DB1576)=0,COUNTIF($DB$2:DB1576,DB1576)=1),1575,""))</f>
        <v/>
      </c>
    </row>
    <row r="1577">
      <c r="DB1577">
        <f>IF('История отказов'!AM380="","",'История отказов'!AM380)</f>
        <v/>
      </c>
      <c r="DL1577">
        <f>IF(DB1577="","",IF(AND(COUNTIF($DA$2:$DA$47,DB1577)=0,COUNTIF($DB$2:DB1577,DB1577)=1),1576,""))</f>
        <v/>
      </c>
    </row>
    <row r="1578">
      <c r="DB1578">
        <f>IF('История отказов'!AM381="","",'История отказов'!AM381)</f>
        <v/>
      </c>
      <c r="DL1578">
        <f>IF(DB1578="","",IF(AND(COUNTIF($DA$2:$DA$47,DB1578)=0,COUNTIF($DB$2:DB1578,DB1578)=1),1577,""))</f>
        <v/>
      </c>
    </row>
    <row r="1579">
      <c r="DB1579">
        <f>IF('История отказов'!AM382="","",'История отказов'!AM382)</f>
        <v/>
      </c>
      <c r="DL1579">
        <f>IF(DB1579="","",IF(AND(COUNTIF($DA$2:$DA$47,DB1579)=0,COUNTIF($DB$2:DB1579,DB1579)=1),1578,""))</f>
        <v/>
      </c>
    </row>
    <row r="1580">
      <c r="DB1580">
        <f>IF('История отказов'!AM383="","",'История отказов'!AM383)</f>
        <v/>
      </c>
      <c r="DL1580">
        <f>IF(DB1580="","",IF(AND(COUNTIF($DA$2:$DA$47,DB1580)=0,COUNTIF($DB$2:DB1580,DB1580)=1),1579,""))</f>
        <v/>
      </c>
    </row>
    <row r="1581">
      <c r="DB1581">
        <f>IF('История отказов'!AM384="","",'История отказов'!AM384)</f>
        <v/>
      </c>
      <c r="DL1581">
        <f>IF(DB1581="","",IF(AND(COUNTIF($DA$2:$DA$47,DB1581)=0,COUNTIF($DB$2:DB1581,DB1581)=1),1580,""))</f>
        <v/>
      </c>
    </row>
    <row r="1582">
      <c r="DB1582">
        <f>IF('История отказов'!AM385="","",'История отказов'!AM385)</f>
        <v/>
      </c>
      <c r="DL1582">
        <f>IF(DB1582="","",IF(AND(COUNTIF($DA$2:$DA$47,DB1582)=0,COUNTIF($DB$2:DB1582,DB1582)=1),1581,""))</f>
        <v/>
      </c>
    </row>
    <row r="1583">
      <c r="DB1583">
        <f>IF('История отказов'!AM386="","",'История отказов'!AM386)</f>
        <v/>
      </c>
      <c r="DL1583">
        <f>IF(DB1583="","",IF(AND(COUNTIF($DA$2:$DA$47,DB1583)=0,COUNTIF($DB$2:DB1583,DB1583)=1),1582,""))</f>
        <v/>
      </c>
    </row>
    <row r="1584">
      <c r="DB1584">
        <f>IF('История отказов'!AM387="","",'История отказов'!AM387)</f>
        <v/>
      </c>
      <c r="DL1584">
        <f>IF(DB1584="","",IF(AND(COUNTIF($DA$2:$DA$47,DB1584)=0,COUNTIF($DB$2:DB1584,DB1584)=1),1583,""))</f>
        <v/>
      </c>
    </row>
    <row r="1585">
      <c r="DB1585">
        <f>IF('История отказов'!AM388="","",'История отказов'!AM388)</f>
        <v/>
      </c>
      <c r="DL1585">
        <f>IF(DB1585="","",IF(AND(COUNTIF($DA$2:$DA$47,DB1585)=0,COUNTIF($DB$2:DB1585,DB1585)=1),1584,""))</f>
        <v/>
      </c>
    </row>
    <row r="1586">
      <c r="DB1586">
        <f>IF('История отказов'!AM389="","",'История отказов'!AM389)</f>
        <v/>
      </c>
      <c r="DL1586">
        <f>IF(DB1586="","",IF(AND(COUNTIF($DA$2:$DA$47,DB1586)=0,COUNTIF($DB$2:DB1586,DB1586)=1),1585,""))</f>
        <v/>
      </c>
    </row>
    <row r="1587">
      <c r="DB1587">
        <f>IF('История отказов'!AM390="","",'История отказов'!AM390)</f>
        <v/>
      </c>
      <c r="DL1587">
        <f>IF(DB1587="","",IF(AND(COUNTIF($DA$2:$DA$47,DB1587)=0,COUNTIF($DB$2:DB1587,DB1587)=1),1586,""))</f>
        <v/>
      </c>
    </row>
    <row r="1588">
      <c r="DB1588">
        <f>IF('История отказов'!AM391="","",'История отказов'!AM391)</f>
        <v/>
      </c>
      <c r="DL1588">
        <f>IF(DB1588="","",IF(AND(COUNTIF($DA$2:$DA$47,DB1588)=0,COUNTIF($DB$2:DB1588,DB1588)=1),1587,""))</f>
        <v/>
      </c>
    </row>
    <row r="1589">
      <c r="DB1589">
        <f>IF('История отказов'!AM392="","",'История отказов'!AM392)</f>
        <v/>
      </c>
      <c r="DL1589">
        <f>IF(DB1589="","",IF(AND(COUNTIF($DA$2:$DA$47,DB1589)=0,COUNTIF($DB$2:DB1589,DB1589)=1),1588,""))</f>
        <v/>
      </c>
    </row>
    <row r="1590">
      <c r="DB1590">
        <f>IF('История отказов'!AM393="","",'История отказов'!AM393)</f>
        <v/>
      </c>
      <c r="DL1590">
        <f>IF(DB1590="","",IF(AND(COUNTIF($DA$2:$DA$47,DB1590)=0,COUNTIF($DB$2:DB1590,DB1590)=1),1589,""))</f>
        <v/>
      </c>
    </row>
    <row r="1591">
      <c r="DB1591">
        <f>IF('История отказов'!AM394="","",'История отказов'!AM394)</f>
        <v/>
      </c>
      <c r="DL1591">
        <f>IF(DB1591="","",IF(AND(COUNTIF($DA$2:$DA$47,DB1591)=0,COUNTIF($DB$2:DB1591,DB1591)=1),1590,""))</f>
        <v/>
      </c>
    </row>
    <row r="1592">
      <c r="DB1592">
        <f>IF('История отказов'!AM395="","",'История отказов'!AM395)</f>
        <v/>
      </c>
      <c r="DL1592">
        <f>IF(DB1592="","",IF(AND(COUNTIF($DA$2:$DA$47,DB1592)=0,COUNTIF($DB$2:DB1592,DB1592)=1),1591,""))</f>
        <v/>
      </c>
    </row>
    <row r="1593">
      <c r="DB1593">
        <f>IF('История отказов'!AM396="","",'История отказов'!AM396)</f>
        <v/>
      </c>
      <c r="DL1593">
        <f>IF(DB1593="","",IF(AND(COUNTIF($DA$2:$DA$47,DB1593)=0,COUNTIF($DB$2:DB1593,DB1593)=1),1592,""))</f>
        <v/>
      </c>
    </row>
    <row r="1594">
      <c r="DB1594">
        <f>IF('История отказов'!AM397="","",'История отказов'!AM397)</f>
        <v/>
      </c>
      <c r="DL1594">
        <f>IF(DB1594="","",IF(AND(COUNTIF($DA$2:$DA$47,DB1594)=0,COUNTIF($DB$2:DB1594,DB1594)=1),1593,""))</f>
        <v/>
      </c>
    </row>
    <row r="1595">
      <c r="DB1595">
        <f>IF('История отказов'!AM398="","",'История отказов'!AM398)</f>
        <v/>
      </c>
      <c r="DL1595">
        <f>IF(DB1595="","",IF(AND(COUNTIF($DA$2:$DA$47,DB1595)=0,COUNTIF($DB$2:DB1595,DB1595)=1),1594,""))</f>
        <v/>
      </c>
    </row>
    <row r="1596">
      <c r="DB1596">
        <f>IF('История отказов'!AM399="","",'История отказов'!AM399)</f>
        <v/>
      </c>
      <c r="DL1596">
        <f>IF(DB1596="","",IF(AND(COUNTIF($DA$2:$DA$47,DB1596)=0,COUNTIF($DB$2:DB1596,DB1596)=1),1595,""))</f>
        <v/>
      </c>
    </row>
    <row r="1597">
      <c r="DB1597">
        <f>IF('История отказов'!AM400="","",'История отказов'!AM400)</f>
        <v/>
      </c>
      <c r="DL1597">
        <f>IF(DB1597="","",IF(AND(COUNTIF($DA$2:$DA$47,DB1597)=0,COUNTIF($DB$2:DB1597,DB1597)=1),1596,""))</f>
        <v/>
      </c>
    </row>
    <row r="1598">
      <c r="DB1598">
        <f>IF('История отказов'!AM401="","",'История отказов'!AM401)</f>
        <v/>
      </c>
      <c r="DL1598">
        <f>IF(DB1598="","",IF(AND(COUNTIF($DA$2:$DA$47,DB1598)=0,COUNTIF($DB$2:DB1598,DB1598)=1),1597,""))</f>
        <v/>
      </c>
    </row>
    <row r="1599">
      <c r="DB1599">
        <f>IF('История отказов'!AM402="","",'История отказов'!AM402)</f>
        <v/>
      </c>
      <c r="DL1599">
        <f>IF(DB1599="","",IF(AND(COUNTIF($DA$2:$DA$47,DB1599)=0,COUNTIF($DB$2:DB1599,DB1599)=1),1598,""))</f>
        <v/>
      </c>
    </row>
    <row r="1600">
      <c r="DB1600">
        <f>IF('История отказов'!AM403="","",'История отказов'!AM403)</f>
        <v/>
      </c>
      <c r="DL1600">
        <f>IF(DB1600="","",IF(AND(COUNTIF($DA$2:$DA$47,DB1600)=0,COUNTIF($DB$2:DB1600,DB1600)=1),1599,""))</f>
        <v/>
      </c>
    </row>
    <row r="1601">
      <c r="DB1601">
        <f>IF('История отказов'!AM404="","",'История отказов'!AM404)</f>
        <v/>
      </c>
      <c r="DL1601">
        <f>IF(DB1601="","",IF(AND(COUNTIF($DA$2:$DA$47,DB1601)=0,COUNTIF($DB$2:DB1601,DB1601)=1),1600,""))</f>
        <v/>
      </c>
    </row>
    <row r="1602">
      <c r="DB1602">
        <f>IF('История отказов'!AM405="","",'История отказов'!AM405)</f>
        <v/>
      </c>
      <c r="DL1602">
        <f>IF(DB1602="","",IF(AND(COUNTIF($DA$2:$DA$47,DB1602)=0,COUNTIF($DB$2:DB1602,DB1602)=1),1601,""))</f>
        <v/>
      </c>
    </row>
    <row r="1603">
      <c r="DB1603">
        <f>IF('История отказов'!AM406="","",'История отказов'!AM406)</f>
        <v/>
      </c>
      <c r="DL1603">
        <f>IF(DB1603="","",IF(AND(COUNTIF($DA$2:$DA$47,DB1603)=0,COUNTIF($DB$2:DB1603,DB1603)=1),1602,""))</f>
        <v/>
      </c>
    </row>
    <row r="1604">
      <c r="DB1604">
        <f>IF('История отказов'!AM407="","",'История отказов'!AM407)</f>
        <v/>
      </c>
      <c r="DL1604">
        <f>IF(DB1604="","",IF(AND(COUNTIF($DA$2:$DA$47,DB1604)=0,COUNTIF($DB$2:DB1604,DB1604)=1),1603,""))</f>
        <v/>
      </c>
    </row>
    <row r="1605">
      <c r="DB1605">
        <f>IF('История отказов'!AM408="","",'История отказов'!AM408)</f>
        <v/>
      </c>
      <c r="DL1605">
        <f>IF(DB1605="","",IF(AND(COUNTIF($DA$2:$DA$47,DB1605)=0,COUNTIF($DB$2:DB1605,DB1605)=1),1604,""))</f>
        <v/>
      </c>
    </row>
    <row r="1606">
      <c r="DB1606">
        <f>IF('История отказов'!AM409="","",'История отказов'!AM409)</f>
        <v/>
      </c>
      <c r="DL1606">
        <f>IF(DB1606="","",IF(AND(COUNTIF($DA$2:$DA$47,DB1606)=0,COUNTIF($DB$2:DB1606,DB1606)=1),1605,""))</f>
        <v/>
      </c>
    </row>
    <row r="1607">
      <c r="DB1607">
        <f>IF('История отказов'!AM410="","",'История отказов'!AM410)</f>
        <v/>
      </c>
      <c r="DL1607">
        <f>IF(DB1607="","",IF(AND(COUNTIF($DA$2:$DA$47,DB1607)=0,COUNTIF($DB$2:DB1607,DB1607)=1),1606,""))</f>
        <v/>
      </c>
    </row>
    <row r="1608">
      <c r="DB1608">
        <f>IF('История отказов'!AM411="","",'История отказов'!AM411)</f>
        <v/>
      </c>
      <c r="DL1608">
        <f>IF(DB1608="","",IF(AND(COUNTIF($DA$2:$DA$47,DB1608)=0,COUNTIF($DB$2:DB1608,DB1608)=1),1607,""))</f>
        <v/>
      </c>
    </row>
    <row r="1609">
      <c r="DB1609">
        <f>IF('История отказов'!AM412="","",'История отказов'!AM412)</f>
        <v/>
      </c>
      <c r="DL1609">
        <f>IF(DB1609="","",IF(AND(COUNTIF($DA$2:$DA$47,DB1609)=0,COUNTIF($DB$2:DB1609,DB1609)=1),1608,""))</f>
        <v/>
      </c>
    </row>
    <row r="1610">
      <c r="DB1610">
        <f>IF('История отказов'!AM413="","",'История отказов'!AM413)</f>
        <v/>
      </c>
      <c r="DL1610">
        <f>IF(DB1610="","",IF(AND(COUNTIF($DA$2:$DA$47,DB1610)=0,COUNTIF($DB$2:DB1610,DB1610)=1),1609,""))</f>
        <v/>
      </c>
    </row>
    <row r="1611">
      <c r="DB1611">
        <f>IF('История отказов'!AM414="","",'История отказов'!AM414)</f>
        <v/>
      </c>
      <c r="DL1611">
        <f>IF(DB1611="","",IF(AND(COUNTIF($DA$2:$DA$47,DB1611)=0,COUNTIF($DB$2:DB1611,DB1611)=1),1610,""))</f>
        <v/>
      </c>
    </row>
    <row r="1612">
      <c r="DB1612">
        <f>IF('История отказов'!AM415="","",'История отказов'!AM415)</f>
        <v/>
      </c>
      <c r="DL1612">
        <f>IF(DB1612="","",IF(AND(COUNTIF($DA$2:$DA$47,DB1612)=0,COUNTIF($DB$2:DB1612,DB1612)=1),1611,""))</f>
        <v/>
      </c>
    </row>
    <row r="1613">
      <c r="DB1613">
        <f>IF('История отказов'!AM416="","",'История отказов'!AM416)</f>
        <v/>
      </c>
      <c r="DL1613">
        <f>IF(DB1613="","",IF(AND(COUNTIF($DA$2:$DA$47,DB1613)=0,COUNTIF($DB$2:DB1613,DB1613)=1),1612,""))</f>
        <v/>
      </c>
    </row>
    <row r="1614">
      <c r="DB1614">
        <f>IF('История отказов'!AM417="","",'История отказов'!AM417)</f>
        <v/>
      </c>
      <c r="DL1614">
        <f>IF(DB1614="","",IF(AND(COUNTIF($DA$2:$DA$47,DB1614)=0,COUNTIF($DB$2:DB1614,DB1614)=1),1613,""))</f>
        <v/>
      </c>
    </row>
    <row r="1615">
      <c r="DB1615">
        <f>IF('История отказов'!AM418="","",'История отказов'!AM418)</f>
        <v/>
      </c>
      <c r="DL1615">
        <f>IF(DB1615="","",IF(AND(COUNTIF($DA$2:$DA$47,DB1615)=0,COUNTIF($DB$2:DB1615,DB1615)=1),1614,""))</f>
        <v/>
      </c>
    </row>
    <row r="1616">
      <c r="DB1616">
        <f>IF('История отказов'!AM419="","",'История отказов'!AM419)</f>
        <v/>
      </c>
      <c r="DL1616">
        <f>IF(DB1616="","",IF(AND(COUNTIF($DA$2:$DA$47,DB1616)=0,COUNTIF($DB$2:DB1616,DB1616)=1),1615,""))</f>
        <v/>
      </c>
    </row>
    <row r="1617">
      <c r="DB1617">
        <f>IF('История отказов'!AM420="","",'История отказов'!AM420)</f>
        <v/>
      </c>
      <c r="DL1617">
        <f>IF(DB1617="","",IF(AND(COUNTIF($DA$2:$DA$47,DB1617)=0,COUNTIF($DB$2:DB1617,DB1617)=1),1616,""))</f>
        <v/>
      </c>
    </row>
    <row r="1618">
      <c r="DB1618">
        <f>IF('История отказов'!AM421="","",'История отказов'!AM421)</f>
        <v/>
      </c>
      <c r="DL1618">
        <f>IF(DB1618="","",IF(AND(COUNTIF($DA$2:$DA$47,DB1618)=0,COUNTIF($DB$2:DB1618,DB1618)=1),1617,""))</f>
        <v/>
      </c>
    </row>
    <row r="1619">
      <c r="DB1619">
        <f>IF('История отказов'!AM422="","",'История отказов'!AM422)</f>
        <v/>
      </c>
      <c r="DL1619">
        <f>IF(DB1619="","",IF(AND(COUNTIF($DA$2:$DA$47,DB1619)=0,COUNTIF($DB$2:DB1619,DB1619)=1),1618,""))</f>
        <v/>
      </c>
    </row>
    <row r="1620">
      <c r="DB1620">
        <f>IF('История отказов'!AM423="","",'История отказов'!AM423)</f>
        <v/>
      </c>
      <c r="DL1620">
        <f>IF(DB1620="","",IF(AND(COUNTIF($DA$2:$DA$47,DB1620)=0,COUNTIF($DB$2:DB1620,DB1620)=1),1619,""))</f>
        <v/>
      </c>
    </row>
    <row r="1621">
      <c r="DB1621">
        <f>IF('История отказов'!AM424="","",'История отказов'!AM424)</f>
        <v/>
      </c>
      <c r="DL1621">
        <f>IF(DB1621="","",IF(AND(COUNTIF($DA$2:$DA$47,DB1621)=0,COUNTIF($DB$2:DB1621,DB1621)=1),1620,""))</f>
        <v/>
      </c>
    </row>
    <row r="1622">
      <c r="DB1622">
        <f>IF('История отказов'!AM425="","",'История отказов'!AM425)</f>
        <v/>
      </c>
      <c r="DL1622">
        <f>IF(DB1622="","",IF(AND(COUNTIF($DA$2:$DA$47,DB1622)=0,COUNTIF($DB$2:DB1622,DB1622)=1),1621,""))</f>
        <v/>
      </c>
    </row>
    <row r="1623">
      <c r="DB1623">
        <f>IF('История отказов'!AM426="","",'История отказов'!AM426)</f>
        <v/>
      </c>
      <c r="DL1623">
        <f>IF(DB1623="","",IF(AND(COUNTIF($DA$2:$DA$47,DB1623)=0,COUNTIF($DB$2:DB1623,DB1623)=1),1622,""))</f>
        <v/>
      </c>
    </row>
    <row r="1624">
      <c r="DB1624">
        <f>IF('История отказов'!AM427="","",'История отказов'!AM427)</f>
        <v/>
      </c>
      <c r="DL1624">
        <f>IF(DB1624="","",IF(AND(COUNTIF($DA$2:$DA$47,DB1624)=0,COUNTIF($DB$2:DB1624,DB1624)=1),1623,""))</f>
        <v/>
      </c>
    </row>
    <row r="1625">
      <c r="DB1625">
        <f>IF('История отказов'!AM428="","",'История отказов'!AM428)</f>
        <v/>
      </c>
      <c r="DL1625">
        <f>IF(DB1625="","",IF(AND(COUNTIF($DA$2:$DA$47,DB1625)=0,COUNTIF($DB$2:DB1625,DB1625)=1),1624,""))</f>
        <v/>
      </c>
    </row>
    <row r="1626">
      <c r="DB1626">
        <f>IF('История отказов'!AM429="","",'История отказов'!AM429)</f>
        <v/>
      </c>
      <c r="DL1626">
        <f>IF(DB1626="","",IF(AND(COUNTIF($DA$2:$DA$47,DB1626)=0,COUNTIF($DB$2:DB1626,DB1626)=1),1625,""))</f>
        <v/>
      </c>
    </row>
    <row r="1627">
      <c r="DB1627">
        <f>IF('История отказов'!AM430="","",'История отказов'!AM430)</f>
        <v/>
      </c>
      <c r="DL1627">
        <f>IF(DB1627="","",IF(AND(COUNTIF($DA$2:$DA$47,DB1627)=0,COUNTIF($DB$2:DB1627,DB1627)=1),1626,""))</f>
        <v/>
      </c>
    </row>
    <row r="1628">
      <c r="DB1628">
        <f>IF('История отказов'!AM431="","",'История отказов'!AM431)</f>
        <v/>
      </c>
      <c r="DL1628">
        <f>IF(DB1628="","",IF(AND(COUNTIF($DA$2:$DA$47,DB1628)=0,COUNTIF($DB$2:DB1628,DB1628)=1),1627,""))</f>
        <v/>
      </c>
    </row>
    <row r="1629">
      <c r="DB1629">
        <f>IF('История отказов'!AM432="","",'История отказов'!AM432)</f>
        <v/>
      </c>
      <c r="DL1629">
        <f>IF(DB1629="","",IF(AND(COUNTIF($DA$2:$DA$47,DB1629)=0,COUNTIF($DB$2:DB1629,DB1629)=1),1628,""))</f>
        <v/>
      </c>
    </row>
    <row r="1630">
      <c r="DB1630">
        <f>IF('История отказов'!AM433="","",'История отказов'!AM433)</f>
        <v/>
      </c>
      <c r="DL1630">
        <f>IF(DB1630="","",IF(AND(COUNTIF($DA$2:$DA$47,DB1630)=0,COUNTIF($DB$2:DB1630,DB1630)=1),1629,""))</f>
        <v/>
      </c>
    </row>
    <row r="1631">
      <c r="DB1631">
        <f>IF('История отказов'!AM434="","",'История отказов'!AM434)</f>
        <v/>
      </c>
      <c r="DL1631">
        <f>IF(DB1631="","",IF(AND(COUNTIF($DA$2:$DA$47,DB1631)=0,COUNTIF($DB$2:DB1631,DB1631)=1),1630,""))</f>
        <v/>
      </c>
    </row>
    <row r="1632">
      <c r="DB1632">
        <f>IF('История отказов'!AM435="","",'История отказов'!AM435)</f>
        <v/>
      </c>
      <c r="DL1632">
        <f>IF(DB1632="","",IF(AND(COUNTIF($DA$2:$DA$47,DB1632)=0,COUNTIF($DB$2:DB1632,DB1632)=1),1631,""))</f>
        <v/>
      </c>
    </row>
    <row r="1633">
      <c r="DB1633">
        <f>IF('История отказов'!AM436="","",'История отказов'!AM436)</f>
        <v/>
      </c>
      <c r="DL1633">
        <f>IF(DB1633="","",IF(AND(COUNTIF($DA$2:$DA$47,DB1633)=0,COUNTIF($DB$2:DB1633,DB1633)=1),1632,""))</f>
        <v/>
      </c>
    </row>
    <row r="1634">
      <c r="DB1634">
        <f>IF('История отказов'!AM437="","",'История отказов'!AM437)</f>
        <v/>
      </c>
      <c r="DL1634">
        <f>IF(DB1634="","",IF(AND(COUNTIF($DA$2:$DA$47,DB1634)=0,COUNTIF($DB$2:DB1634,DB1634)=1),1633,""))</f>
        <v/>
      </c>
    </row>
    <row r="1635">
      <c r="DB1635">
        <f>IF('История отказов'!AM438="","",'История отказов'!AM438)</f>
        <v/>
      </c>
      <c r="DL1635">
        <f>IF(DB1635="","",IF(AND(COUNTIF($DA$2:$DA$47,DB1635)=0,COUNTIF($DB$2:DB1635,DB1635)=1),1634,""))</f>
        <v/>
      </c>
    </row>
    <row r="1636">
      <c r="DB1636">
        <f>IF('История отказов'!AM439="","",'История отказов'!AM439)</f>
        <v/>
      </c>
      <c r="DL1636">
        <f>IF(DB1636="","",IF(AND(COUNTIF($DA$2:$DA$47,DB1636)=0,COUNTIF($DB$2:DB1636,DB1636)=1),1635,""))</f>
        <v/>
      </c>
    </row>
    <row r="1637">
      <c r="DB1637">
        <f>IF('История отказов'!AM440="","",'История отказов'!AM440)</f>
        <v/>
      </c>
      <c r="DL1637">
        <f>IF(DB1637="","",IF(AND(COUNTIF($DA$2:$DA$47,DB1637)=0,COUNTIF($DB$2:DB1637,DB1637)=1),1636,""))</f>
        <v/>
      </c>
    </row>
    <row r="1638">
      <c r="DB1638">
        <f>IF('История отказов'!AM441="","",'История отказов'!AM441)</f>
        <v/>
      </c>
      <c r="DL1638">
        <f>IF(DB1638="","",IF(AND(COUNTIF($DA$2:$DA$47,DB1638)=0,COUNTIF($DB$2:DB1638,DB1638)=1),1637,""))</f>
        <v/>
      </c>
    </row>
    <row r="1639">
      <c r="DB1639">
        <f>IF('История отказов'!AM442="","",'История отказов'!AM442)</f>
        <v/>
      </c>
      <c r="DL1639">
        <f>IF(DB1639="","",IF(AND(COUNTIF($DA$2:$DA$47,DB1639)=0,COUNTIF($DB$2:DB1639,DB1639)=1),1638,""))</f>
        <v/>
      </c>
    </row>
    <row r="1640">
      <c r="DB1640">
        <f>IF('История отказов'!AM443="","",'История отказов'!AM443)</f>
        <v/>
      </c>
      <c r="DL1640">
        <f>IF(DB1640="","",IF(AND(COUNTIF($DA$2:$DA$47,DB1640)=0,COUNTIF($DB$2:DB1640,DB1640)=1),1639,""))</f>
        <v/>
      </c>
    </row>
    <row r="1641">
      <c r="DB1641">
        <f>IF('История отказов'!AM444="","",'История отказов'!AM444)</f>
        <v/>
      </c>
      <c r="DL1641">
        <f>IF(DB1641="","",IF(AND(COUNTIF($DA$2:$DA$47,DB1641)=0,COUNTIF($DB$2:DB1641,DB1641)=1),1640,""))</f>
        <v/>
      </c>
    </row>
    <row r="1642">
      <c r="DB1642">
        <f>IF('История отказов'!AM445="","",'История отказов'!AM445)</f>
        <v/>
      </c>
      <c r="DL1642">
        <f>IF(DB1642="","",IF(AND(COUNTIF($DA$2:$DA$47,DB1642)=0,COUNTIF($DB$2:DB1642,DB1642)=1),1641,""))</f>
        <v/>
      </c>
    </row>
    <row r="1643">
      <c r="DB1643">
        <f>IF('История отказов'!AM446="","",'История отказов'!AM446)</f>
        <v/>
      </c>
      <c r="DL1643">
        <f>IF(DB1643="","",IF(AND(COUNTIF($DA$2:$DA$47,DB1643)=0,COUNTIF($DB$2:DB1643,DB1643)=1),1642,""))</f>
        <v/>
      </c>
    </row>
    <row r="1644">
      <c r="DB1644">
        <f>IF('История отказов'!AM447="","",'История отказов'!AM447)</f>
        <v/>
      </c>
      <c r="DL1644">
        <f>IF(DB1644="","",IF(AND(COUNTIF($DA$2:$DA$47,DB1644)=0,COUNTIF($DB$2:DB1644,DB1644)=1),1643,""))</f>
        <v/>
      </c>
    </row>
    <row r="1645">
      <c r="DB1645">
        <f>IF('История отказов'!AM448="","",'История отказов'!AM448)</f>
        <v/>
      </c>
      <c r="DL1645">
        <f>IF(DB1645="","",IF(AND(COUNTIF($DA$2:$DA$47,DB1645)=0,COUNTIF($DB$2:DB1645,DB1645)=1),1644,""))</f>
        <v/>
      </c>
    </row>
    <row r="1646">
      <c r="DB1646">
        <f>IF('История отказов'!AM449="","",'История отказов'!AM449)</f>
        <v/>
      </c>
      <c r="DL1646">
        <f>IF(DB1646="","",IF(AND(COUNTIF($DA$2:$DA$47,DB1646)=0,COUNTIF($DB$2:DB1646,DB1646)=1),1645,""))</f>
        <v/>
      </c>
    </row>
    <row r="1647">
      <c r="DB1647">
        <f>IF('История отказов'!AM450="","",'История отказов'!AM450)</f>
        <v/>
      </c>
      <c r="DL1647">
        <f>IF(DB1647="","",IF(AND(COUNTIF($DA$2:$DA$47,DB1647)=0,COUNTIF($DB$2:DB1647,DB1647)=1),1646,""))</f>
        <v/>
      </c>
    </row>
    <row r="1648">
      <c r="DB1648">
        <f>IF('История отказов'!AM451="","",'История отказов'!AM451)</f>
        <v/>
      </c>
      <c r="DL1648">
        <f>IF(DB1648="","",IF(AND(COUNTIF($DA$2:$DA$47,DB1648)=0,COUNTIF($DB$2:DB1648,DB1648)=1),1647,""))</f>
        <v/>
      </c>
    </row>
    <row r="1649">
      <c r="DB1649">
        <f>IF('История отказов'!AM452="","",'История отказов'!AM452)</f>
        <v/>
      </c>
      <c r="DL1649">
        <f>IF(DB1649="","",IF(AND(COUNTIF($DA$2:$DA$47,DB1649)=0,COUNTIF($DB$2:DB1649,DB1649)=1),1648,""))</f>
        <v/>
      </c>
    </row>
    <row r="1650">
      <c r="DB1650">
        <f>IF('История отказов'!AM453="","",'История отказов'!AM453)</f>
        <v/>
      </c>
      <c r="DL1650">
        <f>IF(DB1650="","",IF(AND(COUNTIF($DA$2:$DA$47,DB1650)=0,COUNTIF($DB$2:DB1650,DB1650)=1),1649,""))</f>
        <v/>
      </c>
    </row>
    <row r="1651">
      <c r="DB1651">
        <f>IF('История отказов'!AM454="","",'История отказов'!AM454)</f>
        <v/>
      </c>
      <c r="DL1651">
        <f>IF(DB1651="","",IF(AND(COUNTIF($DA$2:$DA$47,DB1651)=0,COUNTIF($DB$2:DB1651,DB1651)=1),1650,""))</f>
        <v/>
      </c>
    </row>
    <row r="1652">
      <c r="DB1652">
        <f>IF('История отказов'!AM455="","",'История отказов'!AM455)</f>
        <v/>
      </c>
      <c r="DL1652">
        <f>IF(DB1652="","",IF(AND(COUNTIF($DA$2:$DA$47,DB1652)=0,COUNTIF($DB$2:DB1652,DB1652)=1),1651,""))</f>
        <v/>
      </c>
    </row>
    <row r="1653">
      <c r="DB1653">
        <f>IF('История отказов'!AM456="","",'История отказов'!AM456)</f>
        <v/>
      </c>
      <c r="DL1653">
        <f>IF(DB1653="","",IF(AND(COUNTIF($DA$2:$DA$47,DB1653)=0,COUNTIF($DB$2:DB1653,DB1653)=1),1652,""))</f>
        <v/>
      </c>
    </row>
    <row r="1654">
      <c r="DB1654">
        <f>IF('История отказов'!AM457="","",'История отказов'!AM457)</f>
        <v/>
      </c>
      <c r="DL1654">
        <f>IF(DB1654="","",IF(AND(COUNTIF($DA$2:$DA$47,DB1654)=0,COUNTIF($DB$2:DB1654,DB1654)=1),1653,""))</f>
        <v/>
      </c>
    </row>
    <row r="1655">
      <c r="DB1655">
        <f>IF('История отказов'!AM458="","",'История отказов'!AM458)</f>
        <v/>
      </c>
      <c r="DL1655">
        <f>IF(DB1655="","",IF(AND(COUNTIF($DA$2:$DA$47,DB1655)=0,COUNTIF($DB$2:DB1655,DB1655)=1),1654,""))</f>
        <v/>
      </c>
    </row>
    <row r="1656">
      <c r="DB1656">
        <f>IF('История отказов'!AM459="","",'История отказов'!AM459)</f>
        <v/>
      </c>
      <c r="DL1656">
        <f>IF(DB1656="","",IF(AND(COUNTIF($DA$2:$DA$47,DB1656)=0,COUNTIF($DB$2:DB1656,DB1656)=1),1655,""))</f>
        <v/>
      </c>
    </row>
    <row r="1657">
      <c r="DB1657">
        <f>IF('История отказов'!AM460="","",'История отказов'!AM460)</f>
        <v/>
      </c>
      <c r="DL1657">
        <f>IF(DB1657="","",IF(AND(COUNTIF($DA$2:$DA$47,DB1657)=0,COUNTIF($DB$2:DB1657,DB1657)=1),1656,""))</f>
        <v/>
      </c>
    </row>
    <row r="1658">
      <c r="DB1658">
        <f>IF('История отказов'!AM461="","",'История отказов'!AM461)</f>
        <v/>
      </c>
      <c r="DL1658">
        <f>IF(DB1658="","",IF(AND(COUNTIF($DA$2:$DA$47,DB1658)=0,COUNTIF($DB$2:DB1658,DB1658)=1),1657,""))</f>
        <v/>
      </c>
    </row>
    <row r="1659">
      <c r="DB1659">
        <f>IF('История отказов'!AM462="","",'История отказов'!AM462)</f>
        <v/>
      </c>
      <c r="DL1659">
        <f>IF(DB1659="","",IF(AND(COUNTIF($DA$2:$DA$47,DB1659)=0,COUNTIF($DB$2:DB1659,DB1659)=1),1658,""))</f>
        <v/>
      </c>
    </row>
    <row r="1660">
      <c r="DB1660">
        <f>IF('История отказов'!AM463="","",'История отказов'!AM463)</f>
        <v/>
      </c>
      <c r="DL1660">
        <f>IF(DB1660="","",IF(AND(COUNTIF($DA$2:$DA$47,DB1660)=0,COUNTIF($DB$2:DB1660,DB1660)=1),1659,""))</f>
        <v/>
      </c>
    </row>
    <row r="1661">
      <c r="DB1661">
        <f>IF('История отказов'!AM464="","",'История отказов'!AM464)</f>
        <v/>
      </c>
      <c r="DL1661">
        <f>IF(DB1661="","",IF(AND(COUNTIF($DA$2:$DA$47,DB1661)=0,COUNTIF($DB$2:DB1661,DB1661)=1),1660,""))</f>
        <v/>
      </c>
    </row>
    <row r="1662">
      <c r="DB1662">
        <f>IF('История отказов'!AM465="","",'История отказов'!AM465)</f>
        <v/>
      </c>
      <c r="DL1662">
        <f>IF(DB1662="","",IF(AND(COUNTIF($DA$2:$DA$47,DB1662)=0,COUNTIF($DB$2:DB1662,DB1662)=1),1661,""))</f>
        <v/>
      </c>
    </row>
    <row r="1663">
      <c r="DB1663">
        <f>IF('История отказов'!AM466="","",'История отказов'!AM466)</f>
        <v/>
      </c>
      <c r="DL1663">
        <f>IF(DB1663="","",IF(AND(COUNTIF($DA$2:$DA$47,DB1663)=0,COUNTIF($DB$2:DB1663,DB1663)=1),1662,""))</f>
        <v/>
      </c>
    </row>
    <row r="1664">
      <c r="DB1664">
        <f>IF('История отказов'!AM467="","",'История отказов'!AM467)</f>
        <v/>
      </c>
      <c r="DL1664">
        <f>IF(DB1664="","",IF(AND(COUNTIF($DA$2:$DA$47,DB1664)=0,COUNTIF($DB$2:DB1664,DB1664)=1),1663,""))</f>
        <v/>
      </c>
    </row>
    <row r="1665">
      <c r="DB1665">
        <f>IF('История отказов'!AM468="","",'История отказов'!AM468)</f>
        <v/>
      </c>
      <c r="DL1665">
        <f>IF(DB1665="","",IF(AND(COUNTIF($DA$2:$DA$47,DB1665)=0,COUNTIF($DB$2:DB1665,DB1665)=1),1664,""))</f>
        <v/>
      </c>
    </row>
    <row r="1666">
      <c r="DB1666">
        <f>IF('История отказов'!AM469="","",'История отказов'!AM469)</f>
        <v/>
      </c>
      <c r="DL1666">
        <f>IF(DB1666="","",IF(AND(COUNTIF($DA$2:$DA$47,DB1666)=0,COUNTIF($DB$2:DB1666,DB1666)=1),1665,""))</f>
        <v/>
      </c>
    </row>
    <row r="1667">
      <c r="DB1667">
        <f>IF('История отказов'!AM470="","",'История отказов'!AM470)</f>
        <v/>
      </c>
      <c r="DL1667">
        <f>IF(DB1667="","",IF(AND(COUNTIF($DA$2:$DA$47,DB1667)=0,COUNTIF($DB$2:DB1667,DB1667)=1),1666,""))</f>
        <v/>
      </c>
    </row>
    <row r="1668">
      <c r="DB1668">
        <f>IF('История отказов'!AM471="","",'История отказов'!AM471)</f>
        <v/>
      </c>
      <c r="DL1668">
        <f>IF(DB1668="","",IF(AND(COUNTIF($DA$2:$DA$47,DB1668)=0,COUNTIF($DB$2:DB1668,DB1668)=1),1667,""))</f>
        <v/>
      </c>
    </row>
    <row r="1669">
      <c r="DB1669">
        <f>IF('История отказов'!AM472="","",'История отказов'!AM472)</f>
        <v/>
      </c>
      <c r="DL1669">
        <f>IF(DB1669="","",IF(AND(COUNTIF($DA$2:$DA$47,DB1669)=0,COUNTIF($DB$2:DB1669,DB1669)=1),1668,""))</f>
        <v/>
      </c>
    </row>
    <row r="1670">
      <c r="DB1670">
        <f>IF('История отказов'!AM473="","",'История отказов'!AM473)</f>
        <v/>
      </c>
      <c r="DL1670">
        <f>IF(DB1670="","",IF(AND(COUNTIF($DA$2:$DA$47,DB1670)=0,COUNTIF($DB$2:DB1670,DB1670)=1),1669,""))</f>
        <v/>
      </c>
    </row>
    <row r="1671">
      <c r="DB1671">
        <f>IF('История отказов'!AM474="","",'История отказов'!AM474)</f>
        <v/>
      </c>
      <c r="DL1671">
        <f>IF(DB1671="","",IF(AND(COUNTIF($DA$2:$DA$47,DB1671)=0,COUNTIF($DB$2:DB1671,DB1671)=1),1670,""))</f>
        <v/>
      </c>
    </row>
    <row r="1672">
      <c r="DB1672">
        <f>IF('История отказов'!AM475="","",'История отказов'!AM475)</f>
        <v/>
      </c>
      <c r="DL1672">
        <f>IF(DB1672="","",IF(AND(COUNTIF($DA$2:$DA$47,DB1672)=0,COUNTIF($DB$2:DB1672,DB1672)=1),1671,""))</f>
        <v/>
      </c>
    </row>
    <row r="1673">
      <c r="DB1673">
        <f>IF('История отказов'!AM476="","",'История отказов'!AM476)</f>
        <v/>
      </c>
      <c r="DL1673">
        <f>IF(DB1673="","",IF(AND(COUNTIF($DA$2:$DA$47,DB1673)=0,COUNTIF($DB$2:DB1673,DB1673)=1),1672,""))</f>
        <v/>
      </c>
    </row>
    <row r="1674">
      <c r="DB1674">
        <f>IF('История отказов'!AM477="","",'История отказов'!AM477)</f>
        <v/>
      </c>
      <c r="DL1674">
        <f>IF(DB1674="","",IF(AND(COUNTIF($DA$2:$DA$47,DB1674)=0,COUNTIF($DB$2:DB1674,DB1674)=1),1673,""))</f>
        <v/>
      </c>
    </row>
    <row r="1675">
      <c r="DB1675">
        <f>IF('История отказов'!AM478="","",'История отказов'!AM478)</f>
        <v/>
      </c>
      <c r="DL1675">
        <f>IF(DB1675="","",IF(AND(COUNTIF($DA$2:$DA$47,DB1675)=0,COUNTIF($DB$2:DB1675,DB1675)=1),1674,""))</f>
        <v/>
      </c>
    </row>
    <row r="1676">
      <c r="DB1676">
        <f>IF('История отказов'!AM479="","",'История отказов'!AM479)</f>
        <v/>
      </c>
      <c r="DL1676">
        <f>IF(DB1676="","",IF(AND(COUNTIF($DA$2:$DA$47,DB1676)=0,COUNTIF($DB$2:DB1676,DB1676)=1),1675,""))</f>
        <v/>
      </c>
    </row>
    <row r="1677">
      <c r="DB1677">
        <f>IF('История отказов'!AM480="","",'История отказов'!AM480)</f>
        <v/>
      </c>
      <c r="DL1677">
        <f>IF(DB1677="","",IF(AND(COUNTIF($DA$2:$DA$47,DB1677)=0,COUNTIF($DB$2:DB1677,DB1677)=1),1676,""))</f>
        <v/>
      </c>
    </row>
    <row r="1678">
      <c r="DB1678">
        <f>IF('История отказов'!AM481="","",'История отказов'!AM481)</f>
        <v/>
      </c>
      <c r="DL1678">
        <f>IF(DB1678="","",IF(AND(COUNTIF($DA$2:$DA$47,DB1678)=0,COUNTIF($DB$2:DB1678,DB1678)=1),1677,""))</f>
        <v/>
      </c>
    </row>
    <row r="1679">
      <c r="DB1679">
        <f>IF('История отказов'!AM482="","",'История отказов'!AM482)</f>
        <v/>
      </c>
      <c r="DL1679">
        <f>IF(DB1679="","",IF(AND(COUNTIF($DA$2:$DA$47,DB1679)=0,COUNTIF($DB$2:DB1679,DB1679)=1),1678,""))</f>
        <v/>
      </c>
    </row>
    <row r="1680">
      <c r="DB1680">
        <f>IF('История отказов'!AM483="","",'История отказов'!AM483)</f>
        <v/>
      </c>
      <c r="DL1680">
        <f>IF(DB1680="","",IF(AND(COUNTIF($DA$2:$DA$47,DB1680)=0,COUNTIF($DB$2:DB1680,DB1680)=1),1679,""))</f>
        <v/>
      </c>
    </row>
    <row r="1681">
      <c r="DB1681">
        <f>IF('История отказов'!AM484="","",'История отказов'!AM484)</f>
        <v/>
      </c>
      <c r="DL1681">
        <f>IF(DB1681="","",IF(AND(COUNTIF($DA$2:$DA$47,DB1681)=0,COUNTIF($DB$2:DB1681,DB1681)=1),1680,""))</f>
        <v/>
      </c>
    </row>
    <row r="1682">
      <c r="DB1682">
        <f>IF('История отказов'!AM485="","",'История отказов'!AM485)</f>
        <v/>
      </c>
      <c r="DL1682">
        <f>IF(DB1682="","",IF(AND(COUNTIF($DA$2:$DA$47,DB1682)=0,COUNTIF($DB$2:DB1682,DB1682)=1),1681,""))</f>
        <v/>
      </c>
    </row>
    <row r="1683">
      <c r="DB1683">
        <f>IF('История отказов'!AM486="","",'История отказов'!AM486)</f>
        <v/>
      </c>
      <c r="DL1683">
        <f>IF(DB1683="","",IF(AND(COUNTIF($DA$2:$DA$47,DB1683)=0,COUNTIF($DB$2:DB1683,DB1683)=1),1682,""))</f>
        <v/>
      </c>
    </row>
    <row r="1684">
      <c r="DB1684">
        <f>IF('История отказов'!AM487="","",'История отказов'!AM487)</f>
        <v/>
      </c>
      <c r="DL1684">
        <f>IF(DB1684="","",IF(AND(COUNTIF($DA$2:$DA$47,DB1684)=0,COUNTIF($DB$2:DB1684,DB1684)=1),1683,""))</f>
        <v/>
      </c>
    </row>
    <row r="1685">
      <c r="DB1685">
        <f>IF('История отказов'!AM488="","",'История отказов'!AM488)</f>
        <v/>
      </c>
      <c r="DL1685">
        <f>IF(DB1685="","",IF(AND(COUNTIF($DA$2:$DA$47,DB1685)=0,COUNTIF($DB$2:DB1685,DB1685)=1),1684,""))</f>
        <v/>
      </c>
    </row>
    <row r="1686">
      <c r="DB1686">
        <f>IF('История отказов'!AM489="","",'История отказов'!AM489)</f>
        <v/>
      </c>
      <c r="DL1686">
        <f>IF(DB1686="","",IF(AND(COUNTIF($DA$2:$DA$47,DB1686)=0,COUNTIF($DB$2:DB1686,DB1686)=1),1685,""))</f>
        <v/>
      </c>
    </row>
    <row r="1687">
      <c r="DB1687">
        <f>IF('История отказов'!AM490="","",'История отказов'!AM490)</f>
        <v/>
      </c>
      <c r="DL1687">
        <f>IF(DB1687="","",IF(AND(COUNTIF($DA$2:$DA$47,DB1687)=0,COUNTIF($DB$2:DB1687,DB1687)=1),1686,""))</f>
        <v/>
      </c>
    </row>
    <row r="1688">
      <c r="DB1688">
        <f>IF('История отказов'!AM491="","",'История отказов'!AM491)</f>
        <v/>
      </c>
      <c r="DL1688">
        <f>IF(DB1688="","",IF(AND(COUNTIF($DA$2:$DA$47,DB1688)=0,COUNTIF($DB$2:DB1688,DB1688)=1),1687,""))</f>
        <v/>
      </c>
    </row>
    <row r="1689">
      <c r="DB1689">
        <f>IF('История отказов'!AM492="","",'История отказов'!AM492)</f>
        <v/>
      </c>
      <c r="DL1689">
        <f>IF(DB1689="","",IF(AND(COUNTIF($DA$2:$DA$47,DB1689)=0,COUNTIF($DB$2:DB1689,DB1689)=1),1688,""))</f>
        <v/>
      </c>
    </row>
    <row r="1690">
      <c r="DB1690">
        <f>IF('История отказов'!AM493="","",'История отказов'!AM493)</f>
        <v/>
      </c>
      <c r="DL1690">
        <f>IF(DB1690="","",IF(AND(COUNTIF($DA$2:$DA$47,DB1690)=0,COUNTIF($DB$2:DB1690,DB1690)=1),1689,""))</f>
        <v/>
      </c>
    </row>
    <row r="1691">
      <c r="DB1691">
        <f>IF('История отказов'!AM494="","",'История отказов'!AM494)</f>
        <v/>
      </c>
      <c r="DL1691">
        <f>IF(DB1691="","",IF(AND(COUNTIF($DA$2:$DA$47,DB1691)=0,COUNTIF($DB$2:DB1691,DB1691)=1),1690,""))</f>
        <v/>
      </c>
    </row>
    <row r="1692">
      <c r="DB1692">
        <f>IF('История отказов'!AM495="","",'История отказов'!AM495)</f>
        <v/>
      </c>
      <c r="DL1692">
        <f>IF(DB1692="","",IF(AND(COUNTIF($DA$2:$DA$47,DB1692)=0,COUNTIF($DB$2:DB1692,DB1692)=1),1691,""))</f>
        <v/>
      </c>
    </row>
    <row r="1693">
      <c r="DB1693">
        <f>IF('История отказов'!AM496="","",'История отказов'!AM496)</f>
        <v/>
      </c>
      <c r="DL1693">
        <f>IF(DB1693="","",IF(AND(COUNTIF($DA$2:$DA$47,DB1693)=0,COUNTIF($DB$2:DB1693,DB1693)=1),1692,""))</f>
        <v/>
      </c>
    </row>
    <row r="1694">
      <c r="DB1694">
        <f>IF('История отказов'!AM497="","",'История отказов'!AM497)</f>
        <v/>
      </c>
      <c r="DL1694">
        <f>IF(DB1694="","",IF(AND(COUNTIF($DA$2:$DA$47,DB1694)=0,COUNTIF($DB$2:DB1694,DB1694)=1),1693,""))</f>
        <v/>
      </c>
    </row>
    <row r="1695">
      <c r="DB1695">
        <f>IF('История отказов'!AM498="","",'История отказов'!AM498)</f>
        <v/>
      </c>
      <c r="DL1695">
        <f>IF(DB1695="","",IF(AND(COUNTIF($DA$2:$DA$47,DB1695)=0,COUNTIF($DB$2:DB1695,DB1695)=1),1694,""))</f>
        <v/>
      </c>
    </row>
    <row r="1696">
      <c r="DB1696">
        <f>IF('История отказов'!AM499="","",'История отказов'!AM499)</f>
        <v/>
      </c>
      <c r="DL1696">
        <f>IF(DB1696="","",IF(AND(COUNTIF($DA$2:$DA$47,DB1696)=0,COUNTIF($DB$2:DB1696,DB1696)=1),1695,""))</f>
        <v/>
      </c>
    </row>
    <row r="1697">
      <c r="DB1697">
        <f>IF('История отказов'!AM500="","",'История отказов'!AM500)</f>
        <v/>
      </c>
      <c r="DL1697">
        <f>IF(DB1697="","",IF(AND(COUNTIF($DA$2:$DA$47,DB1697)=0,COUNTIF($DB$2:DB1697,DB1697)=1),1696,""))</f>
        <v/>
      </c>
    </row>
    <row r="1698">
      <c r="DB1698">
        <f>IF('История отказов'!AM501="","",'История отказов'!AM501)</f>
        <v/>
      </c>
      <c r="DL1698">
        <f>IF(DB1698="","",IF(AND(COUNTIF($DA$2:$DA$47,DB1698)=0,COUNTIF($DB$2:DB1698,DB1698)=1),1697,""))</f>
        <v/>
      </c>
    </row>
    <row r="1699">
      <c r="DB1699">
        <f>IF('История отказов'!AM502="","",'История отказов'!AM502)</f>
        <v/>
      </c>
      <c r="DL1699">
        <f>IF(DB1699="","",IF(AND(COUNTIF($DA$2:$DA$47,DB1699)=0,COUNTIF($DB$2:DB1699,DB1699)=1),1698,""))</f>
        <v/>
      </c>
    </row>
    <row r="1700">
      <c r="DB1700">
        <f>IF('История отказов'!AM503="","",'История отказов'!AM503)</f>
        <v/>
      </c>
      <c r="DL1700">
        <f>IF(DB1700="","",IF(AND(COUNTIF($DA$2:$DA$47,DB1700)=0,COUNTIF($DB$2:DB1700,DB1700)=1),1699,""))</f>
        <v/>
      </c>
    </row>
    <row r="1701">
      <c r="DB1701">
        <f>IF('История отказов'!AM504="","",'История отказов'!AM504)</f>
        <v/>
      </c>
      <c r="DL1701">
        <f>IF(DB1701="","",IF(AND(COUNTIF($DA$2:$DA$47,DB1701)=0,COUNTIF($DB$2:DB1701,DB1701)=1),1700,""))</f>
        <v/>
      </c>
    </row>
    <row r="1702">
      <c r="DB1702">
        <f>IF('История отказов'!AM505="","",'История отказов'!AM505)</f>
        <v/>
      </c>
      <c r="DL1702">
        <f>IF(DB1702="","",IF(AND(COUNTIF($DA$2:$DA$47,DB1702)=0,COUNTIF($DB$2:DB1702,DB1702)=1),1701,""))</f>
        <v/>
      </c>
    </row>
    <row r="1703">
      <c r="DB1703">
        <f>IF('История отказов'!AM506="","",'История отказов'!AM506)</f>
        <v/>
      </c>
      <c r="DL1703">
        <f>IF(DB1703="","",IF(AND(COUNTIF($DA$2:$DA$47,DB1703)=0,COUNTIF($DB$2:DB1703,DB1703)=1),1702,""))</f>
        <v/>
      </c>
    </row>
    <row r="1704">
      <c r="DB1704">
        <f>IF('История отказов'!AM507="","",'История отказов'!AM507)</f>
        <v/>
      </c>
      <c r="DL1704">
        <f>IF(DB1704="","",IF(AND(COUNTIF($DA$2:$DA$47,DB1704)=0,COUNTIF($DB$2:DB1704,DB1704)=1),1703,""))</f>
        <v/>
      </c>
    </row>
    <row r="1705">
      <c r="DB1705">
        <f>IF('История отказов'!AM508="","",'История отказов'!AM508)</f>
        <v/>
      </c>
      <c r="DL1705">
        <f>IF(DB1705="","",IF(AND(COUNTIF($DA$2:$DA$47,DB1705)=0,COUNTIF($DB$2:DB1705,DB1705)=1),1704,""))</f>
        <v/>
      </c>
    </row>
    <row r="1706">
      <c r="DB1706">
        <f>IF('История отказов'!AM509="","",'История отказов'!AM509)</f>
        <v/>
      </c>
      <c r="DL1706">
        <f>IF(DB1706="","",IF(AND(COUNTIF($DA$2:$DA$47,DB1706)=0,COUNTIF($DB$2:DB1706,DB1706)=1),1705,""))</f>
        <v/>
      </c>
    </row>
    <row r="1707">
      <c r="DB1707">
        <f>IF('История отказов'!AM510="","",'История отказов'!AM510)</f>
        <v/>
      </c>
      <c r="DL1707">
        <f>IF(DB1707="","",IF(AND(COUNTIF($DA$2:$DA$47,DB1707)=0,COUNTIF($DB$2:DB1707,DB1707)=1),1706,""))</f>
        <v/>
      </c>
    </row>
    <row r="1708">
      <c r="DB1708">
        <f>IF('История отказов'!AM511="","",'История отказов'!AM511)</f>
        <v/>
      </c>
      <c r="DL1708">
        <f>IF(DB1708="","",IF(AND(COUNTIF($DA$2:$DA$47,DB1708)=0,COUNTIF($DB$2:DB1708,DB1708)=1),1707,""))</f>
        <v/>
      </c>
    </row>
    <row r="1709">
      <c r="DB1709">
        <f>IF('История отказов'!AM512="","",'История отказов'!AM512)</f>
        <v/>
      </c>
      <c r="DL1709">
        <f>IF(DB1709="","",IF(AND(COUNTIF($DA$2:$DA$47,DB1709)=0,COUNTIF($DB$2:DB1709,DB1709)=1),1708,""))</f>
        <v/>
      </c>
    </row>
    <row r="1710">
      <c r="DB1710">
        <f>IF('История отказов'!AM513="","",'История отказов'!AM513)</f>
        <v/>
      </c>
      <c r="DL1710">
        <f>IF(DB1710="","",IF(AND(COUNTIF($DA$2:$DA$47,DB1710)=0,COUNTIF($DB$2:DB1710,DB1710)=1),1709,""))</f>
        <v/>
      </c>
    </row>
    <row r="1711">
      <c r="DB1711">
        <f>IF('История отказов'!AM514="","",'История отказов'!AM514)</f>
        <v/>
      </c>
      <c r="DL1711">
        <f>IF(DB1711="","",IF(AND(COUNTIF($DA$2:$DA$47,DB1711)=0,COUNTIF($DB$2:DB1711,DB1711)=1),1710,""))</f>
        <v/>
      </c>
    </row>
    <row r="1712">
      <c r="DB1712">
        <f>IF('История отказов'!AM515="","",'История отказов'!AM515)</f>
        <v/>
      </c>
      <c r="DL1712">
        <f>IF(DB1712="","",IF(AND(COUNTIF($DA$2:$DA$47,DB1712)=0,COUNTIF($DB$2:DB1712,DB1712)=1),1711,""))</f>
        <v/>
      </c>
    </row>
    <row r="1713">
      <c r="DB1713">
        <f>IF('История отказов'!AM516="","",'История отказов'!AM516)</f>
        <v/>
      </c>
      <c r="DL1713">
        <f>IF(DB1713="","",IF(AND(COUNTIF($DA$2:$DA$47,DB1713)=0,COUNTIF($DB$2:DB1713,DB1713)=1),1712,""))</f>
        <v/>
      </c>
    </row>
    <row r="1714">
      <c r="DB1714">
        <f>IF('История отказов'!AM517="","",'История отказов'!AM517)</f>
        <v/>
      </c>
      <c r="DL1714">
        <f>IF(DB1714="","",IF(AND(COUNTIF($DA$2:$DA$47,DB1714)=0,COUNTIF($DB$2:DB1714,DB1714)=1),1713,""))</f>
        <v/>
      </c>
    </row>
    <row r="1715">
      <c r="DB1715">
        <f>IF('История отказов'!AM518="","",'История отказов'!AM518)</f>
        <v/>
      </c>
      <c r="DL1715">
        <f>IF(DB1715="","",IF(AND(COUNTIF($DA$2:$DA$47,DB1715)=0,COUNTIF($DB$2:DB1715,DB1715)=1),1714,""))</f>
        <v/>
      </c>
    </row>
    <row r="1716">
      <c r="DB1716">
        <f>IF('История отказов'!AM519="","",'История отказов'!AM519)</f>
        <v/>
      </c>
      <c r="DL1716">
        <f>IF(DB1716="","",IF(AND(COUNTIF($DA$2:$DA$47,DB1716)=0,COUNTIF($DB$2:DB1716,DB1716)=1),1715,""))</f>
        <v/>
      </c>
    </row>
    <row r="1717">
      <c r="DB1717">
        <f>IF('История отказов'!AM520="","",'История отказов'!AM520)</f>
        <v/>
      </c>
      <c r="DL1717">
        <f>IF(DB1717="","",IF(AND(COUNTIF($DA$2:$DA$47,DB1717)=0,COUNTIF($DB$2:DB1717,DB1717)=1),1716,""))</f>
        <v/>
      </c>
    </row>
    <row r="1718">
      <c r="DB1718">
        <f>IF('История отказов'!AM521="","",'История отказов'!AM521)</f>
        <v/>
      </c>
      <c r="DL1718">
        <f>IF(DB1718="","",IF(AND(COUNTIF($DA$2:$DA$47,DB1718)=0,COUNTIF($DB$2:DB1718,DB1718)=1),1717,""))</f>
        <v/>
      </c>
    </row>
    <row r="1719">
      <c r="DB1719">
        <f>IF('История отказов'!AM522="","",'История отказов'!AM522)</f>
        <v/>
      </c>
      <c r="DL1719">
        <f>IF(DB1719="","",IF(AND(COUNTIF($DA$2:$DA$47,DB1719)=0,COUNTIF($DB$2:DB1719,DB1719)=1),1718,""))</f>
        <v/>
      </c>
    </row>
    <row r="1720">
      <c r="DB1720">
        <f>IF('История отказов'!AM523="","",'История отказов'!AM523)</f>
        <v/>
      </c>
      <c r="DL1720">
        <f>IF(DB1720="","",IF(AND(COUNTIF($DA$2:$DA$47,DB1720)=0,COUNTIF($DB$2:DB1720,DB1720)=1),1719,""))</f>
        <v/>
      </c>
    </row>
    <row r="1721">
      <c r="DB1721">
        <f>IF('История отказов'!AM524="","",'История отказов'!AM524)</f>
        <v/>
      </c>
      <c r="DL1721">
        <f>IF(DB1721="","",IF(AND(COUNTIF($DA$2:$DA$47,DB1721)=0,COUNTIF($DB$2:DB1721,DB1721)=1),1720,""))</f>
        <v/>
      </c>
    </row>
    <row r="1722">
      <c r="DB1722">
        <f>IF('История отказов'!AM525="","",'История отказов'!AM525)</f>
        <v/>
      </c>
      <c r="DL1722">
        <f>IF(DB1722="","",IF(AND(COUNTIF($DA$2:$DA$47,DB1722)=0,COUNTIF($DB$2:DB1722,DB1722)=1),1721,""))</f>
        <v/>
      </c>
    </row>
    <row r="1723">
      <c r="DB1723">
        <f>IF('История отказов'!AM526="","",'История отказов'!AM526)</f>
        <v/>
      </c>
      <c r="DL1723">
        <f>IF(DB1723="","",IF(AND(COUNTIF($DA$2:$DA$47,DB1723)=0,COUNTIF($DB$2:DB1723,DB1723)=1),1722,""))</f>
        <v/>
      </c>
    </row>
    <row r="1724">
      <c r="DB1724">
        <f>IF('История отказов'!AM527="","",'История отказов'!AM527)</f>
        <v/>
      </c>
      <c r="DL1724">
        <f>IF(DB1724="","",IF(AND(COUNTIF($DA$2:$DA$47,DB1724)=0,COUNTIF($DB$2:DB1724,DB1724)=1),1723,""))</f>
        <v/>
      </c>
    </row>
    <row r="1725">
      <c r="DB1725">
        <f>IF('История отказов'!AM528="","",'История отказов'!AM528)</f>
        <v/>
      </c>
      <c r="DL1725">
        <f>IF(DB1725="","",IF(AND(COUNTIF($DA$2:$DA$47,DB1725)=0,COUNTIF($DB$2:DB1725,DB1725)=1),1724,""))</f>
        <v/>
      </c>
    </row>
    <row r="1726">
      <c r="DB1726">
        <f>IF('История отказов'!AM529="","",'История отказов'!AM529)</f>
        <v/>
      </c>
      <c r="DL1726">
        <f>IF(DB1726="","",IF(AND(COUNTIF($DA$2:$DA$47,DB1726)=0,COUNTIF($DB$2:DB1726,DB1726)=1),1725,""))</f>
        <v/>
      </c>
    </row>
    <row r="1727">
      <c r="DB1727">
        <f>IF('История отказов'!AM530="","",'История отказов'!AM530)</f>
        <v/>
      </c>
      <c r="DL1727">
        <f>IF(DB1727="","",IF(AND(COUNTIF($DA$2:$DA$47,DB1727)=0,COUNTIF($DB$2:DB1727,DB1727)=1),1726,""))</f>
        <v/>
      </c>
    </row>
    <row r="1728">
      <c r="DB1728">
        <f>IF('История отказов'!AM531="","",'История отказов'!AM531)</f>
        <v/>
      </c>
      <c r="DL1728">
        <f>IF(DB1728="","",IF(AND(COUNTIF($DA$2:$DA$47,DB1728)=0,COUNTIF($DB$2:DB1728,DB1728)=1),1727,""))</f>
        <v/>
      </c>
    </row>
    <row r="1729">
      <c r="DB1729">
        <f>IF('История отказов'!AM532="","",'История отказов'!AM532)</f>
        <v/>
      </c>
      <c r="DL1729">
        <f>IF(DB1729="","",IF(AND(COUNTIF($DA$2:$DA$47,DB1729)=0,COUNTIF($DB$2:DB1729,DB1729)=1),1728,""))</f>
        <v/>
      </c>
    </row>
    <row r="1730">
      <c r="DB1730">
        <f>IF('История отказов'!AM533="","",'История отказов'!AM533)</f>
        <v/>
      </c>
      <c r="DL1730">
        <f>IF(DB1730="","",IF(AND(COUNTIF($DA$2:$DA$47,DB1730)=0,COUNTIF($DB$2:DB1730,DB1730)=1),1729,""))</f>
        <v/>
      </c>
    </row>
    <row r="1731">
      <c r="DB1731">
        <f>IF('История отказов'!AM534="","",'История отказов'!AM534)</f>
        <v/>
      </c>
      <c r="DL1731">
        <f>IF(DB1731="","",IF(AND(COUNTIF($DA$2:$DA$47,DB1731)=0,COUNTIF($DB$2:DB1731,DB1731)=1),1730,""))</f>
        <v/>
      </c>
    </row>
    <row r="1732">
      <c r="DB1732">
        <f>IF('История отказов'!AM535="","",'История отказов'!AM535)</f>
        <v/>
      </c>
      <c r="DL1732">
        <f>IF(DB1732="","",IF(AND(COUNTIF($DA$2:$DA$47,DB1732)=0,COUNTIF($DB$2:DB1732,DB1732)=1),1731,""))</f>
        <v/>
      </c>
    </row>
    <row r="1733">
      <c r="DB1733">
        <f>IF('История отказов'!AM536="","",'История отказов'!AM536)</f>
        <v/>
      </c>
      <c r="DL1733">
        <f>IF(DB1733="","",IF(AND(COUNTIF($DA$2:$DA$47,DB1733)=0,COUNTIF($DB$2:DB1733,DB1733)=1),1732,""))</f>
        <v/>
      </c>
    </row>
    <row r="1734">
      <c r="DB1734">
        <f>IF('История отказов'!AM537="","",'История отказов'!AM537)</f>
        <v/>
      </c>
      <c r="DL1734">
        <f>IF(DB1734="","",IF(AND(COUNTIF($DA$2:$DA$47,DB1734)=0,COUNTIF($DB$2:DB1734,DB1734)=1),1733,""))</f>
        <v/>
      </c>
    </row>
    <row r="1735">
      <c r="DB1735">
        <f>IF('История отказов'!AM538="","",'История отказов'!AM538)</f>
        <v/>
      </c>
      <c r="DL1735">
        <f>IF(DB1735="","",IF(AND(COUNTIF($DA$2:$DA$47,DB1735)=0,COUNTIF($DB$2:DB1735,DB1735)=1),1734,""))</f>
        <v/>
      </c>
    </row>
    <row r="1736">
      <c r="DB1736">
        <f>IF('История отказов'!AM539="","",'История отказов'!AM539)</f>
        <v/>
      </c>
      <c r="DL1736">
        <f>IF(DB1736="","",IF(AND(COUNTIF($DA$2:$DA$47,DB1736)=0,COUNTIF($DB$2:DB1736,DB1736)=1),1735,""))</f>
        <v/>
      </c>
    </row>
    <row r="1737">
      <c r="DB1737">
        <f>IF('История отказов'!AM540="","",'История отказов'!AM540)</f>
        <v/>
      </c>
      <c r="DL1737">
        <f>IF(DB1737="","",IF(AND(COUNTIF($DA$2:$DA$47,DB1737)=0,COUNTIF($DB$2:DB1737,DB1737)=1),1736,""))</f>
        <v/>
      </c>
    </row>
    <row r="1738">
      <c r="DB1738">
        <f>IF('История отказов'!AM541="","",'История отказов'!AM541)</f>
        <v/>
      </c>
      <c r="DL1738">
        <f>IF(DB1738="","",IF(AND(COUNTIF($DA$2:$DA$47,DB1738)=0,COUNTIF($DB$2:DB1738,DB1738)=1),1737,""))</f>
        <v/>
      </c>
    </row>
    <row r="1739">
      <c r="DB1739">
        <f>IF('История отказов'!AM542="","",'История отказов'!AM542)</f>
        <v/>
      </c>
      <c r="DL1739">
        <f>IF(DB1739="","",IF(AND(COUNTIF($DA$2:$DA$47,DB1739)=0,COUNTIF($DB$2:DB1739,DB1739)=1),1738,""))</f>
        <v/>
      </c>
    </row>
    <row r="1740">
      <c r="DB1740">
        <f>IF('История отказов'!AM543="","",'История отказов'!AM543)</f>
        <v/>
      </c>
      <c r="DL1740">
        <f>IF(DB1740="","",IF(AND(COUNTIF($DA$2:$DA$47,DB1740)=0,COUNTIF($DB$2:DB1740,DB1740)=1),1739,""))</f>
        <v/>
      </c>
    </row>
    <row r="1741">
      <c r="DB1741">
        <f>IF('История отказов'!AM544="","",'История отказов'!AM544)</f>
        <v/>
      </c>
      <c r="DL1741">
        <f>IF(DB1741="","",IF(AND(COUNTIF($DA$2:$DA$47,DB1741)=0,COUNTIF($DB$2:DB1741,DB1741)=1),1740,""))</f>
        <v/>
      </c>
    </row>
    <row r="1742">
      <c r="DB1742">
        <f>IF('История отказов'!AM545="","",'История отказов'!AM545)</f>
        <v/>
      </c>
      <c r="DL1742">
        <f>IF(DB1742="","",IF(AND(COUNTIF($DA$2:$DA$47,DB1742)=0,COUNTIF($DB$2:DB1742,DB1742)=1),1741,""))</f>
        <v/>
      </c>
    </row>
    <row r="1743">
      <c r="DB1743">
        <f>IF('История отказов'!AM546="","",'История отказов'!AM546)</f>
        <v/>
      </c>
      <c r="DL1743">
        <f>IF(DB1743="","",IF(AND(COUNTIF($DA$2:$DA$47,DB1743)=0,COUNTIF($DB$2:DB1743,DB1743)=1),1742,""))</f>
        <v/>
      </c>
    </row>
    <row r="1744">
      <c r="DB1744">
        <f>IF('История отказов'!AM547="","",'История отказов'!AM547)</f>
        <v/>
      </c>
      <c r="DL1744">
        <f>IF(DB1744="","",IF(AND(COUNTIF($DA$2:$DA$47,DB1744)=0,COUNTIF($DB$2:DB1744,DB1744)=1),1743,""))</f>
        <v/>
      </c>
    </row>
    <row r="1745">
      <c r="DB1745">
        <f>IF('История отказов'!AM548="","",'История отказов'!AM548)</f>
        <v/>
      </c>
      <c r="DL1745">
        <f>IF(DB1745="","",IF(AND(COUNTIF($DA$2:$DA$47,DB1745)=0,COUNTIF($DB$2:DB1745,DB1745)=1),1744,""))</f>
        <v/>
      </c>
    </row>
    <row r="1746">
      <c r="DB1746">
        <f>IF('История отказов'!AM549="","",'История отказов'!AM549)</f>
        <v/>
      </c>
      <c r="DL1746">
        <f>IF(DB1746="","",IF(AND(COUNTIF($DA$2:$DA$47,DB1746)=0,COUNTIF($DB$2:DB1746,DB1746)=1),1745,""))</f>
        <v/>
      </c>
    </row>
    <row r="1747">
      <c r="DB1747">
        <f>IF('История отказов'!AM550="","",'История отказов'!AM550)</f>
        <v/>
      </c>
      <c r="DL1747">
        <f>IF(DB1747="","",IF(AND(COUNTIF($DA$2:$DA$47,DB1747)=0,COUNTIF($DB$2:DB1747,DB1747)=1),1746,""))</f>
        <v/>
      </c>
    </row>
    <row r="1748">
      <c r="DB1748">
        <f>IF('История отказов'!AM551="","",'История отказов'!AM551)</f>
        <v/>
      </c>
      <c r="DL1748">
        <f>IF(DB1748="","",IF(AND(COUNTIF($DA$2:$DA$47,DB1748)=0,COUNTIF($DB$2:DB1748,DB1748)=1),1747,""))</f>
        <v/>
      </c>
    </row>
    <row r="1749">
      <c r="DB1749">
        <f>IF('История отказов'!AM552="","",'История отказов'!AM552)</f>
        <v/>
      </c>
      <c r="DL1749">
        <f>IF(DB1749="","",IF(AND(COUNTIF($DA$2:$DA$47,DB1749)=0,COUNTIF($DB$2:DB1749,DB1749)=1),1748,""))</f>
        <v/>
      </c>
    </row>
    <row r="1750">
      <c r="DB1750">
        <f>IF('История отказов'!AM553="","",'История отказов'!AM553)</f>
        <v/>
      </c>
      <c r="DL1750">
        <f>IF(DB1750="","",IF(AND(COUNTIF($DA$2:$DA$47,DB1750)=0,COUNTIF($DB$2:DB1750,DB1750)=1),1749,""))</f>
        <v/>
      </c>
    </row>
    <row r="1751">
      <c r="DB1751">
        <f>IF('История отказов'!AM554="","",'История отказов'!AM554)</f>
        <v/>
      </c>
      <c r="DL1751">
        <f>IF(DB1751="","",IF(AND(COUNTIF($DA$2:$DA$47,DB1751)=0,COUNTIF($DB$2:DB1751,DB1751)=1),1750,""))</f>
        <v/>
      </c>
    </row>
    <row r="1752">
      <c r="DB1752">
        <f>IF('История отказов'!AM555="","",'История отказов'!AM555)</f>
        <v/>
      </c>
      <c r="DL1752">
        <f>IF(DB1752="","",IF(AND(COUNTIF($DA$2:$DA$47,DB1752)=0,COUNTIF($DB$2:DB1752,DB1752)=1),1751,""))</f>
        <v/>
      </c>
    </row>
    <row r="1753">
      <c r="DB1753">
        <f>IF('История отказов'!AM556="","",'История отказов'!AM556)</f>
        <v/>
      </c>
      <c r="DL1753">
        <f>IF(DB1753="","",IF(AND(COUNTIF($DA$2:$DA$47,DB1753)=0,COUNTIF($DB$2:DB1753,DB1753)=1),1752,""))</f>
        <v/>
      </c>
    </row>
    <row r="1754">
      <c r="DB1754">
        <f>IF('История отказов'!AM557="","",'История отказов'!AM557)</f>
        <v/>
      </c>
      <c r="DL1754">
        <f>IF(DB1754="","",IF(AND(COUNTIF($DA$2:$DA$47,DB1754)=0,COUNTIF($DB$2:DB1754,DB1754)=1),1753,""))</f>
        <v/>
      </c>
    </row>
    <row r="1755">
      <c r="DB1755">
        <f>IF('История отказов'!AM558="","",'История отказов'!AM558)</f>
        <v/>
      </c>
      <c r="DL1755">
        <f>IF(DB1755="","",IF(AND(COUNTIF($DA$2:$DA$47,DB1755)=0,COUNTIF($DB$2:DB1755,DB1755)=1),1754,""))</f>
        <v/>
      </c>
    </row>
    <row r="1756">
      <c r="DB1756">
        <f>IF('История отказов'!AM559="","",'История отказов'!AM559)</f>
        <v/>
      </c>
      <c r="DL1756">
        <f>IF(DB1756="","",IF(AND(COUNTIF($DA$2:$DA$47,DB1756)=0,COUNTIF($DB$2:DB1756,DB1756)=1),1755,""))</f>
        <v/>
      </c>
    </row>
    <row r="1757">
      <c r="DB1757">
        <f>IF('История отказов'!AM560="","",'История отказов'!AM560)</f>
        <v/>
      </c>
      <c r="DL1757">
        <f>IF(DB1757="","",IF(AND(COUNTIF($DA$2:$DA$47,DB1757)=0,COUNTIF($DB$2:DB1757,DB1757)=1),1756,""))</f>
        <v/>
      </c>
    </row>
    <row r="1758">
      <c r="DB1758">
        <f>IF('История отказов'!AM561="","",'История отказов'!AM561)</f>
        <v/>
      </c>
      <c r="DL1758">
        <f>IF(DB1758="","",IF(AND(COUNTIF($DA$2:$DA$47,DB1758)=0,COUNTIF($DB$2:DB1758,DB1758)=1),1757,""))</f>
        <v/>
      </c>
    </row>
    <row r="1759">
      <c r="DB1759">
        <f>IF('История отказов'!AM562="","",'История отказов'!AM562)</f>
        <v/>
      </c>
      <c r="DL1759">
        <f>IF(DB1759="","",IF(AND(COUNTIF($DA$2:$DA$47,DB1759)=0,COUNTIF($DB$2:DB1759,DB1759)=1),1758,""))</f>
        <v/>
      </c>
    </row>
    <row r="1760">
      <c r="DB1760">
        <f>IF('История отказов'!AM563="","",'История отказов'!AM563)</f>
        <v/>
      </c>
      <c r="DL1760">
        <f>IF(DB1760="","",IF(AND(COUNTIF($DA$2:$DA$47,DB1760)=0,COUNTIF($DB$2:DB1760,DB1760)=1),1759,""))</f>
        <v/>
      </c>
    </row>
    <row r="1761">
      <c r="DB1761">
        <f>IF('История отказов'!AM564="","",'История отказов'!AM564)</f>
        <v/>
      </c>
      <c r="DL1761">
        <f>IF(DB1761="","",IF(AND(COUNTIF($DA$2:$DA$47,DB1761)=0,COUNTIF($DB$2:DB1761,DB1761)=1),1760,""))</f>
        <v/>
      </c>
    </row>
    <row r="1762">
      <c r="DB1762">
        <f>IF('История отказов'!AM565="","",'История отказов'!AM565)</f>
        <v/>
      </c>
      <c r="DL1762">
        <f>IF(DB1762="","",IF(AND(COUNTIF($DA$2:$DA$47,DB1762)=0,COUNTIF($DB$2:DB1762,DB1762)=1),1761,""))</f>
        <v/>
      </c>
    </row>
    <row r="1763">
      <c r="DB1763">
        <f>IF('История отказов'!AM566="","",'История отказов'!AM566)</f>
        <v/>
      </c>
      <c r="DL1763">
        <f>IF(DB1763="","",IF(AND(COUNTIF($DA$2:$DA$47,DB1763)=0,COUNTIF($DB$2:DB1763,DB1763)=1),1762,""))</f>
        <v/>
      </c>
    </row>
    <row r="1764">
      <c r="DB1764">
        <f>IF('История отказов'!AM567="","",'История отказов'!AM567)</f>
        <v/>
      </c>
      <c r="DL1764">
        <f>IF(DB1764="","",IF(AND(COUNTIF($DA$2:$DA$47,DB1764)=0,COUNTIF($DB$2:DB1764,DB1764)=1),1763,""))</f>
        <v/>
      </c>
    </row>
    <row r="1765">
      <c r="DB1765">
        <f>IF('История отказов'!AM568="","",'История отказов'!AM568)</f>
        <v/>
      </c>
      <c r="DL1765">
        <f>IF(DB1765="","",IF(AND(COUNTIF($DA$2:$DA$47,DB1765)=0,COUNTIF($DB$2:DB1765,DB1765)=1),1764,""))</f>
        <v/>
      </c>
    </row>
    <row r="1766">
      <c r="DB1766">
        <f>IF('История отказов'!AM569="","",'История отказов'!AM569)</f>
        <v/>
      </c>
      <c r="DL1766">
        <f>IF(DB1766="","",IF(AND(COUNTIF($DA$2:$DA$47,DB1766)=0,COUNTIF($DB$2:DB1766,DB1766)=1),1765,""))</f>
        <v/>
      </c>
    </row>
    <row r="1767">
      <c r="DB1767">
        <f>IF('История отказов'!AM570="","",'История отказов'!AM570)</f>
        <v/>
      </c>
      <c r="DL1767">
        <f>IF(DB1767="","",IF(AND(COUNTIF($DA$2:$DA$47,DB1767)=0,COUNTIF($DB$2:DB1767,DB1767)=1),1766,""))</f>
        <v/>
      </c>
    </row>
    <row r="1768">
      <c r="DB1768">
        <f>IF('История отказов'!AM571="","",'История отказов'!AM571)</f>
        <v/>
      </c>
      <c r="DL1768">
        <f>IF(DB1768="","",IF(AND(COUNTIF($DA$2:$DA$47,DB1768)=0,COUNTIF($DB$2:DB1768,DB1768)=1),1767,""))</f>
        <v/>
      </c>
    </row>
    <row r="1769">
      <c r="DB1769">
        <f>IF('История отказов'!AM572="","",'История отказов'!AM572)</f>
        <v/>
      </c>
      <c r="DL1769">
        <f>IF(DB1769="","",IF(AND(COUNTIF($DA$2:$DA$47,DB1769)=0,COUNTIF($DB$2:DB1769,DB1769)=1),1768,""))</f>
        <v/>
      </c>
    </row>
    <row r="1770">
      <c r="DB1770">
        <f>IF('История отказов'!AM573="","",'История отказов'!AM573)</f>
        <v/>
      </c>
      <c r="DL1770">
        <f>IF(DB1770="","",IF(AND(COUNTIF($DA$2:$DA$47,DB1770)=0,COUNTIF($DB$2:DB1770,DB1770)=1),1769,""))</f>
        <v/>
      </c>
    </row>
    <row r="1771">
      <c r="DB1771">
        <f>IF('История отказов'!AM574="","",'История отказов'!AM574)</f>
        <v/>
      </c>
      <c r="DL1771">
        <f>IF(DB1771="","",IF(AND(COUNTIF($DA$2:$DA$47,DB1771)=0,COUNTIF($DB$2:DB1771,DB1771)=1),1770,""))</f>
        <v/>
      </c>
    </row>
    <row r="1772">
      <c r="DB1772">
        <f>IF('История отказов'!AM575="","",'История отказов'!AM575)</f>
        <v/>
      </c>
      <c r="DL1772">
        <f>IF(DB1772="","",IF(AND(COUNTIF($DA$2:$DA$47,DB1772)=0,COUNTIF($DB$2:DB1772,DB1772)=1),1771,""))</f>
        <v/>
      </c>
    </row>
    <row r="1773">
      <c r="DB1773">
        <f>IF('История отказов'!AM576="","",'История отказов'!AM576)</f>
        <v/>
      </c>
      <c r="DL1773">
        <f>IF(DB1773="","",IF(AND(COUNTIF($DA$2:$DA$47,DB1773)=0,COUNTIF($DB$2:DB1773,DB1773)=1),1772,""))</f>
        <v/>
      </c>
    </row>
    <row r="1774">
      <c r="DB1774">
        <f>IF('История отказов'!AM577="","",'История отказов'!AM577)</f>
        <v/>
      </c>
      <c r="DL1774">
        <f>IF(DB1774="","",IF(AND(COUNTIF($DA$2:$DA$47,DB1774)=0,COUNTIF($DB$2:DB1774,DB1774)=1),1773,""))</f>
        <v/>
      </c>
    </row>
    <row r="1775">
      <c r="DB1775">
        <f>IF('История отказов'!AM578="","",'История отказов'!AM578)</f>
        <v/>
      </c>
      <c r="DL1775">
        <f>IF(DB1775="","",IF(AND(COUNTIF($DA$2:$DA$47,DB1775)=0,COUNTIF($DB$2:DB1775,DB1775)=1),1774,""))</f>
        <v/>
      </c>
    </row>
    <row r="1776">
      <c r="DB1776">
        <f>IF('История отказов'!AM579="","",'История отказов'!AM579)</f>
        <v/>
      </c>
      <c r="DL1776">
        <f>IF(DB1776="","",IF(AND(COUNTIF($DA$2:$DA$47,DB1776)=0,COUNTIF($DB$2:DB1776,DB1776)=1),1775,""))</f>
        <v/>
      </c>
    </row>
    <row r="1777">
      <c r="DB1777">
        <f>IF('История отказов'!AM580="","",'История отказов'!AM580)</f>
        <v/>
      </c>
      <c r="DL1777">
        <f>IF(DB1777="","",IF(AND(COUNTIF($DA$2:$DA$47,DB1777)=0,COUNTIF($DB$2:DB1777,DB1777)=1),1776,""))</f>
        <v/>
      </c>
    </row>
    <row r="1778">
      <c r="DB1778">
        <f>IF('История отказов'!AM581="","",'История отказов'!AM581)</f>
        <v/>
      </c>
      <c r="DL1778">
        <f>IF(DB1778="","",IF(AND(COUNTIF($DA$2:$DA$47,DB1778)=0,COUNTIF($DB$2:DB1778,DB1778)=1),1777,""))</f>
        <v/>
      </c>
    </row>
    <row r="1779">
      <c r="DB1779">
        <f>IF('История отказов'!AM582="","",'История отказов'!AM582)</f>
        <v/>
      </c>
      <c r="DL1779">
        <f>IF(DB1779="","",IF(AND(COUNTIF($DA$2:$DA$47,DB1779)=0,COUNTIF($DB$2:DB1779,DB1779)=1),1778,""))</f>
        <v/>
      </c>
    </row>
    <row r="1780">
      <c r="DB1780">
        <f>IF('История отказов'!AM583="","",'История отказов'!AM583)</f>
        <v/>
      </c>
      <c r="DL1780">
        <f>IF(DB1780="","",IF(AND(COUNTIF($DA$2:$DA$47,DB1780)=0,COUNTIF($DB$2:DB1780,DB1780)=1),1779,""))</f>
        <v/>
      </c>
    </row>
    <row r="1781">
      <c r="DB1781">
        <f>IF('История отказов'!AM584="","",'История отказов'!AM584)</f>
        <v/>
      </c>
      <c r="DL1781">
        <f>IF(DB1781="","",IF(AND(COUNTIF($DA$2:$DA$47,DB1781)=0,COUNTIF($DB$2:DB1781,DB1781)=1),1780,""))</f>
        <v/>
      </c>
    </row>
    <row r="1782">
      <c r="DB1782">
        <f>IF('История отказов'!AM585="","",'История отказов'!AM585)</f>
        <v/>
      </c>
      <c r="DL1782">
        <f>IF(DB1782="","",IF(AND(COUNTIF($DA$2:$DA$47,DB1782)=0,COUNTIF($DB$2:DB1782,DB1782)=1),1781,""))</f>
        <v/>
      </c>
    </row>
    <row r="1783">
      <c r="DB1783">
        <f>IF('История отказов'!AM586="","",'История отказов'!AM586)</f>
        <v/>
      </c>
      <c r="DL1783">
        <f>IF(DB1783="","",IF(AND(COUNTIF($DA$2:$DA$47,DB1783)=0,COUNTIF($DB$2:DB1783,DB1783)=1),1782,""))</f>
        <v/>
      </c>
    </row>
    <row r="1784">
      <c r="DB1784">
        <f>IF('История отказов'!AM587="","",'История отказов'!AM587)</f>
        <v/>
      </c>
      <c r="DL1784">
        <f>IF(DB1784="","",IF(AND(COUNTIF($DA$2:$DA$47,DB1784)=0,COUNTIF($DB$2:DB1784,DB1784)=1),1783,""))</f>
        <v/>
      </c>
    </row>
    <row r="1785">
      <c r="DB1785">
        <f>IF('История отказов'!AM588="","",'История отказов'!AM588)</f>
        <v/>
      </c>
      <c r="DL1785">
        <f>IF(DB1785="","",IF(AND(COUNTIF($DA$2:$DA$47,DB1785)=0,COUNTIF($DB$2:DB1785,DB1785)=1),1784,""))</f>
        <v/>
      </c>
    </row>
    <row r="1786">
      <c r="DB1786">
        <f>IF('История отказов'!AM589="","",'История отказов'!AM589)</f>
        <v/>
      </c>
      <c r="DL1786">
        <f>IF(DB1786="","",IF(AND(COUNTIF($DA$2:$DA$47,DB1786)=0,COUNTIF($DB$2:DB1786,DB1786)=1),1785,""))</f>
        <v/>
      </c>
    </row>
    <row r="1787">
      <c r="DB1787">
        <f>IF('История отказов'!AM590="","",'История отказов'!AM590)</f>
        <v/>
      </c>
      <c r="DL1787">
        <f>IF(DB1787="","",IF(AND(COUNTIF($DA$2:$DA$47,DB1787)=0,COUNTIF($DB$2:DB1787,DB1787)=1),1786,""))</f>
        <v/>
      </c>
    </row>
    <row r="1788">
      <c r="DB1788">
        <f>IF('История отказов'!AM591="","",'История отказов'!AM591)</f>
        <v/>
      </c>
      <c r="DL1788">
        <f>IF(DB1788="","",IF(AND(COUNTIF($DA$2:$DA$47,DB1788)=0,COUNTIF($DB$2:DB1788,DB1788)=1),1787,""))</f>
        <v/>
      </c>
    </row>
    <row r="1789">
      <c r="DB1789">
        <f>IF('История отказов'!AM592="","",'История отказов'!AM592)</f>
        <v/>
      </c>
      <c r="DL1789">
        <f>IF(DB1789="","",IF(AND(COUNTIF($DA$2:$DA$47,DB1789)=0,COUNTIF($DB$2:DB1789,DB1789)=1),1788,""))</f>
        <v/>
      </c>
    </row>
    <row r="1790">
      <c r="DB1790">
        <f>IF('История отказов'!AM593="","",'История отказов'!AM593)</f>
        <v/>
      </c>
      <c r="DL1790">
        <f>IF(DB1790="","",IF(AND(COUNTIF($DA$2:$DA$47,DB1790)=0,COUNTIF($DB$2:DB1790,DB1790)=1),1789,""))</f>
        <v/>
      </c>
    </row>
    <row r="1791">
      <c r="DB1791">
        <f>IF('История отказов'!AM594="","",'История отказов'!AM594)</f>
        <v/>
      </c>
      <c r="DL1791">
        <f>IF(DB1791="","",IF(AND(COUNTIF($DA$2:$DA$47,DB1791)=0,COUNTIF($DB$2:DB1791,DB1791)=1),1790,""))</f>
        <v/>
      </c>
    </row>
    <row r="1792">
      <c r="DB1792">
        <f>IF('История отказов'!AM595="","",'История отказов'!AM595)</f>
        <v/>
      </c>
      <c r="DL1792">
        <f>IF(DB1792="","",IF(AND(COUNTIF($DA$2:$DA$47,DB1792)=0,COUNTIF($DB$2:DB1792,DB1792)=1),1791,""))</f>
        <v/>
      </c>
    </row>
    <row r="1793">
      <c r="DB1793">
        <f>IF('История отказов'!AM596="","",'История отказов'!AM596)</f>
        <v/>
      </c>
      <c r="DL1793">
        <f>IF(DB1793="","",IF(AND(COUNTIF($DA$2:$DA$47,DB1793)=0,COUNTIF($DB$2:DB1793,DB1793)=1),1792,""))</f>
        <v/>
      </c>
    </row>
    <row r="1794">
      <c r="DB1794">
        <f>IF('История отказов'!AM597="","",'История отказов'!AM597)</f>
        <v/>
      </c>
      <c r="DL1794">
        <f>IF(DB1794="","",IF(AND(COUNTIF($DA$2:$DA$47,DB1794)=0,COUNTIF($DB$2:DB1794,DB1794)=1),1793,""))</f>
        <v/>
      </c>
    </row>
    <row r="1795">
      <c r="DB1795">
        <f>IF('История отказов'!AM598="","",'История отказов'!AM598)</f>
        <v/>
      </c>
      <c r="DL1795">
        <f>IF(DB1795="","",IF(AND(COUNTIF($DA$2:$DA$47,DB1795)=0,COUNTIF($DB$2:DB1795,DB1795)=1),1794,""))</f>
        <v/>
      </c>
    </row>
    <row r="1796">
      <c r="DB1796">
        <f>IF('История отказов'!AM599="","",'История отказов'!AM599)</f>
        <v/>
      </c>
      <c r="DL1796">
        <f>IF(DB1796="","",IF(AND(COUNTIF($DA$2:$DA$47,DB1796)=0,COUNTIF($DB$2:DB1796,DB1796)=1),1795,""))</f>
        <v/>
      </c>
    </row>
    <row r="1797">
      <c r="DB1797">
        <f>IF('История отказов'!AM600="","",'История отказов'!AM600)</f>
        <v/>
      </c>
      <c r="DL1797">
        <f>IF(DB1797="","",IF(AND(COUNTIF($DA$2:$DA$47,DB1797)=0,COUNTIF($DB$2:DB1797,DB1797)=1),1796,""))</f>
        <v/>
      </c>
    </row>
    <row r="1798">
      <c r="DB1798">
        <f>IF('История отказов'!AM601="","",'История отказов'!AM601)</f>
        <v/>
      </c>
      <c r="DL1798">
        <f>IF(DB1798="","",IF(AND(COUNTIF($DA$2:$DA$47,DB1798)=0,COUNTIF($DB$2:DB1798,DB1798)=1),1797,""))</f>
        <v/>
      </c>
    </row>
    <row r="1799">
      <c r="DB1799">
        <f>IF('История отказов'!AM602="","",'История отказов'!AM602)</f>
        <v/>
      </c>
      <c r="DL1799">
        <f>IF(DB1799="","",IF(AND(COUNTIF($DA$2:$DA$47,DB1799)=0,COUNTIF($DB$2:DB1799,DB1799)=1),1798,""))</f>
        <v/>
      </c>
    </row>
    <row r="1800">
      <c r="DB1800">
        <f>IF('История отказов'!AM603="","",'История отказов'!AM603)</f>
        <v/>
      </c>
      <c r="DL1800">
        <f>IF(DB1800="","",IF(AND(COUNTIF($DA$2:$DA$47,DB1800)=0,COUNTIF($DB$2:DB1800,DB1800)=1),1799,""))</f>
        <v/>
      </c>
    </row>
    <row r="1801">
      <c r="DB1801">
        <f>IF('История отказов'!AM604="","",'История отказов'!AM604)</f>
        <v/>
      </c>
      <c r="DL1801">
        <f>IF(DB1801="","",IF(AND(COUNTIF($DA$2:$DA$47,DB1801)=0,COUNTIF($DB$2:DB1801,DB1801)=1),1800,""))</f>
        <v/>
      </c>
    </row>
    <row r="1802">
      <c r="DB1802">
        <f>IF('История отказов'!AM605="","",'История отказов'!AM605)</f>
        <v/>
      </c>
      <c r="DL1802">
        <f>IF(DB1802="","",IF(AND(COUNTIF($DA$2:$DA$47,DB1802)=0,COUNTIF($DB$2:DB1802,DB1802)=1),1801,""))</f>
        <v/>
      </c>
    </row>
    <row r="1803">
      <c r="DB1803">
        <f>IF('История отказов'!AM606="","",'История отказов'!AM606)</f>
        <v/>
      </c>
      <c r="DL1803">
        <f>IF(DB1803="","",IF(AND(COUNTIF($DA$2:$DA$47,DB1803)=0,COUNTIF($DB$2:DB1803,DB1803)=1),1802,""))</f>
        <v/>
      </c>
    </row>
    <row r="1804">
      <c r="DB1804">
        <f>IF('История отказов'!AM607="","",'История отказов'!AM607)</f>
        <v/>
      </c>
      <c r="DL1804">
        <f>IF(DB1804="","",IF(AND(COUNTIF($DA$2:$DA$47,DB1804)=0,COUNTIF($DB$2:DB1804,DB1804)=1),1803,""))</f>
        <v/>
      </c>
    </row>
    <row r="1805">
      <c r="DB1805">
        <f>IF('История отказов'!AM608="","",'История отказов'!AM608)</f>
        <v/>
      </c>
      <c r="DL1805">
        <f>IF(DB1805="","",IF(AND(COUNTIF($DA$2:$DA$47,DB1805)=0,COUNTIF($DB$2:DB1805,DB1805)=1),1804,""))</f>
        <v/>
      </c>
    </row>
    <row r="1806">
      <c r="DB1806">
        <f>IF('История отказов'!AM609="","",'История отказов'!AM609)</f>
        <v/>
      </c>
      <c r="DL1806">
        <f>IF(DB1806="","",IF(AND(COUNTIF($DA$2:$DA$47,DB1806)=0,COUNTIF($DB$2:DB1806,DB1806)=1),1805,""))</f>
        <v/>
      </c>
    </row>
    <row r="1807">
      <c r="DB1807">
        <f>IF('История отказов'!AM610="","",'История отказов'!AM610)</f>
        <v/>
      </c>
      <c r="DL1807">
        <f>IF(DB1807="","",IF(AND(COUNTIF($DA$2:$DA$47,DB1807)=0,COUNTIF($DB$2:DB1807,DB1807)=1),1806,""))</f>
        <v/>
      </c>
    </row>
    <row r="1808">
      <c r="DB1808">
        <f>IF('История отказов'!AM611="","",'История отказов'!AM611)</f>
        <v/>
      </c>
      <c r="DL1808">
        <f>IF(DB1808="","",IF(AND(COUNTIF($DA$2:$DA$47,DB1808)=0,COUNTIF($DB$2:DB1808,DB1808)=1),1807,""))</f>
        <v/>
      </c>
    </row>
    <row r="1809">
      <c r="DB1809">
        <f>IF('История отказов'!AM612="","",'История отказов'!AM612)</f>
        <v/>
      </c>
      <c r="DL1809">
        <f>IF(DB1809="","",IF(AND(COUNTIF($DA$2:$DA$47,DB1809)=0,COUNTIF($DB$2:DB1809,DB1809)=1),1808,""))</f>
        <v/>
      </c>
    </row>
    <row r="1810">
      <c r="DB1810">
        <f>IF('История отказов'!AM613="","",'История отказов'!AM613)</f>
        <v/>
      </c>
      <c r="DL1810">
        <f>IF(DB1810="","",IF(AND(COUNTIF($DA$2:$DA$47,DB1810)=0,COUNTIF($DB$2:DB1810,DB1810)=1),1809,""))</f>
        <v/>
      </c>
    </row>
    <row r="1811">
      <c r="DB1811">
        <f>IF('История отказов'!AM614="","",'История отказов'!AM614)</f>
        <v/>
      </c>
      <c r="DL1811">
        <f>IF(DB1811="","",IF(AND(COUNTIF($DA$2:$DA$47,DB1811)=0,COUNTIF($DB$2:DB1811,DB1811)=1),1810,""))</f>
        <v/>
      </c>
    </row>
    <row r="1812">
      <c r="DB1812">
        <f>IF('История отказов'!AM615="","",'История отказов'!AM615)</f>
        <v/>
      </c>
      <c r="DL1812">
        <f>IF(DB1812="","",IF(AND(COUNTIF($DA$2:$DA$47,DB1812)=0,COUNTIF($DB$2:DB1812,DB1812)=1),1811,""))</f>
        <v/>
      </c>
    </row>
    <row r="1813">
      <c r="DB1813">
        <f>IF('История отказов'!AM616="","",'История отказов'!AM616)</f>
        <v/>
      </c>
      <c r="DL1813">
        <f>IF(DB1813="","",IF(AND(COUNTIF($DA$2:$DA$47,DB1813)=0,COUNTIF($DB$2:DB1813,DB1813)=1),1812,""))</f>
        <v/>
      </c>
    </row>
    <row r="1814">
      <c r="DB1814">
        <f>IF('История отказов'!AM617="","",'История отказов'!AM617)</f>
        <v/>
      </c>
      <c r="DL1814">
        <f>IF(DB1814="","",IF(AND(COUNTIF($DA$2:$DA$47,DB1814)=0,COUNTIF($DB$2:DB1814,DB1814)=1),1813,""))</f>
        <v/>
      </c>
    </row>
    <row r="1815">
      <c r="DB1815">
        <f>IF('История отказов'!AM618="","",'История отказов'!AM618)</f>
        <v/>
      </c>
      <c r="DL1815">
        <f>IF(DB1815="","",IF(AND(COUNTIF($DA$2:$DA$47,DB1815)=0,COUNTIF($DB$2:DB1815,DB1815)=1),1814,""))</f>
        <v/>
      </c>
    </row>
    <row r="1816">
      <c r="DB1816">
        <f>IF('История отказов'!AM619="","",'История отказов'!AM619)</f>
        <v/>
      </c>
      <c r="DL1816">
        <f>IF(DB1816="","",IF(AND(COUNTIF($DA$2:$DA$47,DB1816)=0,COUNTIF($DB$2:DB1816,DB1816)=1),1815,""))</f>
        <v/>
      </c>
    </row>
    <row r="1817">
      <c r="DB1817">
        <f>IF('История отказов'!AM620="","",'История отказов'!AM620)</f>
        <v/>
      </c>
      <c r="DL1817">
        <f>IF(DB1817="","",IF(AND(COUNTIF($DA$2:$DA$47,DB1817)=0,COUNTIF($DB$2:DB1817,DB1817)=1),1816,""))</f>
        <v/>
      </c>
    </row>
    <row r="1818">
      <c r="DB1818">
        <f>IF('История отказов'!AM621="","",'История отказов'!AM621)</f>
        <v/>
      </c>
      <c r="DL1818">
        <f>IF(DB1818="","",IF(AND(COUNTIF($DA$2:$DA$47,DB1818)=0,COUNTIF($DB$2:DB1818,DB1818)=1),1817,""))</f>
        <v/>
      </c>
    </row>
    <row r="1819">
      <c r="DB1819">
        <f>IF('История отказов'!AM622="","",'История отказов'!AM622)</f>
        <v/>
      </c>
      <c r="DL1819">
        <f>IF(DB1819="","",IF(AND(COUNTIF($DA$2:$DA$47,DB1819)=0,COUNTIF($DB$2:DB1819,DB1819)=1),1818,""))</f>
        <v/>
      </c>
    </row>
    <row r="1820">
      <c r="DB1820">
        <f>IF('История отказов'!AM623="","",'История отказов'!AM623)</f>
        <v/>
      </c>
      <c r="DL1820">
        <f>IF(DB1820="","",IF(AND(COUNTIF($DA$2:$DA$47,DB1820)=0,COUNTIF($DB$2:DB1820,DB1820)=1),1819,""))</f>
        <v/>
      </c>
    </row>
    <row r="1821">
      <c r="DB1821">
        <f>IF('История отказов'!AM624="","",'История отказов'!AM624)</f>
        <v/>
      </c>
      <c r="DL1821">
        <f>IF(DB1821="","",IF(AND(COUNTIF($DA$2:$DA$47,DB1821)=0,COUNTIF($DB$2:DB1821,DB1821)=1),1820,""))</f>
        <v/>
      </c>
    </row>
    <row r="1822">
      <c r="DB1822">
        <f>IF('История отказов'!AM625="","",'История отказов'!AM625)</f>
        <v/>
      </c>
      <c r="DL1822">
        <f>IF(DB1822="","",IF(AND(COUNTIF($DA$2:$DA$47,DB1822)=0,COUNTIF($DB$2:DB1822,DB1822)=1),1821,""))</f>
        <v/>
      </c>
    </row>
    <row r="1823">
      <c r="DB1823">
        <f>IF('История отказов'!AM626="","",'История отказов'!AM626)</f>
        <v/>
      </c>
      <c r="DL1823">
        <f>IF(DB1823="","",IF(AND(COUNTIF($DA$2:$DA$47,DB1823)=0,COUNTIF($DB$2:DB1823,DB1823)=1),1822,""))</f>
        <v/>
      </c>
    </row>
    <row r="1824">
      <c r="DB1824">
        <f>IF('История отказов'!AM627="","",'История отказов'!AM627)</f>
        <v/>
      </c>
      <c r="DL1824">
        <f>IF(DB1824="","",IF(AND(COUNTIF($DA$2:$DA$47,DB1824)=0,COUNTIF($DB$2:DB1824,DB1824)=1),1823,""))</f>
        <v/>
      </c>
    </row>
    <row r="1825">
      <c r="DB1825">
        <f>IF('История отказов'!AM628="","",'История отказов'!AM628)</f>
        <v/>
      </c>
      <c r="DL1825">
        <f>IF(DB1825="","",IF(AND(COUNTIF($DA$2:$DA$47,DB1825)=0,COUNTIF($DB$2:DB1825,DB1825)=1),1824,""))</f>
        <v/>
      </c>
    </row>
    <row r="1826">
      <c r="DB1826">
        <f>IF('История отказов'!AM629="","",'История отказов'!AM629)</f>
        <v/>
      </c>
      <c r="DL1826">
        <f>IF(DB1826="","",IF(AND(COUNTIF($DA$2:$DA$47,DB1826)=0,COUNTIF($DB$2:DB1826,DB1826)=1),1825,""))</f>
        <v/>
      </c>
    </row>
    <row r="1827">
      <c r="DB1827">
        <f>IF('История отказов'!AM630="","",'История отказов'!AM630)</f>
        <v/>
      </c>
      <c r="DL1827">
        <f>IF(DB1827="","",IF(AND(COUNTIF($DA$2:$DA$47,DB1827)=0,COUNTIF($DB$2:DB1827,DB1827)=1),1826,""))</f>
        <v/>
      </c>
    </row>
    <row r="1828">
      <c r="DB1828">
        <f>IF('История отказов'!AM631="","",'История отказов'!AM631)</f>
        <v/>
      </c>
      <c r="DL1828">
        <f>IF(DB1828="","",IF(AND(COUNTIF($DA$2:$DA$47,DB1828)=0,COUNTIF($DB$2:DB1828,DB1828)=1),1827,""))</f>
        <v/>
      </c>
    </row>
    <row r="1829">
      <c r="DB1829">
        <f>IF('История отказов'!AM632="","",'История отказов'!AM632)</f>
        <v/>
      </c>
      <c r="DL1829">
        <f>IF(DB1829="","",IF(AND(COUNTIF($DA$2:$DA$47,DB1829)=0,COUNTIF($DB$2:DB1829,DB1829)=1),1828,""))</f>
        <v/>
      </c>
    </row>
    <row r="1830">
      <c r="DB1830">
        <f>IF('История отказов'!AM633="","",'История отказов'!AM633)</f>
        <v/>
      </c>
      <c r="DL1830">
        <f>IF(DB1830="","",IF(AND(COUNTIF($DA$2:$DA$47,DB1830)=0,COUNTIF($DB$2:DB1830,DB1830)=1),1829,""))</f>
        <v/>
      </c>
    </row>
    <row r="1831">
      <c r="DB1831">
        <f>IF('История отказов'!AM634="","",'История отказов'!AM634)</f>
        <v/>
      </c>
      <c r="DL1831">
        <f>IF(DB1831="","",IF(AND(COUNTIF($DA$2:$DA$47,DB1831)=0,COUNTIF($DB$2:DB1831,DB1831)=1),1830,""))</f>
        <v/>
      </c>
    </row>
    <row r="1832">
      <c r="DB1832">
        <f>IF('История отказов'!AM635="","",'История отказов'!AM635)</f>
        <v/>
      </c>
      <c r="DL1832">
        <f>IF(DB1832="","",IF(AND(COUNTIF($DA$2:$DA$47,DB1832)=0,COUNTIF($DB$2:DB1832,DB1832)=1),1831,""))</f>
        <v/>
      </c>
    </row>
    <row r="1833">
      <c r="DB1833">
        <f>IF('История отказов'!AM636="","",'История отказов'!AM636)</f>
        <v/>
      </c>
      <c r="DL1833">
        <f>IF(DB1833="","",IF(AND(COUNTIF($DA$2:$DA$47,DB1833)=0,COUNTIF($DB$2:DB1833,DB1833)=1),1832,""))</f>
        <v/>
      </c>
    </row>
    <row r="1834">
      <c r="DB1834">
        <f>IF('История отказов'!AM637="","",'История отказов'!AM637)</f>
        <v/>
      </c>
      <c r="DL1834">
        <f>IF(DB1834="","",IF(AND(COUNTIF($DA$2:$DA$47,DB1834)=0,COUNTIF($DB$2:DB1834,DB1834)=1),1833,""))</f>
        <v/>
      </c>
    </row>
    <row r="1835">
      <c r="DB1835">
        <f>IF('История отказов'!AM638="","",'История отказов'!AM638)</f>
        <v/>
      </c>
      <c r="DL1835">
        <f>IF(DB1835="","",IF(AND(COUNTIF($DA$2:$DA$47,DB1835)=0,COUNTIF($DB$2:DB1835,DB1835)=1),1834,""))</f>
        <v/>
      </c>
    </row>
    <row r="1836">
      <c r="DB1836">
        <f>IF('История отказов'!AM639="","",'История отказов'!AM639)</f>
        <v/>
      </c>
      <c r="DL1836">
        <f>IF(DB1836="","",IF(AND(COUNTIF($DA$2:$DA$47,DB1836)=0,COUNTIF($DB$2:DB1836,DB1836)=1),1835,""))</f>
        <v/>
      </c>
    </row>
    <row r="1837">
      <c r="DB1837">
        <f>IF('История отказов'!AM640="","",'История отказов'!AM640)</f>
        <v/>
      </c>
      <c r="DL1837">
        <f>IF(DB1837="","",IF(AND(COUNTIF($DA$2:$DA$47,DB1837)=0,COUNTIF($DB$2:DB1837,DB1837)=1),1836,""))</f>
        <v/>
      </c>
    </row>
    <row r="1838">
      <c r="DB1838">
        <f>IF('История отказов'!AM641="","",'История отказов'!AM641)</f>
        <v/>
      </c>
      <c r="DL1838">
        <f>IF(DB1838="","",IF(AND(COUNTIF($DA$2:$DA$47,DB1838)=0,COUNTIF($DB$2:DB1838,DB1838)=1),1837,""))</f>
        <v/>
      </c>
    </row>
    <row r="1839">
      <c r="DB1839">
        <f>IF('История отказов'!AM642="","",'История отказов'!AM642)</f>
        <v/>
      </c>
      <c r="DL1839">
        <f>IF(DB1839="","",IF(AND(COUNTIF($DA$2:$DA$47,DB1839)=0,COUNTIF($DB$2:DB1839,DB1839)=1),1838,""))</f>
        <v/>
      </c>
    </row>
    <row r="1840">
      <c r="DB1840">
        <f>IF('История отказов'!AM643="","",'История отказов'!AM643)</f>
        <v/>
      </c>
      <c r="DL1840">
        <f>IF(DB1840="","",IF(AND(COUNTIF($DA$2:$DA$47,DB1840)=0,COUNTIF($DB$2:DB1840,DB1840)=1),1839,""))</f>
        <v/>
      </c>
    </row>
    <row r="1841">
      <c r="DB1841">
        <f>IF('История отказов'!AM644="","",'История отказов'!AM644)</f>
        <v/>
      </c>
      <c r="DL1841">
        <f>IF(DB1841="","",IF(AND(COUNTIF($DA$2:$DA$47,DB1841)=0,COUNTIF($DB$2:DB1841,DB1841)=1),1840,""))</f>
        <v/>
      </c>
    </row>
    <row r="1842">
      <c r="DB1842">
        <f>IF('История отказов'!AM645="","",'История отказов'!AM645)</f>
        <v/>
      </c>
      <c r="DL1842">
        <f>IF(DB1842="","",IF(AND(COUNTIF($DA$2:$DA$47,DB1842)=0,COUNTIF($DB$2:DB1842,DB1842)=1),1841,""))</f>
        <v/>
      </c>
    </row>
    <row r="1843">
      <c r="DB1843">
        <f>IF('История отказов'!AM646="","",'История отказов'!AM646)</f>
        <v/>
      </c>
      <c r="DL1843">
        <f>IF(DB1843="","",IF(AND(COUNTIF($DA$2:$DA$47,DB1843)=0,COUNTIF($DB$2:DB1843,DB1843)=1),1842,""))</f>
        <v/>
      </c>
    </row>
    <row r="1844">
      <c r="DB1844">
        <f>IF('История отказов'!AM647="","",'История отказов'!AM647)</f>
        <v/>
      </c>
      <c r="DL1844">
        <f>IF(DB1844="","",IF(AND(COUNTIF($DA$2:$DA$47,DB1844)=0,COUNTIF($DB$2:DB1844,DB1844)=1),1843,""))</f>
        <v/>
      </c>
    </row>
    <row r="1845">
      <c r="DB1845">
        <f>IF('История отказов'!AM648="","",'История отказов'!AM648)</f>
        <v/>
      </c>
      <c r="DL1845">
        <f>IF(DB1845="","",IF(AND(COUNTIF($DA$2:$DA$47,DB1845)=0,COUNTIF($DB$2:DB1845,DB1845)=1),1844,""))</f>
        <v/>
      </c>
    </row>
    <row r="1846">
      <c r="DB1846">
        <f>IF('История отказов'!AM649="","",'История отказов'!AM649)</f>
        <v/>
      </c>
      <c r="DL1846">
        <f>IF(DB1846="","",IF(AND(COUNTIF($DA$2:$DA$47,DB1846)=0,COUNTIF($DB$2:DB1846,DB1846)=1),1845,""))</f>
        <v/>
      </c>
    </row>
    <row r="1847">
      <c r="DB1847">
        <f>IF('История отказов'!AM650="","",'История отказов'!AM650)</f>
        <v/>
      </c>
      <c r="DL1847">
        <f>IF(DB1847="","",IF(AND(COUNTIF($DA$2:$DA$47,DB1847)=0,COUNTIF($DB$2:DB1847,DB1847)=1),1846,""))</f>
        <v/>
      </c>
    </row>
    <row r="1848">
      <c r="DB1848">
        <f>IF('История отказов'!AM651="","",'История отказов'!AM651)</f>
        <v/>
      </c>
      <c r="DL1848">
        <f>IF(DB1848="","",IF(AND(COUNTIF($DA$2:$DA$47,DB1848)=0,COUNTIF($DB$2:DB1848,DB1848)=1),1847,""))</f>
        <v/>
      </c>
    </row>
    <row r="1849">
      <c r="DB1849">
        <f>IF('История отказов'!AM652="","",'История отказов'!AM652)</f>
        <v/>
      </c>
      <c r="DL1849">
        <f>IF(DB1849="","",IF(AND(COUNTIF($DA$2:$DA$47,DB1849)=0,COUNTIF($DB$2:DB1849,DB1849)=1),1848,""))</f>
        <v/>
      </c>
    </row>
    <row r="1850">
      <c r="DB1850">
        <f>IF('История отказов'!AM653="","",'История отказов'!AM653)</f>
        <v/>
      </c>
      <c r="DL1850">
        <f>IF(DB1850="","",IF(AND(COUNTIF($DA$2:$DA$47,DB1850)=0,COUNTIF($DB$2:DB1850,DB1850)=1),1849,""))</f>
        <v/>
      </c>
    </row>
    <row r="1851">
      <c r="DB1851">
        <f>IF('История отказов'!AM654="","",'История отказов'!AM654)</f>
        <v/>
      </c>
      <c r="DL1851">
        <f>IF(DB1851="","",IF(AND(COUNTIF($DA$2:$DA$47,DB1851)=0,COUNTIF($DB$2:DB1851,DB1851)=1),1850,""))</f>
        <v/>
      </c>
    </row>
    <row r="1852">
      <c r="DB1852">
        <f>IF('История отказов'!AM655="","",'История отказов'!AM655)</f>
        <v/>
      </c>
      <c r="DL1852">
        <f>IF(DB1852="","",IF(AND(COUNTIF($DA$2:$DA$47,DB1852)=0,COUNTIF($DB$2:DB1852,DB1852)=1),1851,""))</f>
        <v/>
      </c>
    </row>
    <row r="1853">
      <c r="DB1853">
        <f>IF('История отказов'!AM656="","",'История отказов'!AM656)</f>
        <v/>
      </c>
      <c r="DL1853">
        <f>IF(DB1853="","",IF(AND(COUNTIF($DA$2:$DA$47,DB1853)=0,COUNTIF($DB$2:DB1853,DB1853)=1),1852,""))</f>
        <v/>
      </c>
    </row>
    <row r="1854">
      <c r="DB1854">
        <f>IF('История отказов'!AM657="","",'История отказов'!AM657)</f>
        <v/>
      </c>
      <c r="DL1854">
        <f>IF(DB1854="","",IF(AND(COUNTIF($DA$2:$DA$47,DB1854)=0,COUNTIF($DB$2:DB1854,DB1854)=1),1853,""))</f>
        <v/>
      </c>
    </row>
    <row r="1855">
      <c r="DB1855">
        <f>IF('История отказов'!AM658="","",'История отказов'!AM658)</f>
        <v/>
      </c>
      <c r="DL1855">
        <f>IF(DB1855="","",IF(AND(COUNTIF($DA$2:$DA$47,DB1855)=0,COUNTIF($DB$2:DB1855,DB1855)=1),1854,""))</f>
        <v/>
      </c>
    </row>
    <row r="1856">
      <c r="DB1856">
        <f>IF('История отказов'!AM659="","",'История отказов'!AM659)</f>
        <v/>
      </c>
      <c r="DL1856">
        <f>IF(DB1856="","",IF(AND(COUNTIF($DA$2:$DA$47,DB1856)=0,COUNTIF($DB$2:DB1856,DB1856)=1),1855,""))</f>
        <v/>
      </c>
    </row>
    <row r="1857">
      <c r="DB1857">
        <f>IF('История отказов'!AM660="","",'История отказов'!AM660)</f>
        <v/>
      </c>
      <c r="DL1857">
        <f>IF(DB1857="","",IF(AND(COUNTIF($DA$2:$DA$47,DB1857)=0,COUNTIF($DB$2:DB1857,DB1857)=1),1856,""))</f>
        <v/>
      </c>
    </row>
    <row r="1858">
      <c r="DB1858">
        <f>IF('История отказов'!AM661="","",'История отказов'!AM661)</f>
        <v/>
      </c>
      <c r="DL1858">
        <f>IF(DB1858="","",IF(AND(COUNTIF($DA$2:$DA$47,DB1858)=0,COUNTIF($DB$2:DB1858,DB1858)=1),1857,""))</f>
        <v/>
      </c>
    </row>
    <row r="1859">
      <c r="DB1859">
        <f>IF('История отказов'!AM662="","",'История отказов'!AM662)</f>
        <v/>
      </c>
      <c r="DL1859">
        <f>IF(DB1859="","",IF(AND(COUNTIF($DA$2:$DA$47,DB1859)=0,COUNTIF($DB$2:DB1859,DB1859)=1),1858,""))</f>
        <v/>
      </c>
    </row>
    <row r="1860">
      <c r="DB1860">
        <f>IF('История отказов'!AM663="","",'История отказов'!AM663)</f>
        <v/>
      </c>
      <c r="DL1860">
        <f>IF(DB1860="","",IF(AND(COUNTIF($DA$2:$DA$47,DB1860)=0,COUNTIF($DB$2:DB1860,DB1860)=1),1859,""))</f>
        <v/>
      </c>
    </row>
    <row r="1861">
      <c r="DB1861">
        <f>IF('История отказов'!AM664="","",'История отказов'!AM664)</f>
        <v/>
      </c>
      <c r="DL1861">
        <f>IF(DB1861="","",IF(AND(COUNTIF($DA$2:$DA$47,DB1861)=0,COUNTIF($DB$2:DB1861,DB1861)=1),1860,""))</f>
        <v/>
      </c>
    </row>
    <row r="1862">
      <c r="DB1862">
        <f>IF('История отказов'!AM665="","",'История отказов'!AM665)</f>
        <v/>
      </c>
      <c r="DL1862">
        <f>IF(DB1862="","",IF(AND(COUNTIF($DA$2:$DA$47,DB1862)=0,COUNTIF($DB$2:DB1862,DB1862)=1),1861,""))</f>
        <v/>
      </c>
    </row>
    <row r="1863">
      <c r="DB1863">
        <f>IF('История отказов'!AM666="","",'История отказов'!AM666)</f>
        <v/>
      </c>
      <c r="DL1863">
        <f>IF(DB1863="","",IF(AND(COUNTIF($DA$2:$DA$47,DB1863)=0,COUNTIF($DB$2:DB1863,DB1863)=1),1862,""))</f>
        <v/>
      </c>
    </row>
    <row r="1864">
      <c r="DB1864">
        <f>IF('История отказов'!AM667="","",'История отказов'!AM667)</f>
        <v/>
      </c>
      <c r="DL1864">
        <f>IF(DB1864="","",IF(AND(COUNTIF($DA$2:$DA$47,DB1864)=0,COUNTIF($DB$2:DB1864,DB1864)=1),1863,""))</f>
        <v/>
      </c>
    </row>
    <row r="1865">
      <c r="DB1865">
        <f>IF('История отказов'!AM668="","",'История отказов'!AM668)</f>
        <v/>
      </c>
      <c r="DL1865">
        <f>IF(DB1865="","",IF(AND(COUNTIF($DA$2:$DA$47,DB1865)=0,COUNTIF($DB$2:DB1865,DB1865)=1),1864,""))</f>
        <v/>
      </c>
    </row>
    <row r="1866">
      <c r="DB1866">
        <f>IF('История отказов'!AM669="","",'История отказов'!AM669)</f>
        <v/>
      </c>
      <c r="DL1866">
        <f>IF(DB1866="","",IF(AND(COUNTIF($DA$2:$DA$47,DB1866)=0,COUNTIF($DB$2:DB1866,DB1866)=1),1865,""))</f>
        <v/>
      </c>
    </row>
    <row r="1867">
      <c r="DB1867">
        <f>IF('История отказов'!AM670="","",'История отказов'!AM670)</f>
        <v/>
      </c>
      <c r="DL1867">
        <f>IF(DB1867="","",IF(AND(COUNTIF($DA$2:$DA$47,DB1867)=0,COUNTIF($DB$2:DB1867,DB1867)=1),1866,""))</f>
        <v/>
      </c>
    </row>
    <row r="1868">
      <c r="DB1868">
        <f>IF('История отказов'!AM671="","",'История отказов'!AM671)</f>
        <v/>
      </c>
      <c r="DL1868">
        <f>IF(DB1868="","",IF(AND(COUNTIF($DA$2:$DA$47,DB1868)=0,COUNTIF($DB$2:DB1868,DB1868)=1),1867,""))</f>
        <v/>
      </c>
    </row>
    <row r="1869">
      <c r="DB1869">
        <f>IF('История отказов'!AM672="","",'История отказов'!AM672)</f>
        <v/>
      </c>
      <c r="DL1869">
        <f>IF(DB1869="","",IF(AND(COUNTIF($DA$2:$DA$47,DB1869)=0,COUNTIF($DB$2:DB1869,DB1869)=1),1868,""))</f>
        <v/>
      </c>
    </row>
    <row r="1870">
      <c r="DB1870">
        <f>IF('История отказов'!AM673="","",'История отказов'!AM673)</f>
        <v/>
      </c>
      <c r="DL1870">
        <f>IF(DB1870="","",IF(AND(COUNTIF($DA$2:$DA$47,DB1870)=0,COUNTIF($DB$2:DB1870,DB1870)=1),1869,""))</f>
        <v/>
      </c>
    </row>
    <row r="1871">
      <c r="DB1871">
        <f>IF('История отказов'!AM674="","",'История отказов'!AM674)</f>
        <v/>
      </c>
      <c r="DL1871">
        <f>IF(DB1871="","",IF(AND(COUNTIF($DA$2:$DA$47,DB1871)=0,COUNTIF($DB$2:DB1871,DB1871)=1),1870,""))</f>
        <v/>
      </c>
    </row>
    <row r="1872">
      <c r="DB1872">
        <f>IF('История отказов'!AM675="","",'История отказов'!AM675)</f>
        <v/>
      </c>
      <c r="DL1872">
        <f>IF(DB1872="","",IF(AND(COUNTIF($DA$2:$DA$47,DB1872)=0,COUNTIF($DB$2:DB1872,DB1872)=1),1871,""))</f>
        <v/>
      </c>
    </row>
    <row r="1873">
      <c r="DB1873">
        <f>IF('История отказов'!AM676="","",'История отказов'!AM676)</f>
        <v/>
      </c>
      <c r="DL1873">
        <f>IF(DB1873="","",IF(AND(COUNTIF($DA$2:$DA$47,DB1873)=0,COUNTIF($DB$2:DB1873,DB1873)=1),1872,""))</f>
        <v/>
      </c>
    </row>
    <row r="1874">
      <c r="DB1874">
        <f>IF('История отказов'!AM677="","",'История отказов'!AM677)</f>
        <v/>
      </c>
      <c r="DL1874">
        <f>IF(DB1874="","",IF(AND(COUNTIF($DA$2:$DA$47,DB1874)=0,COUNTIF($DB$2:DB1874,DB1874)=1),1873,""))</f>
        <v/>
      </c>
    </row>
    <row r="1875">
      <c r="DB1875">
        <f>IF('История отказов'!AM678="","",'История отказов'!AM678)</f>
        <v/>
      </c>
      <c r="DL1875">
        <f>IF(DB1875="","",IF(AND(COUNTIF($DA$2:$DA$47,DB1875)=0,COUNTIF($DB$2:DB1875,DB1875)=1),1874,""))</f>
        <v/>
      </c>
    </row>
    <row r="1876">
      <c r="DB1876">
        <f>IF('История отказов'!AM679="","",'История отказов'!AM679)</f>
        <v/>
      </c>
      <c r="DL1876">
        <f>IF(DB1876="","",IF(AND(COUNTIF($DA$2:$DA$47,DB1876)=0,COUNTIF($DB$2:DB1876,DB1876)=1),1875,""))</f>
        <v/>
      </c>
    </row>
    <row r="1877">
      <c r="DB1877">
        <f>IF('История отказов'!AM680="","",'История отказов'!AM680)</f>
        <v/>
      </c>
      <c r="DL1877">
        <f>IF(DB1877="","",IF(AND(COUNTIF($DA$2:$DA$47,DB1877)=0,COUNTIF($DB$2:DB1877,DB1877)=1),1876,""))</f>
        <v/>
      </c>
    </row>
    <row r="1878">
      <c r="DB1878">
        <f>IF('История отказов'!AM681="","",'История отказов'!AM681)</f>
        <v/>
      </c>
      <c r="DL1878">
        <f>IF(DB1878="","",IF(AND(COUNTIF($DA$2:$DA$47,DB1878)=0,COUNTIF($DB$2:DB1878,DB1878)=1),1877,""))</f>
        <v/>
      </c>
    </row>
    <row r="1879">
      <c r="DB1879">
        <f>IF('История отказов'!AM682="","",'История отказов'!AM682)</f>
        <v/>
      </c>
      <c r="DL1879">
        <f>IF(DB1879="","",IF(AND(COUNTIF($DA$2:$DA$47,DB1879)=0,COUNTIF($DB$2:DB1879,DB1879)=1),1878,""))</f>
        <v/>
      </c>
    </row>
    <row r="1880">
      <c r="DB1880">
        <f>IF('История отказов'!AM683="","",'История отказов'!AM683)</f>
        <v/>
      </c>
      <c r="DL1880">
        <f>IF(DB1880="","",IF(AND(COUNTIF($DA$2:$DA$47,DB1880)=0,COUNTIF($DB$2:DB1880,DB1880)=1),1879,""))</f>
        <v/>
      </c>
    </row>
    <row r="1881">
      <c r="DB1881">
        <f>IF('История отказов'!AM684="","",'История отказов'!AM684)</f>
        <v/>
      </c>
      <c r="DL1881">
        <f>IF(DB1881="","",IF(AND(COUNTIF($DA$2:$DA$47,DB1881)=0,COUNTIF($DB$2:DB1881,DB1881)=1),1880,""))</f>
        <v/>
      </c>
    </row>
    <row r="1882">
      <c r="DB1882">
        <f>IF('История отказов'!AM685="","",'История отказов'!AM685)</f>
        <v/>
      </c>
      <c r="DL1882">
        <f>IF(DB1882="","",IF(AND(COUNTIF($DA$2:$DA$47,DB1882)=0,COUNTIF($DB$2:DB1882,DB1882)=1),1881,""))</f>
        <v/>
      </c>
    </row>
    <row r="1883">
      <c r="DB1883">
        <f>IF('История отказов'!AM686="","",'История отказов'!AM686)</f>
        <v/>
      </c>
      <c r="DL1883">
        <f>IF(DB1883="","",IF(AND(COUNTIF($DA$2:$DA$47,DB1883)=0,COUNTIF($DB$2:DB1883,DB1883)=1),1882,""))</f>
        <v/>
      </c>
    </row>
    <row r="1884">
      <c r="DB1884">
        <f>IF('История отказов'!AM687="","",'История отказов'!AM687)</f>
        <v/>
      </c>
      <c r="DL1884">
        <f>IF(DB1884="","",IF(AND(COUNTIF($DA$2:$DA$47,DB1884)=0,COUNTIF($DB$2:DB1884,DB1884)=1),1883,""))</f>
        <v/>
      </c>
    </row>
    <row r="1885">
      <c r="DB1885">
        <f>IF('История отказов'!AM688="","",'История отказов'!AM688)</f>
        <v/>
      </c>
      <c r="DL1885">
        <f>IF(DB1885="","",IF(AND(COUNTIF($DA$2:$DA$47,DB1885)=0,COUNTIF($DB$2:DB1885,DB1885)=1),1884,""))</f>
        <v/>
      </c>
    </row>
    <row r="1886">
      <c r="DB1886">
        <f>IF('История отказов'!AM689="","",'История отказов'!AM689)</f>
        <v/>
      </c>
      <c r="DL1886">
        <f>IF(DB1886="","",IF(AND(COUNTIF($DA$2:$DA$47,DB1886)=0,COUNTIF($DB$2:DB1886,DB1886)=1),1885,""))</f>
        <v/>
      </c>
    </row>
    <row r="1887">
      <c r="DB1887">
        <f>IF('История отказов'!AM690="","",'История отказов'!AM690)</f>
        <v/>
      </c>
      <c r="DL1887">
        <f>IF(DB1887="","",IF(AND(COUNTIF($DA$2:$DA$47,DB1887)=0,COUNTIF($DB$2:DB1887,DB1887)=1),1886,""))</f>
        <v/>
      </c>
    </row>
    <row r="1888">
      <c r="DB1888">
        <f>IF('История отказов'!AM691="","",'История отказов'!AM691)</f>
        <v/>
      </c>
      <c r="DL1888">
        <f>IF(DB1888="","",IF(AND(COUNTIF($DA$2:$DA$47,DB1888)=0,COUNTIF($DB$2:DB1888,DB1888)=1),1887,""))</f>
        <v/>
      </c>
    </row>
    <row r="1889">
      <c r="DB1889">
        <f>IF('История отказов'!AM692="","",'История отказов'!AM692)</f>
        <v/>
      </c>
      <c r="DL1889">
        <f>IF(DB1889="","",IF(AND(COUNTIF($DA$2:$DA$47,DB1889)=0,COUNTIF($DB$2:DB1889,DB1889)=1),1888,""))</f>
        <v/>
      </c>
    </row>
    <row r="1890">
      <c r="DB1890">
        <f>IF('История отказов'!AM693="","",'История отказов'!AM693)</f>
        <v/>
      </c>
      <c r="DL1890">
        <f>IF(DB1890="","",IF(AND(COUNTIF($DA$2:$DA$47,DB1890)=0,COUNTIF($DB$2:DB1890,DB1890)=1),1889,""))</f>
        <v/>
      </c>
    </row>
    <row r="1891">
      <c r="DB1891">
        <f>IF('История отказов'!AM694="","",'История отказов'!AM694)</f>
        <v/>
      </c>
      <c r="DL1891">
        <f>IF(DB1891="","",IF(AND(COUNTIF($DA$2:$DA$47,DB1891)=0,COUNTIF($DB$2:DB1891,DB1891)=1),1890,""))</f>
        <v/>
      </c>
    </row>
    <row r="1892">
      <c r="DB1892">
        <f>IF('История отказов'!AM695="","",'История отказов'!AM695)</f>
        <v/>
      </c>
      <c r="DL1892">
        <f>IF(DB1892="","",IF(AND(COUNTIF($DA$2:$DA$47,DB1892)=0,COUNTIF($DB$2:DB1892,DB1892)=1),1891,""))</f>
        <v/>
      </c>
    </row>
    <row r="1893">
      <c r="DB1893">
        <f>IF('История отказов'!AM696="","",'История отказов'!AM696)</f>
        <v/>
      </c>
      <c r="DL1893">
        <f>IF(DB1893="","",IF(AND(COUNTIF($DA$2:$DA$47,DB1893)=0,COUNTIF($DB$2:DB1893,DB1893)=1),1892,""))</f>
        <v/>
      </c>
    </row>
    <row r="1894">
      <c r="DB1894">
        <f>IF('История отказов'!AM697="","",'История отказов'!AM697)</f>
        <v/>
      </c>
      <c r="DL1894">
        <f>IF(DB1894="","",IF(AND(COUNTIF($DA$2:$DA$47,DB1894)=0,COUNTIF($DB$2:DB1894,DB1894)=1),1893,""))</f>
        <v/>
      </c>
    </row>
    <row r="1895">
      <c r="DB1895">
        <f>IF('История отказов'!AM698="","",'История отказов'!AM698)</f>
        <v/>
      </c>
      <c r="DL1895">
        <f>IF(DB1895="","",IF(AND(COUNTIF($DA$2:$DA$47,DB1895)=0,COUNTIF($DB$2:DB1895,DB1895)=1),1894,""))</f>
        <v/>
      </c>
    </row>
    <row r="1896">
      <c r="DB1896">
        <f>IF('История отказов'!AM699="","",'История отказов'!AM699)</f>
        <v/>
      </c>
      <c r="DL1896">
        <f>IF(DB1896="","",IF(AND(COUNTIF($DA$2:$DA$47,DB1896)=0,COUNTIF($DB$2:DB1896,DB1896)=1),1895,""))</f>
        <v/>
      </c>
    </row>
    <row r="1897">
      <c r="DB1897">
        <f>IF('История отказов'!AM700="","",'История отказов'!AM700)</f>
        <v/>
      </c>
      <c r="DL1897">
        <f>IF(DB1897="","",IF(AND(COUNTIF($DA$2:$DA$47,DB1897)=0,COUNTIF($DB$2:DB1897,DB1897)=1),1896,""))</f>
        <v/>
      </c>
    </row>
    <row r="1898">
      <c r="DB1898">
        <f>IF('История отказов'!AM701="","",'История отказов'!AM701)</f>
        <v/>
      </c>
      <c r="DL1898">
        <f>IF(DB1898="","",IF(AND(COUNTIF($DA$2:$DA$47,DB1898)=0,COUNTIF($DB$2:DB1898,DB1898)=1),1897,""))</f>
        <v/>
      </c>
    </row>
    <row r="1899">
      <c r="DB1899">
        <f>IF('История отказов'!AM702="","",'История отказов'!AM702)</f>
        <v/>
      </c>
      <c r="DL1899">
        <f>IF(DB1899="","",IF(AND(COUNTIF($DA$2:$DA$47,DB1899)=0,COUNTIF($DB$2:DB1899,DB1899)=1),1898,""))</f>
        <v/>
      </c>
    </row>
    <row r="1900">
      <c r="DB1900">
        <f>IF('История отказов'!AM703="","",'История отказов'!AM703)</f>
        <v/>
      </c>
      <c r="DL1900">
        <f>IF(DB1900="","",IF(AND(COUNTIF($DA$2:$DA$47,DB1900)=0,COUNTIF($DB$2:DB1900,DB1900)=1),1899,""))</f>
        <v/>
      </c>
    </row>
    <row r="1901">
      <c r="DB1901">
        <f>IF('История отказов'!AM704="","",'История отказов'!AM704)</f>
        <v/>
      </c>
      <c r="DL1901">
        <f>IF(DB1901="","",IF(AND(COUNTIF($DA$2:$DA$47,DB1901)=0,COUNTIF($DB$2:DB1901,DB1901)=1),1900,""))</f>
        <v/>
      </c>
    </row>
    <row r="1902">
      <c r="DB1902">
        <f>IF('История отказов'!AM705="","",'История отказов'!AM705)</f>
        <v/>
      </c>
      <c r="DL1902">
        <f>IF(DB1902="","",IF(AND(COUNTIF($DA$2:$DA$47,DB1902)=0,COUNTIF($DB$2:DB1902,DB1902)=1),1901,""))</f>
        <v/>
      </c>
    </row>
    <row r="1903">
      <c r="DB1903">
        <f>IF('История отказов'!AM706="","",'История отказов'!AM706)</f>
        <v/>
      </c>
      <c r="DL1903">
        <f>IF(DB1903="","",IF(AND(COUNTIF($DA$2:$DA$47,DB1903)=0,COUNTIF($DB$2:DB1903,DB1903)=1),1902,""))</f>
        <v/>
      </c>
    </row>
    <row r="1904">
      <c r="DB1904">
        <f>IF('История отказов'!AM707="","",'История отказов'!AM707)</f>
        <v/>
      </c>
      <c r="DL1904">
        <f>IF(DB1904="","",IF(AND(COUNTIF($DA$2:$DA$47,DB1904)=0,COUNTIF($DB$2:DB1904,DB1904)=1),1903,""))</f>
        <v/>
      </c>
    </row>
    <row r="1905">
      <c r="DB1905">
        <f>IF('История отказов'!AM708="","",'История отказов'!AM708)</f>
        <v/>
      </c>
      <c r="DL1905">
        <f>IF(DB1905="","",IF(AND(COUNTIF($DA$2:$DA$47,DB1905)=0,COUNTIF($DB$2:DB1905,DB1905)=1),1904,""))</f>
        <v/>
      </c>
    </row>
    <row r="1906">
      <c r="DB1906">
        <f>IF('История отказов'!AM709="","",'История отказов'!AM709)</f>
        <v/>
      </c>
      <c r="DL1906">
        <f>IF(DB1906="","",IF(AND(COUNTIF($DA$2:$DA$47,DB1906)=0,COUNTIF($DB$2:DB1906,DB1906)=1),1905,""))</f>
        <v/>
      </c>
    </row>
    <row r="1907">
      <c r="DB1907">
        <f>IF('История отказов'!AM710="","",'История отказов'!AM710)</f>
        <v/>
      </c>
      <c r="DL1907">
        <f>IF(DB1907="","",IF(AND(COUNTIF($DA$2:$DA$47,DB1907)=0,COUNTIF($DB$2:DB1907,DB1907)=1),1906,""))</f>
        <v/>
      </c>
    </row>
    <row r="1908">
      <c r="DB1908">
        <f>IF('История отказов'!AM711="","",'История отказов'!AM711)</f>
        <v/>
      </c>
      <c r="DL1908">
        <f>IF(DB1908="","",IF(AND(COUNTIF($DA$2:$DA$47,DB1908)=0,COUNTIF($DB$2:DB1908,DB1908)=1),1907,""))</f>
        <v/>
      </c>
    </row>
    <row r="1909">
      <c r="DB1909">
        <f>IF('История отказов'!AM712="","",'История отказов'!AM712)</f>
        <v/>
      </c>
      <c r="DL1909">
        <f>IF(DB1909="","",IF(AND(COUNTIF($DA$2:$DA$47,DB1909)=0,COUNTIF($DB$2:DB1909,DB1909)=1),1908,""))</f>
        <v/>
      </c>
    </row>
    <row r="1910">
      <c r="DB1910">
        <f>IF('История отказов'!AM713="","",'История отказов'!AM713)</f>
        <v/>
      </c>
      <c r="DL1910">
        <f>IF(DB1910="","",IF(AND(COUNTIF($DA$2:$DA$47,DB1910)=0,COUNTIF($DB$2:DB1910,DB1910)=1),1909,""))</f>
        <v/>
      </c>
    </row>
    <row r="1911">
      <c r="DB1911">
        <f>IF('История отказов'!AM714="","",'История отказов'!AM714)</f>
        <v/>
      </c>
      <c r="DL1911">
        <f>IF(DB1911="","",IF(AND(COUNTIF($DA$2:$DA$47,DB1911)=0,COUNTIF($DB$2:DB1911,DB1911)=1),1910,""))</f>
        <v/>
      </c>
    </row>
    <row r="1912">
      <c r="DB1912">
        <f>IF('История отказов'!AM715="","",'История отказов'!AM715)</f>
        <v/>
      </c>
      <c r="DL1912">
        <f>IF(DB1912="","",IF(AND(COUNTIF($DA$2:$DA$47,DB1912)=0,COUNTIF($DB$2:DB1912,DB1912)=1),1911,""))</f>
        <v/>
      </c>
    </row>
    <row r="1913">
      <c r="DB1913">
        <f>IF('История отказов'!AM716="","",'История отказов'!AM716)</f>
        <v/>
      </c>
      <c r="DL1913">
        <f>IF(DB1913="","",IF(AND(COUNTIF($DA$2:$DA$47,DB1913)=0,COUNTIF($DB$2:DB1913,DB1913)=1),1912,""))</f>
        <v/>
      </c>
    </row>
    <row r="1914">
      <c r="DB1914">
        <f>IF('История отказов'!AM717="","",'История отказов'!AM717)</f>
        <v/>
      </c>
      <c r="DL1914">
        <f>IF(DB1914="","",IF(AND(COUNTIF($DA$2:$DA$47,DB1914)=0,COUNTIF($DB$2:DB1914,DB1914)=1),1913,""))</f>
        <v/>
      </c>
    </row>
    <row r="1915">
      <c r="DB1915">
        <f>IF('История отказов'!AM718="","",'История отказов'!AM718)</f>
        <v/>
      </c>
      <c r="DL1915">
        <f>IF(DB1915="","",IF(AND(COUNTIF($DA$2:$DA$47,DB1915)=0,COUNTIF($DB$2:DB1915,DB1915)=1),1914,""))</f>
        <v/>
      </c>
    </row>
    <row r="1916">
      <c r="DB1916">
        <f>IF('История отказов'!AM719="","",'История отказов'!AM719)</f>
        <v/>
      </c>
      <c r="DL1916">
        <f>IF(DB1916="","",IF(AND(COUNTIF($DA$2:$DA$47,DB1916)=0,COUNTIF($DB$2:DB1916,DB1916)=1),1915,""))</f>
        <v/>
      </c>
    </row>
    <row r="1917">
      <c r="DB1917">
        <f>IF('История отказов'!AM720="","",'История отказов'!AM720)</f>
        <v/>
      </c>
      <c r="DL1917">
        <f>IF(DB1917="","",IF(AND(COUNTIF($DA$2:$DA$47,DB1917)=0,COUNTIF($DB$2:DB1917,DB1917)=1),1916,""))</f>
        <v/>
      </c>
    </row>
    <row r="1918">
      <c r="DB1918">
        <f>IF('История отказов'!AM721="","",'История отказов'!AM721)</f>
        <v/>
      </c>
      <c r="DL1918">
        <f>IF(DB1918="","",IF(AND(COUNTIF($DA$2:$DA$47,DB1918)=0,COUNTIF($DB$2:DB1918,DB1918)=1),1917,""))</f>
        <v/>
      </c>
    </row>
    <row r="1919">
      <c r="DB1919">
        <f>IF('История отказов'!AM722="","",'История отказов'!AM722)</f>
        <v/>
      </c>
      <c r="DL1919">
        <f>IF(DB1919="","",IF(AND(COUNTIF($DA$2:$DA$47,DB1919)=0,COUNTIF($DB$2:DB1919,DB1919)=1),1918,""))</f>
        <v/>
      </c>
    </row>
    <row r="1920">
      <c r="DB1920">
        <f>IF('История отказов'!AM723="","",'История отказов'!AM723)</f>
        <v/>
      </c>
      <c r="DL1920">
        <f>IF(DB1920="","",IF(AND(COUNTIF($DA$2:$DA$47,DB1920)=0,COUNTIF($DB$2:DB1920,DB1920)=1),1919,""))</f>
        <v/>
      </c>
    </row>
    <row r="1921">
      <c r="DB1921">
        <f>IF('История отказов'!AM724="","",'История отказов'!AM724)</f>
        <v/>
      </c>
      <c r="DL1921">
        <f>IF(DB1921="","",IF(AND(COUNTIF($DA$2:$DA$47,DB1921)=0,COUNTIF($DB$2:DB1921,DB1921)=1),1920,""))</f>
        <v/>
      </c>
    </row>
    <row r="1922">
      <c r="DB1922">
        <f>IF('История отказов'!AM725="","",'История отказов'!AM725)</f>
        <v/>
      </c>
      <c r="DL1922">
        <f>IF(DB1922="","",IF(AND(COUNTIF($DA$2:$DA$47,DB1922)=0,COUNTIF($DB$2:DB1922,DB1922)=1),1921,""))</f>
        <v/>
      </c>
    </row>
    <row r="1923">
      <c r="DB1923">
        <f>IF('История отказов'!AM726="","",'История отказов'!AM726)</f>
        <v/>
      </c>
      <c r="DL1923">
        <f>IF(DB1923="","",IF(AND(COUNTIF($DA$2:$DA$47,DB1923)=0,COUNTIF($DB$2:DB1923,DB1923)=1),1922,""))</f>
        <v/>
      </c>
    </row>
    <row r="1924">
      <c r="DB1924">
        <f>IF('История отказов'!AM727="","",'История отказов'!AM727)</f>
        <v/>
      </c>
      <c r="DL1924">
        <f>IF(DB1924="","",IF(AND(COUNTIF($DA$2:$DA$47,DB1924)=0,COUNTIF($DB$2:DB1924,DB1924)=1),1923,""))</f>
        <v/>
      </c>
    </row>
    <row r="1925">
      <c r="DB1925">
        <f>IF('История отказов'!AM728="","",'История отказов'!AM728)</f>
        <v/>
      </c>
      <c r="DL1925">
        <f>IF(DB1925="","",IF(AND(COUNTIF($DA$2:$DA$47,DB1925)=0,COUNTIF($DB$2:DB1925,DB1925)=1),1924,""))</f>
        <v/>
      </c>
    </row>
    <row r="1926">
      <c r="DB1926">
        <f>IF('История отказов'!AM729="","",'История отказов'!AM729)</f>
        <v/>
      </c>
      <c r="DL1926">
        <f>IF(DB1926="","",IF(AND(COUNTIF($DA$2:$DA$47,DB1926)=0,COUNTIF($DB$2:DB1926,DB1926)=1),1925,""))</f>
        <v/>
      </c>
    </row>
    <row r="1927">
      <c r="DB1927">
        <f>IF('История отказов'!AM730="","",'История отказов'!AM730)</f>
        <v/>
      </c>
      <c r="DL1927">
        <f>IF(DB1927="","",IF(AND(COUNTIF($DA$2:$DA$47,DB1927)=0,COUNTIF($DB$2:DB1927,DB1927)=1),1926,""))</f>
        <v/>
      </c>
    </row>
    <row r="1928">
      <c r="DB1928">
        <f>IF('История отказов'!AM731="","",'История отказов'!AM731)</f>
        <v/>
      </c>
      <c r="DL1928">
        <f>IF(DB1928="","",IF(AND(COUNTIF($DA$2:$DA$47,DB1928)=0,COUNTIF($DB$2:DB1928,DB1928)=1),1927,""))</f>
        <v/>
      </c>
    </row>
    <row r="1929">
      <c r="DB1929">
        <f>IF('История отказов'!AM732="","",'История отказов'!AM732)</f>
        <v/>
      </c>
      <c r="DL1929">
        <f>IF(DB1929="","",IF(AND(COUNTIF($DA$2:$DA$47,DB1929)=0,COUNTIF($DB$2:DB1929,DB1929)=1),1928,""))</f>
        <v/>
      </c>
    </row>
    <row r="1930">
      <c r="DB1930">
        <f>IF('История отказов'!AM733="","",'История отказов'!AM733)</f>
        <v/>
      </c>
      <c r="DL1930">
        <f>IF(DB1930="","",IF(AND(COUNTIF($DA$2:$DA$47,DB1930)=0,COUNTIF($DB$2:DB1930,DB1930)=1),1929,""))</f>
        <v/>
      </c>
    </row>
    <row r="1931">
      <c r="DB1931">
        <f>IF('История отказов'!AM734="","",'История отказов'!AM734)</f>
        <v/>
      </c>
      <c r="DL1931">
        <f>IF(DB1931="","",IF(AND(COUNTIF($DA$2:$DA$47,DB1931)=0,COUNTIF($DB$2:DB1931,DB1931)=1),1930,""))</f>
        <v/>
      </c>
    </row>
    <row r="1932">
      <c r="DB1932">
        <f>IF('История отказов'!AM735="","",'История отказов'!AM735)</f>
        <v/>
      </c>
      <c r="DL1932">
        <f>IF(DB1932="","",IF(AND(COUNTIF($DA$2:$DA$47,DB1932)=0,COUNTIF($DB$2:DB1932,DB1932)=1),1931,""))</f>
        <v/>
      </c>
    </row>
    <row r="1933">
      <c r="DB1933">
        <f>IF('История отказов'!AM736="","",'История отказов'!AM736)</f>
        <v/>
      </c>
      <c r="DL1933">
        <f>IF(DB1933="","",IF(AND(COUNTIF($DA$2:$DA$47,DB1933)=0,COUNTIF($DB$2:DB1933,DB1933)=1),1932,""))</f>
        <v/>
      </c>
    </row>
    <row r="1934">
      <c r="DB1934">
        <f>IF('История отказов'!AM737="","",'История отказов'!AM737)</f>
        <v/>
      </c>
      <c r="DL1934">
        <f>IF(DB1934="","",IF(AND(COUNTIF($DA$2:$DA$47,DB1934)=0,COUNTIF($DB$2:DB1934,DB1934)=1),1933,""))</f>
        <v/>
      </c>
    </row>
    <row r="1935">
      <c r="DB1935">
        <f>IF('История отказов'!AM738="","",'История отказов'!AM738)</f>
        <v/>
      </c>
      <c r="DL1935">
        <f>IF(DB1935="","",IF(AND(COUNTIF($DA$2:$DA$47,DB1935)=0,COUNTIF($DB$2:DB1935,DB1935)=1),1934,""))</f>
        <v/>
      </c>
    </row>
    <row r="1936">
      <c r="DB1936">
        <f>IF('История отказов'!AM739="","",'История отказов'!AM739)</f>
        <v/>
      </c>
      <c r="DL1936">
        <f>IF(DB1936="","",IF(AND(COUNTIF($DA$2:$DA$47,DB1936)=0,COUNTIF($DB$2:DB1936,DB1936)=1),1935,""))</f>
        <v/>
      </c>
    </row>
    <row r="1937">
      <c r="DB1937">
        <f>IF('История отказов'!AM740="","",'История отказов'!AM740)</f>
        <v/>
      </c>
      <c r="DL1937">
        <f>IF(DB1937="","",IF(AND(COUNTIF($DA$2:$DA$47,DB1937)=0,COUNTIF($DB$2:DB1937,DB1937)=1),1936,""))</f>
        <v/>
      </c>
    </row>
    <row r="1938">
      <c r="DB1938">
        <f>IF('История отказов'!AM741="","",'История отказов'!AM741)</f>
        <v/>
      </c>
      <c r="DL1938">
        <f>IF(DB1938="","",IF(AND(COUNTIF($DA$2:$DA$47,DB1938)=0,COUNTIF($DB$2:DB1938,DB1938)=1),1937,""))</f>
        <v/>
      </c>
    </row>
    <row r="1939">
      <c r="DB1939">
        <f>IF('История отказов'!AM742="","",'История отказов'!AM742)</f>
        <v/>
      </c>
      <c r="DL1939">
        <f>IF(DB1939="","",IF(AND(COUNTIF($DA$2:$DA$47,DB1939)=0,COUNTIF($DB$2:DB1939,DB1939)=1),1938,""))</f>
        <v/>
      </c>
    </row>
    <row r="1940">
      <c r="DB1940">
        <f>IF('История отказов'!AM743="","",'История отказов'!AM743)</f>
        <v/>
      </c>
      <c r="DL1940">
        <f>IF(DB1940="","",IF(AND(COUNTIF($DA$2:$DA$47,DB1940)=0,COUNTIF($DB$2:DB1940,DB1940)=1),1939,""))</f>
        <v/>
      </c>
    </row>
    <row r="1941">
      <c r="DB1941">
        <f>IF('История отказов'!AM744="","",'История отказов'!AM744)</f>
        <v/>
      </c>
      <c r="DL1941">
        <f>IF(DB1941="","",IF(AND(COUNTIF($DA$2:$DA$47,DB1941)=0,COUNTIF($DB$2:DB1941,DB1941)=1),1940,""))</f>
        <v/>
      </c>
    </row>
    <row r="1942">
      <c r="DB1942">
        <f>IF('История отказов'!AM745="","",'История отказов'!AM745)</f>
        <v/>
      </c>
      <c r="DL1942">
        <f>IF(DB1942="","",IF(AND(COUNTIF($DA$2:$DA$47,DB1942)=0,COUNTIF($DB$2:DB1942,DB1942)=1),1941,""))</f>
        <v/>
      </c>
    </row>
    <row r="1943">
      <c r="DB1943">
        <f>IF('История отказов'!AM746="","",'История отказов'!AM746)</f>
        <v/>
      </c>
      <c r="DL1943">
        <f>IF(DB1943="","",IF(AND(COUNTIF($DA$2:$DA$47,DB1943)=0,COUNTIF($DB$2:DB1943,DB1943)=1),1942,""))</f>
        <v/>
      </c>
    </row>
    <row r="1944">
      <c r="DB1944">
        <f>IF('История отказов'!AM747="","",'История отказов'!AM747)</f>
        <v/>
      </c>
      <c r="DL1944">
        <f>IF(DB1944="","",IF(AND(COUNTIF($DA$2:$DA$47,DB1944)=0,COUNTIF($DB$2:DB1944,DB1944)=1),1943,""))</f>
        <v/>
      </c>
    </row>
    <row r="1945">
      <c r="DB1945">
        <f>IF('История отказов'!AM748="","",'История отказов'!AM748)</f>
        <v/>
      </c>
      <c r="DL1945">
        <f>IF(DB1945="","",IF(AND(COUNTIF($DA$2:$DA$47,DB1945)=0,COUNTIF($DB$2:DB1945,DB1945)=1),1944,""))</f>
        <v/>
      </c>
    </row>
    <row r="1946">
      <c r="DB1946">
        <f>IF('История отказов'!AM749="","",'История отказов'!AM749)</f>
        <v/>
      </c>
      <c r="DL1946">
        <f>IF(DB1946="","",IF(AND(COUNTIF($DA$2:$DA$47,DB1946)=0,COUNTIF($DB$2:DB1946,DB1946)=1),1945,""))</f>
        <v/>
      </c>
    </row>
    <row r="1947">
      <c r="DB1947">
        <f>IF('История отказов'!AM750="","",'История отказов'!AM750)</f>
        <v/>
      </c>
      <c r="DL1947">
        <f>IF(DB1947="","",IF(AND(COUNTIF($DA$2:$DA$47,DB1947)=0,COUNTIF($DB$2:DB1947,DB1947)=1),1946,""))</f>
        <v/>
      </c>
    </row>
    <row r="1948">
      <c r="DB1948">
        <f>IF('История отказов'!AM751="","",'История отказов'!AM751)</f>
        <v/>
      </c>
      <c r="DL1948">
        <f>IF(DB1948="","",IF(AND(COUNTIF($DA$2:$DA$47,DB1948)=0,COUNTIF($DB$2:DB1948,DB1948)=1),1947,""))</f>
        <v/>
      </c>
    </row>
    <row r="1949">
      <c r="DB1949">
        <f>IF('История отказов'!AM752="","",'История отказов'!AM752)</f>
        <v/>
      </c>
      <c r="DL1949">
        <f>IF(DB1949="","",IF(AND(COUNTIF($DA$2:$DA$47,DB1949)=0,COUNTIF($DB$2:DB1949,DB1949)=1),1948,""))</f>
        <v/>
      </c>
    </row>
    <row r="1950">
      <c r="DB1950">
        <f>IF('История отказов'!AM753="","",'История отказов'!AM753)</f>
        <v/>
      </c>
      <c r="DL1950">
        <f>IF(DB1950="","",IF(AND(COUNTIF($DA$2:$DA$47,DB1950)=0,COUNTIF($DB$2:DB1950,DB1950)=1),1949,""))</f>
        <v/>
      </c>
    </row>
    <row r="1951">
      <c r="DB1951">
        <f>IF('История отказов'!AM754="","",'История отказов'!AM754)</f>
        <v/>
      </c>
      <c r="DL1951">
        <f>IF(DB1951="","",IF(AND(COUNTIF($DA$2:$DA$47,DB1951)=0,COUNTIF($DB$2:DB1951,DB1951)=1),1950,""))</f>
        <v/>
      </c>
    </row>
    <row r="1952">
      <c r="DB1952">
        <f>IF('История отказов'!AM755="","",'История отказов'!AM755)</f>
        <v/>
      </c>
      <c r="DL1952">
        <f>IF(DB1952="","",IF(AND(COUNTIF($DA$2:$DA$47,DB1952)=0,COUNTIF($DB$2:DB1952,DB1952)=1),1951,""))</f>
        <v/>
      </c>
    </row>
    <row r="1953">
      <c r="DB1953">
        <f>IF('История отказов'!AM756="","",'История отказов'!AM756)</f>
        <v/>
      </c>
      <c r="DL1953">
        <f>IF(DB1953="","",IF(AND(COUNTIF($DA$2:$DA$47,DB1953)=0,COUNTIF($DB$2:DB1953,DB1953)=1),1952,""))</f>
        <v/>
      </c>
    </row>
    <row r="1954">
      <c r="DB1954">
        <f>IF('История отказов'!AM757="","",'История отказов'!AM757)</f>
        <v/>
      </c>
      <c r="DL1954">
        <f>IF(DB1954="","",IF(AND(COUNTIF($DA$2:$DA$47,DB1954)=0,COUNTIF($DB$2:DB1954,DB1954)=1),1953,""))</f>
        <v/>
      </c>
    </row>
    <row r="1955">
      <c r="DB1955">
        <f>IF('История отказов'!AM758="","",'История отказов'!AM758)</f>
        <v/>
      </c>
      <c r="DL1955">
        <f>IF(DB1955="","",IF(AND(COUNTIF($DA$2:$DA$47,DB1955)=0,COUNTIF($DB$2:DB1955,DB1955)=1),1954,""))</f>
        <v/>
      </c>
    </row>
    <row r="1956">
      <c r="DB1956">
        <f>IF('История отказов'!AM759="","",'История отказов'!AM759)</f>
        <v/>
      </c>
      <c r="DL1956">
        <f>IF(DB1956="","",IF(AND(COUNTIF($DA$2:$DA$47,DB1956)=0,COUNTIF($DB$2:DB1956,DB1956)=1),1955,""))</f>
        <v/>
      </c>
    </row>
    <row r="1957">
      <c r="DB1957">
        <f>IF('История отказов'!AM760="","",'История отказов'!AM760)</f>
        <v/>
      </c>
      <c r="DL1957">
        <f>IF(DB1957="","",IF(AND(COUNTIF($DA$2:$DA$47,DB1957)=0,COUNTIF($DB$2:DB1957,DB1957)=1),1956,""))</f>
        <v/>
      </c>
    </row>
    <row r="1958">
      <c r="DB1958">
        <f>IF('История отказов'!AM761="","",'История отказов'!AM761)</f>
        <v/>
      </c>
      <c r="DL1958">
        <f>IF(DB1958="","",IF(AND(COUNTIF($DA$2:$DA$47,DB1958)=0,COUNTIF($DB$2:DB1958,DB1958)=1),1957,""))</f>
        <v/>
      </c>
    </row>
    <row r="1959">
      <c r="DB1959">
        <f>IF('История отказов'!AM762="","",'История отказов'!AM762)</f>
        <v/>
      </c>
      <c r="DL1959">
        <f>IF(DB1959="","",IF(AND(COUNTIF($DA$2:$DA$47,DB1959)=0,COUNTIF($DB$2:DB1959,DB1959)=1),1958,""))</f>
        <v/>
      </c>
    </row>
    <row r="1960">
      <c r="DB1960">
        <f>IF('История отказов'!AM763="","",'История отказов'!AM763)</f>
        <v/>
      </c>
      <c r="DL1960">
        <f>IF(DB1960="","",IF(AND(COUNTIF($DA$2:$DA$47,DB1960)=0,COUNTIF($DB$2:DB1960,DB1960)=1),1959,""))</f>
        <v/>
      </c>
    </row>
    <row r="1961">
      <c r="DB1961">
        <f>IF('История отказов'!AM764="","",'История отказов'!AM764)</f>
        <v/>
      </c>
      <c r="DL1961">
        <f>IF(DB1961="","",IF(AND(COUNTIF($DA$2:$DA$47,DB1961)=0,COUNTIF($DB$2:DB1961,DB1961)=1),1960,""))</f>
        <v/>
      </c>
    </row>
    <row r="1962">
      <c r="DB1962">
        <f>IF('История отказов'!AM765="","",'История отказов'!AM765)</f>
        <v/>
      </c>
      <c r="DL1962">
        <f>IF(DB1962="","",IF(AND(COUNTIF($DA$2:$DA$47,DB1962)=0,COUNTIF($DB$2:DB1962,DB1962)=1),1961,""))</f>
        <v/>
      </c>
    </row>
    <row r="1963">
      <c r="DB1963">
        <f>IF('История отказов'!AM766="","",'История отказов'!AM766)</f>
        <v/>
      </c>
      <c r="DL1963">
        <f>IF(DB1963="","",IF(AND(COUNTIF($DA$2:$DA$47,DB1963)=0,COUNTIF($DB$2:DB1963,DB1963)=1),1962,""))</f>
        <v/>
      </c>
    </row>
    <row r="1964">
      <c r="DB1964">
        <f>IF('История отказов'!AM767="","",'История отказов'!AM767)</f>
        <v/>
      </c>
      <c r="DL1964">
        <f>IF(DB1964="","",IF(AND(COUNTIF($DA$2:$DA$47,DB1964)=0,COUNTIF($DB$2:DB1964,DB1964)=1),1963,""))</f>
        <v/>
      </c>
    </row>
    <row r="1965">
      <c r="DB1965">
        <f>IF('История отказов'!AM768="","",'История отказов'!AM768)</f>
        <v/>
      </c>
      <c r="DL1965">
        <f>IF(DB1965="","",IF(AND(COUNTIF($DA$2:$DA$47,DB1965)=0,COUNTIF($DB$2:DB1965,DB1965)=1),1964,""))</f>
        <v/>
      </c>
    </row>
    <row r="1966">
      <c r="DB1966">
        <f>IF('История отказов'!AM769="","",'История отказов'!AM769)</f>
        <v/>
      </c>
      <c r="DL1966">
        <f>IF(DB1966="","",IF(AND(COUNTIF($DA$2:$DA$47,DB1966)=0,COUNTIF($DB$2:DB1966,DB1966)=1),1965,""))</f>
        <v/>
      </c>
    </row>
    <row r="1967">
      <c r="DB1967">
        <f>IF('История отказов'!AM770="","",'История отказов'!AM770)</f>
        <v/>
      </c>
      <c r="DL1967">
        <f>IF(DB1967="","",IF(AND(COUNTIF($DA$2:$DA$47,DB1967)=0,COUNTIF($DB$2:DB1967,DB1967)=1),1966,""))</f>
        <v/>
      </c>
    </row>
    <row r="1968">
      <c r="DB1968">
        <f>IF('История отказов'!AM771="","",'История отказов'!AM771)</f>
        <v/>
      </c>
      <c r="DL1968">
        <f>IF(DB1968="","",IF(AND(COUNTIF($DA$2:$DA$47,DB1968)=0,COUNTIF($DB$2:DB1968,DB1968)=1),1967,""))</f>
        <v/>
      </c>
    </row>
    <row r="1969">
      <c r="DB1969">
        <f>IF('История отказов'!AM772="","",'История отказов'!AM772)</f>
        <v/>
      </c>
      <c r="DL1969">
        <f>IF(DB1969="","",IF(AND(COUNTIF($DA$2:$DA$47,DB1969)=0,COUNTIF($DB$2:DB1969,DB1969)=1),1968,""))</f>
        <v/>
      </c>
    </row>
    <row r="1970">
      <c r="DB1970">
        <f>IF('История отказов'!AM773="","",'История отказов'!AM773)</f>
        <v/>
      </c>
      <c r="DL1970">
        <f>IF(DB1970="","",IF(AND(COUNTIF($DA$2:$DA$47,DB1970)=0,COUNTIF($DB$2:DB1970,DB1970)=1),1969,""))</f>
        <v/>
      </c>
    </row>
    <row r="1971">
      <c r="DB1971">
        <f>IF('История отказов'!AM774="","",'История отказов'!AM774)</f>
        <v/>
      </c>
      <c r="DL1971">
        <f>IF(DB1971="","",IF(AND(COUNTIF($DA$2:$DA$47,DB1971)=0,COUNTIF($DB$2:DB1971,DB1971)=1),1970,""))</f>
        <v/>
      </c>
    </row>
    <row r="1972">
      <c r="DB1972">
        <f>IF('История отказов'!AM775="","",'История отказов'!AM775)</f>
        <v/>
      </c>
      <c r="DL1972">
        <f>IF(DB1972="","",IF(AND(COUNTIF($DA$2:$DA$47,DB1972)=0,COUNTIF($DB$2:DB1972,DB1972)=1),1971,""))</f>
        <v/>
      </c>
    </row>
    <row r="1973">
      <c r="DB1973">
        <f>IF('История отказов'!AM776="","",'История отказов'!AM776)</f>
        <v/>
      </c>
      <c r="DL1973">
        <f>IF(DB1973="","",IF(AND(COUNTIF($DA$2:$DA$47,DB1973)=0,COUNTIF($DB$2:DB1973,DB1973)=1),1972,""))</f>
        <v/>
      </c>
    </row>
    <row r="1974">
      <c r="DB1974">
        <f>IF('История отказов'!AM777="","",'История отказов'!AM777)</f>
        <v/>
      </c>
      <c r="DL1974">
        <f>IF(DB1974="","",IF(AND(COUNTIF($DA$2:$DA$47,DB1974)=0,COUNTIF($DB$2:DB1974,DB1974)=1),1973,""))</f>
        <v/>
      </c>
    </row>
    <row r="1975">
      <c r="DB1975">
        <f>IF('История отказов'!AM778="","",'История отказов'!AM778)</f>
        <v/>
      </c>
      <c r="DL1975">
        <f>IF(DB1975="","",IF(AND(COUNTIF($DA$2:$DA$47,DB1975)=0,COUNTIF($DB$2:DB1975,DB1975)=1),1974,""))</f>
        <v/>
      </c>
    </row>
    <row r="1976">
      <c r="DB1976">
        <f>IF('История отказов'!AM779="","",'История отказов'!AM779)</f>
        <v/>
      </c>
      <c r="DL1976">
        <f>IF(DB1976="","",IF(AND(COUNTIF($DA$2:$DA$47,DB1976)=0,COUNTIF($DB$2:DB1976,DB1976)=1),1975,""))</f>
        <v/>
      </c>
    </row>
    <row r="1977">
      <c r="DB1977">
        <f>IF('История отказов'!AM780="","",'История отказов'!AM780)</f>
        <v/>
      </c>
      <c r="DL1977">
        <f>IF(DB1977="","",IF(AND(COUNTIF($DA$2:$DA$47,DB1977)=0,COUNTIF($DB$2:DB1977,DB1977)=1),1976,""))</f>
        <v/>
      </c>
    </row>
    <row r="1978">
      <c r="DB1978">
        <f>IF('История отказов'!AM781="","",'История отказов'!AM781)</f>
        <v/>
      </c>
      <c r="DL1978">
        <f>IF(DB1978="","",IF(AND(COUNTIF($DA$2:$DA$47,DB1978)=0,COUNTIF($DB$2:DB1978,DB1978)=1),1977,""))</f>
        <v/>
      </c>
    </row>
    <row r="1979">
      <c r="DB1979">
        <f>IF('История отказов'!AM782="","",'История отказов'!AM782)</f>
        <v/>
      </c>
      <c r="DL1979">
        <f>IF(DB1979="","",IF(AND(COUNTIF($DA$2:$DA$47,DB1979)=0,COUNTIF($DB$2:DB1979,DB1979)=1),1978,""))</f>
        <v/>
      </c>
    </row>
    <row r="1980">
      <c r="DB1980">
        <f>IF('История отказов'!AM783="","",'История отказов'!AM783)</f>
        <v/>
      </c>
      <c r="DL1980">
        <f>IF(DB1980="","",IF(AND(COUNTIF($DA$2:$DA$47,DB1980)=0,COUNTIF($DB$2:DB1980,DB1980)=1),1979,""))</f>
        <v/>
      </c>
    </row>
    <row r="1981">
      <c r="DB1981">
        <f>IF('История отказов'!AM784="","",'История отказов'!AM784)</f>
        <v/>
      </c>
      <c r="DL1981">
        <f>IF(DB1981="","",IF(AND(COUNTIF($DA$2:$DA$47,DB1981)=0,COUNTIF($DB$2:DB1981,DB1981)=1),1980,""))</f>
        <v/>
      </c>
    </row>
    <row r="1982">
      <c r="DB1982">
        <f>IF('История отказов'!AM785="","",'История отказов'!AM785)</f>
        <v/>
      </c>
      <c r="DL1982">
        <f>IF(DB1982="","",IF(AND(COUNTIF($DA$2:$DA$47,DB1982)=0,COUNTIF($DB$2:DB1982,DB1982)=1),1981,""))</f>
        <v/>
      </c>
    </row>
    <row r="1983">
      <c r="DB1983">
        <f>IF('История отказов'!AM786="","",'История отказов'!AM786)</f>
        <v/>
      </c>
      <c r="DL1983">
        <f>IF(DB1983="","",IF(AND(COUNTIF($DA$2:$DA$47,DB1983)=0,COUNTIF($DB$2:DB1983,DB1983)=1),1982,""))</f>
        <v/>
      </c>
    </row>
    <row r="1984">
      <c r="DB1984">
        <f>IF('История отказов'!AM787="","",'История отказов'!AM787)</f>
        <v/>
      </c>
      <c r="DL1984">
        <f>IF(DB1984="","",IF(AND(COUNTIF($DA$2:$DA$47,DB1984)=0,COUNTIF($DB$2:DB1984,DB1984)=1),1983,""))</f>
        <v/>
      </c>
    </row>
    <row r="1985">
      <c r="DB1985">
        <f>IF('История отказов'!AM788="","",'История отказов'!AM788)</f>
        <v/>
      </c>
      <c r="DL1985">
        <f>IF(DB1985="","",IF(AND(COUNTIF($DA$2:$DA$47,DB1985)=0,COUNTIF($DB$2:DB1985,DB1985)=1),1984,""))</f>
        <v/>
      </c>
    </row>
    <row r="1986">
      <c r="DB1986">
        <f>IF('История отказов'!AM789="","",'История отказов'!AM789)</f>
        <v/>
      </c>
      <c r="DL1986">
        <f>IF(DB1986="","",IF(AND(COUNTIF($DA$2:$DA$47,DB1986)=0,COUNTIF($DB$2:DB1986,DB1986)=1),1985,""))</f>
        <v/>
      </c>
    </row>
    <row r="1987">
      <c r="DB1987">
        <f>IF('История отказов'!AM790="","",'История отказов'!AM790)</f>
        <v/>
      </c>
      <c r="DL1987">
        <f>IF(DB1987="","",IF(AND(COUNTIF($DA$2:$DA$47,DB1987)=0,COUNTIF($DB$2:DB1987,DB1987)=1),1986,""))</f>
        <v/>
      </c>
    </row>
    <row r="1988">
      <c r="DB1988">
        <f>IF('История отказов'!AM791="","",'История отказов'!AM791)</f>
        <v/>
      </c>
      <c r="DL1988">
        <f>IF(DB1988="","",IF(AND(COUNTIF($DA$2:$DA$47,DB1988)=0,COUNTIF($DB$2:DB1988,DB1988)=1),1987,""))</f>
        <v/>
      </c>
    </row>
    <row r="1989">
      <c r="DB1989">
        <f>IF('История отказов'!AM792="","",'История отказов'!AM792)</f>
        <v/>
      </c>
      <c r="DL1989">
        <f>IF(DB1989="","",IF(AND(COUNTIF($DA$2:$DA$47,DB1989)=0,COUNTIF($DB$2:DB1989,DB1989)=1),1988,""))</f>
        <v/>
      </c>
    </row>
    <row r="1990">
      <c r="DB1990">
        <f>IF('История отказов'!AM793="","",'История отказов'!AM793)</f>
        <v/>
      </c>
      <c r="DL1990">
        <f>IF(DB1990="","",IF(AND(COUNTIF($DA$2:$DA$47,DB1990)=0,COUNTIF($DB$2:DB1990,DB1990)=1),1989,""))</f>
        <v/>
      </c>
    </row>
    <row r="1991">
      <c r="DB1991">
        <f>IF('История отказов'!AM794="","",'История отказов'!AM794)</f>
        <v/>
      </c>
      <c r="DL1991">
        <f>IF(DB1991="","",IF(AND(COUNTIF($DA$2:$DA$47,DB1991)=0,COUNTIF($DB$2:DB1991,DB1991)=1),1990,""))</f>
        <v/>
      </c>
    </row>
    <row r="1992">
      <c r="DB1992">
        <f>IF('История отказов'!AM795="","",'История отказов'!AM795)</f>
        <v/>
      </c>
      <c r="DL1992">
        <f>IF(DB1992="","",IF(AND(COUNTIF($DA$2:$DA$47,DB1992)=0,COUNTIF($DB$2:DB1992,DB1992)=1),1991,""))</f>
        <v/>
      </c>
    </row>
    <row r="1993">
      <c r="DB1993">
        <f>IF('История отказов'!AM796="","",'История отказов'!AM796)</f>
        <v/>
      </c>
      <c r="DL1993">
        <f>IF(DB1993="","",IF(AND(COUNTIF($DA$2:$DA$47,DB1993)=0,COUNTIF($DB$2:DB1993,DB1993)=1),1992,""))</f>
        <v/>
      </c>
    </row>
    <row r="1994">
      <c r="DB1994">
        <f>IF('История отказов'!AM797="","",'История отказов'!AM797)</f>
        <v/>
      </c>
      <c r="DL1994">
        <f>IF(DB1994="","",IF(AND(COUNTIF($DA$2:$DA$47,DB1994)=0,COUNTIF($DB$2:DB1994,DB1994)=1),1993,""))</f>
        <v/>
      </c>
    </row>
    <row r="1995">
      <c r="DB1995">
        <f>IF('История отказов'!AM798="","",'История отказов'!AM798)</f>
        <v/>
      </c>
      <c r="DL1995">
        <f>IF(DB1995="","",IF(AND(COUNTIF($DA$2:$DA$47,DB1995)=0,COUNTIF($DB$2:DB1995,DB1995)=1),1994,""))</f>
        <v/>
      </c>
    </row>
    <row r="1996">
      <c r="DB1996">
        <f>IF('История отказов'!AM799="","",'История отказов'!AM799)</f>
        <v/>
      </c>
      <c r="DL1996">
        <f>IF(DB1996="","",IF(AND(COUNTIF($DA$2:$DA$47,DB1996)=0,COUNTIF($DB$2:DB1996,DB1996)=1),1995,""))</f>
        <v/>
      </c>
    </row>
    <row r="1997">
      <c r="DB1997">
        <f>IF('История отказов'!AM800="","",'История отказов'!AM800)</f>
        <v/>
      </c>
      <c r="DL1997">
        <f>IF(DB1997="","",IF(AND(COUNTIF($DA$2:$DA$47,DB1997)=0,COUNTIF($DB$2:DB1997,DB1997)=1),1996,""))</f>
        <v/>
      </c>
    </row>
    <row r="1998">
      <c r="DB1998">
        <f>IF('История отказов'!AM801="","",'История отказов'!AM801)</f>
        <v/>
      </c>
      <c r="DL1998">
        <f>IF(DB1998="","",IF(AND(COUNTIF($DA$2:$DA$47,DB1998)=0,COUNTIF($DB$2:DB1998,DB1998)=1),1997,""))</f>
        <v/>
      </c>
    </row>
    <row r="1999">
      <c r="DB1999">
        <f>IF('История отказов'!AM802="","",'История отказов'!AM802)</f>
        <v/>
      </c>
      <c r="DL1999">
        <f>IF(DB1999="","",IF(AND(COUNTIF($DA$2:$DA$47,DB1999)=0,COUNTIF($DB$2:DB1999,DB1999)=1),1998,""))</f>
        <v/>
      </c>
    </row>
    <row r="2000">
      <c r="DB2000">
        <f>IF('История отказов'!AM803="","",'История отказов'!AM803)</f>
        <v/>
      </c>
      <c r="DL2000">
        <f>IF(DB2000="","",IF(AND(COUNTIF($DA$2:$DA$47,DB2000)=0,COUNTIF($DB$2:DB2000,DB2000)=1),1999,""))</f>
        <v/>
      </c>
    </row>
    <row r="2001">
      <c r="DB2001">
        <f>IF('История отказов'!AM804="","",'История отказов'!AM804)</f>
        <v/>
      </c>
      <c r="DL2001">
        <f>IF(DB2001="","",IF(AND(COUNTIF($DA$2:$DA$47,DB2001)=0,COUNTIF($DB$2:DB2001,DB2001)=1),2000,""))</f>
        <v/>
      </c>
    </row>
    <row r="2002">
      <c r="DB2002">
        <f>IF('История отказов'!AM805="","",'История отказов'!AM805)</f>
        <v/>
      </c>
      <c r="DL2002">
        <f>IF(DB2002="","",IF(AND(COUNTIF($DA$2:$DA$47,DB2002)=0,COUNTIF($DB$2:DB2002,DB2002)=1),2001,""))</f>
        <v/>
      </c>
    </row>
    <row r="2003">
      <c r="DB2003">
        <f>IF('История отказов'!AM806="","",'История отказов'!AM806)</f>
        <v/>
      </c>
      <c r="DL2003">
        <f>IF(DB2003="","",IF(AND(COUNTIF($DA$2:$DA$47,DB2003)=0,COUNTIF($DB$2:DB2003,DB2003)=1),2002,""))</f>
        <v/>
      </c>
    </row>
    <row r="2004">
      <c r="DB2004">
        <f>IF('История отказов'!AM807="","",'История отказов'!AM807)</f>
        <v/>
      </c>
      <c r="DL2004">
        <f>IF(DB2004="","",IF(AND(COUNTIF($DA$2:$DA$47,DB2004)=0,COUNTIF($DB$2:DB2004,DB2004)=1),2003,""))</f>
        <v/>
      </c>
    </row>
    <row r="2005">
      <c r="DB2005">
        <f>IF('История отказов'!AM808="","",'История отказов'!AM808)</f>
        <v/>
      </c>
      <c r="DL2005">
        <f>IF(DB2005="","",IF(AND(COUNTIF($DA$2:$DA$47,DB2005)=0,COUNTIF($DB$2:DB2005,DB2005)=1),2004,""))</f>
        <v/>
      </c>
    </row>
    <row r="2006">
      <c r="DB2006">
        <f>IF('История отказов'!AM809="","",'История отказов'!AM809)</f>
        <v/>
      </c>
      <c r="DL2006">
        <f>IF(DB2006="","",IF(AND(COUNTIF($DA$2:$DA$47,DB2006)=0,COUNTIF($DB$2:DB2006,DB2006)=1),2005,""))</f>
        <v/>
      </c>
    </row>
    <row r="2007">
      <c r="DB2007">
        <f>IF('История отказов'!AM810="","",'История отказов'!AM810)</f>
        <v/>
      </c>
      <c r="DL2007">
        <f>IF(DB2007="","",IF(AND(COUNTIF($DA$2:$DA$47,DB2007)=0,COUNTIF($DB$2:DB2007,DB2007)=1),2006,""))</f>
        <v/>
      </c>
    </row>
    <row r="2008">
      <c r="DB2008">
        <f>IF('История отказов'!AM811="","",'История отказов'!AM811)</f>
        <v/>
      </c>
      <c r="DL2008">
        <f>IF(DB2008="","",IF(AND(COUNTIF($DA$2:$DA$47,DB2008)=0,COUNTIF($DB$2:DB2008,DB2008)=1),2007,""))</f>
        <v/>
      </c>
    </row>
    <row r="2009">
      <c r="DB2009">
        <f>IF('История отказов'!AM812="","",'История отказов'!AM812)</f>
        <v/>
      </c>
      <c r="DL2009">
        <f>IF(DB2009="","",IF(AND(COUNTIF($DA$2:$DA$47,DB2009)=0,COUNTIF($DB$2:DB2009,DB2009)=1),2008,""))</f>
        <v/>
      </c>
    </row>
    <row r="2010">
      <c r="DB2010">
        <f>IF('История отказов'!AM813="","",'История отказов'!AM813)</f>
        <v/>
      </c>
      <c r="DL2010">
        <f>IF(DB2010="","",IF(AND(COUNTIF($DA$2:$DA$47,DB2010)=0,COUNTIF($DB$2:DB2010,DB2010)=1),2009,""))</f>
        <v/>
      </c>
    </row>
    <row r="2011">
      <c r="DB2011">
        <f>IF('История отказов'!AM814="","",'История отказов'!AM814)</f>
        <v/>
      </c>
      <c r="DL2011">
        <f>IF(DB2011="","",IF(AND(COUNTIF($DA$2:$DA$47,DB2011)=0,COUNTIF($DB$2:DB2011,DB2011)=1),2010,""))</f>
        <v/>
      </c>
    </row>
    <row r="2012">
      <c r="DB2012">
        <f>IF('История отказов'!AM815="","",'История отказов'!AM815)</f>
        <v/>
      </c>
      <c r="DL2012">
        <f>IF(DB2012="","",IF(AND(COUNTIF($DA$2:$DA$47,DB2012)=0,COUNTIF($DB$2:DB2012,DB2012)=1),2011,""))</f>
        <v/>
      </c>
    </row>
    <row r="2013">
      <c r="DB2013">
        <f>IF('История отказов'!AM816="","",'История отказов'!AM816)</f>
        <v/>
      </c>
      <c r="DL2013">
        <f>IF(DB2013="","",IF(AND(COUNTIF($DA$2:$DA$47,DB2013)=0,COUNTIF($DB$2:DB2013,DB2013)=1),2012,""))</f>
        <v/>
      </c>
    </row>
    <row r="2014">
      <c r="DB2014">
        <f>IF('История отказов'!AM817="","",'История отказов'!AM817)</f>
        <v/>
      </c>
      <c r="DL2014">
        <f>IF(DB2014="","",IF(AND(COUNTIF($DA$2:$DA$47,DB2014)=0,COUNTIF($DB$2:DB2014,DB2014)=1),2013,""))</f>
        <v/>
      </c>
    </row>
    <row r="2015">
      <c r="DB2015">
        <f>IF('История отказов'!AM818="","",'История отказов'!AM818)</f>
        <v/>
      </c>
      <c r="DL2015">
        <f>IF(DB2015="","",IF(AND(COUNTIF($DA$2:$DA$47,DB2015)=0,COUNTIF($DB$2:DB2015,DB2015)=1),2014,""))</f>
        <v/>
      </c>
    </row>
    <row r="2016">
      <c r="DB2016">
        <f>IF('История отказов'!AM819="","",'История отказов'!AM819)</f>
        <v/>
      </c>
      <c r="DL2016">
        <f>IF(DB2016="","",IF(AND(COUNTIF($DA$2:$DA$47,DB2016)=0,COUNTIF($DB$2:DB2016,DB2016)=1),2015,""))</f>
        <v/>
      </c>
    </row>
    <row r="2017">
      <c r="DB2017">
        <f>IF('История отказов'!AM820="","",'История отказов'!AM820)</f>
        <v/>
      </c>
      <c r="DL2017">
        <f>IF(DB2017="","",IF(AND(COUNTIF($DA$2:$DA$47,DB2017)=0,COUNTIF($DB$2:DB2017,DB2017)=1),2016,""))</f>
        <v/>
      </c>
    </row>
    <row r="2018">
      <c r="DB2018">
        <f>IF('История отказов'!AM821="","",'История отказов'!AM821)</f>
        <v/>
      </c>
      <c r="DL2018">
        <f>IF(DB2018="","",IF(AND(COUNTIF($DA$2:$DA$47,DB2018)=0,COUNTIF($DB$2:DB2018,DB2018)=1),2017,""))</f>
        <v/>
      </c>
    </row>
    <row r="2019">
      <c r="DB2019">
        <f>IF('История отказов'!AM822="","",'История отказов'!AM822)</f>
        <v/>
      </c>
      <c r="DL2019">
        <f>IF(DB2019="","",IF(AND(COUNTIF($DA$2:$DA$47,DB2019)=0,COUNTIF($DB$2:DB2019,DB2019)=1),2018,""))</f>
        <v/>
      </c>
    </row>
    <row r="2020">
      <c r="DB2020">
        <f>IF('История отказов'!AM823="","",'История отказов'!AM823)</f>
        <v/>
      </c>
      <c r="DL2020">
        <f>IF(DB2020="","",IF(AND(COUNTIF($DA$2:$DA$47,DB2020)=0,COUNTIF($DB$2:DB2020,DB2020)=1),2019,""))</f>
        <v/>
      </c>
    </row>
    <row r="2021">
      <c r="DB2021">
        <f>IF('История отказов'!AM824="","",'История отказов'!AM824)</f>
        <v/>
      </c>
      <c r="DL2021">
        <f>IF(DB2021="","",IF(AND(COUNTIF($DA$2:$DA$47,DB2021)=0,COUNTIF($DB$2:DB2021,DB2021)=1),2020,""))</f>
        <v/>
      </c>
    </row>
    <row r="2022">
      <c r="DB2022">
        <f>IF('История отказов'!AM825="","",'История отказов'!AM825)</f>
        <v/>
      </c>
      <c r="DL2022">
        <f>IF(DB2022="","",IF(AND(COUNTIF($DA$2:$DA$47,DB2022)=0,COUNTIF($DB$2:DB2022,DB2022)=1),2021,""))</f>
        <v/>
      </c>
    </row>
    <row r="2023">
      <c r="DB2023">
        <f>IF('История отказов'!AM826="","",'История отказов'!AM826)</f>
        <v/>
      </c>
      <c r="DL2023">
        <f>IF(DB2023="","",IF(AND(COUNTIF($DA$2:$DA$47,DB2023)=0,COUNTIF($DB$2:DB2023,DB2023)=1),2022,""))</f>
        <v/>
      </c>
    </row>
    <row r="2024">
      <c r="DB2024">
        <f>IF('История отказов'!AM827="","",'История отказов'!AM827)</f>
        <v/>
      </c>
      <c r="DL2024">
        <f>IF(DB2024="","",IF(AND(COUNTIF($DA$2:$DA$47,DB2024)=0,COUNTIF($DB$2:DB2024,DB2024)=1),2023,""))</f>
        <v/>
      </c>
    </row>
    <row r="2025">
      <c r="DB2025">
        <f>IF('История отказов'!AM828="","",'История отказов'!AM828)</f>
        <v/>
      </c>
      <c r="DL2025">
        <f>IF(DB2025="","",IF(AND(COUNTIF($DA$2:$DA$47,DB2025)=0,COUNTIF($DB$2:DB2025,DB2025)=1),2024,""))</f>
        <v/>
      </c>
    </row>
    <row r="2026">
      <c r="DB2026">
        <f>IF('История отказов'!AM829="","",'История отказов'!AM829)</f>
        <v/>
      </c>
      <c r="DL2026">
        <f>IF(DB2026="","",IF(AND(COUNTIF($DA$2:$DA$47,DB2026)=0,COUNTIF($DB$2:DB2026,DB2026)=1),2025,""))</f>
        <v/>
      </c>
    </row>
    <row r="2027">
      <c r="DB2027">
        <f>IF('История отказов'!AM830="","",'История отказов'!AM830)</f>
        <v/>
      </c>
      <c r="DL2027">
        <f>IF(DB2027="","",IF(AND(COUNTIF($DA$2:$DA$47,DB2027)=0,COUNTIF($DB$2:DB2027,DB2027)=1),2026,""))</f>
        <v/>
      </c>
    </row>
    <row r="2028">
      <c r="DB2028">
        <f>IF('История отказов'!AM831="","",'История отказов'!AM831)</f>
        <v/>
      </c>
      <c r="DL2028">
        <f>IF(DB2028="","",IF(AND(COUNTIF($DA$2:$DA$47,DB2028)=0,COUNTIF($DB$2:DB2028,DB2028)=1),2027,""))</f>
        <v/>
      </c>
    </row>
    <row r="2029">
      <c r="DB2029">
        <f>IF('История отказов'!AM832="","",'История отказов'!AM832)</f>
        <v/>
      </c>
      <c r="DL2029">
        <f>IF(DB2029="","",IF(AND(COUNTIF($DA$2:$DA$47,DB2029)=0,COUNTIF($DB$2:DB2029,DB2029)=1),2028,""))</f>
        <v/>
      </c>
    </row>
    <row r="2030">
      <c r="DB2030">
        <f>IF('История отказов'!AM833="","",'История отказов'!AM833)</f>
        <v/>
      </c>
      <c r="DL2030">
        <f>IF(DB2030="","",IF(AND(COUNTIF($DA$2:$DA$47,DB2030)=0,COUNTIF($DB$2:DB2030,DB2030)=1),2029,""))</f>
        <v/>
      </c>
    </row>
    <row r="2031">
      <c r="DB2031">
        <f>IF('История отказов'!AM834="","",'История отказов'!AM834)</f>
        <v/>
      </c>
      <c r="DL2031">
        <f>IF(DB2031="","",IF(AND(COUNTIF($DA$2:$DA$47,DB2031)=0,COUNTIF($DB$2:DB2031,DB2031)=1),2030,""))</f>
        <v/>
      </c>
    </row>
    <row r="2032">
      <c r="DB2032">
        <f>IF('История отказов'!AM835="","",'История отказов'!AM835)</f>
        <v/>
      </c>
      <c r="DL2032">
        <f>IF(DB2032="","",IF(AND(COUNTIF($DA$2:$DA$47,DB2032)=0,COUNTIF($DB$2:DB2032,DB2032)=1),2031,""))</f>
        <v/>
      </c>
    </row>
    <row r="2033">
      <c r="DB2033">
        <f>IF('История отказов'!AM836="","",'История отказов'!AM836)</f>
        <v/>
      </c>
      <c r="DL2033">
        <f>IF(DB2033="","",IF(AND(COUNTIF($DA$2:$DA$47,DB2033)=0,COUNTIF($DB$2:DB2033,DB2033)=1),2032,""))</f>
        <v/>
      </c>
    </row>
    <row r="2034">
      <c r="DB2034">
        <f>IF('История отказов'!AM837="","",'История отказов'!AM837)</f>
        <v/>
      </c>
      <c r="DL2034">
        <f>IF(DB2034="","",IF(AND(COUNTIF($DA$2:$DA$47,DB2034)=0,COUNTIF($DB$2:DB2034,DB2034)=1),2033,""))</f>
        <v/>
      </c>
    </row>
    <row r="2035">
      <c r="DB2035">
        <f>IF('История отказов'!AM838="","",'История отказов'!AM838)</f>
        <v/>
      </c>
      <c r="DL2035">
        <f>IF(DB2035="","",IF(AND(COUNTIF($DA$2:$DA$47,DB2035)=0,COUNTIF($DB$2:DB2035,DB2035)=1),2034,""))</f>
        <v/>
      </c>
    </row>
    <row r="2036">
      <c r="DB2036">
        <f>IF('История отказов'!AM839="","",'История отказов'!AM839)</f>
        <v/>
      </c>
      <c r="DL2036">
        <f>IF(DB2036="","",IF(AND(COUNTIF($DA$2:$DA$47,DB2036)=0,COUNTIF($DB$2:DB2036,DB2036)=1),2035,""))</f>
        <v/>
      </c>
    </row>
    <row r="2037">
      <c r="DB2037">
        <f>IF('История отказов'!AM840="","",'История отказов'!AM840)</f>
        <v/>
      </c>
      <c r="DL2037">
        <f>IF(DB2037="","",IF(AND(COUNTIF($DA$2:$DA$47,DB2037)=0,COUNTIF($DB$2:DB2037,DB2037)=1),2036,""))</f>
        <v/>
      </c>
    </row>
    <row r="2038">
      <c r="DB2038">
        <f>IF('История отказов'!AM841="","",'История отказов'!AM841)</f>
        <v/>
      </c>
      <c r="DL2038">
        <f>IF(DB2038="","",IF(AND(COUNTIF($DA$2:$DA$47,DB2038)=0,COUNTIF($DB$2:DB2038,DB2038)=1),2037,""))</f>
        <v/>
      </c>
    </row>
    <row r="2039">
      <c r="DB2039">
        <f>IF('История отказов'!AM842="","",'История отказов'!AM842)</f>
        <v/>
      </c>
      <c r="DL2039">
        <f>IF(DB2039="","",IF(AND(COUNTIF($DA$2:$DA$47,DB2039)=0,COUNTIF($DB$2:DB2039,DB2039)=1),2038,""))</f>
        <v/>
      </c>
    </row>
    <row r="2040">
      <c r="DB2040">
        <f>IF('История отказов'!AM843="","",'История отказов'!AM843)</f>
        <v/>
      </c>
      <c r="DL2040">
        <f>IF(DB2040="","",IF(AND(COUNTIF($DA$2:$DA$47,DB2040)=0,COUNTIF($DB$2:DB2040,DB2040)=1),2039,""))</f>
        <v/>
      </c>
    </row>
    <row r="2041">
      <c r="DB2041">
        <f>IF('История отказов'!AM844="","",'История отказов'!AM844)</f>
        <v/>
      </c>
      <c r="DL2041">
        <f>IF(DB2041="","",IF(AND(COUNTIF($DA$2:$DA$47,DB2041)=0,COUNTIF($DB$2:DB2041,DB2041)=1),2040,""))</f>
        <v/>
      </c>
    </row>
    <row r="2042">
      <c r="DB2042">
        <f>IF('История отказов'!AM845="","",'История отказов'!AM845)</f>
        <v/>
      </c>
      <c r="DL2042">
        <f>IF(DB2042="","",IF(AND(COUNTIF($DA$2:$DA$47,DB2042)=0,COUNTIF($DB$2:DB2042,DB2042)=1),2041,""))</f>
        <v/>
      </c>
    </row>
    <row r="2043">
      <c r="DB2043">
        <f>IF('История отказов'!AM846="","",'История отказов'!AM846)</f>
        <v/>
      </c>
      <c r="DL2043">
        <f>IF(DB2043="","",IF(AND(COUNTIF($DA$2:$DA$47,DB2043)=0,COUNTIF($DB$2:DB2043,DB2043)=1),2042,""))</f>
        <v/>
      </c>
    </row>
    <row r="2044">
      <c r="DB2044">
        <f>IF('История отказов'!AM847="","",'История отказов'!AM847)</f>
        <v/>
      </c>
      <c r="DL2044">
        <f>IF(DB2044="","",IF(AND(COUNTIF($DA$2:$DA$47,DB2044)=0,COUNTIF($DB$2:DB2044,DB2044)=1),2043,""))</f>
        <v/>
      </c>
    </row>
    <row r="2045">
      <c r="DB2045">
        <f>IF('История отказов'!AM848="","",'История отказов'!AM848)</f>
        <v/>
      </c>
      <c r="DL2045">
        <f>IF(DB2045="","",IF(AND(COUNTIF($DA$2:$DA$47,DB2045)=0,COUNTIF($DB$2:DB2045,DB2045)=1),2044,""))</f>
        <v/>
      </c>
    </row>
    <row r="2046">
      <c r="DB2046">
        <f>IF('История отказов'!AM849="","",'История отказов'!AM849)</f>
        <v/>
      </c>
      <c r="DL2046">
        <f>IF(DB2046="","",IF(AND(COUNTIF($DA$2:$DA$47,DB2046)=0,COUNTIF($DB$2:DB2046,DB2046)=1),2045,""))</f>
        <v/>
      </c>
    </row>
    <row r="2047">
      <c r="DB2047">
        <f>IF('История отказов'!AM850="","",'История отказов'!AM850)</f>
        <v/>
      </c>
      <c r="DL2047">
        <f>IF(DB2047="","",IF(AND(COUNTIF($DA$2:$DA$47,DB2047)=0,COUNTIF($DB$2:DB2047,DB2047)=1),2046,""))</f>
        <v/>
      </c>
    </row>
    <row r="2048">
      <c r="DB2048">
        <f>IF('История отказов'!AM851="","",'История отказов'!AM851)</f>
        <v/>
      </c>
      <c r="DL2048">
        <f>IF(DB2048="","",IF(AND(COUNTIF($DA$2:$DA$47,DB2048)=0,COUNTIF($DB$2:DB2048,DB2048)=1),2047,""))</f>
        <v/>
      </c>
    </row>
    <row r="2049">
      <c r="DB2049">
        <f>IF('История отказов'!AM852="","",'История отказов'!AM852)</f>
        <v/>
      </c>
      <c r="DL2049">
        <f>IF(DB2049="","",IF(AND(COUNTIF($DA$2:$DA$47,DB2049)=0,COUNTIF($DB$2:DB2049,DB2049)=1),2048,""))</f>
        <v/>
      </c>
    </row>
    <row r="2050">
      <c r="DB2050">
        <f>IF('История отказов'!AM853="","",'История отказов'!AM853)</f>
        <v/>
      </c>
      <c r="DL2050">
        <f>IF(DB2050="","",IF(AND(COUNTIF($DA$2:$DA$47,DB2050)=0,COUNTIF($DB$2:DB2050,DB2050)=1),2049,""))</f>
        <v/>
      </c>
    </row>
    <row r="2051">
      <c r="DB2051">
        <f>IF('История отказов'!AM854="","",'История отказов'!AM854)</f>
        <v/>
      </c>
      <c r="DL2051">
        <f>IF(DB2051="","",IF(AND(COUNTIF($DA$2:$DA$47,DB2051)=0,COUNTIF($DB$2:DB2051,DB2051)=1),2050,""))</f>
        <v/>
      </c>
    </row>
    <row r="2052">
      <c r="DB2052">
        <f>IF('История отказов'!AM855="","",'История отказов'!AM855)</f>
        <v/>
      </c>
      <c r="DL2052">
        <f>IF(DB2052="","",IF(AND(COUNTIF($DA$2:$DA$47,DB2052)=0,COUNTIF($DB$2:DB2052,DB2052)=1),2051,""))</f>
        <v/>
      </c>
    </row>
    <row r="2053">
      <c r="DB2053">
        <f>IF('История отказов'!AM856="","",'История отказов'!AM856)</f>
        <v/>
      </c>
      <c r="DL2053">
        <f>IF(DB2053="","",IF(AND(COUNTIF($DA$2:$DA$47,DB2053)=0,COUNTIF($DB$2:DB2053,DB2053)=1),2052,""))</f>
        <v/>
      </c>
    </row>
    <row r="2054">
      <c r="DB2054">
        <f>IF('История отказов'!AM857="","",'История отказов'!AM857)</f>
        <v/>
      </c>
      <c r="DL2054">
        <f>IF(DB2054="","",IF(AND(COUNTIF($DA$2:$DA$47,DB2054)=0,COUNTIF($DB$2:DB2054,DB2054)=1),2053,""))</f>
        <v/>
      </c>
    </row>
    <row r="2055">
      <c r="DB2055">
        <f>IF('История отказов'!AM858="","",'История отказов'!AM858)</f>
        <v/>
      </c>
      <c r="DL2055">
        <f>IF(DB2055="","",IF(AND(COUNTIF($DA$2:$DA$47,DB2055)=0,COUNTIF($DB$2:DB2055,DB2055)=1),2054,""))</f>
        <v/>
      </c>
    </row>
    <row r="2056">
      <c r="DB2056">
        <f>IF('История отказов'!AM859="","",'История отказов'!AM859)</f>
        <v/>
      </c>
      <c r="DL2056">
        <f>IF(DB2056="","",IF(AND(COUNTIF($DA$2:$DA$47,DB2056)=0,COUNTIF($DB$2:DB2056,DB2056)=1),2055,""))</f>
        <v/>
      </c>
    </row>
    <row r="2057">
      <c r="DB2057">
        <f>IF('История отказов'!AM860="","",'История отказов'!AM860)</f>
        <v/>
      </c>
      <c r="DL2057">
        <f>IF(DB2057="","",IF(AND(COUNTIF($DA$2:$DA$47,DB2057)=0,COUNTIF($DB$2:DB2057,DB2057)=1),2056,""))</f>
        <v/>
      </c>
    </row>
    <row r="2058">
      <c r="DB2058">
        <f>IF('История отказов'!AM861="","",'История отказов'!AM861)</f>
        <v/>
      </c>
      <c r="DL2058">
        <f>IF(DB2058="","",IF(AND(COUNTIF($DA$2:$DA$47,DB2058)=0,COUNTIF($DB$2:DB2058,DB2058)=1),2057,""))</f>
        <v/>
      </c>
    </row>
    <row r="2059">
      <c r="DB2059">
        <f>IF('История отказов'!AM862="","",'История отказов'!AM862)</f>
        <v/>
      </c>
      <c r="DL2059">
        <f>IF(DB2059="","",IF(AND(COUNTIF($DA$2:$DA$47,DB2059)=0,COUNTIF($DB$2:DB2059,DB2059)=1),2058,""))</f>
        <v/>
      </c>
    </row>
    <row r="2060">
      <c r="DB2060">
        <f>IF('История отказов'!AM863="","",'История отказов'!AM863)</f>
        <v/>
      </c>
      <c r="DL2060">
        <f>IF(DB2060="","",IF(AND(COUNTIF($DA$2:$DA$47,DB2060)=0,COUNTIF($DB$2:DB2060,DB2060)=1),2059,""))</f>
        <v/>
      </c>
    </row>
    <row r="2061">
      <c r="DB2061">
        <f>IF('История отказов'!AM864="","",'История отказов'!AM864)</f>
        <v/>
      </c>
      <c r="DL2061">
        <f>IF(DB2061="","",IF(AND(COUNTIF($DA$2:$DA$47,DB2061)=0,COUNTIF($DB$2:DB2061,DB2061)=1),2060,""))</f>
        <v/>
      </c>
    </row>
    <row r="2062">
      <c r="DB2062">
        <f>IF('История отказов'!AM865="","",'История отказов'!AM865)</f>
        <v/>
      </c>
      <c r="DL2062">
        <f>IF(DB2062="","",IF(AND(COUNTIF($DA$2:$DA$47,DB2062)=0,COUNTIF($DB$2:DB2062,DB2062)=1),2061,""))</f>
        <v/>
      </c>
    </row>
    <row r="2063">
      <c r="DB2063">
        <f>IF('История отказов'!AM866="","",'История отказов'!AM866)</f>
        <v/>
      </c>
      <c r="DL2063">
        <f>IF(DB2063="","",IF(AND(COUNTIF($DA$2:$DA$47,DB2063)=0,COUNTIF($DB$2:DB2063,DB2063)=1),2062,""))</f>
        <v/>
      </c>
    </row>
    <row r="2064">
      <c r="DB2064">
        <f>IF('История отказов'!AM867="","",'История отказов'!AM867)</f>
        <v/>
      </c>
      <c r="DL2064">
        <f>IF(DB2064="","",IF(AND(COUNTIF($DA$2:$DA$47,DB2064)=0,COUNTIF($DB$2:DB2064,DB2064)=1),2063,""))</f>
        <v/>
      </c>
    </row>
    <row r="2065">
      <c r="DB2065">
        <f>IF('История отказов'!AM868="","",'История отказов'!AM868)</f>
        <v/>
      </c>
      <c r="DL2065">
        <f>IF(DB2065="","",IF(AND(COUNTIF($DA$2:$DA$47,DB2065)=0,COUNTIF($DB$2:DB2065,DB2065)=1),2064,""))</f>
        <v/>
      </c>
    </row>
    <row r="2066">
      <c r="DB2066">
        <f>IF('История отказов'!AM869="","",'История отказов'!AM869)</f>
        <v/>
      </c>
      <c r="DL2066">
        <f>IF(DB2066="","",IF(AND(COUNTIF($DA$2:$DA$47,DB2066)=0,COUNTIF($DB$2:DB2066,DB2066)=1),2065,""))</f>
        <v/>
      </c>
    </row>
    <row r="2067">
      <c r="DB2067">
        <f>IF('История отказов'!AM870="","",'История отказов'!AM870)</f>
        <v/>
      </c>
      <c r="DL2067">
        <f>IF(DB2067="","",IF(AND(COUNTIF($DA$2:$DA$47,DB2067)=0,COUNTIF($DB$2:DB2067,DB2067)=1),2066,""))</f>
        <v/>
      </c>
    </row>
    <row r="2068">
      <c r="DB2068">
        <f>IF('История отказов'!AM871="","",'История отказов'!AM871)</f>
        <v/>
      </c>
      <c r="DL2068">
        <f>IF(DB2068="","",IF(AND(COUNTIF($DA$2:$DA$47,DB2068)=0,COUNTIF($DB$2:DB2068,DB2068)=1),2067,""))</f>
        <v/>
      </c>
    </row>
    <row r="2069">
      <c r="DB2069">
        <f>IF('История отказов'!AM872="","",'История отказов'!AM872)</f>
        <v/>
      </c>
      <c r="DL2069">
        <f>IF(DB2069="","",IF(AND(COUNTIF($DA$2:$DA$47,DB2069)=0,COUNTIF($DB$2:DB2069,DB2069)=1),2068,""))</f>
        <v/>
      </c>
    </row>
    <row r="2070">
      <c r="DB2070">
        <f>IF('История отказов'!AM873="","",'История отказов'!AM873)</f>
        <v/>
      </c>
      <c r="DL2070">
        <f>IF(DB2070="","",IF(AND(COUNTIF($DA$2:$DA$47,DB2070)=0,COUNTIF($DB$2:DB2070,DB2070)=1),2069,""))</f>
        <v/>
      </c>
    </row>
    <row r="2071">
      <c r="DB2071">
        <f>IF('История отказов'!AM874="","",'История отказов'!AM874)</f>
        <v/>
      </c>
      <c r="DL2071">
        <f>IF(DB2071="","",IF(AND(COUNTIF($DA$2:$DA$47,DB2071)=0,COUNTIF($DB$2:DB2071,DB2071)=1),2070,""))</f>
        <v/>
      </c>
    </row>
    <row r="2072">
      <c r="DB2072">
        <f>IF('История отказов'!AM875="","",'История отказов'!AM875)</f>
        <v/>
      </c>
      <c r="DL2072">
        <f>IF(DB2072="","",IF(AND(COUNTIF($DA$2:$DA$47,DB2072)=0,COUNTIF($DB$2:DB2072,DB2072)=1),2071,""))</f>
        <v/>
      </c>
    </row>
    <row r="2073">
      <c r="DB2073">
        <f>IF('История отказов'!AM876="","",'История отказов'!AM876)</f>
        <v/>
      </c>
      <c r="DL2073">
        <f>IF(DB2073="","",IF(AND(COUNTIF($DA$2:$DA$47,DB2073)=0,COUNTIF($DB$2:DB2073,DB2073)=1),2072,""))</f>
        <v/>
      </c>
    </row>
    <row r="2074">
      <c r="DB2074">
        <f>IF('История отказов'!AM877="","",'История отказов'!AM877)</f>
        <v/>
      </c>
      <c r="DL2074">
        <f>IF(DB2074="","",IF(AND(COUNTIF($DA$2:$DA$47,DB2074)=0,COUNTIF($DB$2:DB2074,DB2074)=1),2073,""))</f>
        <v/>
      </c>
    </row>
    <row r="2075">
      <c r="DB2075">
        <f>IF('История отказов'!AM878="","",'История отказов'!AM878)</f>
        <v/>
      </c>
      <c r="DL2075">
        <f>IF(DB2075="","",IF(AND(COUNTIF($DA$2:$DA$47,DB2075)=0,COUNTIF($DB$2:DB2075,DB2075)=1),2074,""))</f>
        <v/>
      </c>
    </row>
    <row r="2076">
      <c r="DB2076">
        <f>IF('История отказов'!AM879="","",'История отказов'!AM879)</f>
        <v/>
      </c>
      <c r="DL2076">
        <f>IF(DB2076="","",IF(AND(COUNTIF($DA$2:$DA$47,DB2076)=0,COUNTIF($DB$2:DB2076,DB2076)=1),2075,""))</f>
        <v/>
      </c>
    </row>
    <row r="2077">
      <c r="DB2077">
        <f>IF('История отказов'!AM880="","",'История отказов'!AM880)</f>
        <v/>
      </c>
      <c r="DL2077">
        <f>IF(DB2077="","",IF(AND(COUNTIF($DA$2:$DA$47,DB2077)=0,COUNTIF($DB$2:DB2077,DB2077)=1),2076,""))</f>
        <v/>
      </c>
    </row>
    <row r="2078">
      <c r="DB2078">
        <f>IF('История отказов'!AM881="","",'История отказов'!AM881)</f>
        <v/>
      </c>
      <c r="DL2078">
        <f>IF(DB2078="","",IF(AND(COUNTIF($DA$2:$DA$47,DB2078)=0,COUNTIF($DB$2:DB2078,DB2078)=1),2077,""))</f>
        <v/>
      </c>
    </row>
    <row r="2079">
      <c r="DB2079">
        <f>IF('История отказов'!AM882="","",'История отказов'!AM882)</f>
        <v/>
      </c>
      <c r="DL2079">
        <f>IF(DB2079="","",IF(AND(COUNTIF($DA$2:$DA$47,DB2079)=0,COUNTIF($DB$2:DB2079,DB2079)=1),2078,""))</f>
        <v/>
      </c>
    </row>
    <row r="2080">
      <c r="DB2080">
        <f>IF('История отказов'!AM883="","",'История отказов'!AM883)</f>
        <v/>
      </c>
      <c r="DL2080">
        <f>IF(DB2080="","",IF(AND(COUNTIF($DA$2:$DA$47,DB2080)=0,COUNTIF($DB$2:DB2080,DB2080)=1),2079,""))</f>
        <v/>
      </c>
    </row>
    <row r="2081">
      <c r="DB2081">
        <f>IF('История отказов'!AM884="","",'История отказов'!AM884)</f>
        <v/>
      </c>
      <c r="DL2081">
        <f>IF(DB2081="","",IF(AND(COUNTIF($DA$2:$DA$47,DB2081)=0,COUNTIF($DB$2:DB2081,DB2081)=1),2080,""))</f>
        <v/>
      </c>
    </row>
    <row r="2082">
      <c r="DB2082">
        <f>IF('История отказов'!AM885="","",'История отказов'!AM885)</f>
        <v/>
      </c>
      <c r="DL2082">
        <f>IF(DB2082="","",IF(AND(COUNTIF($DA$2:$DA$47,DB2082)=0,COUNTIF($DB$2:DB2082,DB2082)=1),2081,""))</f>
        <v/>
      </c>
    </row>
    <row r="2083">
      <c r="DB2083">
        <f>IF('История отказов'!AM886="","",'История отказов'!AM886)</f>
        <v/>
      </c>
      <c r="DL2083">
        <f>IF(DB2083="","",IF(AND(COUNTIF($DA$2:$DA$47,DB2083)=0,COUNTIF($DB$2:DB2083,DB2083)=1),2082,""))</f>
        <v/>
      </c>
    </row>
    <row r="2084">
      <c r="DB2084">
        <f>IF('История отказов'!AM887="","",'История отказов'!AM887)</f>
        <v/>
      </c>
      <c r="DL2084">
        <f>IF(DB2084="","",IF(AND(COUNTIF($DA$2:$DA$47,DB2084)=0,COUNTIF($DB$2:DB2084,DB2084)=1),2083,""))</f>
        <v/>
      </c>
    </row>
    <row r="2085">
      <c r="DB2085">
        <f>IF('История отказов'!AM888="","",'История отказов'!AM888)</f>
        <v/>
      </c>
      <c r="DL2085">
        <f>IF(DB2085="","",IF(AND(COUNTIF($DA$2:$DA$47,DB2085)=0,COUNTIF($DB$2:DB2085,DB2085)=1),2084,""))</f>
        <v/>
      </c>
    </row>
    <row r="2086">
      <c r="DB2086">
        <f>IF('История отказов'!AM889="","",'История отказов'!AM889)</f>
        <v/>
      </c>
      <c r="DL2086">
        <f>IF(DB2086="","",IF(AND(COUNTIF($DA$2:$DA$47,DB2086)=0,COUNTIF($DB$2:DB2086,DB2086)=1),2085,""))</f>
        <v/>
      </c>
    </row>
    <row r="2087">
      <c r="DB2087">
        <f>IF('История отказов'!AM890="","",'История отказов'!AM890)</f>
        <v/>
      </c>
      <c r="DL2087">
        <f>IF(DB2087="","",IF(AND(COUNTIF($DA$2:$DA$47,DB2087)=0,COUNTIF($DB$2:DB2087,DB2087)=1),2086,""))</f>
        <v/>
      </c>
    </row>
    <row r="2088">
      <c r="DB2088">
        <f>IF('История отказов'!AM891="","",'История отказов'!AM891)</f>
        <v/>
      </c>
      <c r="DL2088">
        <f>IF(DB2088="","",IF(AND(COUNTIF($DA$2:$DA$47,DB2088)=0,COUNTIF($DB$2:DB2088,DB2088)=1),2087,""))</f>
        <v/>
      </c>
    </row>
    <row r="2089">
      <c r="DB2089">
        <f>IF('История отказов'!AM892="","",'История отказов'!AM892)</f>
        <v/>
      </c>
      <c r="DL2089">
        <f>IF(DB2089="","",IF(AND(COUNTIF($DA$2:$DA$47,DB2089)=0,COUNTIF($DB$2:DB2089,DB2089)=1),2088,""))</f>
        <v/>
      </c>
    </row>
    <row r="2090">
      <c r="DB2090">
        <f>IF('История отказов'!AM893="","",'История отказов'!AM893)</f>
        <v/>
      </c>
      <c r="DL2090">
        <f>IF(DB2090="","",IF(AND(COUNTIF($DA$2:$DA$47,DB2090)=0,COUNTIF($DB$2:DB2090,DB2090)=1),2089,""))</f>
        <v/>
      </c>
    </row>
    <row r="2091">
      <c r="DB2091">
        <f>IF('История отказов'!AM894="","",'История отказов'!AM894)</f>
        <v/>
      </c>
      <c r="DL2091">
        <f>IF(DB2091="","",IF(AND(COUNTIF($DA$2:$DA$47,DB2091)=0,COUNTIF($DB$2:DB2091,DB2091)=1),2090,""))</f>
        <v/>
      </c>
    </row>
    <row r="2092">
      <c r="DB2092">
        <f>IF('История отказов'!AM895="","",'История отказов'!AM895)</f>
        <v/>
      </c>
      <c r="DL2092">
        <f>IF(DB2092="","",IF(AND(COUNTIF($DA$2:$DA$47,DB2092)=0,COUNTIF($DB$2:DB2092,DB2092)=1),2091,""))</f>
        <v/>
      </c>
    </row>
    <row r="2093">
      <c r="DB2093">
        <f>IF('История отказов'!AM896="","",'История отказов'!AM896)</f>
        <v/>
      </c>
      <c r="DL2093">
        <f>IF(DB2093="","",IF(AND(COUNTIF($DA$2:$DA$47,DB2093)=0,COUNTIF($DB$2:DB2093,DB2093)=1),2092,""))</f>
        <v/>
      </c>
    </row>
    <row r="2094">
      <c r="DB2094">
        <f>IF('История отказов'!AM897="","",'История отказов'!AM897)</f>
        <v/>
      </c>
      <c r="DL2094">
        <f>IF(DB2094="","",IF(AND(COUNTIF($DA$2:$DA$47,DB2094)=0,COUNTIF($DB$2:DB2094,DB2094)=1),2093,""))</f>
        <v/>
      </c>
    </row>
    <row r="2095">
      <c r="DB2095">
        <f>IF('История отказов'!AM898="","",'История отказов'!AM898)</f>
        <v/>
      </c>
      <c r="DL2095">
        <f>IF(DB2095="","",IF(AND(COUNTIF($DA$2:$DA$47,DB2095)=0,COUNTIF($DB$2:DB2095,DB2095)=1),2094,""))</f>
        <v/>
      </c>
    </row>
    <row r="2096">
      <c r="DB2096">
        <f>IF('История отказов'!AM899="","",'История отказов'!AM899)</f>
        <v/>
      </c>
      <c r="DL2096">
        <f>IF(DB2096="","",IF(AND(COUNTIF($DA$2:$DA$47,DB2096)=0,COUNTIF($DB$2:DB2096,DB2096)=1),2095,""))</f>
        <v/>
      </c>
    </row>
    <row r="2097">
      <c r="DB2097">
        <f>IF('История отказов'!AM900="","",'История отказов'!AM900)</f>
        <v/>
      </c>
      <c r="DL2097">
        <f>IF(DB2097="","",IF(AND(COUNTIF($DA$2:$DA$47,DB2097)=0,COUNTIF($DB$2:DB2097,DB2097)=1),2096,""))</f>
        <v/>
      </c>
    </row>
    <row r="2098">
      <c r="DB2098">
        <f>IF('История отказов'!AM901="","",'История отказов'!AM901)</f>
        <v/>
      </c>
      <c r="DL2098">
        <f>IF(DB2098="","",IF(AND(COUNTIF($DA$2:$DA$47,DB2098)=0,COUNTIF($DB$2:DB2098,DB2098)=1),2097,""))</f>
        <v/>
      </c>
    </row>
    <row r="2099">
      <c r="DB2099">
        <f>IF('История отказов'!AM902="","",'История отказов'!AM902)</f>
        <v/>
      </c>
      <c r="DL2099">
        <f>IF(DB2099="","",IF(AND(COUNTIF($DA$2:$DA$47,DB2099)=0,COUNTIF($DB$2:DB2099,DB2099)=1),2098,""))</f>
        <v/>
      </c>
    </row>
    <row r="2100">
      <c r="DB2100">
        <f>IF('История отказов'!AM903="","",'История отказов'!AM903)</f>
        <v/>
      </c>
      <c r="DL2100">
        <f>IF(DB2100="","",IF(AND(COUNTIF($DA$2:$DA$47,DB2100)=0,COUNTIF($DB$2:DB2100,DB2100)=1),2099,""))</f>
        <v/>
      </c>
    </row>
    <row r="2101">
      <c r="DB2101">
        <f>IF('История отказов'!AM904="","",'История отказов'!AM904)</f>
        <v/>
      </c>
      <c r="DL2101">
        <f>IF(DB2101="","",IF(AND(COUNTIF($DA$2:$DA$47,DB2101)=0,COUNTIF($DB$2:DB2101,DB2101)=1),2100,""))</f>
        <v/>
      </c>
    </row>
    <row r="2102">
      <c r="DB2102">
        <f>IF('История отказов'!AM905="","",'История отказов'!AM905)</f>
        <v/>
      </c>
      <c r="DL2102">
        <f>IF(DB2102="","",IF(AND(COUNTIF($DA$2:$DA$47,DB2102)=0,COUNTIF($DB$2:DB2102,DB2102)=1),2101,""))</f>
        <v/>
      </c>
    </row>
    <row r="2103">
      <c r="DB2103">
        <f>IF('История отказов'!AM906="","",'История отказов'!AM906)</f>
        <v/>
      </c>
      <c r="DL2103">
        <f>IF(DB2103="","",IF(AND(COUNTIF($DA$2:$DA$47,DB2103)=0,COUNTIF($DB$2:DB2103,DB2103)=1),2102,""))</f>
        <v/>
      </c>
    </row>
    <row r="2104">
      <c r="DB2104">
        <f>IF('История отказов'!AM907="","",'История отказов'!AM907)</f>
        <v/>
      </c>
      <c r="DL2104">
        <f>IF(DB2104="","",IF(AND(COUNTIF($DA$2:$DA$47,DB2104)=0,COUNTIF($DB$2:DB2104,DB2104)=1),2103,""))</f>
        <v/>
      </c>
    </row>
    <row r="2105">
      <c r="DB2105">
        <f>IF('История отказов'!AM908="","",'История отказов'!AM908)</f>
        <v/>
      </c>
      <c r="DL2105">
        <f>IF(DB2105="","",IF(AND(COUNTIF($DA$2:$DA$47,DB2105)=0,COUNTIF($DB$2:DB2105,DB2105)=1),2104,""))</f>
        <v/>
      </c>
    </row>
    <row r="2106">
      <c r="DB2106">
        <f>IF('История отказов'!AM909="","",'История отказов'!AM909)</f>
        <v/>
      </c>
      <c r="DL2106">
        <f>IF(DB2106="","",IF(AND(COUNTIF($DA$2:$DA$47,DB2106)=0,COUNTIF($DB$2:DB2106,DB2106)=1),2105,""))</f>
        <v/>
      </c>
    </row>
    <row r="2107">
      <c r="DB2107">
        <f>IF('История отказов'!AM910="","",'История отказов'!AM910)</f>
        <v/>
      </c>
      <c r="DL2107">
        <f>IF(DB2107="","",IF(AND(COUNTIF($DA$2:$DA$47,DB2107)=0,COUNTIF($DB$2:DB2107,DB2107)=1),2106,""))</f>
        <v/>
      </c>
    </row>
    <row r="2108">
      <c r="DB2108">
        <f>IF('История отказов'!AM911="","",'История отказов'!AM911)</f>
        <v/>
      </c>
      <c r="DL2108">
        <f>IF(DB2108="","",IF(AND(COUNTIF($DA$2:$DA$47,DB2108)=0,COUNTIF($DB$2:DB2108,DB2108)=1),2107,""))</f>
        <v/>
      </c>
    </row>
    <row r="2109">
      <c r="DB2109">
        <f>IF('История отказов'!AM912="","",'История отказов'!AM912)</f>
        <v/>
      </c>
      <c r="DL2109">
        <f>IF(DB2109="","",IF(AND(COUNTIF($DA$2:$DA$47,DB2109)=0,COUNTIF($DB$2:DB2109,DB2109)=1),2108,""))</f>
        <v/>
      </c>
    </row>
    <row r="2110">
      <c r="DB2110">
        <f>IF('История отказов'!AM913="","",'История отказов'!AM913)</f>
        <v/>
      </c>
      <c r="DL2110">
        <f>IF(DB2110="","",IF(AND(COUNTIF($DA$2:$DA$47,DB2110)=0,COUNTIF($DB$2:DB2110,DB2110)=1),2109,""))</f>
        <v/>
      </c>
    </row>
    <row r="2111">
      <c r="DB2111">
        <f>IF('История отказов'!AM914="","",'История отказов'!AM914)</f>
        <v/>
      </c>
      <c r="DL2111">
        <f>IF(DB2111="","",IF(AND(COUNTIF($DA$2:$DA$47,DB2111)=0,COUNTIF($DB$2:DB2111,DB2111)=1),2110,""))</f>
        <v/>
      </c>
    </row>
    <row r="2112">
      <c r="DB2112">
        <f>IF('История отказов'!AM915="","",'История отказов'!AM915)</f>
        <v/>
      </c>
      <c r="DL2112">
        <f>IF(DB2112="","",IF(AND(COUNTIF($DA$2:$DA$47,DB2112)=0,COUNTIF($DB$2:DB2112,DB2112)=1),2111,""))</f>
        <v/>
      </c>
    </row>
    <row r="2113">
      <c r="DB2113">
        <f>IF('История отказов'!AM916="","",'История отказов'!AM916)</f>
        <v/>
      </c>
      <c r="DL2113">
        <f>IF(DB2113="","",IF(AND(COUNTIF($DA$2:$DA$47,DB2113)=0,COUNTIF($DB$2:DB2113,DB2113)=1),2112,""))</f>
        <v/>
      </c>
    </row>
    <row r="2114">
      <c r="DB2114">
        <f>IF('История отказов'!AM917="","",'История отказов'!AM917)</f>
        <v/>
      </c>
      <c r="DL2114">
        <f>IF(DB2114="","",IF(AND(COUNTIF($DA$2:$DA$47,DB2114)=0,COUNTIF($DB$2:DB2114,DB2114)=1),2113,""))</f>
        <v/>
      </c>
    </row>
    <row r="2115">
      <c r="DB2115">
        <f>IF('История отказов'!AM918="","",'История отказов'!AM918)</f>
        <v/>
      </c>
      <c r="DL2115">
        <f>IF(DB2115="","",IF(AND(COUNTIF($DA$2:$DA$47,DB2115)=0,COUNTIF($DB$2:DB2115,DB2115)=1),2114,""))</f>
        <v/>
      </c>
    </row>
    <row r="2116">
      <c r="DB2116">
        <f>IF('История отказов'!AM919="","",'История отказов'!AM919)</f>
        <v/>
      </c>
      <c r="DL2116">
        <f>IF(DB2116="","",IF(AND(COUNTIF($DA$2:$DA$47,DB2116)=0,COUNTIF($DB$2:DB2116,DB2116)=1),2115,""))</f>
        <v/>
      </c>
    </row>
    <row r="2117">
      <c r="DB2117">
        <f>IF('История отказов'!AM920="","",'История отказов'!AM920)</f>
        <v/>
      </c>
      <c r="DL2117">
        <f>IF(DB2117="","",IF(AND(COUNTIF($DA$2:$DA$47,DB2117)=0,COUNTIF($DB$2:DB2117,DB2117)=1),2116,""))</f>
        <v/>
      </c>
    </row>
    <row r="2118">
      <c r="DB2118">
        <f>IF('История отказов'!AM921="","",'История отказов'!AM921)</f>
        <v/>
      </c>
      <c r="DL2118">
        <f>IF(DB2118="","",IF(AND(COUNTIF($DA$2:$DA$47,DB2118)=0,COUNTIF($DB$2:DB2118,DB2118)=1),2117,""))</f>
        <v/>
      </c>
    </row>
    <row r="2119">
      <c r="DB2119">
        <f>IF('История отказов'!AM922="","",'История отказов'!AM922)</f>
        <v/>
      </c>
      <c r="DL2119">
        <f>IF(DB2119="","",IF(AND(COUNTIF($DA$2:$DA$47,DB2119)=0,COUNTIF($DB$2:DB2119,DB2119)=1),2118,""))</f>
        <v/>
      </c>
    </row>
    <row r="2120">
      <c r="DB2120">
        <f>IF('История отказов'!AM923="","",'История отказов'!AM923)</f>
        <v/>
      </c>
      <c r="DL2120">
        <f>IF(DB2120="","",IF(AND(COUNTIF($DA$2:$DA$47,DB2120)=0,COUNTIF($DB$2:DB2120,DB2120)=1),2119,""))</f>
        <v/>
      </c>
    </row>
    <row r="2121">
      <c r="DB2121">
        <f>IF('История отказов'!AM924="","",'История отказов'!AM924)</f>
        <v/>
      </c>
      <c r="DL2121">
        <f>IF(DB2121="","",IF(AND(COUNTIF($DA$2:$DA$47,DB2121)=0,COUNTIF($DB$2:DB2121,DB2121)=1),2120,""))</f>
        <v/>
      </c>
    </row>
    <row r="2122">
      <c r="DB2122">
        <f>IF('История отказов'!AM925="","",'История отказов'!AM925)</f>
        <v/>
      </c>
      <c r="DL2122">
        <f>IF(DB2122="","",IF(AND(COUNTIF($DA$2:$DA$47,DB2122)=0,COUNTIF($DB$2:DB2122,DB2122)=1),2121,""))</f>
        <v/>
      </c>
    </row>
    <row r="2123">
      <c r="DB2123">
        <f>IF('История отказов'!AM926="","",'История отказов'!AM926)</f>
        <v/>
      </c>
      <c r="DL2123">
        <f>IF(DB2123="","",IF(AND(COUNTIF($DA$2:$DA$47,DB2123)=0,COUNTIF($DB$2:DB2123,DB2123)=1),2122,""))</f>
        <v/>
      </c>
    </row>
    <row r="2124">
      <c r="DB2124">
        <f>IF('История отказов'!AM927="","",'История отказов'!AM927)</f>
        <v/>
      </c>
      <c r="DL2124">
        <f>IF(DB2124="","",IF(AND(COUNTIF($DA$2:$DA$47,DB2124)=0,COUNTIF($DB$2:DB2124,DB2124)=1),2123,""))</f>
        <v/>
      </c>
    </row>
    <row r="2125">
      <c r="DB2125">
        <f>IF('История отказов'!AM928="","",'История отказов'!AM928)</f>
        <v/>
      </c>
      <c r="DL2125">
        <f>IF(DB2125="","",IF(AND(COUNTIF($DA$2:$DA$47,DB2125)=0,COUNTIF($DB$2:DB2125,DB2125)=1),2124,""))</f>
        <v/>
      </c>
    </row>
    <row r="2126">
      <c r="DB2126">
        <f>IF('История отказов'!AM929="","",'История отказов'!AM929)</f>
        <v/>
      </c>
      <c r="DL2126">
        <f>IF(DB2126="","",IF(AND(COUNTIF($DA$2:$DA$47,DB2126)=0,COUNTIF($DB$2:DB2126,DB2126)=1),2125,""))</f>
        <v/>
      </c>
    </row>
    <row r="2127">
      <c r="DB2127">
        <f>IF('История отказов'!AM930="","",'История отказов'!AM930)</f>
        <v/>
      </c>
      <c r="DL2127">
        <f>IF(DB2127="","",IF(AND(COUNTIF($DA$2:$DA$47,DB2127)=0,COUNTIF($DB$2:DB2127,DB2127)=1),2126,""))</f>
        <v/>
      </c>
    </row>
    <row r="2128">
      <c r="DB2128">
        <f>IF('История отказов'!AM931="","",'История отказов'!AM931)</f>
        <v/>
      </c>
      <c r="DL2128">
        <f>IF(DB2128="","",IF(AND(COUNTIF($DA$2:$DA$47,DB2128)=0,COUNTIF($DB$2:DB2128,DB2128)=1),2127,""))</f>
        <v/>
      </c>
    </row>
    <row r="2129">
      <c r="DB2129">
        <f>IF('История отказов'!AM932="","",'История отказов'!AM932)</f>
        <v/>
      </c>
      <c r="DL2129">
        <f>IF(DB2129="","",IF(AND(COUNTIF($DA$2:$DA$47,DB2129)=0,COUNTIF($DB$2:DB2129,DB2129)=1),2128,""))</f>
        <v/>
      </c>
    </row>
    <row r="2130">
      <c r="DB2130">
        <f>IF('История отказов'!AM933="","",'История отказов'!AM933)</f>
        <v/>
      </c>
      <c r="DL2130">
        <f>IF(DB2130="","",IF(AND(COUNTIF($DA$2:$DA$47,DB2130)=0,COUNTIF($DB$2:DB2130,DB2130)=1),2129,""))</f>
        <v/>
      </c>
    </row>
    <row r="2131">
      <c r="DB2131">
        <f>IF('История отказов'!AM934="","",'История отказов'!AM934)</f>
        <v/>
      </c>
      <c r="DL2131">
        <f>IF(DB2131="","",IF(AND(COUNTIF($DA$2:$DA$47,DB2131)=0,COUNTIF($DB$2:DB2131,DB2131)=1),2130,""))</f>
        <v/>
      </c>
    </row>
    <row r="2132">
      <c r="DB2132">
        <f>IF('История отказов'!AM935="","",'История отказов'!AM935)</f>
        <v/>
      </c>
      <c r="DL2132">
        <f>IF(DB2132="","",IF(AND(COUNTIF($DA$2:$DA$47,DB2132)=0,COUNTIF($DB$2:DB2132,DB2132)=1),2131,""))</f>
        <v/>
      </c>
    </row>
    <row r="2133">
      <c r="DB2133">
        <f>IF('История отказов'!AM936="","",'История отказов'!AM936)</f>
        <v/>
      </c>
      <c r="DL2133">
        <f>IF(DB2133="","",IF(AND(COUNTIF($DA$2:$DA$47,DB2133)=0,COUNTIF($DB$2:DB2133,DB2133)=1),2132,""))</f>
        <v/>
      </c>
    </row>
    <row r="2134">
      <c r="DB2134">
        <f>IF('История отказов'!AM937="","",'История отказов'!AM937)</f>
        <v/>
      </c>
      <c r="DL2134">
        <f>IF(DB2134="","",IF(AND(COUNTIF($DA$2:$DA$47,DB2134)=0,COUNTIF($DB$2:DB2134,DB2134)=1),2133,""))</f>
        <v/>
      </c>
    </row>
    <row r="2135">
      <c r="DB2135">
        <f>IF('История отказов'!AM938="","",'История отказов'!AM938)</f>
        <v/>
      </c>
      <c r="DL2135">
        <f>IF(DB2135="","",IF(AND(COUNTIF($DA$2:$DA$47,DB2135)=0,COUNTIF($DB$2:DB2135,DB2135)=1),2134,""))</f>
        <v/>
      </c>
    </row>
    <row r="2136">
      <c r="DB2136">
        <f>IF('История отказов'!AM939="","",'История отказов'!AM939)</f>
        <v/>
      </c>
      <c r="DL2136">
        <f>IF(DB2136="","",IF(AND(COUNTIF($DA$2:$DA$47,DB2136)=0,COUNTIF($DB$2:DB2136,DB2136)=1),2135,""))</f>
        <v/>
      </c>
    </row>
    <row r="2137">
      <c r="DB2137">
        <f>IF('История отказов'!AM940="","",'История отказов'!AM940)</f>
        <v/>
      </c>
      <c r="DL2137">
        <f>IF(DB2137="","",IF(AND(COUNTIF($DA$2:$DA$47,DB2137)=0,COUNTIF($DB$2:DB2137,DB2137)=1),2136,""))</f>
        <v/>
      </c>
    </row>
    <row r="2138">
      <c r="DB2138">
        <f>IF('История отказов'!AM941="","",'История отказов'!AM941)</f>
        <v/>
      </c>
      <c r="DL2138">
        <f>IF(DB2138="","",IF(AND(COUNTIF($DA$2:$DA$47,DB2138)=0,COUNTIF($DB$2:DB2138,DB2138)=1),2137,""))</f>
        <v/>
      </c>
    </row>
    <row r="2139">
      <c r="DB2139">
        <f>IF('История отказов'!AM942="","",'История отказов'!AM942)</f>
        <v/>
      </c>
      <c r="DL2139">
        <f>IF(DB2139="","",IF(AND(COUNTIF($DA$2:$DA$47,DB2139)=0,COUNTIF($DB$2:DB2139,DB2139)=1),2138,""))</f>
        <v/>
      </c>
    </row>
    <row r="2140">
      <c r="DB2140">
        <f>IF('История отказов'!AM943="","",'История отказов'!AM943)</f>
        <v/>
      </c>
      <c r="DL2140">
        <f>IF(DB2140="","",IF(AND(COUNTIF($DA$2:$DA$47,DB2140)=0,COUNTIF($DB$2:DB2140,DB2140)=1),2139,""))</f>
        <v/>
      </c>
    </row>
    <row r="2141">
      <c r="DB2141">
        <f>IF('История отказов'!AM944="","",'История отказов'!AM944)</f>
        <v/>
      </c>
      <c r="DL2141">
        <f>IF(DB2141="","",IF(AND(COUNTIF($DA$2:$DA$47,DB2141)=0,COUNTIF($DB$2:DB2141,DB2141)=1),2140,""))</f>
        <v/>
      </c>
    </row>
    <row r="2142">
      <c r="DB2142">
        <f>IF('История отказов'!AM945="","",'История отказов'!AM945)</f>
        <v/>
      </c>
      <c r="DL2142">
        <f>IF(DB2142="","",IF(AND(COUNTIF($DA$2:$DA$47,DB2142)=0,COUNTIF($DB$2:DB2142,DB2142)=1),2141,""))</f>
        <v/>
      </c>
    </row>
    <row r="2143">
      <c r="DB2143">
        <f>IF('История отказов'!AM946="","",'История отказов'!AM946)</f>
        <v/>
      </c>
      <c r="DL2143">
        <f>IF(DB2143="","",IF(AND(COUNTIF($DA$2:$DA$47,DB2143)=0,COUNTIF($DB$2:DB2143,DB2143)=1),2142,""))</f>
        <v/>
      </c>
    </row>
    <row r="2144">
      <c r="DB2144">
        <f>IF('История отказов'!AM947="","",'История отказов'!AM947)</f>
        <v/>
      </c>
      <c r="DL2144">
        <f>IF(DB2144="","",IF(AND(COUNTIF($DA$2:$DA$47,DB2144)=0,COUNTIF($DB$2:DB2144,DB2144)=1),2143,""))</f>
        <v/>
      </c>
    </row>
    <row r="2145">
      <c r="DB2145">
        <f>IF('История отказов'!AM948="","",'История отказов'!AM948)</f>
        <v/>
      </c>
      <c r="DL2145">
        <f>IF(DB2145="","",IF(AND(COUNTIF($DA$2:$DA$47,DB2145)=0,COUNTIF($DB$2:DB2145,DB2145)=1),2144,""))</f>
        <v/>
      </c>
    </row>
    <row r="2146">
      <c r="DB2146">
        <f>IF('История отказов'!AM949="","",'История отказов'!AM949)</f>
        <v/>
      </c>
      <c r="DL2146">
        <f>IF(DB2146="","",IF(AND(COUNTIF($DA$2:$DA$47,DB2146)=0,COUNTIF($DB$2:DB2146,DB2146)=1),2145,""))</f>
        <v/>
      </c>
    </row>
    <row r="2147">
      <c r="DB2147">
        <f>IF('История отказов'!AM950="","",'История отказов'!AM950)</f>
        <v/>
      </c>
      <c r="DL2147">
        <f>IF(DB2147="","",IF(AND(COUNTIF($DA$2:$DA$47,DB2147)=0,COUNTIF($DB$2:DB2147,DB2147)=1),2146,""))</f>
        <v/>
      </c>
    </row>
    <row r="2148">
      <c r="DB2148">
        <f>IF('История отказов'!AM951="","",'История отказов'!AM951)</f>
        <v/>
      </c>
      <c r="DL2148">
        <f>IF(DB2148="","",IF(AND(COUNTIF($DA$2:$DA$47,DB2148)=0,COUNTIF($DB$2:DB2148,DB2148)=1),2147,""))</f>
        <v/>
      </c>
    </row>
    <row r="2149">
      <c r="DB2149">
        <f>IF('История отказов'!AM952="","",'История отказов'!AM952)</f>
        <v/>
      </c>
      <c r="DL2149">
        <f>IF(DB2149="","",IF(AND(COUNTIF($DA$2:$DA$47,DB2149)=0,COUNTIF($DB$2:DB2149,DB2149)=1),2148,""))</f>
        <v/>
      </c>
    </row>
    <row r="2150">
      <c r="DB2150">
        <f>IF('История отказов'!AM953="","",'История отказов'!AM953)</f>
        <v/>
      </c>
      <c r="DL2150">
        <f>IF(DB2150="","",IF(AND(COUNTIF($DA$2:$DA$47,DB2150)=0,COUNTIF($DB$2:DB2150,DB2150)=1),2149,""))</f>
        <v/>
      </c>
    </row>
    <row r="2151">
      <c r="DB2151">
        <f>IF('История отказов'!AM954="","",'История отказов'!AM954)</f>
        <v/>
      </c>
      <c r="DL2151">
        <f>IF(DB2151="","",IF(AND(COUNTIF($DA$2:$DA$47,DB2151)=0,COUNTIF($DB$2:DB2151,DB2151)=1),2150,""))</f>
        <v/>
      </c>
    </row>
    <row r="2152">
      <c r="DB2152">
        <f>IF('История отказов'!AM955="","",'История отказов'!AM955)</f>
        <v/>
      </c>
      <c r="DL2152">
        <f>IF(DB2152="","",IF(AND(COUNTIF($DA$2:$DA$47,DB2152)=0,COUNTIF($DB$2:DB2152,DB2152)=1),2151,""))</f>
        <v/>
      </c>
    </row>
    <row r="2153">
      <c r="DB2153">
        <f>IF('История отказов'!AM956="","",'История отказов'!AM956)</f>
        <v/>
      </c>
      <c r="DL2153">
        <f>IF(DB2153="","",IF(AND(COUNTIF($DA$2:$DA$47,DB2153)=0,COUNTIF($DB$2:DB2153,DB2153)=1),2152,""))</f>
        <v/>
      </c>
    </row>
    <row r="2154">
      <c r="DB2154">
        <f>IF('История отказов'!AM957="","",'История отказов'!AM957)</f>
        <v/>
      </c>
      <c r="DL2154">
        <f>IF(DB2154="","",IF(AND(COUNTIF($DA$2:$DA$47,DB2154)=0,COUNTIF($DB$2:DB2154,DB2154)=1),2153,""))</f>
        <v/>
      </c>
    </row>
    <row r="2155">
      <c r="DB2155">
        <f>IF('История отказов'!AM958="","",'История отказов'!AM958)</f>
        <v/>
      </c>
      <c r="DL2155">
        <f>IF(DB2155="","",IF(AND(COUNTIF($DA$2:$DA$47,DB2155)=0,COUNTIF($DB$2:DB2155,DB2155)=1),2154,""))</f>
        <v/>
      </c>
    </row>
    <row r="2156">
      <c r="DB2156">
        <f>IF('История отказов'!AM959="","",'История отказов'!AM959)</f>
        <v/>
      </c>
      <c r="DL2156">
        <f>IF(DB2156="","",IF(AND(COUNTIF($DA$2:$DA$47,DB2156)=0,COUNTIF($DB$2:DB2156,DB2156)=1),2155,""))</f>
        <v/>
      </c>
    </row>
    <row r="2157">
      <c r="DB2157">
        <f>IF('История отказов'!AM960="","",'История отказов'!AM960)</f>
        <v/>
      </c>
      <c r="DL2157">
        <f>IF(DB2157="","",IF(AND(COUNTIF($DA$2:$DA$47,DB2157)=0,COUNTIF($DB$2:DB2157,DB2157)=1),2156,""))</f>
        <v/>
      </c>
    </row>
    <row r="2158">
      <c r="DB2158">
        <f>IF('История отказов'!AM961="","",'История отказов'!AM961)</f>
        <v/>
      </c>
      <c r="DL2158">
        <f>IF(DB2158="","",IF(AND(COUNTIF($DA$2:$DA$47,DB2158)=0,COUNTIF($DB$2:DB2158,DB2158)=1),2157,""))</f>
        <v/>
      </c>
    </row>
    <row r="2159">
      <c r="DB2159">
        <f>IF('История отказов'!AM962="","",'История отказов'!AM962)</f>
        <v/>
      </c>
      <c r="DL2159">
        <f>IF(DB2159="","",IF(AND(COUNTIF($DA$2:$DA$47,DB2159)=0,COUNTIF($DB$2:DB2159,DB2159)=1),2158,""))</f>
        <v/>
      </c>
    </row>
    <row r="2160">
      <c r="DB2160">
        <f>IF('История отказов'!AM963="","",'История отказов'!AM963)</f>
        <v/>
      </c>
      <c r="DL2160">
        <f>IF(DB2160="","",IF(AND(COUNTIF($DA$2:$DA$47,DB2160)=0,COUNTIF($DB$2:DB2160,DB2160)=1),2159,""))</f>
        <v/>
      </c>
    </row>
    <row r="2161">
      <c r="DB2161">
        <f>IF('История отказов'!AM964="","",'История отказов'!AM964)</f>
        <v/>
      </c>
      <c r="DL2161">
        <f>IF(DB2161="","",IF(AND(COUNTIF($DA$2:$DA$47,DB2161)=0,COUNTIF($DB$2:DB2161,DB2161)=1),2160,""))</f>
        <v/>
      </c>
    </row>
    <row r="2162">
      <c r="DB2162">
        <f>IF('История отказов'!AM965="","",'История отказов'!AM965)</f>
        <v/>
      </c>
      <c r="DL2162">
        <f>IF(DB2162="","",IF(AND(COUNTIF($DA$2:$DA$47,DB2162)=0,COUNTIF($DB$2:DB2162,DB2162)=1),2161,""))</f>
        <v/>
      </c>
    </row>
    <row r="2163">
      <c r="DB2163">
        <f>IF('История отказов'!AM966="","",'История отказов'!AM966)</f>
        <v/>
      </c>
      <c r="DL2163">
        <f>IF(DB2163="","",IF(AND(COUNTIF($DA$2:$DA$47,DB2163)=0,COUNTIF($DB$2:DB2163,DB2163)=1),2162,""))</f>
        <v/>
      </c>
    </row>
    <row r="2164">
      <c r="DB2164">
        <f>IF('История отказов'!AM967="","",'История отказов'!AM967)</f>
        <v/>
      </c>
      <c r="DL2164">
        <f>IF(DB2164="","",IF(AND(COUNTIF($DA$2:$DA$47,DB2164)=0,COUNTIF($DB$2:DB2164,DB2164)=1),2163,""))</f>
        <v/>
      </c>
    </row>
    <row r="2165">
      <c r="DB2165">
        <f>IF('История отказов'!AM968="","",'История отказов'!AM968)</f>
        <v/>
      </c>
      <c r="DL2165">
        <f>IF(DB2165="","",IF(AND(COUNTIF($DA$2:$DA$47,DB2165)=0,COUNTIF($DB$2:DB2165,DB2165)=1),2164,""))</f>
        <v/>
      </c>
    </row>
    <row r="2166">
      <c r="DB2166">
        <f>IF('История отказов'!AM969="","",'История отказов'!AM969)</f>
        <v/>
      </c>
      <c r="DL2166">
        <f>IF(DB2166="","",IF(AND(COUNTIF($DA$2:$DA$47,DB2166)=0,COUNTIF($DB$2:DB2166,DB2166)=1),2165,""))</f>
        <v/>
      </c>
    </row>
    <row r="2167">
      <c r="DB2167">
        <f>IF('История отказов'!AM970="","",'История отказов'!AM970)</f>
        <v/>
      </c>
      <c r="DL2167">
        <f>IF(DB2167="","",IF(AND(COUNTIF($DA$2:$DA$47,DB2167)=0,COUNTIF($DB$2:DB2167,DB2167)=1),2166,""))</f>
        <v/>
      </c>
    </row>
    <row r="2168">
      <c r="DB2168">
        <f>IF('История отказов'!AM971="","",'История отказов'!AM971)</f>
        <v/>
      </c>
      <c r="DL2168">
        <f>IF(DB2168="","",IF(AND(COUNTIF($DA$2:$DA$47,DB2168)=0,COUNTIF($DB$2:DB2168,DB2168)=1),2167,""))</f>
        <v/>
      </c>
    </row>
    <row r="2169">
      <c r="DB2169">
        <f>IF('История отказов'!AM972="","",'История отказов'!AM972)</f>
        <v/>
      </c>
      <c r="DL2169">
        <f>IF(DB2169="","",IF(AND(COUNTIF($DA$2:$DA$47,DB2169)=0,COUNTIF($DB$2:DB2169,DB2169)=1),2168,""))</f>
        <v/>
      </c>
    </row>
    <row r="2170">
      <c r="DB2170">
        <f>IF('История отказов'!AM973="","",'История отказов'!AM973)</f>
        <v/>
      </c>
      <c r="DL2170">
        <f>IF(DB2170="","",IF(AND(COUNTIF($DA$2:$DA$47,DB2170)=0,COUNTIF($DB$2:DB2170,DB2170)=1),2169,""))</f>
        <v/>
      </c>
    </row>
    <row r="2171">
      <c r="DB2171">
        <f>IF('История отказов'!AM974="","",'История отказов'!AM974)</f>
        <v/>
      </c>
      <c r="DL2171">
        <f>IF(DB2171="","",IF(AND(COUNTIF($DA$2:$DA$47,DB2171)=0,COUNTIF($DB$2:DB2171,DB2171)=1),2170,""))</f>
        <v/>
      </c>
    </row>
    <row r="2172">
      <c r="DB2172">
        <f>IF('История отказов'!AM975="","",'История отказов'!AM975)</f>
        <v/>
      </c>
      <c r="DL2172">
        <f>IF(DB2172="","",IF(AND(COUNTIF($DA$2:$DA$47,DB2172)=0,COUNTIF($DB$2:DB2172,DB2172)=1),2171,""))</f>
        <v/>
      </c>
    </row>
    <row r="2173">
      <c r="DB2173">
        <f>IF('История отказов'!AM976="","",'История отказов'!AM976)</f>
        <v/>
      </c>
      <c r="DL2173">
        <f>IF(DB2173="","",IF(AND(COUNTIF($DA$2:$DA$47,DB2173)=0,COUNTIF($DB$2:DB2173,DB2173)=1),2172,""))</f>
        <v/>
      </c>
    </row>
    <row r="2174">
      <c r="DB2174">
        <f>IF('История отказов'!AM977="","",'История отказов'!AM977)</f>
        <v/>
      </c>
      <c r="DL2174">
        <f>IF(DB2174="","",IF(AND(COUNTIF($DA$2:$DA$47,DB2174)=0,COUNTIF($DB$2:DB2174,DB2174)=1),2173,""))</f>
        <v/>
      </c>
    </row>
    <row r="2175">
      <c r="DB2175">
        <f>IF('История отказов'!AM978="","",'История отказов'!AM978)</f>
        <v/>
      </c>
      <c r="DL2175">
        <f>IF(DB2175="","",IF(AND(COUNTIF($DA$2:$DA$47,DB2175)=0,COUNTIF($DB$2:DB2175,DB2175)=1),2174,""))</f>
        <v/>
      </c>
    </row>
    <row r="2176">
      <c r="DB2176">
        <f>IF('История отказов'!AM979="","",'История отказов'!AM979)</f>
        <v/>
      </c>
      <c r="DL2176">
        <f>IF(DB2176="","",IF(AND(COUNTIF($DA$2:$DA$47,DB2176)=0,COUNTIF($DB$2:DB2176,DB2176)=1),2175,""))</f>
        <v/>
      </c>
    </row>
    <row r="2177">
      <c r="DB2177">
        <f>IF('История отказов'!AM980="","",'История отказов'!AM980)</f>
        <v/>
      </c>
      <c r="DL2177">
        <f>IF(DB2177="","",IF(AND(COUNTIF($DA$2:$DA$47,DB2177)=0,COUNTIF($DB$2:DB2177,DB2177)=1),2176,""))</f>
        <v/>
      </c>
    </row>
    <row r="2178">
      <c r="DB2178">
        <f>IF('История отказов'!AM981="","",'История отказов'!AM981)</f>
        <v/>
      </c>
      <c r="DL2178">
        <f>IF(DB2178="","",IF(AND(COUNTIF($DA$2:$DA$47,DB2178)=0,COUNTIF($DB$2:DB2178,DB2178)=1),2177,""))</f>
        <v/>
      </c>
    </row>
    <row r="2179">
      <c r="DB2179">
        <f>IF('История отказов'!AM982="","",'История отказов'!AM982)</f>
        <v/>
      </c>
      <c r="DL2179">
        <f>IF(DB2179="","",IF(AND(COUNTIF($DA$2:$DA$47,DB2179)=0,COUNTIF($DB$2:DB2179,DB2179)=1),2178,""))</f>
        <v/>
      </c>
    </row>
    <row r="2180">
      <c r="DB2180">
        <f>IF('История отказов'!AM983="","",'История отказов'!AM983)</f>
        <v/>
      </c>
      <c r="DL2180">
        <f>IF(DB2180="","",IF(AND(COUNTIF($DA$2:$DA$47,DB2180)=0,COUNTIF($DB$2:DB2180,DB2180)=1),2179,""))</f>
        <v/>
      </c>
    </row>
    <row r="2181">
      <c r="DB2181">
        <f>IF('История отказов'!AM984="","",'История отказов'!AM984)</f>
        <v/>
      </c>
      <c r="DL2181">
        <f>IF(DB2181="","",IF(AND(COUNTIF($DA$2:$DA$47,DB2181)=0,COUNTIF($DB$2:DB2181,DB2181)=1),2180,""))</f>
        <v/>
      </c>
    </row>
    <row r="2182">
      <c r="DB2182">
        <f>IF('История отказов'!AM985="","",'История отказов'!AM985)</f>
        <v/>
      </c>
      <c r="DL2182">
        <f>IF(DB2182="","",IF(AND(COUNTIF($DA$2:$DA$47,DB2182)=0,COUNTIF($DB$2:DB2182,DB2182)=1),2181,""))</f>
        <v/>
      </c>
    </row>
    <row r="2183">
      <c r="DB2183">
        <f>IF('История отказов'!AM986="","",'История отказов'!AM986)</f>
        <v/>
      </c>
      <c r="DL2183">
        <f>IF(DB2183="","",IF(AND(COUNTIF($DA$2:$DA$47,DB2183)=0,COUNTIF($DB$2:DB2183,DB2183)=1),2182,""))</f>
        <v/>
      </c>
    </row>
    <row r="2184">
      <c r="DB2184">
        <f>IF('История отказов'!AM987="","",'История отказов'!AM987)</f>
        <v/>
      </c>
      <c r="DL2184">
        <f>IF(DB2184="","",IF(AND(COUNTIF($DA$2:$DA$47,DB2184)=0,COUNTIF($DB$2:DB2184,DB2184)=1),2183,""))</f>
        <v/>
      </c>
    </row>
    <row r="2185">
      <c r="DB2185">
        <f>IF('История отказов'!AM988="","",'История отказов'!AM988)</f>
        <v/>
      </c>
      <c r="DL2185">
        <f>IF(DB2185="","",IF(AND(COUNTIF($DA$2:$DA$47,DB2185)=0,COUNTIF($DB$2:DB2185,DB2185)=1),2184,""))</f>
        <v/>
      </c>
    </row>
    <row r="2186">
      <c r="DB2186">
        <f>IF('История отказов'!AM989="","",'История отказов'!AM989)</f>
        <v/>
      </c>
      <c r="DL2186">
        <f>IF(DB2186="","",IF(AND(COUNTIF($DA$2:$DA$47,DB2186)=0,COUNTIF($DB$2:DB2186,DB2186)=1),2185,""))</f>
        <v/>
      </c>
    </row>
    <row r="2187">
      <c r="DB2187">
        <f>IF('История отказов'!AM990="","",'История отказов'!AM990)</f>
        <v/>
      </c>
      <c r="DL2187">
        <f>IF(DB2187="","",IF(AND(COUNTIF($DA$2:$DA$47,DB2187)=0,COUNTIF($DB$2:DB2187,DB2187)=1),2186,""))</f>
        <v/>
      </c>
    </row>
    <row r="2188">
      <c r="DB2188">
        <f>IF('История отказов'!AM991="","",'История отказов'!AM991)</f>
        <v/>
      </c>
      <c r="DL2188">
        <f>IF(DB2188="","",IF(AND(COUNTIF($DA$2:$DA$47,DB2188)=0,COUNTIF($DB$2:DB2188,DB2188)=1),2187,""))</f>
        <v/>
      </c>
    </row>
    <row r="2189">
      <c r="DB2189">
        <f>IF('История отказов'!AM992="","",'История отказов'!AM992)</f>
        <v/>
      </c>
      <c r="DL2189">
        <f>IF(DB2189="","",IF(AND(COUNTIF($DA$2:$DA$47,DB2189)=0,COUNTIF($DB$2:DB2189,DB2189)=1),2188,""))</f>
        <v/>
      </c>
    </row>
    <row r="2190">
      <c r="DB2190">
        <f>IF('История отказов'!AM993="","",'История отказов'!AM993)</f>
        <v/>
      </c>
      <c r="DL2190">
        <f>IF(DB2190="","",IF(AND(COUNTIF($DA$2:$DA$47,DB2190)=0,COUNTIF($DB$2:DB2190,DB2190)=1),2189,""))</f>
        <v/>
      </c>
    </row>
    <row r="2191">
      <c r="DB2191">
        <f>IF('История отказов'!AM994="","",'История отказов'!AM994)</f>
        <v/>
      </c>
      <c r="DL2191">
        <f>IF(DB2191="","",IF(AND(COUNTIF($DA$2:$DA$47,DB2191)=0,COUNTIF($DB$2:DB2191,DB2191)=1),2190,""))</f>
        <v/>
      </c>
    </row>
    <row r="2192">
      <c r="DB2192">
        <f>IF('История отказов'!AM995="","",'История отказов'!AM995)</f>
        <v/>
      </c>
      <c r="DL2192">
        <f>IF(DB2192="","",IF(AND(COUNTIF($DA$2:$DA$47,DB2192)=0,COUNTIF($DB$2:DB2192,DB2192)=1),2191,""))</f>
        <v/>
      </c>
    </row>
    <row r="2193">
      <c r="DB2193">
        <f>IF('История отказов'!AM996="","",'История отказов'!AM996)</f>
        <v/>
      </c>
      <c r="DL2193">
        <f>IF(DB2193="","",IF(AND(COUNTIF($DA$2:$DA$47,DB2193)=0,COUNTIF($DB$2:DB2193,DB2193)=1),2192,""))</f>
        <v/>
      </c>
    </row>
    <row r="2194">
      <c r="DB2194">
        <f>IF('История отказов'!AM997="","",'История отказов'!AM997)</f>
        <v/>
      </c>
      <c r="DL2194">
        <f>IF(DB2194="","",IF(AND(COUNTIF($DA$2:$DA$47,DB2194)=0,COUNTIF($DB$2:DB2194,DB2194)=1),2193,""))</f>
        <v/>
      </c>
    </row>
    <row r="2195">
      <c r="DB2195">
        <f>IF('История отказов'!AM998="","",'История отказов'!AM998)</f>
        <v/>
      </c>
      <c r="DL2195">
        <f>IF(DB2195="","",IF(AND(COUNTIF($DA$2:$DA$47,DB2195)=0,COUNTIF($DB$2:DB2195,DB2195)=1),2194,""))</f>
        <v/>
      </c>
    </row>
    <row r="2196">
      <c r="DB2196">
        <f>IF('История отказов'!AM999="","",'История отказов'!AM999)</f>
        <v/>
      </c>
      <c r="DL2196">
        <f>IF(DB2196="","",IF(AND(COUNTIF($DA$2:$DA$47,DB2196)=0,COUNTIF($DB$2:DB2196,DB2196)=1),2195,""))</f>
        <v/>
      </c>
    </row>
    <row r="2197">
      <c r="DB2197">
        <f>IF('История отказов'!AM1000="","",'История отказов'!AM1000)</f>
        <v/>
      </c>
      <c r="DL2197">
        <f>IF(DB2197="","",IF(AND(COUNTIF($DA$2:$DA$47,DB2197)=0,COUNTIF($DB$2:DB2197,DB2197)=1),2196,""))</f>
        <v/>
      </c>
    </row>
    <row r="2198">
      <c r="DB2198">
        <f>IF('История отказов'!AM1001="","",'История отказов'!AM1001)</f>
        <v/>
      </c>
      <c r="DL2198">
        <f>IF(DB2198="","",IF(AND(COUNTIF($DA$2:$DA$47,DB2198)=0,COUNTIF($DB$2:DB2198,DB2198)=1),2197,""))</f>
        <v/>
      </c>
    </row>
    <row r="2199">
      <c r="DB2199">
        <f>IF('История отказов'!AM1002="","",'История отказов'!AM1002)</f>
        <v/>
      </c>
      <c r="DL2199">
        <f>IF(DB2199="","",IF(AND(COUNTIF($DA$2:$DA$47,DB2199)=0,COUNTIF($DB$2:DB2199,DB2199)=1),2198,""))</f>
        <v/>
      </c>
    </row>
    <row r="2200">
      <c r="DB2200">
        <f>IF('История отказов'!AM1003="","",'История отказов'!AM1003)</f>
        <v/>
      </c>
      <c r="DL2200">
        <f>IF(DB2200="","",IF(AND(COUNTIF($DA$2:$DA$47,DB2200)=0,COUNTIF($DB$2:DB2200,DB2200)=1),2199,""))</f>
        <v/>
      </c>
    </row>
    <row r="2201">
      <c r="DB2201">
        <f>IF('История отказов'!AM1004="","",'История отказов'!AM1004)</f>
        <v/>
      </c>
      <c r="DL2201">
        <f>IF(DB2201="","",IF(AND(COUNTIF($DA$2:$DA$47,DB2201)=0,COUNTIF($DB$2:DB2201,DB2201)=1),2200,""))</f>
        <v/>
      </c>
    </row>
    <row r="2202">
      <c r="DB2202">
        <f>IF('История отказов'!AM1005="","",'История отказов'!AM1005)</f>
        <v/>
      </c>
      <c r="DL2202">
        <f>IF(DB2202="","",IF(AND(COUNTIF($DA$2:$DA$47,DB2202)=0,COUNTIF($DB$2:DB2202,DB2202)=1),2201,""))</f>
        <v/>
      </c>
    </row>
    <row r="2203">
      <c r="DB2203">
        <f>IF('История отказов'!AM1006="","",'История отказов'!AM1006)</f>
        <v/>
      </c>
      <c r="DL2203">
        <f>IF(DB2203="","",IF(AND(COUNTIF($DA$2:$DA$47,DB2203)=0,COUNTIF($DB$2:DB2203,DB2203)=1),2202,""))</f>
        <v/>
      </c>
    </row>
    <row r="2204">
      <c r="DB2204">
        <f>IF('История отказов'!AM1007="","",'История отказов'!AM1007)</f>
        <v/>
      </c>
      <c r="DL2204">
        <f>IF(DB2204="","",IF(AND(COUNTIF($DA$2:$DA$47,DB2204)=0,COUNTIF($DB$2:DB2204,DB2204)=1),2203,""))</f>
        <v/>
      </c>
    </row>
    <row r="2205">
      <c r="DB2205">
        <f>IF('История отказов'!AM1008="","",'История отказов'!AM1008)</f>
        <v/>
      </c>
      <c r="DL2205">
        <f>IF(DB2205="","",IF(AND(COUNTIF($DA$2:$DA$47,DB2205)=0,COUNTIF($DB$2:DB2205,DB2205)=1),2204,""))</f>
        <v/>
      </c>
    </row>
    <row r="2206">
      <c r="DB2206">
        <f>IF('История отказов'!AM1009="","",'История отказов'!AM1009)</f>
        <v/>
      </c>
      <c r="DL2206">
        <f>IF(DB2206="","",IF(AND(COUNTIF($DA$2:$DA$47,DB2206)=0,COUNTIF($DB$2:DB2206,DB2206)=1),2205,""))</f>
        <v/>
      </c>
    </row>
    <row r="2207">
      <c r="DB2207">
        <f>IF('История отказов'!AM1010="","",'История отказов'!AM1010)</f>
        <v/>
      </c>
      <c r="DL2207">
        <f>IF(DB2207="","",IF(AND(COUNTIF($DA$2:$DA$47,DB2207)=0,COUNTIF($DB$2:DB2207,DB2207)=1),2206,""))</f>
        <v/>
      </c>
    </row>
    <row r="2208">
      <c r="DB2208">
        <f>IF('История отказов'!AM1011="","",'История отказов'!AM1011)</f>
        <v/>
      </c>
      <c r="DL2208">
        <f>IF(DB2208="","",IF(AND(COUNTIF($DA$2:$DA$47,DB2208)=0,COUNTIF($DB$2:DB2208,DB2208)=1),2207,""))</f>
        <v/>
      </c>
    </row>
    <row r="2209">
      <c r="DB2209">
        <f>IF('История отказов'!AM1012="","",'История отказов'!AM1012)</f>
        <v/>
      </c>
      <c r="DL2209">
        <f>IF(DB2209="","",IF(AND(COUNTIF($DA$2:$DA$47,DB2209)=0,COUNTIF($DB$2:DB2209,DB2209)=1),2208,""))</f>
        <v/>
      </c>
    </row>
    <row r="2210">
      <c r="DB2210">
        <f>IF('История отказов'!AM1013="","",'История отказов'!AM1013)</f>
        <v/>
      </c>
      <c r="DL2210">
        <f>IF(DB2210="","",IF(AND(COUNTIF($DA$2:$DA$47,DB2210)=0,COUNTIF($DB$2:DB2210,DB2210)=1),2209,""))</f>
        <v/>
      </c>
    </row>
    <row r="2211">
      <c r="DB2211">
        <f>IF('История отказов'!AM1014="","",'История отказов'!AM1014)</f>
        <v/>
      </c>
      <c r="DL2211">
        <f>IF(DB2211="","",IF(AND(COUNTIF($DA$2:$DA$47,DB2211)=0,COUNTIF($DB$2:DB2211,DB2211)=1),2210,""))</f>
        <v/>
      </c>
    </row>
    <row r="2212">
      <c r="DB2212">
        <f>IF('История отказов'!AM1015="","",'История отказов'!AM1015)</f>
        <v/>
      </c>
      <c r="DL2212">
        <f>IF(DB2212="","",IF(AND(COUNTIF($DA$2:$DA$47,DB2212)=0,COUNTIF($DB$2:DB2212,DB2212)=1),2211,""))</f>
        <v/>
      </c>
    </row>
    <row r="2213">
      <c r="DB2213">
        <f>IF('История отказов'!AM1016="","",'История отказов'!AM1016)</f>
        <v/>
      </c>
      <c r="DL2213">
        <f>IF(DB2213="","",IF(AND(COUNTIF($DA$2:$DA$47,DB2213)=0,COUNTIF($DB$2:DB2213,DB2213)=1),2212,""))</f>
        <v/>
      </c>
    </row>
    <row r="2214">
      <c r="DB2214">
        <f>IF('История отказов'!AM1017="","",'История отказов'!AM1017)</f>
        <v/>
      </c>
      <c r="DL2214">
        <f>IF(DB2214="","",IF(AND(COUNTIF($DA$2:$DA$47,DB2214)=0,COUNTIF($DB$2:DB2214,DB2214)=1),2213,""))</f>
        <v/>
      </c>
    </row>
    <row r="2215">
      <c r="DB2215">
        <f>IF('История отказов'!AM1018="","",'История отказов'!AM1018)</f>
        <v/>
      </c>
      <c r="DL2215">
        <f>IF(DB2215="","",IF(AND(COUNTIF($DA$2:$DA$47,DB2215)=0,COUNTIF($DB$2:DB2215,DB2215)=1),2214,""))</f>
        <v/>
      </c>
    </row>
    <row r="2216">
      <c r="DB2216">
        <f>IF('История отказов'!AM1019="","",'История отказов'!AM1019)</f>
        <v/>
      </c>
      <c r="DL2216">
        <f>IF(DB2216="","",IF(AND(COUNTIF($DA$2:$DA$47,DB2216)=0,COUNTIF($DB$2:DB2216,DB2216)=1),2215,""))</f>
        <v/>
      </c>
    </row>
    <row r="2217">
      <c r="DB2217">
        <f>IF('История отказов'!AM1020="","",'История отказов'!AM1020)</f>
        <v/>
      </c>
      <c r="DL2217">
        <f>IF(DB2217="","",IF(AND(COUNTIF($DA$2:$DA$47,DB2217)=0,COUNTIF($DB$2:DB2217,DB2217)=1),2216,""))</f>
        <v/>
      </c>
    </row>
    <row r="2218">
      <c r="DB2218">
        <f>IF('История отказов'!AM1021="","",'История отказов'!AM1021)</f>
        <v/>
      </c>
      <c r="DL2218">
        <f>IF(DB2218="","",IF(AND(COUNTIF($DA$2:$DA$47,DB2218)=0,COUNTIF($DB$2:DB2218,DB2218)=1),2217,""))</f>
        <v/>
      </c>
    </row>
    <row r="2219">
      <c r="DB2219">
        <f>IF('История отказов'!AM1022="","",'История отказов'!AM1022)</f>
        <v/>
      </c>
      <c r="DL2219">
        <f>IF(DB2219="","",IF(AND(COUNTIF($DA$2:$DA$47,DB2219)=0,COUNTIF($DB$2:DB2219,DB2219)=1),2218,""))</f>
        <v/>
      </c>
    </row>
    <row r="2220">
      <c r="DB2220">
        <f>IF('История отказов'!AM1023="","",'История отказов'!AM1023)</f>
        <v/>
      </c>
      <c r="DL2220">
        <f>IF(DB2220="","",IF(AND(COUNTIF($DA$2:$DA$47,DB2220)=0,COUNTIF($DB$2:DB2220,DB2220)=1),2219,""))</f>
        <v/>
      </c>
    </row>
    <row r="2221">
      <c r="DB2221">
        <f>IF('История отказов'!AM1024="","",'История отказов'!AM1024)</f>
        <v/>
      </c>
      <c r="DL2221">
        <f>IF(DB2221="","",IF(AND(COUNTIF($DA$2:$DA$47,DB2221)=0,COUNTIF($DB$2:DB2221,DB2221)=1),2220,""))</f>
        <v/>
      </c>
    </row>
    <row r="2222">
      <c r="DB2222">
        <f>IF('История отказов'!AM1025="","",'История отказов'!AM1025)</f>
        <v/>
      </c>
      <c r="DL2222">
        <f>IF(DB2222="","",IF(AND(COUNTIF($DA$2:$DA$47,DB2222)=0,COUNTIF($DB$2:DB2222,DB2222)=1),2221,""))</f>
        <v/>
      </c>
    </row>
    <row r="2223">
      <c r="DB2223">
        <f>IF('История отказов'!AM1026="","",'История отказов'!AM1026)</f>
        <v/>
      </c>
      <c r="DL2223">
        <f>IF(DB2223="","",IF(AND(COUNTIF($DA$2:$DA$47,DB2223)=0,COUNTIF($DB$2:DB2223,DB2223)=1),2222,""))</f>
        <v/>
      </c>
    </row>
    <row r="2224">
      <c r="DB2224">
        <f>IF('История отказов'!AM1027="","",'История отказов'!AM1027)</f>
        <v/>
      </c>
      <c r="DL2224">
        <f>IF(DB2224="","",IF(AND(COUNTIF($DA$2:$DA$47,DB2224)=0,COUNTIF($DB$2:DB2224,DB2224)=1),2223,""))</f>
        <v/>
      </c>
    </row>
    <row r="2225">
      <c r="DB2225">
        <f>IF('История отказов'!AM1028="","",'История отказов'!AM1028)</f>
        <v/>
      </c>
      <c r="DL2225">
        <f>IF(DB2225="","",IF(AND(COUNTIF($DA$2:$DA$47,DB2225)=0,COUNTIF($DB$2:DB2225,DB2225)=1),2224,""))</f>
        <v/>
      </c>
    </row>
    <row r="2226">
      <c r="DB2226">
        <f>IF('История отказов'!AM1029="","",'История отказов'!AM1029)</f>
        <v/>
      </c>
      <c r="DL2226">
        <f>IF(DB2226="","",IF(AND(COUNTIF($DA$2:$DA$47,DB2226)=0,COUNTIF($DB$2:DB2226,DB2226)=1),2225,""))</f>
        <v/>
      </c>
    </row>
    <row r="2227">
      <c r="DB2227">
        <f>IF('История отказов'!AM1030="","",'История отказов'!AM1030)</f>
        <v/>
      </c>
      <c r="DL2227">
        <f>IF(DB2227="","",IF(AND(COUNTIF($DA$2:$DA$47,DB2227)=0,COUNTIF($DB$2:DB2227,DB2227)=1),2226,""))</f>
        <v/>
      </c>
    </row>
    <row r="2228">
      <c r="DB2228">
        <f>IF('История отказов'!AM1031="","",'История отказов'!AM1031)</f>
        <v/>
      </c>
      <c r="DL2228">
        <f>IF(DB2228="","",IF(AND(COUNTIF($DA$2:$DA$47,DB2228)=0,COUNTIF($DB$2:DB2228,DB2228)=1),2227,""))</f>
        <v/>
      </c>
    </row>
    <row r="2229">
      <c r="DB2229">
        <f>IF('История отказов'!AM1032="","",'История отказов'!AM1032)</f>
        <v/>
      </c>
      <c r="DL2229">
        <f>IF(DB2229="","",IF(AND(COUNTIF($DA$2:$DA$47,DB2229)=0,COUNTIF($DB$2:DB2229,DB2229)=1),2228,""))</f>
        <v/>
      </c>
    </row>
    <row r="2230">
      <c r="DB2230">
        <f>IF('История отказов'!AM1033="","",'История отказов'!AM1033)</f>
        <v/>
      </c>
      <c r="DL2230">
        <f>IF(DB2230="","",IF(AND(COUNTIF($DA$2:$DA$47,DB2230)=0,COUNTIF($DB$2:DB2230,DB2230)=1),2229,""))</f>
        <v/>
      </c>
    </row>
    <row r="2231">
      <c r="DB2231">
        <f>IF('История отказов'!AM1034="","",'История отказов'!AM1034)</f>
        <v/>
      </c>
      <c r="DL2231">
        <f>IF(DB2231="","",IF(AND(COUNTIF($DA$2:$DA$47,DB2231)=0,COUNTIF($DB$2:DB2231,DB2231)=1),2230,""))</f>
        <v/>
      </c>
    </row>
    <row r="2232">
      <c r="DB2232">
        <f>IF('История отказов'!AM1035="","",'История отказов'!AM1035)</f>
        <v/>
      </c>
      <c r="DL2232">
        <f>IF(DB2232="","",IF(AND(COUNTIF($DA$2:$DA$47,DB2232)=0,COUNTIF($DB$2:DB2232,DB2232)=1),2231,""))</f>
        <v/>
      </c>
    </row>
    <row r="2233">
      <c r="DB2233">
        <f>IF('История отказов'!AM1036="","",'История отказов'!AM1036)</f>
        <v/>
      </c>
      <c r="DL2233">
        <f>IF(DB2233="","",IF(AND(COUNTIF($DA$2:$DA$47,DB2233)=0,COUNTIF($DB$2:DB2233,DB2233)=1),2232,""))</f>
        <v/>
      </c>
    </row>
    <row r="2234">
      <c r="DB2234">
        <f>IF('История отказов'!AM1037="","",'История отказов'!AM1037)</f>
        <v/>
      </c>
      <c r="DL2234">
        <f>IF(DB2234="","",IF(AND(COUNTIF($DA$2:$DA$47,DB2234)=0,COUNTIF($DB$2:DB2234,DB2234)=1),2233,""))</f>
        <v/>
      </c>
    </row>
    <row r="2235">
      <c r="DB2235">
        <f>IF('История отказов'!AM1038="","",'История отказов'!AM1038)</f>
        <v/>
      </c>
      <c r="DL2235">
        <f>IF(DB2235="","",IF(AND(COUNTIF($DA$2:$DA$47,DB2235)=0,COUNTIF($DB$2:DB2235,DB2235)=1),2234,""))</f>
        <v/>
      </c>
    </row>
    <row r="2236">
      <c r="DB2236">
        <f>IF('История отказов'!AM1039="","",'История отказов'!AM1039)</f>
        <v/>
      </c>
      <c r="DL2236">
        <f>IF(DB2236="","",IF(AND(COUNTIF($DA$2:$DA$47,DB2236)=0,COUNTIF($DB$2:DB2236,DB2236)=1),2235,""))</f>
        <v/>
      </c>
    </row>
    <row r="2237">
      <c r="DB2237">
        <f>IF('История отказов'!AM1040="","",'История отказов'!AM1040)</f>
        <v/>
      </c>
      <c r="DL2237">
        <f>IF(DB2237="","",IF(AND(COUNTIF($DA$2:$DA$47,DB2237)=0,COUNTIF($DB$2:DB2237,DB2237)=1),2236,""))</f>
        <v/>
      </c>
    </row>
    <row r="2238">
      <c r="DB2238">
        <f>IF('История отказов'!AM1041="","",'История отказов'!AM1041)</f>
        <v/>
      </c>
      <c r="DL2238">
        <f>IF(DB2238="","",IF(AND(COUNTIF($DA$2:$DA$47,DB2238)=0,COUNTIF($DB$2:DB2238,DB2238)=1),2237,""))</f>
        <v/>
      </c>
    </row>
    <row r="2239">
      <c r="DB2239">
        <f>IF('История отказов'!AM1042="","",'История отказов'!AM1042)</f>
        <v/>
      </c>
      <c r="DL2239">
        <f>IF(DB2239="","",IF(AND(COUNTIF($DA$2:$DA$47,DB2239)=0,COUNTIF($DB$2:DB2239,DB2239)=1),2238,""))</f>
        <v/>
      </c>
    </row>
    <row r="2240">
      <c r="DB2240">
        <f>IF('История отказов'!AM1043="","",'История отказов'!AM1043)</f>
        <v/>
      </c>
      <c r="DL2240">
        <f>IF(DB2240="","",IF(AND(COUNTIF($DA$2:$DA$47,DB2240)=0,COUNTIF($DB$2:DB2240,DB2240)=1),2239,""))</f>
        <v/>
      </c>
    </row>
    <row r="2241">
      <c r="DB2241">
        <f>IF('История отказов'!AM1044="","",'История отказов'!AM1044)</f>
        <v/>
      </c>
      <c r="DL2241">
        <f>IF(DB2241="","",IF(AND(COUNTIF($DA$2:$DA$47,DB2241)=0,COUNTIF($DB$2:DB2241,DB2241)=1),2240,""))</f>
        <v/>
      </c>
    </row>
    <row r="2242">
      <c r="DB2242">
        <f>IF('История отказов'!AM1045="","",'История отказов'!AM1045)</f>
        <v/>
      </c>
      <c r="DL2242">
        <f>IF(DB2242="","",IF(AND(COUNTIF($DA$2:$DA$47,DB2242)=0,COUNTIF($DB$2:DB2242,DB2242)=1),2241,""))</f>
        <v/>
      </c>
    </row>
    <row r="2243">
      <c r="DB2243">
        <f>IF('История отказов'!AM1046="","",'История отказов'!AM1046)</f>
        <v/>
      </c>
      <c r="DL2243">
        <f>IF(DB2243="","",IF(AND(COUNTIF($DA$2:$DA$47,DB2243)=0,COUNTIF($DB$2:DB2243,DB2243)=1),2242,""))</f>
        <v/>
      </c>
    </row>
    <row r="2244">
      <c r="DB2244">
        <f>IF('История отказов'!AM1047="","",'История отказов'!AM1047)</f>
        <v/>
      </c>
      <c r="DL2244">
        <f>IF(DB2244="","",IF(AND(COUNTIF($DA$2:$DA$47,DB2244)=0,COUNTIF($DB$2:DB2244,DB2244)=1),2243,""))</f>
        <v/>
      </c>
    </row>
    <row r="2245">
      <c r="DB2245">
        <f>IF('История отказов'!AM1048="","",'История отказов'!AM1048)</f>
        <v/>
      </c>
      <c r="DL2245">
        <f>IF(DB2245="","",IF(AND(COUNTIF($DA$2:$DA$47,DB2245)=0,COUNTIF($DB$2:DB2245,DB2245)=1),2244,""))</f>
        <v/>
      </c>
    </row>
    <row r="2246">
      <c r="DB2246">
        <f>IF('История отказов'!AM1049="","",'История отказов'!AM1049)</f>
        <v/>
      </c>
      <c r="DL2246">
        <f>IF(DB2246="","",IF(AND(COUNTIF($DA$2:$DA$47,DB2246)=0,COUNTIF($DB$2:DB2246,DB2246)=1),2245,""))</f>
        <v/>
      </c>
    </row>
    <row r="2247">
      <c r="DB2247">
        <f>IF('История отказов'!AM1050="","",'История отказов'!AM1050)</f>
        <v/>
      </c>
      <c r="DL2247">
        <f>IF(DB2247="","",IF(AND(COUNTIF($DA$2:$DA$47,DB2247)=0,COUNTIF($DB$2:DB2247,DB2247)=1),2246,""))</f>
        <v/>
      </c>
    </row>
    <row r="2248">
      <c r="DB2248">
        <f>IF('История отказов'!AM1051="","",'История отказов'!AM1051)</f>
        <v/>
      </c>
      <c r="DL2248">
        <f>IF(DB2248="","",IF(AND(COUNTIF($DA$2:$DA$47,DB2248)=0,COUNTIF($DB$2:DB2248,DB2248)=1),2247,""))</f>
        <v/>
      </c>
    </row>
    <row r="2249">
      <c r="DB2249">
        <f>IF('История отказов'!AM1052="","",'История отказов'!AM1052)</f>
        <v/>
      </c>
      <c r="DL2249">
        <f>IF(DB2249="","",IF(AND(COUNTIF($DA$2:$DA$47,DB2249)=0,COUNTIF($DB$2:DB2249,DB2249)=1),2248,""))</f>
        <v/>
      </c>
    </row>
    <row r="2250">
      <c r="DB2250">
        <f>IF('История отказов'!AM1053="","",'История отказов'!AM1053)</f>
        <v/>
      </c>
      <c r="DL2250">
        <f>IF(DB2250="","",IF(AND(COUNTIF($DA$2:$DA$47,DB2250)=0,COUNTIF($DB$2:DB2250,DB2250)=1),2249,""))</f>
        <v/>
      </c>
    </row>
    <row r="2251">
      <c r="DB2251">
        <f>IF('История отказов'!AM1054="","",'История отказов'!AM1054)</f>
        <v/>
      </c>
      <c r="DL2251">
        <f>IF(DB2251="","",IF(AND(COUNTIF($DA$2:$DA$47,DB2251)=0,COUNTIF($DB$2:DB2251,DB2251)=1),2250,""))</f>
        <v/>
      </c>
    </row>
    <row r="2252">
      <c r="DB2252">
        <f>IF('История отказов'!AM1055="","",'История отказов'!AM1055)</f>
        <v/>
      </c>
      <c r="DL2252">
        <f>IF(DB2252="","",IF(AND(COUNTIF($DA$2:$DA$47,DB2252)=0,COUNTIF($DB$2:DB2252,DB2252)=1),2251,""))</f>
        <v/>
      </c>
    </row>
    <row r="2253">
      <c r="DB2253">
        <f>IF('История отказов'!AM1056="","",'История отказов'!AM1056)</f>
        <v/>
      </c>
      <c r="DL2253">
        <f>IF(DB2253="","",IF(AND(COUNTIF($DA$2:$DA$47,DB2253)=0,COUNTIF($DB$2:DB2253,DB2253)=1),2252,""))</f>
        <v/>
      </c>
    </row>
    <row r="2254">
      <c r="DB2254">
        <f>IF('История отказов'!AM1057="","",'История отказов'!AM1057)</f>
        <v/>
      </c>
      <c r="DL2254">
        <f>IF(DB2254="","",IF(AND(COUNTIF($DA$2:$DA$47,DB2254)=0,COUNTIF($DB$2:DB2254,DB2254)=1),2253,""))</f>
        <v/>
      </c>
    </row>
    <row r="2255">
      <c r="DB2255">
        <f>IF('История отказов'!AM1058="","",'История отказов'!AM1058)</f>
        <v/>
      </c>
      <c r="DL2255">
        <f>IF(DB2255="","",IF(AND(COUNTIF($DA$2:$DA$47,DB2255)=0,COUNTIF($DB$2:DB2255,DB2255)=1),2254,""))</f>
        <v/>
      </c>
    </row>
    <row r="2256">
      <c r="DB2256">
        <f>IF('История отказов'!AM1059="","",'История отказов'!AM1059)</f>
        <v/>
      </c>
      <c r="DL2256">
        <f>IF(DB2256="","",IF(AND(COUNTIF($DA$2:$DA$47,DB2256)=0,COUNTIF($DB$2:DB2256,DB2256)=1),2255,""))</f>
        <v/>
      </c>
    </row>
    <row r="2257">
      <c r="DB2257">
        <f>IF('История отказов'!AM1060="","",'История отказов'!AM1060)</f>
        <v/>
      </c>
      <c r="DL2257">
        <f>IF(DB2257="","",IF(AND(COUNTIF($DA$2:$DA$47,DB2257)=0,COUNTIF($DB$2:DB2257,DB2257)=1),2256,""))</f>
        <v/>
      </c>
    </row>
    <row r="2258">
      <c r="DB2258">
        <f>IF('История отказов'!AM1061="","",'История отказов'!AM1061)</f>
        <v/>
      </c>
      <c r="DL2258">
        <f>IF(DB2258="","",IF(AND(COUNTIF($DA$2:$DA$47,DB2258)=0,COUNTIF($DB$2:DB2258,DB2258)=1),2257,""))</f>
        <v/>
      </c>
    </row>
    <row r="2259">
      <c r="DB2259">
        <f>IF('История отказов'!AM1062="","",'История отказов'!AM1062)</f>
        <v/>
      </c>
      <c r="DL2259">
        <f>IF(DB2259="","",IF(AND(COUNTIF($DA$2:$DA$47,DB2259)=0,COUNTIF($DB$2:DB2259,DB2259)=1),2258,""))</f>
        <v/>
      </c>
    </row>
    <row r="2260">
      <c r="DB2260">
        <f>IF('История отказов'!AM1063="","",'История отказов'!AM1063)</f>
        <v/>
      </c>
      <c r="DL2260">
        <f>IF(DB2260="","",IF(AND(COUNTIF($DA$2:$DA$47,DB2260)=0,COUNTIF($DB$2:DB2260,DB2260)=1),2259,""))</f>
        <v/>
      </c>
    </row>
    <row r="2261">
      <c r="DB2261">
        <f>IF('История отказов'!AM1064="","",'История отказов'!AM1064)</f>
        <v/>
      </c>
      <c r="DL2261">
        <f>IF(DB2261="","",IF(AND(COUNTIF($DA$2:$DA$47,DB2261)=0,COUNTIF($DB$2:DB2261,DB2261)=1),2260,""))</f>
        <v/>
      </c>
    </row>
    <row r="2262">
      <c r="DB2262">
        <f>IF('История отказов'!AM1065="","",'История отказов'!AM1065)</f>
        <v/>
      </c>
      <c r="DL2262">
        <f>IF(DB2262="","",IF(AND(COUNTIF($DA$2:$DA$47,DB2262)=0,COUNTIF($DB$2:DB2262,DB2262)=1),2261,""))</f>
        <v/>
      </c>
    </row>
    <row r="2263">
      <c r="DB2263">
        <f>IF('История отказов'!AM1066="","",'История отказов'!AM1066)</f>
        <v/>
      </c>
      <c r="DL2263">
        <f>IF(DB2263="","",IF(AND(COUNTIF($DA$2:$DA$47,DB2263)=0,COUNTIF($DB$2:DB2263,DB2263)=1),2262,""))</f>
        <v/>
      </c>
    </row>
    <row r="2264">
      <c r="DB2264">
        <f>IF('История отказов'!AM1067="","",'История отказов'!AM1067)</f>
        <v/>
      </c>
      <c r="DL2264">
        <f>IF(DB2264="","",IF(AND(COUNTIF($DA$2:$DA$47,DB2264)=0,COUNTIF($DB$2:DB2264,DB2264)=1),2263,""))</f>
        <v/>
      </c>
    </row>
    <row r="2265">
      <c r="DB2265">
        <f>IF('История отказов'!AM1068="","",'История отказов'!AM1068)</f>
        <v/>
      </c>
      <c r="DL2265">
        <f>IF(DB2265="","",IF(AND(COUNTIF($DA$2:$DA$47,DB2265)=0,COUNTIF($DB$2:DB2265,DB2265)=1),2264,""))</f>
        <v/>
      </c>
    </row>
    <row r="2266">
      <c r="DB2266">
        <f>IF('История отказов'!AM1069="","",'История отказов'!AM1069)</f>
        <v/>
      </c>
      <c r="DL2266">
        <f>IF(DB2266="","",IF(AND(COUNTIF($DA$2:$DA$47,DB2266)=0,COUNTIF($DB$2:DB2266,DB2266)=1),2265,""))</f>
        <v/>
      </c>
    </row>
    <row r="2267">
      <c r="DB2267">
        <f>IF('История отказов'!AM1070="","",'История отказов'!AM1070)</f>
        <v/>
      </c>
      <c r="DL2267">
        <f>IF(DB2267="","",IF(AND(COUNTIF($DA$2:$DA$47,DB2267)=0,COUNTIF($DB$2:DB2267,DB2267)=1),2266,""))</f>
        <v/>
      </c>
    </row>
    <row r="2268">
      <c r="DB2268">
        <f>IF('История отказов'!AM1071="","",'История отказов'!AM1071)</f>
        <v/>
      </c>
      <c r="DL2268">
        <f>IF(DB2268="","",IF(AND(COUNTIF($DA$2:$DA$47,DB2268)=0,COUNTIF($DB$2:DB2268,DB2268)=1),2267,""))</f>
        <v/>
      </c>
    </row>
    <row r="2269">
      <c r="DB2269">
        <f>IF('История отказов'!AM1072="","",'История отказов'!AM1072)</f>
        <v/>
      </c>
      <c r="DL2269">
        <f>IF(DB2269="","",IF(AND(COUNTIF($DA$2:$DA$47,DB2269)=0,COUNTIF($DB$2:DB2269,DB2269)=1),2268,""))</f>
        <v/>
      </c>
    </row>
    <row r="2270">
      <c r="DB2270">
        <f>IF('История отказов'!AM1073="","",'История отказов'!AM1073)</f>
        <v/>
      </c>
      <c r="DL2270">
        <f>IF(DB2270="","",IF(AND(COUNTIF($DA$2:$DA$47,DB2270)=0,COUNTIF($DB$2:DB2270,DB2270)=1),2269,""))</f>
        <v/>
      </c>
    </row>
    <row r="2271">
      <c r="DB2271">
        <f>IF('История отказов'!AM1074="","",'История отказов'!AM1074)</f>
        <v/>
      </c>
      <c r="DL2271">
        <f>IF(DB2271="","",IF(AND(COUNTIF($DA$2:$DA$47,DB2271)=0,COUNTIF($DB$2:DB2271,DB2271)=1),2270,""))</f>
        <v/>
      </c>
    </row>
    <row r="2272">
      <c r="DB2272">
        <f>IF('История отказов'!AM1075="","",'История отказов'!AM1075)</f>
        <v/>
      </c>
      <c r="DL2272">
        <f>IF(DB2272="","",IF(AND(COUNTIF($DA$2:$DA$47,DB2272)=0,COUNTIF($DB$2:DB2272,DB2272)=1),2271,""))</f>
        <v/>
      </c>
    </row>
    <row r="2273">
      <c r="DB2273">
        <f>IF('История отказов'!AM1076="","",'История отказов'!AM1076)</f>
        <v/>
      </c>
      <c r="DL2273">
        <f>IF(DB2273="","",IF(AND(COUNTIF($DA$2:$DA$47,DB2273)=0,COUNTIF($DB$2:DB2273,DB2273)=1),2272,""))</f>
        <v/>
      </c>
    </row>
    <row r="2274">
      <c r="DB2274">
        <f>IF('История отказов'!AM1077="","",'История отказов'!AM1077)</f>
        <v/>
      </c>
      <c r="DL2274">
        <f>IF(DB2274="","",IF(AND(COUNTIF($DA$2:$DA$47,DB2274)=0,COUNTIF($DB$2:DB2274,DB2274)=1),2273,""))</f>
        <v/>
      </c>
    </row>
    <row r="2275">
      <c r="DB2275">
        <f>IF('История отказов'!AM1078="","",'История отказов'!AM1078)</f>
        <v/>
      </c>
      <c r="DL2275">
        <f>IF(DB2275="","",IF(AND(COUNTIF($DA$2:$DA$47,DB2275)=0,COUNTIF($DB$2:DB2275,DB2275)=1),2274,""))</f>
        <v/>
      </c>
    </row>
    <row r="2276">
      <c r="DB2276">
        <f>IF('История отказов'!AM1079="","",'История отказов'!AM1079)</f>
        <v/>
      </c>
      <c r="DL2276">
        <f>IF(DB2276="","",IF(AND(COUNTIF($DA$2:$DA$47,DB2276)=0,COUNTIF($DB$2:DB2276,DB2276)=1),2275,""))</f>
        <v/>
      </c>
    </row>
    <row r="2277">
      <c r="DB2277">
        <f>IF('История отказов'!AM1080="","",'История отказов'!AM1080)</f>
        <v/>
      </c>
      <c r="DL2277">
        <f>IF(DB2277="","",IF(AND(COUNTIF($DA$2:$DA$47,DB2277)=0,COUNTIF($DB$2:DB2277,DB2277)=1),2276,""))</f>
        <v/>
      </c>
    </row>
    <row r="2278">
      <c r="DB2278">
        <f>IF('История отказов'!AM1081="","",'История отказов'!AM1081)</f>
        <v/>
      </c>
      <c r="DL2278">
        <f>IF(DB2278="","",IF(AND(COUNTIF($DA$2:$DA$47,DB2278)=0,COUNTIF($DB$2:DB2278,DB2278)=1),2277,""))</f>
        <v/>
      </c>
    </row>
    <row r="2279">
      <c r="DB2279">
        <f>IF('История отказов'!AM1082="","",'История отказов'!AM1082)</f>
        <v/>
      </c>
      <c r="DL2279">
        <f>IF(DB2279="","",IF(AND(COUNTIF($DA$2:$DA$47,DB2279)=0,COUNTIF($DB$2:DB2279,DB2279)=1),2278,""))</f>
        <v/>
      </c>
    </row>
    <row r="2280">
      <c r="DB2280">
        <f>IF('История отказов'!AM1083="","",'История отказов'!AM1083)</f>
        <v/>
      </c>
      <c r="DL2280">
        <f>IF(DB2280="","",IF(AND(COUNTIF($DA$2:$DA$47,DB2280)=0,COUNTIF($DB$2:DB2280,DB2280)=1),2279,""))</f>
        <v/>
      </c>
    </row>
    <row r="2281">
      <c r="DB2281">
        <f>IF('История отказов'!AM1084="","",'История отказов'!AM1084)</f>
        <v/>
      </c>
      <c r="DL2281">
        <f>IF(DB2281="","",IF(AND(COUNTIF($DA$2:$DA$47,DB2281)=0,COUNTIF($DB$2:DB2281,DB2281)=1),2280,""))</f>
        <v/>
      </c>
    </row>
    <row r="2282">
      <c r="DB2282">
        <f>IF('История отказов'!AM1085="","",'История отказов'!AM1085)</f>
        <v/>
      </c>
      <c r="DL2282">
        <f>IF(DB2282="","",IF(AND(COUNTIF($DA$2:$DA$47,DB2282)=0,COUNTIF($DB$2:DB2282,DB2282)=1),2281,""))</f>
        <v/>
      </c>
    </row>
    <row r="2283">
      <c r="DB2283">
        <f>IF('История отказов'!AM1086="","",'История отказов'!AM1086)</f>
        <v/>
      </c>
      <c r="DL2283">
        <f>IF(DB2283="","",IF(AND(COUNTIF($DA$2:$DA$47,DB2283)=0,COUNTIF($DB$2:DB2283,DB2283)=1),2282,""))</f>
        <v/>
      </c>
    </row>
    <row r="2284">
      <c r="DB2284">
        <f>IF('История отказов'!AM1087="","",'История отказов'!AM1087)</f>
        <v/>
      </c>
      <c r="DL2284">
        <f>IF(DB2284="","",IF(AND(COUNTIF($DA$2:$DA$47,DB2284)=0,COUNTIF($DB$2:DB2284,DB2284)=1),2283,""))</f>
        <v/>
      </c>
    </row>
    <row r="2285">
      <c r="DB2285">
        <f>IF('История отказов'!AM1088="","",'История отказов'!AM1088)</f>
        <v/>
      </c>
      <c r="DL2285">
        <f>IF(DB2285="","",IF(AND(COUNTIF($DA$2:$DA$47,DB2285)=0,COUNTIF($DB$2:DB2285,DB2285)=1),2284,""))</f>
        <v/>
      </c>
    </row>
    <row r="2286">
      <c r="DB2286">
        <f>IF('История отказов'!AM1089="","",'История отказов'!AM1089)</f>
        <v/>
      </c>
      <c r="DL2286">
        <f>IF(DB2286="","",IF(AND(COUNTIF($DA$2:$DA$47,DB2286)=0,COUNTIF($DB$2:DB2286,DB2286)=1),2285,""))</f>
        <v/>
      </c>
    </row>
    <row r="2287">
      <c r="DB2287">
        <f>IF('История отказов'!AM1090="","",'История отказов'!AM1090)</f>
        <v/>
      </c>
      <c r="DL2287">
        <f>IF(DB2287="","",IF(AND(COUNTIF($DA$2:$DA$47,DB2287)=0,COUNTIF($DB$2:DB2287,DB2287)=1),2286,""))</f>
        <v/>
      </c>
    </row>
    <row r="2288">
      <c r="DB2288">
        <f>IF('История отказов'!AM1091="","",'История отказов'!AM1091)</f>
        <v/>
      </c>
      <c r="DL2288">
        <f>IF(DB2288="","",IF(AND(COUNTIF($DA$2:$DA$47,DB2288)=0,COUNTIF($DB$2:DB2288,DB2288)=1),2287,""))</f>
        <v/>
      </c>
    </row>
    <row r="2289">
      <c r="DB2289">
        <f>IF('История отказов'!AM1092="","",'История отказов'!AM1092)</f>
        <v/>
      </c>
      <c r="DL2289">
        <f>IF(DB2289="","",IF(AND(COUNTIF($DA$2:$DA$47,DB2289)=0,COUNTIF($DB$2:DB2289,DB2289)=1),2288,""))</f>
        <v/>
      </c>
    </row>
    <row r="2290">
      <c r="DB2290">
        <f>IF('История отказов'!AM1093="","",'История отказов'!AM1093)</f>
        <v/>
      </c>
      <c r="DL2290">
        <f>IF(DB2290="","",IF(AND(COUNTIF($DA$2:$DA$47,DB2290)=0,COUNTIF($DB$2:DB2290,DB2290)=1),2289,""))</f>
        <v/>
      </c>
    </row>
    <row r="2291">
      <c r="DB2291">
        <f>IF('История отказов'!AM1094="","",'История отказов'!AM1094)</f>
        <v/>
      </c>
      <c r="DL2291">
        <f>IF(DB2291="","",IF(AND(COUNTIF($DA$2:$DA$47,DB2291)=0,COUNTIF($DB$2:DB2291,DB2291)=1),2290,""))</f>
        <v/>
      </c>
    </row>
    <row r="2292">
      <c r="DB2292">
        <f>IF('История отказов'!AM1095="","",'История отказов'!AM1095)</f>
        <v/>
      </c>
      <c r="DL2292">
        <f>IF(DB2292="","",IF(AND(COUNTIF($DA$2:$DA$47,DB2292)=0,COUNTIF($DB$2:DB2292,DB2292)=1),2291,""))</f>
        <v/>
      </c>
    </row>
    <row r="2293">
      <c r="DB2293">
        <f>IF('История отказов'!AM1096="","",'История отказов'!AM1096)</f>
        <v/>
      </c>
      <c r="DL2293">
        <f>IF(DB2293="","",IF(AND(COUNTIF($DA$2:$DA$47,DB2293)=0,COUNTIF($DB$2:DB2293,DB2293)=1),2292,""))</f>
        <v/>
      </c>
    </row>
    <row r="2294">
      <c r="DB2294">
        <f>IF('История отказов'!AM1097="","",'История отказов'!AM1097)</f>
        <v/>
      </c>
      <c r="DL2294">
        <f>IF(DB2294="","",IF(AND(COUNTIF($DA$2:$DA$47,DB2294)=0,COUNTIF($DB$2:DB2294,DB2294)=1),2293,""))</f>
        <v/>
      </c>
    </row>
    <row r="2295">
      <c r="DB2295">
        <f>IF('История отказов'!AM1098="","",'История отказов'!AM1098)</f>
        <v/>
      </c>
      <c r="DL2295">
        <f>IF(DB2295="","",IF(AND(COUNTIF($DA$2:$DA$47,DB2295)=0,COUNTIF($DB$2:DB2295,DB2295)=1),2294,""))</f>
        <v/>
      </c>
    </row>
    <row r="2296">
      <c r="DB2296">
        <f>IF('История отказов'!AM1099="","",'История отказов'!AM1099)</f>
        <v/>
      </c>
      <c r="DL2296">
        <f>IF(DB2296="","",IF(AND(COUNTIF($DA$2:$DA$47,DB2296)=0,COUNTIF($DB$2:DB2296,DB2296)=1),2295,""))</f>
        <v/>
      </c>
    </row>
    <row r="2297">
      <c r="DB2297">
        <f>IF('История отказов'!AM1100="","",'История отказов'!AM1100)</f>
        <v/>
      </c>
      <c r="DL2297">
        <f>IF(DB2297="","",IF(AND(COUNTIF($DA$2:$DA$47,DB2297)=0,COUNTIF($DB$2:DB2297,DB2297)=1),2296,""))</f>
        <v/>
      </c>
    </row>
    <row r="2298">
      <c r="DB2298">
        <f>IF('История отказов'!AM1101="","",'История отказов'!AM1101)</f>
        <v/>
      </c>
      <c r="DL2298">
        <f>IF(DB2298="","",IF(AND(COUNTIF($DA$2:$DA$47,DB2298)=0,COUNTIF($DB$2:DB2298,DB2298)=1),2297,""))</f>
        <v/>
      </c>
    </row>
    <row r="2299">
      <c r="DB2299">
        <f>IF('История отказов'!AM1102="","",'История отказов'!AM1102)</f>
        <v/>
      </c>
      <c r="DL2299">
        <f>IF(DB2299="","",IF(AND(COUNTIF($DA$2:$DA$47,DB2299)=0,COUNTIF($DB$2:DB2299,DB2299)=1),2298,""))</f>
        <v/>
      </c>
    </row>
    <row r="2300">
      <c r="DB2300">
        <f>IF('История отказов'!AM1103="","",'История отказов'!AM1103)</f>
        <v/>
      </c>
      <c r="DL2300">
        <f>IF(DB2300="","",IF(AND(COUNTIF($DA$2:$DA$47,DB2300)=0,COUNTIF($DB$2:DB2300,DB2300)=1),2299,""))</f>
        <v/>
      </c>
    </row>
    <row r="2301">
      <c r="DB2301">
        <f>IF('История отказов'!AM1104="","",'История отказов'!AM1104)</f>
        <v/>
      </c>
      <c r="DL2301">
        <f>IF(DB2301="","",IF(AND(COUNTIF($DA$2:$DA$47,DB2301)=0,COUNTIF($DB$2:DB2301,DB2301)=1),2300,""))</f>
        <v/>
      </c>
    </row>
    <row r="2302">
      <c r="DB2302">
        <f>IF('История отказов'!AM1105="","",'История отказов'!AM1105)</f>
        <v/>
      </c>
      <c r="DL2302">
        <f>IF(DB2302="","",IF(AND(COUNTIF($DA$2:$DA$47,DB2302)=0,COUNTIF($DB$2:DB2302,DB2302)=1),2301,""))</f>
        <v/>
      </c>
    </row>
    <row r="2303">
      <c r="DB2303">
        <f>IF('История отказов'!AM1106="","",'История отказов'!AM1106)</f>
        <v/>
      </c>
      <c r="DL2303">
        <f>IF(DB2303="","",IF(AND(COUNTIF($DA$2:$DA$47,DB2303)=0,COUNTIF($DB$2:DB2303,DB2303)=1),2302,""))</f>
        <v/>
      </c>
    </row>
    <row r="2304">
      <c r="DB2304">
        <f>IF('История отказов'!AM1107="","",'История отказов'!AM1107)</f>
        <v/>
      </c>
      <c r="DL2304">
        <f>IF(DB2304="","",IF(AND(COUNTIF($DA$2:$DA$47,DB2304)=0,COUNTIF($DB$2:DB2304,DB2304)=1),2303,""))</f>
        <v/>
      </c>
    </row>
    <row r="2305">
      <c r="DB2305">
        <f>IF('История отказов'!AM1108="","",'История отказов'!AM1108)</f>
        <v/>
      </c>
      <c r="DL2305">
        <f>IF(DB2305="","",IF(AND(COUNTIF($DA$2:$DA$47,DB2305)=0,COUNTIF($DB$2:DB2305,DB2305)=1),2304,""))</f>
        <v/>
      </c>
    </row>
    <row r="2306">
      <c r="DB2306">
        <f>IF('История отказов'!AM1109="","",'История отказов'!AM1109)</f>
        <v/>
      </c>
      <c r="DL2306">
        <f>IF(DB2306="","",IF(AND(COUNTIF($DA$2:$DA$47,DB2306)=0,COUNTIF($DB$2:DB2306,DB2306)=1),2305,""))</f>
        <v/>
      </c>
    </row>
    <row r="2307">
      <c r="DB2307">
        <f>IF('История отказов'!AM1110="","",'История отказов'!AM1110)</f>
        <v/>
      </c>
      <c r="DL2307">
        <f>IF(DB2307="","",IF(AND(COUNTIF($DA$2:$DA$47,DB2307)=0,COUNTIF($DB$2:DB2307,DB2307)=1),2306,""))</f>
        <v/>
      </c>
    </row>
    <row r="2308">
      <c r="DB2308">
        <f>IF('История отказов'!AM1111="","",'История отказов'!AM1111)</f>
        <v/>
      </c>
      <c r="DL2308">
        <f>IF(DB2308="","",IF(AND(COUNTIF($DA$2:$DA$47,DB2308)=0,COUNTIF($DB$2:DB2308,DB2308)=1),2307,""))</f>
        <v/>
      </c>
    </row>
    <row r="2309">
      <c r="DB2309">
        <f>IF('История отказов'!AM1112="","",'История отказов'!AM1112)</f>
        <v/>
      </c>
      <c r="DL2309">
        <f>IF(DB2309="","",IF(AND(COUNTIF($DA$2:$DA$47,DB2309)=0,COUNTIF($DB$2:DB2309,DB2309)=1),2308,""))</f>
        <v/>
      </c>
    </row>
    <row r="2310">
      <c r="DB2310">
        <f>IF('История отказов'!AM1113="","",'История отказов'!AM1113)</f>
        <v/>
      </c>
      <c r="DL2310">
        <f>IF(DB2310="","",IF(AND(COUNTIF($DA$2:$DA$47,DB2310)=0,COUNTIF($DB$2:DB2310,DB2310)=1),2309,""))</f>
        <v/>
      </c>
    </row>
    <row r="2311">
      <c r="DB2311">
        <f>IF('История отказов'!AM1114="","",'История отказов'!AM1114)</f>
        <v/>
      </c>
      <c r="DL2311">
        <f>IF(DB2311="","",IF(AND(COUNTIF($DA$2:$DA$47,DB2311)=0,COUNTIF($DB$2:DB2311,DB2311)=1),2310,""))</f>
        <v/>
      </c>
    </row>
    <row r="2312">
      <c r="DB2312">
        <f>IF('История отказов'!AM1115="","",'История отказов'!AM1115)</f>
        <v/>
      </c>
      <c r="DL2312">
        <f>IF(DB2312="","",IF(AND(COUNTIF($DA$2:$DA$47,DB2312)=0,COUNTIF($DB$2:DB2312,DB2312)=1),2311,""))</f>
        <v/>
      </c>
    </row>
    <row r="2313">
      <c r="DB2313">
        <f>IF('История отказов'!AM1116="","",'История отказов'!AM1116)</f>
        <v/>
      </c>
      <c r="DL2313">
        <f>IF(DB2313="","",IF(AND(COUNTIF($DA$2:$DA$47,DB2313)=0,COUNTIF($DB$2:DB2313,DB2313)=1),2312,""))</f>
        <v/>
      </c>
    </row>
    <row r="2314">
      <c r="DB2314">
        <f>IF('История отказов'!AM1117="","",'История отказов'!AM1117)</f>
        <v/>
      </c>
      <c r="DL2314">
        <f>IF(DB2314="","",IF(AND(COUNTIF($DA$2:$DA$47,DB2314)=0,COUNTIF($DB$2:DB2314,DB2314)=1),2313,""))</f>
        <v/>
      </c>
    </row>
    <row r="2315">
      <c r="DB2315">
        <f>IF('История отказов'!AM1118="","",'История отказов'!AM1118)</f>
        <v/>
      </c>
      <c r="DL2315">
        <f>IF(DB2315="","",IF(AND(COUNTIF($DA$2:$DA$47,DB2315)=0,COUNTIF($DB$2:DB2315,DB2315)=1),2314,""))</f>
        <v/>
      </c>
    </row>
    <row r="2316">
      <c r="DB2316">
        <f>IF('История отказов'!AM1119="","",'История отказов'!AM1119)</f>
        <v/>
      </c>
      <c r="DL2316">
        <f>IF(DB2316="","",IF(AND(COUNTIF($DA$2:$DA$47,DB2316)=0,COUNTIF($DB$2:DB2316,DB2316)=1),2315,""))</f>
        <v/>
      </c>
    </row>
    <row r="2317">
      <c r="DB2317">
        <f>IF('История отказов'!AM1120="","",'История отказов'!AM1120)</f>
        <v/>
      </c>
      <c r="DL2317">
        <f>IF(DB2317="","",IF(AND(COUNTIF($DA$2:$DA$47,DB2317)=0,COUNTIF($DB$2:DB2317,DB2317)=1),2316,""))</f>
        <v/>
      </c>
    </row>
    <row r="2318">
      <c r="DB2318">
        <f>IF('История отказов'!AM1121="","",'История отказов'!AM1121)</f>
        <v/>
      </c>
      <c r="DL2318">
        <f>IF(DB2318="","",IF(AND(COUNTIF($DA$2:$DA$47,DB2318)=0,COUNTIF($DB$2:DB2318,DB2318)=1),2317,""))</f>
        <v/>
      </c>
    </row>
    <row r="2319">
      <c r="DB2319">
        <f>IF('История отказов'!AM1122="","",'История отказов'!AM1122)</f>
        <v/>
      </c>
      <c r="DL2319">
        <f>IF(DB2319="","",IF(AND(COUNTIF($DA$2:$DA$47,DB2319)=0,COUNTIF($DB$2:DB2319,DB2319)=1),2318,""))</f>
        <v/>
      </c>
    </row>
    <row r="2320">
      <c r="DB2320">
        <f>IF('История отказов'!AM1123="","",'История отказов'!AM1123)</f>
        <v/>
      </c>
      <c r="DL2320">
        <f>IF(DB2320="","",IF(AND(COUNTIF($DA$2:$DA$47,DB2320)=0,COUNTIF($DB$2:DB2320,DB2320)=1),2319,""))</f>
        <v/>
      </c>
    </row>
    <row r="2321">
      <c r="DB2321">
        <f>IF('История отказов'!AM1124="","",'История отказов'!AM1124)</f>
        <v/>
      </c>
      <c r="DL2321">
        <f>IF(DB2321="","",IF(AND(COUNTIF($DA$2:$DA$47,DB2321)=0,COUNTIF($DB$2:DB2321,DB2321)=1),2320,""))</f>
        <v/>
      </c>
    </row>
    <row r="2322">
      <c r="DB2322">
        <f>IF('История отказов'!AM1125="","",'История отказов'!AM1125)</f>
        <v/>
      </c>
      <c r="DL2322">
        <f>IF(DB2322="","",IF(AND(COUNTIF($DA$2:$DA$47,DB2322)=0,COUNTIF($DB$2:DB2322,DB2322)=1),2321,""))</f>
        <v/>
      </c>
    </row>
    <row r="2323">
      <c r="DB2323">
        <f>IF('История отказов'!AM1126="","",'История отказов'!AM1126)</f>
        <v/>
      </c>
      <c r="DL2323">
        <f>IF(DB2323="","",IF(AND(COUNTIF($DA$2:$DA$47,DB2323)=0,COUNTIF($DB$2:DB2323,DB2323)=1),2322,""))</f>
        <v/>
      </c>
    </row>
    <row r="2324">
      <c r="DB2324">
        <f>IF('История отказов'!AM1127="","",'История отказов'!AM1127)</f>
        <v/>
      </c>
      <c r="DL2324">
        <f>IF(DB2324="","",IF(AND(COUNTIF($DA$2:$DA$47,DB2324)=0,COUNTIF($DB$2:DB2324,DB2324)=1),2323,""))</f>
        <v/>
      </c>
    </row>
    <row r="2325">
      <c r="DB2325">
        <f>IF('История отказов'!AM1128="","",'История отказов'!AM1128)</f>
        <v/>
      </c>
      <c r="DL2325">
        <f>IF(DB2325="","",IF(AND(COUNTIF($DA$2:$DA$47,DB2325)=0,COUNTIF($DB$2:DB2325,DB2325)=1),2324,""))</f>
        <v/>
      </c>
    </row>
    <row r="2326">
      <c r="DB2326">
        <f>IF('История отказов'!AM1129="","",'История отказов'!AM1129)</f>
        <v/>
      </c>
      <c r="DL2326">
        <f>IF(DB2326="","",IF(AND(COUNTIF($DA$2:$DA$47,DB2326)=0,COUNTIF($DB$2:DB2326,DB2326)=1),2325,""))</f>
        <v/>
      </c>
    </row>
    <row r="2327">
      <c r="DB2327">
        <f>IF('История отказов'!AM1130="","",'История отказов'!AM1130)</f>
        <v/>
      </c>
      <c r="DL2327">
        <f>IF(DB2327="","",IF(AND(COUNTIF($DA$2:$DA$47,DB2327)=0,COUNTIF($DB$2:DB2327,DB2327)=1),2326,""))</f>
        <v/>
      </c>
    </row>
    <row r="2328">
      <c r="DB2328">
        <f>IF('История отказов'!AM1131="","",'История отказов'!AM1131)</f>
        <v/>
      </c>
      <c r="DL2328">
        <f>IF(DB2328="","",IF(AND(COUNTIF($DA$2:$DA$47,DB2328)=0,COUNTIF($DB$2:DB2328,DB2328)=1),2327,""))</f>
        <v/>
      </c>
    </row>
    <row r="2329">
      <c r="DB2329">
        <f>IF('История отказов'!AM1132="","",'История отказов'!AM1132)</f>
        <v/>
      </c>
      <c r="DL2329">
        <f>IF(DB2329="","",IF(AND(COUNTIF($DA$2:$DA$47,DB2329)=0,COUNTIF($DB$2:DB2329,DB2329)=1),2328,""))</f>
        <v/>
      </c>
    </row>
    <row r="2330">
      <c r="DB2330">
        <f>IF('История отказов'!AM1133="","",'История отказов'!AM1133)</f>
        <v/>
      </c>
      <c r="DL2330">
        <f>IF(DB2330="","",IF(AND(COUNTIF($DA$2:$DA$47,DB2330)=0,COUNTIF($DB$2:DB2330,DB2330)=1),2329,""))</f>
        <v/>
      </c>
    </row>
    <row r="2331">
      <c r="DB2331">
        <f>IF('История отказов'!AM1134="","",'История отказов'!AM1134)</f>
        <v/>
      </c>
      <c r="DL2331">
        <f>IF(DB2331="","",IF(AND(COUNTIF($DA$2:$DA$47,DB2331)=0,COUNTIF($DB$2:DB2331,DB2331)=1),2330,""))</f>
        <v/>
      </c>
    </row>
    <row r="2332">
      <c r="DB2332">
        <f>IF('История отказов'!AM1135="","",'История отказов'!AM1135)</f>
        <v/>
      </c>
      <c r="DL2332">
        <f>IF(DB2332="","",IF(AND(COUNTIF($DA$2:$DA$47,DB2332)=0,COUNTIF($DB$2:DB2332,DB2332)=1),2331,""))</f>
        <v/>
      </c>
    </row>
    <row r="2333">
      <c r="DB2333">
        <f>IF('История отказов'!AM1136="","",'История отказов'!AM1136)</f>
        <v/>
      </c>
      <c r="DL2333">
        <f>IF(DB2333="","",IF(AND(COUNTIF($DA$2:$DA$47,DB2333)=0,COUNTIF($DB$2:DB2333,DB2333)=1),2332,""))</f>
        <v/>
      </c>
    </row>
    <row r="2334">
      <c r="DB2334">
        <f>IF('История отказов'!AM1137="","",'История отказов'!AM1137)</f>
        <v/>
      </c>
      <c r="DL2334">
        <f>IF(DB2334="","",IF(AND(COUNTIF($DA$2:$DA$47,DB2334)=0,COUNTIF($DB$2:DB2334,DB2334)=1),2333,""))</f>
        <v/>
      </c>
    </row>
    <row r="2335">
      <c r="DB2335">
        <f>IF('История отказов'!AM1138="","",'История отказов'!AM1138)</f>
        <v/>
      </c>
      <c r="DL2335">
        <f>IF(DB2335="","",IF(AND(COUNTIF($DA$2:$DA$47,DB2335)=0,COUNTIF($DB$2:DB2335,DB2335)=1),2334,""))</f>
        <v/>
      </c>
    </row>
    <row r="2336">
      <c r="DB2336">
        <f>IF('История отказов'!AM1139="","",'История отказов'!AM1139)</f>
        <v/>
      </c>
      <c r="DL2336">
        <f>IF(DB2336="","",IF(AND(COUNTIF($DA$2:$DA$47,DB2336)=0,COUNTIF($DB$2:DB2336,DB2336)=1),2335,""))</f>
        <v/>
      </c>
    </row>
    <row r="2337">
      <c r="DB2337">
        <f>IF('История отказов'!AM1140="","",'История отказов'!AM1140)</f>
        <v/>
      </c>
      <c r="DL2337">
        <f>IF(DB2337="","",IF(AND(COUNTIF($DA$2:$DA$47,DB2337)=0,COUNTIF($DB$2:DB2337,DB2337)=1),2336,""))</f>
        <v/>
      </c>
    </row>
    <row r="2338">
      <c r="DB2338">
        <f>IF('История отказов'!AM1141="","",'История отказов'!AM1141)</f>
        <v/>
      </c>
      <c r="DL2338">
        <f>IF(DB2338="","",IF(AND(COUNTIF($DA$2:$DA$47,DB2338)=0,COUNTIF($DB$2:DB2338,DB2338)=1),2337,""))</f>
        <v/>
      </c>
    </row>
    <row r="2339">
      <c r="DB2339">
        <f>IF('История отказов'!AM1142="","",'История отказов'!AM1142)</f>
        <v/>
      </c>
      <c r="DL2339">
        <f>IF(DB2339="","",IF(AND(COUNTIF($DA$2:$DA$47,DB2339)=0,COUNTIF($DB$2:DB2339,DB2339)=1),2338,""))</f>
        <v/>
      </c>
    </row>
    <row r="2340">
      <c r="DB2340">
        <f>IF('История отказов'!AM1143="","",'История отказов'!AM1143)</f>
        <v/>
      </c>
      <c r="DL2340">
        <f>IF(DB2340="","",IF(AND(COUNTIF($DA$2:$DA$47,DB2340)=0,COUNTIF($DB$2:DB2340,DB2340)=1),2339,""))</f>
        <v/>
      </c>
    </row>
    <row r="2341">
      <c r="DB2341">
        <f>IF('История отказов'!AM1144="","",'История отказов'!AM1144)</f>
        <v/>
      </c>
      <c r="DL2341">
        <f>IF(DB2341="","",IF(AND(COUNTIF($DA$2:$DA$47,DB2341)=0,COUNTIF($DB$2:DB2341,DB2341)=1),2340,""))</f>
        <v/>
      </c>
    </row>
    <row r="2342">
      <c r="DB2342">
        <f>IF('История отказов'!AM1145="","",'История отказов'!AM1145)</f>
        <v/>
      </c>
      <c r="DL2342">
        <f>IF(DB2342="","",IF(AND(COUNTIF($DA$2:$DA$47,DB2342)=0,COUNTIF($DB$2:DB2342,DB2342)=1),2341,""))</f>
        <v/>
      </c>
    </row>
    <row r="2343">
      <c r="DB2343">
        <f>IF('История отказов'!AM1146="","",'История отказов'!AM1146)</f>
        <v/>
      </c>
      <c r="DL2343">
        <f>IF(DB2343="","",IF(AND(COUNTIF($DA$2:$DA$47,DB2343)=0,COUNTIF($DB$2:DB2343,DB2343)=1),2342,""))</f>
        <v/>
      </c>
    </row>
    <row r="2344">
      <c r="DB2344">
        <f>IF('История отказов'!AM1147="","",'История отказов'!AM1147)</f>
        <v/>
      </c>
      <c r="DL2344">
        <f>IF(DB2344="","",IF(AND(COUNTIF($DA$2:$DA$47,DB2344)=0,COUNTIF($DB$2:DB2344,DB2344)=1),2343,""))</f>
        <v/>
      </c>
    </row>
    <row r="2345">
      <c r="DB2345">
        <f>IF('История отказов'!AM1148="","",'История отказов'!AM1148)</f>
        <v/>
      </c>
      <c r="DL2345">
        <f>IF(DB2345="","",IF(AND(COUNTIF($DA$2:$DA$47,DB2345)=0,COUNTIF($DB$2:DB2345,DB2345)=1),2344,""))</f>
        <v/>
      </c>
    </row>
    <row r="2346">
      <c r="DB2346">
        <f>IF('История отказов'!AM1149="","",'История отказов'!AM1149)</f>
        <v/>
      </c>
      <c r="DL2346">
        <f>IF(DB2346="","",IF(AND(COUNTIF($DA$2:$DA$47,DB2346)=0,COUNTIF($DB$2:DB2346,DB2346)=1),2345,""))</f>
        <v/>
      </c>
    </row>
    <row r="2347">
      <c r="DB2347">
        <f>IF('История отказов'!AM1150="","",'История отказов'!AM1150)</f>
        <v/>
      </c>
      <c r="DL2347">
        <f>IF(DB2347="","",IF(AND(COUNTIF($DA$2:$DA$47,DB2347)=0,COUNTIF($DB$2:DB2347,DB2347)=1),2346,""))</f>
        <v/>
      </c>
    </row>
    <row r="2348">
      <c r="DB2348">
        <f>IF('История отказов'!AM1151="","",'История отказов'!AM1151)</f>
        <v/>
      </c>
      <c r="DL2348">
        <f>IF(DB2348="","",IF(AND(COUNTIF($DA$2:$DA$47,DB2348)=0,COUNTIF($DB$2:DB2348,DB2348)=1),2347,""))</f>
        <v/>
      </c>
    </row>
    <row r="2349">
      <c r="DB2349">
        <f>IF('История отказов'!AM1152="","",'История отказов'!AM1152)</f>
        <v/>
      </c>
      <c r="DL2349">
        <f>IF(DB2349="","",IF(AND(COUNTIF($DA$2:$DA$47,DB2349)=0,COUNTIF($DB$2:DB2349,DB2349)=1),2348,""))</f>
        <v/>
      </c>
    </row>
    <row r="2350">
      <c r="DB2350">
        <f>IF('История отказов'!AM1153="","",'История отказов'!AM1153)</f>
        <v/>
      </c>
      <c r="DL2350">
        <f>IF(DB2350="","",IF(AND(COUNTIF($DA$2:$DA$47,DB2350)=0,COUNTIF($DB$2:DB2350,DB2350)=1),2349,""))</f>
        <v/>
      </c>
    </row>
    <row r="2351">
      <c r="DB2351">
        <f>IF('История отказов'!AM1154="","",'История отказов'!AM1154)</f>
        <v/>
      </c>
      <c r="DL2351">
        <f>IF(DB2351="","",IF(AND(COUNTIF($DA$2:$DA$47,DB2351)=0,COUNTIF($DB$2:DB2351,DB2351)=1),2350,""))</f>
        <v/>
      </c>
    </row>
    <row r="2352">
      <c r="DB2352">
        <f>IF('История отказов'!AM1155="","",'История отказов'!AM1155)</f>
        <v/>
      </c>
      <c r="DL2352">
        <f>IF(DB2352="","",IF(AND(COUNTIF($DA$2:$DA$47,DB2352)=0,COUNTIF($DB$2:DB2352,DB2352)=1),2351,""))</f>
        <v/>
      </c>
    </row>
    <row r="2353">
      <c r="DB2353">
        <f>IF('История отказов'!AM1156="","",'История отказов'!AM1156)</f>
        <v/>
      </c>
      <c r="DL2353">
        <f>IF(DB2353="","",IF(AND(COUNTIF($DA$2:$DA$47,DB2353)=0,COUNTIF($DB$2:DB2353,DB2353)=1),2352,""))</f>
        <v/>
      </c>
    </row>
    <row r="2354">
      <c r="DB2354">
        <f>IF('История отказов'!AM1157="","",'История отказов'!AM1157)</f>
        <v/>
      </c>
      <c r="DL2354">
        <f>IF(DB2354="","",IF(AND(COUNTIF($DA$2:$DA$47,DB2354)=0,COUNTIF($DB$2:DB2354,DB2354)=1),2353,""))</f>
        <v/>
      </c>
    </row>
    <row r="2355">
      <c r="DB2355">
        <f>IF('История отказов'!AM1158="","",'История отказов'!AM1158)</f>
        <v/>
      </c>
      <c r="DL2355">
        <f>IF(DB2355="","",IF(AND(COUNTIF($DA$2:$DA$47,DB2355)=0,COUNTIF($DB$2:DB2355,DB2355)=1),2354,""))</f>
        <v/>
      </c>
    </row>
    <row r="2356">
      <c r="DB2356">
        <f>IF('История отказов'!AM1159="","",'История отказов'!AM1159)</f>
        <v/>
      </c>
      <c r="DL2356">
        <f>IF(DB2356="","",IF(AND(COUNTIF($DA$2:$DA$47,DB2356)=0,COUNTIF($DB$2:DB2356,DB2356)=1),2355,""))</f>
        <v/>
      </c>
    </row>
    <row r="2357">
      <c r="DB2357">
        <f>IF('История отказов'!AM1160="","",'История отказов'!AM1160)</f>
        <v/>
      </c>
      <c r="DL2357">
        <f>IF(DB2357="","",IF(AND(COUNTIF($DA$2:$DA$47,DB2357)=0,COUNTIF($DB$2:DB2357,DB2357)=1),2356,""))</f>
        <v/>
      </c>
    </row>
    <row r="2358">
      <c r="DB2358">
        <f>IF('История отказов'!AM1161="","",'История отказов'!AM1161)</f>
        <v/>
      </c>
      <c r="DL2358">
        <f>IF(DB2358="","",IF(AND(COUNTIF($DA$2:$DA$47,DB2358)=0,COUNTIF($DB$2:DB2358,DB2358)=1),2357,""))</f>
        <v/>
      </c>
    </row>
    <row r="2359">
      <c r="DB2359">
        <f>IF('История отказов'!AM1162="","",'История отказов'!AM1162)</f>
        <v/>
      </c>
      <c r="DL2359">
        <f>IF(DB2359="","",IF(AND(COUNTIF($DA$2:$DA$47,DB2359)=0,COUNTIF($DB$2:DB2359,DB2359)=1),2358,""))</f>
        <v/>
      </c>
    </row>
    <row r="2360">
      <c r="DB2360">
        <f>IF('История отказов'!AM1163="","",'История отказов'!AM1163)</f>
        <v/>
      </c>
      <c r="DL2360">
        <f>IF(DB2360="","",IF(AND(COUNTIF($DA$2:$DA$47,DB2360)=0,COUNTIF($DB$2:DB2360,DB2360)=1),2359,""))</f>
        <v/>
      </c>
    </row>
    <row r="2361">
      <c r="DB2361">
        <f>IF('История отказов'!AM1164="","",'История отказов'!AM1164)</f>
        <v/>
      </c>
      <c r="DL2361">
        <f>IF(DB2361="","",IF(AND(COUNTIF($DA$2:$DA$47,DB2361)=0,COUNTIF($DB$2:DB2361,DB2361)=1),2360,""))</f>
        <v/>
      </c>
    </row>
    <row r="2362">
      <c r="DB2362">
        <f>IF('История отказов'!AM1165="","",'История отказов'!AM1165)</f>
        <v/>
      </c>
      <c r="DL2362">
        <f>IF(DB2362="","",IF(AND(COUNTIF($DA$2:$DA$47,DB2362)=0,COUNTIF($DB$2:DB2362,DB2362)=1),2361,""))</f>
        <v/>
      </c>
    </row>
    <row r="2363">
      <c r="DB2363">
        <f>IF('История отказов'!AM1166="","",'История отказов'!AM1166)</f>
        <v/>
      </c>
      <c r="DL2363">
        <f>IF(DB2363="","",IF(AND(COUNTIF($DA$2:$DA$47,DB2363)=0,COUNTIF($DB$2:DB2363,DB2363)=1),2362,""))</f>
        <v/>
      </c>
    </row>
    <row r="2364">
      <c r="DB2364">
        <f>IF('История отказов'!AM1167="","",'История отказов'!AM1167)</f>
        <v/>
      </c>
      <c r="DL2364">
        <f>IF(DB2364="","",IF(AND(COUNTIF($DA$2:$DA$47,DB2364)=0,COUNTIF($DB$2:DB2364,DB2364)=1),2363,""))</f>
        <v/>
      </c>
    </row>
    <row r="2365">
      <c r="DB2365">
        <f>IF('История отказов'!AM1168="","",'История отказов'!AM1168)</f>
        <v/>
      </c>
      <c r="DL2365">
        <f>IF(DB2365="","",IF(AND(COUNTIF($DA$2:$DA$47,DB2365)=0,COUNTIF($DB$2:DB2365,DB2365)=1),2364,""))</f>
        <v/>
      </c>
    </row>
    <row r="2366">
      <c r="DB2366">
        <f>IF('История отказов'!AM1169="","",'История отказов'!AM1169)</f>
        <v/>
      </c>
      <c r="DL2366">
        <f>IF(DB2366="","",IF(AND(COUNTIF($DA$2:$DA$47,DB2366)=0,COUNTIF($DB$2:DB2366,DB2366)=1),2365,""))</f>
        <v/>
      </c>
    </row>
    <row r="2367">
      <c r="DB2367">
        <f>IF('История отказов'!AM1170="","",'История отказов'!AM1170)</f>
        <v/>
      </c>
      <c r="DL2367">
        <f>IF(DB2367="","",IF(AND(COUNTIF($DA$2:$DA$47,DB2367)=0,COUNTIF($DB$2:DB2367,DB2367)=1),2366,""))</f>
        <v/>
      </c>
    </row>
    <row r="2368">
      <c r="DB2368">
        <f>IF('История отказов'!AM1171="","",'История отказов'!AM1171)</f>
        <v/>
      </c>
      <c r="DL2368">
        <f>IF(DB2368="","",IF(AND(COUNTIF($DA$2:$DA$47,DB2368)=0,COUNTIF($DB$2:DB2368,DB2368)=1),2367,""))</f>
        <v/>
      </c>
    </row>
    <row r="2369">
      <c r="DB2369">
        <f>IF('История отказов'!AM1172="","",'История отказов'!AM1172)</f>
        <v/>
      </c>
      <c r="DL2369">
        <f>IF(DB2369="","",IF(AND(COUNTIF($DA$2:$DA$47,DB2369)=0,COUNTIF($DB$2:DB2369,DB2369)=1),2368,""))</f>
        <v/>
      </c>
    </row>
    <row r="2370">
      <c r="DB2370">
        <f>IF('История отказов'!AM1173="","",'История отказов'!AM1173)</f>
        <v/>
      </c>
      <c r="DL2370">
        <f>IF(DB2370="","",IF(AND(COUNTIF($DA$2:$DA$47,DB2370)=0,COUNTIF($DB$2:DB2370,DB2370)=1),2369,""))</f>
        <v/>
      </c>
    </row>
    <row r="2371">
      <c r="DB2371">
        <f>IF('История отказов'!AM1174="","",'История отказов'!AM1174)</f>
        <v/>
      </c>
      <c r="DL2371">
        <f>IF(DB2371="","",IF(AND(COUNTIF($DA$2:$DA$47,DB2371)=0,COUNTIF($DB$2:DB2371,DB2371)=1),2370,""))</f>
        <v/>
      </c>
    </row>
    <row r="2372">
      <c r="DB2372">
        <f>IF('История отказов'!AM1175="","",'История отказов'!AM1175)</f>
        <v/>
      </c>
      <c r="DL2372">
        <f>IF(DB2372="","",IF(AND(COUNTIF($DA$2:$DA$47,DB2372)=0,COUNTIF($DB$2:DB2372,DB2372)=1),2371,""))</f>
        <v/>
      </c>
    </row>
    <row r="2373">
      <c r="DB2373">
        <f>IF('История отказов'!AM1176="","",'История отказов'!AM1176)</f>
        <v/>
      </c>
      <c r="DL2373">
        <f>IF(DB2373="","",IF(AND(COUNTIF($DA$2:$DA$47,DB2373)=0,COUNTIF($DB$2:DB2373,DB2373)=1),2372,""))</f>
        <v/>
      </c>
    </row>
    <row r="2374">
      <c r="DB2374">
        <f>IF('История отказов'!AM1177="","",'История отказов'!AM1177)</f>
        <v/>
      </c>
      <c r="DL2374">
        <f>IF(DB2374="","",IF(AND(COUNTIF($DA$2:$DA$47,DB2374)=0,COUNTIF($DB$2:DB2374,DB2374)=1),2373,""))</f>
        <v/>
      </c>
    </row>
    <row r="2375">
      <c r="DB2375">
        <f>IF('История отказов'!AM1178="","",'История отказов'!AM1178)</f>
        <v/>
      </c>
      <c r="DL2375">
        <f>IF(DB2375="","",IF(AND(COUNTIF($DA$2:$DA$47,DB2375)=0,COUNTIF($DB$2:DB2375,DB2375)=1),2374,""))</f>
        <v/>
      </c>
    </row>
    <row r="2376">
      <c r="DB2376">
        <f>IF('История отказов'!AM1179="","",'История отказов'!AM1179)</f>
        <v/>
      </c>
      <c r="DL2376">
        <f>IF(DB2376="","",IF(AND(COUNTIF($DA$2:$DA$47,DB2376)=0,COUNTIF($DB$2:DB2376,DB2376)=1),2375,""))</f>
        <v/>
      </c>
    </row>
    <row r="2377">
      <c r="DB2377">
        <f>IF('История отказов'!AM1180="","",'История отказов'!AM1180)</f>
        <v/>
      </c>
      <c r="DL2377">
        <f>IF(DB2377="","",IF(AND(COUNTIF($DA$2:$DA$47,DB2377)=0,COUNTIF($DB$2:DB2377,DB2377)=1),2376,""))</f>
        <v/>
      </c>
    </row>
    <row r="2378">
      <c r="DB2378">
        <f>IF('История отказов'!AM1181="","",'История отказов'!AM1181)</f>
        <v/>
      </c>
      <c r="DL2378">
        <f>IF(DB2378="","",IF(AND(COUNTIF($DA$2:$DA$47,DB2378)=0,COUNTIF($DB$2:DB2378,DB2378)=1),2377,""))</f>
        <v/>
      </c>
    </row>
    <row r="2379">
      <c r="DB2379">
        <f>IF('История отказов'!AM1182="","",'История отказов'!AM1182)</f>
        <v/>
      </c>
      <c r="DL2379">
        <f>IF(DB2379="","",IF(AND(COUNTIF($DA$2:$DA$47,DB2379)=0,COUNTIF($DB$2:DB2379,DB2379)=1),2378,""))</f>
        <v/>
      </c>
    </row>
    <row r="2380">
      <c r="DB2380">
        <f>IF('История отказов'!AM1183="","",'История отказов'!AM1183)</f>
        <v/>
      </c>
      <c r="DL2380">
        <f>IF(DB2380="","",IF(AND(COUNTIF($DA$2:$DA$47,DB2380)=0,COUNTIF($DB$2:DB2380,DB2380)=1),2379,""))</f>
        <v/>
      </c>
    </row>
    <row r="2381">
      <c r="DB2381">
        <f>IF('История отказов'!AM1184="","",'История отказов'!AM1184)</f>
        <v/>
      </c>
      <c r="DL2381">
        <f>IF(DB2381="","",IF(AND(COUNTIF($DA$2:$DA$47,DB2381)=0,COUNTIF($DB$2:DB2381,DB2381)=1),2380,""))</f>
        <v/>
      </c>
    </row>
    <row r="2382">
      <c r="DB2382">
        <f>IF('История отказов'!AM1185="","",'История отказов'!AM1185)</f>
        <v/>
      </c>
      <c r="DL2382">
        <f>IF(DB2382="","",IF(AND(COUNTIF($DA$2:$DA$47,DB2382)=0,COUNTIF($DB$2:DB2382,DB2382)=1),2381,""))</f>
        <v/>
      </c>
    </row>
    <row r="2383">
      <c r="DB2383">
        <f>IF('История отказов'!AM1186="","",'История отказов'!AM1186)</f>
        <v/>
      </c>
      <c r="DL2383">
        <f>IF(DB2383="","",IF(AND(COUNTIF($DA$2:$DA$47,DB2383)=0,COUNTIF($DB$2:DB2383,DB2383)=1),2382,""))</f>
        <v/>
      </c>
    </row>
    <row r="2384">
      <c r="DB2384">
        <f>IF('История отказов'!AM1187="","",'История отказов'!AM1187)</f>
        <v/>
      </c>
      <c r="DL2384">
        <f>IF(DB2384="","",IF(AND(COUNTIF($DA$2:$DA$47,DB2384)=0,COUNTIF($DB$2:DB2384,DB2384)=1),2383,""))</f>
        <v/>
      </c>
    </row>
    <row r="2385">
      <c r="DB2385">
        <f>IF('История отказов'!AM1188="","",'История отказов'!AM1188)</f>
        <v/>
      </c>
      <c r="DL2385">
        <f>IF(DB2385="","",IF(AND(COUNTIF($DA$2:$DA$47,DB2385)=0,COUNTIF($DB$2:DB2385,DB2385)=1),2384,""))</f>
        <v/>
      </c>
    </row>
    <row r="2386">
      <c r="DB2386">
        <f>IF('История отказов'!AM1189="","",'История отказов'!AM1189)</f>
        <v/>
      </c>
      <c r="DL2386">
        <f>IF(DB2386="","",IF(AND(COUNTIF($DA$2:$DA$47,DB2386)=0,COUNTIF($DB$2:DB2386,DB2386)=1),2385,""))</f>
        <v/>
      </c>
    </row>
    <row r="2387">
      <c r="DB2387">
        <f>IF('История отказов'!AM1190="","",'История отказов'!AM1190)</f>
        <v/>
      </c>
      <c r="DL2387">
        <f>IF(DB2387="","",IF(AND(COUNTIF($DA$2:$DA$47,DB2387)=0,COUNTIF($DB$2:DB2387,DB2387)=1),2386,""))</f>
        <v/>
      </c>
    </row>
    <row r="2388">
      <c r="DB2388">
        <f>IF('История отказов'!AM1191="","",'История отказов'!AM1191)</f>
        <v/>
      </c>
      <c r="DL2388">
        <f>IF(DB2388="","",IF(AND(COUNTIF($DA$2:$DA$47,DB2388)=0,COUNTIF($DB$2:DB2388,DB2388)=1),2387,""))</f>
        <v/>
      </c>
    </row>
    <row r="2389">
      <c r="DB2389">
        <f>IF('История отказов'!AM1192="","",'История отказов'!AM1192)</f>
        <v/>
      </c>
      <c r="DL2389">
        <f>IF(DB2389="","",IF(AND(COUNTIF($DA$2:$DA$47,DB2389)=0,COUNTIF($DB$2:DB2389,DB2389)=1),2388,""))</f>
        <v/>
      </c>
    </row>
    <row r="2390">
      <c r="DB2390">
        <f>IF('История отказов'!AM1193="","",'История отказов'!AM1193)</f>
        <v/>
      </c>
      <c r="DL2390">
        <f>IF(DB2390="","",IF(AND(COUNTIF($DA$2:$DA$47,DB2390)=0,COUNTIF($DB$2:DB2390,DB2390)=1),2389,""))</f>
        <v/>
      </c>
    </row>
    <row r="2391">
      <c r="DB2391">
        <f>IF('История отказов'!AM1194="","",'История отказов'!AM1194)</f>
        <v/>
      </c>
      <c r="DL2391">
        <f>IF(DB2391="","",IF(AND(COUNTIF($DA$2:$DA$47,DB2391)=0,COUNTIF($DB$2:DB2391,DB2391)=1),2390,""))</f>
        <v/>
      </c>
    </row>
    <row r="2392">
      <c r="DB2392">
        <f>IF('История отказов'!AM1195="","",'История отказов'!AM1195)</f>
        <v/>
      </c>
      <c r="DL2392">
        <f>IF(DB2392="","",IF(AND(COUNTIF($DA$2:$DA$47,DB2392)=0,COUNTIF($DB$2:DB2392,DB2392)=1),2391,""))</f>
        <v/>
      </c>
    </row>
    <row r="2393">
      <c r="DB2393">
        <f>IF('История отказов'!AM1196="","",'История отказов'!AM1196)</f>
        <v/>
      </c>
      <c r="DL2393">
        <f>IF(DB2393="","",IF(AND(COUNTIF($DA$2:$DA$47,DB2393)=0,COUNTIF($DB$2:DB2393,DB2393)=1),2392,""))</f>
        <v/>
      </c>
    </row>
    <row r="2394">
      <c r="DB2394">
        <f>IF('История отказов'!AM1197="","",'История отказов'!AM1197)</f>
        <v/>
      </c>
      <c r="DL2394">
        <f>IF(DB2394="","",IF(AND(COUNTIF($DA$2:$DA$47,DB2394)=0,COUNTIF($DB$2:DB2394,DB2394)=1),2393,""))</f>
        <v/>
      </c>
    </row>
    <row r="2395">
      <c r="DB2395">
        <f>IF('История отказов'!AM1198="","",'История отказов'!AM1198)</f>
        <v/>
      </c>
      <c r="DL2395">
        <f>IF(DB2395="","",IF(AND(COUNTIF($DA$2:$DA$47,DB2395)=0,COUNTIF($DB$2:DB2395,DB2395)=1),2394,""))</f>
        <v/>
      </c>
    </row>
    <row r="2396">
      <c r="DB2396">
        <f>IF('История отказов'!AM1199="","",'История отказов'!AM1199)</f>
        <v/>
      </c>
      <c r="DL2396">
        <f>IF(DB2396="","",IF(AND(COUNTIF($DA$2:$DA$47,DB2396)=0,COUNTIF($DB$2:DB2396,DB2396)=1),2395,""))</f>
        <v/>
      </c>
    </row>
    <row r="2397">
      <c r="DB2397">
        <f>IF('История отказов'!AM1200="","",'История отказов'!AM1200)</f>
        <v/>
      </c>
      <c r="DL2397">
        <f>IF(DB2397="","",IF(AND(COUNTIF($DA$2:$DA$47,DB2397)=0,COUNTIF($DB$2:DB2397,DB2397)=1),2396,""))</f>
        <v/>
      </c>
    </row>
    <row r="2398">
      <c r="DB2398">
        <f>IF('История отказов'!AM1201="","",'История отказов'!AM1201)</f>
        <v/>
      </c>
      <c r="DL2398">
        <f>IF(DB2398="","",IF(AND(COUNTIF($DA$2:$DA$47,DB2398)=0,COUNTIF($DB$2:DB2398,DB2398)=1),2397,""))</f>
        <v/>
      </c>
    </row>
    <row r="2399">
      <c r="DB2399">
        <f>IF('История отказов'!AM1202="","",'История отказов'!AM1202)</f>
        <v/>
      </c>
      <c r="DL2399">
        <f>IF(DB2399="","",IF(AND(COUNTIF($DA$2:$DA$47,DB2399)=0,COUNTIF($DB$2:DB2399,DB2399)=1),2398,""))</f>
        <v/>
      </c>
    </row>
    <row r="2400">
      <c r="DB2400">
        <f>IF('История отказов'!AM1203="","",'История отказов'!AM1203)</f>
        <v/>
      </c>
      <c r="DL2400">
        <f>IF(DB2400="","",IF(AND(COUNTIF($DA$2:$DA$47,DB2400)=0,COUNTIF($DB$2:DB2400,DB2400)=1),2399,""))</f>
        <v/>
      </c>
    </row>
    <row r="2401">
      <c r="DB2401">
        <f>IF('История отказов'!AM1204="","",'История отказов'!AM1204)</f>
        <v/>
      </c>
      <c r="DL2401">
        <f>IF(DB2401="","",IF(AND(COUNTIF($DA$2:$DA$47,DB2401)=0,COUNTIF($DB$2:DB2401,DB2401)=1),2400,""))</f>
        <v/>
      </c>
    </row>
    <row r="2402">
      <c r="DB2402">
        <f>IF('История отказов'!AW5="","",'История отказов'!AW5)</f>
        <v/>
      </c>
      <c r="DL2402">
        <f>IF(DB2402="","",IF(AND(COUNTIF($DA$2:$DA$47,DB2402)=0,COUNTIF($DB$2:DB2402,DB2402)=1),2401,""))</f>
        <v/>
      </c>
    </row>
    <row r="2403">
      <c r="DB2403">
        <f>IF('История отказов'!AW6="","",'История отказов'!AW6)</f>
        <v/>
      </c>
      <c r="DL2403">
        <f>IF(DB2403="","",IF(AND(COUNTIF($DA$2:$DA$47,DB2403)=0,COUNTIF($DB$2:DB2403,DB2403)=1),2402,""))</f>
        <v/>
      </c>
    </row>
    <row r="2404">
      <c r="DB2404">
        <f>IF('История отказов'!AW7="","",'История отказов'!AW7)</f>
        <v/>
      </c>
      <c r="DL2404">
        <f>IF(DB2404="","",IF(AND(COUNTIF($DA$2:$DA$47,DB2404)=0,COUNTIF($DB$2:DB2404,DB2404)=1),2403,""))</f>
        <v/>
      </c>
    </row>
    <row r="2405">
      <c r="DB2405">
        <f>IF('История отказов'!AW8="","",'История отказов'!AW8)</f>
        <v/>
      </c>
      <c r="DL2405">
        <f>IF(DB2405="","",IF(AND(COUNTIF($DA$2:$DA$47,DB2405)=0,COUNTIF($DB$2:DB2405,DB2405)=1),2404,""))</f>
        <v/>
      </c>
    </row>
    <row r="2406">
      <c r="DB2406">
        <f>IF('История отказов'!AW9="","",'История отказов'!AW9)</f>
        <v/>
      </c>
      <c r="DL2406">
        <f>IF(DB2406="","",IF(AND(COUNTIF($DA$2:$DA$47,DB2406)=0,COUNTIF($DB$2:DB2406,DB2406)=1),2405,""))</f>
        <v/>
      </c>
    </row>
    <row r="2407">
      <c r="DB2407">
        <f>IF('История отказов'!AW10="","",'История отказов'!AW10)</f>
        <v/>
      </c>
      <c r="DL2407">
        <f>IF(DB2407="","",IF(AND(COUNTIF($DA$2:$DA$47,DB2407)=0,COUNTIF($DB$2:DB2407,DB2407)=1),2406,""))</f>
        <v/>
      </c>
    </row>
    <row r="2408">
      <c r="DB2408">
        <f>IF('История отказов'!AW11="","",'История отказов'!AW11)</f>
        <v/>
      </c>
      <c r="DL2408">
        <f>IF(DB2408="","",IF(AND(COUNTIF($DA$2:$DA$47,DB2408)=0,COUNTIF($DB$2:DB2408,DB2408)=1),2407,""))</f>
        <v/>
      </c>
    </row>
    <row r="2409">
      <c r="DB2409">
        <f>IF('История отказов'!AW12="","",'История отказов'!AW12)</f>
        <v/>
      </c>
      <c r="DL2409">
        <f>IF(DB2409="","",IF(AND(COUNTIF($DA$2:$DA$47,DB2409)=0,COUNTIF($DB$2:DB2409,DB2409)=1),2408,""))</f>
        <v/>
      </c>
    </row>
    <row r="2410">
      <c r="DB2410">
        <f>IF('История отказов'!AW13="","",'История отказов'!AW13)</f>
        <v/>
      </c>
      <c r="DL2410">
        <f>IF(DB2410="","",IF(AND(COUNTIF($DA$2:$DA$47,DB2410)=0,COUNTIF($DB$2:DB2410,DB2410)=1),2409,""))</f>
        <v/>
      </c>
    </row>
    <row r="2411">
      <c r="DB2411">
        <f>IF('История отказов'!AW14="","",'История отказов'!AW14)</f>
        <v/>
      </c>
      <c r="DL2411">
        <f>IF(DB2411="","",IF(AND(COUNTIF($DA$2:$DA$47,DB2411)=0,COUNTIF($DB$2:DB2411,DB2411)=1),2410,""))</f>
        <v/>
      </c>
    </row>
    <row r="2412">
      <c r="DB2412">
        <f>IF('История отказов'!AW15="","",'История отказов'!AW15)</f>
        <v/>
      </c>
      <c r="DL2412">
        <f>IF(DB2412="","",IF(AND(COUNTIF($DA$2:$DA$47,DB2412)=0,COUNTIF($DB$2:DB2412,DB2412)=1),2411,""))</f>
        <v/>
      </c>
    </row>
    <row r="2413">
      <c r="DB2413">
        <f>IF('История отказов'!AW16="","",'История отказов'!AW16)</f>
        <v/>
      </c>
      <c r="DL2413">
        <f>IF(DB2413="","",IF(AND(COUNTIF($DA$2:$DA$47,DB2413)=0,COUNTIF($DB$2:DB2413,DB2413)=1),2412,""))</f>
        <v/>
      </c>
    </row>
    <row r="2414">
      <c r="DB2414">
        <f>IF('История отказов'!AW17="","",'История отказов'!AW17)</f>
        <v/>
      </c>
      <c r="DL2414">
        <f>IF(DB2414="","",IF(AND(COUNTIF($DA$2:$DA$47,DB2414)=0,COUNTIF($DB$2:DB2414,DB2414)=1),2413,""))</f>
        <v/>
      </c>
    </row>
    <row r="2415">
      <c r="DB2415">
        <f>IF('История отказов'!AW18="","",'История отказов'!AW18)</f>
        <v/>
      </c>
      <c r="DL2415">
        <f>IF(DB2415="","",IF(AND(COUNTIF($DA$2:$DA$47,DB2415)=0,COUNTIF($DB$2:DB2415,DB2415)=1),2414,""))</f>
        <v/>
      </c>
    </row>
    <row r="2416">
      <c r="DB2416">
        <f>IF('История отказов'!AW19="","",'История отказов'!AW19)</f>
        <v/>
      </c>
      <c r="DL2416">
        <f>IF(DB2416="","",IF(AND(COUNTIF($DA$2:$DA$47,DB2416)=0,COUNTIF($DB$2:DB2416,DB2416)=1),2415,""))</f>
        <v/>
      </c>
    </row>
    <row r="2417">
      <c r="DB2417">
        <f>IF('История отказов'!AW20="","",'История отказов'!AW20)</f>
        <v/>
      </c>
      <c r="DL2417">
        <f>IF(DB2417="","",IF(AND(COUNTIF($DA$2:$DA$47,DB2417)=0,COUNTIF($DB$2:DB2417,DB2417)=1),2416,""))</f>
        <v/>
      </c>
    </row>
    <row r="2418">
      <c r="DB2418">
        <f>IF('История отказов'!AW21="","",'История отказов'!AW21)</f>
        <v/>
      </c>
      <c r="DL2418">
        <f>IF(DB2418="","",IF(AND(COUNTIF($DA$2:$DA$47,DB2418)=0,COUNTIF($DB$2:DB2418,DB2418)=1),2417,""))</f>
        <v/>
      </c>
    </row>
    <row r="2419">
      <c r="DB2419">
        <f>IF('История отказов'!AW22="","",'История отказов'!AW22)</f>
        <v/>
      </c>
      <c r="DL2419">
        <f>IF(DB2419="","",IF(AND(COUNTIF($DA$2:$DA$47,DB2419)=0,COUNTIF($DB$2:DB2419,DB2419)=1),2418,""))</f>
        <v/>
      </c>
    </row>
    <row r="2420">
      <c r="DB2420">
        <f>IF('История отказов'!AW23="","",'История отказов'!AW23)</f>
        <v/>
      </c>
      <c r="DL2420">
        <f>IF(DB2420="","",IF(AND(COUNTIF($DA$2:$DA$47,DB2420)=0,COUNTIF($DB$2:DB2420,DB2420)=1),2419,""))</f>
        <v/>
      </c>
    </row>
    <row r="2421">
      <c r="DB2421">
        <f>IF('История отказов'!AW24="","",'История отказов'!AW24)</f>
        <v/>
      </c>
      <c r="DL2421">
        <f>IF(DB2421="","",IF(AND(COUNTIF($DA$2:$DA$47,DB2421)=0,COUNTIF($DB$2:DB2421,DB2421)=1),2420,""))</f>
        <v/>
      </c>
    </row>
    <row r="2422">
      <c r="DB2422">
        <f>IF('История отказов'!AW25="","",'История отказов'!AW25)</f>
        <v/>
      </c>
      <c r="DL2422">
        <f>IF(DB2422="","",IF(AND(COUNTIF($DA$2:$DA$47,DB2422)=0,COUNTIF($DB$2:DB2422,DB2422)=1),2421,""))</f>
        <v/>
      </c>
    </row>
    <row r="2423">
      <c r="DB2423">
        <f>IF('История отказов'!AW26="","",'История отказов'!AW26)</f>
        <v/>
      </c>
      <c r="DL2423">
        <f>IF(DB2423="","",IF(AND(COUNTIF($DA$2:$DA$47,DB2423)=0,COUNTIF($DB$2:DB2423,DB2423)=1),2422,""))</f>
        <v/>
      </c>
    </row>
    <row r="2424">
      <c r="DB2424">
        <f>IF('История отказов'!AW27="","",'История отказов'!AW27)</f>
        <v/>
      </c>
      <c r="DL2424">
        <f>IF(DB2424="","",IF(AND(COUNTIF($DA$2:$DA$47,DB2424)=0,COUNTIF($DB$2:DB2424,DB2424)=1),2423,""))</f>
        <v/>
      </c>
    </row>
    <row r="2425">
      <c r="DB2425">
        <f>IF('История отказов'!AW28="","",'История отказов'!AW28)</f>
        <v/>
      </c>
      <c r="DL2425">
        <f>IF(DB2425="","",IF(AND(COUNTIF($DA$2:$DA$47,DB2425)=0,COUNTIF($DB$2:DB2425,DB2425)=1),2424,""))</f>
        <v/>
      </c>
    </row>
    <row r="2426">
      <c r="DB2426">
        <f>IF('История отказов'!AW29="","",'История отказов'!AW29)</f>
        <v/>
      </c>
      <c r="DL2426">
        <f>IF(DB2426="","",IF(AND(COUNTIF($DA$2:$DA$47,DB2426)=0,COUNTIF($DB$2:DB2426,DB2426)=1),2425,""))</f>
        <v/>
      </c>
    </row>
    <row r="2427">
      <c r="DB2427">
        <f>IF('История отказов'!AW30="","",'История отказов'!AW30)</f>
        <v/>
      </c>
      <c r="DL2427">
        <f>IF(DB2427="","",IF(AND(COUNTIF($DA$2:$DA$47,DB2427)=0,COUNTIF($DB$2:DB2427,DB2427)=1),2426,""))</f>
        <v/>
      </c>
    </row>
    <row r="2428">
      <c r="DB2428">
        <f>IF('История отказов'!AW31="","",'История отказов'!AW31)</f>
        <v/>
      </c>
      <c r="DL2428">
        <f>IF(DB2428="","",IF(AND(COUNTIF($DA$2:$DA$47,DB2428)=0,COUNTIF($DB$2:DB2428,DB2428)=1),2427,""))</f>
        <v/>
      </c>
    </row>
    <row r="2429">
      <c r="DB2429">
        <f>IF('История отказов'!AW32="","",'История отказов'!AW32)</f>
        <v/>
      </c>
      <c r="DL2429">
        <f>IF(DB2429="","",IF(AND(COUNTIF($DA$2:$DA$47,DB2429)=0,COUNTIF($DB$2:DB2429,DB2429)=1),2428,""))</f>
        <v/>
      </c>
    </row>
    <row r="2430">
      <c r="DB2430">
        <f>IF('История отказов'!AW33="","",'История отказов'!AW33)</f>
        <v/>
      </c>
      <c r="DL2430">
        <f>IF(DB2430="","",IF(AND(COUNTIF($DA$2:$DA$47,DB2430)=0,COUNTIF($DB$2:DB2430,DB2430)=1),2429,""))</f>
        <v/>
      </c>
    </row>
    <row r="2431">
      <c r="DB2431">
        <f>IF('История отказов'!AW34="","",'История отказов'!AW34)</f>
        <v/>
      </c>
      <c r="DL2431">
        <f>IF(DB2431="","",IF(AND(COUNTIF($DA$2:$DA$47,DB2431)=0,COUNTIF($DB$2:DB2431,DB2431)=1),2430,""))</f>
        <v/>
      </c>
    </row>
    <row r="2432">
      <c r="DB2432">
        <f>IF('История отказов'!AW35="","",'История отказов'!AW35)</f>
        <v/>
      </c>
      <c r="DL2432">
        <f>IF(DB2432="","",IF(AND(COUNTIF($DA$2:$DA$47,DB2432)=0,COUNTIF($DB$2:DB2432,DB2432)=1),2431,""))</f>
        <v/>
      </c>
    </row>
    <row r="2433">
      <c r="DB2433">
        <f>IF('История отказов'!AW36="","",'История отказов'!AW36)</f>
        <v/>
      </c>
      <c r="DL2433">
        <f>IF(DB2433="","",IF(AND(COUNTIF($DA$2:$DA$47,DB2433)=0,COUNTIF($DB$2:DB2433,DB2433)=1),2432,""))</f>
        <v/>
      </c>
    </row>
    <row r="2434">
      <c r="DB2434">
        <f>IF('История отказов'!AW37="","",'История отказов'!AW37)</f>
        <v/>
      </c>
      <c r="DL2434">
        <f>IF(DB2434="","",IF(AND(COUNTIF($DA$2:$DA$47,DB2434)=0,COUNTIF($DB$2:DB2434,DB2434)=1),2433,""))</f>
        <v/>
      </c>
    </row>
    <row r="2435">
      <c r="DB2435">
        <f>IF('История отказов'!AW38="","",'История отказов'!AW38)</f>
        <v/>
      </c>
      <c r="DL2435">
        <f>IF(DB2435="","",IF(AND(COUNTIF($DA$2:$DA$47,DB2435)=0,COUNTIF($DB$2:DB2435,DB2435)=1),2434,""))</f>
        <v/>
      </c>
    </row>
    <row r="2436">
      <c r="DB2436">
        <f>IF('История отказов'!AW39="","",'История отказов'!AW39)</f>
        <v/>
      </c>
      <c r="DL2436">
        <f>IF(DB2436="","",IF(AND(COUNTIF($DA$2:$DA$47,DB2436)=0,COUNTIF($DB$2:DB2436,DB2436)=1),2435,""))</f>
        <v/>
      </c>
    </row>
    <row r="2437">
      <c r="DB2437">
        <f>IF('История отказов'!AW40="","",'История отказов'!AW40)</f>
        <v/>
      </c>
      <c r="DL2437">
        <f>IF(DB2437="","",IF(AND(COUNTIF($DA$2:$DA$47,DB2437)=0,COUNTIF($DB$2:DB2437,DB2437)=1),2436,""))</f>
        <v/>
      </c>
    </row>
    <row r="2438">
      <c r="DB2438">
        <f>IF('История отказов'!AW41="","",'История отказов'!AW41)</f>
        <v/>
      </c>
      <c r="DL2438">
        <f>IF(DB2438="","",IF(AND(COUNTIF($DA$2:$DA$47,DB2438)=0,COUNTIF($DB$2:DB2438,DB2438)=1),2437,""))</f>
        <v/>
      </c>
    </row>
    <row r="2439">
      <c r="DB2439">
        <f>IF('История отказов'!AW42="","",'История отказов'!AW42)</f>
        <v/>
      </c>
      <c r="DL2439">
        <f>IF(DB2439="","",IF(AND(COUNTIF($DA$2:$DA$47,DB2439)=0,COUNTIF($DB$2:DB2439,DB2439)=1),2438,""))</f>
        <v/>
      </c>
    </row>
    <row r="2440">
      <c r="DB2440">
        <f>IF('История отказов'!AW43="","",'История отказов'!AW43)</f>
        <v/>
      </c>
      <c r="DL2440">
        <f>IF(DB2440="","",IF(AND(COUNTIF($DA$2:$DA$47,DB2440)=0,COUNTIF($DB$2:DB2440,DB2440)=1),2439,""))</f>
        <v/>
      </c>
    </row>
    <row r="2441">
      <c r="DB2441">
        <f>IF('История отказов'!AW44="","",'История отказов'!AW44)</f>
        <v/>
      </c>
      <c r="DL2441">
        <f>IF(DB2441="","",IF(AND(COUNTIF($DA$2:$DA$47,DB2441)=0,COUNTIF($DB$2:DB2441,DB2441)=1),2440,""))</f>
        <v/>
      </c>
    </row>
    <row r="2442">
      <c r="DB2442">
        <f>IF('История отказов'!AW45="","",'История отказов'!AW45)</f>
        <v/>
      </c>
      <c r="DL2442">
        <f>IF(DB2442="","",IF(AND(COUNTIF($DA$2:$DA$47,DB2442)=0,COUNTIF($DB$2:DB2442,DB2442)=1),2441,""))</f>
        <v/>
      </c>
    </row>
    <row r="2443">
      <c r="DB2443">
        <f>IF('История отказов'!AW46="","",'История отказов'!AW46)</f>
        <v/>
      </c>
      <c r="DL2443">
        <f>IF(DB2443="","",IF(AND(COUNTIF($DA$2:$DA$47,DB2443)=0,COUNTIF($DB$2:DB2443,DB2443)=1),2442,""))</f>
        <v/>
      </c>
    </row>
    <row r="2444">
      <c r="DB2444">
        <f>IF('История отказов'!AW47="","",'История отказов'!AW47)</f>
        <v/>
      </c>
      <c r="DL2444">
        <f>IF(DB2444="","",IF(AND(COUNTIF($DA$2:$DA$47,DB2444)=0,COUNTIF($DB$2:DB2444,DB2444)=1),2443,""))</f>
        <v/>
      </c>
    </row>
    <row r="2445">
      <c r="DB2445">
        <f>IF('История отказов'!AW48="","",'История отказов'!AW48)</f>
        <v/>
      </c>
      <c r="DL2445">
        <f>IF(DB2445="","",IF(AND(COUNTIF($DA$2:$DA$47,DB2445)=0,COUNTIF($DB$2:DB2445,DB2445)=1),2444,""))</f>
        <v/>
      </c>
    </row>
    <row r="2446">
      <c r="DB2446">
        <f>IF('История отказов'!AW49="","",'История отказов'!AW49)</f>
        <v/>
      </c>
      <c r="DL2446">
        <f>IF(DB2446="","",IF(AND(COUNTIF($DA$2:$DA$47,DB2446)=0,COUNTIF($DB$2:DB2446,DB2446)=1),2445,""))</f>
        <v/>
      </c>
    </row>
    <row r="2447">
      <c r="DB2447">
        <f>IF('История отказов'!AW50="","",'История отказов'!AW50)</f>
        <v/>
      </c>
      <c r="DL2447">
        <f>IF(DB2447="","",IF(AND(COUNTIF($DA$2:$DA$47,DB2447)=0,COUNTIF($DB$2:DB2447,DB2447)=1),2446,""))</f>
        <v/>
      </c>
    </row>
    <row r="2448">
      <c r="DB2448">
        <f>IF('История отказов'!AW51="","",'История отказов'!AW51)</f>
        <v/>
      </c>
      <c r="DL2448">
        <f>IF(DB2448="","",IF(AND(COUNTIF($DA$2:$DA$47,DB2448)=0,COUNTIF($DB$2:DB2448,DB2448)=1),2447,""))</f>
        <v/>
      </c>
    </row>
    <row r="2449">
      <c r="DB2449">
        <f>IF('История отказов'!AW52="","",'История отказов'!AW52)</f>
        <v/>
      </c>
      <c r="DL2449">
        <f>IF(DB2449="","",IF(AND(COUNTIF($DA$2:$DA$47,DB2449)=0,COUNTIF($DB$2:DB2449,DB2449)=1),2448,""))</f>
        <v/>
      </c>
    </row>
    <row r="2450">
      <c r="DB2450">
        <f>IF('История отказов'!AW53="","",'История отказов'!AW53)</f>
        <v/>
      </c>
      <c r="DL2450">
        <f>IF(DB2450="","",IF(AND(COUNTIF($DA$2:$DA$47,DB2450)=0,COUNTIF($DB$2:DB2450,DB2450)=1),2449,""))</f>
        <v/>
      </c>
    </row>
    <row r="2451">
      <c r="DB2451">
        <f>IF('История отказов'!AW54="","",'История отказов'!AW54)</f>
        <v/>
      </c>
      <c r="DL2451">
        <f>IF(DB2451="","",IF(AND(COUNTIF($DA$2:$DA$47,DB2451)=0,COUNTIF($DB$2:DB2451,DB2451)=1),2450,""))</f>
        <v/>
      </c>
    </row>
    <row r="2452">
      <c r="DB2452">
        <f>IF('История отказов'!AW55="","",'История отказов'!AW55)</f>
        <v/>
      </c>
      <c r="DL2452">
        <f>IF(DB2452="","",IF(AND(COUNTIF($DA$2:$DA$47,DB2452)=0,COUNTIF($DB$2:DB2452,DB2452)=1),2451,""))</f>
        <v/>
      </c>
    </row>
    <row r="2453">
      <c r="DB2453">
        <f>IF('История отказов'!AW56="","",'История отказов'!AW56)</f>
        <v/>
      </c>
      <c r="DL2453">
        <f>IF(DB2453="","",IF(AND(COUNTIF($DA$2:$DA$47,DB2453)=0,COUNTIF($DB$2:DB2453,DB2453)=1),2452,""))</f>
        <v/>
      </c>
    </row>
    <row r="2454">
      <c r="DB2454">
        <f>IF('История отказов'!AW57="","",'История отказов'!AW57)</f>
        <v/>
      </c>
      <c r="DL2454">
        <f>IF(DB2454="","",IF(AND(COUNTIF($DA$2:$DA$47,DB2454)=0,COUNTIF($DB$2:DB2454,DB2454)=1),2453,""))</f>
        <v/>
      </c>
    </row>
    <row r="2455">
      <c r="DB2455">
        <f>IF('История отказов'!AW58="","",'История отказов'!AW58)</f>
        <v/>
      </c>
      <c r="DL2455">
        <f>IF(DB2455="","",IF(AND(COUNTIF($DA$2:$DA$47,DB2455)=0,COUNTIF($DB$2:DB2455,DB2455)=1),2454,""))</f>
        <v/>
      </c>
    </row>
    <row r="2456">
      <c r="DB2456">
        <f>IF('История отказов'!AW59="","",'История отказов'!AW59)</f>
        <v/>
      </c>
      <c r="DL2456">
        <f>IF(DB2456="","",IF(AND(COUNTIF($DA$2:$DA$47,DB2456)=0,COUNTIF($DB$2:DB2456,DB2456)=1),2455,""))</f>
        <v/>
      </c>
    </row>
    <row r="2457">
      <c r="DB2457">
        <f>IF('История отказов'!AW60="","",'История отказов'!AW60)</f>
        <v/>
      </c>
      <c r="DL2457">
        <f>IF(DB2457="","",IF(AND(COUNTIF($DA$2:$DA$47,DB2457)=0,COUNTIF($DB$2:DB2457,DB2457)=1),2456,""))</f>
        <v/>
      </c>
    </row>
    <row r="2458">
      <c r="DB2458">
        <f>IF('История отказов'!AW61="","",'История отказов'!AW61)</f>
        <v/>
      </c>
      <c r="DL2458">
        <f>IF(DB2458="","",IF(AND(COUNTIF($DA$2:$DA$47,DB2458)=0,COUNTIF($DB$2:DB2458,DB2458)=1),2457,""))</f>
        <v/>
      </c>
    </row>
    <row r="2459">
      <c r="DB2459">
        <f>IF('История отказов'!AW62="","",'История отказов'!AW62)</f>
        <v/>
      </c>
      <c r="DL2459">
        <f>IF(DB2459="","",IF(AND(COUNTIF($DA$2:$DA$47,DB2459)=0,COUNTIF($DB$2:DB2459,DB2459)=1),2458,""))</f>
        <v/>
      </c>
    </row>
    <row r="2460">
      <c r="DB2460">
        <f>IF('История отказов'!AW63="","",'История отказов'!AW63)</f>
        <v/>
      </c>
      <c r="DL2460">
        <f>IF(DB2460="","",IF(AND(COUNTIF($DA$2:$DA$47,DB2460)=0,COUNTIF($DB$2:DB2460,DB2460)=1),2459,""))</f>
        <v/>
      </c>
    </row>
    <row r="2461">
      <c r="DB2461">
        <f>IF('История отказов'!AW64="","",'История отказов'!AW64)</f>
        <v/>
      </c>
      <c r="DL2461">
        <f>IF(DB2461="","",IF(AND(COUNTIF($DA$2:$DA$47,DB2461)=0,COUNTIF($DB$2:DB2461,DB2461)=1),2460,""))</f>
        <v/>
      </c>
    </row>
    <row r="2462">
      <c r="DB2462">
        <f>IF('История отказов'!AW65="","",'История отказов'!AW65)</f>
        <v/>
      </c>
      <c r="DL2462">
        <f>IF(DB2462="","",IF(AND(COUNTIF($DA$2:$DA$47,DB2462)=0,COUNTIF($DB$2:DB2462,DB2462)=1),2461,""))</f>
        <v/>
      </c>
    </row>
    <row r="2463">
      <c r="DB2463">
        <f>IF('История отказов'!AW66="","",'История отказов'!AW66)</f>
        <v/>
      </c>
      <c r="DL2463">
        <f>IF(DB2463="","",IF(AND(COUNTIF($DA$2:$DA$47,DB2463)=0,COUNTIF($DB$2:DB2463,DB2463)=1),2462,""))</f>
        <v/>
      </c>
    </row>
    <row r="2464">
      <c r="DB2464">
        <f>IF('История отказов'!AW67="","",'История отказов'!AW67)</f>
        <v/>
      </c>
      <c r="DL2464">
        <f>IF(DB2464="","",IF(AND(COUNTIF($DA$2:$DA$47,DB2464)=0,COUNTIF($DB$2:DB2464,DB2464)=1),2463,""))</f>
        <v/>
      </c>
    </row>
    <row r="2465">
      <c r="DB2465">
        <f>IF('История отказов'!AW68="","",'История отказов'!AW68)</f>
        <v/>
      </c>
      <c r="DL2465">
        <f>IF(DB2465="","",IF(AND(COUNTIF($DA$2:$DA$47,DB2465)=0,COUNTIF($DB$2:DB2465,DB2465)=1),2464,""))</f>
        <v/>
      </c>
    </row>
    <row r="2466">
      <c r="DB2466">
        <f>IF('История отказов'!AW69="","",'История отказов'!AW69)</f>
        <v/>
      </c>
      <c r="DL2466">
        <f>IF(DB2466="","",IF(AND(COUNTIF($DA$2:$DA$47,DB2466)=0,COUNTIF($DB$2:DB2466,DB2466)=1),2465,""))</f>
        <v/>
      </c>
    </row>
    <row r="2467">
      <c r="DB2467">
        <f>IF('История отказов'!AW70="","",'История отказов'!AW70)</f>
        <v/>
      </c>
      <c r="DL2467">
        <f>IF(DB2467="","",IF(AND(COUNTIF($DA$2:$DA$47,DB2467)=0,COUNTIF($DB$2:DB2467,DB2467)=1),2466,""))</f>
        <v/>
      </c>
    </row>
    <row r="2468">
      <c r="DB2468">
        <f>IF('История отказов'!AW71="","",'История отказов'!AW71)</f>
        <v/>
      </c>
      <c r="DL2468">
        <f>IF(DB2468="","",IF(AND(COUNTIF($DA$2:$DA$47,DB2468)=0,COUNTIF($DB$2:DB2468,DB2468)=1),2467,""))</f>
        <v/>
      </c>
    </row>
    <row r="2469">
      <c r="DB2469">
        <f>IF('История отказов'!AW72="","",'История отказов'!AW72)</f>
        <v/>
      </c>
      <c r="DL2469">
        <f>IF(DB2469="","",IF(AND(COUNTIF($DA$2:$DA$47,DB2469)=0,COUNTIF($DB$2:DB2469,DB2469)=1),2468,""))</f>
        <v/>
      </c>
    </row>
    <row r="2470">
      <c r="DB2470">
        <f>IF('История отказов'!AW73="","",'История отказов'!AW73)</f>
        <v/>
      </c>
      <c r="DL2470">
        <f>IF(DB2470="","",IF(AND(COUNTIF($DA$2:$DA$47,DB2470)=0,COUNTIF($DB$2:DB2470,DB2470)=1),2469,""))</f>
        <v/>
      </c>
    </row>
    <row r="2471">
      <c r="DB2471">
        <f>IF('История отказов'!AW74="","",'История отказов'!AW74)</f>
        <v/>
      </c>
      <c r="DL2471">
        <f>IF(DB2471="","",IF(AND(COUNTIF($DA$2:$DA$47,DB2471)=0,COUNTIF($DB$2:DB2471,DB2471)=1),2470,""))</f>
        <v/>
      </c>
    </row>
    <row r="2472">
      <c r="DB2472">
        <f>IF('История отказов'!AW75="","",'История отказов'!AW75)</f>
        <v/>
      </c>
      <c r="DL2472">
        <f>IF(DB2472="","",IF(AND(COUNTIF($DA$2:$DA$47,DB2472)=0,COUNTIF($DB$2:DB2472,DB2472)=1),2471,""))</f>
        <v/>
      </c>
    </row>
    <row r="2473">
      <c r="DB2473">
        <f>IF('История отказов'!AW76="","",'История отказов'!AW76)</f>
        <v/>
      </c>
      <c r="DL2473">
        <f>IF(DB2473="","",IF(AND(COUNTIF($DA$2:$DA$47,DB2473)=0,COUNTIF($DB$2:DB2473,DB2473)=1),2472,""))</f>
        <v/>
      </c>
    </row>
    <row r="2474">
      <c r="DB2474">
        <f>IF('История отказов'!AW77="","",'История отказов'!AW77)</f>
        <v/>
      </c>
      <c r="DL2474">
        <f>IF(DB2474="","",IF(AND(COUNTIF($DA$2:$DA$47,DB2474)=0,COUNTIF($DB$2:DB2474,DB2474)=1),2473,""))</f>
        <v/>
      </c>
    </row>
    <row r="2475">
      <c r="DB2475">
        <f>IF('История отказов'!AW78="","",'История отказов'!AW78)</f>
        <v/>
      </c>
      <c r="DL2475">
        <f>IF(DB2475="","",IF(AND(COUNTIF($DA$2:$DA$47,DB2475)=0,COUNTIF($DB$2:DB2475,DB2475)=1),2474,""))</f>
        <v/>
      </c>
    </row>
    <row r="2476">
      <c r="DB2476">
        <f>IF('История отказов'!AW79="","",'История отказов'!AW79)</f>
        <v/>
      </c>
      <c r="DL2476">
        <f>IF(DB2476="","",IF(AND(COUNTIF($DA$2:$DA$47,DB2476)=0,COUNTIF($DB$2:DB2476,DB2476)=1),2475,""))</f>
        <v/>
      </c>
    </row>
    <row r="2477">
      <c r="DB2477">
        <f>IF('История отказов'!AW80="","",'История отказов'!AW80)</f>
        <v/>
      </c>
      <c r="DL2477">
        <f>IF(DB2477="","",IF(AND(COUNTIF($DA$2:$DA$47,DB2477)=0,COUNTIF($DB$2:DB2477,DB2477)=1),2476,""))</f>
        <v/>
      </c>
    </row>
    <row r="2478">
      <c r="DB2478">
        <f>IF('История отказов'!AW81="","",'История отказов'!AW81)</f>
        <v/>
      </c>
      <c r="DL2478">
        <f>IF(DB2478="","",IF(AND(COUNTIF($DA$2:$DA$47,DB2478)=0,COUNTIF($DB$2:DB2478,DB2478)=1),2477,""))</f>
        <v/>
      </c>
    </row>
    <row r="2479">
      <c r="DB2479">
        <f>IF('История отказов'!AW82="","",'История отказов'!AW82)</f>
        <v/>
      </c>
      <c r="DL2479">
        <f>IF(DB2479="","",IF(AND(COUNTIF($DA$2:$DA$47,DB2479)=0,COUNTIF($DB$2:DB2479,DB2479)=1),2478,""))</f>
        <v/>
      </c>
    </row>
    <row r="2480">
      <c r="DB2480">
        <f>IF('История отказов'!AW83="","",'История отказов'!AW83)</f>
        <v/>
      </c>
      <c r="DL2480">
        <f>IF(DB2480="","",IF(AND(COUNTIF($DA$2:$DA$47,DB2480)=0,COUNTIF($DB$2:DB2480,DB2480)=1),2479,""))</f>
        <v/>
      </c>
    </row>
    <row r="2481">
      <c r="DB2481">
        <f>IF('История отказов'!AW84="","",'История отказов'!AW84)</f>
        <v/>
      </c>
      <c r="DL2481">
        <f>IF(DB2481="","",IF(AND(COUNTIF($DA$2:$DA$47,DB2481)=0,COUNTIF($DB$2:DB2481,DB2481)=1),2480,""))</f>
        <v/>
      </c>
    </row>
    <row r="2482">
      <c r="DB2482">
        <f>IF('История отказов'!AW85="","",'История отказов'!AW85)</f>
        <v/>
      </c>
      <c r="DL2482">
        <f>IF(DB2482="","",IF(AND(COUNTIF($DA$2:$DA$47,DB2482)=0,COUNTIF($DB$2:DB2482,DB2482)=1),2481,""))</f>
        <v/>
      </c>
    </row>
    <row r="2483">
      <c r="DB2483">
        <f>IF('История отказов'!AW86="","",'История отказов'!AW86)</f>
        <v/>
      </c>
      <c r="DL2483">
        <f>IF(DB2483="","",IF(AND(COUNTIF($DA$2:$DA$47,DB2483)=0,COUNTIF($DB$2:DB2483,DB2483)=1),2482,""))</f>
        <v/>
      </c>
    </row>
    <row r="2484">
      <c r="DB2484">
        <f>IF('История отказов'!AW87="","",'История отказов'!AW87)</f>
        <v/>
      </c>
      <c r="DL2484">
        <f>IF(DB2484="","",IF(AND(COUNTIF($DA$2:$DA$47,DB2484)=0,COUNTIF($DB$2:DB2484,DB2484)=1),2483,""))</f>
        <v/>
      </c>
    </row>
    <row r="2485">
      <c r="DB2485">
        <f>IF('История отказов'!AW88="","",'История отказов'!AW88)</f>
        <v/>
      </c>
      <c r="DL2485">
        <f>IF(DB2485="","",IF(AND(COUNTIF($DA$2:$DA$47,DB2485)=0,COUNTIF($DB$2:DB2485,DB2485)=1),2484,""))</f>
        <v/>
      </c>
    </row>
    <row r="2486">
      <c r="DB2486">
        <f>IF('История отказов'!AW89="","",'История отказов'!AW89)</f>
        <v/>
      </c>
      <c r="DL2486">
        <f>IF(DB2486="","",IF(AND(COUNTIF($DA$2:$DA$47,DB2486)=0,COUNTIF($DB$2:DB2486,DB2486)=1),2485,""))</f>
        <v/>
      </c>
    </row>
    <row r="2487">
      <c r="DB2487">
        <f>IF('История отказов'!AW90="","",'История отказов'!AW90)</f>
        <v/>
      </c>
      <c r="DL2487">
        <f>IF(DB2487="","",IF(AND(COUNTIF($DA$2:$DA$47,DB2487)=0,COUNTIF($DB$2:DB2487,DB2487)=1),2486,""))</f>
        <v/>
      </c>
    </row>
    <row r="2488">
      <c r="DB2488">
        <f>IF('История отказов'!AW91="","",'История отказов'!AW91)</f>
        <v/>
      </c>
      <c r="DL2488">
        <f>IF(DB2488="","",IF(AND(COUNTIF($DA$2:$DA$47,DB2488)=0,COUNTIF($DB$2:DB2488,DB2488)=1),2487,""))</f>
        <v/>
      </c>
    </row>
    <row r="2489">
      <c r="DB2489">
        <f>IF('История отказов'!AW92="","",'История отказов'!AW92)</f>
        <v/>
      </c>
      <c r="DL2489">
        <f>IF(DB2489="","",IF(AND(COUNTIF($DA$2:$DA$47,DB2489)=0,COUNTIF($DB$2:DB2489,DB2489)=1),2488,""))</f>
        <v/>
      </c>
    </row>
    <row r="2490">
      <c r="DB2490">
        <f>IF('История отказов'!AW93="","",'История отказов'!AW93)</f>
        <v/>
      </c>
      <c r="DL2490">
        <f>IF(DB2490="","",IF(AND(COUNTIF($DA$2:$DA$47,DB2490)=0,COUNTIF($DB$2:DB2490,DB2490)=1),2489,""))</f>
        <v/>
      </c>
    </row>
    <row r="2491">
      <c r="DB2491">
        <f>IF('История отказов'!AW94="","",'История отказов'!AW94)</f>
        <v/>
      </c>
      <c r="DL2491">
        <f>IF(DB2491="","",IF(AND(COUNTIF($DA$2:$DA$47,DB2491)=0,COUNTIF($DB$2:DB2491,DB2491)=1),2490,""))</f>
        <v/>
      </c>
    </row>
    <row r="2492">
      <c r="DB2492">
        <f>IF('История отказов'!AW95="","",'История отказов'!AW95)</f>
        <v/>
      </c>
      <c r="DL2492">
        <f>IF(DB2492="","",IF(AND(COUNTIF($DA$2:$DA$47,DB2492)=0,COUNTIF($DB$2:DB2492,DB2492)=1),2491,""))</f>
        <v/>
      </c>
    </row>
    <row r="2493">
      <c r="DB2493">
        <f>IF('История отказов'!AW96="","",'История отказов'!AW96)</f>
        <v/>
      </c>
      <c r="DL2493">
        <f>IF(DB2493="","",IF(AND(COUNTIF($DA$2:$DA$47,DB2493)=0,COUNTIF($DB$2:DB2493,DB2493)=1),2492,""))</f>
        <v/>
      </c>
    </row>
    <row r="2494">
      <c r="DB2494">
        <f>IF('История отказов'!AW97="","",'История отказов'!AW97)</f>
        <v/>
      </c>
      <c r="DL2494">
        <f>IF(DB2494="","",IF(AND(COUNTIF($DA$2:$DA$47,DB2494)=0,COUNTIF($DB$2:DB2494,DB2494)=1),2493,""))</f>
        <v/>
      </c>
    </row>
    <row r="2495">
      <c r="DB2495">
        <f>IF('История отказов'!AW98="","",'История отказов'!AW98)</f>
        <v/>
      </c>
      <c r="DL2495">
        <f>IF(DB2495="","",IF(AND(COUNTIF($DA$2:$DA$47,DB2495)=0,COUNTIF($DB$2:DB2495,DB2495)=1),2494,""))</f>
        <v/>
      </c>
    </row>
    <row r="2496">
      <c r="DB2496">
        <f>IF('История отказов'!AW99="","",'История отказов'!AW99)</f>
        <v/>
      </c>
      <c r="DL2496">
        <f>IF(DB2496="","",IF(AND(COUNTIF($DA$2:$DA$47,DB2496)=0,COUNTIF($DB$2:DB2496,DB2496)=1),2495,""))</f>
        <v/>
      </c>
    </row>
    <row r="2497">
      <c r="DB2497">
        <f>IF('История отказов'!AW100="","",'История отказов'!AW100)</f>
        <v/>
      </c>
      <c r="DL2497">
        <f>IF(DB2497="","",IF(AND(COUNTIF($DA$2:$DA$47,DB2497)=0,COUNTIF($DB$2:DB2497,DB2497)=1),2496,""))</f>
        <v/>
      </c>
    </row>
    <row r="2498">
      <c r="DB2498">
        <f>IF('История отказов'!AW101="","",'История отказов'!AW101)</f>
        <v/>
      </c>
      <c r="DL2498">
        <f>IF(DB2498="","",IF(AND(COUNTIF($DA$2:$DA$47,DB2498)=0,COUNTIF($DB$2:DB2498,DB2498)=1),2497,""))</f>
        <v/>
      </c>
    </row>
    <row r="2499">
      <c r="DB2499">
        <f>IF('История отказов'!AW102="","",'История отказов'!AW102)</f>
        <v/>
      </c>
      <c r="DL2499">
        <f>IF(DB2499="","",IF(AND(COUNTIF($DA$2:$DA$47,DB2499)=0,COUNTIF($DB$2:DB2499,DB2499)=1),2498,""))</f>
        <v/>
      </c>
    </row>
    <row r="2500">
      <c r="DB2500">
        <f>IF('История отказов'!AW103="","",'История отказов'!AW103)</f>
        <v/>
      </c>
      <c r="DL2500">
        <f>IF(DB2500="","",IF(AND(COUNTIF($DA$2:$DA$47,DB2500)=0,COUNTIF($DB$2:DB2500,DB2500)=1),2499,""))</f>
        <v/>
      </c>
    </row>
    <row r="2501">
      <c r="DB2501">
        <f>IF('История отказов'!AW104="","",'История отказов'!AW104)</f>
        <v/>
      </c>
      <c r="DL2501">
        <f>IF(DB2501="","",IF(AND(COUNTIF($DA$2:$DA$47,DB2501)=0,COUNTIF($DB$2:DB2501,DB2501)=1),2500,""))</f>
        <v/>
      </c>
    </row>
    <row r="2502">
      <c r="DB2502">
        <f>IF('История отказов'!AW105="","",'История отказов'!AW105)</f>
        <v/>
      </c>
      <c r="DL2502">
        <f>IF(DB2502="","",IF(AND(COUNTIF($DA$2:$DA$47,DB2502)=0,COUNTIF($DB$2:DB2502,DB2502)=1),2501,""))</f>
        <v/>
      </c>
    </row>
    <row r="2503">
      <c r="DB2503">
        <f>IF('История отказов'!AW106="","",'История отказов'!AW106)</f>
        <v/>
      </c>
      <c r="DL2503">
        <f>IF(DB2503="","",IF(AND(COUNTIF($DA$2:$DA$47,DB2503)=0,COUNTIF($DB$2:DB2503,DB2503)=1),2502,""))</f>
        <v/>
      </c>
    </row>
    <row r="2504">
      <c r="DB2504">
        <f>IF('История отказов'!AW107="","",'История отказов'!AW107)</f>
        <v/>
      </c>
      <c r="DL2504">
        <f>IF(DB2504="","",IF(AND(COUNTIF($DA$2:$DA$47,DB2504)=0,COUNTIF($DB$2:DB2504,DB2504)=1),2503,""))</f>
        <v/>
      </c>
    </row>
    <row r="2505">
      <c r="DB2505">
        <f>IF('История отказов'!AW108="","",'История отказов'!AW108)</f>
        <v/>
      </c>
      <c r="DL2505">
        <f>IF(DB2505="","",IF(AND(COUNTIF($DA$2:$DA$47,DB2505)=0,COUNTIF($DB$2:DB2505,DB2505)=1),2504,""))</f>
        <v/>
      </c>
    </row>
    <row r="2506">
      <c r="DB2506">
        <f>IF('История отказов'!AW109="","",'История отказов'!AW109)</f>
        <v/>
      </c>
      <c r="DL2506">
        <f>IF(DB2506="","",IF(AND(COUNTIF($DA$2:$DA$47,DB2506)=0,COUNTIF($DB$2:DB2506,DB2506)=1),2505,""))</f>
        <v/>
      </c>
    </row>
    <row r="2507">
      <c r="DB2507">
        <f>IF('История отказов'!AW110="","",'История отказов'!AW110)</f>
        <v/>
      </c>
      <c r="DL2507">
        <f>IF(DB2507="","",IF(AND(COUNTIF($DA$2:$DA$47,DB2507)=0,COUNTIF($DB$2:DB2507,DB2507)=1),2506,""))</f>
        <v/>
      </c>
    </row>
    <row r="2508">
      <c r="DB2508">
        <f>IF('История отказов'!AW111="","",'История отказов'!AW111)</f>
        <v/>
      </c>
      <c r="DL2508">
        <f>IF(DB2508="","",IF(AND(COUNTIF($DA$2:$DA$47,DB2508)=0,COUNTIF($DB$2:DB2508,DB2508)=1),2507,""))</f>
        <v/>
      </c>
    </row>
    <row r="2509">
      <c r="DB2509">
        <f>IF('История отказов'!AW112="","",'История отказов'!AW112)</f>
        <v/>
      </c>
      <c r="DL2509">
        <f>IF(DB2509="","",IF(AND(COUNTIF($DA$2:$DA$47,DB2509)=0,COUNTIF($DB$2:DB2509,DB2509)=1),2508,""))</f>
        <v/>
      </c>
    </row>
    <row r="2510">
      <c r="DB2510">
        <f>IF('История отказов'!AW113="","",'История отказов'!AW113)</f>
        <v/>
      </c>
      <c r="DL2510">
        <f>IF(DB2510="","",IF(AND(COUNTIF($DA$2:$DA$47,DB2510)=0,COUNTIF($DB$2:DB2510,DB2510)=1),2509,""))</f>
        <v/>
      </c>
    </row>
    <row r="2511">
      <c r="DB2511">
        <f>IF('История отказов'!AW114="","",'История отказов'!AW114)</f>
        <v/>
      </c>
      <c r="DL2511">
        <f>IF(DB2511="","",IF(AND(COUNTIF($DA$2:$DA$47,DB2511)=0,COUNTIF($DB$2:DB2511,DB2511)=1),2510,""))</f>
        <v/>
      </c>
    </row>
    <row r="2512">
      <c r="DB2512">
        <f>IF('История отказов'!AW115="","",'История отказов'!AW115)</f>
        <v/>
      </c>
      <c r="DL2512">
        <f>IF(DB2512="","",IF(AND(COUNTIF($DA$2:$DA$47,DB2512)=0,COUNTIF($DB$2:DB2512,DB2512)=1),2511,""))</f>
        <v/>
      </c>
    </row>
    <row r="2513">
      <c r="DB2513">
        <f>IF('История отказов'!AW116="","",'История отказов'!AW116)</f>
        <v/>
      </c>
      <c r="DL2513">
        <f>IF(DB2513="","",IF(AND(COUNTIF($DA$2:$DA$47,DB2513)=0,COUNTIF($DB$2:DB2513,DB2513)=1),2512,""))</f>
        <v/>
      </c>
    </row>
    <row r="2514">
      <c r="DB2514">
        <f>IF('История отказов'!AW117="","",'История отказов'!AW117)</f>
        <v/>
      </c>
      <c r="DL2514">
        <f>IF(DB2514="","",IF(AND(COUNTIF($DA$2:$DA$47,DB2514)=0,COUNTIF($DB$2:DB2514,DB2514)=1),2513,""))</f>
        <v/>
      </c>
    </row>
    <row r="2515">
      <c r="DB2515">
        <f>IF('История отказов'!AW118="","",'История отказов'!AW118)</f>
        <v/>
      </c>
      <c r="DL2515">
        <f>IF(DB2515="","",IF(AND(COUNTIF($DA$2:$DA$47,DB2515)=0,COUNTIF($DB$2:DB2515,DB2515)=1),2514,""))</f>
        <v/>
      </c>
    </row>
    <row r="2516">
      <c r="DB2516">
        <f>IF('История отказов'!AW119="","",'История отказов'!AW119)</f>
        <v/>
      </c>
      <c r="DL2516">
        <f>IF(DB2516="","",IF(AND(COUNTIF($DA$2:$DA$47,DB2516)=0,COUNTIF($DB$2:DB2516,DB2516)=1),2515,""))</f>
        <v/>
      </c>
    </row>
    <row r="2517">
      <c r="DB2517">
        <f>IF('История отказов'!AW120="","",'История отказов'!AW120)</f>
        <v/>
      </c>
      <c r="DL2517">
        <f>IF(DB2517="","",IF(AND(COUNTIF($DA$2:$DA$47,DB2517)=0,COUNTIF($DB$2:DB2517,DB2517)=1),2516,""))</f>
        <v/>
      </c>
    </row>
    <row r="2518">
      <c r="DB2518">
        <f>IF('История отказов'!AW121="","",'История отказов'!AW121)</f>
        <v/>
      </c>
      <c r="DL2518">
        <f>IF(DB2518="","",IF(AND(COUNTIF($DA$2:$DA$47,DB2518)=0,COUNTIF($DB$2:DB2518,DB2518)=1),2517,""))</f>
        <v/>
      </c>
    </row>
    <row r="2519">
      <c r="DB2519">
        <f>IF('История отказов'!AW122="","",'История отказов'!AW122)</f>
        <v/>
      </c>
      <c r="DL2519">
        <f>IF(DB2519="","",IF(AND(COUNTIF($DA$2:$DA$47,DB2519)=0,COUNTIF($DB$2:DB2519,DB2519)=1),2518,""))</f>
        <v/>
      </c>
    </row>
    <row r="2520">
      <c r="DB2520">
        <f>IF('История отказов'!AW123="","",'История отказов'!AW123)</f>
        <v/>
      </c>
      <c r="DL2520">
        <f>IF(DB2520="","",IF(AND(COUNTIF($DA$2:$DA$47,DB2520)=0,COUNTIF($DB$2:DB2520,DB2520)=1),2519,""))</f>
        <v/>
      </c>
    </row>
    <row r="2521">
      <c r="DB2521">
        <f>IF('История отказов'!AW124="","",'История отказов'!AW124)</f>
        <v/>
      </c>
      <c r="DL2521">
        <f>IF(DB2521="","",IF(AND(COUNTIF($DA$2:$DA$47,DB2521)=0,COUNTIF($DB$2:DB2521,DB2521)=1),2520,""))</f>
        <v/>
      </c>
    </row>
    <row r="2522">
      <c r="DB2522">
        <f>IF('История отказов'!AW125="","",'История отказов'!AW125)</f>
        <v/>
      </c>
      <c r="DL2522">
        <f>IF(DB2522="","",IF(AND(COUNTIF($DA$2:$DA$47,DB2522)=0,COUNTIF($DB$2:DB2522,DB2522)=1),2521,""))</f>
        <v/>
      </c>
    </row>
    <row r="2523">
      <c r="DB2523">
        <f>IF('История отказов'!AW126="","",'История отказов'!AW126)</f>
        <v/>
      </c>
      <c r="DL2523">
        <f>IF(DB2523="","",IF(AND(COUNTIF($DA$2:$DA$47,DB2523)=0,COUNTIF($DB$2:DB2523,DB2523)=1),2522,""))</f>
        <v/>
      </c>
    </row>
    <row r="2524">
      <c r="DB2524">
        <f>IF('История отказов'!AW127="","",'История отказов'!AW127)</f>
        <v/>
      </c>
      <c r="DL2524">
        <f>IF(DB2524="","",IF(AND(COUNTIF($DA$2:$DA$47,DB2524)=0,COUNTIF($DB$2:DB2524,DB2524)=1),2523,""))</f>
        <v/>
      </c>
    </row>
    <row r="2525">
      <c r="DB2525">
        <f>IF('История отказов'!AW128="","",'История отказов'!AW128)</f>
        <v/>
      </c>
      <c r="DL2525">
        <f>IF(DB2525="","",IF(AND(COUNTIF($DA$2:$DA$47,DB2525)=0,COUNTIF($DB$2:DB2525,DB2525)=1),2524,""))</f>
        <v/>
      </c>
    </row>
    <row r="2526">
      <c r="DB2526">
        <f>IF('История отказов'!AW129="","",'История отказов'!AW129)</f>
        <v/>
      </c>
      <c r="DL2526">
        <f>IF(DB2526="","",IF(AND(COUNTIF($DA$2:$DA$47,DB2526)=0,COUNTIF($DB$2:DB2526,DB2526)=1),2525,""))</f>
        <v/>
      </c>
    </row>
    <row r="2527">
      <c r="DB2527">
        <f>IF('История отказов'!AW130="","",'История отказов'!AW130)</f>
        <v/>
      </c>
      <c r="DL2527">
        <f>IF(DB2527="","",IF(AND(COUNTIF($DA$2:$DA$47,DB2527)=0,COUNTIF($DB$2:DB2527,DB2527)=1),2526,""))</f>
        <v/>
      </c>
    </row>
    <row r="2528">
      <c r="DB2528">
        <f>IF('История отказов'!AW131="","",'История отказов'!AW131)</f>
        <v/>
      </c>
      <c r="DL2528">
        <f>IF(DB2528="","",IF(AND(COUNTIF($DA$2:$DA$47,DB2528)=0,COUNTIF($DB$2:DB2528,DB2528)=1),2527,""))</f>
        <v/>
      </c>
    </row>
    <row r="2529">
      <c r="DB2529">
        <f>IF('История отказов'!AW132="","",'История отказов'!AW132)</f>
        <v/>
      </c>
      <c r="DL2529">
        <f>IF(DB2529="","",IF(AND(COUNTIF($DA$2:$DA$47,DB2529)=0,COUNTIF($DB$2:DB2529,DB2529)=1),2528,""))</f>
        <v/>
      </c>
    </row>
    <row r="2530">
      <c r="DB2530">
        <f>IF('История отказов'!AW133="","",'История отказов'!AW133)</f>
        <v/>
      </c>
      <c r="DL2530">
        <f>IF(DB2530="","",IF(AND(COUNTIF($DA$2:$DA$47,DB2530)=0,COUNTIF($DB$2:DB2530,DB2530)=1),2529,""))</f>
        <v/>
      </c>
    </row>
    <row r="2531">
      <c r="DB2531">
        <f>IF('История отказов'!AW134="","",'История отказов'!AW134)</f>
        <v/>
      </c>
      <c r="DL2531">
        <f>IF(DB2531="","",IF(AND(COUNTIF($DA$2:$DA$47,DB2531)=0,COUNTIF($DB$2:DB2531,DB2531)=1),2530,""))</f>
        <v/>
      </c>
    </row>
    <row r="2532">
      <c r="DB2532">
        <f>IF('История отказов'!AW135="","",'История отказов'!AW135)</f>
        <v/>
      </c>
      <c r="DL2532">
        <f>IF(DB2532="","",IF(AND(COUNTIF($DA$2:$DA$47,DB2532)=0,COUNTIF($DB$2:DB2532,DB2532)=1),2531,""))</f>
        <v/>
      </c>
    </row>
    <row r="2533">
      <c r="DB2533">
        <f>IF('История отказов'!AW136="","",'История отказов'!AW136)</f>
        <v/>
      </c>
      <c r="DL2533">
        <f>IF(DB2533="","",IF(AND(COUNTIF($DA$2:$DA$47,DB2533)=0,COUNTIF($DB$2:DB2533,DB2533)=1),2532,""))</f>
        <v/>
      </c>
    </row>
    <row r="2534">
      <c r="DB2534">
        <f>IF('История отказов'!AW137="","",'История отказов'!AW137)</f>
        <v/>
      </c>
      <c r="DL2534">
        <f>IF(DB2534="","",IF(AND(COUNTIF($DA$2:$DA$47,DB2534)=0,COUNTIF($DB$2:DB2534,DB2534)=1),2533,""))</f>
        <v/>
      </c>
    </row>
    <row r="2535">
      <c r="DB2535">
        <f>IF('История отказов'!AW138="","",'История отказов'!AW138)</f>
        <v/>
      </c>
      <c r="DL2535">
        <f>IF(DB2535="","",IF(AND(COUNTIF($DA$2:$DA$47,DB2535)=0,COUNTIF($DB$2:DB2535,DB2535)=1),2534,""))</f>
        <v/>
      </c>
    </row>
    <row r="2536">
      <c r="DB2536">
        <f>IF('История отказов'!AW139="","",'История отказов'!AW139)</f>
        <v/>
      </c>
      <c r="DL2536">
        <f>IF(DB2536="","",IF(AND(COUNTIF($DA$2:$DA$47,DB2536)=0,COUNTIF($DB$2:DB2536,DB2536)=1),2535,""))</f>
        <v/>
      </c>
    </row>
    <row r="2537">
      <c r="DB2537">
        <f>IF('История отказов'!AW140="","",'История отказов'!AW140)</f>
        <v/>
      </c>
      <c r="DL2537">
        <f>IF(DB2537="","",IF(AND(COUNTIF($DA$2:$DA$47,DB2537)=0,COUNTIF($DB$2:DB2537,DB2537)=1),2536,""))</f>
        <v/>
      </c>
    </row>
    <row r="2538">
      <c r="DB2538">
        <f>IF('История отказов'!AW141="","",'История отказов'!AW141)</f>
        <v/>
      </c>
      <c r="DL2538">
        <f>IF(DB2538="","",IF(AND(COUNTIF($DA$2:$DA$47,DB2538)=0,COUNTIF($DB$2:DB2538,DB2538)=1),2537,""))</f>
        <v/>
      </c>
    </row>
    <row r="2539">
      <c r="DB2539">
        <f>IF('История отказов'!AW142="","",'История отказов'!AW142)</f>
        <v/>
      </c>
      <c r="DL2539">
        <f>IF(DB2539="","",IF(AND(COUNTIF($DA$2:$DA$47,DB2539)=0,COUNTIF($DB$2:DB2539,DB2539)=1),2538,""))</f>
        <v/>
      </c>
    </row>
    <row r="2540">
      <c r="DB2540">
        <f>IF('История отказов'!AW143="","",'История отказов'!AW143)</f>
        <v/>
      </c>
      <c r="DL2540">
        <f>IF(DB2540="","",IF(AND(COUNTIF($DA$2:$DA$47,DB2540)=0,COUNTIF($DB$2:DB2540,DB2540)=1),2539,""))</f>
        <v/>
      </c>
    </row>
    <row r="2541">
      <c r="DB2541">
        <f>IF('История отказов'!AW144="","",'История отказов'!AW144)</f>
        <v/>
      </c>
      <c r="DL2541">
        <f>IF(DB2541="","",IF(AND(COUNTIF($DA$2:$DA$47,DB2541)=0,COUNTIF($DB$2:DB2541,DB2541)=1),2540,""))</f>
        <v/>
      </c>
    </row>
    <row r="2542">
      <c r="DB2542">
        <f>IF('История отказов'!AW145="","",'История отказов'!AW145)</f>
        <v/>
      </c>
      <c r="DL2542">
        <f>IF(DB2542="","",IF(AND(COUNTIF($DA$2:$DA$47,DB2542)=0,COUNTIF($DB$2:DB2542,DB2542)=1),2541,""))</f>
        <v/>
      </c>
    </row>
    <row r="2543">
      <c r="DB2543">
        <f>IF('История отказов'!AW146="","",'История отказов'!AW146)</f>
        <v/>
      </c>
      <c r="DL2543">
        <f>IF(DB2543="","",IF(AND(COUNTIF($DA$2:$DA$47,DB2543)=0,COUNTIF($DB$2:DB2543,DB2543)=1),2542,""))</f>
        <v/>
      </c>
    </row>
    <row r="2544">
      <c r="DB2544">
        <f>IF('История отказов'!AW147="","",'История отказов'!AW147)</f>
        <v/>
      </c>
      <c r="DL2544">
        <f>IF(DB2544="","",IF(AND(COUNTIF($DA$2:$DA$47,DB2544)=0,COUNTIF($DB$2:DB2544,DB2544)=1),2543,""))</f>
        <v/>
      </c>
    </row>
    <row r="2545">
      <c r="DB2545">
        <f>IF('История отказов'!AW148="","",'История отказов'!AW148)</f>
        <v/>
      </c>
      <c r="DL2545">
        <f>IF(DB2545="","",IF(AND(COUNTIF($DA$2:$DA$47,DB2545)=0,COUNTIF($DB$2:DB2545,DB2545)=1),2544,""))</f>
        <v/>
      </c>
    </row>
    <row r="2546">
      <c r="DB2546">
        <f>IF('История отказов'!AW149="","",'История отказов'!AW149)</f>
        <v/>
      </c>
      <c r="DL2546">
        <f>IF(DB2546="","",IF(AND(COUNTIF($DA$2:$DA$47,DB2546)=0,COUNTIF($DB$2:DB2546,DB2546)=1),2545,""))</f>
        <v/>
      </c>
    </row>
    <row r="2547">
      <c r="DB2547">
        <f>IF('История отказов'!AW150="","",'История отказов'!AW150)</f>
        <v/>
      </c>
      <c r="DL2547">
        <f>IF(DB2547="","",IF(AND(COUNTIF($DA$2:$DA$47,DB2547)=0,COUNTIF($DB$2:DB2547,DB2547)=1),2546,""))</f>
        <v/>
      </c>
    </row>
    <row r="2548">
      <c r="DB2548">
        <f>IF('История отказов'!AW151="","",'История отказов'!AW151)</f>
        <v/>
      </c>
      <c r="DL2548">
        <f>IF(DB2548="","",IF(AND(COUNTIF($DA$2:$DA$47,DB2548)=0,COUNTIF($DB$2:DB2548,DB2548)=1),2547,""))</f>
        <v/>
      </c>
    </row>
    <row r="2549">
      <c r="DB2549">
        <f>IF('История отказов'!AW152="","",'История отказов'!AW152)</f>
        <v/>
      </c>
      <c r="DL2549">
        <f>IF(DB2549="","",IF(AND(COUNTIF($DA$2:$DA$47,DB2549)=0,COUNTIF($DB$2:DB2549,DB2549)=1),2548,""))</f>
        <v/>
      </c>
    </row>
    <row r="2550">
      <c r="DB2550">
        <f>IF('История отказов'!AW153="","",'История отказов'!AW153)</f>
        <v/>
      </c>
      <c r="DL2550">
        <f>IF(DB2550="","",IF(AND(COUNTIF($DA$2:$DA$47,DB2550)=0,COUNTIF($DB$2:DB2550,DB2550)=1),2549,""))</f>
        <v/>
      </c>
    </row>
    <row r="2551">
      <c r="DB2551">
        <f>IF('История отказов'!AW154="","",'История отказов'!AW154)</f>
        <v/>
      </c>
      <c r="DL2551">
        <f>IF(DB2551="","",IF(AND(COUNTIF($DA$2:$DA$47,DB2551)=0,COUNTIF($DB$2:DB2551,DB2551)=1),2550,""))</f>
        <v/>
      </c>
    </row>
    <row r="2552">
      <c r="DB2552">
        <f>IF('История отказов'!AW155="","",'История отказов'!AW155)</f>
        <v/>
      </c>
      <c r="DL2552">
        <f>IF(DB2552="","",IF(AND(COUNTIF($DA$2:$DA$47,DB2552)=0,COUNTIF($DB$2:DB2552,DB2552)=1),2551,""))</f>
        <v/>
      </c>
    </row>
    <row r="2553">
      <c r="DB2553">
        <f>IF('История отказов'!AW156="","",'История отказов'!AW156)</f>
        <v/>
      </c>
      <c r="DL2553">
        <f>IF(DB2553="","",IF(AND(COUNTIF($DA$2:$DA$47,DB2553)=0,COUNTIF($DB$2:DB2553,DB2553)=1),2552,""))</f>
        <v/>
      </c>
    </row>
    <row r="2554">
      <c r="DB2554">
        <f>IF('История отказов'!AW157="","",'История отказов'!AW157)</f>
        <v/>
      </c>
      <c r="DL2554">
        <f>IF(DB2554="","",IF(AND(COUNTIF($DA$2:$DA$47,DB2554)=0,COUNTIF($DB$2:DB2554,DB2554)=1),2553,""))</f>
        <v/>
      </c>
    </row>
    <row r="2555">
      <c r="DB2555">
        <f>IF('История отказов'!AW158="","",'История отказов'!AW158)</f>
        <v/>
      </c>
      <c r="DL2555">
        <f>IF(DB2555="","",IF(AND(COUNTIF($DA$2:$DA$47,DB2555)=0,COUNTIF($DB$2:DB2555,DB2555)=1),2554,""))</f>
        <v/>
      </c>
    </row>
    <row r="2556">
      <c r="DB2556">
        <f>IF('История отказов'!AW159="","",'История отказов'!AW159)</f>
        <v/>
      </c>
      <c r="DL2556">
        <f>IF(DB2556="","",IF(AND(COUNTIF($DA$2:$DA$47,DB2556)=0,COUNTIF($DB$2:DB2556,DB2556)=1),2555,""))</f>
        <v/>
      </c>
    </row>
    <row r="2557">
      <c r="DB2557">
        <f>IF('История отказов'!AW160="","",'История отказов'!AW160)</f>
        <v/>
      </c>
      <c r="DL2557">
        <f>IF(DB2557="","",IF(AND(COUNTIF($DA$2:$DA$47,DB2557)=0,COUNTIF($DB$2:DB2557,DB2557)=1),2556,""))</f>
        <v/>
      </c>
    </row>
    <row r="2558">
      <c r="DB2558">
        <f>IF('История отказов'!AW161="","",'История отказов'!AW161)</f>
        <v/>
      </c>
      <c r="DL2558">
        <f>IF(DB2558="","",IF(AND(COUNTIF($DA$2:$DA$47,DB2558)=0,COUNTIF($DB$2:DB2558,DB2558)=1),2557,""))</f>
        <v/>
      </c>
    </row>
    <row r="2559">
      <c r="DB2559">
        <f>IF('История отказов'!AW162="","",'История отказов'!AW162)</f>
        <v/>
      </c>
      <c r="DL2559">
        <f>IF(DB2559="","",IF(AND(COUNTIF($DA$2:$DA$47,DB2559)=0,COUNTIF($DB$2:DB2559,DB2559)=1),2558,""))</f>
        <v/>
      </c>
    </row>
    <row r="2560">
      <c r="DB2560">
        <f>IF('История отказов'!AW163="","",'История отказов'!AW163)</f>
        <v/>
      </c>
      <c r="DL2560">
        <f>IF(DB2560="","",IF(AND(COUNTIF($DA$2:$DA$47,DB2560)=0,COUNTIF($DB$2:DB2560,DB2560)=1),2559,""))</f>
        <v/>
      </c>
    </row>
    <row r="2561">
      <c r="DB2561">
        <f>IF('История отказов'!AW164="","",'История отказов'!AW164)</f>
        <v/>
      </c>
      <c r="DL2561">
        <f>IF(DB2561="","",IF(AND(COUNTIF($DA$2:$DA$47,DB2561)=0,COUNTIF($DB$2:DB2561,DB2561)=1),2560,""))</f>
        <v/>
      </c>
    </row>
    <row r="2562">
      <c r="DB2562">
        <f>IF('История отказов'!AW165="","",'История отказов'!AW165)</f>
        <v/>
      </c>
      <c r="DL2562">
        <f>IF(DB2562="","",IF(AND(COUNTIF($DA$2:$DA$47,DB2562)=0,COUNTIF($DB$2:DB2562,DB2562)=1),2561,""))</f>
        <v/>
      </c>
    </row>
    <row r="2563">
      <c r="DB2563">
        <f>IF('История отказов'!AW166="","",'История отказов'!AW166)</f>
        <v/>
      </c>
      <c r="DL2563">
        <f>IF(DB2563="","",IF(AND(COUNTIF($DA$2:$DA$47,DB2563)=0,COUNTIF($DB$2:DB2563,DB2563)=1),2562,""))</f>
        <v/>
      </c>
    </row>
    <row r="2564">
      <c r="DB2564">
        <f>IF('История отказов'!AW167="","",'История отказов'!AW167)</f>
        <v/>
      </c>
      <c r="DL2564">
        <f>IF(DB2564="","",IF(AND(COUNTIF($DA$2:$DA$47,DB2564)=0,COUNTIF($DB$2:DB2564,DB2564)=1),2563,""))</f>
        <v/>
      </c>
    </row>
    <row r="2565">
      <c r="DB2565">
        <f>IF('История отказов'!AW168="","",'История отказов'!AW168)</f>
        <v/>
      </c>
      <c r="DL2565">
        <f>IF(DB2565="","",IF(AND(COUNTIF($DA$2:$DA$47,DB2565)=0,COUNTIF($DB$2:DB2565,DB2565)=1),2564,""))</f>
        <v/>
      </c>
    </row>
    <row r="2566">
      <c r="DB2566">
        <f>IF('История отказов'!AW169="","",'История отказов'!AW169)</f>
        <v/>
      </c>
      <c r="DL2566">
        <f>IF(DB2566="","",IF(AND(COUNTIF($DA$2:$DA$47,DB2566)=0,COUNTIF($DB$2:DB2566,DB2566)=1),2565,""))</f>
        <v/>
      </c>
    </row>
    <row r="2567">
      <c r="DB2567">
        <f>IF('История отказов'!AW170="","",'История отказов'!AW170)</f>
        <v/>
      </c>
      <c r="DL2567">
        <f>IF(DB2567="","",IF(AND(COUNTIF($DA$2:$DA$47,DB2567)=0,COUNTIF($DB$2:DB2567,DB2567)=1),2566,""))</f>
        <v/>
      </c>
    </row>
    <row r="2568">
      <c r="DB2568">
        <f>IF('История отказов'!AW171="","",'История отказов'!AW171)</f>
        <v/>
      </c>
      <c r="DL2568">
        <f>IF(DB2568="","",IF(AND(COUNTIF($DA$2:$DA$47,DB2568)=0,COUNTIF($DB$2:DB2568,DB2568)=1),2567,""))</f>
        <v/>
      </c>
    </row>
    <row r="2569">
      <c r="DB2569">
        <f>IF('История отказов'!AW172="","",'История отказов'!AW172)</f>
        <v/>
      </c>
      <c r="DL2569">
        <f>IF(DB2569="","",IF(AND(COUNTIF($DA$2:$DA$47,DB2569)=0,COUNTIF($DB$2:DB2569,DB2569)=1),2568,""))</f>
        <v/>
      </c>
    </row>
    <row r="2570">
      <c r="DB2570">
        <f>IF('История отказов'!AW173="","",'История отказов'!AW173)</f>
        <v/>
      </c>
      <c r="DL2570">
        <f>IF(DB2570="","",IF(AND(COUNTIF($DA$2:$DA$47,DB2570)=0,COUNTIF($DB$2:DB2570,DB2570)=1),2569,""))</f>
        <v/>
      </c>
    </row>
    <row r="2571">
      <c r="DB2571">
        <f>IF('История отказов'!AW174="","",'История отказов'!AW174)</f>
        <v/>
      </c>
      <c r="DL2571">
        <f>IF(DB2571="","",IF(AND(COUNTIF($DA$2:$DA$47,DB2571)=0,COUNTIF($DB$2:DB2571,DB2571)=1),2570,""))</f>
        <v/>
      </c>
    </row>
    <row r="2572">
      <c r="DB2572">
        <f>IF('История отказов'!AW175="","",'История отказов'!AW175)</f>
        <v/>
      </c>
      <c r="DL2572">
        <f>IF(DB2572="","",IF(AND(COUNTIF($DA$2:$DA$47,DB2572)=0,COUNTIF($DB$2:DB2572,DB2572)=1),2571,""))</f>
        <v/>
      </c>
    </row>
    <row r="2573">
      <c r="DB2573">
        <f>IF('История отказов'!AW176="","",'История отказов'!AW176)</f>
        <v/>
      </c>
      <c r="DL2573">
        <f>IF(DB2573="","",IF(AND(COUNTIF($DA$2:$DA$47,DB2573)=0,COUNTIF($DB$2:DB2573,DB2573)=1),2572,""))</f>
        <v/>
      </c>
    </row>
    <row r="2574">
      <c r="DB2574">
        <f>IF('История отказов'!AW177="","",'История отказов'!AW177)</f>
        <v/>
      </c>
      <c r="DL2574">
        <f>IF(DB2574="","",IF(AND(COUNTIF($DA$2:$DA$47,DB2574)=0,COUNTIF($DB$2:DB2574,DB2574)=1),2573,""))</f>
        <v/>
      </c>
    </row>
    <row r="2575">
      <c r="DB2575">
        <f>IF('История отказов'!AW178="","",'История отказов'!AW178)</f>
        <v/>
      </c>
      <c r="DL2575">
        <f>IF(DB2575="","",IF(AND(COUNTIF($DA$2:$DA$47,DB2575)=0,COUNTIF($DB$2:DB2575,DB2575)=1),2574,""))</f>
        <v/>
      </c>
    </row>
    <row r="2576">
      <c r="DB2576">
        <f>IF('История отказов'!AW179="","",'История отказов'!AW179)</f>
        <v/>
      </c>
      <c r="DL2576">
        <f>IF(DB2576="","",IF(AND(COUNTIF($DA$2:$DA$47,DB2576)=0,COUNTIF($DB$2:DB2576,DB2576)=1),2575,""))</f>
        <v/>
      </c>
    </row>
    <row r="2577">
      <c r="DB2577">
        <f>IF('История отказов'!AW180="","",'История отказов'!AW180)</f>
        <v/>
      </c>
      <c r="DL2577">
        <f>IF(DB2577="","",IF(AND(COUNTIF($DA$2:$DA$47,DB2577)=0,COUNTIF($DB$2:DB2577,DB2577)=1),2576,""))</f>
        <v/>
      </c>
    </row>
    <row r="2578">
      <c r="DB2578">
        <f>IF('История отказов'!AW181="","",'История отказов'!AW181)</f>
        <v/>
      </c>
      <c r="DL2578">
        <f>IF(DB2578="","",IF(AND(COUNTIF($DA$2:$DA$47,DB2578)=0,COUNTIF($DB$2:DB2578,DB2578)=1),2577,""))</f>
        <v/>
      </c>
    </row>
    <row r="2579">
      <c r="DB2579">
        <f>IF('История отказов'!AW182="","",'История отказов'!AW182)</f>
        <v/>
      </c>
      <c r="DL2579">
        <f>IF(DB2579="","",IF(AND(COUNTIF($DA$2:$DA$47,DB2579)=0,COUNTIF($DB$2:DB2579,DB2579)=1),2578,""))</f>
        <v/>
      </c>
    </row>
    <row r="2580">
      <c r="DB2580">
        <f>IF('История отказов'!AW183="","",'История отказов'!AW183)</f>
        <v/>
      </c>
      <c r="DL2580">
        <f>IF(DB2580="","",IF(AND(COUNTIF($DA$2:$DA$47,DB2580)=0,COUNTIF($DB$2:DB2580,DB2580)=1),2579,""))</f>
        <v/>
      </c>
    </row>
    <row r="2581">
      <c r="DB2581">
        <f>IF('История отказов'!AW184="","",'История отказов'!AW184)</f>
        <v/>
      </c>
      <c r="DL2581">
        <f>IF(DB2581="","",IF(AND(COUNTIF($DA$2:$DA$47,DB2581)=0,COUNTIF($DB$2:DB2581,DB2581)=1),2580,""))</f>
        <v/>
      </c>
    </row>
    <row r="2582">
      <c r="DB2582">
        <f>IF('История отказов'!AW185="","",'История отказов'!AW185)</f>
        <v/>
      </c>
      <c r="DL2582">
        <f>IF(DB2582="","",IF(AND(COUNTIF($DA$2:$DA$47,DB2582)=0,COUNTIF($DB$2:DB2582,DB2582)=1),2581,""))</f>
        <v/>
      </c>
    </row>
    <row r="2583">
      <c r="DB2583">
        <f>IF('История отказов'!AW186="","",'История отказов'!AW186)</f>
        <v/>
      </c>
      <c r="DL2583">
        <f>IF(DB2583="","",IF(AND(COUNTIF($DA$2:$DA$47,DB2583)=0,COUNTIF($DB$2:DB2583,DB2583)=1),2582,""))</f>
        <v/>
      </c>
    </row>
    <row r="2584">
      <c r="DB2584">
        <f>IF('История отказов'!AW187="","",'История отказов'!AW187)</f>
        <v/>
      </c>
      <c r="DL2584">
        <f>IF(DB2584="","",IF(AND(COUNTIF($DA$2:$DA$47,DB2584)=0,COUNTIF($DB$2:DB2584,DB2584)=1),2583,""))</f>
        <v/>
      </c>
    </row>
    <row r="2585">
      <c r="DB2585">
        <f>IF('История отказов'!AW188="","",'История отказов'!AW188)</f>
        <v/>
      </c>
      <c r="DL2585">
        <f>IF(DB2585="","",IF(AND(COUNTIF($DA$2:$DA$47,DB2585)=0,COUNTIF($DB$2:DB2585,DB2585)=1),2584,""))</f>
        <v/>
      </c>
    </row>
    <row r="2586">
      <c r="DB2586">
        <f>IF('История отказов'!AW189="","",'История отказов'!AW189)</f>
        <v/>
      </c>
      <c r="DL2586">
        <f>IF(DB2586="","",IF(AND(COUNTIF($DA$2:$DA$47,DB2586)=0,COUNTIF($DB$2:DB2586,DB2586)=1),2585,""))</f>
        <v/>
      </c>
    </row>
    <row r="2587">
      <c r="DB2587">
        <f>IF('История отказов'!AW190="","",'История отказов'!AW190)</f>
        <v/>
      </c>
      <c r="DL2587">
        <f>IF(DB2587="","",IF(AND(COUNTIF($DA$2:$DA$47,DB2587)=0,COUNTIF($DB$2:DB2587,DB2587)=1),2586,""))</f>
        <v/>
      </c>
    </row>
    <row r="2588">
      <c r="DB2588">
        <f>IF('История отказов'!AW191="","",'История отказов'!AW191)</f>
        <v/>
      </c>
      <c r="DL2588">
        <f>IF(DB2588="","",IF(AND(COUNTIF($DA$2:$DA$47,DB2588)=0,COUNTIF($DB$2:DB2588,DB2588)=1),2587,""))</f>
        <v/>
      </c>
    </row>
    <row r="2589">
      <c r="DB2589">
        <f>IF('История отказов'!AW192="","",'История отказов'!AW192)</f>
        <v/>
      </c>
      <c r="DL2589">
        <f>IF(DB2589="","",IF(AND(COUNTIF($DA$2:$DA$47,DB2589)=0,COUNTIF($DB$2:DB2589,DB2589)=1),2588,""))</f>
        <v/>
      </c>
    </row>
    <row r="2590">
      <c r="DB2590">
        <f>IF('История отказов'!AW193="","",'История отказов'!AW193)</f>
        <v/>
      </c>
      <c r="DL2590">
        <f>IF(DB2590="","",IF(AND(COUNTIF($DA$2:$DA$47,DB2590)=0,COUNTIF($DB$2:DB2590,DB2590)=1),2589,""))</f>
        <v/>
      </c>
    </row>
    <row r="2591">
      <c r="DB2591">
        <f>IF('История отказов'!AW194="","",'История отказов'!AW194)</f>
        <v/>
      </c>
      <c r="DL2591">
        <f>IF(DB2591="","",IF(AND(COUNTIF($DA$2:$DA$47,DB2591)=0,COUNTIF($DB$2:DB2591,DB2591)=1),2590,""))</f>
        <v/>
      </c>
    </row>
    <row r="2592">
      <c r="DB2592">
        <f>IF('История отказов'!AW195="","",'История отказов'!AW195)</f>
        <v/>
      </c>
      <c r="DL2592">
        <f>IF(DB2592="","",IF(AND(COUNTIF($DA$2:$DA$47,DB2592)=0,COUNTIF($DB$2:DB2592,DB2592)=1),2591,""))</f>
        <v/>
      </c>
    </row>
    <row r="2593">
      <c r="DB2593">
        <f>IF('История отказов'!AW196="","",'История отказов'!AW196)</f>
        <v/>
      </c>
      <c r="DL2593">
        <f>IF(DB2593="","",IF(AND(COUNTIF($DA$2:$DA$47,DB2593)=0,COUNTIF($DB$2:DB2593,DB2593)=1),2592,""))</f>
        <v/>
      </c>
    </row>
    <row r="2594">
      <c r="DB2594">
        <f>IF('История отказов'!AW197="","",'История отказов'!AW197)</f>
        <v/>
      </c>
      <c r="DL2594">
        <f>IF(DB2594="","",IF(AND(COUNTIF($DA$2:$DA$47,DB2594)=0,COUNTIF($DB$2:DB2594,DB2594)=1),2593,""))</f>
        <v/>
      </c>
    </row>
    <row r="2595">
      <c r="DB2595">
        <f>IF('История отказов'!AW198="","",'История отказов'!AW198)</f>
        <v/>
      </c>
      <c r="DL2595">
        <f>IF(DB2595="","",IF(AND(COUNTIF($DA$2:$DA$47,DB2595)=0,COUNTIF($DB$2:DB2595,DB2595)=1),2594,""))</f>
        <v/>
      </c>
    </row>
    <row r="2596">
      <c r="DB2596">
        <f>IF('История отказов'!AW199="","",'История отказов'!AW199)</f>
        <v/>
      </c>
      <c r="DL2596">
        <f>IF(DB2596="","",IF(AND(COUNTIF($DA$2:$DA$47,DB2596)=0,COUNTIF($DB$2:DB2596,DB2596)=1),2595,""))</f>
        <v/>
      </c>
    </row>
    <row r="2597">
      <c r="DB2597">
        <f>IF('История отказов'!AW200="","",'История отказов'!AW200)</f>
        <v/>
      </c>
      <c r="DL2597">
        <f>IF(DB2597="","",IF(AND(COUNTIF($DA$2:$DA$47,DB2597)=0,COUNTIF($DB$2:DB2597,DB2597)=1),2596,""))</f>
        <v/>
      </c>
    </row>
    <row r="2598">
      <c r="DB2598">
        <f>IF('История отказов'!AW201="","",'История отказов'!AW201)</f>
        <v/>
      </c>
      <c r="DL2598">
        <f>IF(DB2598="","",IF(AND(COUNTIF($DA$2:$DA$47,DB2598)=0,COUNTIF($DB$2:DB2598,DB2598)=1),2597,""))</f>
        <v/>
      </c>
    </row>
    <row r="2599">
      <c r="DB2599">
        <f>IF('История отказов'!AW202="","",'История отказов'!AW202)</f>
        <v/>
      </c>
      <c r="DL2599">
        <f>IF(DB2599="","",IF(AND(COUNTIF($DA$2:$DA$47,DB2599)=0,COUNTIF($DB$2:DB2599,DB2599)=1),2598,""))</f>
        <v/>
      </c>
    </row>
    <row r="2600">
      <c r="DB2600">
        <f>IF('История отказов'!AW203="","",'История отказов'!AW203)</f>
        <v/>
      </c>
      <c r="DL2600">
        <f>IF(DB2600="","",IF(AND(COUNTIF($DA$2:$DA$47,DB2600)=0,COUNTIF($DB$2:DB2600,DB2600)=1),2599,""))</f>
        <v/>
      </c>
    </row>
    <row r="2601">
      <c r="DB2601">
        <f>IF('История отказов'!AW204="","",'История отказов'!AW204)</f>
        <v/>
      </c>
      <c r="DL2601">
        <f>IF(DB2601="","",IF(AND(COUNTIF($DA$2:$DA$47,DB2601)=0,COUNTIF($DB$2:DB2601,DB2601)=1),2600,""))</f>
        <v/>
      </c>
    </row>
    <row r="2602">
      <c r="DB2602">
        <f>IF('История отказов'!AW205="","",'История отказов'!AW205)</f>
        <v/>
      </c>
      <c r="DL2602">
        <f>IF(DB2602="","",IF(AND(COUNTIF($DA$2:$DA$47,DB2602)=0,COUNTIF($DB$2:DB2602,DB2602)=1),2601,""))</f>
        <v/>
      </c>
    </row>
    <row r="2603">
      <c r="DB2603">
        <f>IF('История отказов'!AW206="","",'История отказов'!AW206)</f>
        <v/>
      </c>
      <c r="DL2603">
        <f>IF(DB2603="","",IF(AND(COUNTIF($DA$2:$DA$47,DB2603)=0,COUNTIF($DB$2:DB2603,DB2603)=1),2602,""))</f>
        <v/>
      </c>
    </row>
    <row r="2604">
      <c r="DB2604">
        <f>IF('История отказов'!AW207="","",'История отказов'!AW207)</f>
        <v/>
      </c>
      <c r="DL2604">
        <f>IF(DB2604="","",IF(AND(COUNTIF($DA$2:$DA$47,DB2604)=0,COUNTIF($DB$2:DB2604,DB2604)=1),2603,""))</f>
        <v/>
      </c>
    </row>
    <row r="2605">
      <c r="DB2605">
        <f>IF('История отказов'!AW208="","",'История отказов'!AW208)</f>
        <v/>
      </c>
      <c r="DL2605">
        <f>IF(DB2605="","",IF(AND(COUNTIF($DA$2:$DA$47,DB2605)=0,COUNTIF($DB$2:DB2605,DB2605)=1),2604,""))</f>
        <v/>
      </c>
    </row>
    <row r="2606">
      <c r="DB2606">
        <f>IF('История отказов'!AW209="","",'История отказов'!AW209)</f>
        <v/>
      </c>
      <c r="DL2606">
        <f>IF(DB2606="","",IF(AND(COUNTIF($DA$2:$DA$47,DB2606)=0,COUNTIF($DB$2:DB2606,DB2606)=1),2605,""))</f>
        <v/>
      </c>
    </row>
    <row r="2607">
      <c r="DB2607">
        <f>IF('История отказов'!AW210="","",'История отказов'!AW210)</f>
        <v/>
      </c>
      <c r="DL2607">
        <f>IF(DB2607="","",IF(AND(COUNTIF($DA$2:$DA$47,DB2607)=0,COUNTIF($DB$2:DB2607,DB2607)=1),2606,""))</f>
        <v/>
      </c>
    </row>
    <row r="2608">
      <c r="DB2608">
        <f>IF('История отказов'!AW211="","",'История отказов'!AW211)</f>
        <v/>
      </c>
      <c r="DL2608">
        <f>IF(DB2608="","",IF(AND(COUNTIF($DA$2:$DA$47,DB2608)=0,COUNTIF($DB$2:DB2608,DB2608)=1),2607,""))</f>
        <v/>
      </c>
    </row>
    <row r="2609">
      <c r="DB2609">
        <f>IF('История отказов'!AW212="","",'История отказов'!AW212)</f>
        <v/>
      </c>
      <c r="DL2609">
        <f>IF(DB2609="","",IF(AND(COUNTIF($DA$2:$DA$47,DB2609)=0,COUNTIF($DB$2:DB2609,DB2609)=1),2608,""))</f>
        <v/>
      </c>
    </row>
    <row r="2610">
      <c r="DB2610">
        <f>IF('История отказов'!AW213="","",'История отказов'!AW213)</f>
        <v/>
      </c>
      <c r="DL2610">
        <f>IF(DB2610="","",IF(AND(COUNTIF($DA$2:$DA$47,DB2610)=0,COUNTIF($DB$2:DB2610,DB2610)=1),2609,""))</f>
        <v/>
      </c>
    </row>
    <row r="2611">
      <c r="DB2611">
        <f>IF('История отказов'!AW214="","",'История отказов'!AW214)</f>
        <v/>
      </c>
      <c r="DL2611">
        <f>IF(DB2611="","",IF(AND(COUNTIF($DA$2:$DA$47,DB2611)=0,COUNTIF($DB$2:DB2611,DB2611)=1),2610,""))</f>
        <v/>
      </c>
    </row>
    <row r="2612">
      <c r="DB2612">
        <f>IF('История отказов'!AW215="","",'История отказов'!AW215)</f>
        <v/>
      </c>
      <c r="DL2612">
        <f>IF(DB2612="","",IF(AND(COUNTIF($DA$2:$DA$47,DB2612)=0,COUNTIF($DB$2:DB2612,DB2612)=1),2611,""))</f>
        <v/>
      </c>
    </row>
    <row r="2613">
      <c r="DB2613">
        <f>IF('История отказов'!AW216="","",'История отказов'!AW216)</f>
        <v/>
      </c>
      <c r="DL2613">
        <f>IF(DB2613="","",IF(AND(COUNTIF($DA$2:$DA$47,DB2613)=0,COUNTIF($DB$2:DB2613,DB2613)=1),2612,""))</f>
        <v/>
      </c>
    </row>
    <row r="2614">
      <c r="DB2614">
        <f>IF('История отказов'!AW217="","",'История отказов'!AW217)</f>
        <v/>
      </c>
      <c r="DL2614">
        <f>IF(DB2614="","",IF(AND(COUNTIF($DA$2:$DA$47,DB2614)=0,COUNTIF($DB$2:DB2614,DB2614)=1),2613,""))</f>
        <v/>
      </c>
    </row>
    <row r="2615">
      <c r="DB2615">
        <f>IF('История отказов'!AW218="","",'История отказов'!AW218)</f>
        <v/>
      </c>
      <c r="DL2615">
        <f>IF(DB2615="","",IF(AND(COUNTIF($DA$2:$DA$47,DB2615)=0,COUNTIF($DB$2:DB2615,DB2615)=1),2614,""))</f>
        <v/>
      </c>
    </row>
    <row r="2616">
      <c r="DB2616">
        <f>IF('История отказов'!AW219="","",'История отказов'!AW219)</f>
        <v/>
      </c>
      <c r="DL2616">
        <f>IF(DB2616="","",IF(AND(COUNTIF($DA$2:$DA$47,DB2616)=0,COUNTIF($DB$2:DB2616,DB2616)=1),2615,""))</f>
        <v/>
      </c>
    </row>
    <row r="2617">
      <c r="DB2617">
        <f>IF('История отказов'!AW220="","",'История отказов'!AW220)</f>
        <v/>
      </c>
      <c r="DL2617">
        <f>IF(DB2617="","",IF(AND(COUNTIF($DA$2:$DA$47,DB2617)=0,COUNTIF($DB$2:DB2617,DB2617)=1),2616,""))</f>
        <v/>
      </c>
    </row>
    <row r="2618">
      <c r="DB2618">
        <f>IF('История отказов'!AW221="","",'История отказов'!AW221)</f>
        <v/>
      </c>
      <c r="DL2618">
        <f>IF(DB2618="","",IF(AND(COUNTIF($DA$2:$DA$47,DB2618)=0,COUNTIF($DB$2:DB2618,DB2618)=1),2617,""))</f>
        <v/>
      </c>
    </row>
    <row r="2619">
      <c r="DB2619">
        <f>IF('История отказов'!AW222="","",'История отказов'!AW222)</f>
        <v/>
      </c>
      <c r="DL2619">
        <f>IF(DB2619="","",IF(AND(COUNTIF($DA$2:$DA$47,DB2619)=0,COUNTIF($DB$2:DB2619,DB2619)=1),2618,""))</f>
        <v/>
      </c>
    </row>
    <row r="2620">
      <c r="DB2620">
        <f>IF('История отказов'!AW223="","",'История отказов'!AW223)</f>
        <v/>
      </c>
      <c r="DL2620">
        <f>IF(DB2620="","",IF(AND(COUNTIF($DA$2:$DA$47,DB2620)=0,COUNTIF($DB$2:DB2620,DB2620)=1),2619,""))</f>
        <v/>
      </c>
    </row>
    <row r="2621">
      <c r="DB2621">
        <f>IF('История отказов'!AW224="","",'История отказов'!AW224)</f>
        <v/>
      </c>
      <c r="DL2621">
        <f>IF(DB2621="","",IF(AND(COUNTIF($DA$2:$DA$47,DB2621)=0,COUNTIF($DB$2:DB2621,DB2621)=1),2620,""))</f>
        <v/>
      </c>
    </row>
    <row r="2622">
      <c r="DB2622">
        <f>IF('История отказов'!AW225="","",'История отказов'!AW225)</f>
        <v/>
      </c>
      <c r="DL2622">
        <f>IF(DB2622="","",IF(AND(COUNTIF($DA$2:$DA$47,DB2622)=0,COUNTIF($DB$2:DB2622,DB2622)=1),2621,""))</f>
        <v/>
      </c>
    </row>
    <row r="2623">
      <c r="DB2623">
        <f>IF('История отказов'!AW226="","",'История отказов'!AW226)</f>
        <v/>
      </c>
      <c r="DL2623">
        <f>IF(DB2623="","",IF(AND(COUNTIF($DA$2:$DA$47,DB2623)=0,COUNTIF($DB$2:DB2623,DB2623)=1),2622,""))</f>
        <v/>
      </c>
    </row>
    <row r="2624">
      <c r="DB2624">
        <f>IF('История отказов'!AW227="","",'История отказов'!AW227)</f>
        <v/>
      </c>
      <c r="DL2624">
        <f>IF(DB2624="","",IF(AND(COUNTIF($DA$2:$DA$47,DB2624)=0,COUNTIF($DB$2:DB2624,DB2624)=1),2623,""))</f>
        <v/>
      </c>
    </row>
    <row r="2625">
      <c r="DB2625">
        <f>IF('История отказов'!AW228="","",'История отказов'!AW228)</f>
        <v/>
      </c>
      <c r="DL2625">
        <f>IF(DB2625="","",IF(AND(COUNTIF($DA$2:$DA$47,DB2625)=0,COUNTIF($DB$2:DB2625,DB2625)=1),2624,""))</f>
        <v/>
      </c>
    </row>
    <row r="2626">
      <c r="DB2626">
        <f>IF('История отказов'!AW229="","",'История отказов'!AW229)</f>
        <v/>
      </c>
      <c r="DL2626">
        <f>IF(DB2626="","",IF(AND(COUNTIF($DA$2:$DA$47,DB2626)=0,COUNTIF($DB$2:DB2626,DB2626)=1),2625,""))</f>
        <v/>
      </c>
    </row>
    <row r="2627">
      <c r="DB2627">
        <f>IF('История отказов'!AW230="","",'История отказов'!AW230)</f>
        <v/>
      </c>
      <c r="DL2627">
        <f>IF(DB2627="","",IF(AND(COUNTIF($DA$2:$DA$47,DB2627)=0,COUNTIF($DB$2:DB2627,DB2627)=1),2626,""))</f>
        <v/>
      </c>
    </row>
    <row r="2628">
      <c r="DB2628">
        <f>IF('История отказов'!AW231="","",'История отказов'!AW231)</f>
        <v/>
      </c>
      <c r="DL2628">
        <f>IF(DB2628="","",IF(AND(COUNTIF($DA$2:$DA$47,DB2628)=0,COUNTIF($DB$2:DB2628,DB2628)=1),2627,""))</f>
        <v/>
      </c>
    </row>
    <row r="2629">
      <c r="DB2629">
        <f>IF('История отказов'!AW232="","",'История отказов'!AW232)</f>
        <v/>
      </c>
      <c r="DL2629">
        <f>IF(DB2629="","",IF(AND(COUNTIF($DA$2:$DA$47,DB2629)=0,COUNTIF($DB$2:DB2629,DB2629)=1),2628,""))</f>
        <v/>
      </c>
    </row>
    <row r="2630">
      <c r="DB2630">
        <f>IF('История отказов'!AW233="","",'История отказов'!AW233)</f>
        <v/>
      </c>
      <c r="DL2630">
        <f>IF(DB2630="","",IF(AND(COUNTIF($DA$2:$DA$47,DB2630)=0,COUNTIF($DB$2:DB2630,DB2630)=1),2629,""))</f>
        <v/>
      </c>
    </row>
    <row r="2631">
      <c r="DB2631">
        <f>IF('История отказов'!AW234="","",'История отказов'!AW234)</f>
        <v/>
      </c>
      <c r="DL2631">
        <f>IF(DB2631="","",IF(AND(COUNTIF($DA$2:$DA$47,DB2631)=0,COUNTIF($DB$2:DB2631,DB2631)=1),2630,""))</f>
        <v/>
      </c>
    </row>
    <row r="2632">
      <c r="DB2632">
        <f>IF('История отказов'!AW235="","",'История отказов'!AW235)</f>
        <v/>
      </c>
      <c r="DL2632">
        <f>IF(DB2632="","",IF(AND(COUNTIF($DA$2:$DA$47,DB2632)=0,COUNTIF($DB$2:DB2632,DB2632)=1),2631,""))</f>
        <v/>
      </c>
    </row>
    <row r="2633">
      <c r="DB2633">
        <f>IF('История отказов'!AW236="","",'История отказов'!AW236)</f>
        <v/>
      </c>
      <c r="DL2633">
        <f>IF(DB2633="","",IF(AND(COUNTIF($DA$2:$DA$47,DB2633)=0,COUNTIF($DB$2:DB2633,DB2633)=1),2632,""))</f>
        <v/>
      </c>
    </row>
    <row r="2634">
      <c r="DB2634">
        <f>IF('История отказов'!AW237="","",'История отказов'!AW237)</f>
        <v/>
      </c>
      <c r="DL2634">
        <f>IF(DB2634="","",IF(AND(COUNTIF($DA$2:$DA$47,DB2634)=0,COUNTIF($DB$2:DB2634,DB2634)=1),2633,""))</f>
        <v/>
      </c>
    </row>
    <row r="2635">
      <c r="DB2635">
        <f>IF('История отказов'!AW238="","",'История отказов'!AW238)</f>
        <v/>
      </c>
      <c r="DL2635">
        <f>IF(DB2635="","",IF(AND(COUNTIF($DA$2:$DA$47,DB2635)=0,COUNTIF($DB$2:DB2635,DB2635)=1),2634,""))</f>
        <v/>
      </c>
    </row>
    <row r="2636">
      <c r="DB2636">
        <f>IF('История отказов'!AW239="","",'История отказов'!AW239)</f>
        <v/>
      </c>
      <c r="DL2636">
        <f>IF(DB2636="","",IF(AND(COUNTIF($DA$2:$DA$47,DB2636)=0,COUNTIF($DB$2:DB2636,DB2636)=1),2635,""))</f>
        <v/>
      </c>
    </row>
    <row r="2637">
      <c r="DB2637">
        <f>IF('История отказов'!AW240="","",'История отказов'!AW240)</f>
        <v/>
      </c>
      <c r="DL2637">
        <f>IF(DB2637="","",IF(AND(COUNTIF($DA$2:$DA$47,DB2637)=0,COUNTIF($DB$2:DB2637,DB2637)=1),2636,""))</f>
        <v/>
      </c>
    </row>
    <row r="2638">
      <c r="DB2638">
        <f>IF('История отказов'!AW241="","",'История отказов'!AW241)</f>
        <v/>
      </c>
      <c r="DL2638">
        <f>IF(DB2638="","",IF(AND(COUNTIF($DA$2:$DA$47,DB2638)=0,COUNTIF($DB$2:DB2638,DB2638)=1),2637,""))</f>
        <v/>
      </c>
    </row>
    <row r="2639">
      <c r="DB2639">
        <f>IF('История отказов'!AW242="","",'История отказов'!AW242)</f>
        <v/>
      </c>
      <c r="DL2639">
        <f>IF(DB2639="","",IF(AND(COUNTIF($DA$2:$DA$47,DB2639)=0,COUNTIF($DB$2:DB2639,DB2639)=1),2638,""))</f>
        <v/>
      </c>
    </row>
    <row r="2640">
      <c r="DB2640">
        <f>IF('История отказов'!AW243="","",'История отказов'!AW243)</f>
        <v/>
      </c>
      <c r="DL2640">
        <f>IF(DB2640="","",IF(AND(COUNTIF($DA$2:$DA$47,DB2640)=0,COUNTIF($DB$2:DB2640,DB2640)=1),2639,""))</f>
        <v/>
      </c>
    </row>
    <row r="2641">
      <c r="DB2641">
        <f>IF('История отказов'!AW244="","",'История отказов'!AW244)</f>
        <v/>
      </c>
      <c r="DL2641">
        <f>IF(DB2641="","",IF(AND(COUNTIF($DA$2:$DA$47,DB2641)=0,COUNTIF($DB$2:DB2641,DB2641)=1),2640,""))</f>
        <v/>
      </c>
    </row>
    <row r="2642">
      <c r="DB2642">
        <f>IF('История отказов'!AW245="","",'История отказов'!AW245)</f>
        <v/>
      </c>
      <c r="DL2642">
        <f>IF(DB2642="","",IF(AND(COUNTIF($DA$2:$DA$47,DB2642)=0,COUNTIF($DB$2:DB2642,DB2642)=1),2641,""))</f>
        <v/>
      </c>
    </row>
    <row r="2643">
      <c r="DB2643">
        <f>IF('История отказов'!AW246="","",'История отказов'!AW246)</f>
        <v/>
      </c>
      <c r="DL2643">
        <f>IF(DB2643="","",IF(AND(COUNTIF($DA$2:$DA$47,DB2643)=0,COUNTIF($DB$2:DB2643,DB2643)=1),2642,""))</f>
        <v/>
      </c>
    </row>
    <row r="2644">
      <c r="DB2644">
        <f>IF('История отказов'!AW247="","",'История отказов'!AW247)</f>
        <v/>
      </c>
      <c r="DL2644">
        <f>IF(DB2644="","",IF(AND(COUNTIF($DA$2:$DA$47,DB2644)=0,COUNTIF($DB$2:DB2644,DB2644)=1),2643,""))</f>
        <v/>
      </c>
    </row>
    <row r="2645">
      <c r="DB2645">
        <f>IF('История отказов'!AW248="","",'История отказов'!AW248)</f>
        <v/>
      </c>
      <c r="DL2645">
        <f>IF(DB2645="","",IF(AND(COUNTIF($DA$2:$DA$47,DB2645)=0,COUNTIF($DB$2:DB2645,DB2645)=1),2644,""))</f>
        <v/>
      </c>
    </row>
    <row r="2646">
      <c r="DB2646">
        <f>IF('История отказов'!AW249="","",'История отказов'!AW249)</f>
        <v/>
      </c>
      <c r="DL2646">
        <f>IF(DB2646="","",IF(AND(COUNTIF($DA$2:$DA$47,DB2646)=0,COUNTIF($DB$2:DB2646,DB2646)=1),2645,""))</f>
        <v/>
      </c>
    </row>
    <row r="2647">
      <c r="DB2647">
        <f>IF('История отказов'!AW250="","",'История отказов'!AW250)</f>
        <v/>
      </c>
      <c r="DL2647">
        <f>IF(DB2647="","",IF(AND(COUNTIF($DA$2:$DA$47,DB2647)=0,COUNTIF($DB$2:DB2647,DB2647)=1),2646,""))</f>
        <v/>
      </c>
    </row>
    <row r="2648">
      <c r="DB2648">
        <f>IF('История отказов'!AW251="","",'История отказов'!AW251)</f>
        <v/>
      </c>
      <c r="DL2648">
        <f>IF(DB2648="","",IF(AND(COUNTIF($DA$2:$DA$47,DB2648)=0,COUNTIF($DB$2:DB2648,DB2648)=1),2647,""))</f>
        <v/>
      </c>
    </row>
    <row r="2649">
      <c r="DB2649">
        <f>IF('История отказов'!AW252="","",'История отказов'!AW252)</f>
        <v/>
      </c>
      <c r="DL2649">
        <f>IF(DB2649="","",IF(AND(COUNTIF($DA$2:$DA$47,DB2649)=0,COUNTIF($DB$2:DB2649,DB2649)=1),2648,""))</f>
        <v/>
      </c>
    </row>
    <row r="2650">
      <c r="DB2650">
        <f>IF('История отказов'!AW253="","",'История отказов'!AW253)</f>
        <v/>
      </c>
      <c r="DL2650">
        <f>IF(DB2650="","",IF(AND(COUNTIF($DA$2:$DA$47,DB2650)=0,COUNTIF($DB$2:DB2650,DB2650)=1),2649,""))</f>
        <v/>
      </c>
    </row>
    <row r="2651">
      <c r="DB2651">
        <f>IF('История отказов'!AW254="","",'История отказов'!AW254)</f>
        <v/>
      </c>
      <c r="DL2651">
        <f>IF(DB2651="","",IF(AND(COUNTIF($DA$2:$DA$47,DB2651)=0,COUNTIF($DB$2:DB2651,DB2651)=1),2650,""))</f>
        <v/>
      </c>
    </row>
    <row r="2652">
      <c r="DB2652">
        <f>IF('История отказов'!AW255="","",'История отказов'!AW255)</f>
        <v/>
      </c>
      <c r="DL2652">
        <f>IF(DB2652="","",IF(AND(COUNTIF($DA$2:$DA$47,DB2652)=0,COUNTIF($DB$2:DB2652,DB2652)=1),2651,""))</f>
        <v/>
      </c>
    </row>
    <row r="2653">
      <c r="DB2653">
        <f>IF('История отказов'!AW256="","",'История отказов'!AW256)</f>
        <v/>
      </c>
      <c r="DL2653">
        <f>IF(DB2653="","",IF(AND(COUNTIF($DA$2:$DA$47,DB2653)=0,COUNTIF($DB$2:DB2653,DB2653)=1),2652,""))</f>
        <v/>
      </c>
    </row>
    <row r="2654">
      <c r="DB2654">
        <f>IF('История отказов'!AW257="","",'История отказов'!AW257)</f>
        <v/>
      </c>
      <c r="DL2654">
        <f>IF(DB2654="","",IF(AND(COUNTIF($DA$2:$DA$47,DB2654)=0,COUNTIF($DB$2:DB2654,DB2654)=1),2653,""))</f>
        <v/>
      </c>
    </row>
    <row r="2655">
      <c r="DB2655">
        <f>IF('История отказов'!AW258="","",'История отказов'!AW258)</f>
        <v/>
      </c>
      <c r="DL2655">
        <f>IF(DB2655="","",IF(AND(COUNTIF($DA$2:$DA$47,DB2655)=0,COUNTIF($DB$2:DB2655,DB2655)=1),2654,""))</f>
        <v/>
      </c>
    </row>
    <row r="2656">
      <c r="DB2656">
        <f>IF('История отказов'!AW259="","",'История отказов'!AW259)</f>
        <v/>
      </c>
      <c r="DL2656">
        <f>IF(DB2656="","",IF(AND(COUNTIF($DA$2:$DA$47,DB2656)=0,COUNTIF($DB$2:DB2656,DB2656)=1),2655,""))</f>
        <v/>
      </c>
    </row>
    <row r="2657">
      <c r="DB2657">
        <f>IF('История отказов'!AW260="","",'История отказов'!AW260)</f>
        <v/>
      </c>
      <c r="DL2657">
        <f>IF(DB2657="","",IF(AND(COUNTIF($DA$2:$DA$47,DB2657)=0,COUNTIF($DB$2:DB2657,DB2657)=1),2656,""))</f>
        <v/>
      </c>
    </row>
    <row r="2658">
      <c r="DB2658">
        <f>IF('История отказов'!AW261="","",'История отказов'!AW261)</f>
        <v/>
      </c>
      <c r="DL2658">
        <f>IF(DB2658="","",IF(AND(COUNTIF($DA$2:$DA$47,DB2658)=0,COUNTIF($DB$2:DB2658,DB2658)=1),2657,""))</f>
        <v/>
      </c>
    </row>
    <row r="2659">
      <c r="DB2659">
        <f>IF('История отказов'!AW262="","",'История отказов'!AW262)</f>
        <v/>
      </c>
      <c r="DL2659">
        <f>IF(DB2659="","",IF(AND(COUNTIF($DA$2:$DA$47,DB2659)=0,COUNTIF($DB$2:DB2659,DB2659)=1),2658,""))</f>
        <v/>
      </c>
    </row>
    <row r="2660">
      <c r="DB2660">
        <f>IF('История отказов'!AW263="","",'История отказов'!AW263)</f>
        <v/>
      </c>
      <c r="DL2660">
        <f>IF(DB2660="","",IF(AND(COUNTIF($DA$2:$DA$47,DB2660)=0,COUNTIF($DB$2:DB2660,DB2660)=1),2659,""))</f>
        <v/>
      </c>
    </row>
    <row r="2661">
      <c r="DB2661">
        <f>IF('История отказов'!AW264="","",'История отказов'!AW264)</f>
        <v/>
      </c>
      <c r="DL2661">
        <f>IF(DB2661="","",IF(AND(COUNTIF($DA$2:$DA$47,DB2661)=0,COUNTIF($DB$2:DB2661,DB2661)=1),2660,""))</f>
        <v/>
      </c>
    </row>
    <row r="2662">
      <c r="DB2662">
        <f>IF('История отказов'!AW265="","",'История отказов'!AW265)</f>
        <v/>
      </c>
      <c r="DL2662">
        <f>IF(DB2662="","",IF(AND(COUNTIF($DA$2:$DA$47,DB2662)=0,COUNTIF($DB$2:DB2662,DB2662)=1),2661,""))</f>
        <v/>
      </c>
    </row>
    <row r="2663">
      <c r="DB2663">
        <f>IF('История отказов'!AW266="","",'История отказов'!AW266)</f>
        <v/>
      </c>
      <c r="DL2663">
        <f>IF(DB2663="","",IF(AND(COUNTIF($DA$2:$DA$47,DB2663)=0,COUNTIF($DB$2:DB2663,DB2663)=1),2662,""))</f>
        <v/>
      </c>
    </row>
    <row r="2664">
      <c r="DB2664">
        <f>IF('История отказов'!AW267="","",'История отказов'!AW267)</f>
        <v/>
      </c>
      <c r="DL2664">
        <f>IF(DB2664="","",IF(AND(COUNTIF($DA$2:$DA$47,DB2664)=0,COUNTIF($DB$2:DB2664,DB2664)=1),2663,""))</f>
        <v/>
      </c>
    </row>
    <row r="2665">
      <c r="DB2665">
        <f>IF('История отказов'!AW268="","",'История отказов'!AW268)</f>
        <v/>
      </c>
      <c r="DL2665">
        <f>IF(DB2665="","",IF(AND(COUNTIF($DA$2:$DA$47,DB2665)=0,COUNTIF($DB$2:DB2665,DB2665)=1),2664,""))</f>
        <v/>
      </c>
    </row>
    <row r="2666">
      <c r="DB2666">
        <f>IF('История отказов'!AW269="","",'История отказов'!AW269)</f>
        <v/>
      </c>
      <c r="DL2666">
        <f>IF(DB2666="","",IF(AND(COUNTIF($DA$2:$DA$47,DB2666)=0,COUNTIF($DB$2:DB2666,DB2666)=1),2665,""))</f>
        <v/>
      </c>
    </row>
    <row r="2667">
      <c r="DB2667">
        <f>IF('История отказов'!AW270="","",'История отказов'!AW270)</f>
        <v/>
      </c>
      <c r="DL2667">
        <f>IF(DB2667="","",IF(AND(COUNTIF($DA$2:$DA$47,DB2667)=0,COUNTIF($DB$2:DB2667,DB2667)=1),2666,""))</f>
        <v/>
      </c>
    </row>
    <row r="2668">
      <c r="DB2668">
        <f>IF('История отказов'!AW271="","",'История отказов'!AW271)</f>
        <v/>
      </c>
      <c r="DL2668">
        <f>IF(DB2668="","",IF(AND(COUNTIF($DA$2:$DA$47,DB2668)=0,COUNTIF($DB$2:DB2668,DB2668)=1),2667,""))</f>
        <v/>
      </c>
    </row>
    <row r="2669">
      <c r="DB2669">
        <f>IF('История отказов'!AW272="","",'История отказов'!AW272)</f>
        <v/>
      </c>
      <c r="DL2669">
        <f>IF(DB2669="","",IF(AND(COUNTIF($DA$2:$DA$47,DB2669)=0,COUNTIF($DB$2:DB2669,DB2669)=1),2668,""))</f>
        <v/>
      </c>
    </row>
    <row r="2670">
      <c r="DB2670">
        <f>IF('История отказов'!AW273="","",'История отказов'!AW273)</f>
        <v/>
      </c>
      <c r="DL2670">
        <f>IF(DB2670="","",IF(AND(COUNTIF($DA$2:$DA$47,DB2670)=0,COUNTIF($DB$2:DB2670,DB2670)=1),2669,""))</f>
        <v/>
      </c>
    </row>
    <row r="2671">
      <c r="DB2671">
        <f>IF('История отказов'!AW274="","",'История отказов'!AW274)</f>
        <v/>
      </c>
      <c r="DL2671">
        <f>IF(DB2671="","",IF(AND(COUNTIF($DA$2:$DA$47,DB2671)=0,COUNTIF($DB$2:DB2671,DB2671)=1),2670,""))</f>
        <v/>
      </c>
    </row>
    <row r="2672">
      <c r="DB2672">
        <f>IF('История отказов'!AW275="","",'История отказов'!AW275)</f>
        <v/>
      </c>
      <c r="DL2672">
        <f>IF(DB2672="","",IF(AND(COUNTIF($DA$2:$DA$47,DB2672)=0,COUNTIF($DB$2:DB2672,DB2672)=1),2671,""))</f>
        <v/>
      </c>
    </row>
    <row r="2673">
      <c r="DB2673">
        <f>IF('История отказов'!AW276="","",'История отказов'!AW276)</f>
        <v/>
      </c>
      <c r="DL2673">
        <f>IF(DB2673="","",IF(AND(COUNTIF($DA$2:$DA$47,DB2673)=0,COUNTIF($DB$2:DB2673,DB2673)=1),2672,""))</f>
        <v/>
      </c>
    </row>
    <row r="2674">
      <c r="DB2674">
        <f>IF('История отказов'!AW277="","",'История отказов'!AW277)</f>
        <v/>
      </c>
      <c r="DL2674">
        <f>IF(DB2674="","",IF(AND(COUNTIF($DA$2:$DA$47,DB2674)=0,COUNTIF($DB$2:DB2674,DB2674)=1),2673,""))</f>
        <v/>
      </c>
    </row>
    <row r="2675">
      <c r="DB2675">
        <f>IF('История отказов'!AW278="","",'История отказов'!AW278)</f>
        <v/>
      </c>
      <c r="DL2675">
        <f>IF(DB2675="","",IF(AND(COUNTIF($DA$2:$DA$47,DB2675)=0,COUNTIF($DB$2:DB2675,DB2675)=1),2674,""))</f>
        <v/>
      </c>
    </row>
    <row r="2676">
      <c r="DB2676">
        <f>IF('История отказов'!AW279="","",'История отказов'!AW279)</f>
        <v/>
      </c>
      <c r="DL2676">
        <f>IF(DB2676="","",IF(AND(COUNTIF($DA$2:$DA$47,DB2676)=0,COUNTIF($DB$2:DB2676,DB2676)=1),2675,""))</f>
        <v/>
      </c>
    </row>
    <row r="2677">
      <c r="DB2677">
        <f>IF('История отказов'!AW280="","",'История отказов'!AW280)</f>
        <v/>
      </c>
      <c r="DL2677">
        <f>IF(DB2677="","",IF(AND(COUNTIF($DA$2:$DA$47,DB2677)=0,COUNTIF($DB$2:DB2677,DB2677)=1),2676,""))</f>
        <v/>
      </c>
    </row>
    <row r="2678">
      <c r="DB2678">
        <f>IF('История отказов'!AW281="","",'История отказов'!AW281)</f>
        <v/>
      </c>
      <c r="DL2678">
        <f>IF(DB2678="","",IF(AND(COUNTIF($DA$2:$DA$47,DB2678)=0,COUNTIF($DB$2:DB2678,DB2678)=1),2677,""))</f>
        <v/>
      </c>
    </row>
    <row r="2679">
      <c r="DB2679">
        <f>IF('История отказов'!AW282="","",'История отказов'!AW282)</f>
        <v/>
      </c>
      <c r="DL2679">
        <f>IF(DB2679="","",IF(AND(COUNTIF($DA$2:$DA$47,DB2679)=0,COUNTIF($DB$2:DB2679,DB2679)=1),2678,""))</f>
        <v/>
      </c>
    </row>
    <row r="2680">
      <c r="DB2680">
        <f>IF('История отказов'!AW283="","",'История отказов'!AW283)</f>
        <v/>
      </c>
      <c r="DL2680">
        <f>IF(DB2680="","",IF(AND(COUNTIF($DA$2:$DA$47,DB2680)=0,COUNTIF($DB$2:DB2680,DB2680)=1),2679,""))</f>
        <v/>
      </c>
    </row>
    <row r="2681">
      <c r="DB2681">
        <f>IF('История отказов'!AW284="","",'История отказов'!AW284)</f>
        <v/>
      </c>
      <c r="DL2681">
        <f>IF(DB2681="","",IF(AND(COUNTIF($DA$2:$DA$47,DB2681)=0,COUNTIF($DB$2:DB2681,DB2681)=1),2680,""))</f>
        <v/>
      </c>
    </row>
    <row r="2682">
      <c r="DB2682">
        <f>IF('История отказов'!AW285="","",'История отказов'!AW285)</f>
        <v/>
      </c>
      <c r="DL2682">
        <f>IF(DB2682="","",IF(AND(COUNTIF($DA$2:$DA$47,DB2682)=0,COUNTIF($DB$2:DB2682,DB2682)=1),2681,""))</f>
        <v/>
      </c>
    </row>
    <row r="2683">
      <c r="DB2683">
        <f>IF('История отказов'!AW286="","",'История отказов'!AW286)</f>
        <v/>
      </c>
      <c r="DL2683">
        <f>IF(DB2683="","",IF(AND(COUNTIF($DA$2:$DA$47,DB2683)=0,COUNTIF($DB$2:DB2683,DB2683)=1),2682,""))</f>
        <v/>
      </c>
    </row>
    <row r="2684">
      <c r="DB2684">
        <f>IF('История отказов'!AW287="","",'История отказов'!AW287)</f>
        <v/>
      </c>
      <c r="DL2684">
        <f>IF(DB2684="","",IF(AND(COUNTIF($DA$2:$DA$47,DB2684)=0,COUNTIF($DB$2:DB2684,DB2684)=1),2683,""))</f>
        <v/>
      </c>
    </row>
    <row r="2685">
      <c r="DB2685">
        <f>IF('История отказов'!AW288="","",'История отказов'!AW288)</f>
        <v/>
      </c>
      <c r="DL2685">
        <f>IF(DB2685="","",IF(AND(COUNTIF($DA$2:$DA$47,DB2685)=0,COUNTIF($DB$2:DB2685,DB2685)=1),2684,""))</f>
        <v/>
      </c>
    </row>
    <row r="2686">
      <c r="DB2686">
        <f>IF('История отказов'!AW289="","",'История отказов'!AW289)</f>
        <v/>
      </c>
      <c r="DL2686">
        <f>IF(DB2686="","",IF(AND(COUNTIF($DA$2:$DA$47,DB2686)=0,COUNTIF($DB$2:DB2686,DB2686)=1),2685,""))</f>
        <v/>
      </c>
    </row>
    <row r="2687">
      <c r="DB2687">
        <f>IF('История отказов'!AW290="","",'История отказов'!AW290)</f>
        <v/>
      </c>
      <c r="DL2687">
        <f>IF(DB2687="","",IF(AND(COUNTIF($DA$2:$DA$47,DB2687)=0,COUNTIF($DB$2:DB2687,DB2687)=1),2686,""))</f>
        <v/>
      </c>
    </row>
    <row r="2688">
      <c r="DB2688">
        <f>IF('История отказов'!AW291="","",'История отказов'!AW291)</f>
        <v/>
      </c>
      <c r="DL2688">
        <f>IF(DB2688="","",IF(AND(COUNTIF($DA$2:$DA$47,DB2688)=0,COUNTIF($DB$2:DB2688,DB2688)=1),2687,""))</f>
        <v/>
      </c>
    </row>
    <row r="2689">
      <c r="DB2689">
        <f>IF('История отказов'!AW292="","",'История отказов'!AW292)</f>
        <v/>
      </c>
      <c r="DL2689">
        <f>IF(DB2689="","",IF(AND(COUNTIF($DA$2:$DA$47,DB2689)=0,COUNTIF($DB$2:DB2689,DB2689)=1),2688,""))</f>
        <v/>
      </c>
    </row>
    <row r="2690">
      <c r="DB2690">
        <f>IF('История отказов'!AW293="","",'История отказов'!AW293)</f>
        <v/>
      </c>
      <c r="DL2690">
        <f>IF(DB2690="","",IF(AND(COUNTIF($DA$2:$DA$47,DB2690)=0,COUNTIF($DB$2:DB2690,DB2690)=1),2689,""))</f>
        <v/>
      </c>
    </row>
    <row r="2691">
      <c r="DB2691">
        <f>IF('История отказов'!AW294="","",'История отказов'!AW294)</f>
        <v/>
      </c>
      <c r="DL2691">
        <f>IF(DB2691="","",IF(AND(COUNTIF($DA$2:$DA$47,DB2691)=0,COUNTIF($DB$2:DB2691,DB2691)=1),2690,""))</f>
        <v/>
      </c>
    </row>
    <row r="2692">
      <c r="DB2692">
        <f>IF('История отказов'!AW295="","",'История отказов'!AW295)</f>
        <v/>
      </c>
      <c r="DL2692">
        <f>IF(DB2692="","",IF(AND(COUNTIF($DA$2:$DA$47,DB2692)=0,COUNTIF($DB$2:DB2692,DB2692)=1),2691,""))</f>
        <v/>
      </c>
    </row>
    <row r="2693">
      <c r="DB2693">
        <f>IF('История отказов'!AW296="","",'История отказов'!AW296)</f>
        <v/>
      </c>
      <c r="DL2693">
        <f>IF(DB2693="","",IF(AND(COUNTIF($DA$2:$DA$47,DB2693)=0,COUNTIF($DB$2:DB2693,DB2693)=1),2692,""))</f>
        <v/>
      </c>
    </row>
    <row r="2694">
      <c r="DB2694">
        <f>IF('История отказов'!AW297="","",'История отказов'!AW297)</f>
        <v/>
      </c>
      <c r="DL2694">
        <f>IF(DB2694="","",IF(AND(COUNTIF($DA$2:$DA$47,DB2694)=0,COUNTIF($DB$2:DB2694,DB2694)=1),2693,""))</f>
        <v/>
      </c>
    </row>
    <row r="2695">
      <c r="DB2695">
        <f>IF('История отказов'!AW298="","",'История отказов'!AW298)</f>
        <v/>
      </c>
      <c r="DL2695">
        <f>IF(DB2695="","",IF(AND(COUNTIF($DA$2:$DA$47,DB2695)=0,COUNTIF($DB$2:DB2695,DB2695)=1),2694,""))</f>
        <v/>
      </c>
    </row>
    <row r="2696">
      <c r="DB2696">
        <f>IF('История отказов'!AW299="","",'История отказов'!AW299)</f>
        <v/>
      </c>
      <c r="DL2696">
        <f>IF(DB2696="","",IF(AND(COUNTIF($DA$2:$DA$47,DB2696)=0,COUNTIF($DB$2:DB2696,DB2696)=1),2695,""))</f>
        <v/>
      </c>
    </row>
    <row r="2697">
      <c r="DB2697">
        <f>IF('История отказов'!AW300="","",'История отказов'!AW300)</f>
        <v/>
      </c>
      <c r="DL2697">
        <f>IF(DB2697="","",IF(AND(COUNTIF($DA$2:$DA$47,DB2697)=0,COUNTIF($DB$2:DB2697,DB2697)=1),2696,""))</f>
        <v/>
      </c>
    </row>
    <row r="2698">
      <c r="DB2698">
        <f>IF('История отказов'!AW301="","",'История отказов'!AW301)</f>
        <v/>
      </c>
      <c r="DL2698">
        <f>IF(DB2698="","",IF(AND(COUNTIF($DA$2:$DA$47,DB2698)=0,COUNTIF($DB$2:DB2698,DB2698)=1),2697,""))</f>
        <v/>
      </c>
    </row>
    <row r="2699">
      <c r="DB2699">
        <f>IF('История отказов'!AW302="","",'История отказов'!AW302)</f>
        <v/>
      </c>
      <c r="DL2699">
        <f>IF(DB2699="","",IF(AND(COUNTIF($DA$2:$DA$47,DB2699)=0,COUNTIF($DB$2:DB2699,DB2699)=1),2698,""))</f>
        <v/>
      </c>
    </row>
    <row r="2700">
      <c r="DB2700">
        <f>IF('История отказов'!AW303="","",'История отказов'!AW303)</f>
        <v/>
      </c>
      <c r="DL2700">
        <f>IF(DB2700="","",IF(AND(COUNTIF($DA$2:$DA$47,DB2700)=0,COUNTIF($DB$2:DB2700,DB2700)=1),2699,""))</f>
        <v/>
      </c>
    </row>
    <row r="2701">
      <c r="DB2701">
        <f>IF('История отказов'!AW304="","",'История отказов'!AW304)</f>
        <v/>
      </c>
      <c r="DL2701">
        <f>IF(DB2701="","",IF(AND(COUNTIF($DA$2:$DA$47,DB2701)=0,COUNTIF($DB$2:DB2701,DB2701)=1),2700,""))</f>
        <v/>
      </c>
    </row>
    <row r="2702">
      <c r="DB2702">
        <f>IF('История отказов'!AW305="","",'История отказов'!AW305)</f>
        <v/>
      </c>
      <c r="DL2702">
        <f>IF(DB2702="","",IF(AND(COUNTIF($DA$2:$DA$47,DB2702)=0,COUNTIF($DB$2:DB2702,DB2702)=1),2701,""))</f>
        <v/>
      </c>
    </row>
    <row r="2703">
      <c r="DB2703">
        <f>IF('История отказов'!AW306="","",'История отказов'!AW306)</f>
        <v/>
      </c>
      <c r="DL2703">
        <f>IF(DB2703="","",IF(AND(COUNTIF($DA$2:$DA$47,DB2703)=0,COUNTIF($DB$2:DB2703,DB2703)=1),2702,""))</f>
        <v/>
      </c>
    </row>
    <row r="2704">
      <c r="DB2704">
        <f>IF('История отказов'!AW307="","",'История отказов'!AW307)</f>
        <v/>
      </c>
      <c r="DL2704">
        <f>IF(DB2704="","",IF(AND(COUNTIF($DA$2:$DA$47,DB2704)=0,COUNTIF($DB$2:DB2704,DB2704)=1),2703,""))</f>
        <v/>
      </c>
    </row>
    <row r="2705">
      <c r="DB2705">
        <f>IF('История отказов'!AW308="","",'История отказов'!AW308)</f>
        <v/>
      </c>
      <c r="DL2705">
        <f>IF(DB2705="","",IF(AND(COUNTIF($DA$2:$DA$47,DB2705)=0,COUNTIF($DB$2:DB2705,DB2705)=1),2704,""))</f>
        <v/>
      </c>
    </row>
    <row r="2706">
      <c r="DB2706">
        <f>IF('История отказов'!AW309="","",'История отказов'!AW309)</f>
        <v/>
      </c>
      <c r="DL2706">
        <f>IF(DB2706="","",IF(AND(COUNTIF($DA$2:$DA$47,DB2706)=0,COUNTIF($DB$2:DB2706,DB2706)=1),2705,""))</f>
        <v/>
      </c>
    </row>
    <row r="2707">
      <c r="DB2707">
        <f>IF('История отказов'!AW310="","",'История отказов'!AW310)</f>
        <v/>
      </c>
      <c r="DL2707">
        <f>IF(DB2707="","",IF(AND(COUNTIF($DA$2:$DA$47,DB2707)=0,COUNTIF($DB$2:DB2707,DB2707)=1),2706,""))</f>
        <v/>
      </c>
    </row>
    <row r="2708">
      <c r="DB2708">
        <f>IF('История отказов'!AW311="","",'История отказов'!AW311)</f>
        <v/>
      </c>
      <c r="DL2708">
        <f>IF(DB2708="","",IF(AND(COUNTIF($DA$2:$DA$47,DB2708)=0,COUNTIF($DB$2:DB2708,DB2708)=1),2707,""))</f>
        <v/>
      </c>
    </row>
    <row r="2709">
      <c r="DB2709">
        <f>IF('История отказов'!AW312="","",'История отказов'!AW312)</f>
        <v/>
      </c>
      <c r="DL2709">
        <f>IF(DB2709="","",IF(AND(COUNTIF($DA$2:$DA$47,DB2709)=0,COUNTIF($DB$2:DB2709,DB2709)=1),2708,""))</f>
        <v/>
      </c>
    </row>
    <row r="2710">
      <c r="DB2710">
        <f>IF('История отказов'!AW313="","",'История отказов'!AW313)</f>
        <v/>
      </c>
      <c r="DL2710">
        <f>IF(DB2710="","",IF(AND(COUNTIF($DA$2:$DA$47,DB2710)=0,COUNTIF($DB$2:DB2710,DB2710)=1),2709,""))</f>
        <v/>
      </c>
    </row>
    <row r="2711">
      <c r="DB2711">
        <f>IF('История отказов'!AW314="","",'История отказов'!AW314)</f>
        <v/>
      </c>
      <c r="DL2711">
        <f>IF(DB2711="","",IF(AND(COUNTIF($DA$2:$DA$47,DB2711)=0,COUNTIF($DB$2:DB2711,DB2711)=1),2710,""))</f>
        <v/>
      </c>
    </row>
    <row r="2712">
      <c r="DB2712">
        <f>IF('История отказов'!AW315="","",'История отказов'!AW315)</f>
        <v/>
      </c>
      <c r="DL2712">
        <f>IF(DB2712="","",IF(AND(COUNTIF($DA$2:$DA$47,DB2712)=0,COUNTIF($DB$2:DB2712,DB2712)=1),2711,""))</f>
        <v/>
      </c>
    </row>
    <row r="2713">
      <c r="DB2713">
        <f>IF('История отказов'!AW316="","",'История отказов'!AW316)</f>
        <v/>
      </c>
      <c r="DL2713">
        <f>IF(DB2713="","",IF(AND(COUNTIF($DA$2:$DA$47,DB2713)=0,COUNTIF($DB$2:DB2713,DB2713)=1),2712,""))</f>
        <v/>
      </c>
    </row>
    <row r="2714">
      <c r="DB2714">
        <f>IF('История отказов'!AW317="","",'История отказов'!AW317)</f>
        <v/>
      </c>
      <c r="DL2714">
        <f>IF(DB2714="","",IF(AND(COUNTIF($DA$2:$DA$47,DB2714)=0,COUNTIF($DB$2:DB2714,DB2714)=1),2713,""))</f>
        <v/>
      </c>
    </row>
    <row r="2715">
      <c r="DB2715">
        <f>IF('История отказов'!AW318="","",'История отказов'!AW318)</f>
        <v/>
      </c>
      <c r="DL2715">
        <f>IF(DB2715="","",IF(AND(COUNTIF($DA$2:$DA$47,DB2715)=0,COUNTIF($DB$2:DB2715,DB2715)=1),2714,""))</f>
        <v/>
      </c>
    </row>
    <row r="2716">
      <c r="DB2716">
        <f>IF('История отказов'!AW319="","",'История отказов'!AW319)</f>
        <v/>
      </c>
      <c r="DL2716">
        <f>IF(DB2716="","",IF(AND(COUNTIF($DA$2:$DA$47,DB2716)=0,COUNTIF($DB$2:DB2716,DB2716)=1),2715,""))</f>
        <v/>
      </c>
    </row>
    <row r="2717">
      <c r="DB2717">
        <f>IF('История отказов'!AW320="","",'История отказов'!AW320)</f>
        <v/>
      </c>
      <c r="DL2717">
        <f>IF(DB2717="","",IF(AND(COUNTIF($DA$2:$DA$47,DB2717)=0,COUNTIF($DB$2:DB2717,DB2717)=1),2716,""))</f>
        <v/>
      </c>
    </row>
    <row r="2718">
      <c r="DB2718">
        <f>IF('История отказов'!AW321="","",'История отказов'!AW321)</f>
        <v/>
      </c>
      <c r="DL2718">
        <f>IF(DB2718="","",IF(AND(COUNTIF($DA$2:$DA$47,DB2718)=0,COUNTIF($DB$2:DB2718,DB2718)=1),2717,""))</f>
        <v/>
      </c>
    </row>
    <row r="2719">
      <c r="DB2719">
        <f>IF('История отказов'!AW322="","",'История отказов'!AW322)</f>
        <v/>
      </c>
      <c r="DL2719">
        <f>IF(DB2719="","",IF(AND(COUNTIF($DA$2:$DA$47,DB2719)=0,COUNTIF($DB$2:DB2719,DB2719)=1),2718,""))</f>
        <v/>
      </c>
    </row>
    <row r="2720">
      <c r="DB2720">
        <f>IF('История отказов'!AW323="","",'История отказов'!AW323)</f>
        <v/>
      </c>
      <c r="DL2720">
        <f>IF(DB2720="","",IF(AND(COUNTIF($DA$2:$DA$47,DB2720)=0,COUNTIF($DB$2:DB2720,DB2720)=1),2719,""))</f>
        <v/>
      </c>
    </row>
    <row r="2721">
      <c r="DB2721">
        <f>IF('История отказов'!AW324="","",'История отказов'!AW324)</f>
        <v/>
      </c>
      <c r="DL2721">
        <f>IF(DB2721="","",IF(AND(COUNTIF($DA$2:$DA$47,DB2721)=0,COUNTIF($DB$2:DB2721,DB2721)=1),2720,""))</f>
        <v/>
      </c>
    </row>
    <row r="2722">
      <c r="DB2722">
        <f>IF('История отказов'!AW325="","",'История отказов'!AW325)</f>
        <v/>
      </c>
      <c r="DL2722">
        <f>IF(DB2722="","",IF(AND(COUNTIF($DA$2:$DA$47,DB2722)=0,COUNTIF($DB$2:DB2722,DB2722)=1),2721,""))</f>
        <v/>
      </c>
    </row>
    <row r="2723">
      <c r="DB2723">
        <f>IF('История отказов'!AW326="","",'История отказов'!AW326)</f>
        <v/>
      </c>
      <c r="DL2723">
        <f>IF(DB2723="","",IF(AND(COUNTIF($DA$2:$DA$47,DB2723)=0,COUNTIF($DB$2:DB2723,DB2723)=1),2722,""))</f>
        <v/>
      </c>
    </row>
    <row r="2724">
      <c r="DB2724">
        <f>IF('История отказов'!AW327="","",'История отказов'!AW327)</f>
        <v/>
      </c>
      <c r="DL2724">
        <f>IF(DB2724="","",IF(AND(COUNTIF($DA$2:$DA$47,DB2724)=0,COUNTIF($DB$2:DB2724,DB2724)=1),2723,""))</f>
        <v/>
      </c>
    </row>
    <row r="2725">
      <c r="DB2725">
        <f>IF('История отказов'!AW328="","",'История отказов'!AW328)</f>
        <v/>
      </c>
      <c r="DL2725">
        <f>IF(DB2725="","",IF(AND(COUNTIF($DA$2:$DA$47,DB2725)=0,COUNTIF($DB$2:DB2725,DB2725)=1),2724,""))</f>
        <v/>
      </c>
    </row>
    <row r="2726">
      <c r="DB2726">
        <f>IF('История отказов'!AW329="","",'История отказов'!AW329)</f>
        <v/>
      </c>
      <c r="DL2726">
        <f>IF(DB2726="","",IF(AND(COUNTIF($DA$2:$DA$47,DB2726)=0,COUNTIF($DB$2:DB2726,DB2726)=1),2725,""))</f>
        <v/>
      </c>
    </row>
    <row r="2727">
      <c r="DB2727">
        <f>IF('История отказов'!AW330="","",'История отказов'!AW330)</f>
        <v/>
      </c>
      <c r="DL2727">
        <f>IF(DB2727="","",IF(AND(COUNTIF($DA$2:$DA$47,DB2727)=0,COUNTIF($DB$2:DB2727,DB2727)=1),2726,""))</f>
        <v/>
      </c>
    </row>
    <row r="2728">
      <c r="DB2728">
        <f>IF('История отказов'!AW331="","",'История отказов'!AW331)</f>
        <v/>
      </c>
      <c r="DL2728">
        <f>IF(DB2728="","",IF(AND(COUNTIF($DA$2:$DA$47,DB2728)=0,COUNTIF($DB$2:DB2728,DB2728)=1),2727,""))</f>
        <v/>
      </c>
    </row>
    <row r="2729">
      <c r="DB2729">
        <f>IF('История отказов'!AW332="","",'История отказов'!AW332)</f>
        <v/>
      </c>
      <c r="DL2729">
        <f>IF(DB2729="","",IF(AND(COUNTIF($DA$2:$DA$47,DB2729)=0,COUNTIF($DB$2:DB2729,DB2729)=1),2728,""))</f>
        <v/>
      </c>
    </row>
    <row r="2730">
      <c r="DB2730">
        <f>IF('История отказов'!AW333="","",'История отказов'!AW333)</f>
        <v/>
      </c>
      <c r="DL2730">
        <f>IF(DB2730="","",IF(AND(COUNTIF($DA$2:$DA$47,DB2730)=0,COUNTIF($DB$2:DB2730,DB2730)=1),2729,""))</f>
        <v/>
      </c>
    </row>
    <row r="2731">
      <c r="DB2731">
        <f>IF('История отказов'!AW334="","",'История отказов'!AW334)</f>
        <v/>
      </c>
      <c r="DL2731">
        <f>IF(DB2731="","",IF(AND(COUNTIF($DA$2:$DA$47,DB2731)=0,COUNTIF($DB$2:DB2731,DB2731)=1),2730,""))</f>
        <v/>
      </c>
    </row>
    <row r="2732">
      <c r="DB2732">
        <f>IF('История отказов'!AW335="","",'История отказов'!AW335)</f>
        <v/>
      </c>
      <c r="DL2732">
        <f>IF(DB2732="","",IF(AND(COUNTIF($DA$2:$DA$47,DB2732)=0,COUNTIF($DB$2:DB2732,DB2732)=1),2731,""))</f>
        <v/>
      </c>
    </row>
    <row r="2733">
      <c r="DB2733">
        <f>IF('История отказов'!AW336="","",'История отказов'!AW336)</f>
        <v/>
      </c>
      <c r="DL2733">
        <f>IF(DB2733="","",IF(AND(COUNTIF($DA$2:$DA$47,DB2733)=0,COUNTIF($DB$2:DB2733,DB2733)=1),2732,""))</f>
        <v/>
      </c>
    </row>
    <row r="2734">
      <c r="DB2734">
        <f>IF('История отказов'!AW337="","",'История отказов'!AW337)</f>
        <v/>
      </c>
      <c r="DL2734">
        <f>IF(DB2734="","",IF(AND(COUNTIF($DA$2:$DA$47,DB2734)=0,COUNTIF($DB$2:DB2734,DB2734)=1),2733,""))</f>
        <v/>
      </c>
    </row>
    <row r="2735">
      <c r="DB2735">
        <f>IF('История отказов'!AW338="","",'История отказов'!AW338)</f>
        <v/>
      </c>
      <c r="DL2735">
        <f>IF(DB2735="","",IF(AND(COUNTIF($DA$2:$DA$47,DB2735)=0,COUNTIF($DB$2:DB2735,DB2735)=1),2734,""))</f>
        <v/>
      </c>
    </row>
    <row r="2736">
      <c r="DB2736">
        <f>IF('История отказов'!AW339="","",'История отказов'!AW339)</f>
        <v/>
      </c>
      <c r="DL2736">
        <f>IF(DB2736="","",IF(AND(COUNTIF($DA$2:$DA$47,DB2736)=0,COUNTIF($DB$2:DB2736,DB2736)=1),2735,""))</f>
        <v/>
      </c>
    </row>
    <row r="2737">
      <c r="DB2737">
        <f>IF('История отказов'!AW340="","",'История отказов'!AW340)</f>
        <v/>
      </c>
      <c r="DL2737">
        <f>IF(DB2737="","",IF(AND(COUNTIF($DA$2:$DA$47,DB2737)=0,COUNTIF($DB$2:DB2737,DB2737)=1),2736,""))</f>
        <v/>
      </c>
    </row>
    <row r="2738">
      <c r="DB2738">
        <f>IF('История отказов'!AW341="","",'История отказов'!AW341)</f>
        <v/>
      </c>
      <c r="DL2738">
        <f>IF(DB2738="","",IF(AND(COUNTIF($DA$2:$DA$47,DB2738)=0,COUNTIF($DB$2:DB2738,DB2738)=1),2737,""))</f>
        <v/>
      </c>
    </row>
    <row r="2739">
      <c r="DB2739">
        <f>IF('История отказов'!AW342="","",'История отказов'!AW342)</f>
        <v/>
      </c>
      <c r="DL2739">
        <f>IF(DB2739="","",IF(AND(COUNTIF($DA$2:$DA$47,DB2739)=0,COUNTIF($DB$2:DB2739,DB2739)=1),2738,""))</f>
        <v/>
      </c>
    </row>
    <row r="2740">
      <c r="DB2740">
        <f>IF('История отказов'!AW343="","",'История отказов'!AW343)</f>
        <v/>
      </c>
      <c r="DL2740">
        <f>IF(DB2740="","",IF(AND(COUNTIF($DA$2:$DA$47,DB2740)=0,COUNTIF($DB$2:DB2740,DB2740)=1),2739,""))</f>
        <v/>
      </c>
    </row>
    <row r="2741">
      <c r="DB2741">
        <f>IF('История отказов'!AW344="","",'История отказов'!AW344)</f>
        <v/>
      </c>
      <c r="DL2741">
        <f>IF(DB2741="","",IF(AND(COUNTIF($DA$2:$DA$47,DB2741)=0,COUNTIF($DB$2:DB2741,DB2741)=1),2740,""))</f>
        <v/>
      </c>
    </row>
    <row r="2742">
      <c r="DB2742">
        <f>IF('История отказов'!AW345="","",'История отказов'!AW345)</f>
        <v/>
      </c>
      <c r="DL2742">
        <f>IF(DB2742="","",IF(AND(COUNTIF($DA$2:$DA$47,DB2742)=0,COUNTIF($DB$2:DB2742,DB2742)=1),2741,""))</f>
        <v/>
      </c>
    </row>
    <row r="2743">
      <c r="DB2743">
        <f>IF('История отказов'!AW346="","",'История отказов'!AW346)</f>
        <v/>
      </c>
      <c r="DL2743">
        <f>IF(DB2743="","",IF(AND(COUNTIF($DA$2:$DA$47,DB2743)=0,COUNTIF($DB$2:DB2743,DB2743)=1),2742,""))</f>
        <v/>
      </c>
    </row>
    <row r="2744">
      <c r="DB2744">
        <f>IF('История отказов'!AW347="","",'История отказов'!AW347)</f>
        <v/>
      </c>
      <c r="DL2744">
        <f>IF(DB2744="","",IF(AND(COUNTIF($DA$2:$DA$47,DB2744)=0,COUNTIF($DB$2:DB2744,DB2744)=1),2743,""))</f>
        <v/>
      </c>
    </row>
    <row r="2745">
      <c r="DB2745">
        <f>IF('История отказов'!AW348="","",'История отказов'!AW348)</f>
        <v/>
      </c>
      <c r="DL2745">
        <f>IF(DB2745="","",IF(AND(COUNTIF($DA$2:$DA$47,DB2745)=0,COUNTIF($DB$2:DB2745,DB2745)=1),2744,""))</f>
        <v/>
      </c>
    </row>
    <row r="2746">
      <c r="DB2746">
        <f>IF('История отказов'!AW349="","",'История отказов'!AW349)</f>
        <v/>
      </c>
      <c r="DL2746">
        <f>IF(DB2746="","",IF(AND(COUNTIF($DA$2:$DA$47,DB2746)=0,COUNTIF($DB$2:DB2746,DB2746)=1),2745,""))</f>
        <v/>
      </c>
    </row>
    <row r="2747">
      <c r="DB2747">
        <f>IF('История отказов'!AW350="","",'История отказов'!AW350)</f>
        <v/>
      </c>
      <c r="DL2747">
        <f>IF(DB2747="","",IF(AND(COUNTIF($DA$2:$DA$47,DB2747)=0,COUNTIF($DB$2:DB2747,DB2747)=1),2746,""))</f>
        <v/>
      </c>
    </row>
    <row r="2748">
      <c r="DB2748">
        <f>IF('История отказов'!AW351="","",'История отказов'!AW351)</f>
        <v/>
      </c>
      <c r="DL2748">
        <f>IF(DB2748="","",IF(AND(COUNTIF($DA$2:$DA$47,DB2748)=0,COUNTIF($DB$2:DB2748,DB2748)=1),2747,""))</f>
        <v/>
      </c>
    </row>
    <row r="2749">
      <c r="DB2749">
        <f>IF('История отказов'!AW352="","",'История отказов'!AW352)</f>
        <v/>
      </c>
      <c r="DL2749">
        <f>IF(DB2749="","",IF(AND(COUNTIF($DA$2:$DA$47,DB2749)=0,COUNTIF($DB$2:DB2749,DB2749)=1),2748,""))</f>
        <v/>
      </c>
    </row>
    <row r="2750">
      <c r="DB2750">
        <f>IF('История отказов'!AW353="","",'История отказов'!AW353)</f>
        <v/>
      </c>
      <c r="DL2750">
        <f>IF(DB2750="","",IF(AND(COUNTIF($DA$2:$DA$47,DB2750)=0,COUNTIF($DB$2:DB2750,DB2750)=1),2749,""))</f>
        <v/>
      </c>
    </row>
    <row r="2751">
      <c r="DB2751">
        <f>IF('История отказов'!AW354="","",'История отказов'!AW354)</f>
        <v/>
      </c>
      <c r="DL2751">
        <f>IF(DB2751="","",IF(AND(COUNTIF($DA$2:$DA$47,DB2751)=0,COUNTIF($DB$2:DB2751,DB2751)=1),2750,""))</f>
        <v/>
      </c>
    </row>
    <row r="2752">
      <c r="DB2752">
        <f>IF('История отказов'!AW355="","",'История отказов'!AW355)</f>
        <v/>
      </c>
      <c r="DL2752">
        <f>IF(DB2752="","",IF(AND(COUNTIF($DA$2:$DA$47,DB2752)=0,COUNTIF($DB$2:DB2752,DB2752)=1),2751,""))</f>
        <v/>
      </c>
    </row>
    <row r="2753">
      <c r="DB2753">
        <f>IF('История отказов'!AW356="","",'История отказов'!AW356)</f>
        <v/>
      </c>
      <c r="DL2753">
        <f>IF(DB2753="","",IF(AND(COUNTIF($DA$2:$DA$47,DB2753)=0,COUNTIF($DB$2:DB2753,DB2753)=1),2752,""))</f>
        <v/>
      </c>
    </row>
    <row r="2754">
      <c r="DB2754">
        <f>IF('История отказов'!AW357="","",'История отказов'!AW357)</f>
        <v/>
      </c>
      <c r="DL2754">
        <f>IF(DB2754="","",IF(AND(COUNTIF($DA$2:$DA$47,DB2754)=0,COUNTIF($DB$2:DB2754,DB2754)=1),2753,""))</f>
        <v/>
      </c>
    </row>
    <row r="2755">
      <c r="DB2755">
        <f>IF('История отказов'!AW358="","",'История отказов'!AW358)</f>
        <v/>
      </c>
      <c r="DL2755">
        <f>IF(DB2755="","",IF(AND(COUNTIF($DA$2:$DA$47,DB2755)=0,COUNTIF($DB$2:DB2755,DB2755)=1),2754,""))</f>
        <v/>
      </c>
    </row>
    <row r="2756">
      <c r="DB2756">
        <f>IF('История отказов'!AW359="","",'История отказов'!AW359)</f>
        <v/>
      </c>
      <c r="DL2756">
        <f>IF(DB2756="","",IF(AND(COUNTIF($DA$2:$DA$47,DB2756)=0,COUNTIF($DB$2:DB2756,DB2756)=1),2755,""))</f>
        <v/>
      </c>
    </row>
    <row r="2757">
      <c r="DB2757">
        <f>IF('История отказов'!AW360="","",'История отказов'!AW360)</f>
        <v/>
      </c>
      <c r="DL2757">
        <f>IF(DB2757="","",IF(AND(COUNTIF($DA$2:$DA$47,DB2757)=0,COUNTIF($DB$2:DB2757,DB2757)=1),2756,""))</f>
        <v/>
      </c>
    </row>
    <row r="2758">
      <c r="DB2758">
        <f>IF('История отказов'!AW361="","",'История отказов'!AW361)</f>
        <v/>
      </c>
      <c r="DL2758">
        <f>IF(DB2758="","",IF(AND(COUNTIF($DA$2:$DA$47,DB2758)=0,COUNTIF($DB$2:DB2758,DB2758)=1),2757,""))</f>
        <v/>
      </c>
    </row>
    <row r="2759">
      <c r="DB2759">
        <f>IF('История отказов'!AW362="","",'История отказов'!AW362)</f>
        <v/>
      </c>
      <c r="DL2759">
        <f>IF(DB2759="","",IF(AND(COUNTIF($DA$2:$DA$47,DB2759)=0,COUNTIF($DB$2:DB2759,DB2759)=1),2758,""))</f>
        <v/>
      </c>
    </row>
    <row r="2760">
      <c r="DB2760">
        <f>IF('История отказов'!AW363="","",'История отказов'!AW363)</f>
        <v/>
      </c>
      <c r="DL2760">
        <f>IF(DB2760="","",IF(AND(COUNTIF($DA$2:$DA$47,DB2760)=0,COUNTIF($DB$2:DB2760,DB2760)=1),2759,""))</f>
        <v/>
      </c>
    </row>
    <row r="2761">
      <c r="DB2761">
        <f>IF('История отказов'!AW364="","",'История отказов'!AW364)</f>
        <v/>
      </c>
      <c r="DL2761">
        <f>IF(DB2761="","",IF(AND(COUNTIF($DA$2:$DA$47,DB2761)=0,COUNTIF($DB$2:DB2761,DB2761)=1),2760,""))</f>
        <v/>
      </c>
    </row>
    <row r="2762">
      <c r="DB2762">
        <f>IF('История отказов'!AW365="","",'История отказов'!AW365)</f>
        <v/>
      </c>
      <c r="DL2762">
        <f>IF(DB2762="","",IF(AND(COUNTIF($DA$2:$DA$47,DB2762)=0,COUNTIF($DB$2:DB2762,DB2762)=1),2761,""))</f>
        <v/>
      </c>
    </row>
    <row r="2763">
      <c r="DB2763">
        <f>IF('История отказов'!AW366="","",'История отказов'!AW366)</f>
        <v/>
      </c>
      <c r="DL2763">
        <f>IF(DB2763="","",IF(AND(COUNTIF($DA$2:$DA$47,DB2763)=0,COUNTIF($DB$2:DB2763,DB2763)=1),2762,""))</f>
        <v/>
      </c>
    </row>
    <row r="2764">
      <c r="DB2764">
        <f>IF('История отказов'!AW367="","",'История отказов'!AW367)</f>
        <v/>
      </c>
      <c r="DL2764">
        <f>IF(DB2764="","",IF(AND(COUNTIF($DA$2:$DA$47,DB2764)=0,COUNTIF($DB$2:DB2764,DB2764)=1),2763,""))</f>
        <v/>
      </c>
    </row>
    <row r="2765">
      <c r="DB2765">
        <f>IF('История отказов'!AW368="","",'История отказов'!AW368)</f>
        <v/>
      </c>
      <c r="DL2765">
        <f>IF(DB2765="","",IF(AND(COUNTIF($DA$2:$DA$47,DB2765)=0,COUNTIF($DB$2:DB2765,DB2765)=1),2764,""))</f>
        <v/>
      </c>
    </row>
    <row r="2766">
      <c r="DB2766">
        <f>IF('История отказов'!AW369="","",'История отказов'!AW369)</f>
        <v/>
      </c>
      <c r="DL2766">
        <f>IF(DB2766="","",IF(AND(COUNTIF($DA$2:$DA$47,DB2766)=0,COUNTIF($DB$2:DB2766,DB2766)=1),2765,""))</f>
        <v/>
      </c>
    </row>
    <row r="2767">
      <c r="DB2767">
        <f>IF('История отказов'!AW370="","",'История отказов'!AW370)</f>
        <v/>
      </c>
      <c r="DL2767">
        <f>IF(DB2767="","",IF(AND(COUNTIF($DA$2:$DA$47,DB2767)=0,COUNTIF($DB$2:DB2767,DB2767)=1),2766,""))</f>
        <v/>
      </c>
    </row>
    <row r="2768">
      <c r="DB2768">
        <f>IF('История отказов'!AW371="","",'История отказов'!AW371)</f>
        <v/>
      </c>
      <c r="DL2768">
        <f>IF(DB2768="","",IF(AND(COUNTIF($DA$2:$DA$47,DB2768)=0,COUNTIF($DB$2:DB2768,DB2768)=1),2767,""))</f>
        <v/>
      </c>
    </row>
    <row r="2769">
      <c r="DB2769">
        <f>IF('История отказов'!AW372="","",'История отказов'!AW372)</f>
        <v/>
      </c>
      <c r="DL2769">
        <f>IF(DB2769="","",IF(AND(COUNTIF($DA$2:$DA$47,DB2769)=0,COUNTIF($DB$2:DB2769,DB2769)=1),2768,""))</f>
        <v/>
      </c>
    </row>
    <row r="2770">
      <c r="DB2770">
        <f>IF('История отказов'!AW373="","",'История отказов'!AW373)</f>
        <v/>
      </c>
      <c r="DL2770">
        <f>IF(DB2770="","",IF(AND(COUNTIF($DA$2:$DA$47,DB2770)=0,COUNTIF($DB$2:DB2770,DB2770)=1),2769,""))</f>
        <v/>
      </c>
    </row>
    <row r="2771">
      <c r="DB2771">
        <f>IF('История отказов'!AW374="","",'История отказов'!AW374)</f>
        <v/>
      </c>
      <c r="DL2771">
        <f>IF(DB2771="","",IF(AND(COUNTIF($DA$2:$DA$47,DB2771)=0,COUNTIF($DB$2:DB2771,DB2771)=1),2770,""))</f>
        <v/>
      </c>
    </row>
    <row r="2772">
      <c r="DB2772">
        <f>IF('История отказов'!AW375="","",'История отказов'!AW375)</f>
        <v/>
      </c>
      <c r="DL2772">
        <f>IF(DB2772="","",IF(AND(COUNTIF($DA$2:$DA$47,DB2772)=0,COUNTIF($DB$2:DB2772,DB2772)=1),2771,""))</f>
        <v/>
      </c>
    </row>
    <row r="2773">
      <c r="DB2773">
        <f>IF('История отказов'!AW376="","",'История отказов'!AW376)</f>
        <v/>
      </c>
      <c r="DL2773">
        <f>IF(DB2773="","",IF(AND(COUNTIF($DA$2:$DA$47,DB2773)=0,COUNTIF($DB$2:DB2773,DB2773)=1),2772,""))</f>
        <v/>
      </c>
    </row>
    <row r="2774">
      <c r="DB2774">
        <f>IF('История отказов'!AW377="","",'История отказов'!AW377)</f>
        <v/>
      </c>
      <c r="DL2774">
        <f>IF(DB2774="","",IF(AND(COUNTIF($DA$2:$DA$47,DB2774)=0,COUNTIF($DB$2:DB2774,DB2774)=1),2773,""))</f>
        <v/>
      </c>
    </row>
    <row r="2775">
      <c r="DB2775">
        <f>IF('История отказов'!AW378="","",'История отказов'!AW378)</f>
        <v/>
      </c>
      <c r="DL2775">
        <f>IF(DB2775="","",IF(AND(COUNTIF($DA$2:$DA$47,DB2775)=0,COUNTIF($DB$2:DB2775,DB2775)=1),2774,""))</f>
        <v/>
      </c>
    </row>
    <row r="2776">
      <c r="DB2776">
        <f>IF('История отказов'!AW379="","",'История отказов'!AW379)</f>
        <v/>
      </c>
      <c r="DL2776">
        <f>IF(DB2776="","",IF(AND(COUNTIF($DA$2:$DA$47,DB2776)=0,COUNTIF($DB$2:DB2776,DB2776)=1),2775,""))</f>
        <v/>
      </c>
    </row>
    <row r="2777">
      <c r="DB2777">
        <f>IF('История отказов'!AW380="","",'История отказов'!AW380)</f>
        <v/>
      </c>
      <c r="DL2777">
        <f>IF(DB2777="","",IF(AND(COUNTIF($DA$2:$DA$47,DB2777)=0,COUNTIF($DB$2:DB2777,DB2777)=1),2776,""))</f>
        <v/>
      </c>
    </row>
    <row r="2778">
      <c r="DB2778">
        <f>IF('История отказов'!AW381="","",'История отказов'!AW381)</f>
        <v/>
      </c>
      <c r="DL2778">
        <f>IF(DB2778="","",IF(AND(COUNTIF($DA$2:$DA$47,DB2778)=0,COUNTIF($DB$2:DB2778,DB2778)=1),2777,""))</f>
        <v/>
      </c>
    </row>
    <row r="2779">
      <c r="DB2779">
        <f>IF('История отказов'!AW382="","",'История отказов'!AW382)</f>
        <v/>
      </c>
      <c r="DL2779">
        <f>IF(DB2779="","",IF(AND(COUNTIF($DA$2:$DA$47,DB2779)=0,COUNTIF($DB$2:DB2779,DB2779)=1),2778,""))</f>
        <v/>
      </c>
    </row>
    <row r="2780">
      <c r="DB2780">
        <f>IF('История отказов'!AW383="","",'История отказов'!AW383)</f>
        <v/>
      </c>
      <c r="DL2780">
        <f>IF(DB2780="","",IF(AND(COUNTIF($DA$2:$DA$47,DB2780)=0,COUNTIF($DB$2:DB2780,DB2780)=1),2779,""))</f>
        <v/>
      </c>
    </row>
    <row r="2781">
      <c r="DB2781">
        <f>IF('История отказов'!AW384="","",'История отказов'!AW384)</f>
        <v/>
      </c>
      <c r="DL2781">
        <f>IF(DB2781="","",IF(AND(COUNTIF($DA$2:$DA$47,DB2781)=0,COUNTIF($DB$2:DB2781,DB2781)=1),2780,""))</f>
        <v/>
      </c>
    </row>
    <row r="2782">
      <c r="DB2782">
        <f>IF('История отказов'!AW385="","",'История отказов'!AW385)</f>
        <v/>
      </c>
      <c r="DL2782">
        <f>IF(DB2782="","",IF(AND(COUNTIF($DA$2:$DA$47,DB2782)=0,COUNTIF($DB$2:DB2782,DB2782)=1),2781,""))</f>
        <v/>
      </c>
    </row>
    <row r="2783">
      <c r="DB2783">
        <f>IF('История отказов'!AW386="","",'История отказов'!AW386)</f>
        <v/>
      </c>
      <c r="DL2783">
        <f>IF(DB2783="","",IF(AND(COUNTIF($DA$2:$DA$47,DB2783)=0,COUNTIF($DB$2:DB2783,DB2783)=1),2782,""))</f>
        <v/>
      </c>
    </row>
    <row r="2784">
      <c r="DB2784">
        <f>IF('История отказов'!AW387="","",'История отказов'!AW387)</f>
        <v/>
      </c>
      <c r="DL2784">
        <f>IF(DB2784="","",IF(AND(COUNTIF($DA$2:$DA$47,DB2784)=0,COUNTIF($DB$2:DB2784,DB2784)=1),2783,""))</f>
        <v/>
      </c>
    </row>
    <row r="2785">
      <c r="DB2785">
        <f>IF('История отказов'!AW388="","",'История отказов'!AW388)</f>
        <v/>
      </c>
      <c r="DL2785">
        <f>IF(DB2785="","",IF(AND(COUNTIF($DA$2:$DA$47,DB2785)=0,COUNTIF($DB$2:DB2785,DB2785)=1),2784,""))</f>
        <v/>
      </c>
    </row>
    <row r="2786">
      <c r="DB2786">
        <f>IF('История отказов'!AW389="","",'История отказов'!AW389)</f>
        <v/>
      </c>
      <c r="DL2786">
        <f>IF(DB2786="","",IF(AND(COUNTIF($DA$2:$DA$47,DB2786)=0,COUNTIF($DB$2:DB2786,DB2786)=1),2785,""))</f>
        <v/>
      </c>
    </row>
    <row r="2787">
      <c r="DB2787">
        <f>IF('История отказов'!AW390="","",'История отказов'!AW390)</f>
        <v/>
      </c>
      <c r="DL2787">
        <f>IF(DB2787="","",IF(AND(COUNTIF($DA$2:$DA$47,DB2787)=0,COUNTIF($DB$2:DB2787,DB2787)=1),2786,""))</f>
        <v/>
      </c>
    </row>
    <row r="2788">
      <c r="DB2788">
        <f>IF('История отказов'!AW391="","",'История отказов'!AW391)</f>
        <v/>
      </c>
      <c r="DL2788">
        <f>IF(DB2788="","",IF(AND(COUNTIF($DA$2:$DA$47,DB2788)=0,COUNTIF($DB$2:DB2788,DB2788)=1),2787,""))</f>
        <v/>
      </c>
    </row>
    <row r="2789">
      <c r="DB2789">
        <f>IF('История отказов'!AW392="","",'История отказов'!AW392)</f>
        <v/>
      </c>
      <c r="DL2789">
        <f>IF(DB2789="","",IF(AND(COUNTIF($DA$2:$DA$47,DB2789)=0,COUNTIF($DB$2:DB2789,DB2789)=1),2788,""))</f>
        <v/>
      </c>
    </row>
    <row r="2790">
      <c r="DB2790">
        <f>IF('История отказов'!AW393="","",'История отказов'!AW393)</f>
        <v/>
      </c>
      <c r="DL2790">
        <f>IF(DB2790="","",IF(AND(COUNTIF($DA$2:$DA$47,DB2790)=0,COUNTIF($DB$2:DB2790,DB2790)=1),2789,""))</f>
        <v/>
      </c>
    </row>
    <row r="2791">
      <c r="DB2791">
        <f>IF('История отказов'!AW394="","",'История отказов'!AW394)</f>
        <v/>
      </c>
      <c r="DL2791">
        <f>IF(DB2791="","",IF(AND(COUNTIF($DA$2:$DA$47,DB2791)=0,COUNTIF($DB$2:DB2791,DB2791)=1),2790,""))</f>
        <v/>
      </c>
    </row>
    <row r="2792">
      <c r="DB2792">
        <f>IF('История отказов'!AW395="","",'История отказов'!AW395)</f>
        <v/>
      </c>
      <c r="DL2792">
        <f>IF(DB2792="","",IF(AND(COUNTIF($DA$2:$DA$47,DB2792)=0,COUNTIF($DB$2:DB2792,DB2792)=1),2791,""))</f>
        <v/>
      </c>
    </row>
    <row r="2793">
      <c r="DB2793">
        <f>IF('История отказов'!AW396="","",'История отказов'!AW396)</f>
        <v/>
      </c>
      <c r="DL2793">
        <f>IF(DB2793="","",IF(AND(COUNTIF($DA$2:$DA$47,DB2793)=0,COUNTIF($DB$2:DB2793,DB2793)=1),2792,""))</f>
        <v/>
      </c>
    </row>
    <row r="2794">
      <c r="DB2794">
        <f>IF('История отказов'!AW397="","",'История отказов'!AW397)</f>
        <v/>
      </c>
      <c r="DL2794">
        <f>IF(DB2794="","",IF(AND(COUNTIF($DA$2:$DA$47,DB2794)=0,COUNTIF($DB$2:DB2794,DB2794)=1),2793,""))</f>
        <v/>
      </c>
    </row>
    <row r="2795">
      <c r="DB2795">
        <f>IF('История отказов'!AW398="","",'История отказов'!AW398)</f>
        <v/>
      </c>
      <c r="DL2795">
        <f>IF(DB2795="","",IF(AND(COUNTIF($DA$2:$DA$47,DB2795)=0,COUNTIF($DB$2:DB2795,DB2795)=1),2794,""))</f>
        <v/>
      </c>
    </row>
    <row r="2796">
      <c r="DB2796">
        <f>IF('История отказов'!AW399="","",'История отказов'!AW399)</f>
        <v/>
      </c>
      <c r="DL2796">
        <f>IF(DB2796="","",IF(AND(COUNTIF($DA$2:$DA$47,DB2796)=0,COUNTIF($DB$2:DB2796,DB2796)=1),2795,""))</f>
        <v/>
      </c>
    </row>
    <row r="2797">
      <c r="DB2797">
        <f>IF('История отказов'!AW400="","",'История отказов'!AW400)</f>
        <v/>
      </c>
      <c r="DL2797">
        <f>IF(DB2797="","",IF(AND(COUNTIF($DA$2:$DA$47,DB2797)=0,COUNTIF($DB$2:DB2797,DB2797)=1),2796,""))</f>
        <v/>
      </c>
    </row>
    <row r="2798">
      <c r="DB2798">
        <f>IF('История отказов'!AW401="","",'История отказов'!AW401)</f>
        <v/>
      </c>
      <c r="DL2798">
        <f>IF(DB2798="","",IF(AND(COUNTIF($DA$2:$DA$47,DB2798)=0,COUNTIF($DB$2:DB2798,DB2798)=1),2797,""))</f>
        <v/>
      </c>
    </row>
    <row r="2799">
      <c r="DB2799">
        <f>IF('История отказов'!AW402="","",'История отказов'!AW402)</f>
        <v/>
      </c>
      <c r="DL2799">
        <f>IF(DB2799="","",IF(AND(COUNTIF($DA$2:$DA$47,DB2799)=0,COUNTIF($DB$2:DB2799,DB2799)=1),2798,""))</f>
        <v/>
      </c>
    </row>
    <row r="2800">
      <c r="DB2800">
        <f>IF('История отказов'!AW403="","",'История отказов'!AW403)</f>
        <v/>
      </c>
      <c r="DL2800">
        <f>IF(DB2800="","",IF(AND(COUNTIF($DA$2:$DA$47,DB2800)=0,COUNTIF($DB$2:DB2800,DB2800)=1),2799,""))</f>
        <v/>
      </c>
    </row>
    <row r="2801">
      <c r="DB2801">
        <f>IF('История отказов'!AW404="","",'История отказов'!AW404)</f>
        <v/>
      </c>
      <c r="DL2801">
        <f>IF(DB2801="","",IF(AND(COUNTIF($DA$2:$DA$47,DB2801)=0,COUNTIF($DB$2:DB2801,DB2801)=1),2800,""))</f>
        <v/>
      </c>
    </row>
    <row r="2802">
      <c r="DB2802">
        <f>IF('История отказов'!AW405="","",'История отказов'!AW405)</f>
        <v/>
      </c>
      <c r="DL2802">
        <f>IF(DB2802="","",IF(AND(COUNTIF($DA$2:$DA$47,DB2802)=0,COUNTIF($DB$2:DB2802,DB2802)=1),2801,""))</f>
        <v/>
      </c>
    </row>
    <row r="2803">
      <c r="DB2803">
        <f>IF('История отказов'!AW406="","",'История отказов'!AW406)</f>
        <v/>
      </c>
      <c r="DL2803">
        <f>IF(DB2803="","",IF(AND(COUNTIF($DA$2:$DA$47,DB2803)=0,COUNTIF($DB$2:DB2803,DB2803)=1),2802,""))</f>
        <v/>
      </c>
    </row>
    <row r="2804">
      <c r="DB2804">
        <f>IF('История отказов'!AW407="","",'История отказов'!AW407)</f>
        <v/>
      </c>
      <c r="DL2804">
        <f>IF(DB2804="","",IF(AND(COUNTIF($DA$2:$DA$47,DB2804)=0,COUNTIF($DB$2:DB2804,DB2804)=1),2803,""))</f>
        <v/>
      </c>
    </row>
    <row r="2805">
      <c r="DB2805">
        <f>IF('История отказов'!AW408="","",'История отказов'!AW408)</f>
        <v/>
      </c>
      <c r="DL2805">
        <f>IF(DB2805="","",IF(AND(COUNTIF($DA$2:$DA$47,DB2805)=0,COUNTIF($DB$2:DB2805,DB2805)=1),2804,""))</f>
        <v/>
      </c>
    </row>
    <row r="2806">
      <c r="DB2806">
        <f>IF('История отказов'!AW409="","",'История отказов'!AW409)</f>
        <v/>
      </c>
      <c r="DL2806">
        <f>IF(DB2806="","",IF(AND(COUNTIF($DA$2:$DA$47,DB2806)=0,COUNTIF($DB$2:DB2806,DB2806)=1),2805,""))</f>
        <v/>
      </c>
    </row>
    <row r="2807">
      <c r="DB2807">
        <f>IF('История отказов'!AW410="","",'История отказов'!AW410)</f>
        <v/>
      </c>
      <c r="DL2807">
        <f>IF(DB2807="","",IF(AND(COUNTIF($DA$2:$DA$47,DB2807)=0,COUNTIF($DB$2:DB2807,DB2807)=1),2806,""))</f>
        <v/>
      </c>
    </row>
    <row r="2808">
      <c r="DB2808">
        <f>IF('История отказов'!AW411="","",'История отказов'!AW411)</f>
        <v/>
      </c>
      <c r="DL2808">
        <f>IF(DB2808="","",IF(AND(COUNTIF($DA$2:$DA$47,DB2808)=0,COUNTIF($DB$2:DB2808,DB2808)=1),2807,""))</f>
        <v/>
      </c>
    </row>
    <row r="2809">
      <c r="DB2809">
        <f>IF('История отказов'!AW412="","",'История отказов'!AW412)</f>
        <v/>
      </c>
      <c r="DL2809">
        <f>IF(DB2809="","",IF(AND(COUNTIF($DA$2:$DA$47,DB2809)=0,COUNTIF($DB$2:DB2809,DB2809)=1),2808,""))</f>
        <v/>
      </c>
    </row>
    <row r="2810">
      <c r="DB2810">
        <f>IF('История отказов'!AW413="","",'История отказов'!AW413)</f>
        <v/>
      </c>
      <c r="DL2810">
        <f>IF(DB2810="","",IF(AND(COUNTIF($DA$2:$DA$47,DB2810)=0,COUNTIF($DB$2:DB2810,DB2810)=1),2809,""))</f>
        <v/>
      </c>
    </row>
    <row r="2811">
      <c r="DB2811">
        <f>IF('История отказов'!AW414="","",'История отказов'!AW414)</f>
        <v/>
      </c>
      <c r="DL2811">
        <f>IF(DB2811="","",IF(AND(COUNTIF($DA$2:$DA$47,DB2811)=0,COUNTIF($DB$2:DB2811,DB2811)=1),2810,""))</f>
        <v/>
      </c>
    </row>
    <row r="2812">
      <c r="DB2812">
        <f>IF('История отказов'!AW415="","",'История отказов'!AW415)</f>
        <v/>
      </c>
      <c r="DL2812">
        <f>IF(DB2812="","",IF(AND(COUNTIF($DA$2:$DA$47,DB2812)=0,COUNTIF($DB$2:DB2812,DB2812)=1),2811,""))</f>
        <v/>
      </c>
    </row>
    <row r="2813">
      <c r="DB2813">
        <f>IF('История отказов'!AW416="","",'История отказов'!AW416)</f>
        <v/>
      </c>
      <c r="DL2813">
        <f>IF(DB2813="","",IF(AND(COUNTIF($DA$2:$DA$47,DB2813)=0,COUNTIF($DB$2:DB2813,DB2813)=1),2812,""))</f>
        <v/>
      </c>
    </row>
    <row r="2814">
      <c r="DB2814">
        <f>IF('История отказов'!AW417="","",'История отказов'!AW417)</f>
        <v/>
      </c>
      <c r="DL2814">
        <f>IF(DB2814="","",IF(AND(COUNTIF($DA$2:$DA$47,DB2814)=0,COUNTIF($DB$2:DB2814,DB2814)=1),2813,""))</f>
        <v/>
      </c>
    </row>
    <row r="2815">
      <c r="DB2815">
        <f>IF('История отказов'!AW418="","",'История отказов'!AW418)</f>
        <v/>
      </c>
      <c r="DL2815">
        <f>IF(DB2815="","",IF(AND(COUNTIF($DA$2:$DA$47,DB2815)=0,COUNTIF($DB$2:DB2815,DB2815)=1),2814,""))</f>
        <v/>
      </c>
    </row>
    <row r="2816">
      <c r="DB2816">
        <f>IF('История отказов'!AW419="","",'История отказов'!AW419)</f>
        <v/>
      </c>
      <c r="DL2816">
        <f>IF(DB2816="","",IF(AND(COUNTIF($DA$2:$DA$47,DB2816)=0,COUNTIF($DB$2:DB2816,DB2816)=1),2815,""))</f>
        <v/>
      </c>
    </row>
    <row r="2817">
      <c r="DB2817">
        <f>IF('История отказов'!AW420="","",'История отказов'!AW420)</f>
        <v/>
      </c>
      <c r="DL2817">
        <f>IF(DB2817="","",IF(AND(COUNTIF($DA$2:$DA$47,DB2817)=0,COUNTIF($DB$2:DB2817,DB2817)=1),2816,""))</f>
        <v/>
      </c>
    </row>
    <row r="2818">
      <c r="DB2818">
        <f>IF('История отказов'!AW421="","",'История отказов'!AW421)</f>
        <v/>
      </c>
      <c r="DL2818">
        <f>IF(DB2818="","",IF(AND(COUNTIF($DA$2:$DA$47,DB2818)=0,COUNTIF($DB$2:DB2818,DB2818)=1),2817,""))</f>
        <v/>
      </c>
    </row>
    <row r="2819">
      <c r="DB2819">
        <f>IF('История отказов'!AW422="","",'История отказов'!AW422)</f>
        <v/>
      </c>
      <c r="DL2819">
        <f>IF(DB2819="","",IF(AND(COUNTIF($DA$2:$DA$47,DB2819)=0,COUNTIF($DB$2:DB2819,DB2819)=1),2818,""))</f>
        <v/>
      </c>
    </row>
    <row r="2820">
      <c r="DB2820">
        <f>IF('История отказов'!AW423="","",'История отказов'!AW423)</f>
        <v/>
      </c>
      <c r="DL2820">
        <f>IF(DB2820="","",IF(AND(COUNTIF($DA$2:$DA$47,DB2820)=0,COUNTIF($DB$2:DB2820,DB2820)=1),2819,""))</f>
        <v/>
      </c>
    </row>
    <row r="2821">
      <c r="DB2821">
        <f>IF('История отказов'!AW424="","",'История отказов'!AW424)</f>
        <v/>
      </c>
      <c r="DL2821">
        <f>IF(DB2821="","",IF(AND(COUNTIF($DA$2:$DA$47,DB2821)=0,COUNTIF($DB$2:DB2821,DB2821)=1),2820,""))</f>
        <v/>
      </c>
    </row>
    <row r="2822">
      <c r="DB2822">
        <f>IF('История отказов'!AW425="","",'История отказов'!AW425)</f>
        <v/>
      </c>
      <c r="DL2822">
        <f>IF(DB2822="","",IF(AND(COUNTIF($DA$2:$DA$47,DB2822)=0,COUNTIF($DB$2:DB2822,DB2822)=1),2821,""))</f>
        <v/>
      </c>
    </row>
    <row r="2823">
      <c r="DB2823">
        <f>IF('История отказов'!AW426="","",'История отказов'!AW426)</f>
        <v/>
      </c>
      <c r="DL2823">
        <f>IF(DB2823="","",IF(AND(COUNTIF($DA$2:$DA$47,DB2823)=0,COUNTIF($DB$2:DB2823,DB2823)=1),2822,""))</f>
        <v/>
      </c>
    </row>
    <row r="2824">
      <c r="DB2824">
        <f>IF('История отказов'!AW427="","",'История отказов'!AW427)</f>
        <v/>
      </c>
      <c r="DL2824">
        <f>IF(DB2824="","",IF(AND(COUNTIF($DA$2:$DA$47,DB2824)=0,COUNTIF($DB$2:DB2824,DB2824)=1),2823,""))</f>
        <v/>
      </c>
    </row>
    <row r="2825">
      <c r="DB2825">
        <f>IF('История отказов'!AW428="","",'История отказов'!AW428)</f>
        <v/>
      </c>
      <c r="DL2825">
        <f>IF(DB2825="","",IF(AND(COUNTIF($DA$2:$DA$47,DB2825)=0,COUNTIF($DB$2:DB2825,DB2825)=1),2824,""))</f>
        <v/>
      </c>
    </row>
    <row r="2826">
      <c r="DB2826">
        <f>IF('История отказов'!AW429="","",'История отказов'!AW429)</f>
        <v/>
      </c>
      <c r="DL2826">
        <f>IF(DB2826="","",IF(AND(COUNTIF($DA$2:$DA$47,DB2826)=0,COUNTIF($DB$2:DB2826,DB2826)=1),2825,""))</f>
        <v/>
      </c>
    </row>
    <row r="2827">
      <c r="DB2827">
        <f>IF('История отказов'!AW430="","",'История отказов'!AW430)</f>
        <v/>
      </c>
      <c r="DL2827">
        <f>IF(DB2827="","",IF(AND(COUNTIF($DA$2:$DA$47,DB2827)=0,COUNTIF($DB$2:DB2827,DB2827)=1),2826,""))</f>
        <v/>
      </c>
    </row>
    <row r="2828">
      <c r="DB2828">
        <f>IF('История отказов'!AW431="","",'История отказов'!AW431)</f>
        <v/>
      </c>
      <c r="DL2828">
        <f>IF(DB2828="","",IF(AND(COUNTIF($DA$2:$DA$47,DB2828)=0,COUNTIF($DB$2:DB2828,DB2828)=1),2827,""))</f>
        <v/>
      </c>
    </row>
    <row r="2829">
      <c r="DB2829">
        <f>IF('История отказов'!AW432="","",'История отказов'!AW432)</f>
        <v/>
      </c>
      <c r="DL2829">
        <f>IF(DB2829="","",IF(AND(COUNTIF($DA$2:$DA$47,DB2829)=0,COUNTIF($DB$2:DB2829,DB2829)=1),2828,""))</f>
        <v/>
      </c>
    </row>
    <row r="2830">
      <c r="DB2830">
        <f>IF('История отказов'!AW433="","",'История отказов'!AW433)</f>
        <v/>
      </c>
      <c r="DL2830">
        <f>IF(DB2830="","",IF(AND(COUNTIF($DA$2:$DA$47,DB2830)=0,COUNTIF($DB$2:DB2830,DB2830)=1),2829,""))</f>
        <v/>
      </c>
    </row>
    <row r="2831">
      <c r="DB2831">
        <f>IF('История отказов'!AW434="","",'История отказов'!AW434)</f>
        <v/>
      </c>
      <c r="DL2831">
        <f>IF(DB2831="","",IF(AND(COUNTIF($DA$2:$DA$47,DB2831)=0,COUNTIF($DB$2:DB2831,DB2831)=1),2830,""))</f>
        <v/>
      </c>
    </row>
    <row r="2832">
      <c r="DB2832">
        <f>IF('История отказов'!AW435="","",'История отказов'!AW435)</f>
        <v/>
      </c>
      <c r="DL2832">
        <f>IF(DB2832="","",IF(AND(COUNTIF($DA$2:$DA$47,DB2832)=0,COUNTIF($DB$2:DB2832,DB2832)=1),2831,""))</f>
        <v/>
      </c>
    </row>
    <row r="2833">
      <c r="DB2833">
        <f>IF('История отказов'!AW436="","",'История отказов'!AW436)</f>
        <v/>
      </c>
      <c r="DL2833">
        <f>IF(DB2833="","",IF(AND(COUNTIF($DA$2:$DA$47,DB2833)=0,COUNTIF($DB$2:DB2833,DB2833)=1),2832,""))</f>
        <v/>
      </c>
    </row>
    <row r="2834">
      <c r="DB2834">
        <f>IF('История отказов'!AW437="","",'История отказов'!AW437)</f>
        <v/>
      </c>
      <c r="DL2834">
        <f>IF(DB2834="","",IF(AND(COUNTIF($DA$2:$DA$47,DB2834)=0,COUNTIF($DB$2:DB2834,DB2834)=1),2833,""))</f>
        <v/>
      </c>
    </row>
    <row r="2835">
      <c r="DB2835">
        <f>IF('История отказов'!AW438="","",'История отказов'!AW438)</f>
        <v/>
      </c>
      <c r="DL2835">
        <f>IF(DB2835="","",IF(AND(COUNTIF($DA$2:$DA$47,DB2835)=0,COUNTIF($DB$2:DB2835,DB2835)=1),2834,""))</f>
        <v/>
      </c>
    </row>
    <row r="2836">
      <c r="DB2836">
        <f>IF('История отказов'!AW439="","",'История отказов'!AW439)</f>
        <v/>
      </c>
      <c r="DL2836">
        <f>IF(DB2836="","",IF(AND(COUNTIF($DA$2:$DA$47,DB2836)=0,COUNTIF($DB$2:DB2836,DB2836)=1),2835,""))</f>
        <v/>
      </c>
    </row>
    <row r="2837">
      <c r="DB2837">
        <f>IF('История отказов'!AW440="","",'История отказов'!AW440)</f>
        <v/>
      </c>
      <c r="DL2837">
        <f>IF(DB2837="","",IF(AND(COUNTIF($DA$2:$DA$47,DB2837)=0,COUNTIF($DB$2:DB2837,DB2837)=1),2836,""))</f>
        <v/>
      </c>
    </row>
    <row r="2838">
      <c r="DB2838">
        <f>IF('История отказов'!AW441="","",'История отказов'!AW441)</f>
        <v/>
      </c>
      <c r="DL2838">
        <f>IF(DB2838="","",IF(AND(COUNTIF($DA$2:$DA$47,DB2838)=0,COUNTIF($DB$2:DB2838,DB2838)=1),2837,""))</f>
        <v/>
      </c>
    </row>
    <row r="2839">
      <c r="DB2839">
        <f>IF('История отказов'!AW442="","",'История отказов'!AW442)</f>
        <v/>
      </c>
      <c r="DL2839">
        <f>IF(DB2839="","",IF(AND(COUNTIF($DA$2:$DA$47,DB2839)=0,COUNTIF($DB$2:DB2839,DB2839)=1),2838,""))</f>
        <v/>
      </c>
    </row>
    <row r="2840">
      <c r="DB2840">
        <f>IF('История отказов'!AW443="","",'История отказов'!AW443)</f>
        <v/>
      </c>
      <c r="DL2840">
        <f>IF(DB2840="","",IF(AND(COUNTIF($DA$2:$DA$47,DB2840)=0,COUNTIF($DB$2:DB2840,DB2840)=1),2839,""))</f>
        <v/>
      </c>
    </row>
    <row r="2841">
      <c r="DB2841">
        <f>IF('История отказов'!AW444="","",'История отказов'!AW444)</f>
        <v/>
      </c>
      <c r="DL2841">
        <f>IF(DB2841="","",IF(AND(COUNTIF($DA$2:$DA$47,DB2841)=0,COUNTIF($DB$2:DB2841,DB2841)=1),2840,""))</f>
        <v/>
      </c>
    </row>
    <row r="2842">
      <c r="DB2842">
        <f>IF('История отказов'!AW445="","",'История отказов'!AW445)</f>
        <v/>
      </c>
      <c r="DL2842">
        <f>IF(DB2842="","",IF(AND(COUNTIF($DA$2:$DA$47,DB2842)=0,COUNTIF($DB$2:DB2842,DB2842)=1),2841,""))</f>
        <v/>
      </c>
    </row>
    <row r="2843">
      <c r="DB2843">
        <f>IF('История отказов'!AW446="","",'История отказов'!AW446)</f>
        <v/>
      </c>
      <c r="DL2843">
        <f>IF(DB2843="","",IF(AND(COUNTIF($DA$2:$DA$47,DB2843)=0,COUNTIF($DB$2:DB2843,DB2843)=1),2842,""))</f>
        <v/>
      </c>
    </row>
    <row r="2844">
      <c r="DB2844">
        <f>IF('История отказов'!AW447="","",'История отказов'!AW447)</f>
        <v/>
      </c>
      <c r="DL2844">
        <f>IF(DB2844="","",IF(AND(COUNTIF($DA$2:$DA$47,DB2844)=0,COUNTIF($DB$2:DB2844,DB2844)=1),2843,""))</f>
        <v/>
      </c>
    </row>
    <row r="2845">
      <c r="DB2845">
        <f>IF('История отказов'!AW448="","",'История отказов'!AW448)</f>
        <v/>
      </c>
      <c r="DL2845">
        <f>IF(DB2845="","",IF(AND(COUNTIF($DA$2:$DA$47,DB2845)=0,COUNTIF($DB$2:DB2845,DB2845)=1),2844,""))</f>
        <v/>
      </c>
    </row>
    <row r="2846">
      <c r="DB2846">
        <f>IF('История отказов'!AW449="","",'История отказов'!AW449)</f>
        <v/>
      </c>
      <c r="DL2846">
        <f>IF(DB2846="","",IF(AND(COUNTIF($DA$2:$DA$47,DB2846)=0,COUNTIF($DB$2:DB2846,DB2846)=1),2845,""))</f>
        <v/>
      </c>
    </row>
    <row r="2847">
      <c r="DB2847">
        <f>IF('История отказов'!AW450="","",'История отказов'!AW450)</f>
        <v/>
      </c>
      <c r="DL2847">
        <f>IF(DB2847="","",IF(AND(COUNTIF($DA$2:$DA$47,DB2847)=0,COUNTIF($DB$2:DB2847,DB2847)=1),2846,""))</f>
        <v/>
      </c>
    </row>
    <row r="2848">
      <c r="DB2848">
        <f>IF('История отказов'!AW451="","",'История отказов'!AW451)</f>
        <v/>
      </c>
      <c r="DL2848">
        <f>IF(DB2848="","",IF(AND(COUNTIF($DA$2:$DA$47,DB2848)=0,COUNTIF($DB$2:DB2848,DB2848)=1),2847,""))</f>
        <v/>
      </c>
    </row>
    <row r="2849">
      <c r="DB2849">
        <f>IF('История отказов'!AW452="","",'История отказов'!AW452)</f>
        <v/>
      </c>
      <c r="DL2849">
        <f>IF(DB2849="","",IF(AND(COUNTIF($DA$2:$DA$47,DB2849)=0,COUNTIF($DB$2:DB2849,DB2849)=1),2848,""))</f>
        <v/>
      </c>
    </row>
    <row r="2850">
      <c r="DB2850">
        <f>IF('История отказов'!AW453="","",'История отказов'!AW453)</f>
        <v/>
      </c>
      <c r="DL2850">
        <f>IF(DB2850="","",IF(AND(COUNTIF($DA$2:$DA$47,DB2850)=0,COUNTIF($DB$2:DB2850,DB2850)=1),2849,""))</f>
        <v/>
      </c>
    </row>
    <row r="2851">
      <c r="DB2851">
        <f>IF('История отказов'!AW454="","",'История отказов'!AW454)</f>
        <v/>
      </c>
      <c r="DL2851">
        <f>IF(DB2851="","",IF(AND(COUNTIF($DA$2:$DA$47,DB2851)=0,COUNTIF($DB$2:DB2851,DB2851)=1),2850,""))</f>
        <v/>
      </c>
    </row>
    <row r="2852">
      <c r="DB2852">
        <f>IF('История отказов'!AW455="","",'История отказов'!AW455)</f>
        <v/>
      </c>
      <c r="DL2852">
        <f>IF(DB2852="","",IF(AND(COUNTIF($DA$2:$DA$47,DB2852)=0,COUNTIF($DB$2:DB2852,DB2852)=1),2851,""))</f>
        <v/>
      </c>
    </row>
    <row r="2853">
      <c r="DB2853">
        <f>IF('История отказов'!AW456="","",'История отказов'!AW456)</f>
        <v/>
      </c>
      <c r="DL2853">
        <f>IF(DB2853="","",IF(AND(COUNTIF($DA$2:$DA$47,DB2853)=0,COUNTIF($DB$2:DB2853,DB2853)=1),2852,""))</f>
        <v/>
      </c>
    </row>
    <row r="2854">
      <c r="DB2854">
        <f>IF('История отказов'!AW457="","",'История отказов'!AW457)</f>
        <v/>
      </c>
      <c r="DL2854">
        <f>IF(DB2854="","",IF(AND(COUNTIF($DA$2:$DA$47,DB2854)=0,COUNTIF($DB$2:DB2854,DB2854)=1),2853,""))</f>
        <v/>
      </c>
    </row>
    <row r="2855">
      <c r="DB2855">
        <f>IF('История отказов'!AW458="","",'История отказов'!AW458)</f>
        <v/>
      </c>
      <c r="DL2855">
        <f>IF(DB2855="","",IF(AND(COUNTIF($DA$2:$DA$47,DB2855)=0,COUNTIF($DB$2:DB2855,DB2855)=1),2854,""))</f>
        <v/>
      </c>
    </row>
    <row r="2856">
      <c r="DB2856">
        <f>IF('История отказов'!AW459="","",'История отказов'!AW459)</f>
        <v/>
      </c>
      <c r="DL2856">
        <f>IF(DB2856="","",IF(AND(COUNTIF($DA$2:$DA$47,DB2856)=0,COUNTIF($DB$2:DB2856,DB2856)=1),2855,""))</f>
        <v/>
      </c>
    </row>
    <row r="2857">
      <c r="DB2857">
        <f>IF('История отказов'!AW460="","",'История отказов'!AW460)</f>
        <v/>
      </c>
      <c r="DL2857">
        <f>IF(DB2857="","",IF(AND(COUNTIF($DA$2:$DA$47,DB2857)=0,COUNTIF($DB$2:DB2857,DB2857)=1),2856,""))</f>
        <v/>
      </c>
    </row>
    <row r="2858">
      <c r="DB2858">
        <f>IF('История отказов'!AW461="","",'История отказов'!AW461)</f>
        <v/>
      </c>
      <c r="DL2858">
        <f>IF(DB2858="","",IF(AND(COUNTIF($DA$2:$DA$47,DB2858)=0,COUNTIF($DB$2:DB2858,DB2858)=1),2857,""))</f>
        <v/>
      </c>
    </row>
    <row r="2859">
      <c r="DB2859">
        <f>IF('История отказов'!AW462="","",'История отказов'!AW462)</f>
        <v/>
      </c>
      <c r="DL2859">
        <f>IF(DB2859="","",IF(AND(COUNTIF($DA$2:$DA$47,DB2859)=0,COUNTIF($DB$2:DB2859,DB2859)=1),2858,""))</f>
        <v/>
      </c>
    </row>
    <row r="2860">
      <c r="DB2860">
        <f>IF('История отказов'!AW463="","",'История отказов'!AW463)</f>
        <v/>
      </c>
      <c r="DL2860">
        <f>IF(DB2860="","",IF(AND(COUNTIF($DA$2:$DA$47,DB2860)=0,COUNTIF($DB$2:DB2860,DB2860)=1),2859,""))</f>
        <v/>
      </c>
    </row>
    <row r="2861">
      <c r="DB2861">
        <f>IF('История отказов'!AW464="","",'История отказов'!AW464)</f>
        <v/>
      </c>
      <c r="DL2861">
        <f>IF(DB2861="","",IF(AND(COUNTIF($DA$2:$DA$47,DB2861)=0,COUNTIF($DB$2:DB2861,DB2861)=1),2860,""))</f>
        <v/>
      </c>
    </row>
    <row r="2862">
      <c r="DB2862">
        <f>IF('История отказов'!AW465="","",'История отказов'!AW465)</f>
        <v/>
      </c>
      <c r="DL2862">
        <f>IF(DB2862="","",IF(AND(COUNTIF($DA$2:$DA$47,DB2862)=0,COUNTIF($DB$2:DB2862,DB2862)=1),2861,""))</f>
        <v/>
      </c>
    </row>
    <row r="2863">
      <c r="DB2863">
        <f>IF('История отказов'!AW466="","",'История отказов'!AW466)</f>
        <v/>
      </c>
      <c r="DL2863">
        <f>IF(DB2863="","",IF(AND(COUNTIF($DA$2:$DA$47,DB2863)=0,COUNTIF($DB$2:DB2863,DB2863)=1),2862,""))</f>
        <v/>
      </c>
    </row>
    <row r="2864">
      <c r="DB2864">
        <f>IF('История отказов'!AW467="","",'История отказов'!AW467)</f>
        <v/>
      </c>
      <c r="DL2864">
        <f>IF(DB2864="","",IF(AND(COUNTIF($DA$2:$DA$47,DB2864)=0,COUNTIF($DB$2:DB2864,DB2864)=1),2863,""))</f>
        <v/>
      </c>
    </row>
    <row r="2865">
      <c r="DB2865">
        <f>IF('История отказов'!AW468="","",'История отказов'!AW468)</f>
        <v/>
      </c>
      <c r="DL2865">
        <f>IF(DB2865="","",IF(AND(COUNTIF($DA$2:$DA$47,DB2865)=0,COUNTIF($DB$2:DB2865,DB2865)=1),2864,""))</f>
        <v/>
      </c>
    </row>
    <row r="2866">
      <c r="DB2866">
        <f>IF('История отказов'!AW469="","",'История отказов'!AW469)</f>
        <v/>
      </c>
      <c r="DL2866">
        <f>IF(DB2866="","",IF(AND(COUNTIF($DA$2:$DA$47,DB2866)=0,COUNTIF($DB$2:DB2866,DB2866)=1),2865,""))</f>
        <v/>
      </c>
    </row>
    <row r="2867">
      <c r="DB2867">
        <f>IF('История отказов'!AW470="","",'История отказов'!AW470)</f>
        <v/>
      </c>
      <c r="DL2867">
        <f>IF(DB2867="","",IF(AND(COUNTIF($DA$2:$DA$47,DB2867)=0,COUNTIF($DB$2:DB2867,DB2867)=1),2866,""))</f>
        <v/>
      </c>
    </row>
    <row r="2868">
      <c r="DB2868">
        <f>IF('История отказов'!AW471="","",'История отказов'!AW471)</f>
        <v/>
      </c>
      <c r="DL2868">
        <f>IF(DB2868="","",IF(AND(COUNTIF($DA$2:$DA$47,DB2868)=0,COUNTIF($DB$2:DB2868,DB2868)=1),2867,""))</f>
        <v/>
      </c>
    </row>
    <row r="2869">
      <c r="DB2869">
        <f>IF('История отказов'!AW472="","",'История отказов'!AW472)</f>
        <v/>
      </c>
      <c r="DL2869">
        <f>IF(DB2869="","",IF(AND(COUNTIF($DA$2:$DA$47,DB2869)=0,COUNTIF($DB$2:DB2869,DB2869)=1),2868,""))</f>
        <v/>
      </c>
    </row>
    <row r="2870">
      <c r="DB2870">
        <f>IF('История отказов'!AW473="","",'История отказов'!AW473)</f>
        <v/>
      </c>
      <c r="DL2870">
        <f>IF(DB2870="","",IF(AND(COUNTIF($DA$2:$DA$47,DB2870)=0,COUNTIF($DB$2:DB2870,DB2870)=1),2869,""))</f>
        <v/>
      </c>
    </row>
    <row r="2871">
      <c r="DB2871">
        <f>IF('История отказов'!AW474="","",'История отказов'!AW474)</f>
        <v/>
      </c>
      <c r="DL2871">
        <f>IF(DB2871="","",IF(AND(COUNTIF($DA$2:$DA$47,DB2871)=0,COUNTIF($DB$2:DB2871,DB2871)=1),2870,""))</f>
        <v/>
      </c>
    </row>
    <row r="2872">
      <c r="DB2872">
        <f>IF('История отказов'!AW475="","",'История отказов'!AW475)</f>
        <v/>
      </c>
      <c r="DL2872">
        <f>IF(DB2872="","",IF(AND(COUNTIF($DA$2:$DA$47,DB2872)=0,COUNTIF($DB$2:DB2872,DB2872)=1),2871,""))</f>
        <v/>
      </c>
    </row>
    <row r="2873">
      <c r="DB2873">
        <f>IF('История отказов'!AW476="","",'История отказов'!AW476)</f>
        <v/>
      </c>
      <c r="DL2873">
        <f>IF(DB2873="","",IF(AND(COUNTIF($DA$2:$DA$47,DB2873)=0,COUNTIF($DB$2:DB2873,DB2873)=1),2872,""))</f>
        <v/>
      </c>
    </row>
    <row r="2874">
      <c r="DB2874">
        <f>IF('История отказов'!AW477="","",'История отказов'!AW477)</f>
        <v/>
      </c>
      <c r="DL2874">
        <f>IF(DB2874="","",IF(AND(COUNTIF($DA$2:$DA$47,DB2874)=0,COUNTIF($DB$2:DB2874,DB2874)=1),2873,""))</f>
        <v/>
      </c>
    </row>
    <row r="2875">
      <c r="DB2875">
        <f>IF('История отказов'!AW478="","",'История отказов'!AW478)</f>
        <v/>
      </c>
      <c r="DL2875">
        <f>IF(DB2875="","",IF(AND(COUNTIF($DA$2:$DA$47,DB2875)=0,COUNTIF($DB$2:DB2875,DB2875)=1),2874,""))</f>
        <v/>
      </c>
    </row>
    <row r="2876">
      <c r="DB2876">
        <f>IF('История отказов'!AW479="","",'История отказов'!AW479)</f>
        <v/>
      </c>
      <c r="DL2876">
        <f>IF(DB2876="","",IF(AND(COUNTIF($DA$2:$DA$47,DB2876)=0,COUNTIF($DB$2:DB2876,DB2876)=1),2875,""))</f>
        <v/>
      </c>
    </row>
    <row r="2877">
      <c r="DB2877">
        <f>IF('История отказов'!AW480="","",'История отказов'!AW480)</f>
        <v/>
      </c>
      <c r="DL2877">
        <f>IF(DB2877="","",IF(AND(COUNTIF($DA$2:$DA$47,DB2877)=0,COUNTIF($DB$2:DB2877,DB2877)=1),2876,""))</f>
        <v/>
      </c>
    </row>
    <row r="2878">
      <c r="DB2878">
        <f>IF('История отказов'!AW481="","",'История отказов'!AW481)</f>
        <v/>
      </c>
      <c r="DL2878">
        <f>IF(DB2878="","",IF(AND(COUNTIF($DA$2:$DA$47,DB2878)=0,COUNTIF($DB$2:DB2878,DB2878)=1),2877,""))</f>
        <v/>
      </c>
    </row>
    <row r="2879">
      <c r="DB2879">
        <f>IF('История отказов'!AW482="","",'История отказов'!AW482)</f>
        <v/>
      </c>
      <c r="DL2879">
        <f>IF(DB2879="","",IF(AND(COUNTIF($DA$2:$DA$47,DB2879)=0,COUNTIF($DB$2:DB2879,DB2879)=1),2878,""))</f>
        <v/>
      </c>
    </row>
    <row r="2880">
      <c r="DB2880">
        <f>IF('История отказов'!AW483="","",'История отказов'!AW483)</f>
        <v/>
      </c>
      <c r="DL2880">
        <f>IF(DB2880="","",IF(AND(COUNTIF($DA$2:$DA$47,DB2880)=0,COUNTIF($DB$2:DB2880,DB2880)=1),2879,""))</f>
        <v/>
      </c>
    </row>
    <row r="2881">
      <c r="DB2881">
        <f>IF('История отказов'!AW484="","",'История отказов'!AW484)</f>
        <v/>
      </c>
      <c r="DL2881">
        <f>IF(DB2881="","",IF(AND(COUNTIF($DA$2:$DA$47,DB2881)=0,COUNTIF($DB$2:DB2881,DB2881)=1),2880,""))</f>
        <v/>
      </c>
    </row>
    <row r="2882">
      <c r="DB2882">
        <f>IF('История отказов'!AW485="","",'История отказов'!AW485)</f>
        <v/>
      </c>
      <c r="DL2882">
        <f>IF(DB2882="","",IF(AND(COUNTIF($DA$2:$DA$47,DB2882)=0,COUNTIF($DB$2:DB2882,DB2882)=1),2881,""))</f>
        <v/>
      </c>
    </row>
    <row r="2883">
      <c r="DB2883">
        <f>IF('История отказов'!AW486="","",'История отказов'!AW486)</f>
        <v/>
      </c>
      <c r="DL2883">
        <f>IF(DB2883="","",IF(AND(COUNTIF($DA$2:$DA$47,DB2883)=0,COUNTIF($DB$2:DB2883,DB2883)=1),2882,""))</f>
        <v/>
      </c>
    </row>
    <row r="2884">
      <c r="DB2884">
        <f>IF('История отказов'!AW487="","",'История отказов'!AW487)</f>
        <v/>
      </c>
      <c r="DL2884">
        <f>IF(DB2884="","",IF(AND(COUNTIF($DA$2:$DA$47,DB2884)=0,COUNTIF($DB$2:DB2884,DB2884)=1),2883,""))</f>
        <v/>
      </c>
    </row>
    <row r="2885">
      <c r="DB2885">
        <f>IF('История отказов'!AW488="","",'История отказов'!AW488)</f>
        <v/>
      </c>
      <c r="DL2885">
        <f>IF(DB2885="","",IF(AND(COUNTIF($DA$2:$DA$47,DB2885)=0,COUNTIF($DB$2:DB2885,DB2885)=1),2884,""))</f>
        <v/>
      </c>
    </row>
    <row r="2886">
      <c r="DB2886">
        <f>IF('История отказов'!AW489="","",'История отказов'!AW489)</f>
        <v/>
      </c>
      <c r="DL2886">
        <f>IF(DB2886="","",IF(AND(COUNTIF($DA$2:$DA$47,DB2886)=0,COUNTIF($DB$2:DB2886,DB2886)=1),2885,""))</f>
        <v/>
      </c>
    </row>
    <row r="2887">
      <c r="DB2887">
        <f>IF('История отказов'!AW490="","",'История отказов'!AW490)</f>
        <v/>
      </c>
      <c r="DL2887">
        <f>IF(DB2887="","",IF(AND(COUNTIF($DA$2:$DA$47,DB2887)=0,COUNTIF($DB$2:DB2887,DB2887)=1),2886,""))</f>
        <v/>
      </c>
    </row>
    <row r="2888">
      <c r="DB2888">
        <f>IF('История отказов'!AW491="","",'История отказов'!AW491)</f>
        <v/>
      </c>
      <c r="DL2888">
        <f>IF(DB2888="","",IF(AND(COUNTIF($DA$2:$DA$47,DB2888)=0,COUNTIF($DB$2:DB2888,DB2888)=1),2887,""))</f>
        <v/>
      </c>
    </row>
    <row r="2889">
      <c r="DB2889">
        <f>IF('История отказов'!AW492="","",'История отказов'!AW492)</f>
        <v/>
      </c>
      <c r="DL2889">
        <f>IF(DB2889="","",IF(AND(COUNTIF($DA$2:$DA$47,DB2889)=0,COUNTIF($DB$2:DB2889,DB2889)=1),2888,""))</f>
        <v/>
      </c>
    </row>
    <row r="2890">
      <c r="DB2890">
        <f>IF('История отказов'!AW493="","",'История отказов'!AW493)</f>
        <v/>
      </c>
      <c r="DL2890">
        <f>IF(DB2890="","",IF(AND(COUNTIF($DA$2:$DA$47,DB2890)=0,COUNTIF($DB$2:DB2890,DB2890)=1),2889,""))</f>
        <v/>
      </c>
    </row>
    <row r="2891">
      <c r="DB2891">
        <f>IF('История отказов'!AW494="","",'История отказов'!AW494)</f>
        <v/>
      </c>
      <c r="DL2891">
        <f>IF(DB2891="","",IF(AND(COUNTIF($DA$2:$DA$47,DB2891)=0,COUNTIF($DB$2:DB2891,DB2891)=1),2890,""))</f>
        <v/>
      </c>
    </row>
    <row r="2892">
      <c r="DB2892">
        <f>IF('История отказов'!AW495="","",'История отказов'!AW495)</f>
        <v/>
      </c>
      <c r="DL2892">
        <f>IF(DB2892="","",IF(AND(COUNTIF($DA$2:$DA$47,DB2892)=0,COUNTIF($DB$2:DB2892,DB2892)=1),2891,""))</f>
        <v/>
      </c>
    </row>
    <row r="2893">
      <c r="DB2893">
        <f>IF('История отказов'!AW496="","",'История отказов'!AW496)</f>
        <v/>
      </c>
      <c r="DL2893">
        <f>IF(DB2893="","",IF(AND(COUNTIF($DA$2:$DA$47,DB2893)=0,COUNTIF($DB$2:DB2893,DB2893)=1),2892,""))</f>
        <v/>
      </c>
    </row>
    <row r="2894">
      <c r="DB2894">
        <f>IF('История отказов'!AW497="","",'История отказов'!AW497)</f>
        <v/>
      </c>
      <c r="DL2894">
        <f>IF(DB2894="","",IF(AND(COUNTIF($DA$2:$DA$47,DB2894)=0,COUNTIF($DB$2:DB2894,DB2894)=1),2893,""))</f>
        <v/>
      </c>
    </row>
    <row r="2895">
      <c r="DB2895">
        <f>IF('История отказов'!AW498="","",'История отказов'!AW498)</f>
        <v/>
      </c>
      <c r="DL2895">
        <f>IF(DB2895="","",IF(AND(COUNTIF($DA$2:$DA$47,DB2895)=0,COUNTIF($DB$2:DB2895,DB2895)=1),2894,""))</f>
        <v/>
      </c>
    </row>
    <row r="2896">
      <c r="DB2896">
        <f>IF('История отказов'!AW499="","",'История отказов'!AW499)</f>
        <v/>
      </c>
      <c r="DL2896">
        <f>IF(DB2896="","",IF(AND(COUNTIF($DA$2:$DA$47,DB2896)=0,COUNTIF($DB$2:DB2896,DB2896)=1),2895,""))</f>
        <v/>
      </c>
    </row>
    <row r="2897">
      <c r="DB2897">
        <f>IF('История отказов'!AW500="","",'История отказов'!AW500)</f>
        <v/>
      </c>
      <c r="DL2897">
        <f>IF(DB2897="","",IF(AND(COUNTIF($DA$2:$DA$47,DB2897)=0,COUNTIF($DB$2:DB2897,DB2897)=1),2896,""))</f>
        <v/>
      </c>
    </row>
    <row r="2898">
      <c r="DB2898">
        <f>IF('История отказов'!AW501="","",'История отказов'!AW501)</f>
        <v/>
      </c>
      <c r="DL2898">
        <f>IF(DB2898="","",IF(AND(COUNTIF($DA$2:$DA$47,DB2898)=0,COUNTIF($DB$2:DB2898,DB2898)=1),2897,""))</f>
        <v/>
      </c>
    </row>
    <row r="2899">
      <c r="DB2899">
        <f>IF('История отказов'!AW502="","",'История отказов'!AW502)</f>
        <v/>
      </c>
      <c r="DL2899">
        <f>IF(DB2899="","",IF(AND(COUNTIF($DA$2:$DA$47,DB2899)=0,COUNTIF($DB$2:DB2899,DB2899)=1),2898,""))</f>
        <v/>
      </c>
    </row>
    <row r="2900">
      <c r="DB2900">
        <f>IF('История отказов'!AW503="","",'История отказов'!AW503)</f>
        <v/>
      </c>
      <c r="DL2900">
        <f>IF(DB2900="","",IF(AND(COUNTIF($DA$2:$DA$47,DB2900)=0,COUNTIF($DB$2:DB2900,DB2900)=1),2899,""))</f>
        <v/>
      </c>
    </row>
    <row r="2901">
      <c r="DB2901">
        <f>IF('История отказов'!AW504="","",'История отказов'!AW504)</f>
        <v/>
      </c>
      <c r="DL2901">
        <f>IF(DB2901="","",IF(AND(COUNTIF($DA$2:$DA$47,DB2901)=0,COUNTIF($DB$2:DB2901,DB2901)=1),2900,""))</f>
        <v/>
      </c>
    </row>
    <row r="2902">
      <c r="DB2902">
        <f>IF('История отказов'!AW505="","",'История отказов'!AW505)</f>
        <v/>
      </c>
      <c r="DL2902">
        <f>IF(DB2902="","",IF(AND(COUNTIF($DA$2:$DA$47,DB2902)=0,COUNTIF($DB$2:DB2902,DB2902)=1),2901,""))</f>
        <v/>
      </c>
    </row>
    <row r="2903">
      <c r="DB2903">
        <f>IF('История отказов'!AW506="","",'История отказов'!AW506)</f>
        <v/>
      </c>
      <c r="DL2903">
        <f>IF(DB2903="","",IF(AND(COUNTIF($DA$2:$DA$47,DB2903)=0,COUNTIF($DB$2:DB2903,DB2903)=1),2902,""))</f>
        <v/>
      </c>
    </row>
    <row r="2904">
      <c r="DB2904">
        <f>IF('История отказов'!AW507="","",'История отказов'!AW507)</f>
        <v/>
      </c>
      <c r="DL2904">
        <f>IF(DB2904="","",IF(AND(COUNTIF($DA$2:$DA$47,DB2904)=0,COUNTIF($DB$2:DB2904,DB2904)=1),2903,""))</f>
        <v/>
      </c>
    </row>
    <row r="2905">
      <c r="DB2905">
        <f>IF('История отказов'!AW508="","",'История отказов'!AW508)</f>
        <v/>
      </c>
      <c r="DL2905">
        <f>IF(DB2905="","",IF(AND(COUNTIF($DA$2:$DA$47,DB2905)=0,COUNTIF($DB$2:DB2905,DB2905)=1),2904,""))</f>
        <v/>
      </c>
    </row>
    <row r="2906">
      <c r="DB2906">
        <f>IF('История отказов'!AW509="","",'История отказов'!AW509)</f>
        <v/>
      </c>
      <c r="DL2906">
        <f>IF(DB2906="","",IF(AND(COUNTIF($DA$2:$DA$47,DB2906)=0,COUNTIF($DB$2:DB2906,DB2906)=1),2905,""))</f>
        <v/>
      </c>
    </row>
    <row r="2907">
      <c r="DB2907">
        <f>IF('История отказов'!AW510="","",'История отказов'!AW510)</f>
        <v/>
      </c>
      <c r="DL2907">
        <f>IF(DB2907="","",IF(AND(COUNTIF($DA$2:$DA$47,DB2907)=0,COUNTIF($DB$2:DB2907,DB2907)=1),2906,""))</f>
        <v/>
      </c>
    </row>
    <row r="2908">
      <c r="DB2908">
        <f>IF('История отказов'!AW511="","",'История отказов'!AW511)</f>
        <v/>
      </c>
      <c r="DL2908">
        <f>IF(DB2908="","",IF(AND(COUNTIF($DA$2:$DA$47,DB2908)=0,COUNTIF($DB$2:DB2908,DB2908)=1),2907,""))</f>
        <v/>
      </c>
    </row>
    <row r="2909">
      <c r="DB2909">
        <f>IF('История отказов'!AW512="","",'История отказов'!AW512)</f>
        <v/>
      </c>
      <c r="DL2909">
        <f>IF(DB2909="","",IF(AND(COUNTIF($DA$2:$DA$47,DB2909)=0,COUNTIF($DB$2:DB2909,DB2909)=1),2908,""))</f>
        <v/>
      </c>
    </row>
    <row r="2910">
      <c r="DB2910">
        <f>IF('История отказов'!AW513="","",'История отказов'!AW513)</f>
        <v/>
      </c>
      <c r="DL2910">
        <f>IF(DB2910="","",IF(AND(COUNTIF($DA$2:$DA$47,DB2910)=0,COUNTIF($DB$2:DB2910,DB2910)=1),2909,""))</f>
        <v/>
      </c>
    </row>
    <row r="2911">
      <c r="DB2911">
        <f>IF('История отказов'!AW514="","",'История отказов'!AW514)</f>
        <v/>
      </c>
      <c r="DL2911">
        <f>IF(DB2911="","",IF(AND(COUNTIF($DA$2:$DA$47,DB2911)=0,COUNTIF($DB$2:DB2911,DB2911)=1),2910,""))</f>
        <v/>
      </c>
    </row>
    <row r="2912">
      <c r="DB2912">
        <f>IF('История отказов'!AW515="","",'История отказов'!AW515)</f>
        <v/>
      </c>
      <c r="DL2912">
        <f>IF(DB2912="","",IF(AND(COUNTIF($DA$2:$DA$47,DB2912)=0,COUNTIF($DB$2:DB2912,DB2912)=1),2911,""))</f>
        <v/>
      </c>
    </row>
    <row r="2913">
      <c r="DB2913">
        <f>IF('История отказов'!AW516="","",'История отказов'!AW516)</f>
        <v/>
      </c>
      <c r="DL2913">
        <f>IF(DB2913="","",IF(AND(COUNTIF($DA$2:$DA$47,DB2913)=0,COUNTIF($DB$2:DB2913,DB2913)=1),2912,""))</f>
        <v/>
      </c>
    </row>
    <row r="2914">
      <c r="DB2914">
        <f>IF('История отказов'!AW517="","",'История отказов'!AW517)</f>
        <v/>
      </c>
      <c r="DL2914">
        <f>IF(DB2914="","",IF(AND(COUNTIF($DA$2:$DA$47,DB2914)=0,COUNTIF($DB$2:DB2914,DB2914)=1),2913,""))</f>
        <v/>
      </c>
    </row>
    <row r="2915">
      <c r="DB2915">
        <f>IF('История отказов'!AW518="","",'История отказов'!AW518)</f>
        <v/>
      </c>
      <c r="DL2915">
        <f>IF(DB2915="","",IF(AND(COUNTIF($DA$2:$DA$47,DB2915)=0,COUNTIF($DB$2:DB2915,DB2915)=1),2914,""))</f>
        <v/>
      </c>
    </row>
    <row r="2916">
      <c r="DB2916">
        <f>IF('История отказов'!AW519="","",'История отказов'!AW519)</f>
        <v/>
      </c>
      <c r="DL2916">
        <f>IF(DB2916="","",IF(AND(COUNTIF($DA$2:$DA$47,DB2916)=0,COUNTIF($DB$2:DB2916,DB2916)=1),2915,""))</f>
        <v/>
      </c>
    </row>
    <row r="2917">
      <c r="DB2917">
        <f>IF('История отказов'!AW520="","",'История отказов'!AW520)</f>
        <v/>
      </c>
      <c r="DL2917">
        <f>IF(DB2917="","",IF(AND(COUNTIF($DA$2:$DA$47,DB2917)=0,COUNTIF($DB$2:DB2917,DB2917)=1),2916,""))</f>
        <v/>
      </c>
    </row>
    <row r="2918">
      <c r="DB2918">
        <f>IF('История отказов'!AW521="","",'История отказов'!AW521)</f>
        <v/>
      </c>
      <c r="DL2918">
        <f>IF(DB2918="","",IF(AND(COUNTIF($DA$2:$DA$47,DB2918)=0,COUNTIF($DB$2:DB2918,DB2918)=1),2917,""))</f>
        <v/>
      </c>
    </row>
    <row r="2919">
      <c r="DB2919">
        <f>IF('История отказов'!AW522="","",'История отказов'!AW522)</f>
        <v/>
      </c>
      <c r="DL2919">
        <f>IF(DB2919="","",IF(AND(COUNTIF($DA$2:$DA$47,DB2919)=0,COUNTIF($DB$2:DB2919,DB2919)=1),2918,""))</f>
        <v/>
      </c>
    </row>
    <row r="2920">
      <c r="DB2920">
        <f>IF('История отказов'!AW523="","",'История отказов'!AW523)</f>
        <v/>
      </c>
      <c r="DL2920">
        <f>IF(DB2920="","",IF(AND(COUNTIF($DA$2:$DA$47,DB2920)=0,COUNTIF($DB$2:DB2920,DB2920)=1),2919,""))</f>
        <v/>
      </c>
    </row>
    <row r="2921">
      <c r="DB2921">
        <f>IF('История отказов'!AW524="","",'История отказов'!AW524)</f>
        <v/>
      </c>
      <c r="DL2921">
        <f>IF(DB2921="","",IF(AND(COUNTIF($DA$2:$DA$47,DB2921)=0,COUNTIF($DB$2:DB2921,DB2921)=1),2920,""))</f>
        <v/>
      </c>
    </row>
    <row r="2922">
      <c r="DB2922">
        <f>IF('История отказов'!AW525="","",'История отказов'!AW525)</f>
        <v/>
      </c>
      <c r="DL2922">
        <f>IF(DB2922="","",IF(AND(COUNTIF($DA$2:$DA$47,DB2922)=0,COUNTIF($DB$2:DB2922,DB2922)=1),2921,""))</f>
        <v/>
      </c>
    </row>
    <row r="2923">
      <c r="DB2923">
        <f>IF('История отказов'!AW526="","",'История отказов'!AW526)</f>
        <v/>
      </c>
      <c r="DL2923">
        <f>IF(DB2923="","",IF(AND(COUNTIF($DA$2:$DA$47,DB2923)=0,COUNTIF($DB$2:DB2923,DB2923)=1),2922,""))</f>
        <v/>
      </c>
    </row>
    <row r="2924">
      <c r="DB2924">
        <f>IF('История отказов'!AW527="","",'История отказов'!AW527)</f>
        <v/>
      </c>
      <c r="DL2924">
        <f>IF(DB2924="","",IF(AND(COUNTIF($DA$2:$DA$47,DB2924)=0,COUNTIF($DB$2:DB2924,DB2924)=1),2923,""))</f>
        <v/>
      </c>
    </row>
    <row r="2925">
      <c r="DB2925">
        <f>IF('История отказов'!AW528="","",'История отказов'!AW528)</f>
        <v/>
      </c>
      <c r="DL2925">
        <f>IF(DB2925="","",IF(AND(COUNTIF($DA$2:$DA$47,DB2925)=0,COUNTIF($DB$2:DB2925,DB2925)=1),2924,""))</f>
        <v/>
      </c>
    </row>
    <row r="2926">
      <c r="DB2926">
        <f>IF('История отказов'!AW529="","",'История отказов'!AW529)</f>
        <v/>
      </c>
      <c r="DL2926">
        <f>IF(DB2926="","",IF(AND(COUNTIF($DA$2:$DA$47,DB2926)=0,COUNTIF($DB$2:DB2926,DB2926)=1),2925,""))</f>
        <v/>
      </c>
    </row>
    <row r="2927">
      <c r="DB2927">
        <f>IF('История отказов'!AW530="","",'История отказов'!AW530)</f>
        <v/>
      </c>
      <c r="DL2927">
        <f>IF(DB2927="","",IF(AND(COUNTIF($DA$2:$DA$47,DB2927)=0,COUNTIF($DB$2:DB2927,DB2927)=1),2926,""))</f>
        <v/>
      </c>
    </row>
    <row r="2928">
      <c r="DB2928">
        <f>IF('История отказов'!AW531="","",'История отказов'!AW531)</f>
        <v/>
      </c>
      <c r="DL2928">
        <f>IF(DB2928="","",IF(AND(COUNTIF($DA$2:$DA$47,DB2928)=0,COUNTIF($DB$2:DB2928,DB2928)=1),2927,""))</f>
        <v/>
      </c>
    </row>
    <row r="2929">
      <c r="DB2929">
        <f>IF('История отказов'!AW532="","",'История отказов'!AW532)</f>
        <v/>
      </c>
      <c r="DL2929">
        <f>IF(DB2929="","",IF(AND(COUNTIF($DA$2:$DA$47,DB2929)=0,COUNTIF($DB$2:DB2929,DB2929)=1),2928,""))</f>
        <v/>
      </c>
    </row>
    <row r="2930">
      <c r="DB2930">
        <f>IF('История отказов'!AW533="","",'История отказов'!AW533)</f>
        <v/>
      </c>
      <c r="DL2930">
        <f>IF(DB2930="","",IF(AND(COUNTIF($DA$2:$DA$47,DB2930)=0,COUNTIF($DB$2:DB2930,DB2930)=1),2929,""))</f>
        <v/>
      </c>
    </row>
    <row r="2931">
      <c r="DB2931">
        <f>IF('История отказов'!AW534="","",'История отказов'!AW534)</f>
        <v/>
      </c>
      <c r="DL2931">
        <f>IF(DB2931="","",IF(AND(COUNTIF($DA$2:$DA$47,DB2931)=0,COUNTIF($DB$2:DB2931,DB2931)=1),2930,""))</f>
        <v/>
      </c>
    </row>
    <row r="2932">
      <c r="DB2932">
        <f>IF('История отказов'!AW535="","",'История отказов'!AW535)</f>
        <v/>
      </c>
      <c r="DL2932">
        <f>IF(DB2932="","",IF(AND(COUNTIF($DA$2:$DA$47,DB2932)=0,COUNTIF($DB$2:DB2932,DB2932)=1),2931,""))</f>
        <v/>
      </c>
    </row>
    <row r="2933">
      <c r="DB2933">
        <f>IF('История отказов'!AW536="","",'История отказов'!AW536)</f>
        <v/>
      </c>
      <c r="DL2933">
        <f>IF(DB2933="","",IF(AND(COUNTIF($DA$2:$DA$47,DB2933)=0,COUNTIF($DB$2:DB2933,DB2933)=1),2932,""))</f>
        <v/>
      </c>
    </row>
    <row r="2934">
      <c r="DB2934">
        <f>IF('История отказов'!AW537="","",'История отказов'!AW537)</f>
        <v/>
      </c>
      <c r="DL2934">
        <f>IF(DB2934="","",IF(AND(COUNTIF($DA$2:$DA$47,DB2934)=0,COUNTIF($DB$2:DB2934,DB2934)=1),2933,""))</f>
        <v/>
      </c>
    </row>
    <row r="2935">
      <c r="DB2935">
        <f>IF('История отказов'!AW538="","",'История отказов'!AW538)</f>
        <v/>
      </c>
      <c r="DL2935">
        <f>IF(DB2935="","",IF(AND(COUNTIF($DA$2:$DA$47,DB2935)=0,COUNTIF($DB$2:DB2935,DB2935)=1),2934,""))</f>
        <v/>
      </c>
    </row>
    <row r="2936">
      <c r="DB2936">
        <f>IF('История отказов'!AW539="","",'История отказов'!AW539)</f>
        <v/>
      </c>
      <c r="DL2936">
        <f>IF(DB2936="","",IF(AND(COUNTIF($DA$2:$DA$47,DB2936)=0,COUNTIF($DB$2:DB2936,DB2936)=1),2935,""))</f>
        <v/>
      </c>
    </row>
    <row r="2937">
      <c r="DB2937">
        <f>IF('История отказов'!AW540="","",'История отказов'!AW540)</f>
        <v/>
      </c>
      <c r="DL2937">
        <f>IF(DB2937="","",IF(AND(COUNTIF($DA$2:$DA$47,DB2937)=0,COUNTIF($DB$2:DB2937,DB2937)=1),2936,""))</f>
        <v/>
      </c>
    </row>
    <row r="2938">
      <c r="DB2938">
        <f>IF('История отказов'!AW541="","",'История отказов'!AW541)</f>
        <v/>
      </c>
      <c r="DL2938">
        <f>IF(DB2938="","",IF(AND(COUNTIF($DA$2:$DA$47,DB2938)=0,COUNTIF($DB$2:DB2938,DB2938)=1),2937,""))</f>
        <v/>
      </c>
    </row>
    <row r="2939">
      <c r="DB2939">
        <f>IF('История отказов'!AW542="","",'История отказов'!AW542)</f>
        <v/>
      </c>
      <c r="DL2939">
        <f>IF(DB2939="","",IF(AND(COUNTIF($DA$2:$DA$47,DB2939)=0,COUNTIF($DB$2:DB2939,DB2939)=1),2938,""))</f>
        <v/>
      </c>
    </row>
    <row r="2940">
      <c r="DB2940">
        <f>IF('История отказов'!AW543="","",'История отказов'!AW543)</f>
        <v/>
      </c>
      <c r="DL2940">
        <f>IF(DB2940="","",IF(AND(COUNTIF($DA$2:$DA$47,DB2940)=0,COUNTIF($DB$2:DB2940,DB2940)=1),2939,""))</f>
        <v/>
      </c>
    </row>
    <row r="2941">
      <c r="DB2941">
        <f>IF('История отказов'!AW544="","",'История отказов'!AW544)</f>
        <v/>
      </c>
      <c r="DL2941">
        <f>IF(DB2941="","",IF(AND(COUNTIF($DA$2:$DA$47,DB2941)=0,COUNTIF($DB$2:DB2941,DB2941)=1),2940,""))</f>
        <v/>
      </c>
    </row>
    <row r="2942">
      <c r="DB2942">
        <f>IF('История отказов'!AW545="","",'История отказов'!AW545)</f>
        <v/>
      </c>
      <c r="DL2942">
        <f>IF(DB2942="","",IF(AND(COUNTIF($DA$2:$DA$47,DB2942)=0,COUNTIF($DB$2:DB2942,DB2942)=1),2941,""))</f>
        <v/>
      </c>
    </row>
    <row r="2943">
      <c r="DB2943">
        <f>IF('История отказов'!AW546="","",'История отказов'!AW546)</f>
        <v/>
      </c>
      <c r="DL2943">
        <f>IF(DB2943="","",IF(AND(COUNTIF($DA$2:$DA$47,DB2943)=0,COUNTIF($DB$2:DB2943,DB2943)=1),2942,""))</f>
        <v/>
      </c>
    </row>
    <row r="2944">
      <c r="DB2944">
        <f>IF('История отказов'!AW547="","",'История отказов'!AW547)</f>
        <v/>
      </c>
      <c r="DL2944">
        <f>IF(DB2944="","",IF(AND(COUNTIF($DA$2:$DA$47,DB2944)=0,COUNTIF($DB$2:DB2944,DB2944)=1),2943,""))</f>
        <v/>
      </c>
    </row>
    <row r="2945">
      <c r="DB2945">
        <f>IF('История отказов'!AW548="","",'История отказов'!AW548)</f>
        <v/>
      </c>
      <c r="DL2945">
        <f>IF(DB2945="","",IF(AND(COUNTIF($DA$2:$DA$47,DB2945)=0,COUNTIF($DB$2:DB2945,DB2945)=1),2944,""))</f>
        <v/>
      </c>
    </row>
    <row r="2946">
      <c r="DB2946">
        <f>IF('История отказов'!AW549="","",'История отказов'!AW549)</f>
        <v/>
      </c>
      <c r="DL2946">
        <f>IF(DB2946="","",IF(AND(COUNTIF($DA$2:$DA$47,DB2946)=0,COUNTIF($DB$2:DB2946,DB2946)=1),2945,""))</f>
        <v/>
      </c>
    </row>
    <row r="2947">
      <c r="DB2947">
        <f>IF('История отказов'!AW550="","",'История отказов'!AW550)</f>
        <v/>
      </c>
      <c r="DL2947">
        <f>IF(DB2947="","",IF(AND(COUNTIF($DA$2:$DA$47,DB2947)=0,COUNTIF($DB$2:DB2947,DB2947)=1),2946,""))</f>
        <v/>
      </c>
    </row>
    <row r="2948">
      <c r="DB2948">
        <f>IF('История отказов'!AW551="","",'История отказов'!AW551)</f>
        <v/>
      </c>
      <c r="DL2948">
        <f>IF(DB2948="","",IF(AND(COUNTIF($DA$2:$DA$47,DB2948)=0,COUNTIF($DB$2:DB2948,DB2948)=1),2947,""))</f>
        <v/>
      </c>
    </row>
    <row r="2949">
      <c r="DB2949">
        <f>IF('История отказов'!AW552="","",'История отказов'!AW552)</f>
        <v/>
      </c>
      <c r="DL2949">
        <f>IF(DB2949="","",IF(AND(COUNTIF($DA$2:$DA$47,DB2949)=0,COUNTIF($DB$2:DB2949,DB2949)=1),2948,""))</f>
        <v/>
      </c>
    </row>
    <row r="2950">
      <c r="DB2950">
        <f>IF('История отказов'!AW553="","",'История отказов'!AW553)</f>
        <v/>
      </c>
      <c r="DL2950">
        <f>IF(DB2950="","",IF(AND(COUNTIF($DA$2:$DA$47,DB2950)=0,COUNTIF($DB$2:DB2950,DB2950)=1),2949,""))</f>
        <v/>
      </c>
    </row>
    <row r="2951">
      <c r="DB2951">
        <f>IF('История отказов'!AW554="","",'История отказов'!AW554)</f>
        <v/>
      </c>
      <c r="DL2951">
        <f>IF(DB2951="","",IF(AND(COUNTIF($DA$2:$DA$47,DB2951)=0,COUNTIF($DB$2:DB2951,DB2951)=1),2950,""))</f>
        <v/>
      </c>
    </row>
    <row r="2952">
      <c r="DB2952">
        <f>IF('История отказов'!AW555="","",'История отказов'!AW555)</f>
        <v/>
      </c>
      <c r="DL2952">
        <f>IF(DB2952="","",IF(AND(COUNTIF($DA$2:$DA$47,DB2952)=0,COUNTIF($DB$2:DB2952,DB2952)=1),2951,""))</f>
        <v/>
      </c>
    </row>
    <row r="2953">
      <c r="DB2953">
        <f>IF('История отказов'!AW556="","",'История отказов'!AW556)</f>
        <v/>
      </c>
      <c r="DL2953">
        <f>IF(DB2953="","",IF(AND(COUNTIF($DA$2:$DA$47,DB2953)=0,COUNTIF($DB$2:DB2953,DB2953)=1),2952,""))</f>
        <v/>
      </c>
    </row>
    <row r="2954">
      <c r="DB2954">
        <f>IF('История отказов'!AW557="","",'История отказов'!AW557)</f>
        <v/>
      </c>
      <c r="DL2954">
        <f>IF(DB2954="","",IF(AND(COUNTIF($DA$2:$DA$47,DB2954)=0,COUNTIF($DB$2:DB2954,DB2954)=1),2953,""))</f>
        <v/>
      </c>
    </row>
    <row r="2955">
      <c r="DB2955">
        <f>IF('История отказов'!AW558="","",'История отказов'!AW558)</f>
        <v/>
      </c>
      <c r="DL2955">
        <f>IF(DB2955="","",IF(AND(COUNTIF($DA$2:$DA$47,DB2955)=0,COUNTIF($DB$2:DB2955,DB2955)=1),2954,""))</f>
        <v/>
      </c>
    </row>
    <row r="2956">
      <c r="DB2956">
        <f>IF('История отказов'!AW559="","",'История отказов'!AW559)</f>
        <v/>
      </c>
      <c r="DL2956">
        <f>IF(DB2956="","",IF(AND(COUNTIF($DA$2:$DA$47,DB2956)=0,COUNTIF($DB$2:DB2956,DB2956)=1),2955,""))</f>
        <v/>
      </c>
    </row>
    <row r="2957">
      <c r="DB2957">
        <f>IF('История отказов'!AW560="","",'История отказов'!AW560)</f>
        <v/>
      </c>
      <c r="DL2957">
        <f>IF(DB2957="","",IF(AND(COUNTIF($DA$2:$DA$47,DB2957)=0,COUNTIF($DB$2:DB2957,DB2957)=1),2956,""))</f>
        <v/>
      </c>
    </row>
    <row r="2958">
      <c r="DB2958">
        <f>IF('История отказов'!AW561="","",'История отказов'!AW561)</f>
        <v/>
      </c>
      <c r="DL2958">
        <f>IF(DB2958="","",IF(AND(COUNTIF($DA$2:$DA$47,DB2958)=0,COUNTIF($DB$2:DB2958,DB2958)=1),2957,""))</f>
        <v/>
      </c>
    </row>
    <row r="2959">
      <c r="DB2959">
        <f>IF('История отказов'!AW562="","",'История отказов'!AW562)</f>
        <v/>
      </c>
      <c r="DL2959">
        <f>IF(DB2959="","",IF(AND(COUNTIF($DA$2:$DA$47,DB2959)=0,COUNTIF($DB$2:DB2959,DB2959)=1),2958,""))</f>
        <v/>
      </c>
    </row>
    <row r="2960">
      <c r="DB2960">
        <f>IF('История отказов'!AW563="","",'История отказов'!AW563)</f>
        <v/>
      </c>
      <c r="DL2960">
        <f>IF(DB2960="","",IF(AND(COUNTIF($DA$2:$DA$47,DB2960)=0,COUNTIF($DB$2:DB2960,DB2960)=1),2959,""))</f>
        <v/>
      </c>
    </row>
    <row r="2961">
      <c r="DB2961">
        <f>IF('История отказов'!AW564="","",'История отказов'!AW564)</f>
        <v/>
      </c>
      <c r="DL2961">
        <f>IF(DB2961="","",IF(AND(COUNTIF($DA$2:$DA$47,DB2961)=0,COUNTIF($DB$2:DB2961,DB2961)=1),2960,""))</f>
        <v/>
      </c>
    </row>
    <row r="2962">
      <c r="DB2962">
        <f>IF('История отказов'!AW565="","",'История отказов'!AW565)</f>
        <v/>
      </c>
      <c r="DL2962">
        <f>IF(DB2962="","",IF(AND(COUNTIF($DA$2:$DA$47,DB2962)=0,COUNTIF($DB$2:DB2962,DB2962)=1),2961,""))</f>
        <v/>
      </c>
    </row>
    <row r="2963">
      <c r="DB2963">
        <f>IF('История отказов'!AW566="","",'История отказов'!AW566)</f>
        <v/>
      </c>
      <c r="DL2963">
        <f>IF(DB2963="","",IF(AND(COUNTIF($DA$2:$DA$47,DB2963)=0,COUNTIF($DB$2:DB2963,DB2963)=1),2962,""))</f>
        <v/>
      </c>
    </row>
    <row r="2964">
      <c r="DB2964">
        <f>IF('История отказов'!AW567="","",'История отказов'!AW567)</f>
        <v/>
      </c>
      <c r="DL2964">
        <f>IF(DB2964="","",IF(AND(COUNTIF($DA$2:$DA$47,DB2964)=0,COUNTIF($DB$2:DB2964,DB2964)=1),2963,""))</f>
        <v/>
      </c>
    </row>
    <row r="2965">
      <c r="DB2965">
        <f>IF('История отказов'!AW568="","",'История отказов'!AW568)</f>
        <v/>
      </c>
      <c r="DL2965">
        <f>IF(DB2965="","",IF(AND(COUNTIF($DA$2:$DA$47,DB2965)=0,COUNTIF($DB$2:DB2965,DB2965)=1),2964,""))</f>
        <v/>
      </c>
    </row>
    <row r="2966">
      <c r="DB2966">
        <f>IF('История отказов'!AW569="","",'История отказов'!AW569)</f>
        <v/>
      </c>
      <c r="DL2966">
        <f>IF(DB2966="","",IF(AND(COUNTIF($DA$2:$DA$47,DB2966)=0,COUNTIF($DB$2:DB2966,DB2966)=1),2965,""))</f>
        <v/>
      </c>
    </row>
    <row r="2967">
      <c r="DB2967">
        <f>IF('История отказов'!AW570="","",'История отказов'!AW570)</f>
        <v/>
      </c>
      <c r="DL2967">
        <f>IF(DB2967="","",IF(AND(COUNTIF($DA$2:$DA$47,DB2967)=0,COUNTIF($DB$2:DB2967,DB2967)=1),2966,""))</f>
        <v/>
      </c>
    </row>
    <row r="2968">
      <c r="DB2968">
        <f>IF('История отказов'!AW571="","",'История отказов'!AW571)</f>
        <v/>
      </c>
      <c r="DL2968">
        <f>IF(DB2968="","",IF(AND(COUNTIF($DA$2:$DA$47,DB2968)=0,COUNTIF($DB$2:DB2968,DB2968)=1),2967,""))</f>
        <v/>
      </c>
    </row>
    <row r="2969">
      <c r="DB2969">
        <f>IF('История отказов'!AW572="","",'История отказов'!AW572)</f>
        <v/>
      </c>
      <c r="DL2969">
        <f>IF(DB2969="","",IF(AND(COUNTIF($DA$2:$DA$47,DB2969)=0,COUNTIF($DB$2:DB2969,DB2969)=1),2968,""))</f>
        <v/>
      </c>
    </row>
    <row r="2970">
      <c r="DB2970">
        <f>IF('История отказов'!AW573="","",'История отказов'!AW573)</f>
        <v/>
      </c>
      <c r="DL2970">
        <f>IF(DB2970="","",IF(AND(COUNTIF($DA$2:$DA$47,DB2970)=0,COUNTIF($DB$2:DB2970,DB2970)=1),2969,""))</f>
        <v/>
      </c>
    </row>
    <row r="2971">
      <c r="DB2971">
        <f>IF('История отказов'!AW574="","",'История отказов'!AW574)</f>
        <v/>
      </c>
      <c r="DL2971">
        <f>IF(DB2971="","",IF(AND(COUNTIF($DA$2:$DA$47,DB2971)=0,COUNTIF($DB$2:DB2971,DB2971)=1),2970,""))</f>
        <v/>
      </c>
    </row>
    <row r="2972">
      <c r="DB2972">
        <f>IF('История отказов'!AW575="","",'История отказов'!AW575)</f>
        <v/>
      </c>
      <c r="DL2972">
        <f>IF(DB2972="","",IF(AND(COUNTIF($DA$2:$DA$47,DB2972)=0,COUNTIF($DB$2:DB2972,DB2972)=1),2971,""))</f>
        <v/>
      </c>
    </row>
    <row r="2973">
      <c r="DB2973">
        <f>IF('История отказов'!AW576="","",'История отказов'!AW576)</f>
        <v/>
      </c>
      <c r="DL2973">
        <f>IF(DB2973="","",IF(AND(COUNTIF($DA$2:$DA$47,DB2973)=0,COUNTIF($DB$2:DB2973,DB2973)=1),2972,""))</f>
        <v/>
      </c>
    </row>
    <row r="2974">
      <c r="DB2974">
        <f>IF('История отказов'!AW577="","",'История отказов'!AW577)</f>
        <v/>
      </c>
      <c r="DL2974">
        <f>IF(DB2974="","",IF(AND(COUNTIF($DA$2:$DA$47,DB2974)=0,COUNTIF($DB$2:DB2974,DB2974)=1),2973,""))</f>
        <v/>
      </c>
    </row>
    <row r="2975">
      <c r="DB2975">
        <f>IF('История отказов'!AW578="","",'История отказов'!AW578)</f>
        <v/>
      </c>
      <c r="DL2975">
        <f>IF(DB2975="","",IF(AND(COUNTIF($DA$2:$DA$47,DB2975)=0,COUNTIF($DB$2:DB2975,DB2975)=1),2974,""))</f>
        <v/>
      </c>
    </row>
    <row r="2976">
      <c r="DB2976">
        <f>IF('История отказов'!AW579="","",'История отказов'!AW579)</f>
        <v/>
      </c>
      <c r="DL2976">
        <f>IF(DB2976="","",IF(AND(COUNTIF($DA$2:$DA$47,DB2976)=0,COUNTIF($DB$2:DB2976,DB2976)=1),2975,""))</f>
        <v/>
      </c>
    </row>
    <row r="2977">
      <c r="DB2977">
        <f>IF('История отказов'!AW580="","",'История отказов'!AW580)</f>
        <v/>
      </c>
      <c r="DL2977">
        <f>IF(DB2977="","",IF(AND(COUNTIF($DA$2:$DA$47,DB2977)=0,COUNTIF($DB$2:DB2977,DB2977)=1),2976,""))</f>
        <v/>
      </c>
    </row>
    <row r="2978">
      <c r="DB2978">
        <f>IF('История отказов'!AW581="","",'История отказов'!AW581)</f>
        <v/>
      </c>
      <c r="DL2978">
        <f>IF(DB2978="","",IF(AND(COUNTIF($DA$2:$DA$47,DB2978)=0,COUNTIF($DB$2:DB2978,DB2978)=1),2977,""))</f>
        <v/>
      </c>
    </row>
    <row r="2979">
      <c r="DB2979">
        <f>IF('История отказов'!AW582="","",'История отказов'!AW582)</f>
        <v/>
      </c>
      <c r="DL2979">
        <f>IF(DB2979="","",IF(AND(COUNTIF($DA$2:$DA$47,DB2979)=0,COUNTIF($DB$2:DB2979,DB2979)=1),2978,""))</f>
        <v/>
      </c>
    </row>
    <row r="2980">
      <c r="DB2980">
        <f>IF('История отказов'!AW583="","",'История отказов'!AW583)</f>
        <v/>
      </c>
      <c r="DL2980">
        <f>IF(DB2980="","",IF(AND(COUNTIF($DA$2:$DA$47,DB2980)=0,COUNTIF($DB$2:DB2980,DB2980)=1),2979,""))</f>
        <v/>
      </c>
    </row>
    <row r="2981">
      <c r="DB2981">
        <f>IF('История отказов'!AW584="","",'История отказов'!AW584)</f>
        <v/>
      </c>
      <c r="DL2981">
        <f>IF(DB2981="","",IF(AND(COUNTIF($DA$2:$DA$47,DB2981)=0,COUNTIF($DB$2:DB2981,DB2981)=1),2980,""))</f>
        <v/>
      </c>
    </row>
    <row r="2982">
      <c r="DB2982">
        <f>IF('История отказов'!AW585="","",'История отказов'!AW585)</f>
        <v/>
      </c>
      <c r="DL2982">
        <f>IF(DB2982="","",IF(AND(COUNTIF($DA$2:$DA$47,DB2982)=0,COUNTIF($DB$2:DB2982,DB2982)=1),2981,""))</f>
        <v/>
      </c>
    </row>
    <row r="2983">
      <c r="DB2983">
        <f>IF('История отказов'!AW586="","",'История отказов'!AW586)</f>
        <v/>
      </c>
      <c r="DL2983">
        <f>IF(DB2983="","",IF(AND(COUNTIF($DA$2:$DA$47,DB2983)=0,COUNTIF($DB$2:DB2983,DB2983)=1),2982,""))</f>
        <v/>
      </c>
    </row>
    <row r="2984">
      <c r="DB2984">
        <f>IF('История отказов'!AW587="","",'История отказов'!AW587)</f>
        <v/>
      </c>
      <c r="DL2984">
        <f>IF(DB2984="","",IF(AND(COUNTIF($DA$2:$DA$47,DB2984)=0,COUNTIF($DB$2:DB2984,DB2984)=1),2983,""))</f>
        <v/>
      </c>
    </row>
    <row r="2985">
      <c r="DB2985">
        <f>IF('История отказов'!AW588="","",'История отказов'!AW588)</f>
        <v/>
      </c>
      <c r="DL2985">
        <f>IF(DB2985="","",IF(AND(COUNTIF($DA$2:$DA$47,DB2985)=0,COUNTIF($DB$2:DB2985,DB2985)=1),2984,""))</f>
        <v/>
      </c>
    </row>
    <row r="2986">
      <c r="DB2986">
        <f>IF('История отказов'!AW589="","",'История отказов'!AW589)</f>
        <v/>
      </c>
      <c r="DL2986">
        <f>IF(DB2986="","",IF(AND(COUNTIF($DA$2:$DA$47,DB2986)=0,COUNTIF($DB$2:DB2986,DB2986)=1),2985,""))</f>
        <v/>
      </c>
    </row>
    <row r="2987">
      <c r="DB2987">
        <f>IF('История отказов'!AW590="","",'История отказов'!AW590)</f>
        <v/>
      </c>
      <c r="DL2987">
        <f>IF(DB2987="","",IF(AND(COUNTIF($DA$2:$DA$47,DB2987)=0,COUNTIF($DB$2:DB2987,DB2987)=1),2986,""))</f>
        <v/>
      </c>
    </row>
    <row r="2988">
      <c r="DB2988">
        <f>IF('История отказов'!AW591="","",'История отказов'!AW591)</f>
        <v/>
      </c>
      <c r="DL2988">
        <f>IF(DB2988="","",IF(AND(COUNTIF($DA$2:$DA$47,DB2988)=0,COUNTIF($DB$2:DB2988,DB2988)=1),2987,""))</f>
        <v/>
      </c>
    </row>
    <row r="2989">
      <c r="DB2989">
        <f>IF('История отказов'!AW592="","",'История отказов'!AW592)</f>
        <v/>
      </c>
      <c r="DL2989">
        <f>IF(DB2989="","",IF(AND(COUNTIF($DA$2:$DA$47,DB2989)=0,COUNTIF($DB$2:DB2989,DB2989)=1),2988,""))</f>
        <v/>
      </c>
    </row>
    <row r="2990">
      <c r="DB2990">
        <f>IF('История отказов'!AW593="","",'История отказов'!AW593)</f>
        <v/>
      </c>
      <c r="DL2990">
        <f>IF(DB2990="","",IF(AND(COUNTIF($DA$2:$DA$47,DB2990)=0,COUNTIF($DB$2:DB2990,DB2990)=1),2989,""))</f>
        <v/>
      </c>
    </row>
    <row r="2991">
      <c r="DB2991">
        <f>IF('История отказов'!AW594="","",'История отказов'!AW594)</f>
        <v/>
      </c>
      <c r="DL2991">
        <f>IF(DB2991="","",IF(AND(COUNTIF($DA$2:$DA$47,DB2991)=0,COUNTIF($DB$2:DB2991,DB2991)=1),2990,""))</f>
        <v/>
      </c>
    </row>
    <row r="2992">
      <c r="DB2992">
        <f>IF('История отказов'!AW595="","",'История отказов'!AW595)</f>
        <v/>
      </c>
      <c r="DL2992">
        <f>IF(DB2992="","",IF(AND(COUNTIF($DA$2:$DA$47,DB2992)=0,COUNTIF($DB$2:DB2992,DB2992)=1),2991,""))</f>
        <v/>
      </c>
    </row>
    <row r="2993">
      <c r="DB2993">
        <f>IF('История отказов'!AW596="","",'История отказов'!AW596)</f>
        <v/>
      </c>
      <c r="DL2993">
        <f>IF(DB2993="","",IF(AND(COUNTIF($DA$2:$DA$47,DB2993)=0,COUNTIF($DB$2:DB2993,DB2993)=1),2992,""))</f>
        <v/>
      </c>
    </row>
    <row r="2994">
      <c r="DB2994">
        <f>IF('История отказов'!AW597="","",'История отказов'!AW597)</f>
        <v/>
      </c>
      <c r="DL2994">
        <f>IF(DB2994="","",IF(AND(COUNTIF($DA$2:$DA$47,DB2994)=0,COUNTIF($DB$2:DB2994,DB2994)=1),2993,""))</f>
        <v/>
      </c>
    </row>
    <row r="2995">
      <c r="DB2995">
        <f>IF('История отказов'!AW598="","",'История отказов'!AW598)</f>
        <v/>
      </c>
      <c r="DL2995">
        <f>IF(DB2995="","",IF(AND(COUNTIF($DA$2:$DA$47,DB2995)=0,COUNTIF($DB$2:DB2995,DB2995)=1),2994,""))</f>
        <v/>
      </c>
    </row>
    <row r="2996">
      <c r="DB2996">
        <f>IF('История отказов'!AW599="","",'История отказов'!AW599)</f>
        <v/>
      </c>
      <c r="DL2996">
        <f>IF(DB2996="","",IF(AND(COUNTIF($DA$2:$DA$47,DB2996)=0,COUNTIF($DB$2:DB2996,DB2996)=1),2995,""))</f>
        <v/>
      </c>
    </row>
    <row r="2997">
      <c r="DB2997">
        <f>IF('История отказов'!AW600="","",'История отказов'!AW600)</f>
        <v/>
      </c>
      <c r="DL2997">
        <f>IF(DB2997="","",IF(AND(COUNTIF($DA$2:$DA$47,DB2997)=0,COUNTIF($DB$2:DB2997,DB2997)=1),2996,""))</f>
        <v/>
      </c>
    </row>
    <row r="2998">
      <c r="DB2998">
        <f>IF('История отказов'!AW601="","",'История отказов'!AW601)</f>
        <v/>
      </c>
      <c r="DL2998">
        <f>IF(DB2998="","",IF(AND(COUNTIF($DA$2:$DA$47,DB2998)=0,COUNTIF($DB$2:DB2998,DB2998)=1),2997,""))</f>
        <v/>
      </c>
    </row>
    <row r="2999">
      <c r="DB2999">
        <f>IF('История отказов'!AW602="","",'История отказов'!AW602)</f>
        <v/>
      </c>
      <c r="DL2999">
        <f>IF(DB2999="","",IF(AND(COUNTIF($DA$2:$DA$47,DB2999)=0,COUNTIF($DB$2:DB2999,DB2999)=1),2998,""))</f>
        <v/>
      </c>
    </row>
    <row r="3000">
      <c r="DB3000">
        <f>IF('История отказов'!AW603="","",'История отказов'!AW603)</f>
        <v/>
      </c>
      <c r="DL3000">
        <f>IF(DB3000="","",IF(AND(COUNTIF($DA$2:$DA$47,DB3000)=0,COUNTIF($DB$2:DB3000,DB3000)=1),2999,""))</f>
        <v/>
      </c>
    </row>
    <row r="3001">
      <c r="DB3001">
        <f>IF('История отказов'!AW604="","",'История отказов'!AW604)</f>
        <v/>
      </c>
      <c r="DL3001">
        <f>IF(DB3001="","",IF(AND(COUNTIF($DA$2:$DA$47,DB3001)=0,COUNTIF($DB$2:DB3001,DB3001)=1),3000,""))</f>
        <v/>
      </c>
    </row>
    <row r="3002">
      <c r="DB3002">
        <f>IF('История отказов'!AW605="","",'История отказов'!AW605)</f>
        <v/>
      </c>
      <c r="DL3002">
        <f>IF(DB3002="","",IF(AND(COUNTIF($DA$2:$DA$47,DB3002)=0,COUNTIF($DB$2:DB3002,DB3002)=1),3001,""))</f>
        <v/>
      </c>
    </row>
    <row r="3003">
      <c r="DB3003">
        <f>IF('История отказов'!AW606="","",'История отказов'!AW606)</f>
        <v/>
      </c>
      <c r="DL3003">
        <f>IF(DB3003="","",IF(AND(COUNTIF($DA$2:$DA$47,DB3003)=0,COUNTIF($DB$2:DB3003,DB3003)=1),3002,""))</f>
        <v/>
      </c>
    </row>
    <row r="3004">
      <c r="DB3004">
        <f>IF('История отказов'!AW607="","",'История отказов'!AW607)</f>
        <v/>
      </c>
      <c r="DL3004">
        <f>IF(DB3004="","",IF(AND(COUNTIF($DA$2:$DA$47,DB3004)=0,COUNTIF($DB$2:DB3004,DB3004)=1),3003,""))</f>
        <v/>
      </c>
    </row>
    <row r="3005">
      <c r="DB3005">
        <f>IF('История отказов'!AW608="","",'История отказов'!AW608)</f>
        <v/>
      </c>
      <c r="DL3005">
        <f>IF(DB3005="","",IF(AND(COUNTIF($DA$2:$DA$47,DB3005)=0,COUNTIF($DB$2:DB3005,DB3005)=1),3004,""))</f>
        <v/>
      </c>
    </row>
    <row r="3006">
      <c r="DB3006">
        <f>IF('История отказов'!AW609="","",'История отказов'!AW609)</f>
        <v/>
      </c>
      <c r="DL3006">
        <f>IF(DB3006="","",IF(AND(COUNTIF($DA$2:$DA$47,DB3006)=0,COUNTIF($DB$2:DB3006,DB3006)=1),3005,""))</f>
        <v/>
      </c>
    </row>
    <row r="3007">
      <c r="DB3007">
        <f>IF('История отказов'!AW610="","",'История отказов'!AW610)</f>
        <v/>
      </c>
      <c r="DL3007">
        <f>IF(DB3007="","",IF(AND(COUNTIF($DA$2:$DA$47,DB3007)=0,COUNTIF($DB$2:DB3007,DB3007)=1),3006,""))</f>
        <v/>
      </c>
    </row>
    <row r="3008">
      <c r="DB3008">
        <f>IF('История отказов'!AW611="","",'История отказов'!AW611)</f>
        <v/>
      </c>
      <c r="DL3008">
        <f>IF(DB3008="","",IF(AND(COUNTIF($DA$2:$DA$47,DB3008)=0,COUNTIF($DB$2:DB3008,DB3008)=1),3007,""))</f>
        <v/>
      </c>
    </row>
    <row r="3009">
      <c r="DB3009">
        <f>IF('История отказов'!AW612="","",'История отказов'!AW612)</f>
        <v/>
      </c>
      <c r="DL3009">
        <f>IF(DB3009="","",IF(AND(COUNTIF($DA$2:$DA$47,DB3009)=0,COUNTIF($DB$2:DB3009,DB3009)=1),3008,""))</f>
        <v/>
      </c>
    </row>
    <row r="3010">
      <c r="DB3010">
        <f>IF('История отказов'!AW613="","",'История отказов'!AW613)</f>
        <v/>
      </c>
      <c r="DL3010">
        <f>IF(DB3010="","",IF(AND(COUNTIF($DA$2:$DA$47,DB3010)=0,COUNTIF($DB$2:DB3010,DB3010)=1),3009,""))</f>
        <v/>
      </c>
    </row>
    <row r="3011">
      <c r="DB3011">
        <f>IF('История отказов'!AW614="","",'История отказов'!AW614)</f>
        <v/>
      </c>
      <c r="DL3011">
        <f>IF(DB3011="","",IF(AND(COUNTIF($DA$2:$DA$47,DB3011)=0,COUNTIF($DB$2:DB3011,DB3011)=1),3010,""))</f>
        <v/>
      </c>
    </row>
    <row r="3012">
      <c r="DB3012">
        <f>IF('История отказов'!AW615="","",'История отказов'!AW615)</f>
        <v/>
      </c>
      <c r="DL3012">
        <f>IF(DB3012="","",IF(AND(COUNTIF($DA$2:$DA$47,DB3012)=0,COUNTIF($DB$2:DB3012,DB3012)=1),3011,""))</f>
        <v/>
      </c>
    </row>
    <row r="3013">
      <c r="DB3013">
        <f>IF('История отказов'!AW616="","",'История отказов'!AW616)</f>
        <v/>
      </c>
      <c r="DL3013">
        <f>IF(DB3013="","",IF(AND(COUNTIF($DA$2:$DA$47,DB3013)=0,COUNTIF($DB$2:DB3013,DB3013)=1),3012,""))</f>
        <v/>
      </c>
    </row>
    <row r="3014">
      <c r="DB3014">
        <f>IF('История отказов'!AW617="","",'История отказов'!AW617)</f>
        <v/>
      </c>
      <c r="DL3014">
        <f>IF(DB3014="","",IF(AND(COUNTIF($DA$2:$DA$47,DB3014)=0,COUNTIF($DB$2:DB3014,DB3014)=1),3013,""))</f>
        <v/>
      </c>
    </row>
    <row r="3015">
      <c r="DB3015">
        <f>IF('История отказов'!AW618="","",'История отказов'!AW618)</f>
        <v/>
      </c>
      <c r="DL3015">
        <f>IF(DB3015="","",IF(AND(COUNTIF($DA$2:$DA$47,DB3015)=0,COUNTIF($DB$2:DB3015,DB3015)=1),3014,""))</f>
        <v/>
      </c>
    </row>
    <row r="3016">
      <c r="DB3016">
        <f>IF('История отказов'!AW619="","",'История отказов'!AW619)</f>
        <v/>
      </c>
      <c r="DL3016">
        <f>IF(DB3016="","",IF(AND(COUNTIF($DA$2:$DA$47,DB3016)=0,COUNTIF($DB$2:DB3016,DB3016)=1),3015,""))</f>
        <v/>
      </c>
    </row>
    <row r="3017">
      <c r="DB3017">
        <f>IF('История отказов'!AW620="","",'История отказов'!AW620)</f>
        <v/>
      </c>
      <c r="DL3017">
        <f>IF(DB3017="","",IF(AND(COUNTIF($DA$2:$DA$47,DB3017)=0,COUNTIF($DB$2:DB3017,DB3017)=1),3016,""))</f>
        <v/>
      </c>
    </row>
    <row r="3018">
      <c r="DB3018">
        <f>IF('История отказов'!AW621="","",'История отказов'!AW621)</f>
        <v/>
      </c>
      <c r="DL3018">
        <f>IF(DB3018="","",IF(AND(COUNTIF($DA$2:$DA$47,DB3018)=0,COUNTIF($DB$2:DB3018,DB3018)=1),3017,""))</f>
        <v/>
      </c>
    </row>
    <row r="3019">
      <c r="DB3019">
        <f>IF('История отказов'!AW622="","",'История отказов'!AW622)</f>
        <v/>
      </c>
      <c r="DL3019">
        <f>IF(DB3019="","",IF(AND(COUNTIF($DA$2:$DA$47,DB3019)=0,COUNTIF($DB$2:DB3019,DB3019)=1),3018,""))</f>
        <v/>
      </c>
    </row>
    <row r="3020">
      <c r="DB3020">
        <f>IF('История отказов'!AW623="","",'История отказов'!AW623)</f>
        <v/>
      </c>
      <c r="DL3020">
        <f>IF(DB3020="","",IF(AND(COUNTIF($DA$2:$DA$47,DB3020)=0,COUNTIF($DB$2:DB3020,DB3020)=1),3019,""))</f>
        <v/>
      </c>
    </row>
    <row r="3021">
      <c r="DB3021">
        <f>IF('История отказов'!AW624="","",'История отказов'!AW624)</f>
        <v/>
      </c>
      <c r="DL3021">
        <f>IF(DB3021="","",IF(AND(COUNTIF($DA$2:$DA$47,DB3021)=0,COUNTIF($DB$2:DB3021,DB3021)=1),3020,""))</f>
        <v/>
      </c>
    </row>
    <row r="3022">
      <c r="DB3022">
        <f>IF('История отказов'!AW625="","",'История отказов'!AW625)</f>
        <v/>
      </c>
      <c r="DL3022">
        <f>IF(DB3022="","",IF(AND(COUNTIF($DA$2:$DA$47,DB3022)=0,COUNTIF($DB$2:DB3022,DB3022)=1),3021,""))</f>
        <v/>
      </c>
    </row>
    <row r="3023">
      <c r="DB3023">
        <f>IF('История отказов'!AW626="","",'История отказов'!AW626)</f>
        <v/>
      </c>
      <c r="DL3023">
        <f>IF(DB3023="","",IF(AND(COUNTIF($DA$2:$DA$47,DB3023)=0,COUNTIF($DB$2:DB3023,DB3023)=1),3022,""))</f>
        <v/>
      </c>
    </row>
    <row r="3024">
      <c r="DB3024">
        <f>IF('История отказов'!AW627="","",'История отказов'!AW627)</f>
        <v/>
      </c>
      <c r="DL3024">
        <f>IF(DB3024="","",IF(AND(COUNTIF($DA$2:$DA$47,DB3024)=0,COUNTIF($DB$2:DB3024,DB3024)=1),3023,""))</f>
        <v/>
      </c>
    </row>
    <row r="3025">
      <c r="DB3025">
        <f>IF('История отказов'!AW628="","",'История отказов'!AW628)</f>
        <v/>
      </c>
      <c r="DL3025">
        <f>IF(DB3025="","",IF(AND(COUNTIF($DA$2:$DA$47,DB3025)=0,COUNTIF($DB$2:DB3025,DB3025)=1),3024,""))</f>
        <v/>
      </c>
    </row>
    <row r="3026">
      <c r="DB3026">
        <f>IF('История отказов'!AW629="","",'История отказов'!AW629)</f>
        <v/>
      </c>
      <c r="DL3026">
        <f>IF(DB3026="","",IF(AND(COUNTIF($DA$2:$DA$47,DB3026)=0,COUNTIF($DB$2:DB3026,DB3026)=1),3025,""))</f>
        <v/>
      </c>
    </row>
    <row r="3027">
      <c r="DB3027">
        <f>IF('История отказов'!AW630="","",'История отказов'!AW630)</f>
        <v/>
      </c>
      <c r="DL3027">
        <f>IF(DB3027="","",IF(AND(COUNTIF($DA$2:$DA$47,DB3027)=0,COUNTIF($DB$2:DB3027,DB3027)=1),3026,""))</f>
        <v/>
      </c>
    </row>
    <row r="3028">
      <c r="DB3028">
        <f>IF('История отказов'!AW631="","",'История отказов'!AW631)</f>
        <v/>
      </c>
      <c r="DL3028">
        <f>IF(DB3028="","",IF(AND(COUNTIF($DA$2:$DA$47,DB3028)=0,COUNTIF($DB$2:DB3028,DB3028)=1),3027,""))</f>
        <v/>
      </c>
    </row>
    <row r="3029">
      <c r="DB3029">
        <f>IF('История отказов'!AW632="","",'История отказов'!AW632)</f>
        <v/>
      </c>
      <c r="DL3029">
        <f>IF(DB3029="","",IF(AND(COUNTIF($DA$2:$DA$47,DB3029)=0,COUNTIF($DB$2:DB3029,DB3029)=1),3028,""))</f>
        <v/>
      </c>
    </row>
    <row r="3030">
      <c r="DB3030">
        <f>IF('История отказов'!AW633="","",'История отказов'!AW633)</f>
        <v/>
      </c>
      <c r="DL3030">
        <f>IF(DB3030="","",IF(AND(COUNTIF($DA$2:$DA$47,DB3030)=0,COUNTIF($DB$2:DB3030,DB3030)=1),3029,""))</f>
        <v/>
      </c>
    </row>
    <row r="3031">
      <c r="DB3031">
        <f>IF('История отказов'!AW634="","",'История отказов'!AW634)</f>
        <v/>
      </c>
      <c r="DL3031">
        <f>IF(DB3031="","",IF(AND(COUNTIF($DA$2:$DA$47,DB3031)=0,COUNTIF($DB$2:DB3031,DB3031)=1),3030,""))</f>
        <v/>
      </c>
    </row>
    <row r="3032">
      <c r="DB3032">
        <f>IF('История отказов'!AW635="","",'История отказов'!AW635)</f>
        <v/>
      </c>
      <c r="DL3032">
        <f>IF(DB3032="","",IF(AND(COUNTIF($DA$2:$DA$47,DB3032)=0,COUNTIF($DB$2:DB3032,DB3032)=1),3031,""))</f>
        <v/>
      </c>
    </row>
    <row r="3033">
      <c r="DB3033">
        <f>IF('История отказов'!AW636="","",'История отказов'!AW636)</f>
        <v/>
      </c>
      <c r="DL3033">
        <f>IF(DB3033="","",IF(AND(COUNTIF($DA$2:$DA$47,DB3033)=0,COUNTIF($DB$2:DB3033,DB3033)=1),3032,""))</f>
        <v/>
      </c>
    </row>
    <row r="3034">
      <c r="DB3034">
        <f>IF('История отказов'!AW637="","",'История отказов'!AW637)</f>
        <v/>
      </c>
      <c r="DL3034">
        <f>IF(DB3034="","",IF(AND(COUNTIF($DA$2:$DA$47,DB3034)=0,COUNTIF($DB$2:DB3034,DB3034)=1),3033,""))</f>
        <v/>
      </c>
    </row>
    <row r="3035">
      <c r="DB3035">
        <f>IF('История отказов'!AW638="","",'История отказов'!AW638)</f>
        <v/>
      </c>
      <c r="DL3035">
        <f>IF(DB3035="","",IF(AND(COUNTIF($DA$2:$DA$47,DB3035)=0,COUNTIF($DB$2:DB3035,DB3035)=1),3034,""))</f>
        <v/>
      </c>
    </row>
    <row r="3036">
      <c r="DB3036">
        <f>IF('История отказов'!AW639="","",'История отказов'!AW639)</f>
        <v/>
      </c>
      <c r="DL3036">
        <f>IF(DB3036="","",IF(AND(COUNTIF($DA$2:$DA$47,DB3036)=0,COUNTIF($DB$2:DB3036,DB3036)=1),3035,""))</f>
        <v/>
      </c>
    </row>
    <row r="3037">
      <c r="DB3037">
        <f>IF('История отказов'!AW640="","",'История отказов'!AW640)</f>
        <v/>
      </c>
      <c r="DL3037">
        <f>IF(DB3037="","",IF(AND(COUNTIF($DA$2:$DA$47,DB3037)=0,COUNTIF($DB$2:DB3037,DB3037)=1),3036,""))</f>
        <v/>
      </c>
    </row>
    <row r="3038">
      <c r="DB3038">
        <f>IF('История отказов'!AW641="","",'История отказов'!AW641)</f>
        <v/>
      </c>
      <c r="DL3038">
        <f>IF(DB3038="","",IF(AND(COUNTIF($DA$2:$DA$47,DB3038)=0,COUNTIF($DB$2:DB3038,DB3038)=1),3037,""))</f>
        <v/>
      </c>
    </row>
    <row r="3039">
      <c r="DB3039">
        <f>IF('История отказов'!AW642="","",'История отказов'!AW642)</f>
        <v/>
      </c>
      <c r="DL3039">
        <f>IF(DB3039="","",IF(AND(COUNTIF($DA$2:$DA$47,DB3039)=0,COUNTIF($DB$2:DB3039,DB3039)=1),3038,""))</f>
        <v/>
      </c>
    </row>
    <row r="3040">
      <c r="DB3040">
        <f>IF('История отказов'!AW643="","",'История отказов'!AW643)</f>
        <v/>
      </c>
      <c r="DL3040">
        <f>IF(DB3040="","",IF(AND(COUNTIF($DA$2:$DA$47,DB3040)=0,COUNTIF($DB$2:DB3040,DB3040)=1),3039,""))</f>
        <v/>
      </c>
    </row>
    <row r="3041">
      <c r="DB3041">
        <f>IF('История отказов'!AW644="","",'История отказов'!AW644)</f>
        <v/>
      </c>
      <c r="DL3041">
        <f>IF(DB3041="","",IF(AND(COUNTIF($DA$2:$DA$47,DB3041)=0,COUNTIF($DB$2:DB3041,DB3041)=1),3040,""))</f>
        <v/>
      </c>
    </row>
    <row r="3042">
      <c r="DB3042">
        <f>IF('История отказов'!AW645="","",'История отказов'!AW645)</f>
        <v/>
      </c>
      <c r="DL3042">
        <f>IF(DB3042="","",IF(AND(COUNTIF($DA$2:$DA$47,DB3042)=0,COUNTIF($DB$2:DB3042,DB3042)=1),3041,""))</f>
        <v/>
      </c>
    </row>
    <row r="3043">
      <c r="DB3043">
        <f>IF('История отказов'!AW646="","",'История отказов'!AW646)</f>
        <v/>
      </c>
      <c r="DL3043">
        <f>IF(DB3043="","",IF(AND(COUNTIF($DA$2:$DA$47,DB3043)=0,COUNTIF($DB$2:DB3043,DB3043)=1),3042,""))</f>
        <v/>
      </c>
    </row>
    <row r="3044">
      <c r="DB3044">
        <f>IF('История отказов'!AW647="","",'История отказов'!AW647)</f>
        <v/>
      </c>
      <c r="DL3044">
        <f>IF(DB3044="","",IF(AND(COUNTIF($DA$2:$DA$47,DB3044)=0,COUNTIF($DB$2:DB3044,DB3044)=1),3043,""))</f>
        <v/>
      </c>
    </row>
    <row r="3045">
      <c r="DB3045">
        <f>IF('История отказов'!AW648="","",'История отказов'!AW648)</f>
        <v/>
      </c>
      <c r="DL3045">
        <f>IF(DB3045="","",IF(AND(COUNTIF($DA$2:$DA$47,DB3045)=0,COUNTIF($DB$2:DB3045,DB3045)=1),3044,""))</f>
        <v/>
      </c>
    </row>
    <row r="3046">
      <c r="DB3046">
        <f>IF('История отказов'!AW649="","",'История отказов'!AW649)</f>
        <v/>
      </c>
      <c r="DL3046">
        <f>IF(DB3046="","",IF(AND(COUNTIF($DA$2:$DA$47,DB3046)=0,COUNTIF($DB$2:DB3046,DB3046)=1),3045,""))</f>
        <v/>
      </c>
    </row>
    <row r="3047">
      <c r="DB3047">
        <f>IF('История отказов'!AW650="","",'История отказов'!AW650)</f>
        <v/>
      </c>
      <c r="DL3047">
        <f>IF(DB3047="","",IF(AND(COUNTIF($DA$2:$DA$47,DB3047)=0,COUNTIF($DB$2:DB3047,DB3047)=1),3046,""))</f>
        <v/>
      </c>
    </row>
    <row r="3048">
      <c r="DB3048">
        <f>IF('История отказов'!AW651="","",'История отказов'!AW651)</f>
        <v/>
      </c>
      <c r="DL3048">
        <f>IF(DB3048="","",IF(AND(COUNTIF($DA$2:$DA$47,DB3048)=0,COUNTIF($DB$2:DB3048,DB3048)=1),3047,""))</f>
        <v/>
      </c>
    </row>
    <row r="3049">
      <c r="DB3049">
        <f>IF('История отказов'!AW652="","",'История отказов'!AW652)</f>
        <v/>
      </c>
      <c r="DL3049">
        <f>IF(DB3049="","",IF(AND(COUNTIF($DA$2:$DA$47,DB3049)=0,COUNTIF($DB$2:DB3049,DB3049)=1),3048,""))</f>
        <v/>
      </c>
    </row>
    <row r="3050">
      <c r="DB3050">
        <f>IF('История отказов'!AW653="","",'История отказов'!AW653)</f>
        <v/>
      </c>
      <c r="DL3050">
        <f>IF(DB3050="","",IF(AND(COUNTIF($DA$2:$DA$47,DB3050)=0,COUNTIF($DB$2:DB3050,DB3050)=1),3049,""))</f>
        <v/>
      </c>
    </row>
    <row r="3051">
      <c r="DB3051">
        <f>IF('История отказов'!AW654="","",'История отказов'!AW654)</f>
        <v/>
      </c>
      <c r="DL3051">
        <f>IF(DB3051="","",IF(AND(COUNTIF($DA$2:$DA$47,DB3051)=0,COUNTIF($DB$2:DB3051,DB3051)=1),3050,""))</f>
        <v/>
      </c>
    </row>
    <row r="3052">
      <c r="DB3052">
        <f>IF('История отказов'!AW655="","",'История отказов'!AW655)</f>
        <v/>
      </c>
      <c r="DL3052">
        <f>IF(DB3052="","",IF(AND(COUNTIF($DA$2:$DA$47,DB3052)=0,COUNTIF($DB$2:DB3052,DB3052)=1),3051,""))</f>
        <v/>
      </c>
    </row>
    <row r="3053">
      <c r="DB3053">
        <f>IF('История отказов'!AW656="","",'История отказов'!AW656)</f>
        <v/>
      </c>
      <c r="DL3053">
        <f>IF(DB3053="","",IF(AND(COUNTIF($DA$2:$DA$47,DB3053)=0,COUNTIF($DB$2:DB3053,DB3053)=1),3052,""))</f>
        <v/>
      </c>
    </row>
    <row r="3054">
      <c r="DB3054">
        <f>IF('История отказов'!AW657="","",'История отказов'!AW657)</f>
        <v/>
      </c>
      <c r="DL3054">
        <f>IF(DB3054="","",IF(AND(COUNTIF($DA$2:$DA$47,DB3054)=0,COUNTIF($DB$2:DB3054,DB3054)=1),3053,""))</f>
        <v/>
      </c>
    </row>
    <row r="3055">
      <c r="DB3055">
        <f>IF('История отказов'!AW658="","",'История отказов'!AW658)</f>
        <v/>
      </c>
      <c r="DL3055">
        <f>IF(DB3055="","",IF(AND(COUNTIF($DA$2:$DA$47,DB3055)=0,COUNTIF($DB$2:DB3055,DB3055)=1),3054,""))</f>
        <v/>
      </c>
    </row>
    <row r="3056">
      <c r="DB3056">
        <f>IF('История отказов'!AW659="","",'История отказов'!AW659)</f>
        <v/>
      </c>
      <c r="DL3056">
        <f>IF(DB3056="","",IF(AND(COUNTIF($DA$2:$DA$47,DB3056)=0,COUNTIF($DB$2:DB3056,DB3056)=1),3055,""))</f>
        <v/>
      </c>
    </row>
    <row r="3057">
      <c r="DB3057">
        <f>IF('История отказов'!AW660="","",'История отказов'!AW660)</f>
        <v/>
      </c>
      <c r="DL3057">
        <f>IF(DB3057="","",IF(AND(COUNTIF($DA$2:$DA$47,DB3057)=0,COUNTIF($DB$2:DB3057,DB3057)=1),3056,""))</f>
        <v/>
      </c>
    </row>
    <row r="3058">
      <c r="DB3058">
        <f>IF('История отказов'!AW661="","",'История отказов'!AW661)</f>
        <v/>
      </c>
      <c r="DL3058">
        <f>IF(DB3058="","",IF(AND(COUNTIF($DA$2:$DA$47,DB3058)=0,COUNTIF($DB$2:DB3058,DB3058)=1),3057,""))</f>
        <v/>
      </c>
    </row>
    <row r="3059">
      <c r="DB3059">
        <f>IF('История отказов'!AW662="","",'История отказов'!AW662)</f>
        <v/>
      </c>
      <c r="DL3059">
        <f>IF(DB3059="","",IF(AND(COUNTIF($DA$2:$DA$47,DB3059)=0,COUNTIF($DB$2:DB3059,DB3059)=1),3058,""))</f>
        <v/>
      </c>
    </row>
    <row r="3060">
      <c r="DB3060">
        <f>IF('История отказов'!AW663="","",'История отказов'!AW663)</f>
        <v/>
      </c>
      <c r="DL3060">
        <f>IF(DB3060="","",IF(AND(COUNTIF($DA$2:$DA$47,DB3060)=0,COUNTIF($DB$2:DB3060,DB3060)=1),3059,""))</f>
        <v/>
      </c>
    </row>
    <row r="3061">
      <c r="DB3061">
        <f>IF('История отказов'!AW664="","",'История отказов'!AW664)</f>
        <v/>
      </c>
      <c r="DL3061">
        <f>IF(DB3061="","",IF(AND(COUNTIF($DA$2:$DA$47,DB3061)=0,COUNTIF($DB$2:DB3061,DB3061)=1),3060,""))</f>
        <v/>
      </c>
    </row>
    <row r="3062">
      <c r="DB3062">
        <f>IF('История отказов'!AW665="","",'История отказов'!AW665)</f>
        <v/>
      </c>
      <c r="DL3062">
        <f>IF(DB3062="","",IF(AND(COUNTIF($DA$2:$DA$47,DB3062)=0,COUNTIF($DB$2:DB3062,DB3062)=1),3061,""))</f>
        <v/>
      </c>
    </row>
    <row r="3063">
      <c r="DB3063">
        <f>IF('История отказов'!AW666="","",'История отказов'!AW666)</f>
        <v/>
      </c>
      <c r="DL3063">
        <f>IF(DB3063="","",IF(AND(COUNTIF($DA$2:$DA$47,DB3063)=0,COUNTIF($DB$2:DB3063,DB3063)=1),3062,""))</f>
        <v/>
      </c>
    </row>
    <row r="3064">
      <c r="DB3064">
        <f>IF('История отказов'!AW667="","",'История отказов'!AW667)</f>
        <v/>
      </c>
      <c r="DL3064">
        <f>IF(DB3064="","",IF(AND(COUNTIF($DA$2:$DA$47,DB3064)=0,COUNTIF($DB$2:DB3064,DB3064)=1),3063,""))</f>
        <v/>
      </c>
    </row>
    <row r="3065">
      <c r="DB3065">
        <f>IF('История отказов'!AW668="","",'История отказов'!AW668)</f>
        <v/>
      </c>
      <c r="DL3065">
        <f>IF(DB3065="","",IF(AND(COUNTIF($DA$2:$DA$47,DB3065)=0,COUNTIF($DB$2:DB3065,DB3065)=1),3064,""))</f>
        <v/>
      </c>
    </row>
    <row r="3066">
      <c r="DB3066">
        <f>IF('История отказов'!AW669="","",'История отказов'!AW669)</f>
        <v/>
      </c>
      <c r="DL3066">
        <f>IF(DB3066="","",IF(AND(COUNTIF($DA$2:$DA$47,DB3066)=0,COUNTIF($DB$2:DB3066,DB3066)=1),3065,""))</f>
        <v/>
      </c>
    </row>
    <row r="3067">
      <c r="DB3067">
        <f>IF('История отказов'!AW670="","",'История отказов'!AW670)</f>
        <v/>
      </c>
      <c r="DL3067">
        <f>IF(DB3067="","",IF(AND(COUNTIF($DA$2:$DA$47,DB3067)=0,COUNTIF($DB$2:DB3067,DB3067)=1),3066,""))</f>
        <v/>
      </c>
    </row>
    <row r="3068">
      <c r="DB3068">
        <f>IF('История отказов'!AW671="","",'История отказов'!AW671)</f>
        <v/>
      </c>
      <c r="DL3068">
        <f>IF(DB3068="","",IF(AND(COUNTIF($DA$2:$DA$47,DB3068)=0,COUNTIF($DB$2:DB3068,DB3068)=1),3067,""))</f>
        <v/>
      </c>
    </row>
    <row r="3069">
      <c r="DB3069">
        <f>IF('История отказов'!AW672="","",'История отказов'!AW672)</f>
        <v/>
      </c>
      <c r="DL3069">
        <f>IF(DB3069="","",IF(AND(COUNTIF($DA$2:$DA$47,DB3069)=0,COUNTIF($DB$2:DB3069,DB3069)=1),3068,""))</f>
        <v/>
      </c>
    </row>
    <row r="3070">
      <c r="DB3070">
        <f>IF('История отказов'!AW673="","",'История отказов'!AW673)</f>
        <v/>
      </c>
      <c r="DL3070">
        <f>IF(DB3070="","",IF(AND(COUNTIF($DA$2:$DA$47,DB3070)=0,COUNTIF($DB$2:DB3070,DB3070)=1),3069,""))</f>
        <v/>
      </c>
    </row>
    <row r="3071">
      <c r="DB3071">
        <f>IF('История отказов'!AW674="","",'История отказов'!AW674)</f>
        <v/>
      </c>
      <c r="DL3071">
        <f>IF(DB3071="","",IF(AND(COUNTIF($DA$2:$DA$47,DB3071)=0,COUNTIF($DB$2:DB3071,DB3071)=1),3070,""))</f>
        <v/>
      </c>
    </row>
    <row r="3072">
      <c r="DB3072">
        <f>IF('История отказов'!AW675="","",'История отказов'!AW675)</f>
        <v/>
      </c>
      <c r="DL3072">
        <f>IF(DB3072="","",IF(AND(COUNTIF($DA$2:$DA$47,DB3072)=0,COUNTIF($DB$2:DB3072,DB3072)=1),3071,""))</f>
        <v/>
      </c>
    </row>
    <row r="3073">
      <c r="DB3073">
        <f>IF('История отказов'!AW676="","",'История отказов'!AW676)</f>
        <v/>
      </c>
      <c r="DL3073">
        <f>IF(DB3073="","",IF(AND(COUNTIF($DA$2:$DA$47,DB3073)=0,COUNTIF($DB$2:DB3073,DB3073)=1),3072,""))</f>
        <v/>
      </c>
    </row>
    <row r="3074">
      <c r="DB3074">
        <f>IF('История отказов'!AW677="","",'История отказов'!AW677)</f>
        <v/>
      </c>
      <c r="DL3074">
        <f>IF(DB3074="","",IF(AND(COUNTIF($DA$2:$DA$47,DB3074)=0,COUNTIF($DB$2:DB3074,DB3074)=1),3073,""))</f>
        <v/>
      </c>
    </row>
    <row r="3075">
      <c r="DB3075">
        <f>IF('История отказов'!AW678="","",'История отказов'!AW678)</f>
        <v/>
      </c>
      <c r="DL3075">
        <f>IF(DB3075="","",IF(AND(COUNTIF($DA$2:$DA$47,DB3075)=0,COUNTIF($DB$2:DB3075,DB3075)=1),3074,""))</f>
        <v/>
      </c>
    </row>
    <row r="3076">
      <c r="DB3076">
        <f>IF('История отказов'!AW679="","",'История отказов'!AW679)</f>
        <v/>
      </c>
      <c r="DL3076">
        <f>IF(DB3076="","",IF(AND(COUNTIF($DA$2:$DA$47,DB3076)=0,COUNTIF($DB$2:DB3076,DB3076)=1),3075,""))</f>
        <v/>
      </c>
    </row>
    <row r="3077">
      <c r="DB3077">
        <f>IF('История отказов'!AW680="","",'История отказов'!AW680)</f>
        <v/>
      </c>
      <c r="DL3077">
        <f>IF(DB3077="","",IF(AND(COUNTIF($DA$2:$DA$47,DB3077)=0,COUNTIF($DB$2:DB3077,DB3077)=1),3076,""))</f>
        <v/>
      </c>
    </row>
    <row r="3078">
      <c r="DB3078">
        <f>IF('История отказов'!AW681="","",'История отказов'!AW681)</f>
        <v/>
      </c>
      <c r="DL3078">
        <f>IF(DB3078="","",IF(AND(COUNTIF($DA$2:$DA$47,DB3078)=0,COUNTIF($DB$2:DB3078,DB3078)=1),3077,""))</f>
        <v/>
      </c>
    </row>
    <row r="3079">
      <c r="DB3079">
        <f>IF('История отказов'!AW682="","",'История отказов'!AW682)</f>
        <v/>
      </c>
      <c r="DL3079">
        <f>IF(DB3079="","",IF(AND(COUNTIF($DA$2:$DA$47,DB3079)=0,COUNTIF($DB$2:DB3079,DB3079)=1),3078,""))</f>
        <v/>
      </c>
    </row>
    <row r="3080">
      <c r="DB3080">
        <f>IF('История отказов'!AW683="","",'История отказов'!AW683)</f>
        <v/>
      </c>
      <c r="DL3080">
        <f>IF(DB3080="","",IF(AND(COUNTIF($DA$2:$DA$47,DB3080)=0,COUNTIF($DB$2:DB3080,DB3080)=1),3079,""))</f>
        <v/>
      </c>
    </row>
    <row r="3081">
      <c r="DB3081">
        <f>IF('История отказов'!AW684="","",'История отказов'!AW684)</f>
        <v/>
      </c>
      <c r="DL3081">
        <f>IF(DB3081="","",IF(AND(COUNTIF($DA$2:$DA$47,DB3081)=0,COUNTIF($DB$2:DB3081,DB3081)=1),3080,""))</f>
        <v/>
      </c>
    </row>
    <row r="3082">
      <c r="DB3082">
        <f>IF('История отказов'!AW685="","",'История отказов'!AW685)</f>
        <v/>
      </c>
      <c r="DL3082">
        <f>IF(DB3082="","",IF(AND(COUNTIF($DA$2:$DA$47,DB3082)=0,COUNTIF($DB$2:DB3082,DB3082)=1),3081,""))</f>
        <v/>
      </c>
    </row>
    <row r="3083">
      <c r="DB3083">
        <f>IF('История отказов'!AW686="","",'История отказов'!AW686)</f>
        <v/>
      </c>
      <c r="DL3083">
        <f>IF(DB3083="","",IF(AND(COUNTIF($DA$2:$DA$47,DB3083)=0,COUNTIF($DB$2:DB3083,DB3083)=1),3082,""))</f>
        <v/>
      </c>
    </row>
    <row r="3084">
      <c r="DB3084">
        <f>IF('История отказов'!AW687="","",'История отказов'!AW687)</f>
        <v/>
      </c>
      <c r="DL3084">
        <f>IF(DB3084="","",IF(AND(COUNTIF($DA$2:$DA$47,DB3084)=0,COUNTIF($DB$2:DB3084,DB3084)=1),3083,""))</f>
        <v/>
      </c>
    </row>
    <row r="3085">
      <c r="DB3085">
        <f>IF('История отказов'!AW688="","",'История отказов'!AW688)</f>
        <v/>
      </c>
      <c r="DL3085">
        <f>IF(DB3085="","",IF(AND(COUNTIF($DA$2:$DA$47,DB3085)=0,COUNTIF($DB$2:DB3085,DB3085)=1),3084,""))</f>
        <v/>
      </c>
    </row>
    <row r="3086">
      <c r="DB3086">
        <f>IF('История отказов'!AW689="","",'История отказов'!AW689)</f>
        <v/>
      </c>
      <c r="DL3086">
        <f>IF(DB3086="","",IF(AND(COUNTIF($DA$2:$DA$47,DB3086)=0,COUNTIF($DB$2:DB3086,DB3086)=1),3085,""))</f>
        <v/>
      </c>
    </row>
    <row r="3087">
      <c r="DB3087">
        <f>IF('История отказов'!AW690="","",'История отказов'!AW690)</f>
        <v/>
      </c>
      <c r="DL3087">
        <f>IF(DB3087="","",IF(AND(COUNTIF($DA$2:$DA$47,DB3087)=0,COUNTIF($DB$2:DB3087,DB3087)=1),3086,""))</f>
        <v/>
      </c>
    </row>
    <row r="3088">
      <c r="DB3088">
        <f>IF('История отказов'!AW691="","",'История отказов'!AW691)</f>
        <v/>
      </c>
      <c r="DL3088">
        <f>IF(DB3088="","",IF(AND(COUNTIF($DA$2:$DA$47,DB3088)=0,COUNTIF($DB$2:DB3088,DB3088)=1),3087,""))</f>
        <v/>
      </c>
    </row>
    <row r="3089">
      <c r="DB3089">
        <f>IF('История отказов'!AW692="","",'История отказов'!AW692)</f>
        <v/>
      </c>
      <c r="DL3089">
        <f>IF(DB3089="","",IF(AND(COUNTIF($DA$2:$DA$47,DB3089)=0,COUNTIF($DB$2:DB3089,DB3089)=1),3088,""))</f>
        <v/>
      </c>
    </row>
    <row r="3090">
      <c r="DB3090">
        <f>IF('История отказов'!AW693="","",'История отказов'!AW693)</f>
        <v/>
      </c>
      <c r="DL3090">
        <f>IF(DB3090="","",IF(AND(COUNTIF($DA$2:$DA$47,DB3090)=0,COUNTIF($DB$2:DB3090,DB3090)=1),3089,""))</f>
        <v/>
      </c>
    </row>
    <row r="3091">
      <c r="DB3091">
        <f>IF('История отказов'!AW694="","",'История отказов'!AW694)</f>
        <v/>
      </c>
      <c r="DL3091">
        <f>IF(DB3091="","",IF(AND(COUNTIF($DA$2:$DA$47,DB3091)=0,COUNTIF($DB$2:DB3091,DB3091)=1),3090,""))</f>
        <v/>
      </c>
    </row>
    <row r="3092">
      <c r="DB3092">
        <f>IF('История отказов'!AW695="","",'История отказов'!AW695)</f>
        <v/>
      </c>
      <c r="DL3092">
        <f>IF(DB3092="","",IF(AND(COUNTIF($DA$2:$DA$47,DB3092)=0,COUNTIF($DB$2:DB3092,DB3092)=1),3091,""))</f>
        <v/>
      </c>
    </row>
    <row r="3093">
      <c r="DB3093">
        <f>IF('История отказов'!AW696="","",'История отказов'!AW696)</f>
        <v/>
      </c>
      <c r="DL3093">
        <f>IF(DB3093="","",IF(AND(COUNTIF($DA$2:$DA$47,DB3093)=0,COUNTIF($DB$2:DB3093,DB3093)=1),3092,""))</f>
        <v/>
      </c>
    </row>
    <row r="3094">
      <c r="DB3094">
        <f>IF('История отказов'!AW697="","",'История отказов'!AW697)</f>
        <v/>
      </c>
      <c r="DL3094">
        <f>IF(DB3094="","",IF(AND(COUNTIF($DA$2:$DA$47,DB3094)=0,COUNTIF($DB$2:DB3094,DB3094)=1),3093,""))</f>
        <v/>
      </c>
    </row>
    <row r="3095">
      <c r="DB3095">
        <f>IF('История отказов'!AW698="","",'История отказов'!AW698)</f>
        <v/>
      </c>
      <c r="DL3095">
        <f>IF(DB3095="","",IF(AND(COUNTIF($DA$2:$DA$47,DB3095)=0,COUNTIF($DB$2:DB3095,DB3095)=1),3094,""))</f>
        <v/>
      </c>
    </row>
    <row r="3096">
      <c r="DB3096">
        <f>IF('История отказов'!AW699="","",'История отказов'!AW699)</f>
        <v/>
      </c>
      <c r="DL3096">
        <f>IF(DB3096="","",IF(AND(COUNTIF($DA$2:$DA$47,DB3096)=0,COUNTIF($DB$2:DB3096,DB3096)=1),3095,""))</f>
        <v/>
      </c>
    </row>
    <row r="3097">
      <c r="DB3097">
        <f>IF('История отказов'!AW700="","",'История отказов'!AW700)</f>
        <v/>
      </c>
      <c r="DL3097">
        <f>IF(DB3097="","",IF(AND(COUNTIF($DA$2:$DA$47,DB3097)=0,COUNTIF($DB$2:DB3097,DB3097)=1),3096,""))</f>
        <v/>
      </c>
    </row>
    <row r="3098">
      <c r="DB3098">
        <f>IF('История отказов'!AW701="","",'История отказов'!AW701)</f>
        <v/>
      </c>
      <c r="DL3098">
        <f>IF(DB3098="","",IF(AND(COUNTIF($DA$2:$DA$47,DB3098)=0,COUNTIF($DB$2:DB3098,DB3098)=1),3097,""))</f>
        <v/>
      </c>
    </row>
    <row r="3099">
      <c r="DB3099">
        <f>IF('История отказов'!AW702="","",'История отказов'!AW702)</f>
        <v/>
      </c>
      <c r="DL3099">
        <f>IF(DB3099="","",IF(AND(COUNTIF($DA$2:$DA$47,DB3099)=0,COUNTIF($DB$2:DB3099,DB3099)=1),3098,""))</f>
        <v/>
      </c>
    </row>
    <row r="3100">
      <c r="DB3100">
        <f>IF('История отказов'!AW703="","",'История отказов'!AW703)</f>
        <v/>
      </c>
      <c r="DL3100">
        <f>IF(DB3100="","",IF(AND(COUNTIF($DA$2:$DA$47,DB3100)=0,COUNTIF($DB$2:DB3100,DB3100)=1),3099,""))</f>
        <v/>
      </c>
    </row>
    <row r="3101">
      <c r="DB3101">
        <f>IF('История отказов'!AW704="","",'История отказов'!AW704)</f>
        <v/>
      </c>
      <c r="DL3101">
        <f>IF(DB3101="","",IF(AND(COUNTIF($DA$2:$DA$47,DB3101)=0,COUNTIF($DB$2:DB3101,DB3101)=1),3100,""))</f>
        <v/>
      </c>
    </row>
    <row r="3102">
      <c r="DB3102">
        <f>IF('История отказов'!AW705="","",'История отказов'!AW705)</f>
        <v/>
      </c>
      <c r="DL3102">
        <f>IF(DB3102="","",IF(AND(COUNTIF($DA$2:$DA$47,DB3102)=0,COUNTIF($DB$2:DB3102,DB3102)=1),3101,""))</f>
        <v/>
      </c>
    </row>
    <row r="3103">
      <c r="DB3103">
        <f>IF('История отказов'!AW706="","",'История отказов'!AW706)</f>
        <v/>
      </c>
      <c r="DL3103">
        <f>IF(DB3103="","",IF(AND(COUNTIF($DA$2:$DA$47,DB3103)=0,COUNTIF($DB$2:DB3103,DB3103)=1),3102,""))</f>
        <v/>
      </c>
    </row>
    <row r="3104">
      <c r="DB3104">
        <f>IF('История отказов'!AW707="","",'История отказов'!AW707)</f>
        <v/>
      </c>
      <c r="DL3104">
        <f>IF(DB3104="","",IF(AND(COUNTIF($DA$2:$DA$47,DB3104)=0,COUNTIF($DB$2:DB3104,DB3104)=1),3103,""))</f>
        <v/>
      </c>
    </row>
    <row r="3105">
      <c r="DB3105">
        <f>IF('История отказов'!AW708="","",'История отказов'!AW708)</f>
        <v/>
      </c>
      <c r="DL3105">
        <f>IF(DB3105="","",IF(AND(COUNTIF($DA$2:$DA$47,DB3105)=0,COUNTIF($DB$2:DB3105,DB3105)=1),3104,""))</f>
        <v/>
      </c>
    </row>
    <row r="3106">
      <c r="DB3106">
        <f>IF('История отказов'!AW709="","",'История отказов'!AW709)</f>
        <v/>
      </c>
      <c r="DL3106">
        <f>IF(DB3106="","",IF(AND(COUNTIF($DA$2:$DA$47,DB3106)=0,COUNTIF($DB$2:DB3106,DB3106)=1),3105,""))</f>
        <v/>
      </c>
    </row>
    <row r="3107">
      <c r="DB3107">
        <f>IF('История отказов'!AW710="","",'История отказов'!AW710)</f>
        <v/>
      </c>
      <c r="DL3107">
        <f>IF(DB3107="","",IF(AND(COUNTIF($DA$2:$DA$47,DB3107)=0,COUNTIF($DB$2:DB3107,DB3107)=1),3106,""))</f>
        <v/>
      </c>
    </row>
    <row r="3108">
      <c r="DB3108">
        <f>IF('История отказов'!AW711="","",'История отказов'!AW711)</f>
        <v/>
      </c>
      <c r="DL3108">
        <f>IF(DB3108="","",IF(AND(COUNTIF($DA$2:$DA$47,DB3108)=0,COUNTIF($DB$2:DB3108,DB3108)=1),3107,""))</f>
        <v/>
      </c>
    </row>
    <row r="3109">
      <c r="DB3109">
        <f>IF('История отказов'!AW712="","",'История отказов'!AW712)</f>
        <v/>
      </c>
      <c r="DL3109">
        <f>IF(DB3109="","",IF(AND(COUNTIF($DA$2:$DA$47,DB3109)=0,COUNTIF($DB$2:DB3109,DB3109)=1),3108,""))</f>
        <v/>
      </c>
    </row>
    <row r="3110">
      <c r="DB3110">
        <f>IF('История отказов'!AW713="","",'История отказов'!AW713)</f>
        <v/>
      </c>
      <c r="DL3110">
        <f>IF(DB3110="","",IF(AND(COUNTIF($DA$2:$DA$47,DB3110)=0,COUNTIF($DB$2:DB3110,DB3110)=1),3109,""))</f>
        <v/>
      </c>
    </row>
    <row r="3111">
      <c r="DB3111">
        <f>IF('История отказов'!AW714="","",'История отказов'!AW714)</f>
        <v/>
      </c>
      <c r="DL3111">
        <f>IF(DB3111="","",IF(AND(COUNTIF($DA$2:$DA$47,DB3111)=0,COUNTIF($DB$2:DB3111,DB3111)=1),3110,""))</f>
        <v/>
      </c>
    </row>
    <row r="3112">
      <c r="DB3112">
        <f>IF('История отказов'!AW715="","",'История отказов'!AW715)</f>
        <v/>
      </c>
      <c r="DL3112">
        <f>IF(DB3112="","",IF(AND(COUNTIF($DA$2:$DA$47,DB3112)=0,COUNTIF($DB$2:DB3112,DB3112)=1),3111,""))</f>
        <v/>
      </c>
    </row>
    <row r="3113">
      <c r="DB3113">
        <f>IF('История отказов'!AW716="","",'История отказов'!AW716)</f>
        <v/>
      </c>
      <c r="DL3113">
        <f>IF(DB3113="","",IF(AND(COUNTIF($DA$2:$DA$47,DB3113)=0,COUNTIF($DB$2:DB3113,DB3113)=1),3112,""))</f>
        <v/>
      </c>
    </row>
    <row r="3114">
      <c r="DB3114">
        <f>IF('История отказов'!AW717="","",'История отказов'!AW717)</f>
        <v/>
      </c>
      <c r="DL3114">
        <f>IF(DB3114="","",IF(AND(COUNTIF($DA$2:$DA$47,DB3114)=0,COUNTIF($DB$2:DB3114,DB3114)=1),3113,""))</f>
        <v/>
      </c>
    </row>
    <row r="3115">
      <c r="DB3115">
        <f>IF('История отказов'!AW718="","",'История отказов'!AW718)</f>
        <v/>
      </c>
      <c r="DL3115">
        <f>IF(DB3115="","",IF(AND(COUNTIF($DA$2:$DA$47,DB3115)=0,COUNTIF($DB$2:DB3115,DB3115)=1),3114,""))</f>
        <v/>
      </c>
    </row>
    <row r="3116">
      <c r="DB3116">
        <f>IF('История отказов'!AW719="","",'История отказов'!AW719)</f>
        <v/>
      </c>
      <c r="DL3116">
        <f>IF(DB3116="","",IF(AND(COUNTIF($DA$2:$DA$47,DB3116)=0,COUNTIF($DB$2:DB3116,DB3116)=1),3115,""))</f>
        <v/>
      </c>
    </row>
    <row r="3117">
      <c r="DB3117">
        <f>IF('История отказов'!AW720="","",'История отказов'!AW720)</f>
        <v/>
      </c>
      <c r="DL3117">
        <f>IF(DB3117="","",IF(AND(COUNTIF($DA$2:$DA$47,DB3117)=0,COUNTIF($DB$2:DB3117,DB3117)=1),3116,""))</f>
        <v/>
      </c>
    </row>
    <row r="3118">
      <c r="DB3118">
        <f>IF('История отказов'!AW721="","",'История отказов'!AW721)</f>
        <v/>
      </c>
      <c r="DL3118">
        <f>IF(DB3118="","",IF(AND(COUNTIF($DA$2:$DA$47,DB3118)=0,COUNTIF($DB$2:DB3118,DB3118)=1),3117,""))</f>
        <v/>
      </c>
    </row>
    <row r="3119">
      <c r="DB3119">
        <f>IF('История отказов'!AW722="","",'История отказов'!AW722)</f>
        <v/>
      </c>
      <c r="DL3119">
        <f>IF(DB3119="","",IF(AND(COUNTIF($DA$2:$DA$47,DB3119)=0,COUNTIF($DB$2:DB3119,DB3119)=1),3118,""))</f>
        <v/>
      </c>
    </row>
    <row r="3120">
      <c r="DB3120">
        <f>IF('История отказов'!AW723="","",'История отказов'!AW723)</f>
        <v/>
      </c>
      <c r="DL3120">
        <f>IF(DB3120="","",IF(AND(COUNTIF($DA$2:$DA$47,DB3120)=0,COUNTIF($DB$2:DB3120,DB3120)=1),3119,""))</f>
        <v/>
      </c>
    </row>
    <row r="3121">
      <c r="DB3121">
        <f>IF('История отказов'!AW724="","",'История отказов'!AW724)</f>
        <v/>
      </c>
      <c r="DL3121">
        <f>IF(DB3121="","",IF(AND(COUNTIF($DA$2:$DA$47,DB3121)=0,COUNTIF($DB$2:DB3121,DB3121)=1),3120,""))</f>
        <v/>
      </c>
    </row>
    <row r="3122">
      <c r="DB3122">
        <f>IF('История отказов'!AW725="","",'История отказов'!AW725)</f>
        <v/>
      </c>
      <c r="DL3122">
        <f>IF(DB3122="","",IF(AND(COUNTIF($DA$2:$DA$47,DB3122)=0,COUNTIF($DB$2:DB3122,DB3122)=1),3121,""))</f>
        <v/>
      </c>
    </row>
    <row r="3123">
      <c r="DB3123">
        <f>IF('История отказов'!AW726="","",'История отказов'!AW726)</f>
        <v/>
      </c>
      <c r="DL3123">
        <f>IF(DB3123="","",IF(AND(COUNTIF($DA$2:$DA$47,DB3123)=0,COUNTIF($DB$2:DB3123,DB3123)=1),3122,""))</f>
        <v/>
      </c>
    </row>
    <row r="3124">
      <c r="DB3124">
        <f>IF('История отказов'!AW727="","",'История отказов'!AW727)</f>
        <v/>
      </c>
      <c r="DL3124">
        <f>IF(DB3124="","",IF(AND(COUNTIF($DA$2:$DA$47,DB3124)=0,COUNTIF($DB$2:DB3124,DB3124)=1),3123,""))</f>
        <v/>
      </c>
    </row>
    <row r="3125">
      <c r="DB3125">
        <f>IF('История отказов'!AW728="","",'История отказов'!AW728)</f>
        <v/>
      </c>
      <c r="DL3125">
        <f>IF(DB3125="","",IF(AND(COUNTIF($DA$2:$DA$47,DB3125)=0,COUNTIF($DB$2:DB3125,DB3125)=1),3124,""))</f>
        <v/>
      </c>
    </row>
    <row r="3126">
      <c r="DB3126">
        <f>IF('История отказов'!AW729="","",'История отказов'!AW729)</f>
        <v/>
      </c>
      <c r="DL3126">
        <f>IF(DB3126="","",IF(AND(COUNTIF($DA$2:$DA$47,DB3126)=0,COUNTIF($DB$2:DB3126,DB3126)=1),3125,""))</f>
        <v/>
      </c>
    </row>
    <row r="3127">
      <c r="DB3127">
        <f>IF('История отказов'!AW730="","",'История отказов'!AW730)</f>
        <v/>
      </c>
      <c r="DL3127">
        <f>IF(DB3127="","",IF(AND(COUNTIF($DA$2:$DA$47,DB3127)=0,COUNTIF($DB$2:DB3127,DB3127)=1),3126,""))</f>
        <v/>
      </c>
    </row>
    <row r="3128">
      <c r="DB3128">
        <f>IF('История отказов'!AW731="","",'История отказов'!AW731)</f>
        <v/>
      </c>
      <c r="DL3128">
        <f>IF(DB3128="","",IF(AND(COUNTIF($DA$2:$DA$47,DB3128)=0,COUNTIF($DB$2:DB3128,DB3128)=1),3127,""))</f>
        <v/>
      </c>
    </row>
    <row r="3129">
      <c r="DB3129">
        <f>IF('История отказов'!AW732="","",'История отказов'!AW732)</f>
        <v/>
      </c>
      <c r="DL3129">
        <f>IF(DB3129="","",IF(AND(COUNTIF($DA$2:$DA$47,DB3129)=0,COUNTIF($DB$2:DB3129,DB3129)=1),3128,""))</f>
        <v/>
      </c>
    </row>
    <row r="3130">
      <c r="DB3130">
        <f>IF('История отказов'!AW733="","",'История отказов'!AW733)</f>
        <v/>
      </c>
      <c r="DL3130">
        <f>IF(DB3130="","",IF(AND(COUNTIF($DA$2:$DA$47,DB3130)=0,COUNTIF($DB$2:DB3130,DB3130)=1),3129,""))</f>
        <v/>
      </c>
    </row>
    <row r="3131">
      <c r="DB3131">
        <f>IF('История отказов'!AW734="","",'История отказов'!AW734)</f>
        <v/>
      </c>
      <c r="DL3131">
        <f>IF(DB3131="","",IF(AND(COUNTIF($DA$2:$DA$47,DB3131)=0,COUNTIF($DB$2:DB3131,DB3131)=1),3130,""))</f>
        <v/>
      </c>
    </row>
    <row r="3132">
      <c r="DB3132">
        <f>IF('История отказов'!AW735="","",'История отказов'!AW735)</f>
        <v/>
      </c>
      <c r="DL3132">
        <f>IF(DB3132="","",IF(AND(COUNTIF($DA$2:$DA$47,DB3132)=0,COUNTIF($DB$2:DB3132,DB3132)=1),3131,""))</f>
        <v/>
      </c>
    </row>
    <row r="3133">
      <c r="DB3133">
        <f>IF('История отказов'!AW736="","",'История отказов'!AW736)</f>
        <v/>
      </c>
      <c r="DL3133">
        <f>IF(DB3133="","",IF(AND(COUNTIF($DA$2:$DA$47,DB3133)=0,COUNTIF($DB$2:DB3133,DB3133)=1),3132,""))</f>
        <v/>
      </c>
    </row>
    <row r="3134">
      <c r="DB3134">
        <f>IF('История отказов'!AW737="","",'История отказов'!AW737)</f>
        <v/>
      </c>
      <c r="DL3134">
        <f>IF(DB3134="","",IF(AND(COUNTIF($DA$2:$DA$47,DB3134)=0,COUNTIF($DB$2:DB3134,DB3134)=1),3133,""))</f>
        <v/>
      </c>
    </row>
    <row r="3135">
      <c r="DB3135">
        <f>IF('История отказов'!AW738="","",'История отказов'!AW738)</f>
        <v/>
      </c>
      <c r="DL3135">
        <f>IF(DB3135="","",IF(AND(COUNTIF($DA$2:$DA$47,DB3135)=0,COUNTIF($DB$2:DB3135,DB3135)=1),3134,""))</f>
        <v/>
      </c>
    </row>
    <row r="3136">
      <c r="DB3136">
        <f>IF('История отказов'!AW739="","",'История отказов'!AW739)</f>
        <v/>
      </c>
      <c r="DL3136">
        <f>IF(DB3136="","",IF(AND(COUNTIF($DA$2:$DA$47,DB3136)=0,COUNTIF($DB$2:DB3136,DB3136)=1),3135,""))</f>
        <v/>
      </c>
    </row>
    <row r="3137">
      <c r="DB3137">
        <f>IF('История отказов'!AW740="","",'История отказов'!AW740)</f>
        <v/>
      </c>
      <c r="DL3137">
        <f>IF(DB3137="","",IF(AND(COUNTIF($DA$2:$DA$47,DB3137)=0,COUNTIF($DB$2:DB3137,DB3137)=1),3136,""))</f>
        <v/>
      </c>
    </row>
    <row r="3138">
      <c r="DB3138">
        <f>IF('История отказов'!AW741="","",'История отказов'!AW741)</f>
        <v/>
      </c>
      <c r="DL3138">
        <f>IF(DB3138="","",IF(AND(COUNTIF($DA$2:$DA$47,DB3138)=0,COUNTIF($DB$2:DB3138,DB3138)=1),3137,""))</f>
        <v/>
      </c>
    </row>
    <row r="3139">
      <c r="DB3139">
        <f>IF('История отказов'!AW742="","",'История отказов'!AW742)</f>
        <v/>
      </c>
      <c r="DL3139">
        <f>IF(DB3139="","",IF(AND(COUNTIF($DA$2:$DA$47,DB3139)=0,COUNTIF($DB$2:DB3139,DB3139)=1),3138,""))</f>
        <v/>
      </c>
    </row>
    <row r="3140">
      <c r="DB3140">
        <f>IF('История отказов'!AW743="","",'История отказов'!AW743)</f>
        <v/>
      </c>
      <c r="DL3140">
        <f>IF(DB3140="","",IF(AND(COUNTIF($DA$2:$DA$47,DB3140)=0,COUNTIF($DB$2:DB3140,DB3140)=1),3139,""))</f>
        <v/>
      </c>
    </row>
    <row r="3141">
      <c r="DB3141">
        <f>IF('История отказов'!AW744="","",'История отказов'!AW744)</f>
        <v/>
      </c>
      <c r="DL3141">
        <f>IF(DB3141="","",IF(AND(COUNTIF($DA$2:$DA$47,DB3141)=0,COUNTIF($DB$2:DB3141,DB3141)=1),3140,""))</f>
        <v/>
      </c>
    </row>
    <row r="3142">
      <c r="DB3142">
        <f>IF('История отказов'!AW745="","",'История отказов'!AW745)</f>
        <v/>
      </c>
      <c r="DL3142">
        <f>IF(DB3142="","",IF(AND(COUNTIF($DA$2:$DA$47,DB3142)=0,COUNTIF($DB$2:DB3142,DB3142)=1),3141,""))</f>
        <v/>
      </c>
    </row>
    <row r="3143">
      <c r="DB3143">
        <f>IF('История отказов'!AW746="","",'История отказов'!AW746)</f>
        <v/>
      </c>
      <c r="DL3143">
        <f>IF(DB3143="","",IF(AND(COUNTIF($DA$2:$DA$47,DB3143)=0,COUNTIF($DB$2:DB3143,DB3143)=1),3142,""))</f>
        <v/>
      </c>
    </row>
    <row r="3144">
      <c r="DB3144">
        <f>IF('История отказов'!AW747="","",'История отказов'!AW747)</f>
        <v/>
      </c>
      <c r="DL3144">
        <f>IF(DB3144="","",IF(AND(COUNTIF($DA$2:$DA$47,DB3144)=0,COUNTIF($DB$2:DB3144,DB3144)=1),3143,""))</f>
        <v/>
      </c>
    </row>
    <row r="3145">
      <c r="DB3145">
        <f>IF('История отказов'!AW748="","",'История отказов'!AW748)</f>
        <v/>
      </c>
      <c r="DL3145">
        <f>IF(DB3145="","",IF(AND(COUNTIF($DA$2:$DA$47,DB3145)=0,COUNTIF($DB$2:DB3145,DB3145)=1),3144,""))</f>
        <v/>
      </c>
    </row>
    <row r="3146">
      <c r="DB3146">
        <f>IF('История отказов'!AW749="","",'История отказов'!AW749)</f>
        <v/>
      </c>
      <c r="DL3146">
        <f>IF(DB3146="","",IF(AND(COUNTIF($DA$2:$DA$47,DB3146)=0,COUNTIF($DB$2:DB3146,DB3146)=1),3145,""))</f>
        <v/>
      </c>
    </row>
    <row r="3147">
      <c r="DB3147">
        <f>IF('История отказов'!AW750="","",'История отказов'!AW750)</f>
        <v/>
      </c>
      <c r="DL3147">
        <f>IF(DB3147="","",IF(AND(COUNTIF($DA$2:$DA$47,DB3147)=0,COUNTIF($DB$2:DB3147,DB3147)=1),3146,""))</f>
        <v/>
      </c>
    </row>
    <row r="3148">
      <c r="DB3148">
        <f>IF('История отказов'!AW751="","",'История отказов'!AW751)</f>
        <v/>
      </c>
      <c r="DL3148">
        <f>IF(DB3148="","",IF(AND(COUNTIF($DA$2:$DA$47,DB3148)=0,COUNTIF($DB$2:DB3148,DB3148)=1),3147,""))</f>
        <v/>
      </c>
    </row>
    <row r="3149">
      <c r="DB3149">
        <f>IF('История отказов'!AW752="","",'История отказов'!AW752)</f>
        <v/>
      </c>
      <c r="DL3149">
        <f>IF(DB3149="","",IF(AND(COUNTIF($DA$2:$DA$47,DB3149)=0,COUNTIF($DB$2:DB3149,DB3149)=1),3148,""))</f>
        <v/>
      </c>
    </row>
    <row r="3150">
      <c r="DB3150">
        <f>IF('История отказов'!AW753="","",'История отказов'!AW753)</f>
        <v/>
      </c>
      <c r="DL3150">
        <f>IF(DB3150="","",IF(AND(COUNTIF($DA$2:$DA$47,DB3150)=0,COUNTIF($DB$2:DB3150,DB3150)=1),3149,""))</f>
        <v/>
      </c>
    </row>
    <row r="3151">
      <c r="DB3151">
        <f>IF('История отказов'!AW754="","",'История отказов'!AW754)</f>
        <v/>
      </c>
      <c r="DL3151">
        <f>IF(DB3151="","",IF(AND(COUNTIF($DA$2:$DA$47,DB3151)=0,COUNTIF($DB$2:DB3151,DB3151)=1),3150,""))</f>
        <v/>
      </c>
    </row>
    <row r="3152">
      <c r="DB3152">
        <f>IF('История отказов'!AW755="","",'История отказов'!AW755)</f>
        <v/>
      </c>
      <c r="DL3152">
        <f>IF(DB3152="","",IF(AND(COUNTIF($DA$2:$DA$47,DB3152)=0,COUNTIF($DB$2:DB3152,DB3152)=1),3151,""))</f>
        <v/>
      </c>
    </row>
    <row r="3153">
      <c r="DB3153">
        <f>IF('История отказов'!AW756="","",'История отказов'!AW756)</f>
        <v/>
      </c>
      <c r="DL3153">
        <f>IF(DB3153="","",IF(AND(COUNTIF($DA$2:$DA$47,DB3153)=0,COUNTIF($DB$2:DB3153,DB3153)=1),3152,""))</f>
        <v/>
      </c>
    </row>
    <row r="3154">
      <c r="DB3154">
        <f>IF('История отказов'!AW757="","",'История отказов'!AW757)</f>
        <v/>
      </c>
      <c r="DL3154">
        <f>IF(DB3154="","",IF(AND(COUNTIF($DA$2:$DA$47,DB3154)=0,COUNTIF($DB$2:DB3154,DB3154)=1),3153,""))</f>
        <v/>
      </c>
    </row>
    <row r="3155">
      <c r="DB3155">
        <f>IF('История отказов'!AW758="","",'История отказов'!AW758)</f>
        <v/>
      </c>
      <c r="DL3155">
        <f>IF(DB3155="","",IF(AND(COUNTIF($DA$2:$DA$47,DB3155)=0,COUNTIF($DB$2:DB3155,DB3155)=1),3154,""))</f>
        <v/>
      </c>
    </row>
    <row r="3156">
      <c r="DB3156">
        <f>IF('История отказов'!AW759="","",'История отказов'!AW759)</f>
        <v/>
      </c>
      <c r="DL3156">
        <f>IF(DB3156="","",IF(AND(COUNTIF($DA$2:$DA$47,DB3156)=0,COUNTIF($DB$2:DB3156,DB3156)=1),3155,""))</f>
        <v/>
      </c>
    </row>
    <row r="3157">
      <c r="DB3157">
        <f>IF('История отказов'!AW760="","",'История отказов'!AW760)</f>
        <v/>
      </c>
      <c r="DL3157">
        <f>IF(DB3157="","",IF(AND(COUNTIF($DA$2:$DA$47,DB3157)=0,COUNTIF($DB$2:DB3157,DB3157)=1),3156,""))</f>
        <v/>
      </c>
    </row>
    <row r="3158">
      <c r="DB3158">
        <f>IF('История отказов'!AW761="","",'История отказов'!AW761)</f>
        <v/>
      </c>
      <c r="DL3158">
        <f>IF(DB3158="","",IF(AND(COUNTIF($DA$2:$DA$47,DB3158)=0,COUNTIF($DB$2:DB3158,DB3158)=1),3157,""))</f>
        <v/>
      </c>
    </row>
    <row r="3159">
      <c r="DB3159">
        <f>IF('История отказов'!AW762="","",'История отказов'!AW762)</f>
        <v/>
      </c>
      <c r="DL3159">
        <f>IF(DB3159="","",IF(AND(COUNTIF($DA$2:$DA$47,DB3159)=0,COUNTIF($DB$2:DB3159,DB3159)=1),3158,""))</f>
        <v/>
      </c>
    </row>
    <row r="3160">
      <c r="DB3160">
        <f>IF('История отказов'!AW763="","",'История отказов'!AW763)</f>
        <v/>
      </c>
      <c r="DL3160">
        <f>IF(DB3160="","",IF(AND(COUNTIF($DA$2:$DA$47,DB3160)=0,COUNTIF($DB$2:DB3160,DB3160)=1),3159,""))</f>
        <v/>
      </c>
    </row>
    <row r="3161">
      <c r="DB3161">
        <f>IF('История отказов'!AW764="","",'История отказов'!AW764)</f>
        <v/>
      </c>
      <c r="DL3161">
        <f>IF(DB3161="","",IF(AND(COUNTIF($DA$2:$DA$47,DB3161)=0,COUNTIF($DB$2:DB3161,DB3161)=1),3160,""))</f>
        <v/>
      </c>
    </row>
    <row r="3162">
      <c r="DB3162">
        <f>IF('История отказов'!AW765="","",'История отказов'!AW765)</f>
        <v/>
      </c>
      <c r="DL3162">
        <f>IF(DB3162="","",IF(AND(COUNTIF($DA$2:$DA$47,DB3162)=0,COUNTIF($DB$2:DB3162,DB3162)=1),3161,""))</f>
        <v/>
      </c>
    </row>
    <row r="3163">
      <c r="DB3163">
        <f>IF('История отказов'!AW766="","",'История отказов'!AW766)</f>
        <v/>
      </c>
      <c r="DL3163">
        <f>IF(DB3163="","",IF(AND(COUNTIF($DA$2:$DA$47,DB3163)=0,COUNTIF($DB$2:DB3163,DB3163)=1),3162,""))</f>
        <v/>
      </c>
    </row>
    <row r="3164">
      <c r="DB3164">
        <f>IF('История отказов'!AW767="","",'История отказов'!AW767)</f>
        <v/>
      </c>
      <c r="DL3164">
        <f>IF(DB3164="","",IF(AND(COUNTIF($DA$2:$DA$47,DB3164)=0,COUNTIF($DB$2:DB3164,DB3164)=1),3163,""))</f>
        <v/>
      </c>
    </row>
    <row r="3165">
      <c r="DB3165">
        <f>IF('История отказов'!AW768="","",'История отказов'!AW768)</f>
        <v/>
      </c>
      <c r="DL3165">
        <f>IF(DB3165="","",IF(AND(COUNTIF($DA$2:$DA$47,DB3165)=0,COUNTIF($DB$2:DB3165,DB3165)=1),3164,""))</f>
        <v/>
      </c>
    </row>
    <row r="3166">
      <c r="DB3166">
        <f>IF('История отказов'!AW769="","",'История отказов'!AW769)</f>
        <v/>
      </c>
      <c r="DL3166">
        <f>IF(DB3166="","",IF(AND(COUNTIF($DA$2:$DA$47,DB3166)=0,COUNTIF($DB$2:DB3166,DB3166)=1),3165,""))</f>
        <v/>
      </c>
    </row>
    <row r="3167">
      <c r="DB3167">
        <f>IF('История отказов'!AW770="","",'История отказов'!AW770)</f>
        <v/>
      </c>
      <c r="DL3167">
        <f>IF(DB3167="","",IF(AND(COUNTIF($DA$2:$DA$47,DB3167)=0,COUNTIF($DB$2:DB3167,DB3167)=1),3166,""))</f>
        <v/>
      </c>
    </row>
    <row r="3168">
      <c r="DB3168">
        <f>IF('История отказов'!AW771="","",'История отказов'!AW771)</f>
        <v/>
      </c>
      <c r="DL3168">
        <f>IF(DB3168="","",IF(AND(COUNTIF($DA$2:$DA$47,DB3168)=0,COUNTIF($DB$2:DB3168,DB3168)=1),3167,""))</f>
        <v/>
      </c>
    </row>
    <row r="3169">
      <c r="DB3169">
        <f>IF('История отказов'!AW772="","",'История отказов'!AW772)</f>
        <v/>
      </c>
      <c r="DL3169">
        <f>IF(DB3169="","",IF(AND(COUNTIF($DA$2:$DA$47,DB3169)=0,COUNTIF($DB$2:DB3169,DB3169)=1),3168,""))</f>
        <v/>
      </c>
    </row>
    <row r="3170">
      <c r="DB3170">
        <f>IF('История отказов'!AW773="","",'История отказов'!AW773)</f>
        <v/>
      </c>
      <c r="DL3170">
        <f>IF(DB3170="","",IF(AND(COUNTIF($DA$2:$DA$47,DB3170)=0,COUNTIF($DB$2:DB3170,DB3170)=1),3169,""))</f>
        <v/>
      </c>
    </row>
    <row r="3171">
      <c r="DB3171">
        <f>IF('История отказов'!AW774="","",'История отказов'!AW774)</f>
        <v/>
      </c>
      <c r="DL3171">
        <f>IF(DB3171="","",IF(AND(COUNTIF($DA$2:$DA$47,DB3171)=0,COUNTIF($DB$2:DB3171,DB3171)=1),3170,""))</f>
        <v/>
      </c>
    </row>
    <row r="3172">
      <c r="DB3172">
        <f>IF('История отказов'!AW775="","",'История отказов'!AW775)</f>
        <v/>
      </c>
      <c r="DL3172">
        <f>IF(DB3172="","",IF(AND(COUNTIF($DA$2:$DA$47,DB3172)=0,COUNTIF($DB$2:DB3172,DB3172)=1),3171,""))</f>
        <v/>
      </c>
    </row>
    <row r="3173">
      <c r="DB3173">
        <f>IF('История отказов'!AW776="","",'История отказов'!AW776)</f>
        <v/>
      </c>
      <c r="DL3173">
        <f>IF(DB3173="","",IF(AND(COUNTIF($DA$2:$DA$47,DB3173)=0,COUNTIF($DB$2:DB3173,DB3173)=1),3172,""))</f>
        <v/>
      </c>
    </row>
    <row r="3174">
      <c r="DB3174">
        <f>IF('История отказов'!AW777="","",'История отказов'!AW777)</f>
        <v/>
      </c>
      <c r="DL3174">
        <f>IF(DB3174="","",IF(AND(COUNTIF($DA$2:$DA$47,DB3174)=0,COUNTIF($DB$2:DB3174,DB3174)=1),3173,""))</f>
        <v/>
      </c>
    </row>
    <row r="3175">
      <c r="DB3175">
        <f>IF('История отказов'!AW778="","",'История отказов'!AW778)</f>
        <v/>
      </c>
      <c r="DL3175">
        <f>IF(DB3175="","",IF(AND(COUNTIF($DA$2:$DA$47,DB3175)=0,COUNTIF($DB$2:DB3175,DB3175)=1),3174,""))</f>
        <v/>
      </c>
    </row>
    <row r="3176">
      <c r="DB3176">
        <f>IF('История отказов'!AW779="","",'История отказов'!AW779)</f>
        <v/>
      </c>
      <c r="DL3176">
        <f>IF(DB3176="","",IF(AND(COUNTIF($DA$2:$DA$47,DB3176)=0,COUNTIF($DB$2:DB3176,DB3176)=1),3175,""))</f>
        <v/>
      </c>
    </row>
    <row r="3177">
      <c r="DB3177">
        <f>IF('История отказов'!AW780="","",'История отказов'!AW780)</f>
        <v/>
      </c>
      <c r="DL3177">
        <f>IF(DB3177="","",IF(AND(COUNTIF($DA$2:$DA$47,DB3177)=0,COUNTIF($DB$2:DB3177,DB3177)=1),3176,""))</f>
        <v/>
      </c>
    </row>
    <row r="3178">
      <c r="DB3178">
        <f>IF('История отказов'!AW781="","",'История отказов'!AW781)</f>
        <v/>
      </c>
      <c r="DL3178">
        <f>IF(DB3178="","",IF(AND(COUNTIF($DA$2:$DA$47,DB3178)=0,COUNTIF($DB$2:DB3178,DB3178)=1),3177,""))</f>
        <v/>
      </c>
    </row>
    <row r="3179">
      <c r="DB3179">
        <f>IF('История отказов'!AW782="","",'История отказов'!AW782)</f>
        <v/>
      </c>
      <c r="DL3179">
        <f>IF(DB3179="","",IF(AND(COUNTIF($DA$2:$DA$47,DB3179)=0,COUNTIF($DB$2:DB3179,DB3179)=1),3178,""))</f>
        <v/>
      </c>
    </row>
    <row r="3180">
      <c r="DB3180">
        <f>IF('История отказов'!AW783="","",'История отказов'!AW783)</f>
        <v/>
      </c>
      <c r="DL3180">
        <f>IF(DB3180="","",IF(AND(COUNTIF($DA$2:$DA$47,DB3180)=0,COUNTIF($DB$2:DB3180,DB3180)=1),3179,""))</f>
        <v/>
      </c>
    </row>
    <row r="3181">
      <c r="DB3181">
        <f>IF('История отказов'!AW784="","",'История отказов'!AW784)</f>
        <v/>
      </c>
      <c r="DL3181">
        <f>IF(DB3181="","",IF(AND(COUNTIF($DA$2:$DA$47,DB3181)=0,COUNTIF($DB$2:DB3181,DB3181)=1),3180,""))</f>
        <v/>
      </c>
    </row>
    <row r="3182">
      <c r="DB3182">
        <f>IF('История отказов'!AW785="","",'История отказов'!AW785)</f>
        <v/>
      </c>
      <c r="DL3182">
        <f>IF(DB3182="","",IF(AND(COUNTIF($DA$2:$DA$47,DB3182)=0,COUNTIF($DB$2:DB3182,DB3182)=1),3181,""))</f>
        <v/>
      </c>
    </row>
    <row r="3183">
      <c r="DB3183">
        <f>IF('История отказов'!AW786="","",'История отказов'!AW786)</f>
        <v/>
      </c>
      <c r="DL3183">
        <f>IF(DB3183="","",IF(AND(COUNTIF($DA$2:$DA$47,DB3183)=0,COUNTIF($DB$2:DB3183,DB3183)=1),3182,""))</f>
        <v/>
      </c>
    </row>
    <row r="3184">
      <c r="DB3184">
        <f>IF('История отказов'!AW787="","",'История отказов'!AW787)</f>
        <v/>
      </c>
      <c r="DL3184">
        <f>IF(DB3184="","",IF(AND(COUNTIF($DA$2:$DA$47,DB3184)=0,COUNTIF($DB$2:DB3184,DB3184)=1),3183,""))</f>
        <v/>
      </c>
    </row>
    <row r="3185">
      <c r="DB3185">
        <f>IF('История отказов'!AW788="","",'История отказов'!AW788)</f>
        <v/>
      </c>
      <c r="DL3185">
        <f>IF(DB3185="","",IF(AND(COUNTIF($DA$2:$DA$47,DB3185)=0,COUNTIF($DB$2:DB3185,DB3185)=1),3184,""))</f>
        <v/>
      </c>
    </row>
    <row r="3186">
      <c r="DB3186">
        <f>IF('История отказов'!AW789="","",'История отказов'!AW789)</f>
        <v/>
      </c>
      <c r="DL3186">
        <f>IF(DB3186="","",IF(AND(COUNTIF($DA$2:$DA$47,DB3186)=0,COUNTIF($DB$2:DB3186,DB3186)=1),3185,""))</f>
        <v/>
      </c>
    </row>
    <row r="3187">
      <c r="DB3187">
        <f>IF('История отказов'!AW790="","",'История отказов'!AW790)</f>
        <v/>
      </c>
      <c r="DL3187">
        <f>IF(DB3187="","",IF(AND(COUNTIF($DA$2:$DA$47,DB3187)=0,COUNTIF($DB$2:DB3187,DB3187)=1),3186,""))</f>
        <v/>
      </c>
    </row>
    <row r="3188">
      <c r="DB3188">
        <f>IF('История отказов'!AW791="","",'История отказов'!AW791)</f>
        <v/>
      </c>
      <c r="DL3188">
        <f>IF(DB3188="","",IF(AND(COUNTIF($DA$2:$DA$47,DB3188)=0,COUNTIF($DB$2:DB3188,DB3188)=1),3187,""))</f>
        <v/>
      </c>
    </row>
    <row r="3189">
      <c r="DB3189">
        <f>IF('История отказов'!AW792="","",'История отказов'!AW792)</f>
        <v/>
      </c>
      <c r="DL3189">
        <f>IF(DB3189="","",IF(AND(COUNTIF($DA$2:$DA$47,DB3189)=0,COUNTIF($DB$2:DB3189,DB3189)=1),3188,""))</f>
        <v/>
      </c>
    </row>
    <row r="3190">
      <c r="DB3190">
        <f>IF('История отказов'!AW793="","",'История отказов'!AW793)</f>
        <v/>
      </c>
      <c r="DL3190">
        <f>IF(DB3190="","",IF(AND(COUNTIF($DA$2:$DA$47,DB3190)=0,COUNTIF($DB$2:DB3190,DB3190)=1),3189,""))</f>
        <v/>
      </c>
    </row>
    <row r="3191">
      <c r="DB3191">
        <f>IF('История отказов'!AW794="","",'История отказов'!AW794)</f>
        <v/>
      </c>
      <c r="DL3191">
        <f>IF(DB3191="","",IF(AND(COUNTIF($DA$2:$DA$47,DB3191)=0,COUNTIF($DB$2:DB3191,DB3191)=1),3190,""))</f>
        <v/>
      </c>
    </row>
    <row r="3192">
      <c r="DB3192">
        <f>IF('История отказов'!AW795="","",'История отказов'!AW795)</f>
        <v/>
      </c>
      <c r="DL3192">
        <f>IF(DB3192="","",IF(AND(COUNTIF($DA$2:$DA$47,DB3192)=0,COUNTIF($DB$2:DB3192,DB3192)=1),3191,""))</f>
        <v/>
      </c>
    </row>
    <row r="3193">
      <c r="DB3193">
        <f>IF('История отказов'!AW796="","",'История отказов'!AW796)</f>
        <v/>
      </c>
      <c r="DL3193">
        <f>IF(DB3193="","",IF(AND(COUNTIF($DA$2:$DA$47,DB3193)=0,COUNTIF($DB$2:DB3193,DB3193)=1),3192,""))</f>
        <v/>
      </c>
    </row>
    <row r="3194">
      <c r="DB3194">
        <f>IF('История отказов'!AW797="","",'История отказов'!AW797)</f>
        <v/>
      </c>
      <c r="DL3194">
        <f>IF(DB3194="","",IF(AND(COUNTIF($DA$2:$DA$47,DB3194)=0,COUNTIF($DB$2:DB3194,DB3194)=1),3193,""))</f>
        <v/>
      </c>
    </row>
    <row r="3195">
      <c r="DB3195">
        <f>IF('История отказов'!AW798="","",'История отказов'!AW798)</f>
        <v/>
      </c>
      <c r="DL3195">
        <f>IF(DB3195="","",IF(AND(COUNTIF($DA$2:$DA$47,DB3195)=0,COUNTIF($DB$2:DB3195,DB3195)=1),3194,""))</f>
        <v/>
      </c>
    </row>
    <row r="3196">
      <c r="DB3196">
        <f>IF('История отказов'!AW799="","",'История отказов'!AW799)</f>
        <v/>
      </c>
      <c r="DL3196">
        <f>IF(DB3196="","",IF(AND(COUNTIF($DA$2:$DA$47,DB3196)=0,COUNTIF($DB$2:DB3196,DB3196)=1),3195,""))</f>
        <v/>
      </c>
    </row>
    <row r="3197">
      <c r="DB3197">
        <f>IF('История отказов'!AW800="","",'История отказов'!AW800)</f>
        <v/>
      </c>
      <c r="DL3197">
        <f>IF(DB3197="","",IF(AND(COUNTIF($DA$2:$DA$47,DB3197)=0,COUNTIF($DB$2:DB3197,DB3197)=1),3196,""))</f>
        <v/>
      </c>
    </row>
    <row r="3198">
      <c r="DB3198">
        <f>IF('История отказов'!AW801="","",'История отказов'!AW801)</f>
        <v/>
      </c>
      <c r="DL3198">
        <f>IF(DB3198="","",IF(AND(COUNTIF($DA$2:$DA$47,DB3198)=0,COUNTIF($DB$2:DB3198,DB3198)=1),3197,""))</f>
        <v/>
      </c>
    </row>
    <row r="3199">
      <c r="DB3199">
        <f>IF('История отказов'!AW802="","",'История отказов'!AW802)</f>
        <v/>
      </c>
      <c r="DL3199">
        <f>IF(DB3199="","",IF(AND(COUNTIF($DA$2:$DA$47,DB3199)=0,COUNTIF($DB$2:DB3199,DB3199)=1),3198,""))</f>
        <v/>
      </c>
    </row>
    <row r="3200">
      <c r="DB3200">
        <f>IF('История отказов'!AW803="","",'История отказов'!AW803)</f>
        <v/>
      </c>
      <c r="DL3200">
        <f>IF(DB3200="","",IF(AND(COUNTIF($DA$2:$DA$47,DB3200)=0,COUNTIF($DB$2:DB3200,DB3200)=1),3199,""))</f>
        <v/>
      </c>
    </row>
    <row r="3201">
      <c r="DB3201">
        <f>IF('История отказов'!AW804="","",'История отказов'!AW804)</f>
        <v/>
      </c>
      <c r="DL3201">
        <f>IF(DB3201="","",IF(AND(COUNTIF($DA$2:$DA$47,DB3201)=0,COUNTIF($DB$2:DB3201,DB3201)=1),3200,""))</f>
        <v/>
      </c>
    </row>
    <row r="3202">
      <c r="DB3202">
        <f>IF('История отказов'!AW805="","",'История отказов'!AW805)</f>
        <v/>
      </c>
      <c r="DL3202">
        <f>IF(DB3202="","",IF(AND(COUNTIF($DA$2:$DA$47,DB3202)=0,COUNTIF($DB$2:DB3202,DB3202)=1),3201,""))</f>
        <v/>
      </c>
    </row>
    <row r="3203">
      <c r="DB3203">
        <f>IF('История отказов'!AW806="","",'История отказов'!AW806)</f>
        <v/>
      </c>
      <c r="DL3203">
        <f>IF(DB3203="","",IF(AND(COUNTIF($DA$2:$DA$47,DB3203)=0,COUNTIF($DB$2:DB3203,DB3203)=1),3202,""))</f>
        <v/>
      </c>
    </row>
    <row r="3204">
      <c r="DB3204">
        <f>IF('История отказов'!AW807="","",'История отказов'!AW807)</f>
        <v/>
      </c>
      <c r="DL3204">
        <f>IF(DB3204="","",IF(AND(COUNTIF($DA$2:$DA$47,DB3204)=0,COUNTIF($DB$2:DB3204,DB3204)=1),3203,""))</f>
        <v/>
      </c>
    </row>
    <row r="3205">
      <c r="DB3205">
        <f>IF('История отказов'!AW808="","",'История отказов'!AW808)</f>
        <v/>
      </c>
      <c r="DL3205">
        <f>IF(DB3205="","",IF(AND(COUNTIF($DA$2:$DA$47,DB3205)=0,COUNTIF($DB$2:DB3205,DB3205)=1),3204,""))</f>
        <v/>
      </c>
    </row>
    <row r="3206">
      <c r="DB3206">
        <f>IF('История отказов'!AW809="","",'История отказов'!AW809)</f>
        <v/>
      </c>
      <c r="DL3206">
        <f>IF(DB3206="","",IF(AND(COUNTIF($DA$2:$DA$47,DB3206)=0,COUNTIF($DB$2:DB3206,DB3206)=1),3205,""))</f>
        <v/>
      </c>
    </row>
    <row r="3207">
      <c r="DB3207">
        <f>IF('История отказов'!AW810="","",'История отказов'!AW810)</f>
        <v/>
      </c>
      <c r="DL3207">
        <f>IF(DB3207="","",IF(AND(COUNTIF($DA$2:$DA$47,DB3207)=0,COUNTIF($DB$2:DB3207,DB3207)=1),3206,""))</f>
        <v/>
      </c>
    </row>
    <row r="3208">
      <c r="DB3208">
        <f>IF('История отказов'!AW811="","",'История отказов'!AW811)</f>
        <v/>
      </c>
      <c r="DL3208">
        <f>IF(DB3208="","",IF(AND(COUNTIF($DA$2:$DA$47,DB3208)=0,COUNTIF($DB$2:DB3208,DB3208)=1),3207,""))</f>
        <v/>
      </c>
    </row>
    <row r="3209">
      <c r="DB3209">
        <f>IF('История отказов'!AW812="","",'История отказов'!AW812)</f>
        <v/>
      </c>
      <c r="DL3209">
        <f>IF(DB3209="","",IF(AND(COUNTIF($DA$2:$DA$47,DB3209)=0,COUNTIF($DB$2:DB3209,DB3209)=1),3208,""))</f>
        <v/>
      </c>
    </row>
    <row r="3210">
      <c r="DB3210">
        <f>IF('История отказов'!AW813="","",'История отказов'!AW813)</f>
        <v/>
      </c>
      <c r="DL3210">
        <f>IF(DB3210="","",IF(AND(COUNTIF($DA$2:$DA$47,DB3210)=0,COUNTIF($DB$2:DB3210,DB3210)=1),3209,""))</f>
        <v/>
      </c>
    </row>
    <row r="3211">
      <c r="DB3211">
        <f>IF('История отказов'!AW814="","",'История отказов'!AW814)</f>
        <v/>
      </c>
      <c r="DL3211">
        <f>IF(DB3211="","",IF(AND(COUNTIF($DA$2:$DA$47,DB3211)=0,COUNTIF($DB$2:DB3211,DB3211)=1),3210,""))</f>
        <v/>
      </c>
    </row>
    <row r="3212">
      <c r="DB3212">
        <f>IF('История отказов'!AW815="","",'История отказов'!AW815)</f>
        <v/>
      </c>
      <c r="DL3212">
        <f>IF(DB3212="","",IF(AND(COUNTIF($DA$2:$DA$47,DB3212)=0,COUNTIF($DB$2:DB3212,DB3212)=1),3211,""))</f>
        <v/>
      </c>
    </row>
    <row r="3213">
      <c r="DB3213">
        <f>IF('История отказов'!AW816="","",'История отказов'!AW816)</f>
        <v/>
      </c>
      <c r="DL3213">
        <f>IF(DB3213="","",IF(AND(COUNTIF($DA$2:$DA$47,DB3213)=0,COUNTIF($DB$2:DB3213,DB3213)=1),3212,""))</f>
        <v/>
      </c>
    </row>
    <row r="3214">
      <c r="DB3214">
        <f>IF('История отказов'!AW817="","",'История отказов'!AW817)</f>
        <v/>
      </c>
      <c r="DL3214">
        <f>IF(DB3214="","",IF(AND(COUNTIF($DA$2:$DA$47,DB3214)=0,COUNTIF($DB$2:DB3214,DB3214)=1),3213,""))</f>
        <v/>
      </c>
    </row>
    <row r="3215">
      <c r="DB3215">
        <f>IF('История отказов'!AW818="","",'История отказов'!AW818)</f>
        <v/>
      </c>
      <c r="DL3215">
        <f>IF(DB3215="","",IF(AND(COUNTIF($DA$2:$DA$47,DB3215)=0,COUNTIF($DB$2:DB3215,DB3215)=1),3214,""))</f>
        <v/>
      </c>
    </row>
    <row r="3216">
      <c r="DB3216">
        <f>IF('История отказов'!AW819="","",'История отказов'!AW819)</f>
        <v/>
      </c>
      <c r="DL3216">
        <f>IF(DB3216="","",IF(AND(COUNTIF($DA$2:$DA$47,DB3216)=0,COUNTIF($DB$2:DB3216,DB3216)=1),3215,""))</f>
        <v/>
      </c>
    </row>
    <row r="3217">
      <c r="DB3217">
        <f>IF('История отказов'!AW820="","",'История отказов'!AW820)</f>
        <v/>
      </c>
      <c r="DL3217">
        <f>IF(DB3217="","",IF(AND(COUNTIF($DA$2:$DA$47,DB3217)=0,COUNTIF($DB$2:DB3217,DB3217)=1),3216,""))</f>
        <v/>
      </c>
    </row>
    <row r="3218">
      <c r="DB3218">
        <f>IF('История отказов'!AW821="","",'История отказов'!AW821)</f>
        <v/>
      </c>
      <c r="DL3218">
        <f>IF(DB3218="","",IF(AND(COUNTIF($DA$2:$DA$47,DB3218)=0,COUNTIF($DB$2:DB3218,DB3218)=1),3217,""))</f>
        <v/>
      </c>
    </row>
    <row r="3219">
      <c r="DB3219">
        <f>IF('История отказов'!AW822="","",'История отказов'!AW822)</f>
        <v/>
      </c>
      <c r="DL3219">
        <f>IF(DB3219="","",IF(AND(COUNTIF($DA$2:$DA$47,DB3219)=0,COUNTIF($DB$2:DB3219,DB3219)=1),3218,""))</f>
        <v/>
      </c>
    </row>
    <row r="3220">
      <c r="DB3220">
        <f>IF('История отказов'!AW823="","",'История отказов'!AW823)</f>
        <v/>
      </c>
      <c r="DL3220">
        <f>IF(DB3220="","",IF(AND(COUNTIF($DA$2:$DA$47,DB3220)=0,COUNTIF($DB$2:DB3220,DB3220)=1),3219,""))</f>
        <v/>
      </c>
    </row>
    <row r="3221">
      <c r="DB3221">
        <f>IF('История отказов'!AW824="","",'История отказов'!AW824)</f>
        <v/>
      </c>
      <c r="DL3221">
        <f>IF(DB3221="","",IF(AND(COUNTIF($DA$2:$DA$47,DB3221)=0,COUNTIF($DB$2:DB3221,DB3221)=1),3220,""))</f>
        <v/>
      </c>
    </row>
    <row r="3222">
      <c r="DB3222">
        <f>IF('История отказов'!AW825="","",'История отказов'!AW825)</f>
        <v/>
      </c>
      <c r="DL3222">
        <f>IF(DB3222="","",IF(AND(COUNTIF($DA$2:$DA$47,DB3222)=0,COUNTIF($DB$2:DB3222,DB3222)=1),3221,""))</f>
        <v/>
      </c>
    </row>
    <row r="3223">
      <c r="DB3223">
        <f>IF('История отказов'!AW826="","",'История отказов'!AW826)</f>
        <v/>
      </c>
      <c r="DL3223">
        <f>IF(DB3223="","",IF(AND(COUNTIF($DA$2:$DA$47,DB3223)=0,COUNTIF($DB$2:DB3223,DB3223)=1),3222,""))</f>
        <v/>
      </c>
    </row>
    <row r="3224">
      <c r="DB3224">
        <f>IF('История отказов'!AW827="","",'История отказов'!AW827)</f>
        <v/>
      </c>
      <c r="DL3224">
        <f>IF(DB3224="","",IF(AND(COUNTIF($DA$2:$DA$47,DB3224)=0,COUNTIF($DB$2:DB3224,DB3224)=1),3223,""))</f>
        <v/>
      </c>
    </row>
    <row r="3225">
      <c r="DB3225">
        <f>IF('История отказов'!AW828="","",'История отказов'!AW828)</f>
        <v/>
      </c>
      <c r="DL3225">
        <f>IF(DB3225="","",IF(AND(COUNTIF($DA$2:$DA$47,DB3225)=0,COUNTIF($DB$2:DB3225,DB3225)=1),3224,""))</f>
        <v/>
      </c>
    </row>
    <row r="3226">
      <c r="DB3226">
        <f>IF('История отказов'!AW829="","",'История отказов'!AW829)</f>
        <v/>
      </c>
      <c r="DL3226">
        <f>IF(DB3226="","",IF(AND(COUNTIF($DA$2:$DA$47,DB3226)=0,COUNTIF($DB$2:DB3226,DB3226)=1),3225,""))</f>
        <v/>
      </c>
    </row>
    <row r="3227">
      <c r="DB3227">
        <f>IF('История отказов'!AW830="","",'История отказов'!AW830)</f>
        <v/>
      </c>
      <c r="DL3227">
        <f>IF(DB3227="","",IF(AND(COUNTIF($DA$2:$DA$47,DB3227)=0,COUNTIF($DB$2:DB3227,DB3227)=1),3226,""))</f>
        <v/>
      </c>
    </row>
    <row r="3228">
      <c r="DB3228">
        <f>IF('История отказов'!AW831="","",'История отказов'!AW831)</f>
        <v/>
      </c>
      <c r="DL3228">
        <f>IF(DB3228="","",IF(AND(COUNTIF($DA$2:$DA$47,DB3228)=0,COUNTIF($DB$2:DB3228,DB3228)=1),3227,""))</f>
        <v/>
      </c>
    </row>
    <row r="3229">
      <c r="DB3229">
        <f>IF('История отказов'!AW832="","",'История отказов'!AW832)</f>
        <v/>
      </c>
      <c r="DL3229">
        <f>IF(DB3229="","",IF(AND(COUNTIF($DA$2:$DA$47,DB3229)=0,COUNTIF($DB$2:DB3229,DB3229)=1),3228,""))</f>
        <v/>
      </c>
    </row>
    <row r="3230">
      <c r="DB3230">
        <f>IF('История отказов'!AW833="","",'История отказов'!AW833)</f>
        <v/>
      </c>
      <c r="DL3230">
        <f>IF(DB3230="","",IF(AND(COUNTIF($DA$2:$DA$47,DB3230)=0,COUNTIF($DB$2:DB3230,DB3230)=1),3229,""))</f>
        <v/>
      </c>
    </row>
    <row r="3231">
      <c r="DB3231">
        <f>IF('История отказов'!AW834="","",'История отказов'!AW834)</f>
        <v/>
      </c>
      <c r="DL3231">
        <f>IF(DB3231="","",IF(AND(COUNTIF($DA$2:$DA$47,DB3231)=0,COUNTIF($DB$2:DB3231,DB3231)=1),3230,""))</f>
        <v/>
      </c>
    </row>
    <row r="3232">
      <c r="DB3232">
        <f>IF('История отказов'!AW835="","",'История отказов'!AW835)</f>
        <v/>
      </c>
      <c r="DL3232">
        <f>IF(DB3232="","",IF(AND(COUNTIF($DA$2:$DA$47,DB3232)=0,COUNTIF($DB$2:DB3232,DB3232)=1),3231,""))</f>
        <v/>
      </c>
    </row>
    <row r="3233">
      <c r="DB3233">
        <f>IF('История отказов'!AW836="","",'История отказов'!AW836)</f>
        <v/>
      </c>
      <c r="DL3233">
        <f>IF(DB3233="","",IF(AND(COUNTIF($DA$2:$DA$47,DB3233)=0,COUNTIF($DB$2:DB3233,DB3233)=1),3232,""))</f>
        <v/>
      </c>
    </row>
    <row r="3234">
      <c r="DB3234">
        <f>IF('История отказов'!AW837="","",'История отказов'!AW837)</f>
        <v/>
      </c>
      <c r="DL3234">
        <f>IF(DB3234="","",IF(AND(COUNTIF($DA$2:$DA$47,DB3234)=0,COUNTIF($DB$2:DB3234,DB3234)=1),3233,""))</f>
        <v/>
      </c>
    </row>
    <row r="3235">
      <c r="DB3235">
        <f>IF('История отказов'!AW838="","",'История отказов'!AW838)</f>
        <v/>
      </c>
      <c r="DL3235">
        <f>IF(DB3235="","",IF(AND(COUNTIF($DA$2:$DA$47,DB3235)=0,COUNTIF($DB$2:DB3235,DB3235)=1),3234,""))</f>
        <v/>
      </c>
    </row>
    <row r="3236">
      <c r="DB3236">
        <f>IF('История отказов'!AW839="","",'История отказов'!AW839)</f>
        <v/>
      </c>
      <c r="DL3236">
        <f>IF(DB3236="","",IF(AND(COUNTIF($DA$2:$DA$47,DB3236)=0,COUNTIF($DB$2:DB3236,DB3236)=1),3235,""))</f>
        <v/>
      </c>
    </row>
    <row r="3237">
      <c r="DB3237">
        <f>IF('История отказов'!AW840="","",'История отказов'!AW840)</f>
        <v/>
      </c>
      <c r="DL3237">
        <f>IF(DB3237="","",IF(AND(COUNTIF($DA$2:$DA$47,DB3237)=0,COUNTIF($DB$2:DB3237,DB3237)=1),3236,""))</f>
        <v/>
      </c>
    </row>
    <row r="3238">
      <c r="DB3238">
        <f>IF('История отказов'!AW841="","",'История отказов'!AW841)</f>
        <v/>
      </c>
      <c r="DL3238">
        <f>IF(DB3238="","",IF(AND(COUNTIF($DA$2:$DA$47,DB3238)=0,COUNTIF($DB$2:DB3238,DB3238)=1),3237,""))</f>
        <v/>
      </c>
    </row>
    <row r="3239">
      <c r="DB3239">
        <f>IF('История отказов'!AW842="","",'История отказов'!AW842)</f>
        <v/>
      </c>
      <c r="DL3239">
        <f>IF(DB3239="","",IF(AND(COUNTIF($DA$2:$DA$47,DB3239)=0,COUNTIF($DB$2:DB3239,DB3239)=1),3238,""))</f>
        <v/>
      </c>
    </row>
    <row r="3240">
      <c r="DB3240">
        <f>IF('История отказов'!AW843="","",'История отказов'!AW843)</f>
        <v/>
      </c>
      <c r="DL3240">
        <f>IF(DB3240="","",IF(AND(COUNTIF($DA$2:$DA$47,DB3240)=0,COUNTIF($DB$2:DB3240,DB3240)=1),3239,""))</f>
        <v/>
      </c>
    </row>
    <row r="3241">
      <c r="DB3241">
        <f>IF('История отказов'!AW844="","",'История отказов'!AW844)</f>
        <v/>
      </c>
      <c r="DL3241">
        <f>IF(DB3241="","",IF(AND(COUNTIF($DA$2:$DA$47,DB3241)=0,COUNTIF($DB$2:DB3241,DB3241)=1),3240,""))</f>
        <v/>
      </c>
    </row>
    <row r="3242">
      <c r="DB3242">
        <f>IF('История отказов'!AW845="","",'История отказов'!AW845)</f>
        <v/>
      </c>
      <c r="DL3242">
        <f>IF(DB3242="","",IF(AND(COUNTIF($DA$2:$DA$47,DB3242)=0,COUNTIF($DB$2:DB3242,DB3242)=1),3241,""))</f>
        <v/>
      </c>
    </row>
    <row r="3243">
      <c r="DB3243">
        <f>IF('История отказов'!AW846="","",'История отказов'!AW846)</f>
        <v/>
      </c>
      <c r="DL3243">
        <f>IF(DB3243="","",IF(AND(COUNTIF($DA$2:$DA$47,DB3243)=0,COUNTIF($DB$2:DB3243,DB3243)=1),3242,""))</f>
        <v/>
      </c>
    </row>
    <row r="3244">
      <c r="DB3244">
        <f>IF('История отказов'!AW847="","",'История отказов'!AW847)</f>
        <v/>
      </c>
      <c r="DL3244">
        <f>IF(DB3244="","",IF(AND(COUNTIF($DA$2:$DA$47,DB3244)=0,COUNTIF($DB$2:DB3244,DB3244)=1),3243,""))</f>
        <v/>
      </c>
    </row>
    <row r="3245">
      <c r="DB3245">
        <f>IF('История отказов'!AW848="","",'История отказов'!AW848)</f>
        <v/>
      </c>
      <c r="DL3245">
        <f>IF(DB3245="","",IF(AND(COUNTIF($DA$2:$DA$47,DB3245)=0,COUNTIF($DB$2:DB3245,DB3245)=1),3244,""))</f>
        <v/>
      </c>
    </row>
    <row r="3246">
      <c r="DB3246">
        <f>IF('История отказов'!AW849="","",'История отказов'!AW849)</f>
        <v/>
      </c>
      <c r="DL3246">
        <f>IF(DB3246="","",IF(AND(COUNTIF($DA$2:$DA$47,DB3246)=0,COUNTIF($DB$2:DB3246,DB3246)=1),3245,""))</f>
        <v/>
      </c>
    </row>
    <row r="3247">
      <c r="DB3247">
        <f>IF('История отказов'!AW850="","",'История отказов'!AW850)</f>
        <v/>
      </c>
      <c r="DL3247">
        <f>IF(DB3247="","",IF(AND(COUNTIF($DA$2:$DA$47,DB3247)=0,COUNTIF($DB$2:DB3247,DB3247)=1),3246,""))</f>
        <v/>
      </c>
    </row>
    <row r="3248">
      <c r="DB3248">
        <f>IF('История отказов'!AW851="","",'История отказов'!AW851)</f>
        <v/>
      </c>
      <c r="DL3248">
        <f>IF(DB3248="","",IF(AND(COUNTIF($DA$2:$DA$47,DB3248)=0,COUNTIF($DB$2:DB3248,DB3248)=1),3247,""))</f>
        <v/>
      </c>
    </row>
    <row r="3249">
      <c r="DB3249">
        <f>IF('История отказов'!AW852="","",'История отказов'!AW852)</f>
        <v/>
      </c>
      <c r="DL3249">
        <f>IF(DB3249="","",IF(AND(COUNTIF($DA$2:$DA$47,DB3249)=0,COUNTIF($DB$2:DB3249,DB3249)=1),3248,""))</f>
        <v/>
      </c>
    </row>
    <row r="3250">
      <c r="DB3250">
        <f>IF('История отказов'!AW853="","",'История отказов'!AW853)</f>
        <v/>
      </c>
      <c r="DL3250">
        <f>IF(DB3250="","",IF(AND(COUNTIF($DA$2:$DA$47,DB3250)=0,COUNTIF($DB$2:DB3250,DB3250)=1),3249,""))</f>
        <v/>
      </c>
    </row>
    <row r="3251">
      <c r="DB3251">
        <f>IF('История отказов'!AW854="","",'История отказов'!AW854)</f>
        <v/>
      </c>
      <c r="DL3251">
        <f>IF(DB3251="","",IF(AND(COUNTIF($DA$2:$DA$47,DB3251)=0,COUNTIF($DB$2:DB3251,DB3251)=1),3250,""))</f>
        <v/>
      </c>
    </row>
    <row r="3252">
      <c r="DB3252">
        <f>IF('История отказов'!AW855="","",'История отказов'!AW855)</f>
        <v/>
      </c>
      <c r="DL3252">
        <f>IF(DB3252="","",IF(AND(COUNTIF($DA$2:$DA$47,DB3252)=0,COUNTIF($DB$2:DB3252,DB3252)=1),3251,""))</f>
        <v/>
      </c>
    </row>
    <row r="3253">
      <c r="DB3253">
        <f>IF('История отказов'!AW856="","",'История отказов'!AW856)</f>
        <v/>
      </c>
      <c r="DL3253">
        <f>IF(DB3253="","",IF(AND(COUNTIF($DA$2:$DA$47,DB3253)=0,COUNTIF($DB$2:DB3253,DB3253)=1),3252,""))</f>
        <v/>
      </c>
    </row>
    <row r="3254">
      <c r="DB3254">
        <f>IF('История отказов'!AW857="","",'История отказов'!AW857)</f>
        <v/>
      </c>
      <c r="DL3254">
        <f>IF(DB3254="","",IF(AND(COUNTIF($DA$2:$DA$47,DB3254)=0,COUNTIF($DB$2:DB3254,DB3254)=1),3253,""))</f>
        <v/>
      </c>
    </row>
    <row r="3255">
      <c r="DB3255">
        <f>IF('История отказов'!AW858="","",'История отказов'!AW858)</f>
        <v/>
      </c>
      <c r="DL3255">
        <f>IF(DB3255="","",IF(AND(COUNTIF($DA$2:$DA$47,DB3255)=0,COUNTIF($DB$2:DB3255,DB3255)=1),3254,""))</f>
        <v/>
      </c>
    </row>
    <row r="3256">
      <c r="DB3256">
        <f>IF('История отказов'!AW859="","",'История отказов'!AW859)</f>
        <v/>
      </c>
      <c r="DL3256">
        <f>IF(DB3256="","",IF(AND(COUNTIF($DA$2:$DA$47,DB3256)=0,COUNTIF($DB$2:DB3256,DB3256)=1),3255,""))</f>
        <v/>
      </c>
    </row>
    <row r="3257">
      <c r="DB3257">
        <f>IF('История отказов'!AW860="","",'История отказов'!AW860)</f>
        <v/>
      </c>
      <c r="DL3257">
        <f>IF(DB3257="","",IF(AND(COUNTIF($DA$2:$DA$47,DB3257)=0,COUNTIF($DB$2:DB3257,DB3257)=1),3256,""))</f>
        <v/>
      </c>
    </row>
    <row r="3258">
      <c r="DB3258">
        <f>IF('История отказов'!AW861="","",'История отказов'!AW861)</f>
        <v/>
      </c>
      <c r="DL3258">
        <f>IF(DB3258="","",IF(AND(COUNTIF($DA$2:$DA$47,DB3258)=0,COUNTIF($DB$2:DB3258,DB3258)=1),3257,""))</f>
        <v/>
      </c>
    </row>
    <row r="3259">
      <c r="DB3259">
        <f>IF('История отказов'!AW862="","",'История отказов'!AW862)</f>
        <v/>
      </c>
      <c r="DL3259">
        <f>IF(DB3259="","",IF(AND(COUNTIF($DA$2:$DA$47,DB3259)=0,COUNTIF($DB$2:DB3259,DB3259)=1),3258,""))</f>
        <v/>
      </c>
    </row>
    <row r="3260">
      <c r="DB3260">
        <f>IF('История отказов'!AW863="","",'История отказов'!AW863)</f>
        <v/>
      </c>
      <c r="DL3260">
        <f>IF(DB3260="","",IF(AND(COUNTIF($DA$2:$DA$47,DB3260)=0,COUNTIF($DB$2:DB3260,DB3260)=1),3259,""))</f>
        <v/>
      </c>
    </row>
    <row r="3261">
      <c r="DB3261">
        <f>IF('История отказов'!AW864="","",'История отказов'!AW864)</f>
        <v/>
      </c>
      <c r="DL3261">
        <f>IF(DB3261="","",IF(AND(COUNTIF($DA$2:$DA$47,DB3261)=0,COUNTIF($DB$2:DB3261,DB3261)=1),3260,""))</f>
        <v/>
      </c>
    </row>
    <row r="3262">
      <c r="DB3262">
        <f>IF('История отказов'!AW865="","",'История отказов'!AW865)</f>
        <v/>
      </c>
      <c r="DL3262">
        <f>IF(DB3262="","",IF(AND(COUNTIF($DA$2:$DA$47,DB3262)=0,COUNTIF($DB$2:DB3262,DB3262)=1),3261,""))</f>
        <v/>
      </c>
    </row>
    <row r="3263">
      <c r="DB3263">
        <f>IF('История отказов'!AW866="","",'История отказов'!AW866)</f>
        <v/>
      </c>
      <c r="DL3263">
        <f>IF(DB3263="","",IF(AND(COUNTIF($DA$2:$DA$47,DB3263)=0,COUNTIF($DB$2:DB3263,DB3263)=1),3262,""))</f>
        <v/>
      </c>
    </row>
    <row r="3264">
      <c r="DB3264">
        <f>IF('История отказов'!AW867="","",'История отказов'!AW867)</f>
        <v/>
      </c>
      <c r="DL3264">
        <f>IF(DB3264="","",IF(AND(COUNTIF($DA$2:$DA$47,DB3264)=0,COUNTIF($DB$2:DB3264,DB3264)=1),3263,""))</f>
        <v/>
      </c>
    </row>
    <row r="3265">
      <c r="DB3265">
        <f>IF('История отказов'!AW868="","",'История отказов'!AW868)</f>
        <v/>
      </c>
      <c r="DL3265">
        <f>IF(DB3265="","",IF(AND(COUNTIF($DA$2:$DA$47,DB3265)=0,COUNTIF($DB$2:DB3265,DB3265)=1),3264,""))</f>
        <v/>
      </c>
    </row>
    <row r="3266">
      <c r="DB3266">
        <f>IF('История отказов'!AW869="","",'История отказов'!AW869)</f>
        <v/>
      </c>
      <c r="DL3266">
        <f>IF(DB3266="","",IF(AND(COUNTIF($DA$2:$DA$47,DB3266)=0,COUNTIF($DB$2:DB3266,DB3266)=1),3265,""))</f>
        <v/>
      </c>
    </row>
    <row r="3267">
      <c r="DB3267">
        <f>IF('История отказов'!AW870="","",'История отказов'!AW870)</f>
        <v/>
      </c>
      <c r="DL3267">
        <f>IF(DB3267="","",IF(AND(COUNTIF($DA$2:$DA$47,DB3267)=0,COUNTIF($DB$2:DB3267,DB3267)=1),3266,""))</f>
        <v/>
      </c>
    </row>
    <row r="3268">
      <c r="DB3268">
        <f>IF('История отказов'!AW871="","",'История отказов'!AW871)</f>
        <v/>
      </c>
      <c r="DL3268">
        <f>IF(DB3268="","",IF(AND(COUNTIF($DA$2:$DA$47,DB3268)=0,COUNTIF($DB$2:DB3268,DB3268)=1),3267,""))</f>
        <v/>
      </c>
    </row>
    <row r="3269">
      <c r="DB3269">
        <f>IF('История отказов'!AW872="","",'История отказов'!AW872)</f>
        <v/>
      </c>
      <c r="DL3269">
        <f>IF(DB3269="","",IF(AND(COUNTIF($DA$2:$DA$47,DB3269)=0,COUNTIF($DB$2:DB3269,DB3269)=1),3268,""))</f>
        <v/>
      </c>
    </row>
    <row r="3270">
      <c r="DB3270">
        <f>IF('История отказов'!AW873="","",'История отказов'!AW873)</f>
        <v/>
      </c>
      <c r="DL3270">
        <f>IF(DB3270="","",IF(AND(COUNTIF($DA$2:$DA$47,DB3270)=0,COUNTIF($DB$2:DB3270,DB3270)=1),3269,""))</f>
        <v/>
      </c>
    </row>
    <row r="3271">
      <c r="DB3271">
        <f>IF('История отказов'!AW874="","",'История отказов'!AW874)</f>
        <v/>
      </c>
      <c r="DL3271">
        <f>IF(DB3271="","",IF(AND(COUNTIF($DA$2:$DA$47,DB3271)=0,COUNTIF($DB$2:DB3271,DB3271)=1),3270,""))</f>
        <v/>
      </c>
    </row>
    <row r="3272">
      <c r="DB3272">
        <f>IF('История отказов'!AW875="","",'История отказов'!AW875)</f>
        <v/>
      </c>
      <c r="DL3272">
        <f>IF(DB3272="","",IF(AND(COUNTIF($DA$2:$DA$47,DB3272)=0,COUNTIF($DB$2:DB3272,DB3272)=1),3271,""))</f>
        <v/>
      </c>
    </row>
    <row r="3273">
      <c r="DB3273">
        <f>IF('История отказов'!AW876="","",'История отказов'!AW876)</f>
        <v/>
      </c>
      <c r="DL3273">
        <f>IF(DB3273="","",IF(AND(COUNTIF($DA$2:$DA$47,DB3273)=0,COUNTIF($DB$2:DB3273,DB3273)=1),3272,""))</f>
        <v/>
      </c>
    </row>
    <row r="3274">
      <c r="DB3274">
        <f>IF('История отказов'!AW877="","",'История отказов'!AW877)</f>
        <v/>
      </c>
      <c r="DL3274">
        <f>IF(DB3274="","",IF(AND(COUNTIF($DA$2:$DA$47,DB3274)=0,COUNTIF($DB$2:DB3274,DB3274)=1),3273,""))</f>
        <v/>
      </c>
    </row>
    <row r="3275">
      <c r="DB3275">
        <f>IF('История отказов'!AW878="","",'История отказов'!AW878)</f>
        <v/>
      </c>
      <c r="DL3275">
        <f>IF(DB3275="","",IF(AND(COUNTIF($DA$2:$DA$47,DB3275)=0,COUNTIF($DB$2:DB3275,DB3275)=1),3274,""))</f>
        <v/>
      </c>
    </row>
    <row r="3276">
      <c r="DB3276">
        <f>IF('История отказов'!AW879="","",'История отказов'!AW879)</f>
        <v/>
      </c>
      <c r="DL3276">
        <f>IF(DB3276="","",IF(AND(COUNTIF($DA$2:$DA$47,DB3276)=0,COUNTIF($DB$2:DB3276,DB3276)=1),3275,""))</f>
        <v/>
      </c>
    </row>
    <row r="3277">
      <c r="DB3277">
        <f>IF('История отказов'!AW880="","",'История отказов'!AW880)</f>
        <v/>
      </c>
      <c r="DL3277">
        <f>IF(DB3277="","",IF(AND(COUNTIF($DA$2:$DA$47,DB3277)=0,COUNTIF($DB$2:DB3277,DB3277)=1),3276,""))</f>
        <v/>
      </c>
    </row>
    <row r="3278">
      <c r="DB3278">
        <f>IF('История отказов'!AW881="","",'История отказов'!AW881)</f>
        <v/>
      </c>
      <c r="DL3278">
        <f>IF(DB3278="","",IF(AND(COUNTIF($DA$2:$DA$47,DB3278)=0,COUNTIF($DB$2:DB3278,DB3278)=1),3277,""))</f>
        <v/>
      </c>
    </row>
    <row r="3279">
      <c r="DB3279">
        <f>IF('История отказов'!AW882="","",'История отказов'!AW882)</f>
        <v/>
      </c>
      <c r="DL3279">
        <f>IF(DB3279="","",IF(AND(COUNTIF($DA$2:$DA$47,DB3279)=0,COUNTIF($DB$2:DB3279,DB3279)=1),3278,""))</f>
        <v/>
      </c>
    </row>
    <row r="3280">
      <c r="DB3280">
        <f>IF('История отказов'!AW883="","",'История отказов'!AW883)</f>
        <v/>
      </c>
      <c r="DL3280">
        <f>IF(DB3280="","",IF(AND(COUNTIF($DA$2:$DA$47,DB3280)=0,COUNTIF($DB$2:DB3280,DB3280)=1),3279,""))</f>
        <v/>
      </c>
    </row>
    <row r="3281">
      <c r="DB3281">
        <f>IF('История отказов'!AW884="","",'История отказов'!AW884)</f>
        <v/>
      </c>
      <c r="DL3281">
        <f>IF(DB3281="","",IF(AND(COUNTIF($DA$2:$DA$47,DB3281)=0,COUNTIF($DB$2:DB3281,DB3281)=1),3280,""))</f>
        <v/>
      </c>
    </row>
    <row r="3282">
      <c r="DB3282">
        <f>IF('История отказов'!AW885="","",'История отказов'!AW885)</f>
        <v/>
      </c>
      <c r="DL3282">
        <f>IF(DB3282="","",IF(AND(COUNTIF($DA$2:$DA$47,DB3282)=0,COUNTIF($DB$2:DB3282,DB3282)=1),3281,""))</f>
        <v/>
      </c>
    </row>
    <row r="3283">
      <c r="DB3283">
        <f>IF('История отказов'!AW886="","",'История отказов'!AW886)</f>
        <v/>
      </c>
      <c r="DL3283">
        <f>IF(DB3283="","",IF(AND(COUNTIF($DA$2:$DA$47,DB3283)=0,COUNTIF($DB$2:DB3283,DB3283)=1),3282,""))</f>
        <v/>
      </c>
    </row>
    <row r="3284">
      <c r="DB3284">
        <f>IF('История отказов'!AW887="","",'История отказов'!AW887)</f>
        <v/>
      </c>
      <c r="DL3284">
        <f>IF(DB3284="","",IF(AND(COUNTIF($DA$2:$DA$47,DB3284)=0,COUNTIF($DB$2:DB3284,DB3284)=1),3283,""))</f>
        <v/>
      </c>
    </row>
    <row r="3285">
      <c r="DB3285">
        <f>IF('История отказов'!AW888="","",'История отказов'!AW888)</f>
        <v/>
      </c>
      <c r="DL3285">
        <f>IF(DB3285="","",IF(AND(COUNTIF($DA$2:$DA$47,DB3285)=0,COUNTIF($DB$2:DB3285,DB3285)=1),3284,""))</f>
        <v/>
      </c>
    </row>
    <row r="3286">
      <c r="DB3286">
        <f>IF('История отказов'!AW889="","",'История отказов'!AW889)</f>
        <v/>
      </c>
      <c r="DL3286">
        <f>IF(DB3286="","",IF(AND(COUNTIF($DA$2:$DA$47,DB3286)=0,COUNTIF($DB$2:DB3286,DB3286)=1),3285,""))</f>
        <v/>
      </c>
    </row>
    <row r="3287">
      <c r="DB3287">
        <f>IF('История отказов'!AW890="","",'История отказов'!AW890)</f>
        <v/>
      </c>
      <c r="DL3287">
        <f>IF(DB3287="","",IF(AND(COUNTIF($DA$2:$DA$47,DB3287)=0,COUNTIF($DB$2:DB3287,DB3287)=1),3286,""))</f>
        <v/>
      </c>
    </row>
    <row r="3288">
      <c r="DB3288">
        <f>IF('История отказов'!AW891="","",'История отказов'!AW891)</f>
        <v/>
      </c>
      <c r="DL3288">
        <f>IF(DB3288="","",IF(AND(COUNTIF($DA$2:$DA$47,DB3288)=0,COUNTIF($DB$2:DB3288,DB3288)=1),3287,""))</f>
        <v/>
      </c>
    </row>
    <row r="3289">
      <c r="DB3289">
        <f>IF('История отказов'!AW892="","",'История отказов'!AW892)</f>
        <v/>
      </c>
      <c r="DL3289">
        <f>IF(DB3289="","",IF(AND(COUNTIF($DA$2:$DA$47,DB3289)=0,COUNTIF($DB$2:DB3289,DB3289)=1),3288,""))</f>
        <v/>
      </c>
    </row>
    <row r="3290">
      <c r="DB3290">
        <f>IF('История отказов'!AW893="","",'История отказов'!AW893)</f>
        <v/>
      </c>
      <c r="DL3290">
        <f>IF(DB3290="","",IF(AND(COUNTIF($DA$2:$DA$47,DB3290)=0,COUNTIF($DB$2:DB3290,DB3290)=1),3289,""))</f>
        <v/>
      </c>
    </row>
    <row r="3291">
      <c r="DB3291">
        <f>IF('История отказов'!AW894="","",'История отказов'!AW894)</f>
        <v/>
      </c>
      <c r="DL3291">
        <f>IF(DB3291="","",IF(AND(COUNTIF($DA$2:$DA$47,DB3291)=0,COUNTIF($DB$2:DB3291,DB3291)=1),3290,""))</f>
        <v/>
      </c>
    </row>
    <row r="3292">
      <c r="DB3292">
        <f>IF('История отказов'!AW895="","",'История отказов'!AW895)</f>
        <v/>
      </c>
      <c r="DL3292">
        <f>IF(DB3292="","",IF(AND(COUNTIF($DA$2:$DA$47,DB3292)=0,COUNTIF($DB$2:DB3292,DB3292)=1),3291,""))</f>
        <v/>
      </c>
    </row>
    <row r="3293">
      <c r="DB3293">
        <f>IF('История отказов'!AW896="","",'История отказов'!AW896)</f>
        <v/>
      </c>
      <c r="DL3293">
        <f>IF(DB3293="","",IF(AND(COUNTIF($DA$2:$DA$47,DB3293)=0,COUNTIF($DB$2:DB3293,DB3293)=1),3292,""))</f>
        <v/>
      </c>
    </row>
    <row r="3294">
      <c r="DB3294">
        <f>IF('История отказов'!AW897="","",'История отказов'!AW897)</f>
        <v/>
      </c>
      <c r="DL3294">
        <f>IF(DB3294="","",IF(AND(COUNTIF($DA$2:$DA$47,DB3294)=0,COUNTIF($DB$2:DB3294,DB3294)=1),3293,""))</f>
        <v/>
      </c>
    </row>
    <row r="3295">
      <c r="DB3295">
        <f>IF('История отказов'!AW898="","",'История отказов'!AW898)</f>
        <v/>
      </c>
      <c r="DL3295">
        <f>IF(DB3295="","",IF(AND(COUNTIF($DA$2:$DA$47,DB3295)=0,COUNTIF($DB$2:DB3295,DB3295)=1),3294,""))</f>
        <v/>
      </c>
    </row>
    <row r="3296">
      <c r="DB3296">
        <f>IF('История отказов'!AW899="","",'История отказов'!AW899)</f>
        <v/>
      </c>
      <c r="DL3296">
        <f>IF(DB3296="","",IF(AND(COUNTIF($DA$2:$DA$47,DB3296)=0,COUNTIF($DB$2:DB3296,DB3296)=1),3295,""))</f>
        <v/>
      </c>
    </row>
    <row r="3297">
      <c r="DB3297">
        <f>IF('История отказов'!AW900="","",'История отказов'!AW900)</f>
        <v/>
      </c>
      <c r="DL3297">
        <f>IF(DB3297="","",IF(AND(COUNTIF($DA$2:$DA$47,DB3297)=0,COUNTIF($DB$2:DB3297,DB3297)=1),3296,""))</f>
        <v/>
      </c>
    </row>
    <row r="3298">
      <c r="DB3298">
        <f>IF('История отказов'!AW901="","",'История отказов'!AW901)</f>
        <v/>
      </c>
      <c r="DL3298">
        <f>IF(DB3298="","",IF(AND(COUNTIF($DA$2:$DA$47,DB3298)=0,COUNTIF($DB$2:DB3298,DB3298)=1),3297,""))</f>
        <v/>
      </c>
    </row>
    <row r="3299">
      <c r="DB3299">
        <f>IF('История отказов'!AW902="","",'История отказов'!AW902)</f>
        <v/>
      </c>
      <c r="DL3299">
        <f>IF(DB3299="","",IF(AND(COUNTIF($DA$2:$DA$47,DB3299)=0,COUNTIF($DB$2:DB3299,DB3299)=1),3298,""))</f>
        <v/>
      </c>
    </row>
    <row r="3300">
      <c r="DB3300">
        <f>IF('История отказов'!AW903="","",'История отказов'!AW903)</f>
        <v/>
      </c>
      <c r="DL3300">
        <f>IF(DB3300="","",IF(AND(COUNTIF($DA$2:$DA$47,DB3300)=0,COUNTIF($DB$2:DB3300,DB3300)=1),3299,""))</f>
        <v/>
      </c>
    </row>
    <row r="3301">
      <c r="DB3301">
        <f>IF('История отказов'!AW904="","",'История отказов'!AW904)</f>
        <v/>
      </c>
      <c r="DL3301">
        <f>IF(DB3301="","",IF(AND(COUNTIF($DA$2:$DA$47,DB3301)=0,COUNTIF($DB$2:DB3301,DB3301)=1),3300,""))</f>
        <v/>
      </c>
    </row>
    <row r="3302">
      <c r="DB3302">
        <f>IF('История отказов'!AW905="","",'История отказов'!AW905)</f>
        <v/>
      </c>
      <c r="DL3302">
        <f>IF(DB3302="","",IF(AND(COUNTIF($DA$2:$DA$47,DB3302)=0,COUNTIF($DB$2:DB3302,DB3302)=1),3301,""))</f>
        <v/>
      </c>
    </row>
    <row r="3303">
      <c r="DB3303">
        <f>IF('История отказов'!AW906="","",'История отказов'!AW906)</f>
        <v/>
      </c>
      <c r="DL3303">
        <f>IF(DB3303="","",IF(AND(COUNTIF($DA$2:$DA$47,DB3303)=0,COUNTIF($DB$2:DB3303,DB3303)=1),3302,""))</f>
        <v/>
      </c>
    </row>
    <row r="3304">
      <c r="DB3304">
        <f>IF('История отказов'!AW907="","",'История отказов'!AW907)</f>
        <v/>
      </c>
      <c r="DL3304">
        <f>IF(DB3304="","",IF(AND(COUNTIF($DA$2:$DA$47,DB3304)=0,COUNTIF($DB$2:DB3304,DB3304)=1),3303,""))</f>
        <v/>
      </c>
    </row>
    <row r="3305">
      <c r="DB3305">
        <f>IF('История отказов'!AW908="","",'История отказов'!AW908)</f>
        <v/>
      </c>
      <c r="DL3305">
        <f>IF(DB3305="","",IF(AND(COUNTIF($DA$2:$DA$47,DB3305)=0,COUNTIF($DB$2:DB3305,DB3305)=1),3304,""))</f>
        <v/>
      </c>
    </row>
    <row r="3306">
      <c r="DB3306">
        <f>IF('История отказов'!AW909="","",'История отказов'!AW909)</f>
        <v/>
      </c>
      <c r="DL3306">
        <f>IF(DB3306="","",IF(AND(COUNTIF($DA$2:$DA$47,DB3306)=0,COUNTIF($DB$2:DB3306,DB3306)=1),3305,""))</f>
        <v/>
      </c>
    </row>
    <row r="3307">
      <c r="DB3307">
        <f>IF('История отказов'!AW910="","",'История отказов'!AW910)</f>
        <v/>
      </c>
      <c r="DL3307">
        <f>IF(DB3307="","",IF(AND(COUNTIF($DA$2:$DA$47,DB3307)=0,COUNTIF($DB$2:DB3307,DB3307)=1),3306,""))</f>
        <v/>
      </c>
    </row>
    <row r="3308">
      <c r="DB3308">
        <f>IF('История отказов'!AW911="","",'История отказов'!AW911)</f>
        <v/>
      </c>
      <c r="DL3308">
        <f>IF(DB3308="","",IF(AND(COUNTIF($DA$2:$DA$47,DB3308)=0,COUNTIF($DB$2:DB3308,DB3308)=1),3307,""))</f>
        <v/>
      </c>
    </row>
    <row r="3309">
      <c r="DB3309">
        <f>IF('История отказов'!AW912="","",'История отказов'!AW912)</f>
        <v/>
      </c>
      <c r="DL3309">
        <f>IF(DB3309="","",IF(AND(COUNTIF($DA$2:$DA$47,DB3309)=0,COUNTIF($DB$2:DB3309,DB3309)=1),3308,""))</f>
        <v/>
      </c>
    </row>
    <row r="3310">
      <c r="DB3310">
        <f>IF('История отказов'!AW913="","",'История отказов'!AW913)</f>
        <v/>
      </c>
      <c r="DL3310">
        <f>IF(DB3310="","",IF(AND(COUNTIF($DA$2:$DA$47,DB3310)=0,COUNTIF($DB$2:DB3310,DB3310)=1),3309,""))</f>
        <v/>
      </c>
    </row>
    <row r="3311">
      <c r="DB3311">
        <f>IF('История отказов'!AW914="","",'История отказов'!AW914)</f>
        <v/>
      </c>
      <c r="DL3311">
        <f>IF(DB3311="","",IF(AND(COUNTIF($DA$2:$DA$47,DB3311)=0,COUNTIF($DB$2:DB3311,DB3311)=1),3310,""))</f>
        <v/>
      </c>
    </row>
    <row r="3312">
      <c r="DB3312">
        <f>IF('История отказов'!AW915="","",'История отказов'!AW915)</f>
        <v/>
      </c>
      <c r="DL3312">
        <f>IF(DB3312="","",IF(AND(COUNTIF($DA$2:$DA$47,DB3312)=0,COUNTIF($DB$2:DB3312,DB3312)=1),3311,""))</f>
        <v/>
      </c>
    </row>
    <row r="3313">
      <c r="DB3313">
        <f>IF('История отказов'!AW916="","",'История отказов'!AW916)</f>
        <v/>
      </c>
      <c r="DL3313">
        <f>IF(DB3313="","",IF(AND(COUNTIF($DA$2:$DA$47,DB3313)=0,COUNTIF($DB$2:DB3313,DB3313)=1),3312,""))</f>
        <v/>
      </c>
    </row>
    <row r="3314">
      <c r="DB3314">
        <f>IF('История отказов'!AW917="","",'История отказов'!AW917)</f>
        <v/>
      </c>
      <c r="DL3314">
        <f>IF(DB3314="","",IF(AND(COUNTIF($DA$2:$DA$47,DB3314)=0,COUNTIF($DB$2:DB3314,DB3314)=1),3313,""))</f>
        <v/>
      </c>
    </row>
    <row r="3315">
      <c r="DB3315">
        <f>IF('История отказов'!AW918="","",'История отказов'!AW918)</f>
        <v/>
      </c>
      <c r="DL3315">
        <f>IF(DB3315="","",IF(AND(COUNTIF($DA$2:$DA$47,DB3315)=0,COUNTIF($DB$2:DB3315,DB3315)=1),3314,""))</f>
        <v/>
      </c>
    </row>
    <row r="3316">
      <c r="DB3316">
        <f>IF('История отказов'!AW919="","",'История отказов'!AW919)</f>
        <v/>
      </c>
      <c r="DL3316">
        <f>IF(DB3316="","",IF(AND(COUNTIF($DA$2:$DA$47,DB3316)=0,COUNTIF($DB$2:DB3316,DB3316)=1),3315,""))</f>
        <v/>
      </c>
    </row>
    <row r="3317">
      <c r="DB3317">
        <f>IF('История отказов'!AW920="","",'История отказов'!AW920)</f>
        <v/>
      </c>
      <c r="DL3317">
        <f>IF(DB3317="","",IF(AND(COUNTIF($DA$2:$DA$47,DB3317)=0,COUNTIF($DB$2:DB3317,DB3317)=1),3316,""))</f>
        <v/>
      </c>
    </row>
    <row r="3318">
      <c r="DB3318">
        <f>IF('История отказов'!AW921="","",'История отказов'!AW921)</f>
        <v/>
      </c>
      <c r="DL3318">
        <f>IF(DB3318="","",IF(AND(COUNTIF($DA$2:$DA$47,DB3318)=0,COUNTIF($DB$2:DB3318,DB3318)=1),3317,""))</f>
        <v/>
      </c>
    </row>
    <row r="3319">
      <c r="DB3319">
        <f>IF('История отказов'!AW922="","",'История отказов'!AW922)</f>
        <v/>
      </c>
      <c r="DL3319">
        <f>IF(DB3319="","",IF(AND(COUNTIF($DA$2:$DA$47,DB3319)=0,COUNTIF($DB$2:DB3319,DB3319)=1),3318,""))</f>
        <v/>
      </c>
    </row>
    <row r="3320">
      <c r="DB3320">
        <f>IF('История отказов'!AW923="","",'История отказов'!AW923)</f>
        <v/>
      </c>
      <c r="DL3320">
        <f>IF(DB3320="","",IF(AND(COUNTIF($DA$2:$DA$47,DB3320)=0,COUNTIF($DB$2:DB3320,DB3320)=1),3319,""))</f>
        <v/>
      </c>
    </row>
    <row r="3321">
      <c r="DB3321">
        <f>IF('История отказов'!AW924="","",'История отказов'!AW924)</f>
        <v/>
      </c>
      <c r="DL3321">
        <f>IF(DB3321="","",IF(AND(COUNTIF($DA$2:$DA$47,DB3321)=0,COUNTIF($DB$2:DB3321,DB3321)=1),3320,""))</f>
        <v/>
      </c>
    </row>
    <row r="3322">
      <c r="DB3322">
        <f>IF('История отказов'!AW925="","",'История отказов'!AW925)</f>
        <v/>
      </c>
      <c r="DL3322">
        <f>IF(DB3322="","",IF(AND(COUNTIF($DA$2:$DA$47,DB3322)=0,COUNTIF($DB$2:DB3322,DB3322)=1),3321,""))</f>
        <v/>
      </c>
    </row>
    <row r="3323">
      <c r="DB3323">
        <f>IF('История отказов'!AW926="","",'История отказов'!AW926)</f>
        <v/>
      </c>
      <c r="DL3323">
        <f>IF(DB3323="","",IF(AND(COUNTIF($DA$2:$DA$47,DB3323)=0,COUNTIF($DB$2:DB3323,DB3323)=1),3322,""))</f>
        <v/>
      </c>
    </row>
    <row r="3324">
      <c r="DB3324">
        <f>IF('История отказов'!AW927="","",'История отказов'!AW927)</f>
        <v/>
      </c>
      <c r="DL3324">
        <f>IF(DB3324="","",IF(AND(COUNTIF($DA$2:$DA$47,DB3324)=0,COUNTIF($DB$2:DB3324,DB3324)=1),3323,""))</f>
        <v/>
      </c>
    </row>
    <row r="3325">
      <c r="DB3325">
        <f>IF('История отказов'!AW928="","",'История отказов'!AW928)</f>
        <v/>
      </c>
      <c r="DL3325">
        <f>IF(DB3325="","",IF(AND(COUNTIF($DA$2:$DA$47,DB3325)=0,COUNTIF($DB$2:DB3325,DB3325)=1),3324,""))</f>
        <v/>
      </c>
    </row>
    <row r="3326">
      <c r="DB3326">
        <f>IF('История отказов'!AW929="","",'История отказов'!AW929)</f>
        <v/>
      </c>
      <c r="DL3326">
        <f>IF(DB3326="","",IF(AND(COUNTIF($DA$2:$DA$47,DB3326)=0,COUNTIF($DB$2:DB3326,DB3326)=1),3325,""))</f>
        <v/>
      </c>
    </row>
    <row r="3327">
      <c r="DB3327">
        <f>IF('История отказов'!AW930="","",'История отказов'!AW930)</f>
        <v/>
      </c>
      <c r="DL3327">
        <f>IF(DB3327="","",IF(AND(COUNTIF($DA$2:$DA$47,DB3327)=0,COUNTIF($DB$2:DB3327,DB3327)=1),3326,""))</f>
        <v/>
      </c>
    </row>
    <row r="3328">
      <c r="DB3328">
        <f>IF('История отказов'!AW931="","",'История отказов'!AW931)</f>
        <v/>
      </c>
      <c r="DL3328">
        <f>IF(DB3328="","",IF(AND(COUNTIF($DA$2:$DA$47,DB3328)=0,COUNTIF($DB$2:DB3328,DB3328)=1),3327,""))</f>
        <v/>
      </c>
    </row>
    <row r="3329">
      <c r="DB3329">
        <f>IF('История отказов'!AW932="","",'История отказов'!AW932)</f>
        <v/>
      </c>
      <c r="DL3329">
        <f>IF(DB3329="","",IF(AND(COUNTIF($DA$2:$DA$47,DB3329)=0,COUNTIF($DB$2:DB3329,DB3329)=1),3328,""))</f>
        <v/>
      </c>
    </row>
    <row r="3330">
      <c r="DB3330">
        <f>IF('История отказов'!AW933="","",'История отказов'!AW933)</f>
        <v/>
      </c>
      <c r="DL3330">
        <f>IF(DB3330="","",IF(AND(COUNTIF($DA$2:$DA$47,DB3330)=0,COUNTIF($DB$2:DB3330,DB3330)=1),3329,""))</f>
        <v/>
      </c>
    </row>
    <row r="3331">
      <c r="DB3331">
        <f>IF('История отказов'!AW934="","",'История отказов'!AW934)</f>
        <v/>
      </c>
      <c r="DL3331">
        <f>IF(DB3331="","",IF(AND(COUNTIF($DA$2:$DA$47,DB3331)=0,COUNTIF($DB$2:DB3331,DB3331)=1),3330,""))</f>
        <v/>
      </c>
    </row>
    <row r="3332">
      <c r="DB3332">
        <f>IF('История отказов'!AW935="","",'История отказов'!AW935)</f>
        <v/>
      </c>
      <c r="DL3332">
        <f>IF(DB3332="","",IF(AND(COUNTIF($DA$2:$DA$47,DB3332)=0,COUNTIF($DB$2:DB3332,DB3332)=1),3331,""))</f>
        <v/>
      </c>
    </row>
    <row r="3333">
      <c r="DB3333">
        <f>IF('История отказов'!AW936="","",'История отказов'!AW936)</f>
        <v/>
      </c>
      <c r="DL3333">
        <f>IF(DB3333="","",IF(AND(COUNTIF($DA$2:$DA$47,DB3333)=0,COUNTIF($DB$2:DB3333,DB3333)=1),3332,""))</f>
        <v/>
      </c>
    </row>
    <row r="3334">
      <c r="DB3334">
        <f>IF('История отказов'!AW937="","",'История отказов'!AW937)</f>
        <v/>
      </c>
      <c r="DL3334">
        <f>IF(DB3334="","",IF(AND(COUNTIF($DA$2:$DA$47,DB3334)=0,COUNTIF($DB$2:DB3334,DB3334)=1),3333,""))</f>
        <v/>
      </c>
    </row>
    <row r="3335">
      <c r="DB3335">
        <f>IF('История отказов'!AW938="","",'История отказов'!AW938)</f>
        <v/>
      </c>
      <c r="DL3335">
        <f>IF(DB3335="","",IF(AND(COUNTIF($DA$2:$DA$47,DB3335)=0,COUNTIF($DB$2:DB3335,DB3335)=1),3334,""))</f>
        <v/>
      </c>
    </row>
    <row r="3336">
      <c r="DB3336">
        <f>IF('История отказов'!AW939="","",'История отказов'!AW939)</f>
        <v/>
      </c>
      <c r="DL3336">
        <f>IF(DB3336="","",IF(AND(COUNTIF($DA$2:$DA$47,DB3336)=0,COUNTIF($DB$2:DB3336,DB3336)=1),3335,""))</f>
        <v/>
      </c>
    </row>
    <row r="3337">
      <c r="DB3337">
        <f>IF('История отказов'!AW940="","",'История отказов'!AW940)</f>
        <v/>
      </c>
      <c r="DL3337">
        <f>IF(DB3337="","",IF(AND(COUNTIF($DA$2:$DA$47,DB3337)=0,COUNTIF($DB$2:DB3337,DB3337)=1),3336,""))</f>
        <v/>
      </c>
    </row>
    <row r="3338">
      <c r="DB3338">
        <f>IF('История отказов'!AW941="","",'История отказов'!AW941)</f>
        <v/>
      </c>
      <c r="DL3338">
        <f>IF(DB3338="","",IF(AND(COUNTIF($DA$2:$DA$47,DB3338)=0,COUNTIF($DB$2:DB3338,DB3338)=1),3337,""))</f>
        <v/>
      </c>
    </row>
    <row r="3339">
      <c r="DB3339">
        <f>IF('История отказов'!AW942="","",'История отказов'!AW942)</f>
        <v/>
      </c>
      <c r="DL3339">
        <f>IF(DB3339="","",IF(AND(COUNTIF($DA$2:$DA$47,DB3339)=0,COUNTIF($DB$2:DB3339,DB3339)=1),3338,""))</f>
        <v/>
      </c>
    </row>
    <row r="3340">
      <c r="DB3340">
        <f>IF('История отказов'!AW943="","",'История отказов'!AW943)</f>
        <v/>
      </c>
      <c r="DL3340">
        <f>IF(DB3340="","",IF(AND(COUNTIF($DA$2:$DA$47,DB3340)=0,COUNTIF($DB$2:DB3340,DB3340)=1),3339,""))</f>
        <v/>
      </c>
    </row>
    <row r="3341">
      <c r="DB3341">
        <f>IF('История отказов'!AW944="","",'История отказов'!AW944)</f>
        <v/>
      </c>
      <c r="DL3341">
        <f>IF(DB3341="","",IF(AND(COUNTIF($DA$2:$DA$47,DB3341)=0,COUNTIF($DB$2:DB3341,DB3341)=1),3340,""))</f>
        <v/>
      </c>
    </row>
    <row r="3342">
      <c r="DB3342">
        <f>IF('История отказов'!AW945="","",'История отказов'!AW945)</f>
        <v/>
      </c>
      <c r="DL3342">
        <f>IF(DB3342="","",IF(AND(COUNTIF($DA$2:$DA$47,DB3342)=0,COUNTIF($DB$2:DB3342,DB3342)=1),3341,""))</f>
        <v/>
      </c>
    </row>
    <row r="3343">
      <c r="DB3343">
        <f>IF('История отказов'!AW946="","",'История отказов'!AW946)</f>
        <v/>
      </c>
      <c r="DL3343">
        <f>IF(DB3343="","",IF(AND(COUNTIF($DA$2:$DA$47,DB3343)=0,COUNTIF($DB$2:DB3343,DB3343)=1),3342,""))</f>
        <v/>
      </c>
    </row>
    <row r="3344">
      <c r="DB3344">
        <f>IF('История отказов'!AW947="","",'История отказов'!AW947)</f>
        <v/>
      </c>
      <c r="DL3344">
        <f>IF(DB3344="","",IF(AND(COUNTIF($DA$2:$DA$47,DB3344)=0,COUNTIF($DB$2:DB3344,DB3344)=1),3343,""))</f>
        <v/>
      </c>
    </row>
    <row r="3345">
      <c r="DB3345">
        <f>IF('История отказов'!AW948="","",'История отказов'!AW948)</f>
        <v/>
      </c>
      <c r="DL3345">
        <f>IF(DB3345="","",IF(AND(COUNTIF($DA$2:$DA$47,DB3345)=0,COUNTIF($DB$2:DB3345,DB3345)=1),3344,""))</f>
        <v/>
      </c>
    </row>
    <row r="3346">
      <c r="DB3346">
        <f>IF('История отказов'!AW949="","",'История отказов'!AW949)</f>
        <v/>
      </c>
      <c r="DL3346">
        <f>IF(DB3346="","",IF(AND(COUNTIF($DA$2:$DA$47,DB3346)=0,COUNTIF($DB$2:DB3346,DB3346)=1),3345,""))</f>
        <v/>
      </c>
    </row>
    <row r="3347">
      <c r="DB3347">
        <f>IF('История отказов'!AW950="","",'История отказов'!AW950)</f>
        <v/>
      </c>
      <c r="DL3347">
        <f>IF(DB3347="","",IF(AND(COUNTIF($DA$2:$DA$47,DB3347)=0,COUNTIF($DB$2:DB3347,DB3347)=1),3346,""))</f>
        <v/>
      </c>
    </row>
    <row r="3348">
      <c r="DB3348">
        <f>IF('История отказов'!AW951="","",'История отказов'!AW951)</f>
        <v/>
      </c>
      <c r="DL3348">
        <f>IF(DB3348="","",IF(AND(COUNTIF($DA$2:$DA$47,DB3348)=0,COUNTIF($DB$2:DB3348,DB3348)=1),3347,""))</f>
        <v/>
      </c>
    </row>
    <row r="3349">
      <c r="DB3349">
        <f>IF('История отказов'!AW952="","",'История отказов'!AW952)</f>
        <v/>
      </c>
      <c r="DL3349">
        <f>IF(DB3349="","",IF(AND(COUNTIF($DA$2:$DA$47,DB3349)=0,COUNTIF($DB$2:DB3349,DB3349)=1),3348,""))</f>
        <v/>
      </c>
    </row>
    <row r="3350">
      <c r="DB3350">
        <f>IF('История отказов'!AW953="","",'История отказов'!AW953)</f>
        <v/>
      </c>
      <c r="DL3350">
        <f>IF(DB3350="","",IF(AND(COUNTIF($DA$2:$DA$47,DB3350)=0,COUNTIF($DB$2:DB3350,DB3350)=1),3349,""))</f>
        <v/>
      </c>
    </row>
    <row r="3351">
      <c r="DB3351">
        <f>IF('История отказов'!AW954="","",'История отказов'!AW954)</f>
        <v/>
      </c>
      <c r="DL3351">
        <f>IF(DB3351="","",IF(AND(COUNTIF($DA$2:$DA$47,DB3351)=0,COUNTIF($DB$2:DB3351,DB3351)=1),3350,""))</f>
        <v/>
      </c>
    </row>
    <row r="3352">
      <c r="DB3352">
        <f>IF('История отказов'!AW955="","",'История отказов'!AW955)</f>
        <v/>
      </c>
      <c r="DL3352">
        <f>IF(DB3352="","",IF(AND(COUNTIF($DA$2:$DA$47,DB3352)=0,COUNTIF($DB$2:DB3352,DB3352)=1),3351,""))</f>
        <v/>
      </c>
    </row>
    <row r="3353">
      <c r="DB3353">
        <f>IF('История отказов'!AW956="","",'История отказов'!AW956)</f>
        <v/>
      </c>
      <c r="DL3353">
        <f>IF(DB3353="","",IF(AND(COUNTIF($DA$2:$DA$47,DB3353)=0,COUNTIF($DB$2:DB3353,DB3353)=1),3352,""))</f>
        <v/>
      </c>
    </row>
    <row r="3354">
      <c r="DB3354">
        <f>IF('История отказов'!AW957="","",'История отказов'!AW957)</f>
        <v/>
      </c>
      <c r="DL3354">
        <f>IF(DB3354="","",IF(AND(COUNTIF($DA$2:$DA$47,DB3354)=0,COUNTIF($DB$2:DB3354,DB3354)=1),3353,""))</f>
        <v/>
      </c>
    </row>
    <row r="3355">
      <c r="DB3355">
        <f>IF('История отказов'!AW958="","",'История отказов'!AW958)</f>
        <v/>
      </c>
      <c r="DL3355">
        <f>IF(DB3355="","",IF(AND(COUNTIF($DA$2:$DA$47,DB3355)=0,COUNTIF($DB$2:DB3355,DB3355)=1),3354,""))</f>
        <v/>
      </c>
    </row>
    <row r="3356">
      <c r="DB3356">
        <f>IF('История отказов'!AW959="","",'История отказов'!AW959)</f>
        <v/>
      </c>
      <c r="DL3356">
        <f>IF(DB3356="","",IF(AND(COUNTIF($DA$2:$DA$47,DB3356)=0,COUNTIF($DB$2:DB3356,DB3356)=1),3355,""))</f>
        <v/>
      </c>
    </row>
    <row r="3357">
      <c r="DB3357">
        <f>IF('История отказов'!AW960="","",'История отказов'!AW960)</f>
        <v/>
      </c>
      <c r="DL3357">
        <f>IF(DB3357="","",IF(AND(COUNTIF($DA$2:$DA$47,DB3357)=0,COUNTIF($DB$2:DB3357,DB3357)=1),3356,""))</f>
        <v/>
      </c>
    </row>
    <row r="3358">
      <c r="DB3358">
        <f>IF('История отказов'!AW961="","",'История отказов'!AW961)</f>
        <v/>
      </c>
      <c r="DL3358">
        <f>IF(DB3358="","",IF(AND(COUNTIF($DA$2:$DA$47,DB3358)=0,COUNTIF($DB$2:DB3358,DB3358)=1),3357,""))</f>
        <v/>
      </c>
    </row>
    <row r="3359">
      <c r="DB3359">
        <f>IF('История отказов'!AW962="","",'История отказов'!AW962)</f>
        <v/>
      </c>
      <c r="DL3359">
        <f>IF(DB3359="","",IF(AND(COUNTIF($DA$2:$DA$47,DB3359)=0,COUNTIF($DB$2:DB3359,DB3359)=1),3358,""))</f>
        <v/>
      </c>
    </row>
    <row r="3360">
      <c r="DB3360">
        <f>IF('История отказов'!AW963="","",'История отказов'!AW963)</f>
        <v/>
      </c>
      <c r="DL3360">
        <f>IF(DB3360="","",IF(AND(COUNTIF($DA$2:$DA$47,DB3360)=0,COUNTIF($DB$2:DB3360,DB3360)=1),3359,""))</f>
        <v/>
      </c>
    </row>
    <row r="3361">
      <c r="DB3361">
        <f>IF('История отказов'!AW964="","",'История отказов'!AW964)</f>
        <v/>
      </c>
      <c r="DL3361">
        <f>IF(DB3361="","",IF(AND(COUNTIF($DA$2:$DA$47,DB3361)=0,COUNTIF($DB$2:DB3361,DB3361)=1),3360,""))</f>
        <v/>
      </c>
    </row>
    <row r="3362">
      <c r="DB3362">
        <f>IF('История отказов'!AW965="","",'История отказов'!AW965)</f>
        <v/>
      </c>
      <c r="DL3362">
        <f>IF(DB3362="","",IF(AND(COUNTIF($DA$2:$DA$47,DB3362)=0,COUNTIF($DB$2:DB3362,DB3362)=1),3361,""))</f>
        <v/>
      </c>
    </row>
    <row r="3363">
      <c r="DB3363">
        <f>IF('История отказов'!AW966="","",'История отказов'!AW966)</f>
        <v/>
      </c>
      <c r="DL3363">
        <f>IF(DB3363="","",IF(AND(COUNTIF($DA$2:$DA$47,DB3363)=0,COUNTIF($DB$2:DB3363,DB3363)=1),3362,""))</f>
        <v/>
      </c>
    </row>
    <row r="3364">
      <c r="DB3364">
        <f>IF('История отказов'!AW967="","",'История отказов'!AW967)</f>
        <v/>
      </c>
      <c r="DL3364">
        <f>IF(DB3364="","",IF(AND(COUNTIF($DA$2:$DA$47,DB3364)=0,COUNTIF($DB$2:DB3364,DB3364)=1),3363,""))</f>
        <v/>
      </c>
    </row>
    <row r="3365">
      <c r="DB3365">
        <f>IF('История отказов'!AW968="","",'История отказов'!AW968)</f>
        <v/>
      </c>
      <c r="DL3365">
        <f>IF(DB3365="","",IF(AND(COUNTIF($DA$2:$DA$47,DB3365)=0,COUNTIF($DB$2:DB3365,DB3365)=1),3364,""))</f>
        <v/>
      </c>
    </row>
    <row r="3366">
      <c r="DB3366">
        <f>IF('История отказов'!AW969="","",'История отказов'!AW969)</f>
        <v/>
      </c>
      <c r="DL3366">
        <f>IF(DB3366="","",IF(AND(COUNTIF($DA$2:$DA$47,DB3366)=0,COUNTIF($DB$2:DB3366,DB3366)=1),3365,""))</f>
        <v/>
      </c>
    </row>
    <row r="3367">
      <c r="DB3367">
        <f>IF('История отказов'!AW970="","",'История отказов'!AW970)</f>
        <v/>
      </c>
      <c r="DL3367">
        <f>IF(DB3367="","",IF(AND(COUNTIF($DA$2:$DA$47,DB3367)=0,COUNTIF($DB$2:DB3367,DB3367)=1),3366,""))</f>
        <v/>
      </c>
    </row>
    <row r="3368">
      <c r="DB3368">
        <f>IF('История отказов'!AW971="","",'История отказов'!AW971)</f>
        <v/>
      </c>
      <c r="DL3368">
        <f>IF(DB3368="","",IF(AND(COUNTIF($DA$2:$DA$47,DB3368)=0,COUNTIF($DB$2:DB3368,DB3368)=1),3367,""))</f>
        <v/>
      </c>
    </row>
    <row r="3369">
      <c r="DB3369">
        <f>IF('История отказов'!AW972="","",'История отказов'!AW972)</f>
        <v/>
      </c>
      <c r="DL3369">
        <f>IF(DB3369="","",IF(AND(COUNTIF($DA$2:$DA$47,DB3369)=0,COUNTIF($DB$2:DB3369,DB3369)=1),3368,""))</f>
        <v/>
      </c>
    </row>
    <row r="3370">
      <c r="DB3370">
        <f>IF('История отказов'!AW973="","",'История отказов'!AW973)</f>
        <v/>
      </c>
      <c r="DL3370">
        <f>IF(DB3370="","",IF(AND(COUNTIF($DA$2:$DA$47,DB3370)=0,COUNTIF($DB$2:DB3370,DB3370)=1),3369,""))</f>
        <v/>
      </c>
    </row>
    <row r="3371">
      <c r="DB3371">
        <f>IF('История отказов'!AW974="","",'История отказов'!AW974)</f>
        <v/>
      </c>
      <c r="DL3371">
        <f>IF(DB3371="","",IF(AND(COUNTIF($DA$2:$DA$47,DB3371)=0,COUNTIF($DB$2:DB3371,DB3371)=1),3370,""))</f>
        <v/>
      </c>
    </row>
    <row r="3372">
      <c r="DB3372">
        <f>IF('История отказов'!AW975="","",'История отказов'!AW975)</f>
        <v/>
      </c>
      <c r="DL3372">
        <f>IF(DB3372="","",IF(AND(COUNTIF($DA$2:$DA$47,DB3372)=0,COUNTIF($DB$2:DB3372,DB3372)=1),3371,""))</f>
        <v/>
      </c>
    </row>
    <row r="3373">
      <c r="DB3373">
        <f>IF('История отказов'!AW976="","",'История отказов'!AW976)</f>
        <v/>
      </c>
      <c r="DL3373">
        <f>IF(DB3373="","",IF(AND(COUNTIF($DA$2:$DA$47,DB3373)=0,COUNTIF($DB$2:DB3373,DB3373)=1),3372,""))</f>
        <v/>
      </c>
    </row>
    <row r="3374">
      <c r="DB3374">
        <f>IF('История отказов'!AW977="","",'История отказов'!AW977)</f>
        <v/>
      </c>
      <c r="DL3374">
        <f>IF(DB3374="","",IF(AND(COUNTIF($DA$2:$DA$47,DB3374)=0,COUNTIF($DB$2:DB3374,DB3374)=1),3373,""))</f>
        <v/>
      </c>
    </row>
    <row r="3375">
      <c r="DB3375">
        <f>IF('История отказов'!AW978="","",'История отказов'!AW978)</f>
        <v/>
      </c>
      <c r="DL3375">
        <f>IF(DB3375="","",IF(AND(COUNTIF($DA$2:$DA$47,DB3375)=0,COUNTIF($DB$2:DB3375,DB3375)=1),3374,""))</f>
        <v/>
      </c>
    </row>
    <row r="3376">
      <c r="DB3376">
        <f>IF('История отказов'!AW979="","",'История отказов'!AW979)</f>
        <v/>
      </c>
      <c r="DL3376">
        <f>IF(DB3376="","",IF(AND(COUNTIF($DA$2:$DA$47,DB3376)=0,COUNTIF($DB$2:DB3376,DB3376)=1),3375,""))</f>
        <v/>
      </c>
    </row>
    <row r="3377">
      <c r="DB3377">
        <f>IF('История отказов'!AW980="","",'История отказов'!AW980)</f>
        <v/>
      </c>
      <c r="DL3377">
        <f>IF(DB3377="","",IF(AND(COUNTIF($DA$2:$DA$47,DB3377)=0,COUNTIF($DB$2:DB3377,DB3377)=1),3376,""))</f>
        <v/>
      </c>
    </row>
    <row r="3378">
      <c r="DB3378">
        <f>IF('История отказов'!AW981="","",'История отказов'!AW981)</f>
        <v/>
      </c>
      <c r="DL3378">
        <f>IF(DB3378="","",IF(AND(COUNTIF($DA$2:$DA$47,DB3378)=0,COUNTIF($DB$2:DB3378,DB3378)=1),3377,""))</f>
        <v/>
      </c>
    </row>
    <row r="3379">
      <c r="DB3379">
        <f>IF('История отказов'!AW982="","",'История отказов'!AW982)</f>
        <v/>
      </c>
      <c r="DL3379">
        <f>IF(DB3379="","",IF(AND(COUNTIF($DA$2:$DA$47,DB3379)=0,COUNTIF($DB$2:DB3379,DB3379)=1),3378,""))</f>
        <v/>
      </c>
    </row>
    <row r="3380">
      <c r="DB3380">
        <f>IF('История отказов'!AW983="","",'История отказов'!AW983)</f>
        <v/>
      </c>
      <c r="DL3380">
        <f>IF(DB3380="","",IF(AND(COUNTIF($DA$2:$DA$47,DB3380)=0,COUNTIF($DB$2:DB3380,DB3380)=1),3379,""))</f>
        <v/>
      </c>
    </row>
    <row r="3381">
      <c r="DB3381">
        <f>IF('История отказов'!AW984="","",'История отказов'!AW984)</f>
        <v/>
      </c>
      <c r="DL3381">
        <f>IF(DB3381="","",IF(AND(COUNTIF($DA$2:$DA$47,DB3381)=0,COUNTIF($DB$2:DB3381,DB3381)=1),3380,""))</f>
        <v/>
      </c>
    </row>
    <row r="3382">
      <c r="DB3382">
        <f>IF('История отказов'!AW985="","",'История отказов'!AW985)</f>
        <v/>
      </c>
      <c r="DL3382">
        <f>IF(DB3382="","",IF(AND(COUNTIF($DA$2:$DA$47,DB3382)=0,COUNTIF($DB$2:DB3382,DB3382)=1),3381,""))</f>
        <v/>
      </c>
    </row>
    <row r="3383">
      <c r="DB3383">
        <f>IF('История отказов'!AW986="","",'История отказов'!AW986)</f>
        <v/>
      </c>
      <c r="DL3383">
        <f>IF(DB3383="","",IF(AND(COUNTIF($DA$2:$DA$47,DB3383)=0,COUNTIF($DB$2:DB3383,DB3383)=1),3382,""))</f>
        <v/>
      </c>
    </row>
    <row r="3384">
      <c r="DB3384">
        <f>IF('История отказов'!AW987="","",'История отказов'!AW987)</f>
        <v/>
      </c>
      <c r="DL3384">
        <f>IF(DB3384="","",IF(AND(COUNTIF($DA$2:$DA$47,DB3384)=0,COUNTIF($DB$2:DB3384,DB3384)=1),3383,""))</f>
        <v/>
      </c>
    </row>
    <row r="3385">
      <c r="DB3385">
        <f>IF('История отказов'!AW988="","",'История отказов'!AW988)</f>
        <v/>
      </c>
      <c r="DL3385">
        <f>IF(DB3385="","",IF(AND(COUNTIF($DA$2:$DA$47,DB3385)=0,COUNTIF($DB$2:DB3385,DB3385)=1),3384,""))</f>
        <v/>
      </c>
    </row>
    <row r="3386">
      <c r="DB3386">
        <f>IF('История отказов'!AW989="","",'История отказов'!AW989)</f>
        <v/>
      </c>
      <c r="DL3386">
        <f>IF(DB3386="","",IF(AND(COUNTIF($DA$2:$DA$47,DB3386)=0,COUNTIF($DB$2:DB3386,DB3386)=1),3385,""))</f>
        <v/>
      </c>
    </row>
    <row r="3387">
      <c r="DB3387">
        <f>IF('История отказов'!AW990="","",'История отказов'!AW990)</f>
        <v/>
      </c>
      <c r="DL3387">
        <f>IF(DB3387="","",IF(AND(COUNTIF($DA$2:$DA$47,DB3387)=0,COUNTIF($DB$2:DB3387,DB3387)=1),3386,""))</f>
        <v/>
      </c>
    </row>
    <row r="3388">
      <c r="DB3388">
        <f>IF('История отказов'!AW991="","",'История отказов'!AW991)</f>
        <v/>
      </c>
      <c r="DL3388">
        <f>IF(DB3388="","",IF(AND(COUNTIF($DA$2:$DA$47,DB3388)=0,COUNTIF($DB$2:DB3388,DB3388)=1),3387,""))</f>
        <v/>
      </c>
    </row>
    <row r="3389">
      <c r="DB3389">
        <f>IF('История отказов'!AW992="","",'История отказов'!AW992)</f>
        <v/>
      </c>
      <c r="DL3389">
        <f>IF(DB3389="","",IF(AND(COUNTIF($DA$2:$DA$47,DB3389)=0,COUNTIF($DB$2:DB3389,DB3389)=1),3388,""))</f>
        <v/>
      </c>
    </row>
    <row r="3390">
      <c r="DB3390">
        <f>IF('История отказов'!AW993="","",'История отказов'!AW993)</f>
        <v/>
      </c>
      <c r="DL3390">
        <f>IF(DB3390="","",IF(AND(COUNTIF($DA$2:$DA$47,DB3390)=0,COUNTIF($DB$2:DB3390,DB3390)=1),3389,""))</f>
        <v/>
      </c>
    </row>
    <row r="3391">
      <c r="DB3391">
        <f>IF('История отказов'!AW994="","",'История отказов'!AW994)</f>
        <v/>
      </c>
      <c r="DL3391">
        <f>IF(DB3391="","",IF(AND(COUNTIF($DA$2:$DA$47,DB3391)=0,COUNTIF($DB$2:DB3391,DB3391)=1),3390,""))</f>
        <v/>
      </c>
    </row>
    <row r="3392">
      <c r="DB3392">
        <f>IF('История отказов'!AW995="","",'История отказов'!AW995)</f>
        <v/>
      </c>
      <c r="DL3392">
        <f>IF(DB3392="","",IF(AND(COUNTIF($DA$2:$DA$47,DB3392)=0,COUNTIF($DB$2:DB3392,DB3392)=1),3391,""))</f>
        <v/>
      </c>
    </row>
    <row r="3393">
      <c r="DB3393">
        <f>IF('История отказов'!AW996="","",'История отказов'!AW996)</f>
        <v/>
      </c>
      <c r="DL3393">
        <f>IF(DB3393="","",IF(AND(COUNTIF($DA$2:$DA$47,DB3393)=0,COUNTIF($DB$2:DB3393,DB3393)=1),3392,""))</f>
        <v/>
      </c>
    </row>
    <row r="3394">
      <c r="DB3394">
        <f>IF('История отказов'!AW997="","",'История отказов'!AW997)</f>
        <v/>
      </c>
      <c r="DL3394">
        <f>IF(DB3394="","",IF(AND(COUNTIF($DA$2:$DA$47,DB3394)=0,COUNTIF($DB$2:DB3394,DB3394)=1),3393,""))</f>
        <v/>
      </c>
    </row>
    <row r="3395">
      <c r="DB3395">
        <f>IF('История отказов'!AW998="","",'История отказов'!AW998)</f>
        <v/>
      </c>
      <c r="DL3395">
        <f>IF(DB3395="","",IF(AND(COUNTIF($DA$2:$DA$47,DB3395)=0,COUNTIF($DB$2:DB3395,DB3395)=1),3394,""))</f>
        <v/>
      </c>
    </row>
    <row r="3396">
      <c r="DB3396">
        <f>IF('История отказов'!AW999="","",'История отказов'!AW999)</f>
        <v/>
      </c>
      <c r="DL3396">
        <f>IF(DB3396="","",IF(AND(COUNTIF($DA$2:$DA$47,DB3396)=0,COUNTIF($DB$2:DB3396,DB3396)=1),3395,""))</f>
        <v/>
      </c>
    </row>
    <row r="3397">
      <c r="DB3397">
        <f>IF('История отказов'!AW1000="","",'История отказов'!AW1000)</f>
        <v/>
      </c>
      <c r="DL3397">
        <f>IF(DB3397="","",IF(AND(COUNTIF($DA$2:$DA$47,DB3397)=0,COUNTIF($DB$2:DB3397,DB3397)=1),3396,""))</f>
        <v/>
      </c>
    </row>
    <row r="3398">
      <c r="DB3398">
        <f>IF('История отказов'!AW1001="","",'История отказов'!AW1001)</f>
        <v/>
      </c>
      <c r="DL3398">
        <f>IF(DB3398="","",IF(AND(COUNTIF($DA$2:$DA$47,DB3398)=0,COUNTIF($DB$2:DB3398,DB3398)=1),3397,""))</f>
        <v/>
      </c>
    </row>
    <row r="3399">
      <c r="DB3399">
        <f>IF('История отказов'!AW1002="","",'История отказов'!AW1002)</f>
        <v/>
      </c>
      <c r="DL3399">
        <f>IF(DB3399="","",IF(AND(COUNTIF($DA$2:$DA$47,DB3399)=0,COUNTIF($DB$2:DB3399,DB3399)=1),3398,""))</f>
        <v/>
      </c>
    </row>
    <row r="3400">
      <c r="DB3400">
        <f>IF('История отказов'!AW1003="","",'История отказов'!AW1003)</f>
        <v/>
      </c>
      <c r="DL3400">
        <f>IF(DB3400="","",IF(AND(COUNTIF($DA$2:$DA$47,DB3400)=0,COUNTIF($DB$2:DB3400,DB3400)=1),3399,""))</f>
        <v/>
      </c>
    </row>
    <row r="3401">
      <c r="DB3401">
        <f>IF('История отказов'!AW1004="","",'История отказов'!AW1004)</f>
        <v/>
      </c>
      <c r="DL3401">
        <f>IF(DB3401="","",IF(AND(COUNTIF($DA$2:$DA$47,DB3401)=0,COUNTIF($DB$2:DB3401,DB3401)=1),3400,""))</f>
        <v/>
      </c>
    </row>
    <row r="3402">
      <c r="DB3402">
        <f>IF('История отказов'!AW1005="","",'История отказов'!AW1005)</f>
        <v/>
      </c>
      <c r="DL3402">
        <f>IF(DB3402="","",IF(AND(COUNTIF($DA$2:$DA$47,DB3402)=0,COUNTIF($DB$2:DB3402,DB3402)=1),3401,""))</f>
        <v/>
      </c>
    </row>
    <row r="3403">
      <c r="DB3403">
        <f>IF('История отказов'!AW1006="","",'История отказов'!AW1006)</f>
        <v/>
      </c>
      <c r="DL3403">
        <f>IF(DB3403="","",IF(AND(COUNTIF($DA$2:$DA$47,DB3403)=0,COUNTIF($DB$2:DB3403,DB3403)=1),3402,""))</f>
        <v/>
      </c>
    </row>
    <row r="3404">
      <c r="DB3404">
        <f>IF('История отказов'!AW1007="","",'История отказов'!AW1007)</f>
        <v/>
      </c>
      <c r="DL3404">
        <f>IF(DB3404="","",IF(AND(COUNTIF($DA$2:$DA$47,DB3404)=0,COUNTIF($DB$2:DB3404,DB3404)=1),3403,""))</f>
        <v/>
      </c>
    </row>
    <row r="3405">
      <c r="DB3405">
        <f>IF('История отказов'!AW1008="","",'История отказов'!AW1008)</f>
        <v/>
      </c>
      <c r="DL3405">
        <f>IF(DB3405="","",IF(AND(COUNTIF($DA$2:$DA$47,DB3405)=0,COUNTIF($DB$2:DB3405,DB3405)=1),3404,""))</f>
        <v/>
      </c>
    </row>
    <row r="3406">
      <c r="DB3406">
        <f>IF('История отказов'!AW1009="","",'История отказов'!AW1009)</f>
        <v/>
      </c>
      <c r="DL3406">
        <f>IF(DB3406="","",IF(AND(COUNTIF($DA$2:$DA$47,DB3406)=0,COUNTIF($DB$2:DB3406,DB3406)=1),3405,""))</f>
        <v/>
      </c>
    </row>
    <row r="3407">
      <c r="DB3407">
        <f>IF('История отказов'!AW1010="","",'История отказов'!AW1010)</f>
        <v/>
      </c>
      <c r="DL3407">
        <f>IF(DB3407="","",IF(AND(COUNTIF($DA$2:$DA$47,DB3407)=0,COUNTIF($DB$2:DB3407,DB3407)=1),3406,""))</f>
        <v/>
      </c>
    </row>
    <row r="3408">
      <c r="DB3408">
        <f>IF('История отказов'!AW1011="","",'История отказов'!AW1011)</f>
        <v/>
      </c>
      <c r="DL3408">
        <f>IF(DB3408="","",IF(AND(COUNTIF($DA$2:$DA$47,DB3408)=0,COUNTIF($DB$2:DB3408,DB3408)=1),3407,""))</f>
        <v/>
      </c>
    </row>
    <row r="3409">
      <c r="DB3409">
        <f>IF('История отказов'!AW1012="","",'История отказов'!AW1012)</f>
        <v/>
      </c>
      <c r="DL3409">
        <f>IF(DB3409="","",IF(AND(COUNTIF($DA$2:$DA$47,DB3409)=0,COUNTIF($DB$2:DB3409,DB3409)=1),3408,""))</f>
        <v/>
      </c>
    </row>
    <row r="3410">
      <c r="DB3410">
        <f>IF('История отказов'!AW1013="","",'История отказов'!AW1013)</f>
        <v/>
      </c>
      <c r="DL3410">
        <f>IF(DB3410="","",IF(AND(COUNTIF($DA$2:$DA$47,DB3410)=0,COUNTIF($DB$2:DB3410,DB3410)=1),3409,""))</f>
        <v/>
      </c>
    </row>
    <row r="3411">
      <c r="DB3411">
        <f>IF('История отказов'!AW1014="","",'История отказов'!AW1014)</f>
        <v/>
      </c>
      <c r="DL3411">
        <f>IF(DB3411="","",IF(AND(COUNTIF($DA$2:$DA$47,DB3411)=0,COUNTIF($DB$2:DB3411,DB3411)=1),3410,""))</f>
        <v/>
      </c>
    </row>
    <row r="3412">
      <c r="DB3412">
        <f>IF('История отказов'!AW1015="","",'История отказов'!AW1015)</f>
        <v/>
      </c>
      <c r="DL3412">
        <f>IF(DB3412="","",IF(AND(COUNTIF($DA$2:$DA$47,DB3412)=0,COUNTIF($DB$2:DB3412,DB3412)=1),3411,""))</f>
        <v/>
      </c>
    </row>
    <row r="3413">
      <c r="DB3413">
        <f>IF('История отказов'!AW1016="","",'История отказов'!AW1016)</f>
        <v/>
      </c>
      <c r="DL3413">
        <f>IF(DB3413="","",IF(AND(COUNTIF($DA$2:$DA$47,DB3413)=0,COUNTIF($DB$2:DB3413,DB3413)=1),3412,""))</f>
        <v/>
      </c>
    </row>
    <row r="3414">
      <c r="DB3414">
        <f>IF('История отказов'!AW1017="","",'История отказов'!AW1017)</f>
        <v/>
      </c>
      <c r="DL3414">
        <f>IF(DB3414="","",IF(AND(COUNTIF($DA$2:$DA$47,DB3414)=0,COUNTIF($DB$2:DB3414,DB3414)=1),3413,""))</f>
        <v/>
      </c>
    </row>
    <row r="3415">
      <c r="DB3415">
        <f>IF('История отказов'!AW1018="","",'История отказов'!AW1018)</f>
        <v/>
      </c>
      <c r="DL3415">
        <f>IF(DB3415="","",IF(AND(COUNTIF($DA$2:$DA$47,DB3415)=0,COUNTIF($DB$2:DB3415,DB3415)=1),3414,""))</f>
        <v/>
      </c>
    </row>
    <row r="3416">
      <c r="DB3416">
        <f>IF('История отказов'!AW1019="","",'История отказов'!AW1019)</f>
        <v/>
      </c>
      <c r="DL3416">
        <f>IF(DB3416="","",IF(AND(COUNTIF($DA$2:$DA$47,DB3416)=0,COUNTIF($DB$2:DB3416,DB3416)=1),3415,""))</f>
        <v/>
      </c>
    </row>
    <row r="3417">
      <c r="DB3417">
        <f>IF('История отказов'!AW1020="","",'История отказов'!AW1020)</f>
        <v/>
      </c>
      <c r="DL3417">
        <f>IF(DB3417="","",IF(AND(COUNTIF($DA$2:$DA$47,DB3417)=0,COUNTIF($DB$2:DB3417,DB3417)=1),3416,""))</f>
        <v/>
      </c>
    </row>
    <row r="3418">
      <c r="DB3418">
        <f>IF('История отказов'!AW1021="","",'История отказов'!AW1021)</f>
        <v/>
      </c>
      <c r="DL3418">
        <f>IF(DB3418="","",IF(AND(COUNTIF($DA$2:$DA$47,DB3418)=0,COUNTIF($DB$2:DB3418,DB3418)=1),3417,""))</f>
        <v/>
      </c>
    </row>
    <row r="3419">
      <c r="DB3419">
        <f>IF('История отказов'!AW1022="","",'История отказов'!AW1022)</f>
        <v/>
      </c>
      <c r="DL3419">
        <f>IF(DB3419="","",IF(AND(COUNTIF($DA$2:$DA$47,DB3419)=0,COUNTIF($DB$2:DB3419,DB3419)=1),3418,""))</f>
        <v/>
      </c>
    </row>
    <row r="3420">
      <c r="DB3420">
        <f>IF('История отказов'!AW1023="","",'История отказов'!AW1023)</f>
        <v/>
      </c>
      <c r="DL3420">
        <f>IF(DB3420="","",IF(AND(COUNTIF($DA$2:$DA$47,DB3420)=0,COUNTIF($DB$2:DB3420,DB3420)=1),3419,""))</f>
        <v/>
      </c>
    </row>
    <row r="3421">
      <c r="DB3421">
        <f>IF('История отказов'!AW1024="","",'История отказов'!AW1024)</f>
        <v/>
      </c>
      <c r="DL3421">
        <f>IF(DB3421="","",IF(AND(COUNTIF($DA$2:$DA$47,DB3421)=0,COUNTIF($DB$2:DB3421,DB3421)=1),3420,""))</f>
        <v/>
      </c>
    </row>
    <row r="3422">
      <c r="DB3422">
        <f>IF('История отказов'!AW1025="","",'История отказов'!AW1025)</f>
        <v/>
      </c>
      <c r="DL3422">
        <f>IF(DB3422="","",IF(AND(COUNTIF($DA$2:$DA$47,DB3422)=0,COUNTIF($DB$2:DB3422,DB3422)=1),3421,""))</f>
        <v/>
      </c>
    </row>
    <row r="3423">
      <c r="DB3423">
        <f>IF('История отказов'!AW1026="","",'История отказов'!AW1026)</f>
        <v/>
      </c>
      <c r="DL3423">
        <f>IF(DB3423="","",IF(AND(COUNTIF($DA$2:$DA$47,DB3423)=0,COUNTIF($DB$2:DB3423,DB3423)=1),3422,""))</f>
        <v/>
      </c>
    </row>
    <row r="3424">
      <c r="DB3424">
        <f>IF('История отказов'!AW1027="","",'История отказов'!AW1027)</f>
        <v/>
      </c>
      <c r="DL3424">
        <f>IF(DB3424="","",IF(AND(COUNTIF($DA$2:$DA$47,DB3424)=0,COUNTIF($DB$2:DB3424,DB3424)=1),3423,""))</f>
        <v/>
      </c>
    </row>
    <row r="3425">
      <c r="DB3425">
        <f>IF('История отказов'!AW1028="","",'История отказов'!AW1028)</f>
        <v/>
      </c>
      <c r="DL3425">
        <f>IF(DB3425="","",IF(AND(COUNTIF($DA$2:$DA$47,DB3425)=0,COUNTIF($DB$2:DB3425,DB3425)=1),3424,""))</f>
        <v/>
      </c>
    </row>
    <row r="3426">
      <c r="DB3426">
        <f>IF('История отказов'!AW1029="","",'История отказов'!AW1029)</f>
        <v/>
      </c>
      <c r="DL3426">
        <f>IF(DB3426="","",IF(AND(COUNTIF($DA$2:$DA$47,DB3426)=0,COUNTIF($DB$2:DB3426,DB3426)=1),3425,""))</f>
        <v/>
      </c>
    </row>
    <row r="3427">
      <c r="DB3427">
        <f>IF('История отказов'!AW1030="","",'История отказов'!AW1030)</f>
        <v/>
      </c>
      <c r="DL3427">
        <f>IF(DB3427="","",IF(AND(COUNTIF($DA$2:$DA$47,DB3427)=0,COUNTIF($DB$2:DB3427,DB3427)=1),3426,""))</f>
        <v/>
      </c>
    </row>
    <row r="3428">
      <c r="DB3428">
        <f>IF('История отказов'!AW1031="","",'История отказов'!AW1031)</f>
        <v/>
      </c>
      <c r="DL3428">
        <f>IF(DB3428="","",IF(AND(COUNTIF($DA$2:$DA$47,DB3428)=0,COUNTIF($DB$2:DB3428,DB3428)=1),3427,""))</f>
        <v/>
      </c>
    </row>
    <row r="3429">
      <c r="DB3429">
        <f>IF('История отказов'!AW1032="","",'История отказов'!AW1032)</f>
        <v/>
      </c>
      <c r="DL3429">
        <f>IF(DB3429="","",IF(AND(COUNTIF($DA$2:$DA$47,DB3429)=0,COUNTIF($DB$2:DB3429,DB3429)=1),3428,""))</f>
        <v/>
      </c>
    </row>
    <row r="3430">
      <c r="DB3430">
        <f>IF('История отказов'!AW1033="","",'История отказов'!AW1033)</f>
        <v/>
      </c>
      <c r="DL3430">
        <f>IF(DB3430="","",IF(AND(COUNTIF($DA$2:$DA$47,DB3430)=0,COUNTIF($DB$2:DB3430,DB3430)=1),3429,""))</f>
        <v/>
      </c>
    </row>
    <row r="3431">
      <c r="DB3431">
        <f>IF('История отказов'!AW1034="","",'История отказов'!AW1034)</f>
        <v/>
      </c>
      <c r="DL3431">
        <f>IF(DB3431="","",IF(AND(COUNTIF($DA$2:$DA$47,DB3431)=0,COUNTIF($DB$2:DB3431,DB3431)=1),3430,""))</f>
        <v/>
      </c>
    </row>
    <row r="3432">
      <c r="DB3432">
        <f>IF('История отказов'!AW1035="","",'История отказов'!AW1035)</f>
        <v/>
      </c>
      <c r="DL3432">
        <f>IF(DB3432="","",IF(AND(COUNTIF($DA$2:$DA$47,DB3432)=0,COUNTIF($DB$2:DB3432,DB3432)=1),3431,""))</f>
        <v/>
      </c>
    </row>
    <row r="3433">
      <c r="DB3433">
        <f>IF('История отказов'!AW1036="","",'История отказов'!AW1036)</f>
        <v/>
      </c>
      <c r="DL3433">
        <f>IF(DB3433="","",IF(AND(COUNTIF($DA$2:$DA$47,DB3433)=0,COUNTIF($DB$2:DB3433,DB3433)=1),3432,""))</f>
        <v/>
      </c>
    </row>
    <row r="3434">
      <c r="DB3434">
        <f>IF('История отказов'!AW1037="","",'История отказов'!AW1037)</f>
        <v/>
      </c>
      <c r="DL3434">
        <f>IF(DB3434="","",IF(AND(COUNTIF($DA$2:$DA$47,DB3434)=0,COUNTIF($DB$2:DB3434,DB3434)=1),3433,""))</f>
        <v/>
      </c>
    </row>
    <row r="3435">
      <c r="DB3435">
        <f>IF('История отказов'!AW1038="","",'История отказов'!AW1038)</f>
        <v/>
      </c>
      <c r="DL3435">
        <f>IF(DB3435="","",IF(AND(COUNTIF($DA$2:$DA$47,DB3435)=0,COUNTIF($DB$2:DB3435,DB3435)=1),3434,""))</f>
        <v/>
      </c>
    </row>
    <row r="3436">
      <c r="DB3436">
        <f>IF('История отказов'!AW1039="","",'История отказов'!AW1039)</f>
        <v/>
      </c>
      <c r="DL3436">
        <f>IF(DB3436="","",IF(AND(COUNTIF($DA$2:$DA$47,DB3436)=0,COUNTIF($DB$2:DB3436,DB3436)=1),3435,""))</f>
        <v/>
      </c>
    </row>
    <row r="3437">
      <c r="DB3437">
        <f>IF('История отказов'!AW1040="","",'История отказов'!AW1040)</f>
        <v/>
      </c>
      <c r="DL3437">
        <f>IF(DB3437="","",IF(AND(COUNTIF($DA$2:$DA$47,DB3437)=0,COUNTIF($DB$2:DB3437,DB3437)=1),3436,""))</f>
        <v/>
      </c>
    </row>
    <row r="3438">
      <c r="DB3438">
        <f>IF('История отказов'!AW1041="","",'История отказов'!AW1041)</f>
        <v/>
      </c>
      <c r="DL3438">
        <f>IF(DB3438="","",IF(AND(COUNTIF($DA$2:$DA$47,DB3438)=0,COUNTIF($DB$2:DB3438,DB3438)=1),3437,""))</f>
        <v/>
      </c>
    </row>
    <row r="3439">
      <c r="DB3439">
        <f>IF('История отказов'!AW1042="","",'История отказов'!AW1042)</f>
        <v/>
      </c>
      <c r="DL3439">
        <f>IF(DB3439="","",IF(AND(COUNTIF($DA$2:$DA$47,DB3439)=0,COUNTIF($DB$2:DB3439,DB3439)=1),3438,""))</f>
        <v/>
      </c>
    </row>
    <row r="3440">
      <c r="DB3440">
        <f>IF('История отказов'!AW1043="","",'История отказов'!AW1043)</f>
        <v/>
      </c>
      <c r="DL3440">
        <f>IF(DB3440="","",IF(AND(COUNTIF($DA$2:$DA$47,DB3440)=0,COUNTIF($DB$2:DB3440,DB3440)=1),3439,""))</f>
        <v/>
      </c>
    </row>
    <row r="3441">
      <c r="DB3441">
        <f>IF('История отказов'!AW1044="","",'История отказов'!AW1044)</f>
        <v/>
      </c>
      <c r="DL3441">
        <f>IF(DB3441="","",IF(AND(COUNTIF($DA$2:$DA$47,DB3441)=0,COUNTIF($DB$2:DB3441,DB3441)=1),3440,""))</f>
        <v/>
      </c>
    </row>
    <row r="3442">
      <c r="DB3442">
        <f>IF('История отказов'!AW1045="","",'История отказов'!AW1045)</f>
        <v/>
      </c>
      <c r="DL3442">
        <f>IF(DB3442="","",IF(AND(COUNTIF($DA$2:$DA$47,DB3442)=0,COUNTIF($DB$2:DB3442,DB3442)=1),3441,""))</f>
        <v/>
      </c>
    </row>
    <row r="3443">
      <c r="DB3443">
        <f>IF('История отказов'!AW1046="","",'История отказов'!AW1046)</f>
        <v/>
      </c>
      <c r="DL3443">
        <f>IF(DB3443="","",IF(AND(COUNTIF($DA$2:$DA$47,DB3443)=0,COUNTIF($DB$2:DB3443,DB3443)=1),3442,""))</f>
        <v/>
      </c>
    </row>
    <row r="3444">
      <c r="DB3444">
        <f>IF('История отказов'!AW1047="","",'История отказов'!AW1047)</f>
        <v/>
      </c>
      <c r="DL3444">
        <f>IF(DB3444="","",IF(AND(COUNTIF($DA$2:$DA$47,DB3444)=0,COUNTIF($DB$2:DB3444,DB3444)=1),3443,""))</f>
        <v/>
      </c>
    </row>
    <row r="3445">
      <c r="DB3445">
        <f>IF('История отказов'!AW1048="","",'История отказов'!AW1048)</f>
        <v/>
      </c>
      <c r="DL3445">
        <f>IF(DB3445="","",IF(AND(COUNTIF($DA$2:$DA$47,DB3445)=0,COUNTIF($DB$2:DB3445,DB3445)=1),3444,""))</f>
        <v/>
      </c>
    </row>
    <row r="3446">
      <c r="DB3446">
        <f>IF('История отказов'!AW1049="","",'История отказов'!AW1049)</f>
        <v/>
      </c>
      <c r="DL3446">
        <f>IF(DB3446="","",IF(AND(COUNTIF($DA$2:$DA$47,DB3446)=0,COUNTIF($DB$2:DB3446,DB3446)=1),3445,""))</f>
        <v/>
      </c>
    </row>
    <row r="3447">
      <c r="DB3447">
        <f>IF('История отказов'!AW1050="","",'История отказов'!AW1050)</f>
        <v/>
      </c>
      <c r="DL3447">
        <f>IF(DB3447="","",IF(AND(COUNTIF($DA$2:$DA$47,DB3447)=0,COUNTIF($DB$2:DB3447,DB3447)=1),3446,""))</f>
        <v/>
      </c>
    </row>
    <row r="3448">
      <c r="DB3448">
        <f>IF('История отказов'!AW1051="","",'История отказов'!AW1051)</f>
        <v/>
      </c>
      <c r="DL3448">
        <f>IF(DB3448="","",IF(AND(COUNTIF($DA$2:$DA$47,DB3448)=0,COUNTIF($DB$2:DB3448,DB3448)=1),3447,""))</f>
        <v/>
      </c>
    </row>
    <row r="3449">
      <c r="DB3449">
        <f>IF('История отказов'!AW1052="","",'История отказов'!AW1052)</f>
        <v/>
      </c>
      <c r="DL3449">
        <f>IF(DB3449="","",IF(AND(COUNTIF($DA$2:$DA$47,DB3449)=0,COUNTIF($DB$2:DB3449,DB3449)=1),3448,""))</f>
        <v/>
      </c>
    </row>
    <row r="3450">
      <c r="DB3450">
        <f>IF('История отказов'!AW1053="","",'История отказов'!AW1053)</f>
        <v/>
      </c>
      <c r="DL3450">
        <f>IF(DB3450="","",IF(AND(COUNTIF($DA$2:$DA$47,DB3450)=0,COUNTIF($DB$2:DB3450,DB3450)=1),3449,""))</f>
        <v/>
      </c>
    </row>
    <row r="3451">
      <c r="DB3451">
        <f>IF('История отказов'!AW1054="","",'История отказов'!AW1054)</f>
        <v/>
      </c>
      <c r="DL3451">
        <f>IF(DB3451="","",IF(AND(COUNTIF($DA$2:$DA$47,DB3451)=0,COUNTIF($DB$2:DB3451,DB3451)=1),3450,""))</f>
        <v/>
      </c>
    </row>
    <row r="3452">
      <c r="DB3452">
        <f>IF('История отказов'!AW1055="","",'История отказов'!AW1055)</f>
        <v/>
      </c>
      <c r="DL3452">
        <f>IF(DB3452="","",IF(AND(COUNTIF($DA$2:$DA$47,DB3452)=0,COUNTIF($DB$2:DB3452,DB3452)=1),3451,""))</f>
        <v/>
      </c>
    </row>
    <row r="3453">
      <c r="DB3453">
        <f>IF('История отказов'!AW1056="","",'История отказов'!AW1056)</f>
        <v/>
      </c>
      <c r="DL3453">
        <f>IF(DB3453="","",IF(AND(COUNTIF($DA$2:$DA$47,DB3453)=0,COUNTIF($DB$2:DB3453,DB3453)=1),3452,""))</f>
        <v/>
      </c>
    </row>
    <row r="3454">
      <c r="DB3454">
        <f>IF('История отказов'!AW1057="","",'История отказов'!AW1057)</f>
        <v/>
      </c>
      <c r="DL3454">
        <f>IF(DB3454="","",IF(AND(COUNTIF($DA$2:$DA$47,DB3454)=0,COUNTIF($DB$2:DB3454,DB3454)=1),3453,""))</f>
        <v/>
      </c>
    </row>
    <row r="3455">
      <c r="DB3455">
        <f>IF('История отказов'!AW1058="","",'История отказов'!AW1058)</f>
        <v/>
      </c>
      <c r="DL3455">
        <f>IF(DB3455="","",IF(AND(COUNTIF($DA$2:$DA$47,DB3455)=0,COUNTIF($DB$2:DB3455,DB3455)=1),3454,""))</f>
        <v/>
      </c>
    </row>
    <row r="3456">
      <c r="DB3456">
        <f>IF('История отказов'!AW1059="","",'История отказов'!AW1059)</f>
        <v/>
      </c>
      <c r="DL3456">
        <f>IF(DB3456="","",IF(AND(COUNTIF($DA$2:$DA$47,DB3456)=0,COUNTIF($DB$2:DB3456,DB3456)=1),3455,""))</f>
        <v/>
      </c>
    </row>
    <row r="3457">
      <c r="DB3457">
        <f>IF('История отказов'!AW1060="","",'История отказов'!AW1060)</f>
        <v/>
      </c>
      <c r="DL3457">
        <f>IF(DB3457="","",IF(AND(COUNTIF($DA$2:$DA$47,DB3457)=0,COUNTIF($DB$2:DB3457,DB3457)=1),3456,""))</f>
        <v/>
      </c>
    </row>
    <row r="3458">
      <c r="DB3458">
        <f>IF('История отказов'!AW1061="","",'История отказов'!AW1061)</f>
        <v/>
      </c>
      <c r="DL3458">
        <f>IF(DB3458="","",IF(AND(COUNTIF($DA$2:$DA$47,DB3458)=0,COUNTIF($DB$2:DB3458,DB3458)=1),3457,""))</f>
        <v/>
      </c>
    </row>
    <row r="3459">
      <c r="DB3459">
        <f>IF('История отказов'!AW1062="","",'История отказов'!AW1062)</f>
        <v/>
      </c>
      <c r="DL3459">
        <f>IF(DB3459="","",IF(AND(COUNTIF($DA$2:$DA$47,DB3459)=0,COUNTIF($DB$2:DB3459,DB3459)=1),3458,""))</f>
        <v/>
      </c>
    </row>
    <row r="3460">
      <c r="DB3460">
        <f>IF('История отказов'!AW1063="","",'История отказов'!AW1063)</f>
        <v/>
      </c>
      <c r="DL3460">
        <f>IF(DB3460="","",IF(AND(COUNTIF($DA$2:$DA$47,DB3460)=0,COUNTIF($DB$2:DB3460,DB3460)=1),3459,""))</f>
        <v/>
      </c>
    </row>
    <row r="3461">
      <c r="DB3461">
        <f>IF('История отказов'!AW1064="","",'История отказов'!AW1064)</f>
        <v/>
      </c>
      <c r="DL3461">
        <f>IF(DB3461="","",IF(AND(COUNTIF($DA$2:$DA$47,DB3461)=0,COUNTIF($DB$2:DB3461,DB3461)=1),3460,""))</f>
        <v/>
      </c>
    </row>
    <row r="3462">
      <c r="DB3462">
        <f>IF('История отказов'!AW1065="","",'История отказов'!AW1065)</f>
        <v/>
      </c>
      <c r="DL3462">
        <f>IF(DB3462="","",IF(AND(COUNTIF($DA$2:$DA$47,DB3462)=0,COUNTIF($DB$2:DB3462,DB3462)=1),3461,""))</f>
        <v/>
      </c>
    </row>
    <row r="3463">
      <c r="DB3463">
        <f>IF('История отказов'!AW1066="","",'История отказов'!AW1066)</f>
        <v/>
      </c>
      <c r="DL3463">
        <f>IF(DB3463="","",IF(AND(COUNTIF($DA$2:$DA$47,DB3463)=0,COUNTIF($DB$2:DB3463,DB3463)=1),3462,""))</f>
        <v/>
      </c>
    </row>
    <row r="3464">
      <c r="DB3464">
        <f>IF('История отказов'!AW1067="","",'История отказов'!AW1067)</f>
        <v/>
      </c>
      <c r="DL3464">
        <f>IF(DB3464="","",IF(AND(COUNTIF($DA$2:$DA$47,DB3464)=0,COUNTIF($DB$2:DB3464,DB3464)=1),3463,""))</f>
        <v/>
      </c>
    </row>
    <row r="3465">
      <c r="DB3465">
        <f>IF('История отказов'!AW1068="","",'История отказов'!AW1068)</f>
        <v/>
      </c>
      <c r="DL3465">
        <f>IF(DB3465="","",IF(AND(COUNTIF($DA$2:$DA$47,DB3465)=0,COUNTIF($DB$2:DB3465,DB3465)=1),3464,""))</f>
        <v/>
      </c>
    </row>
    <row r="3466">
      <c r="DB3466">
        <f>IF('История отказов'!AW1069="","",'История отказов'!AW1069)</f>
        <v/>
      </c>
      <c r="DL3466">
        <f>IF(DB3466="","",IF(AND(COUNTIF($DA$2:$DA$47,DB3466)=0,COUNTIF($DB$2:DB3466,DB3466)=1),3465,""))</f>
        <v/>
      </c>
    </row>
    <row r="3467">
      <c r="DB3467">
        <f>IF('История отказов'!AW1070="","",'История отказов'!AW1070)</f>
        <v/>
      </c>
      <c r="DL3467">
        <f>IF(DB3467="","",IF(AND(COUNTIF($DA$2:$DA$47,DB3467)=0,COUNTIF($DB$2:DB3467,DB3467)=1),3466,""))</f>
        <v/>
      </c>
    </row>
    <row r="3468">
      <c r="DB3468">
        <f>IF('История отказов'!AW1071="","",'История отказов'!AW1071)</f>
        <v/>
      </c>
      <c r="DL3468">
        <f>IF(DB3468="","",IF(AND(COUNTIF($DA$2:$DA$47,DB3468)=0,COUNTIF($DB$2:DB3468,DB3468)=1),3467,""))</f>
        <v/>
      </c>
    </row>
    <row r="3469">
      <c r="DB3469">
        <f>IF('История отказов'!AW1072="","",'История отказов'!AW1072)</f>
        <v/>
      </c>
      <c r="DL3469">
        <f>IF(DB3469="","",IF(AND(COUNTIF($DA$2:$DA$47,DB3469)=0,COUNTIF($DB$2:DB3469,DB3469)=1),3468,""))</f>
        <v/>
      </c>
    </row>
    <row r="3470">
      <c r="DB3470">
        <f>IF('История отказов'!AW1073="","",'История отказов'!AW1073)</f>
        <v/>
      </c>
      <c r="DL3470">
        <f>IF(DB3470="","",IF(AND(COUNTIF($DA$2:$DA$47,DB3470)=0,COUNTIF($DB$2:DB3470,DB3470)=1),3469,""))</f>
        <v/>
      </c>
    </row>
    <row r="3471">
      <c r="DB3471">
        <f>IF('История отказов'!AW1074="","",'История отказов'!AW1074)</f>
        <v/>
      </c>
      <c r="DL3471">
        <f>IF(DB3471="","",IF(AND(COUNTIF($DA$2:$DA$47,DB3471)=0,COUNTIF($DB$2:DB3471,DB3471)=1),3470,""))</f>
        <v/>
      </c>
    </row>
    <row r="3472">
      <c r="DB3472">
        <f>IF('История отказов'!AW1075="","",'История отказов'!AW1075)</f>
        <v/>
      </c>
      <c r="DL3472">
        <f>IF(DB3472="","",IF(AND(COUNTIF($DA$2:$DA$47,DB3472)=0,COUNTIF($DB$2:DB3472,DB3472)=1),3471,""))</f>
        <v/>
      </c>
    </row>
    <row r="3473">
      <c r="DB3473">
        <f>IF('История отказов'!AW1076="","",'История отказов'!AW1076)</f>
        <v/>
      </c>
      <c r="DL3473">
        <f>IF(DB3473="","",IF(AND(COUNTIF($DA$2:$DA$47,DB3473)=0,COUNTIF($DB$2:DB3473,DB3473)=1),3472,""))</f>
        <v/>
      </c>
    </row>
    <row r="3474">
      <c r="DB3474">
        <f>IF('История отказов'!AW1077="","",'История отказов'!AW1077)</f>
        <v/>
      </c>
      <c r="DL3474">
        <f>IF(DB3474="","",IF(AND(COUNTIF($DA$2:$DA$47,DB3474)=0,COUNTIF($DB$2:DB3474,DB3474)=1),3473,""))</f>
        <v/>
      </c>
    </row>
    <row r="3475">
      <c r="DB3475">
        <f>IF('История отказов'!AW1078="","",'История отказов'!AW1078)</f>
        <v/>
      </c>
      <c r="DL3475">
        <f>IF(DB3475="","",IF(AND(COUNTIF($DA$2:$DA$47,DB3475)=0,COUNTIF($DB$2:DB3475,DB3475)=1),3474,""))</f>
        <v/>
      </c>
    </row>
    <row r="3476">
      <c r="DB3476">
        <f>IF('История отказов'!AW1079="","",'История отказов'!AW1079)</f>
        <v/>
      </c>
      <c r="DL3476">
        <f>IF(DB3476="","",IF(AND(COUNTIF($DA$2:$DA$47,DB3476)=0,COUNTIF($DB$2:DB3476,DB3476)=1),3475,""))</f>
        <v/>
      </c>
    </row>
    <row r="3477">
      <c r="DB3477">
        <f>IF('История отказов'!AW1080="","",'История отказов'!AW1080)</f>
        <v/>
      </c>
      <c r="DL3477">
        <f>IF(DB3477="","",IF(AND(COUNTIF($DA$2:$DA$47,DB3477)=0,COUNTIF($DB$2:DB3477,DB3477)=1),3476,""))</f>
        <v/>
      </c>
    </row>
    <row r="3478">
      <c r="DB3478">
        <f>IF('История отказов'!AW1081="","",'История отказов'!AW1081)</f>
        <v/>
      </c>
      <c r="DL3478">
        <f>IF(DB3478="","",IF(AND(COUNTIF($DA$2:$DA$47,DB3478)=0,COUNTIF($DB$2:DB3478,DB3478)=1),3477,""))</f>
        <v/>
      </c>
    </row>
    <row r="3479">
      <c r="DB3479">
        <f>IF('История отказов'!AW1082="","",'История отказов'!AW1082)</f>
        <v/>
      </c>
      <c r="DL3479">
        <f>IF(DB3479="","",IF(AND(COUNTIF($DA$2:$DA$47,DB3479)=0,COUNTIF($DB$2:DB3479,DB3479)=1),3478,""))</f>
        <v/>
      </c>
    </row>
    <row r="3480">
      <c r="DB3480">
        <f>IF('История отказов'!AW1083="","",'История отказов'!AW1083)</f>
        <v/>
      </c>
      <c r="DL3480">
        <f>IF(DB3480="","",IF(AND(COUNTIF($DA$2:$DA$47,DB3480)=0,COUNTIF($DB$2:DB3480,DB3480)=1),3479,""))</f>
        <v/>
      </c>
    </row>
    <row r="3481">
      <c r="DB3481">
        <f>IF('История отказов'!AW1084="","",'История отказов'!AW1084)</f>
        <v/>
      </c>
      <c r="DL3481">
        <f>IF(DB3481="","",IF(AND(COUNTIF($DA$2:$DA$47,DB3481)=0,COUNTIF($DB$2:DB3481,DB3481)=1),3480,""))</f>
        <v/>
      </c>
    </row>
    <row r="3482">
      <c r="DB3482">
        <f>IF('История отказов'!AW1085="","",'История отказов'!AW1085)</f>
        <v/>
      </c>
      <c r="DL3482">
        <f>IF(DB3482="","",IF(AND(COUNTIF($DA$2:$DA$47,DB3482)=0,COUNTIF($DB$2:DB3482,DB3482)=1),3481,""))</f>
        <v/>
      </c>
    </row>
    <row r="3483">
      <c r="DB3483">
        <f>IF('История отказов'!AW1086="","",'История отказов'!AW1086)</f>
        <v/>
      </c>
      <c r="DL3483">
        <f>IF(DB3483="","",IF(AND(COUNTIF($DA$2:$DA$47,DB3483)=0,COUNTIF($DB$2:DB3483,DB3483)=1),3482,""))</f>
        <v/>
      </c>
    </row>
    <row r="3484">
      <c r="DB3484">
        <f>IF('История отказов'!AW1087="","",'История отказов'!AW1087)</f>
        <v/>
      </c>
      <c r="DL3484">
        <f>IF(DB3484="","",IF(AND(COUNTIF($DA$2:$DA$47,DB3484)=0,COUNTIF($DB$2:DB3484,DB3484)=1),3483,""))</f>
        <v/>
      </c>
    </row>
    <row r="3485">
      <c r="DB3485">
        <f>IF('История отказов'!AW1088="","",'История отказов'!AW1088)</f>
        <v/>
      </c>
      <c r="DL3485">
        <f>IF(DB3485="","",IF(AND(COUNTIF($DA$2:$DA$47,DB3485)=0,COUNTIF($DB$2:DB3485,DB3485)=1),3484,""))</f>
        <v/>
      </c>
    </row>
    <row r="3486">
      <c r="DB3486">
        <f>IF('История отказов'!AW1089="","",'История отказов'!AW1089)</f>
        <v/>
      </c>
      <c r="DL3486">
        <f>IF(DB3486="","",IF(AND(COUNTIF($DA$2:$DA$47,DB3486)=0,COUNTIF($DB$2:DB3486,DB3486)=1),3485,""))</f>
        <v/>
      </c>
    </row>
    <row r="3487">
      <c r="DB3487">
        <f>IF('История отказов'!AW1090="","",'История отказов'!AW1090)</f>
        <v/>
      </c>
      <c r="DL3487">
        <f>IF(DB3487="","",IF(AND(COUNTIF($DA$2:$DA$47,DB3487)=0,COUNTIF($DB$2:DB3487,DB3487)=1),3486,""))</f>
        <v/>
      </c>
    </row>
    <row r="3488">
      <c r="DB3488">
        <f>IF('История отказов'!AW1091="","",'История отказов'!AW1091)</f>
        <v/>
      </c>
      <c r="DL3488">
        <f>IF(DB3488="","",IF(AND(COUNTIF($DA$2:$DA$47,DB3488)=0,COUNTIF($DB$2:DB3488,DB3488)=1),3487,""))</f>
        <v/>
      </c>
    </row>
    <row r="3489">
      <c r="DB3489">
        <f>IF('История отказов'!AW1092="","",'История отказов'!AW1092)</f>
        <v/>
      </c>
      <c r="DL3489">
        <f>IF(DB3489="","",IF(AND(COUNTIF($DA$2:$DA$47,DB3489)=0,COUNTIF($DB$2:DB3489,DB3489)=1),3488,""))</f>
        <v/>
      </c>
    </row>
    <row r="3490">
      <c r="DB3490">
        <f>IF('История отказов'!AW1093="","",'История отказов'!AW1093)</f>
        <v/>
      </c>
      <c r="DL3490">
        <f>IF(DB3490="","",IF(AND(COUNTIF($DA$2:$DA$47,DB3490)=0,COUNTIF($DB$2:DB3490,DB3490)=1),3489,""))</f>
        <v/>
      </c>
    </row>
    <row r="3491">
      <c r="DB3491">
        <f>IF('История отказов'!AW1094="","",'История отказов'!AW1094)</f>
        <v/>
      </c>
      <c r="DL3491">
        <f>IF(DB3491="","",IF(AND(COUNTIF($DA$2:$DA$47,DB3491)=0,COUNTIF($DB$2:DB3491,DB3491)=1),3490,""))</f>
        <v/>
      </c>
    </row>
    <row r="3492">
      <c r="DB3492">
        <f>IF('История отказов'!AW1095="","",'История отказов'!AW1095)</f>
        <v/>
      </c>
      <c r="DL3492">
        <f>IF(DB3492="","",IF(AND(COUNTIF($DA$2:$DA$47,DB3492)=0,COUNTIF($DB$2:DB3492,DB3492)=1),3491,""))</f>
        <v/>
      </c>
    </row>
    <row r="3493">
      <c r="DB3493">
        <f>IF('История отказов'!AW1096="","",'История отказов'!AW1096)</f>
        <v/>
      </c>
      <c r="DL3493">
        <f>IF(DB3493="","",IF(AND(COUNTIF($DA$2:$DA$47,DB3493)=0,COUNTIF($DB$2:DB3493,DB3493)=1),3492,""))</f>
        <v/>
      </c>
    </row>
    <row r="3494">
      <c r="DB3494">
        <f>IF('История отказов'!AW1097="","",'История отказов'!AW1097)</f>
        <v/>
      </c>
      <c r="DL3494">
        <f>IF(DB3494="","",IF(AND(COUNTIF($DA$2:$DA$47,DB3494)=0,COUNTIF($DB$2:DB3494,DB3494)=1),3493,""))</f>
        <v/>
      </c>
    </row>
    <row r="3495">
      <c r="DB3495">
        <f>IF('История отказов'!AW1098="","",'История отказов'!AW1098)</f>
        <v/>
      </c>
      <c r="DL3495">
        <f>IF(DB3495="","",IF(AND(COUNTIF($DA$2:$DA$47,DB3495)=0,COUNTIF($DB$2:DB3495,DB3495)=1),3494,""))</f>
        <v/>
      </c>
    </row>
    <row r="3496">
      <c r="DB3496">
        <f>IF('История отказов'!AW1099="","",'История отказов'!AW1099)</f>
        <v/>
      </c>
      <c r="DL3496">
        <f>IF(DB3496="","",IF(AND(COUNTIF($DA$2:$DA$47,DB3496)=0,COUNTIF($DB$2:DB3496,DB3496)=1),3495,""))</f>
        <v/>
      </c>
    </row>
    <row r="3497">
      <c r="DB3497">
        <f>IF('История отказов'!AW1100="","",'История отказов'!AW1100)</f>
        <v/>
      </c>
      <c r="DL3497">
        <f>IF(DB3497="","",IF(AND(COUNTIF($DA$2:$DA$47,DB3497)=0,COUNTIF($DB$2:DB3497,DB3497)=1),3496,""))</f>
        <v/>
      </c>
    </row>
    <row r="3498">
      <c r="DB3498">
        <f>IF('История отказов'!AW1101="","",'История отказов'!AW1101)</f>
        <v/>
      </c>
      <c r="DL3498">
        <f>IF(DB3498="","",IF(AND(COUNTIF($DA$2:$DA$47,DB3498)=0,COUNTIF($DB$2:DB3498,DB3498)=1),3497,""))</f>
        <v/>
      </c>
    </row>
    <row r="3499">
      <c r="DB3499">
        <f>IF('История отказов'!AW1102="","",'История отказов'!AW1102)</f>
        <v/>
      </c>
      <c r="DL3499">
        <f>IF(DB3499="","",IF(AND(COUNTIF($DA$2:$DA$47,DB3499)=0,COUNTIF($DB$2:DB3499,DB3499)=1),3498,""))</f>
        <v/>
      </c>
    </row>
    <row r="3500">
      <c r="DB3500">
        <f>IF('История отказов'!AW1103="","",'История отказов'!AW1103)</f>
        <v/>
      </c>
      <c r="DL3500">
        <f>IF(DB3500="","",IF(AND(COUNTIF($DA$2:$DA$47,DB3500)=0,COUNTIF($DB$2:DB3500,DB3500)=1),3499,""))</f>
        <v/>
      </c>
    </row>
    <row r="3501">
      <c r="DB3501">
        <f>IF('История отказов'!AW1104="","",'История отказов'!AW1104)</f>
        <v/>
      </c>
      <c r="DL3501">
        <f>IF(DB3501="","",IF(AND(COUNTIF($DA$2:$DA$47,DB3501)=0,COUNTIF($DB$2:DB3501,DB3501)=1),3500,""))</f>
        <v/>
      </c>
    </row>
    <row r="3502">
      <c r="DB3502">
        <f>IF('История отказов'!AW1105="","",'История отказов'!AW1105)</f>
        <v/>
      </c>
      <c r="DL3502">
        <f>IF(DB3502="","",IF(AND(COUNTIF($DA$2:$DA$47,DB3502)=0,COUNTIF($DB$2:DB3502,DB3502)=1),3501,""))</f>
        <v/>
      </c>
    </row>
    <row r="3503">
      <c r="DB3503">
        <f>IF('История отказов'!AW1106="","",'История отказов'!AW1106)</f>
        <v/>
      </c>
      <c r="DL3503">
        <f>IF(DB3503="","",IF(AND(COUNTIF($DA$2:$DA$47,DB3503)=0,COUNTIF($DB$2:DB3503,DB3503)=1),3502,""))</f>
        <v/>
      </c>
    </row>
    <row r="3504">
      <c r="DB3504">
        <f>IF('История отказов'!AW1107="","",'История отказов'!AW1107)</f>
        <v/>
      </c>
      <c r="DL3504">
        <f>IF(DB3504="","",IF(AND(COUNTIF($DA$2:$DA$47,DB3504)=0,COUNTIF($DB$2:DB3504,DB3504)=1),3503,""))</f>
        <v/>
      </c>
    </row>
    <row r="3505">
      <c r="DB3505">
        <f>IF('История отказов'!AW1108="","",'История отказов'!AW1108)</f>
        <v/>
      </c>
      <c r="DL3505">
        <f>IF(DB3505="","",IF(AND(COUNTIF($DA$2:$DA$47,DB3505)=0,COUNTIF($DB$2:DB3505,DB3505)=1),3504,""))</f>
        <v/>
      </c>
    </row>
    <row r="3506">
      <c r="DB3506">
        <f>IF('История отказов'!AW1109="","",'История отказов'!AW1109)</f>
        <v/>
      </c>
      <c r="DL3506">
        <f>IF(DB3506="","",IF(AND(COUNTIF($DA$2:$DA$47,DB3506)=0,COUNTIF($DB$2:DB3506,DB3506)=1),3505,""))</f>
        <v/>
      </c>
    </row>
    <row r="3507">
      <c r="DB3507">
        <f>IF('История отказов'!AW1110="","",'История отказов'!AW1110)</f>
        <v/>
      </c>
      <c r="DL3507">
        <f>IF(DB3507="","",IF(AND(COUNTIF($DA$2:$DA$47,DB3507)=0,COUNTIF($DB$2:DB3507,DB3507)=1),3506,""))</f>
        <v/>
      </c>
    </row>
    <row r="3508">
      <c r="DB3508">
        <f>IF('История отказов'!AW1111="","",'История отказов'!AW1111)</f>
        <v/>
      </c>
      <c r="DL3508">
        <f>IF(DB3508="","",IF(AND(COUNTIF($DA$2:$DA$47,DB3508)=0,COUNTIF($DB$2:DB3508,DB3508)=1),3507,""))</f>
        <v/>
      </c>
    </row>
    <row r="3509">
      <c r="DB3509">
        <f>IF('История отказов'!AW1112="","",'История отказов'!AW1112)</f>
        <v/>
      </c>
      <c r="DL3509">
        <f>IF(DB3509="","",IF(AND(COUNTIF($DA$2:$DA$47,DB3509)=0,COUNTIF($DB$2:DB3509,DB3509)=1),3508,""))</f>
        <v/>
      </c>
    </row>
    <row r="3510">
      <c r="DB3510">
        <f>IF('История отказов'!AW1113="","",'История отказов'!AW1113)</f>
        <v/>
      </c>
      <c r="DL3510">
        <f>IF(DB3510="","",IF(AND(COUNTIF($DA$2:$DA$47,DB3510)=0,COUNTIF($DB$2:DB3510,DB3510)=1),3509,""))</f>
        <v/>
      </c>
    </row>
    <row r="3511">
      <c r="DB3511">
        <f>IF('История отказов'!AW1114="","",'История отказов'!AW1114)</f>
        <v/>
      </c>
      <c r="DL3511">
        <f>IF(DB3511="","",IF(AND(COUNTIF($DA$2:$DA$47,DB3511)=0,COUNTIF($DB$2:DB3511,DB3511)=1),3510,""))</f>
        <v/>
      </c>
    </row>
    <row r="3512">
      <c r="DB3512">
        <f>IF('История отказов'!AW1115="","",'История отказов'!AW1115)</f>
        <v/>
      </c>
      <c r="DL3512">
        <f>IF(DB3512="","",IF(AND(COUNTIF($DA$2:$DA$47,DB3512)=0,COUNTIF($DB$2:DB3512,DB3512)=1),3511,""))</f>
        <v/>
      </c>
    </row>
    <row r="3513">
      <c r="DB3513">
        <f>IF('История отказов'!AW1116="","",'История отказов'!AW1116)</f>
        <v/>
      </c>
      <c r="DL3513">
        <f>IF(DB3513="","",IF(AND(COUNTIF($DA$2:$DA$47,DB3513)=0,COUNTIF($DB$2:DB3513,DB3513)=1),3512,""))</f>
        <v/>
      </c>
    </row>
    <row r="3514">
      <c r="DB3514">
        <f>IF('История отказов'!AW1117="","",'История отказов'!AW1117)</f>
        <v/>
      </c>
      <c r="DL3514">
        <f>IF(DB3514="","",IF(AND(COUNTIF($DA$2:$DA$47,DB3514)=0,COUNTIF($DB$2:DB3514,DB3514)=1),3513,""))</f>
        <v/>
      </c>
    </row>
    <row r="3515">
      <c r="DB3515">
        <f>IF('История отказов'!AW1118="","",'История отказов'!AW1118)</f>
        <v/>
      </c>
      <c r="DL3515">
        <f>IF(DB3515="","",IF(AND(COUNTIF($DA$2:$DA$47,DB3515)=0,COUNTIF($DB$2:DB3515,DB3515)=1),3514,""))</f>
        <v/>
      </c>
    </row>
    <row r="3516">
      <c r="DB3516">
        <f>IF('История отказов'!AW1119="","",'История отказов'!AW1119)</f>
        <v/>
      </c>
      <c r="DL3516">
        <f>IF(DB3516="","",IF(AND(COUNTIF($DA$2:$DA$47,DB3516)=0,COUNTIF($DB$2:DB3516,DB3516)=1),3515,""))</f>
        <v/>
      </c>
    </row>
    <row r="3517">
      <c r="DB3517">
        <f>IF('История отказов'!AW1120="","",'История отказов'!AW1120)</f>
        <v/>
      </c>
      <c r="DL3517">
        <f>IF(DB3517="","",IF(AND(COUNTIF($DA$2:$DA$47,DB3517)=0,COUNTIF($DB$2:DB3517,DB3517)=1),3516,""))</f>
        <v/>
      </c>
    </row>
    <row r="3518">
      <c r="DB3518">
        <f>IF('История отказов'!AW1121="","",'История отказов'!AW1121)</f>
        <v/>
      </c>
      <c r="DL3518">
        <f>IF(DB3518="","",IF(AND(COUNTIF($DA$2:$DA$47,DB3518)=0,COUNTIF($DB$2:DB3518,DB3518)=1),3517,""))</f>
        <v/>
      </c>
    </row>
    <row r="3519">
      <c r="DB3519">
        <f>IF('История отказов'!AW1122="","",'История отказов'!AW1122)</f>
        <v/>
      </c>
      <c r="DL3519">
        <f>IF(DB3519="","",IF(AND(COUNTIF($DA$2:$DA$47,DB3519)=0,COUNTIF($DB$2:DB3519,DB3519)=1),3518,""))</f>
        <v/>
      </c>
    </row>
    <row r="3520">
      <c r="DB3520">
        <f>IF('История отказов'!AW1123="","",'История отказов'!AW1123)</f>
        <v/>
      </c>
      <c r="DL3520">
        <f>IF(DB3520="","",IF(AND(COUNTIF($DA$2:$DA$47,DB3520)=0,COUNTIF($DB$2:DB3520,DB3520)=1),3519,""))</f>
        <v/>
      </c>
    </row>
    <row r="3521">
      <c r="DB3521">
        <f>IF('История отказов'!AW1124="","",'История отказов'!AW1124)</f>
        <v/>
      </c>
      <c r="DL3521">
        <f>IF(DB3521="","",IF(AND(COUNTIF($DA$2:$DA$47,DB3521)=0,COUNTIF($DB$2:DB3521,DB3521)=1),3520,""))</f>
        <v/>
      </c>
    </row>
    <row r="3522">
      <c r="DB3522">
        <f>IF('История отказов'!AW1125="","",'История отказов'!AW1125)</f>
        <v/>
      </c>
      <c r="DL3522">
        <f>IF(DB3522="","",IF(AND(COUNTIF($DA$2:$DA$47,DB3522)=0,COUNTIF($DB$2:DB3522,DB3522)=1),3521,""))</f>
        <v/>
      </c>
    </row>
    <row r="3523">
      <c r="DB3523">
        <f>IF('История отказов'!AW1126="","",'История отказов'!AW1126)</f>
        <v/>
      </c>
      <c r="DL3523">
        <f>IF(DB3523="","",IF(AND(COUNTIF($DA$2:$DA$47,DB3523)=0,COUNTIF($DB$2:DB3523,DB3523)=1),3522,""))</f>
        <v/>
      </c>
    </row>
    <row r="3524">
      <c r="DB3524">
        <f>IF('История отказов'!AW1127="","",'История отказов'!AW1127)</f>
        <v/>
      </c>
      <c r="DL3524">
        <f>IF(DB3524="","",IF(AND(COUNTIF($DA$2:$DA$47,DB3524)=0,COUNTIF($DB$2:DB3524,DB3524)=1),3523,""))</f>
        <v/>
      </c>
    </row>
    <row r="3525">
      <c r="DB3525">
        <f>IF('История отказов'!AW1128="","",'История отказов'!AW1128)</f>
        <v/>
      </c>
      <c r="DL3525">
        <f>IF(DB3525="","",IF(AND(COUNTIF($DA$2:$DA$47,DB3525)=0,COUNTIF($DB$2:DB3525,DB3525)=1),3524,""))</f>
        <v/>
      </c>
    </row>
    <row r="3526">
      <c r="DB3526">
        <f>IF('История отказов'!AW1129="","",'История отказов'!AW1129)</f>
        <v/>
      </c>
      <c r="DL3526">
        <f>IF(DB3526="","",IF(AND(COUNTIF($DA$2:$DA$47,DB3526)=0,COUNTIF($DB$2:DB3526,DB3526)=1),3525,""))</f>
        <v/>
      </c>
    </row>
    <row r="3527">
      <c r="DB3527">
        <f>IF('История отказов'!AW1130="","",'История отказов'!AW1130)</f>
        <v/>
      </c>
      <c r="DL3527">
        <f>IF(DB3527="","",IF(AND(COUNTIF($DA$2:$DA$47,DB3527)=0,COUNTIF($DB$2:DB3527,DB3527)=1),3526,""))</f>
        <v/>
      </c>
    </row>
    <row r="3528">
      <c r="DB3528">
        <f>IF('История отказов'!AW1131="","",'История отказов'!AW1131)</f>
        <v/>
      </c>
      <c r="DL3528">
        <f>IF(DB3528="","",IF(AND(COUNTIF($DA$2:$DA$47,DB3528)=0,COUNTIF($DB$2:DB3528,DB3528)=1),3527,""))</f>
        <v/>
      </c>
    </row>
    <row r="3529">
      <c r="DB3529">
        <f>IF('История отказов'!AW1132="","",'История отказов'!AW1132)</f>
        <v/>
      </c>
      <c r="DL3529">
        <f>IF(DB3529="","",IF(AND(COUNTIF($DA$2:$DA$47,DB3529)=0,COUNTIF($DB$2:DB3529,DB3529)=1),3528,""))</f>
        <v/>
      </c>
    </row>
    <row r="3530">
      <c r="DB3530">
        <f>IF('История отказов'!AW1133="","",'История отказов'!AW1133)</f>
        <v/>
      </c>
      <c r="DL3530">
        <f>IF(DB3530="","",IF(AND(COUNTIF($DA$2:$DA$47,DB3530)=0,COUNTIF($DB$2:DB3530,DB3530)=1),3529,""))</f>
        <v/>
      </c>
    </row>
    <row r="3531">
      <c r="DB3531">
        <f>IF('История отказов'!AW1134="","",'История отказов'!AW1134)</f>
        <v/>
      </c>
      <c r="DL3531">
        <f>IF(DB3531="","",IF(AND(COUNTIF($DA$2:$DA$47,DB3531)=0,COUNTIF($DB$2:DB3531,DB3531)=1),3530,""))</f>
        <v/>
      </c>
    </row>
    <row r="3532">
      <c r="DB3532">
        <f>IF('История отказов'!AW1135="","",'История отказов'!AW1135)</f>
        <v/>
      </c>
      <c r="DL3532">
        <f>IF(DB3532="","",IF(AND(COUNTIF($DA$2:$DA$47,DB3532)=0,COUNTIF($DB$2:DB3532,DB3532)=1),3531,""))</f>
        <v/>
      </c>
    </row>
    <row r="3533">
      <c r="DB3533">
        <f>IF('История отказов'!AW1136="","",'История отказов'!AW1136)</f>
        <v/>
      </c>
      <c r="DL3533">
        <f>IF(DB3533="","",IF(AND(COUNTIF($DA$2:$DA$47,DB3533)=0,COUNTIF($DB$2:DB3533,DB3533)=1),3532,""))</f>
        <v/>
      </c>
    </row>
    <row r="3534">
      <c r="DB3534">
        <f>IF('История отказов'!AW1137="","",'История отказов'!AW1137)</f>
        <v/>
      </c>
      <c r="DL3534">
        <f>IF(DB3534="","",IF(AND(COUNTIF($DA$2:$DA$47,DB3534)=0,COUNTIF($DB$2:DB3534,DB3534)=1),3533,""))</f>
        <v/>
      </c>
    </row>
    <row r="3535">
      <c r="DB3535">
        <f>IF('История отказов'!AW1138="","",'История отказов'!AW1138)</f>
        <v/>
      </c>
      <c r="DL3535">
        <f>IF(DB3535="","",IF(AND(COUNTIF($DA$2:$DA$47,DB3535)=0,COUNTIF($DB$2:DB3535,DB3535)=1),3534,""))</f>
        <v/>
      </c>
    </row>
    <row r="3536">
      <c r="DB3536">
        <f>IF('История отказов'!AW1139="","",'История отказов'!AW1139)</f>
        <v/>
      </c>
      <c r="DL3536">
        <f>IF(DB3536="","",IF(AND(COUNTIF($DA$2:$DA$47,DB3536)=0,COUNTIF($DB$2:DB3536,DB3536)=1),3535,""))</f>
        <v/>
      </c>
    </row>
    <row r="3537">
      <c r="DB3537">
        <f>IF('История отказов'!AW1140="","",'История отказов'!AW1140)</f>
        <v/>
      </c>
      <c r="DL3537">
        <f>IF(DB3537="","",IF(AND(COUNTIF($DA$2:$DA$47,DB3537)=0,COUNTIF($DB$2:DB3537,DB3537)=1),3536,""))</f>
        <v/>
      </c>
    </row>
    <row r="3538">
      <c r="DB3538">
        <f>IF('История отказов'!AW1141="","",'История отказов'!AW1141)</f>
        <v/>
      </c>
      <c r="DL3538">
        <f>IF(DB3538="","",IF(AND(COUNTIF($DA$2:$DA$47,DB3538)=0,COUNTIF($DB$2:DB3538,DB3538)=1),3537,""))</f>
        <v/>
      </c>
    </row>
    <row r="3539">
      <c r="DB3539">
        <f>IF('История отказов'!AW1142="","",'История отказов'!AW1142)</f>
        <v/>
      </c>
      <c r="DL3539">
        <f>IF(DB3539="","",IF(AND(COUNTIF($DA$2:$DA$47,DB3539)=0,COUNTIF($DB$2:DB3539,DB3539)=1),3538,""))</f>
        <v/>
      </c>
    </row>
    <row r="3540">
      <c r="DB3540">
        <f>IF('История отказов'!AW1143="","",'История отказов'!AW1143)</f>
        <v/>
      </c>
      <c r="DL3540">
        <f>IF(DB3540="","",IF(AND(COUNTIF($DA$2:$DA$47,DB3540)=0,COUNTIF($DB$2:DB3540,DB3540)=1),3539,""))</f>
        <v/>
      </c>
    </row>
    <row r="3541">
      <c r="DB3541">
        <f>IF('История отказов'!AW1144="","",'История отказов'!AW1144)</f>
        <v/>
      </c>
      <c r="DL3541">
        <f>IF(DB3541="","",IF(AND(COUNTIF($DA$2:$DA$47,DB3541)=0,COUNTIF($DB$2:DB3541,DB3541)=1),3540,""))</f>
        <v/>
      </c>
    </row>
    <row r="3542">
      <c r="DB3542">
        <f>IF('История отказов'!AW1145="","",'История отказов'!AW1145)</f>
        <v/>
      </c>
      <c r="DL3542">
        <f>IF(DB3542="","",IF(AND(COUNTIF($DA$2:$DA$47,DB3542)=0,COUNTIF($DB$2:DB3542,DB3542)=1),3541,""))</f>
        <v/>
      </c>
    </row>
    <row r="3543">
      <c r="DB3543">
        <f>IF('История отказов'!AW1146="","",'История отказов'!AW1146)</f>
        <v/>
      </c>
      <c r="DL3543">
        <f>IF(DB3543="","",IF(AND(COUNTIF($DA$2:$DA$47,DB3543)=0,COUNTIF($DB$2:DB3543,DB3543)=1),3542,""))</f>
        <v/>
      </c>
    </row>
    <row r="3544">
      <c r="DB3544">
        <f>IF('История отказов'!AW1147="","",'История отказов'!AW1147)</f>
        <v/>
      </c>
      <c r="DL3544">
        <f>IF(DB3544="","",IF(AND(COUNTIF($DA$2:$DA$47,DB3544)=0,COUNTIF($DB$2:DB3544,DB3544)=1),3543,""))</f>
        <v/>
      </c>
    </row>
    <row r="3545">
      <c r="DB3545">
        <f>IF('История отказов'!AW1148="","",'История отказов'!AW1148)</f>
        <v/>
      </c>
      <c r="DL3545">
        <f>IF(DB3545="","",IF(AND(COUNTIF($DA$2:$DA$47,DB3545)=0,COUNTIF($DB$2:DB3545,DB3545)=1),3544,""))</f>
        <v/>
      </c>
    </row>
    <row r="3546">
      <c r="DB3546">
        <f>IF('История отказов'!AW1149="","",'История отказов'!AW1149)</f>
        <v/>
      </c>
      <c r="DL3546">
        <f>IF(DB3546="","",IF(AND(COUNTIF($DA$2:$DA$47,DB3546)=0,COUNTIF($DB$2:DB3546,DB3546)=1),3545,""))</f>
        <v/>
      </c>
    </row>
    <row r="3547">
      <c r="DB3547">
        <f>IF('История отказов'!AW1150="","",'История отказов'!AW1150)</f>
        <v/>
      </c>
      <c r="DL3547">
        <f>IF(DB3547="","",IF(AND(COUNTIF($DA$2:$DA$47,DB3547)=0,COUNTIF($DB$2:DB3547,DB3547)=1),3546,""))</f>
        <v/>
      </c>
    </row>
    <row r="3548">
      <c r="DB3548">
        <f>IF('История отказов'!AW1151="","",'История отказов'!AW1151)</f>
        <v/>
      </c>
      <c r="DL3548">
        <f>IF(DB3548="","",IF(AND(COUNTIF($DA$2:$DA$47,DB3548)=0,COUNTIF($DB$2:DB3548,DB3548)=1),3547,""))</f>
        <v/>
      </c>
    </row>
    <row r="3549">
      <c r="DB3549">
        <f>IF('История отказов'!AW1152="","",'История отказов'!AW1152)</f>
        <v/>
      </c>
      <c r="DL3549">
        <f>IF(DB3549="","",IF(AND(COUNTIF($DA$2:$DA$47,DB3549)=0,COUNTIF($DB$2:DB3549,DB3549)=1),3548,""))</f>
        <v/>
      </c>
    </row>
    <row r="3550">
      <c r="DB3550">
        <f>IF('История отказов'!AW1153="","",'История отказов'!AW1153)</f>
        <v/>
      </c>
      <c r="DL3550">
        <f>IF(DB3550="","",IF(AND(COUNTIF($DA$2:$DA$47,DB3550)=0,COUNTIF($DB$2:DB3550,DB3550)=1),3549,""))</f>
        <v/>
      </c>
    </row>
    <row r="3551">
      <c r="DB3551">
        <f>IF('История отказов'!AW1154="","",'История отказов'!AW1154)</f>
        <v/>
      </c>
      <c r="DL3551">
        <f>IF(DB3551="","",IF(AND(COUNTIF($DA$2:$DA$47,DB3551)=0,COUNTIF($DB$2:DB3551,DB3551)=1),3550,""))</f>
        <v/>
      </c>
    </row>
    <row r="3552">
      <c r="DB3552">
        <f>IF('История отказов'!AW1155="","",'История отказов'!AW1155)</f>
        <v/>
      </c>
      <c r="DL3552">
        <f>IF(DB3552="","",IF(AND(COUNTIF($DA$2:$DA$47,DB3552)=0,COUNTIF($DB$2:DB3552,DB3552)=1),3551,""))</f>
        <v/>
      </c>
    </row>
    <row r="3553">
      <c r="DB3553">
        <f>IF('История отказов'!AW1156="","",'История отказов'!AW1156)</f>
        <v/>
      </c>
      <c r="DL3553">
        <f>IF(DB3553="","",IF(AND(COUNTIF($DA$2:$DA$47,DB3553)=0,COUNTIF($DB$2:DB3553,DB3553)=1),3552,""))</f>
        <v/>
      </c>
    </row>
    <row r="3554">
      <c r="DB3554">
        <f>IF('История отказов'!AW1157="","",'История отказов'!AW1157)</f>
        <v/>
      </c>
      <c r="DL3554">
        <f>IF(DB3554="","",IF(AND(COUNTIF($DA$2:$DA$47,DB3554)=0,COUNTIF($DB$2:DB3554,DB3554)=1),3553,""))</f>
        <v/>
      </c>
    </row>
    <row r="3555">
      <c r="DB3555">
        <f>IF('История отказов'!AW1158="","",'История отказов'!AW1158)</f>
        <v/>
      </c>
      <c r="DL3555">
        <f>IF(DB3555="","",IF(AND(COUNTIF($DA$2:$DA$47,DB3555)=0,COUNTIF($DB$2:DB3555,DB3555)=1),3554,""))</f>
        <v/>
      </c>
    </row>
    <row r="3556">
      <c r="DB3556">
        <f>IF('История отказов'!AW1159="","",'История отказов'!AW1159)</f>
        <v/>
      </c>
      <c r="DL3556">
        <f>IF(DB3556="","",IF(AND(COUNTIF($DA$2:$DA$47,DB3556)=0,COUNTIF($DB$2:DB3556,DB3556)=1),3555,""))</f>
        <v/>
      </c>
    </row>
    <row r="3557">
      <c r="DB3557">
        <f>IF('История отказов'!AW1160="","",'История отказов'!AW1160)</f>
        <v/>
      </c>
      <c r="DL3557">
        <f>IF(DB3557="","",IF(AND(COUNTIF($DA$2:$DA$47,DB3557)=0,COUNTIF($DB$2:DB3557,DB3557)=1),3556,""))</f>
        <v/>
      </c>
    </row>
    <row r="3558">
      <c r="DB3558">
        <f>IF('История отказов'!AW1161="","",'История отказов'!AW1161)</f>
        <v/>
      </c>
      <c r="DL3558">
        <f>IF(DB3558="","",IF(AND(COUNTIF($DA$2:$DA$47,DB3558)=0,COUNTIF($DB$2:DB3558,DB3558)=1),3557,""))</f>
        <v/>
      </c>
    </row>
    <row r="3559">
      <c r="DB3559">
        <f>IF('История отказов'!AW1162="","",'История отказов'!AW1162)</f>
        <v/>
      </c>
      <c r="DL3559">
        <f>IF(DB3559="","",IF(AND(COUNTIF($DA$2:$DA$47,DB3559)=0,COUNTIF($DB$2:DB3559,DB3559)=1),3558,""))</f>
        <v/>
      </c>
    </row>
    <row r="3560">
      <c r="DB3560">
        <f>IF('История отказов'!AW1163="","",'История отказов'!AW1163)</f>
        <v/>
      </c>
      <c r="DL3560">
        <f>IF(DB3560="","",IF(AND(COUNTIF($DA$2:$DA$47,DB3560)=0,COUNTIF($DB$2:DB3560,DB3560)=1),3559,""))</f>
        <v/>
      </c>
    </row>
    <row r="3561">
      <c r="DB3561">
        <f>IF('История отказов'!AW1164="","",'История отказов'!AW1164)</f>
        <v/>
      </c>
      <c r="DL3561">
        <f>IF(DB3561="","",IF(AND(COUNTIF($DA$2:$DA$47,DB3561)=0,COUNTIF($DB$2:DB3561,DB3561)=1),3560,""))</f>
        <v/>
      </c>
    </row>
    <row r="3562">
      <c r="DB3562">
        <f>IF('История отказов'!AW1165="","",'История отказов'!AW1165)</f>
        <v/>
      </c>
      <c r="DL3562">
        <f>IF(DB3562="","",IF(AND(COUNTIF($DA$2:$DA$47,DB3562)=0,COUNTIF($DB$2:DB3562,DB3562)=1),3561,""))</f>
        <v/>
      </c>
    </row>
    <row r="3563">
      <c r="DB3563">
        <f>IF('История отказов'!AW1166="","",'История отказов'!AW1166)</f>
        <v/>
      </c>
      <c r="DL3563">
        <f>IF(DB3563="","",IF(AND(COUNTIF($DA$2:$DA$47,DB3563)=0,COUNTIF($DB$2:DB3563,DB3563)=1),3562,""))</f>
        <v/>
      </c>
    </row>
    <row r="3564">
      <c r="DB3564">
        <f>IF('История отказов'!AW1167="","",'История отказов'!AW1167)</f>
        <v/>
      </c>
      <c r="DL3564">
        <f>IF(DB3564="","",IF(AND(COUNTIF($DA$2:$DA$47,DB3564)=0,COUNTIF($DB$2:DB3564,DB3564)=1),3563,""))</f>
        <v/>
      </c>
    </row>
    <row r="3565">
      <c r="DB3565">
        <f>IF('История отказов'!AW1168="","",'История отказов'!AW1168)</f>
        <v/>
      </c>
      <c r="DL3565">
        <f>IF(DB3565="","",IF(AND(COUNTIF($DA$2:$DA$47,DB3565)=0,COUNTIF($DB$2:DB3565,DB3565)=1),3564,""))</f>
        <v/>
      </c>
    </row>
    <row r="3566">
      <c r="DB3566">
        <f>IF('История отказов'!AW1169="","",'История отказов'!AW1169)</f>
        <v/>
      </c>
      <c r="DL3566">
        <f>IF(DB3566="","",IF(AND(COUNTIF($DA$2:$DA$47,DB3566)=0,COUNTIF($DB$2:DB3566,DB3566)=1),3565,""))</f>
        <v/>
      </c>
    </row>
    <row r="3567">
      <c r="DB3567">
        <f>IF('История отказов'!AW1170="","",'История отказов'!AW1170)</f>
        <v/>
      </c>
      <c r="DL3567">
        <f>IF(DB3567="","",IF(AND(COUNTIF($DA$2:$DA$47,DB3567)=0,COUNTIF($DB$2:DB3567,DB3567)=1),3566,""))</f>
        <v/>
      </c>
    </row>
    <row r="3568">
      <c r="DB3568">
        <f>IF('История отказов'!AW1171="","",'История отказов'!AW1171)</f>
        <v/>
      </c>
      <c r="DL3568">
        <f>IF(DB3568="","",IF(AND(COUNTIF($DA$2:$DA$47,DB3568)=0,COUNTIF($DB$2:DB3568,DB3568)=1),3567,""))</f>
        <v/>
      </c>
    </row>
    <row r="3569">
      <c r="DB3569">
        <f>IF('История отказов'!AW1172="","",'История отказов'!AW1172)</f>
        <v/>
      </c>
      <c r="DL3569">
        <f>IF(DB3569="","",IF(AND(COUNTIF($DA$2:$DA$47,DB3569)=0,COUNTIF($DB$2:DB3569,DB3569)=1),3568,""))</f>
        <v/>
      </c>
    </row>
    <row r="3570">
      <c r="DB3570">
        <f>IF('История отказов'!AW1173="","",'История отказов'!AW1173)</f>
        <v/>
      </c>
      <c r="DL3570">
        <f>IF(DB3570="","",IF(AND(COUNTIF($DA$2:$DA$47,DB3570)=0,COUNTIF($DB$2:DB3570,DB3570)=1),3569,""))</f>
        <v/>
      </c>
    </row>
    <row r="3571">
      <c r="DB3571">
        <f>IF('История отказов'!AW1174="","",'История отказов'!AW1174)</f>
        <v/>
      </c>
      <c r="DL3571">
        <f>IF(DB3571="","",IF(AND(COUNTIF($DA$2:$DA$47,DB3571)=0,COUNTIF($DB$2:DB3571,DB3571)=1),3570,""))</f>
        <v/>
      </c>
    </row>
    <row r="3572">
      <c r="DB3572">
        <f>IF('История отказов'!AW1175="","",'История отказов'!AW1175)</f>
        <v/>
      </c>
      <c r="DL3572">
        <f>IF(DB3572="","",IF(AND(COUNTIF($DA$2:$DA$47,DB3572)=0,COUNTIF($DB$2:DB3572,DB3572)=1),3571,""))</f>
        <v/>
      </c>
    </row>
    <row r="3573">
      <c r="DB3573">
        <f>IF('История отказов'!AW1176="","",'История отказов'!AW1176)</f>
        <v/>
      </c>
      <c r="DL3573">
        <f>IF(DB3573="","",IF(AND(COUNTIF($DA$2:$DA$47,DB3573)=0,COUNTIF($DB$2:DB3573,DB3573)=1),3572,""))</f>
        <v/>
      </c>
    </row>
    <row r="3574">
      <c r="DB3574">
        <f>IF('История отказов'!AW1177="","",'История отказов'!AW1177)</f>
        <v/>
      </c>
      <c r="DL3574">
        <f>IF(DB3574="","",IF(AND(COUNTIF($DA$2:$DA$47,DB3574)=0,COUNTIF($DB$2:DB3574,DB3574)=1),3573,""))</f>
        <v/>
      </c>
    </row>
    <row r="3575">
      <c r="DB3575">
        <f>IF('История отказов'!AW1178="","",'История отказов'!AW1178)</f>
        <v/>
      </c>
      <c r="DL3575">
        <f>IF(DB3575="","",IF(AND(COUNTIF($DA$2:$DA$47,DB3575)=0,COUNTIF($DB$2:DB3575,DB3575)=1),3574,""))</f>
        <v/>
      </c>
    </row>
    <row r="3576">
      <c r="DB3576">
        <f>IF('История отказов'!AW1179="","",'История отказов'!AW1179)</f>
        <v/>
      </c>
      <c r="DL3576">
        <f>IF(DB3576="","",IF(AND(COUNTIF($DA$2:$DA$47,DB3576)=0,COUNTIF($DB$2:DB3576,DB3576)=1),3575,""))</f>
        <v/>
      </c>
    </row>
    <row r="3577">
      <c r="DB3577">
        <f>IF('История отказов'!AW1180="","",'История отказов'!AW1180)</f>
        <v/>
      </c>
      <c r="DL3577">
        <f>IF(DB3577="","",IF(AND(COUNTIF($DA$2:$DA$47,DB3577)=0,COUNTIF($DB$2:DB3577,DB3577)=1),3576,""))</f>
        <v/>
      </c>
    </row>
    <row r="3578">
      <c r="DB3578">
        <f>IF('История отказов'!AW1181="","",'История отказов'!AW1181)</f>
        <v/>
      </c>
      <c r="DL3578">
        <f>IF(DB3578="","",IF(AND(COUNTIF($DA$2:$DA$47,DB3578)=0,COUNTIF($DB$2:DB3578,DB3578)=1),3577,""))</f>
        <v/>
      </c>
    </row>
    <row r="3579">
      <c r="DB3579">
        <f>IF('История отказов'!AW1182="","",'История отказов'!AW1182)</f>
        <v/>
      </c>
      <c r="DL3579">
        <f>IF(DB3579="","",IF(AND(COUNTIF($DA$2:$DA$47,DB3579)=0,COUNTIF($DB$2:DB3579,DB3579)=1),3578,""))</f>
        <v/>
      </c>
    </row>
    <row r="3580">
      <c r="DB3580">
        <f>IF('История отказов'!AW1183="","",'История отказов'!AW1183)</f>
        <v/>
      </c>
      <c r="DL3580">
        <f>IF(DB3580="","",IF(AND(COUNTIF($DA$2:$DA$47,DB3580)=0,COUNTIF($DB$2:DB3580,DB3580)=1),3579,""))</f>
        <v/>
      </c>
    </row>
    <row r="3581">
      <c r="DB3581">
        <f>IF('История отказов'!AW1184="","",'История отказов'!AW1184)</f>
        <v/>
      </c>
      <c r="DL3581">
        <f>IF(DB3581="","",IF(AND(COUNTIF($DA$2:$DA$47,DB3581)=0,COUNTIF($DB$2:DB3581,DB3581)=1),3580,""))</f>
        <v/>
      </c>
    </row>
    <row r="3582">
      <c r="DB3582">
        <f>IF('История отказов'!AW1185="","",'История отказов'!AW1185)</f>
        <v/>
      </c>
      <c r="DL3582">
        <f>IF(DB3582="","",IF(AND(COUNTIF($DA$2:$DA$47,DB3582)=0,COUNTIF($DB$2:DB3582,DB3582)=1),3581,""))</f>
        <v/>
      </c>
    </row>
    <row r="3583">
      <c r="DB3583">
        <f>IF('История отказов'!AW1186="","",'История отказов'!AW1186)</f>
        <v/>
      </c>
      <c r="DL3583">
        <f>IF(DB3583="","",IF(AND(COUNTIF($DA$2:$DA$47,DB3583)=0,COUNTIF($DB$2:DB3583,DB3583)=1),3582,""))</f>
        <v/>
      </c>
    </row>
    <row r="3584">
      <c r="DB3584">
        <f>IF('История отказов'!AW1187="","",'История отказов'!AW1187)</f>
        <v/>
      </c>
      <c r="DL3584">
        <f>IF(DB3584="","",IF(AND(COUNTIF($DA$2:$DA$47,DB3584)=0,COUNTIF($DB$2:DB3584,DB3584)=1),3583,""))</f>
        <v/>
      </c>
    </row>
    <row r="3585">
      <c r="DB3585">
        <f>IF('История отказов'!AW1188="","",'История отказов'!AW1188)</f>
        <v/>
      </c>
      <c r="DL3585">
        <f>IF(DB3585="","",IF(AND(COUNTIF($DA$2:$DA$47,DB3585)=0,COUNTIF($DB$2:DB3585,DB3585)=1),3584,""))</f>
        <v/>
      </c>
    </row>
    <row r="3586">
      <c r="DB3586">
        <f>IF('История отказов'!AW1189="","",'История отказов'!AW1189)</f>
        <v/>
      </c>
      <c r="DL3586">
        <f>IF(DB3586="","",IF(AND(COUNTIF($DA$2:$DA$47,DB3586)=0,COUNTIF($DB$2:DB3586,DB3586)=1),3585,""))</f>
        <v/>
      </c>
    </row>
    <row r="3587">
      <c r="DB3587">
        <f>IF('История отказов'!AW1190="","",'История отказов'!AW1190)</f>
        <v/>
      </c>
      <c r="DL3587">
        <f>IF(DB3587="","",IF(AND(COUNTIF($DA$2:$DA$47,DB3587)=0,COUNTIF($DB$2:DB3587,DB3587)=1),3586,""))</f>
        <v/>
      </c>
    </row>
    <row r="3588">
      <c r="DB3588">
        <f>IF('История отказов'!AW1191="","",'История отказов'!AW1191)</f>
        <v/>
      </c>
      <c r="DL3588">
        <f>IF(DB3588="","",IF(AND(COUNTIF($DA$2:$DA$47,DB3588)=0,COUNTIF($DB$2:DB3588,DB3588)=1),3587,""))</f>
        <v/>
      </c>
    </row>
    <row r="3589">
      <c r="DB3589">
        <f>IF('История отказов'!AW1192="","",'История отказов'!AW1192)</f>
        <v/>
      </c>
      <c r="DL3589">
        <f>IF(DB3589="","",IF(AND(COUNTIF($DA$2:$DA$47,DB3589)=0,COUNTIF($DB$2:DB3589,DB3589)=1),3588,""))</f>
        <v/>
      </c>
    </row>
    <row r="3590">
      <c r="DB3590">
        <f>IF('История отказов'!AW1193="","",'История отказов'!AW1193)</f>
        <v/>
      </c>
      <c r="DL3590">
        <f>IF(DB3590="","",IF(AND(COUNTIF($DA$2:$DA$47,DB3590)=0,COUNTIF($DB$2:DB3590,DB3590)=1),3589,""))</f>
        <v/>
      </c>
    </row>
    <row r="3591">
      <c r="DB3591">
        <f>IF('История отказов'!AW1194="","",'История отказов'!AW1194)</f>
        <v/>
      </c>
      <c r="DL3591">
        <f>IF(DB3591="","",IF(AND(COUNTIF($DA$2:$DA$47,DB3591)=0,COUNTIF($DB$2:DB3591,DB3591)=1),3590,""))</f>
        <v/>
      </c>
    </row>
    <row r="3592">
      <c r="DB3592">
        <f>IF('История отказов'!AW1195="","",'История отказов'!AW1195)</f>
        <v/>
      </c>
      <c r="DL3592">
        <f>IF(DB3592="","",IF(AND(COUNTIF($DA$2:$DA$47,DB3592)=0,COUNTIF($DB$2:DB3592,DB3592)=1),3591,""))</f>
        <v/>
      </c>
    </row>
    <row r="3593">
      <c r="DB3593">
        <f>IF('История отказов'!AW1196="","",'История отказов'!AW1196)</f>
        <v/>
      </c>
      <c r="DL3593">
        <f>IF(DB3593="","",IF(AND(COUNTIF($DA$2:$DA$47,DB3593)=0,COUNTIF($DB$2:DB3593,DB3593)=1),3592,""))</f>
        <v/>
      </c>
    </row>
    <row r="3594">
      <c r="DB3594">
        <f>IF('История отказов'!AW1197="","",'История отказов'!AW1197)</f>
        <v/>
      </c>
      <c r="DL3594">
        <f>IF(DB3594="","",IF(AND(COUNTIF($DA$2:$DA$47,DB3594)=0,COUNTIF($DB$2:DB3594,DB3594)=1),3593,""))</f>
        <v/>
      </c>
    </row>
    <row r="3595">
      <c r="DB3595">
        <f>IF('История отказов'!AW1198="","",'История отказов'!AW1198)</f>
        <v/>
      </c>
      <c r="DL3595">
        <f>IF(DB3595="","",IF(AND(COUNTIF($DA$2:$DA$47,DB3595)=0,COUNTIF($DB$2:DB3595,DB3595)=1),3594,""))</f>
        <v/>
      </c>
    </row>
    <row r="3596">
      <c r="DB3596">
        <f>IF('История отказов'!AW1199="","",'История отказов'!AW1199)</f>
        <v/>
      </c>
      <c r="DL3596">
        <f>IF(DB3596="","",IF(AND(COUNTIF($DA$2:$DA$47,DB3596)=0,COUNTIF($DB$2:DB3596,DB3596)=1),3595,""))</f>
        <v/>
      </c>
    </row>
    <row r="3597">
      <c r="DB3597">
        <f>IF('История отказов'!AW1200="","",'История отказов'!AW1200)</f>
        <v/>
      </c>
      <c r="DL3597">
        <f>IF(DB3597="","",IF(AND(COUNTIF($DA$2:$DA$47,DB3597)=0,COUNTIF($DB$2:DB3597,DB3597)=1),3596,""))</f>
        <v/>
      </c>
    </row>
    <row r="3598">
      <c r="DB3598">
        <f>IF('История отказов'!AW1201="","",'История отказов'!AW1201)</f>
        <v/>
      </c>
      <c r="DL3598">
        <f>IF(DB3598="","",IF(AND(COUNTIF($DA$2:$DA$47,DB3598)=0,COUNTIF($DB$2:DB3598,DB3598)=1),3597,""))</f>
        <v/>
      </c>
    </row>
    <row r="3599">
      <c r="DB3599">
        <f>IF('История отказов'!AW1202="","",'История отказов'!AW1202)</f>
        <v/>
      </c>
      <c r="DL3599">
        <f>IF(DB3599="","",IF(AND(COUNTIF($DA$2:$DA$47,DB3599)=0,COUNTIF($DB$2:DB3599,DB3599)=1),3598,""))</f>
        <v/>
      </c>
    </row>
    <row r="3600">
      <c r="DB3600">
        <f>IF('История отказов'!AW1203="","",'История отказов'!AW1203)</f>
        <v/>
      </c>
      <c r="DL3600">
        <f>IF(DB3600="","",IF(AND(COUNTIF($DA$2:$DA$47,DB3600)=0,COUNTIF($DB$2:DB3600,DB3600)=1),3599,""))</f>
        <v/>
      </c>
    </row>
    <row r="3601">
      <c r="DB3601">
        <f>IF('История отказов'!AW1204="","",'История отказов'!AW1204)</f>
        <v/>
      </c>
      <c r="DL3601">
        <f>IF(DB3601="","",IF(AND(COUNTIF($DA$2:$DA$47,DB3601)=0,COUNTIF($DB$2:DB3601,DB3601)=1),3600,""))</f>
        <v/>
      </c>
    </row>
    <row r="3602">
      <c r="DB3602">
        <f>IF('История отказов'!BA5="","",'История отказов'!BA5)</f>
        <v/>
      </c>
      <c r="DL3602">
        <f>IF(DB3602="","",IF(AND(COUNTIF($DA$2:$DA$47,DB3602)=0,COUNTIF($DB$2:DB3602,DB3602)=1),3601,""))</f>
        <v/>
      </c>
    </row>
    <row r="3603">
      <c r="DB3603">
        <f>IF('История отказов'!BA6="","",'История отказов'!BA6)</f>
        <v/>
      </c>
      <c r="DL3603">
        <f>IF(DB3603="","",IF(AND(COUNTIF($DA$2:$DA$47,DB3603)=0,COUNTIF($DB$2:DB3603,DB3603)=1),3602,""))</f>
        <v/>
      </c>
    </row>
    <row r="3604">
      <c r="DB3604">
        <f>IF('История отказов'!BA7="","",'История отказов'!BA7)</f>
        <v/>
      </c>
      <c r="DL3604">
        <f>IF(DB3604="","",IF(AND(COUNTIF($DA$2:$DA$47,DB3604)=0,COUNTIF($DB$2:DB3604,DB3604)=1),3603,""))</f>
        <v/>
      </c>
    </row>
    <row r="3605">
      <c r="DB3605">
        <f>IF('История отказов'!BA8="","",'История отказов'!BA8)</f>
        <v/>
      </c>
      <c r="DL3605">
        <f>IF(DB3605="","",IF(AND(COUNTIF($DA$2:$DA$47,DB3605)=0,COUNTIF($DB$2:DB3605,DB3605)=1),3604,""))</f>
        <v/>
      </c>
    </row>
    <row r="3606">
      <c r="DB3606">
        <f>IF('История отказов'!BA9="","",'История отказов'!BA9)</f>
        <v/>
      </c>
      <c r="DL3606">
        <f>IF(DB3606="","",IF(AND(COUNTIF($DA$2:$DA$47,DB3606)=0,COUNTIF($DB$2:DB3606,DB3606)=1),3605,""))</f>
        <v/>
      </c>
    </row>
    <row r="3607">
      <c r="DB3607">
        <f>IF('История отказов'!BA10="","",'История отказов'!BA10)</f>
        <v/>
      </c>
      <c r="DL3607">
        <f>IF(DB3607="","",IF(AND(COUNTIF($DA$2:$DA$47,DB3607)=0,COUNTIF($DB$2:DB3607,DB3607)=1),3606,""))</f>
        <v/>
      </c>
    </row>
    <row r="3608">
      <c r="DB3608">
        <f>IF('История отказов'!BA11="","",'История отказов'!BA11)</f>
        <v/>
      </c>
      <c r="DL3608">
        <f>IF(DB3608="","",IF(AND(COUNTIF($DA$2:$DA$47,DB3608)=0,COUNTIF($DB$2:DB3608,DB3608)=1),3607,""))</f>
        <v/>
      </c>
    </row>
    <row r="3609">
      <c r="DB3609">
        <f>IF('История отказов'!BA12="","",'История отказов'!BA12)</f>
        <v/>
      </c>
      <c r="DL3609">
        <f>IF(DB3609="","",IF(AND(COUNTIF($DA$2:$DA$47,DB3609)=0,COUNTIF($DB$2:DB3609,DB3609)=1),3608,""))</f>
        <v/>
      </c>
    </row>
    <row r="3610">
      <c r="DB3610">
        <f>IF('История отказов'!BA13="","",'История отказов'!BA13)</f>
        <v/>
      </c>
      <c r="DL3610">
        <f>IF(DB3610="","",IF(AND(COUNTIF($DA$2:$DA$47,DB3610)=0,COUNTIF($DB$2:DB3610,DB3610)=1),3609,""))</f>
        <v/>
      </c>
    </row>
    <row r="3611">
      <c r="DB3611">
        <f>IF('История отказов'!BA14="","",'История отказов'!BA14)</f>
        <v/>
      </c>
      <c r="DL3611">
        <f>IF(DB3611="","",IF(AND(COUNTIF($DA$2:$DA$47,DB3611)=0,COUNTIF($DB$2:DB3611,DB3611)=1),3610,""))</f>
        <v/>
      </c>
    </row>
    <row r="3612">
      <c r="DB3612">
        <f>IF('История отказов'!BA15="","",'История отказов'!BA15)</f>
        <v/>
      </c>
      <c r="DL3612">
        <f>IF(DB3612="","",IF(AND(COUNTIF($DA$2:$DA$47,DB3612)=0,COUNTIF($DB$2:DB3612,DB3612)=1),3611,""))</f>
        <v/>
      </c>
    </row>
    <row r="3613">
      <c r="DB3613">
        <f>IF('История отказов'!BA16="","",'История отказов'!BA16)</f>
        <v/>
      </c>
      <c r="DL3613">
        <f>IF(DB3613="","",IF(AND(COUNTIF($DA$2:$DA$47,DB3613)=0,COUNTIF($DB$2:DB3613,DB3613)=1),3612,""))</f>
        <v/>
      </c>
    </row>
    <row r="3614">
      <c r="DB3614">
        <f>IF('История отказов'!BA17="","",'История отказов'!BA17)</f>
        <v/>
      </c>
      <c r="DL3614">
        <f>IF(DB3614="","",IF(AND(COUNTIF($DA$2:$DA$47,DB3614)=0,COUNTIF($DB$2:DB3614,DB3614)=1),3613,""))</f>
        <v/>
      </c>
    </row>
    <row r="3615">
      <c r="DB3615">
        <f>IF('История отказов'!BA18="","",'История отказов'!BA18)</f>
        <v/>
      </c>
      <c r="DL3615">
        <f>IF(DB3615="","",IF(AND(COUNTIF($DA$2:$DA$47,DB3615)=0,COUNTIF($DB$2:DB3615,DB3615)=1),3614,""))</f>
        <v/>
      </c>
    </row>
    <row r="3616">
      <c r="DB3616">
        <f>IF('История отказов'!BA19="","",'История отказов'!BA19)</f>
        <v/>
      </c>
      <c r="DL3616">
        <f>IF(DB3616="","",IF(AND(COUNTIF($DA$2:$DA$47,DB3616)=0,COUNTIF($DB$2:DB3616,DB3616)=1),3615,""))</f>
        <v/>
      </c>
    </row>
    <row r="3617">
      <c r="DB3617">
        <f>IF('История отказов'!BA20="","",'История отказов'!BA20)</f>
        <v/>
      </c>
      <c r="DL3617">
        <f>IF(DB3617="","",IF(AND(COUNTIF($DA$2:$DA$47,DB3617)=0,COUNTIF($DB$2:DB3617,DB3617)=1),3616,""))</f>
        <v/>
      </c>
    </row>
    <row r="3618">
      <c r="DB3618">
        <f>IF('История отказов'!BA21="","",'История отказов'!BA21)</f>
        <v/>
      </c>
      <c r="DL3618">
        <f>IF(DB3618="","",IF(AND(COUNTIF($DA$2:$DA$47,DB3618)=0,COUNTIF($DB$2:DB3618,DB3618)=1),3617,""))</f>
        <v/>
      </c>
    </row>
    <row r="3619">
      <c r="DB3619">
        <f>IF('История отказов'!BA22="","",'История отказов'!BA22)</f>
        <v/>
      </c>
      <c r="DL3619">
        <f>IF(DB3619="","",IF(AND(COUNTIF($DA$2:$DA$47,DB3619)=0,COUNTIF($DB$2:DB3619,DB3619)=1),3618,""))</f>
        <v/>
      </c>
    </row>
    <row r="3620">
      <c r="DB3620">
        <f>IF('История отказов'!BA23="","",'История отказов'!BA23)</f>
        <v/>
      </c>
      <c r="DL3620">
        <f>IF(DB3620="","",IF(AND(COUNTIF($DA$2:$DA$47,DB3620)=0,COUNTIF($DB$2:DB3620,DB3620)=1),3619,""))</f>
        <v/>
      </c>
    </row>
    <row r="3621">
      <c r="DB3621">
        <f>IF('История отказов'!BA24="","",'История отказов'!BA24)</f>
        <v/>
      </c>
      <c r="DL3621">
        <f>IF(DB3621="","",IF(AND(COUNTIF($DA$2:$DA$47,DB3621)=0,COUNTIF($DB$2:DB3621,DB3621)=1),3620,""))</f>
        <v/>
      </c>
    </row>
    <row r="3622">
      <c r="DB3622">
        <f>IF('История отказов'!BA25="","",'История отказов'!BA25)</f>
        <v/>
      </c>
      <c r="DL3622">
        <f>IF(DB3622="","",IF(AND(COUNTIF($DA$2:$DA$47,DB3622)=0,COUNTIF($DB$2:DB3622,DB3622)=1),3621,""))</f>
        <v/>
      </c>
    </row>
    <row r="3623">
      <c r="DB3623">
        <f>IF('История отказов'!BA26="","",'История отказов'!BA26)</f>
        <v/>
      </c>
      <c r="DL3623">
        <f>IF(DB3623="","",IF(AND(COUNTIF($DA$2:$DA$47,DB3623)=0,COUNTIF($DB$2:DB3623,DB3623)=1),3622,""))</f>
        <v/>
      </c>
    </row>
    <row r="3624">
      <c r="DB3624">
        <f>IF('История отказов'!BA27="","",'История отказов'!BA27)</f>
        <v/>
      </c>
      <c r="DL3624">
        <f>IF(DB3624="","",IF(AND(COUNTIF($DA$2:$DA$47,DB3624)=0,COUNTIF($DB$2:DB3624,DB3624)=1),3623,""))</f>
        <v/>
      </c>
    </row>
    <row r="3625">
      <c r="DB3625">
        <f>IF('История отказов'!BA28="","",'История отказов'!BA28)</f>
        <v/>
      </c>
      <c r="DL3625">
        <f>IF(DB3625="","",IF(AND(COUNTIF($DA$2:$DA$47,DB3625)=0,COUNTIF($DB$2:DB3625,DB3625)=1),3624,""))</f>
        <v/>
      </c>
    </row>
    <row r="3626">
      <c r="DB3626">
        <f>IF('История отказов'!BA29="","",'История отказов'!BA29)</f>
        <v/>
      </c>
      <c r="DL3626">
        <f>IF(DB3626="","",IF(AND(COUNTIF($DA$2:$DA$47,DB3626)=0,COUNTIF($DB$2:DB3626,DB3626)=1),3625,""))</f>
        <v/>
      </c>
    </row>
    <row r="3627">
      <c r="DB3627">
        <f>IF('История отказов'!BA30="","",'История отказов'!BA30)</f>
        <v/>
      </c>
      <c r="DL3627">
        <f>IF(DB3627="","",IF(AND(COUNTIF($DA$2:$DA$47,DB3627)=0,COUNTIF($DB$2:DB3627,DB3627)=1),3626,""))</f>
        <v/>
      </c>
    </row>
    <row r="3628">
      <c r="DB3628">
        <f>IF('История отказов'!BA31="","",'История отказов'!BA31)</f>
        <v/>
      </c>
      <c r="DL3628">
        <f>IF(DB3628="","",IF(AND(COUNTIF($DA$2:$DA$47,DB3628)=0,COUNTIF($DB$2:DB3628,DB3628)=1),3627,""))</f>
        <v/>
      </c>
    </row>
    <row r="3629">
      <c r="DB3629">
        <f>IF('История отказов'!BA32="","",'История отказов'!BA32)</f>
        <v/>
      </c>
      <c r="DL3629">
        <f>IF(DB3629="","",IF(AND(COUNTIF($DA$2:$DA$47,DB3629)=0,COUNTIF($DB$2:DB3629,DB3629)=1),3628,""))</f>
        <v/>
      </c>
    </row>
    <row r="3630">
      <c r="DB3630">
        <f>IF('История отказов'!BA33="","",'История отказов'!BA33)</f>
        <v/>
      </c>
      <c r="DL3630">
        <f>IF(DB3630="","",IF(AND(COUNTIF($DA$2:$DA$47,DB3630)=0,COUNTIF($DB$2:DB3630,DB3630)=1),3629,""))</f>
        <v/>
      </c>
    </row>
    <row r="3631">
      <c r="DB3631">
        <f>IF('История отказов'!BA34="","",'История отказов'!BA34)</f>
        <v/>
      </c>
      <c r="DL3631">
        <f>IF(DB3631="","",IF(AND(COUNTIF($DA$2:$DA$47,DB3631)=0,COUNTIF($DB$2:DB3631,DB3631)=1),3630,""))</f>
        <v/>
      </c>
    </row>
    <row r="3632">
      <c r="DB3632">
        <f>IF('История отказов'!BA35="","",'История отказов'!BA35)</f>
        <v/>
      </c>
      <c r="DL3632">
        <f>IF(DB3632="","",IF(AND(COUNTIF($DA$2:$DA$47,DB3632)=0,COUNTIF($DB$2:DB3632,DB3632)=1),3631,""))</f>
        <v/>
      </c>
    </row>
    <row r="3633">
      <c r="DB3633">
        <f>IF('История отказов'!BA36="","",'История отказов'!BA36)</f>
        <v/>
      </c>
      <c r="DL3633">
        <f>IF(DB3633="","",IF(AND(COUNTIF($DA$2:$DA$47,DB3633)=0,COUNTIF($DB$2:DB3633,DB3633)=1),3632,""))</f>
        <v/>
      </c>
    </row>
    <row r="3634">
      <c r="DB3634">
        <f>IF('История отказов'!BA37="","",'История отказов'!BA37)</f>
        <v/>
      </c>
      <c r="DL3634">
        <f>IF(DB3634="","",IF(AND(COUNTIF($DA$2:$DA$47,DB3634)=0,COUNTIF($DB$2:DB3634,DB3634)=1),3633,""))</f>
        <v/>
      </c>
    </row>
    <row r="3635">
      <c r="DB3635">
        <f>IF('История отказов'!BA38="","",'История отказов'!BA38)</f>
        <v/>
      </c>
      <c r="DL3635">
        <f>IF(DB3635="","",IF(AND(COUNTIF($DA$2:$DA$47,DB3635)=0,COUNTIF($DB$2:DB3635,DB3635)=1),3634,""))</f>
        <v/>
      </c>
    </row>
    <row r="3636">
      <c r="DB3636">
        <f>IF('История отказов'!BA39="","",'История отказов'!BA39)</f>
        <v/>
      </c>
      <c r="DL3636">
        <f>IF(DB3636="","",IF(AND(COUNTIF($DA$2:$DA$47,DB3636)=0,COUNTIF($DB$2:DB3636,DB3636)=1),3635,""))</f>
        <v/>
      </c>
    </row>
    <row r="3637">
      <c r="DB3637">
        <f>IF('История отказов'!BA40="","",'История отказов'!BA40)</f>
        <v/>
      </c>
      <c r="DL3637">
        <f>IF(DB3637="","",IF(AND(COUNTIF($DA$2:$DA$47,DB3637)=0,COUNTIF($DB$2:DB3637,DB3637)=1),3636,""))</f>
        <v/>
      </c>
    </row>
    <row r="3638">
      <c r="DB3638">
        <f>IF('История отказов'!BA41="","",'История отказов'!BA41)</f>
        <v/>
      </c>
      <c r="DL3638">
        <f>IF(DB3638="","",IF(AND(COUNTIF($DA$2:$DA$47,DB3638)=0,COUNTIF($DB$2:DB3638,DB3638)=1),3637,""))</f>
        <v/>
      </c>
    </row>
    <row r="3639">
      <c r="DB3639">
        <f>IF('История отказов'!BA42="","",'История отказов'!BA42)</f>
        <v/>
      </c>
      <c r="DL3639">
        <f>IF(DB3639="","",IF(AND(COUNTIF($DA$2:$DA$47,DB3639)=0,COUNTIF($DB$2:DB3639,DB3639)=1),3638,""))</f>
        <v/>
      </c>
    </row>
    <row r="3640">
      <c r="DB3640">
        <f>IF('История отказов'!BA43="","",'История отказов'!BA43)</f>
        <v/>
      </c>
      <c r="DL3640">
        <f>IF(DB3640="","",IF(AND(COUNTIF($DA$2:$DA$47,DB3640)=0,COUNTIF($DB$2:DB3640,DB3640)=1),3639,""))</f>
        <v/>
      </c>
    </row>
    <row r="3641">
      <c r="DB3641">
        <f>IF('История отказов'!BA44="","",'История отказов'!BA44)</f>
        <v/>
      </c>
      <c r="DL3641">
        <f>IF(DB3641="","",IF(AND(COUNTIF($DA$2:$DA$47,DB3641)=0,COUNTIF($DB$2:DB3641,DB3641)=1),3640,""))</f>
        <v/>
      </c>
    </row>
    <row r="3642">
      <c r="DB3642">
        <f>IF('История отказов'!BA45="","",'История отказов'!BA45)</f>
        <v/>
      </c>
      <c r="DL3642">
        <f>IF(DB3642="","",IF(AND(COUNTIF($DA$2:$DA$47,DB3642)=0,COUNTIF($DB$2:DB3642,DB3642)=1),3641,""))</f>
        <v/>
      </c>
    </row>
    <row r="3643">
      <c r="DB3643">
        <f>IF('История отказов'!BA46="","",'История отказов'!BA46)</f>
        <v/>
      </c>
      <c r="DL3643">
        <f>IF(DB3643="","",IF(AND(COUNTIF($DA$2:$DA$47,DB3643)=0,COUNTIF($DB$2:DB3643,DB3643)=1),3642,""))</f>
        <v/>
      </c>
    </row>
    <row r="3644">
      <c r="DB3644">
        <f>IF('История отказов'!BA47="","",'История отказов'!BA47)</f>
        <v/>
      </c>
      <c r="DL3644">
        <f>IF(DB3644="","",IF(AND(COUNTIF($DA$2:$DA$47,DB3644)=0,COUNTIF($DB$2:DB3644,DB3644)=1),3643,""))</f>
        <v/>
      </c>
    </row>
    <row r="3645">
      <c r="DB3645">
        <f>IF('История отказов'!BA48="","",'История отказов'!BA48)</f>
        <v/>
      </c>
      <c r="DL3645">
        <f>IF(DB3645="","",IF(AND(COUNTIF($DA$2:$DA$47,DB3645)=0,COUNTIF($DB$2:DB3645,DB3645)=1),3644,""))</f>
        <v/>
      </c>
    </row>
    <row r="3646">
      <c r="DB3646">
        <f>IF('История отказов'!BA49="","",'История отказов'!BA49)</f>
        <v/>
      </c>
      <c r="DL3646">
        <f>IF(DB3646="","",IF(AND(COUNTIF($DA$2:$DA$47,DB3646)=0,COUNTIF($DB$2:DB3646,DB3646)=1),3645,""))</f>
        <v/>
      </c>
    </row>
    <row r="3647">
      <c r="DB3647">
        <f>IF('История отказов'!BA50="","",'История отказов'!BA50)</f>
        <v/>
      </c>
      <c r="DL3647">
        <f>IF(DB3647="","",IF(AND(COUNTIF($DA$2:$DA$47,DB3647)=0,COUNTIF($DB$2:DB3647,DB3647)=1),3646,""))</f>
        <v/>
      </c>
    </row>
    <row r="3648">
      <c r="DB3648">
        <f>IF('История отказов'!BA51="","",'История отказов'!BA51)</f>
        <v/>
      </c>
      <c r="DL3648">
        <f>IF(DB3648="","",IF(AND(COUNTIF($DA$2:$DA$47,DB3648)=0,COUNTIF($DB$2:DB3648,DB3648)=1),3647,""))</f>
        <v/>
      </c>
    </row>
    <row r="3649">
      <c r="DB3649">
        <f>IF('История отказов'!BA52="","",'История отказов'!BA52)</f>
        <v/>
      </c>
      <c r="DL3649">
        <f>IF(DB3649="","",IF(AND(COUNTIF($DA$2:$DA$47,DB3649)=0,COUNTIF($DB$2:DB3649,DB3649)=1),3648,""))</f>
        <v/>
      </c>
    </row>
    <row r="3650">
      <c r="DB3650">
        <f>IF('История отказов'!BA53="","",'История отказов'!BA53)</f>
        <v/>
      </c>
      <c r="DL3650">
        <f>IF(DB3650="","",IF(AND(COUNTIF($DA$2:$DA$47,DB3650)=0,COUNTIF($DB$2:DB3650,DB3650)=1),3649,""))</f>
        <v/>
      </c>
    </row>
    <row r="3651">
      <c r="DB3651">
        <f>IF('История отказов'!BA54="","",'История отказов'!BA54)</f>
        <v/>
      </c>
      <c r="DL3651">
        <f>IF(DB3651="","",IF(AND(COUNTIF($DA$2:$DA$47,DB3651)=0,COUNTIF($DB$2:DB3651,DB3651)=1),3650,""))</f>
        <v/>
      </c>
    </row>
    <row r="3652">
      <c r="DB3652">
        <f>IF('История отказов'!BA55="","",'История отказов'!BA55)</f>
        <v/>
      </c>
      <c r="DL3652">
        <f>IF(DB3652="","",IF(AND(COUNTIF($DA$2:$DA$47,DB3652)=0,COUNTIF($DB$2:DB3652,DB3652)=1),3651,""))</f>
        <v/>
      </c>
    </row>
    <row r="3653">
      <c r="DB3653">
        <f>IF('История отказов'!BA56="","",'История отказов'!BA56)</f>
        <v/>
      </c>
      <c r="DL3653">
        <f>IF(DB3653="","",IF(AND(COUNTIF($DA$2:$DA$47,DB3653)=0,COUNTIF($DB$2:DB3653,DB3653)=1),3652,""))</f>
        <v/>
      </c>
    </row>
    <row r="3654">
      <c r="DB3654">
        <f>IF('История отказов'!BA57="","",'История отказов'!BA57)</f>
        <v/>
      </c>
      <c r="DL3654">
        <f>IF(DB3654="","",IF(AND(COUNTIF($DA$2:$DA$47,DB3654)=0,COUNTIF($DB$2:DB3654,DB3654)=1),3653,""))</f>
        <v/>
      </c>
    </row>
    <row r="3655">
      <c r="DB3655">
        <f>IF('История отказов'!BA58="","",'История отказов'!BA58)</f>
        <v/>
      </c>
      <c r="DL3655">
        <f>IF(DB3655="","",IF(AND(COUNTIF($DA$2:$DA$47,DB3655)=0,COUNTIF($DB$2:DB3655,DB3655)=1),3654,""))</f>
        <v/>
      </c>
    </row>
    <row r="3656">
      <c r="DB3656">
        <f>IF('История отказов'!BA59="","",'История отказов'!BA59)</f>
        <v/>
      </c>
      <c r="DL3656">
        <f>IF(DB3656="","",IF(AND(COUNTIF($DA$2:$DA$47,DB3656)=0,COUNTIF($DB$2:DB3656,DB3656)=1),3655,""))</f>
        <v/>
      </c>
    </row>
    <row r="3657">
      <c r="DB3657">
        <f>IF('История отказов'!BA60="","",'История отказов'!BA60)</f>
        <v/>
      </c>
      <c r="DL3657">
        <f>IF(DB3657="","",IF(AND(COUNTIF($DA$2:$DA$47,DB3657)=0,COUNTIF($DB$2:DB3657,DB3657)=1),3656,""))</f>
        <v/>
      </c>
    </row>
    <row r="3658">
      <c r="DB3658">
        <f>IF('История отказов'!BA61="","",'История отказов'!BA61)</f>
        <v/>
      </c>
      <c r="DL3658">
        <f>IF(DB3658="","",IF(AND(COUNTIF($DA$2:$DA$47,DB3658)=0,COUNTIF($DB$2:DB3658,DB3658)=1),3657,""))</f>
        <v/>
      </c>
    </row>
    <row r="3659">
      <c r="DB3659">
        <f>IF('История отказов'!BA62="","",'История отказов'!BA62)</f>
        <v/>
      </c>
      <c r="DL3659">
        <f>IF(DB3659="","",IF(AND(COUNTIF($DA$2:$DA$47,DB3659)=0,COUNTIF($DB$2:DB3659,DB3659)=1),3658,""))</f>
        <v/>
      </c>
    </row>
    <row r="3660">
      <c r="DB3660">
        <f>IF('История отказов'!BA63="","",'История отказов'!BA63)</f>
        <v/>
      </c>
      <c r="DL3660">
        <f>IF(DB3660="","",IF(AND(COUNTIF($DA$2:$DA$47,DB3660)=0,COUNTIF($DB$2:DB3660,DB3660)=1),3659,""))</f>
        <v/>
      </c>
    </row>
    <row r="3661">
      <c r="DB3661">
        <f>IF('История отказов'!BA64="","",'История отказов'!BA64)</f>
        <v/>
      </c>
      <c r="DL3661">
        <f>IF(DB3661="","",IF(AND(COUNTIF($DA$2:$DA$47,DB3661)=0,COUNTIF($DB$2:DB3661,DB3661)=1),3660,""))</f>
        <v/>
      </c>
    </row>
    <row r="3662">
      <c r="DB3662">
        <f>IF('История отказов'!BA65="","",'История отказов'!BA65)</f>
        <v/>
      </c>
      <c r="DL3662">
        <f>IF(DB3662="","",IF(AND(COUNTIF($DA$2:$DA$47,DB3662)=0,COUNTIF($DB$2:DB3662,DB3662)=1),3661,""))</f>
        <v/>
      </c>
    </row>
    <row r="3663">
      <c r="DB3663">
        <f>IF('История отказов'!BA66="","",'История отказов'!BA66)</f>
        <v/>
      </c>
      <c r="DL3663">
        <f>IF(DB3663="","",IF(AND(COUNTIF($DA$2:$DA$47,DB3663)=0,COUNTIF($DB$2:DB3663,DB3663)=1),3662,""))</f>
        <v/>
      </c>
    </row>
    <row r="3664">
      <c r="DB3664">
        <f>IF('История отказов'!BA67="","",'История отказов'!BA67)</f>
        <v/>
      </c>
      <c r="DL3664">
        <f>IF(DB3664="","",IF(AND(COUNTIF($DA$2:$DA$47,DB3664)=0,COUNTIF($DB$2:DB3664,DB3664)=1),3663,""))</f>
        <v/>
      </c>
    </row>
    <row r="3665">
      <c r="DB3665">
        <f>IF('История отказов'!BA68="","",'История отказов'!BA68)</f>
        <v/>
      </c>
      <c r="DL3665">
        <f>IF(DB3665="","",IF(AND(COUNTIF($DA$2:$DA$47,DB3665)=0,COUNTIF($DB$2:DB3665,DB3665)=1),3664,""))</f>
        <v/>
      </c>
    </row>
    <row r="3666">
      <c r="DB3666">
        <f>IF('История отказов'!BA69="","",'История отказов'!BA69)</f>
        <v/>
      </c>
      <c r="DL3666">
        <f>IF(DB3666="","",IF(AND(COUNTIF($DA$2:$DA$47,DB3666)=0,COUNTIF($DB$2:DB3666,DB3666)=1),3665,""))</f>
        <v/>
      </c>
    </row>
    <row r="3667">
      <c r="DB3667">
        <f>IF('История отказов'!BA70="","",'История отказов'!BA70)</f>
        <v/>
      </c>
      <c r="DL3667">
        <f>IF(DB3667="","",IF(AND(COUNTIF($DA$2:$DA$47,DB3667)=0,COUNTIF($DB$2:DB3667,DB3667)=1),3666,""))</f>
        <v/>
      </c>
    </row>
    <row r="3668">
      <c r="DB3668">
        <f>IF('История отказов'!BA71="","",'История отказов'!BA71)</f>
        <v/>
      </c>
      <c r="DL3668">
        <f>IF(DB3668="","",IF(AND(COUNTIF($DA$2:$DA$47,DB3668)=0,COUNTIF($DB$2:DB3668,DB3668)=1),3667,""))</f>
        <v/>
      </c>
    </row>
    <row r="3669">
      <c r="DB3669">
        <f>IF('История отказов'!BA72="","",'История отказов'!BA72)</f>
        <v/>
      </c>
      <c r="DL3669">
        <f>IF(DB3669="","",IF(AND(COUNTIF($DA$2:$DA$47,DB3669)=0,COUNTIF($DB$2:DB3669,DB3669)=1),3668,""))</f>
        <v/>
      </c>
    </row>
    <row r="3670">
      <c r="DB3670">
        <f>IF('История отказов'!BA73="","",'История отказов'!BA73)</f>
        <v/>
      </c>
      <c r="DL3670">
        <f>IF(DB3670="","",IF(AND(COUNTIF($DA$2:$DA$47,DB3670)=0,COUNTIF($DB$2:DB3670,DB3670)=1),3669,""))</f>
        <v/>
      </c>
    </row>
    <row r="3671">
      <c r="DB3671">
        <f>IF('История отказов'!BA74="","",'История отказов'!BA74)</f>
        <v/>
      </c>
      <c r="DL3671">
        <f>IF(DB3671="","",IF(AND(COUNTIF($DA$2:$DA$47,DB3671)=0,COUNTIF($DB$2:DB3671,DB3671)=1),3670,""))</f>
        <v/>
      </c>
    </row>
    <row r="3672">
      <c r="DB3672">
        <f>IF('История отказов'!BA75="","",'История отказов'!BA75)</f>
        <v/>
      </c>
      <c r="DL3672">
        <f>IF(DB3672="","",IF(AND(COUNTIF($DA$2:$DA$47,DB3672)=0,COUNTIF($DB$2:DB3672,DB3672)=1),3671,""))</f>
        <v/>
      </c>
    </row>
    <row r="3673">
      <c r="DB3673">
        <f>IF('История отказов'!BA76="","",'История отказов'!BA76)</f>
        <v/>
      </c>
      <c r="DL3673">
        <f>IF(DB3673="","",IF(AND(COUNTIF($DA$2:$DA$47,DB3673)=0,COUNTIF($DB$2:DB3673,DB3673)=1),3672,""))</f>
        <v/>
      </c>
    </row>
    <row r="3674">
      <c r="DB3674">
        <f>IF('История отказов'!BA77="","",'История отказов'!BA77)</f>
        <v/>
      </c>
      <c r="DL3674">
        <f>IF(DB3674="","",IF(AND(COUNTIF($DA$2:$DA$47,DB3674)=0,COUNTIF($DB$2:DB3674,DB3674)=1),3673,""))</f>
        <v/>
      </c>
    </row>
    <row r="3675">
      <c r="DB3675">
        <f>IF('История отказов'!BA78="","",'История отказов'!BA78)</f>
        <v/>
      </c>
      <c r="DL3675">
        <f>IF(DB3675="","",IF(AND(COUNTIF($DA$2:$DA$47,DB3675)=0,COUNTIF($DB$2:DB3675,DB3675)=1),3674,""))</f>
        <v/>
      </c>
    </row>
    <row r="3676">
      <c r="DB3676">
        <f>IF('История отказов'!BA79="","",'История отказов'!BA79)</f>
        <v/>
      </c>
      <c r="DL3676">
        <f>IF(DB3676="","",IF(AND(COUNTIF($DA$2:$DA$47,DB3676)=0,COUNTIF($DB$2:DB3676,DB3676)=1),3675,""))</f>
        <v/>
      </c>
    </row>
    <row r="3677">
      <c r="DB3677">
        <f>IF('История отказов'!BA80="","",'История отказов'!BA80)</f>
        <v/>
      </c>
      <c r="DL3677">
        <f>IF(DB3677="","",IF(AND(COUNTIF($DA$2:$DA$47,DB3677)=0,COUNTIF($DB$2:DB3677,DB3677)=1),3676,""))</f>
        <v/>
      </c>
    </row>
    <row r="3678">
      <c r="DB3678">
        <f>IF('История отказов'!BA81="","",'История отказов'!BA81)</f>
        <v/>
      </c>
      <c r="DL3678">
        <f>IF(DB3678="","",IF(AND(COUNTIF($DA$2:$DA$47,DB3678)=0,COUNTIF($DB$2:DB3678,DB3678)=1),3677,""))</f>
        <v/>
      </c>
    </row>
    <row r="3679">
      <c r="DB3679">
        <f>IF('История отказов'!BA82="","",'История отказов'!BA82)</f>
        <v/>
      </c>
      <c r="DL3679">
        <f>IF(DB3679="","",IF(AND(COUNTIF($DA$2:$DA$47,DB3679)=0,COUNTIF($DB$2:DB3679,DB3679)=1),3678,""))</f>
        <v/>
      </c>
    </row>
    <row r="3680">
      <c r="DB3680">
        <f>IF('История отказов'!BA83="","",'История отказов'!BA83)</f>
        <v/>
      </c>
      <c r="DL3680">
        <f>IF(DB3680="","",IF(AND(COUNTIF($DA$2:$DA$47,DB3680)=0,COUNTIF($DB$2:DB3680,DB3680)=1),3679,""))</f>
        <v/>
      </c>
    </row>
    <row r="3681">
      <c r="DB3681">
        <f>IF('История отказов'!BA84="","",'История отказов'!BA84)</f>
        <v/>
      </c>
      <c r="DL3681">
        <f>IF(DB3681="","",IF(AND(COUNTIF($DA$2:$DA$47,DB3681)=0,COUNTIF($DB$2:DB3681,DB3681)=1),3680,""))</f>
        <v/>
      </c>
    </row>
    <row r="3682">
      <c r="DB3682">
        <f>IF('История отказов'!BA85="","",'История отказов'!BA85)</f>
        <v/>
      </c>
      <c r="DL3682">
        <f>IF(DB3682="","",IF(AND(COUNTIF($DA$2:$DA$47,DB3682)=0,COUNTIF($DB$2:DB3682,DB3682)=1),3681,""))</f>
        <v/>
      </c>
    </row>
    <row r="3683">
      <c r="DB3683">
        <f>IF('История отказов'!BA86="","",'История отказов'!BA86)</f>
        <v/>
      </c>
      <c r="DL3683">
        <f>IF(DB3683="","",IF(AND(COUNTIF($DA$2:$DA$47,DB3683)=0,COUNTIF($DB$2:DB3683,DB3683)=1),3682,""))</f>
        <v/>
      </c>
    </row>
    <row r="3684">
      <c r="DB3684">
        <f>IF('История отказов'!BA87="","",'История отказов'!BA87)</f>
        <v/>
      </c>
      <c r="DL3684">
        <f>IF(DB3684="","",IF(AND(COUNTIF($DA$2:$DA$47,DB3684)=0,COUNTIF($DB$2:DB3684,DB3684)=1),3683,""))</f>
        <v/>
      </c>
    </row>
    <row r="3685">
      <c r="DB3685">
        <f>IF('История отказов'!BA88="","",'История отказов'!BA88)</f>
        <v/>
      </c>
      <c r="DL3685">
        <f>IF(DB3685="","",IF(AND(COUNTIF($DA$2:$DA$47,DB3685)=0,COUNTIF($DB$2:DB3685,DB3685)=1),3684,""))</f>
        <v/>
      </c>
    </row>
    <row r="3686">
      <c r="DB3686">
        <f>IF('История отказов'!BA89="","",'История отказов'!BA89)</f>
        <v/>
      </c>
      <c r="DL3686">
        <f>IF(DB3686="","",IF(AND(COUNTIF($DA$2:$DA$47,DB3686)=0,COUNTIF($DB$2:DB3686,DB3686)=1),3685,""))</f>
        <v/>
      </c>
    </row>
    <row r="3687">
      <c r="DB3687">
        <f>IF('История отказов'!BA90="","",'История отказов'!BA90)</f>
        <v/>
      </c>
      <c r="DL3687">
        <f>IF(DB3687="","",IF(AND(COUNTIF($DA$2:$DA$47,DB3687)=0,COUNTIF($DB$2:DB3687,DB3687)=1),3686,""))</f>
        <v/>
      </c>
    </row>
    <row r="3688">
      <c r="DB3688">
        <f>IF('История отказов'!BA91="","",'История отказов'!BA91)</f>
        <v/>
      </c>
      <c r="DL3688">
        <f>IF(DB3688="","",IF(AND(COUNTIF($DA$2:$DA$47,DB3688)=0,COUNTIF($DB$2:DB3688,DB3688)=1),3687,""))</f>
        <v/>
      </c>
    </row>
    <row r="3689">
      <c r="DB3689">
        <f>IF('История отказов'!BA92="","",'История отказов'!BA92)</f>
        <v/>
      </c>
      <c r="DL3689">
        <f>IF(DB3689="","",IF(AND(COUNTIF($DA$2:$DA$47,DB3689)=0,COUNTIF($DB$2:DB3689,DB3689)=1),3688,""))</f>
        <v/>
      </c>
    </row>
    <row r="3690">
      <c r="DB3690">
        <f>IF('История отказов'!BA93="","",'История отказов'!BA93)</f>
        <v/>
      </c>
      <c r="DL3690">
        <f>IF(DB3690="","",IF(AND(COUNTIF($DA$2:$DA$47,DB3690)=0,COUNTIF($DB$2:DB3690,DB3690)=1),3689,""))</f>
        <v/>
      </c>
    </row>
    <row r="3691">
      <c r="DB3691">
        <f>IF('История отказов'!BA94="","",'История отказов'!BA94)</f>
        <v/>
      </c>
      <c r="DL3691">
        <f>IF(DB3691="","",IF(AND(COUNTIF($DA$2:$DA$47,DB3691)=0,COUNTIF($DB$2:DB3691,DB3691)=1),3690,""))</f>
        <v/>
      </c>
    </row>
    <row r="3692">
      <c r="DB3692">
        <f>IF('История отказов'!BA95="","",'История отказов'!BA95)</f>
        <v/>
      </c>
      <c r="DL3692">
        <f>IF(DB3692="","",IF(AND(COUNTIF($DA$2:$DA$47,DB3692)=0,COUNTIF($DB$2:DB3692,DB3692)=1),3691,""))</f>
        <v/>
      </c>
    </row>
    <row r="3693">
      <c r="DB3693">
        <f>IF('История отказов'!BA96="","",'История отказов'!BA96)</f>
        <v/>
      </c>
      <c r="DL3693">
        <f>IF(DB3693="","",IF(AND(COUNTIF($DA$2:$DA$47,DB3693)=0,COUNTIF($DB$2:DB3693,DB3693)=1),3692,""))</f>
        <v/>
      </c>
    </row>
    <row r="3694">
      <c r="DB3694">
        <f>IF('История отказов'!BA97="","",'История отказов'!BA97)</f>
        <v/>
      </c>
      <c r="DL3694">
        <f>IF(DB3694="","",IF(AND(COUNTIF($DA$2:$DA$47,DB3694)=0,COUNTIF($DB$2:DB3694,DB3694)=1),3693,""))</f>
        <v/>
      </c>
    </row>
    <row r="3695">
      <c r="DB3695">
        <f>IF('История отказов'!BA98="","",'История отказов'!BA98)</f>
        <v/>
      </c>
      <c r="DL3695">
        <f>IF(DB3695="","",IF(AND(COUNTIF($DA$2:$DA$47,DB3695)=0,COUNTIF($DB$2:DB3695,DB3695)=1),3694,""))</f>
        <v/>
      </c>
    </row>
    <row r="3696">
      <c r="DB3696">
        <f>IF('История отказов'!BA99="","",'История отказов'!BA99)</f>
        <v/>
      </c>
      <c r="DL3696">
        <f>IF(DB3696="","",IF(AND(COUNTIF($DA$2:$DA$47,DB3696)=0,COUNTIF($DB$2:DB3696,DB3696)=1),3695,""))</f>
        <v/>
      </c>
    </row>
    <row r="3697">
      <c r="DB3697">
        <f>IF('История отказов'!BA100="","",'История отказов'!BA100)</f>
        <v/>
      </c>
      <c r="DL3697">
        <f>IF(DB3697="","",IF(AND(COUNTIF($DA$2:$DA$47,DB3697)=0,COUNTIF($DB$2:DB3697,DB3697)=1),3696,""))</f>
        <v/>
      </c>
    </row>
    <row r="3698">
      <c r="DB3698">
        <f>IF('История отказов'!BA101="","",'История отказов'!BA101)</f>
        <v/>
      </c>
      <c r="DL3698">
        <f>IF(DB3698="","",IF(AND(COUNTIF($DA$2:$DA$47,DB3698)=0,COUNTIF($DB$2:DB3698,DB3698)=1),3697,""))</f>
        <v/>
      </c>
    </row>
    <row r="3699">
      <c r="DB3699">
        <f>IF('История отказов'!BA102="","",'История отказов'!BA102)</f>
        <v/>
      </c>
      <c r="DL3699">
        <f>IF(DB3699="","",IF(AND(COUNTIF($DA$2:$DA$47,DB3699)=0,COUNTIF($DB$2:DB3699,DB3699)=1),3698,""))</f>
        <v/>
      </c>
    </row>
    <row r="3700">
      <c r="DB3700">
        <f>IF('История отказов'!BA103="","",'История отказов'!BA103)</f>
        <v/>
      </c>
      <c r="DL3700">
        <f>IF(DB3700="","",IF(AND(COUNTIF($DA$2:$DA$47,DB3700)=0,COUNTIF($DB$2:DB3700,DB3700)=1),3699,""))</f>
        <v/>
      </c>
    </row>
    <row r="3701">
      <c r="DB3701">
        <f>IF('История отказов'!BA104="","",'История отказов'!BA104)</f>
        <v/>
      </c>
      <c r="DL3701">
        <f>IF(DB3701="","",IF(AND(COUNTIF($DA$2:$DA$47,DB3701)=0,COUNTIF($DB$2:DB3701,DB3701)=1),3700,""))</f>
        <v/>
      </c>
    </row>
    <row r="3702">
      <c r="DB3702">
        <f>IF('История отказов'!BA105="","",'История отказов'!BA105)</f>
        <v/>
      </c>
      <c r="DL3702">
        <f>IF(DB3702="","",IF(AND(COUNTIF($DA$2:$DA$47,DB3702)=0,COUNTIF($DB$2:DB3702,DB3702)=1),3701,""))</f>
        <v/>
      </c>
    </row>
    <row r="3703">
      <c r="DB3703">
        <f>IF('История отказов'!BA106="","",'История отказов'!BA106)</f>
        <v/>
      </c>
      <c r="DL3703">
        <f>IF(DB3703="","",IF(AND(COUNTIF($DA$2:$DA$47,DB3703)=0,COUNTIF($DB$2:DB3703,DB3703)=1),3702,""))</f>
        <v/>
      </c>
    </row>
    <row r="3704">
      <c r="DB3704">
        <f>IF('История отказов'!BA107="","",'История отказов'!BA107)</f>
        <v/>
      </c>
      <c r="DL3704">
        <f>IF(DB3704="","",IF(AND(COUNTIF($DA$2:$DA$47,DB3704)=0,COUNTIF($DB$2:DB3704,DB3704)=1),3703,""))</f>
        <v/>
      </c>
    </row>
    <row r="3705">
      <c r="DB3705">
        <f>IF('История отказов'!BA108="","",'История отказов'!BA108)</f>
        <v/>
      </c>
      <c r="DL3705">
        <f>IF(DB3705="","",IF(AND(COUNTIF($DA$2:$DA$47,DB3705)=0,COUNTIF($DB$2:DB3705,DB3705)=1),3704,""))</f>
        <v/>
      </c>
    </row>
    <row r="3706">
      <c r="DB3706">
        <f>IF('История отказов'!BA109="","",'История отказов'!BA109)</f>
        <v/>
      </c>
      <c r="DL3706">
        <f>IF(DB3706="","",IF(AND(COUNTIF($DA$2:$DA$47,DB3706)=0,COUNTIF($DB$2:DB3706,DB3706)=1),3705,""))</f>
        <v/>
      </c>
    </row>
    <row r="3707">
      <c r="DB3707">
        <f>IF('История отказов'!BA110="","",'История отказов'!BA110)</f>
        <v/>
      </c>
      <c r="DL3707">
        <f>IF(DB3707="","",IF(AND(COUNTIF($DA$2:$DA$47,DB3707)=0,COUNTIF($DB$2:DB3707,DB3707)=1),3706,""))</f>
        <v/>
      </c>
    </row>
    <row r="3708">
      <c r="DB3708">
        <f>IF('История отказов'!BA111="","",'История отказов'!BA111)</f>
        <v/>
      </c>
      <c r="DL3708">
        <f>IF(DB3708="","",IF(AND(COUNTIF($DA$2:$DA$47,DB3708)=0,COUNTIF($DB$2:DB3708,DB3708)=1),3707,""))</f>
        <v/>
      </c>
    </row>
    <row r="3709">
      <c r="DB3709">
        <f>IF('История отказов'!BA112="","",'История отказов'!BA112)</f>
        <v/>
      </c>
      <c r="DL3709">
        <f>IF(DB3709="","",IF(AND(COUNTIF($DA$2:$DA$47,DB3709)=0,COUNTIF($DB$2:DB3709,DB3709)=1),3708,""))</f>
        <v/>
      </c>
    </row>
    <row r="3710">
      <c r="DB3710">
        <f>IF('История отказов'!BA113="","",'История отказов'!BA113)</f>
        <v/>
      </c>
      <c r="DL3710">
        <f>IF(DB3710="","",IF(AND(COUNTIF($DA$2:$DA$47,DB3710)=0,COUNTIF($DB$2:DB3710,DB3710)=1),3709,""))</f>
        <v/>
      </c>
    </row>
    <row r="3711">
      <c r="DB3711">
        <f>IF('История отказов'!BA114="","",'История отказов'!BA114)</f>
        <v/>
      </c>
      <c r="DL3711">
        <f>IF(DB3711="","",IF(AND(COUNTIF($DA$2:$DA$47,DB3711)=0,COUNTIF($DB$2:DB3711,DB3711)=1),3710,""))</f>
        <v/>
      </c>
    </row>
    <row r="3712">
      <c r="DB3712">
        <f>IF('История отказов'!BA115="","",'История отказов'!BA115)</f>
        <v/>
      </c>
      <c r="DL3712">
        <f>IF(DB3712="","",IF(AND(COUNTIF($DA$2:$DA$47,DB3712)=0,COUNTIF($DB$2:DB3712,DB3712)=1),3711,""))</f>
        <v/>
      </c>
    </row>
    <row r="3713">
      <c r="DB3713">
        <f>IF('История отказов'!BA116="","",'История отказов'!BA116)</f>
        <v/>
      </c>
      <c r="DL3713">
        <f>IF(DB3713="","",IF(AND(COUNTIF($DA$2:$DA$47,DB3713)=0,COUNTIF($DB$2:DB3713,DB3713)=1),3712,""))</f>
        <v/>
      </c>
    </row>
    <row r="3714">
      <c r="DB3714">
        <f>IF('История отказов'!BA117="","",'История отказов'!BA117)</f>
        <v/>
      </c>
      <c r="DL3714">
        <f>IF(DB3714="","",IF(AND(COUNTIF($DA$2:$DA$47,DB3714)=0,COUNTIF($DB$2:DB3714,DB3714)=1),3713,""))</f>
        <v/>
      </c>
    </row>
    <row r="3715">
      <c r="DB3715">
        <f>IF('История отказов'!BA118="","",'История отказов'!BA118)</f>
        <v/>
      </c>
      <c r="DL3715">
        <f>IF(DB3715="","",IF(AND(COUNTIF($DA$2:$DA$47,DB3715)=0,COUNTIF($DB$2:DB3715,DB3715)=1),3714,""))</f>
        <v/>
      </c>
    </row>
    <row r="3716">
      <c r="DB3716">
        <f>IF('История отказов'!BA119="","",'История отказов'!BA119)</f>
        <v/>
      </c>
      <c r="DL3716">
        <f>IF(DB3716="","",IF(AND(COUNTIF($DA$2:$DA$47,DB3716)=0,COUNTIF($DB$2:DB3716,DB3716)=1),3715,""))</f>
        <v/>
      </c>
    </row>
    <row r="3717">
      <c r="DB3717">
        <f>IF('История отказов'!BA120="","",'История отказов'!BA120)</f>
        <v/>
      </c>
      <c r="DL3717">
        <f>IF(DB3717="","",IF(AND(COUNTIF($DA$2:$DA$47,DB3717)=0,COUNTIF($DB$2:DB3717,DB3717)=1),3716,""))</f>
        <v/>
      </c>
    </row>
    <row r="3718">
      <c r="DB3718">
        <f>IF('История отказов'!BA121="","",'История отказов'!BA121)</f>
        <v/>
      </c>
      <c r="DL3718">
        <f>IF(DB3718="","",IF(AND(COUNTIF($DA$2:$DA$47,DB3718)=0,COUNTIF($DB$2:DB3718,DB3718)=1),3717,""))</f>
        <v/>
      </c>
    </row>
    <row r="3719">
      <c r="DB3719">
        <f>IF('История отказов'!BA122="","",'История отказов'!BA122)</f>
        <v/>
      </c>
      <c r="DL3719">
        <f>IF(DB3719="","",IF(AND(COUNTIF($DA$2:$DA$47,DB3719)=0,COUNTIF($DB$2:DB3719,DB3719)=1),3718,""))</f>
        <v/>
      </c>
    </row>
    <row r="3720">
      <c r="DB3720">
        <f>IF('История отказов'!BA123="","",'История отказов'!BA123)</f>
        <v/>
      </c>
      <c r="DL3720">
        <f>IF(DB3720="","",IF(AND(COUNTIF($DA$2:$DA$47,DB3720)=0,COUNTIF($DB$2:DB3720,DB3720)=1),3719,""))</f>
        <v/>
      </c>
    </row>
    <row r="3721">
      <c r="DB3721">
        <f>IF('История отказов'!BA124="","",'История отказов'!BA124)</f>
        <v/>
      </c>
      <c r="DL3721">
        <f>IF(DB3721="","",IF(AND(COUNTIF($DA$2:$DA$47,DB3721)=0,COUNTIF($DB$2:DB3721,DB3721)=1),3720,""))</f>
        <v/>
      </c>
    </row>
    <row r="3722">
      <c r="DB3722">
        <f>IF('История отказов'!BA125="","",'История отказов'!BA125)</f>
        <v/>
      </c>
      <c r="DL3722">
        <f>IF(DB3722="","",IF(AND(COUNTIF($DA$2:$DA$47,DB3722)=0,COUNTIF($DB$2:DB3722,DB3722)=1),3721,""))</f>
        <v/>
      </c>
    </row>
    <row r="3723">
      <c r="DB3723">
        <f>IF('История отказов'!BA126="","",'История отказов'!BA126)</f>
        <v/>
      </c>
      <c r="DL3723">
        <f>IF(DB3723="","",IF(AND(COUNTIF($DA$2:$DA$47,DB3723)=0,COUNTIF($DB$2:DB3723,DB3723)=1),3722,""))</f>
        <v/>
      </c>
    </row>
    <row r="3724">
      <c r="DB3724">
        <f>IF('История отказов'!BA127="","",'История отказов'!BA127)</f>
        <v/>
      </c>
      <c r="DL3724">
        <f>IF(DB3724="","",IF(AND(COUNTIF($DA$2:$DA$47,DB3724)=0,COUNTIF($DB$2:DB3724,DB3724)=1),3723,""))</f>
        <v/>
      </c>
    </row>
    <row r="3725">
      <c r="DB3725">
        <f>IF('История отказов'!BA128="","",'История отказов'!BA128)</f>
        <v/>
      </c>
      <c r="DL3725">
        <f>IF(DB3725="","",IF(AND(COUNTIF($DA$2:$DA$47,DB3725)=0,COUNTIF($DB$2:DB3725,DB3725)=1),3724,""))</f>
        <v/>
      </c>
    </row>
    <row r="3726">
      <c r="DB3726">
        <f>IF('История отказов'!BA129="","",'История отказов'!BA129)</f>
        <v/>
      </c>
      <c r="DL3726">
        <f>IF(DB3726="","",IF(AND(COUNTIF($DA$2:$DA$47,DB3726)=0,COUNTIF($DB$2:DB3726,DB3726)=1),3725,""))</f>
        <v/>
      </c>
    </row>
    <row r="3727">
      <c r="DB3727">
        <f>IF('История отказов'!BA130="","",'История отказов'!BA130)</f>
        <v/>
      </c>
      <c r="DL3727">
        <f>IF(DB3727="","",IF(AND(COUNTIF($DA$2:$DA$47,DB3727)=0,COUNTIF($DB$2:DB3727,DB3727)=1),3726,""))</f>
        <v/>
      </c>
    </row>
    <row r="3728">
      <c r="DB3728">
        <f>IF('История отказов'!BA131="","",'История отказов'!BA131)</f>
        <v/>
      </c>
      <c r="DL3728">
        <f>IF(DB3728="","",IF(AND(COUNTIF($DA$2:$DA$47,DB3728)=0,COUNTIF($DB$2:DB3728,DB3728)=1),3727,""))</f>
        <v/>
      </c>
    </row>
    <row r="3729">
      <c r="DB3729">
        <f>IF('История отказов'!BA132="","",'История отказов'!BA132)</f>
        <v/>
      </c>
      <c r="DL3729">
        <f>IF(DB3729="","",IF(AND(COUNTIF($DA$2:$DA$47,DB3729)=0,COUNTIF($DB$2:DB3729,DB3729)=1),3728,""))</f>
        <v/>
      </c>
    </row>
    <row r="3730">
      <c r="DB3730">
        <f>IF('История отказов'!BA133="","",'История отказов'!BA133)</f>
        <v/>
      </c>
      <c r="DL3730">
        <f>IF(DB3730="","",IF(AND(COUNTIF($DA$2:$DA$47,DB3730)=0,COUNTIF($DB$2:DB3730,DB3730)=1),3729,""))</f>
        <v/>
      </c>
    </row>
    <row r="3731">
      <c r="DB3731">
        <f>IF('История отказов'!BA134="","",'История отказов'!BA134)</f>
        <v/>
      </c>
      <c r="DL3731">
        <f>IF(DB3731="","",IF(AND(COUNTIF($DA$2:$DA$47,DB3731)=0,COUNTIF($DB$2:DB3731,DB3731)=1),3730,""))</f>
        <v/>
      </c>
    </row>
    <row r="3732">
      <c r="DB3732">
        <f>IF('История отказов'!BA135="","",'История отказов'!BA135)</f>
        <v/>
      </c>
      <c r="DL3732">
        <f>IF(DB3732="","",IF(AND(COUNTIF($DA$2:$DA$47,DB3732)=0,COUNTIF($DB$2:DB3732,DB3732)=1),3731,""))</f>
        <v/>
      </c>
    </row>
    <row r="3733">
      <c r="DB3733">
        <f>IF('История отказов'!BA136="","",'История отказов'!BA136)</f>
        <v/>
      </c>
      <c r="DL3733">
        <f>IF(DB3733="","",IF(AND(COUNTIF($DA$2:$DA$47,DB3733)=0,COUNTIF($DB$2:DB3733,DB3733)=1),3732,""))</f>
        <v/>
      </c>
    </row>
    <row r="3734">
      <c r="DB3734">
        <f>IF('История отказов'!BA137="","",'История отказов'!BA137)</f>
        <v/>
      </c>
      <c r="DL3734">
        <f>IF(DB3734="","",IF(AND(COUNTIF($DA$2:$DA$47,DB3734)=0,COUNTIF($DB$2:DB3734,DB3734)=1),3733,""))</f>
        <v/>
      </c>
    </row>
    <row r="3735">
      <c r="DB3735">
        <f>IF('История отказов'!BA138="","",'История отказов'!BA138)</f>
        <v/>
      </c>
      <c r="DL3735">
        <f>IF(DB3735="","",IF(AND(COUNTIF($DA$2:$DA$47,DB3735)=0,COUNTIF($DB$2:DB3735,DB3735)=1),3734,""))</f>
        <v/>
      </c>
    </row>
    <row r="3736">
      <c r="DB3736">
        <f>IF('История отказов'!BA139="","",'История отказов'!BA139)</f>
        <v/>
      </c>
      <c r="DL3736">
        <f>IF(DB3736="","",IF(AND(COUNTIF($DA$2:$DA$47,DB3736)=0,COUNTIF($DB$2:DB3736,DB3736)=1),3735,""))</f>
        <v/>
      </c>
    </row>
    <row r="3737">
      <c r="DB3737">
        <f>IF('История отказов'!BA140="","",'История отказов'!BA140)</f>
        <v/>
      </c>
      <c r="DL3737">
        <f>IF(DB3737="","",IF(AND(COUNTIF($DA$2:$DA$47,DB3737)=0,COUNTIF($DB$2:DB3737,DB3737)=1),3736,""))</f>
        <v/>
      </c>
    </row>
    <row r="3738">
      <c r="DB3738">
        <f>IF('История отказов'!BA141="","",'История отказов'!BA141)</f>
        <v/>
      </c>
      <c r="DL3738">
        <f>IF(DB3738="","",IF(AND(COUNTIF($DA$2:$DA$47,DB3738)=0,COUNTIF($DB$2:DB3738,DB3738)=1),3737,""))</f>
        <v/>
      </c>
    </row>
    <row r="3739">
      <c r="DB3739">
        <f>IF('История отказов'!BA142="","",'История отказов'!BA142)</f>
        <v/>
      </c>
      <c r="DL3739">
        <f>IF(DB3739="","",IF(AND(COUNTIF($DA$2:$DA$47,DB3739)=0,COUNTIF($DB$2:DB3739,DB3739)=1),3738,""))</f>
        <v/>
      </c>
    </row>
    <row r="3740">
      <c r="DB3740">
        <f>IF('История отказов'!BA143="","",'История отказов'!BA143)</f>
        <v/>
      </c>
      <c r="DL3740">
        <f>IF(DB3740="","",IF(AND(COUNTIF($DA$2:$DA$47,DB3740)=0,COUNTIF($DB$2:DB3740,DB3740)=1),3739,""))</f>
        <v/>
      </c>
    </row>
    <row r="3741">
      <c r="DB3741">
        <f>IF('История отказов'!BA144="","",'История отказов'!BA144)</f>
        <v/>
      </c>
      <c r="DL3741">
        <f>IF(DB3741="","",IF(AND(COUNTIF($DA$2:$DA$47,DB3741)=0,COUNTIF($DB$2:DB3741,DB3741)=1),3740,""))</f>
        <v/>
      </c>
    </row>
    <row r="3742">
      <c r="DB3742">
        <f>IF('История отказов'!BA145="","",'История отказов'!BA145)</f>
        <v/>
      </c>
      <c r="DL3742">
        <f>IF(DB3742="","",IF(AND(COUNTIF($DA$2:$DA$47,DB3742)=0,COUNTIF($DB$2:DB3742,DB3742)=1),3741,""))</f>
        <v/>
      </c>
    </row>
    <row r="3743">
      <c r="DB3743">
        <f>IF('История отказов'!BA146="","",'История отказов'!BA146)</f>
        <v/>
      </c>
      <c r="DL3743">
        <f>IF(DB3743="","",IF(AND(COUNTIF($DA$2:$DA$47,DB3743)=0,COUNTIF($DB$2:DB3743,DB3743)=1),3742,""))</f>
        <v/>
      </c>
    </row>
    <row r="3744">
      <c r="DB3744">
        <f>IF('История отказов'!BA147="","",'История отказов'!BA147)</f>
        <v/>
      </c>
      <c r="DL3744">
        <f>IF(DB3744="","",IF(AND(COUNTIF($DA$2:$DA$47,DB3744)=0,COUNTIF($DB$2:DB3744,DB3744)=1),3743,""))</f>
        <v/>
      </c>
    </row>
    <row r="3745">
      <c r="DB3745">
        <f>IF('История отказов'!BA148="","",'История отказов'!BA148)</f>
        <v/>
      </c>
      <c r="DL3745">
        <f>IF(DB3745="","",IF(AND(COUNTIF($DA$2:$DA$47,DB3745)=0,COUNTIF($DB$2:DB3745,DB3745)=1),3744,""))</f>
        <v/>
      </c>
    </row>
    <row r="3746">
      <c r="DB3746">
        <f>IF('История отказов'!BA149="","",'История отказов'!BA149)</f>
        <v/>
      </c>
      <c r="DL3746">
        <f>IF(DB3746="","",IF(AND(COUNTIF($DA$2:$DA$47,DB3746)=0,COUNTIF($DB$2:DB3746,DB3746)=1),3745,""))</f>
        <v/>
      </c>
    </row>
    <row r="3747">
      <c r="DB3747">
        <f>IF('История отказов'!BA150="","",'История отказов'!BA150)</f>
        <v/>
      </c>
      <c r="DL3747">
        <f>IF(DB3747="","",IF(AND(COUNTIF($DA$2:$DA$47,DB3747)=0,COUNTIF($DB$2:DB3747,DB3747)=1),3746,""))</f>
        <v/>
      </c>
    </row>
    <row r="3748">
      <c r="DB3748">
        <f>IF('История отказов'!BA151="","",'История отказов'!BA151)</f>
        <v/>
      </c>
      <c r="DL3748">
        <f>IF(DB3748="","",IF(AND(COUNTIF($DA$2:$DA$47,DB3748)=0,COUNTIF($DB$2:DB3748,DB3748)=1),3747,""))</f>
        <v/>
      </c>
    </row>
    <row r="3749">
      <c r="DB3749">
        <f>IF('История отказов'!BA152="","",'История отказов'!BA152)</f>
        <v/>
      </c>
      <c r="DL3749">
        <f>IF(DB3749="","",IF(AND(COUNTIF($DA$2:$DA$47,DB3749)=0,COUNTIF($DB$2:DB3749,DB3749)=1),3748,""))</f>
        <v/>
      </c>
    </row>
    <row r="3750">
      <c r="DB3750">
        <f>IF('История отказов'!BA153="","",'История отказов'!BA153)</f>
        <v/>
      </c>
      <c r="DL3750">
        <f>IF(DB3750="","",IF(AND(COUNTIF($DA$2:$DA$47,DB3750)=0,COUNTIF($DB$2:DB3750,DB3750)=1),3749,""))</f>
        <v/>
      </c>
    </row>
    <row r="3751">
      <c r="DB3751">
        <f>IF('История отказов'!BA154="","",'История отказов'!BA154)</f>
        <v/>
      </c>
      <c r="DL3751">
        <f>IF(DB3751="","",IF(AND(COUNTIF($DA$2:$DA$47,DB3751)=0,COUNTIF($DB$2:DB3751,DB3751)=1),3750,""))</f>
        <v/>
      </c>
    </row>
    <row r="3752">
      <c r="DB3752">
        <f>IF('История отказов'!BA155="","",'История отказов'!BA155)</f>
        <v/>
      </c>
      <c r="DL3752">
        <f>IF(DB3752="","",IF(AND(COUNTIF($DA$2:$DA$47,DB3752)=0,COUNTIF($DB$2:DB3752,DB3752)=1),3751,""))</f>
        <v/>
      </c>
    </row>
    <row r="3753">
      <c r="DB3753">
        <f>IF('История отказов'!BA156="","",'История отказов'!BA156)</f>
        <v/>
      </c>
      <c r="DL3753">
        <f>IF(DB3753="","",IF(AND(COUNTIF($DA$2:$DA$47,DB3753)=0,COUNTIF($DB$2:DB3753,DB3753)=1),3752,""))</f>
        <v/>
      </c>
    </row>
    <row r="3754">
      <c r="DB3754">
        <f>IF('История отказов'!BA157="","",'История отказов'!BA157)</f>
        <v/>
      </c>
      <c r="DL3754">
        <f>IF(DB3754="","",IF(AND(COUNTIF($DA$2:$DA$47,DB3754)=0,COUNTIF($DB$2:DB3754,DB3754)=1),3753,""))</f>
        <v/>
      </c>
    </row>
    <row r="3755">
      <c r="DB3755">
        <f>IF('История отказов'!BA158="","",'История отказов'!BA158)</f>
        <v/>
      </c>
      <c r="DL3755">
        <f>IF(DB3755="","",IF(AND(COUNTIF($DA$2:$DA$47,DB3755)=0,COUNTIF($DB$2:DB3755,DB3755)=1),3754,""))</f>
        <v/>
      </c>
    </row>
    <row r="3756">
      <c r="DB3756">
        <f>IF('История отказов'!BA159="","",'История отказов'!BA159)</f>
        <v/>
      </c>
      <c r="DL3756">
        <f>IF(DB3756="","",IF(AND(COUNTIF($DA$2:$DA$47,DB3756)=0,COUNTIF($DB$2:DB3756,DB3756)=1),3755,""))</f>
        <v/>
      </c>
    </row>
    <row r="3757">
      <c r="DB3757">
        <f>IF('История отказов'!BA160="","",'История отказов'!BA160)</f>
        <v/>
      </c>
      <c r="DL3757">
        <f>IF(DB3757="","",IF(AND(COUNTIF($DA$2:$DA$47,DB3757)=0,COUNTIF($DB$2:DB3757,DB3757)=1),3756,""))</f>
        <v/>
      </c>
    </row>
    <row r="3758">
      <c r="DB3758">
        <f>IF('История отказов'!BA161="","",'История отказов'!BA161)</f>
        <v/>
      </c>
      <c r="DL3758">
        <f>IF(DB3758="","",IF(AND(COUNTIF($DA$2:$DA$47,DB3758)=0,COUNTIF($DB$2:DB3758,DB3758)=1),3757,""))</f>
        <v/>
      </c>
    </row>
    <row r="3759">
      <c r="DB3759">
        <f>IF('История отказов'!BA162="","",'История отказов'!BA162)</f>
        <v/>
      </c>
      <c r="DL3759">
        <f>IF(DB3759="","",IF(AND(COUNTIF($DA$2:$DA$47,DB3759)=0,COUNTIF($DB$2:DB3759,DB3759)=1),3758,""))</f>
        <v/>
      </c>
    </row>
    <row r="3760">
      <c r="DB3760">
        <f>IF('История отказов'!BA163="","",'История отказов'!BA163)</f>
        <v/>
      </c>
      <c r="DL3760">
        <f>IF(DB3760="","",IF(AND(COUNTIF($DA$2:$DA$47,DB3760)=0,COUNTIF($DB$2:DB3760,DB3760)=1),3759,""))</f>
        <v/>
      </c>
    </row>
    <row r="3761">
      <c r="DB3761">
        <f>IF('История отказов'!BA164="","",'История отказов'!BA164)</f>
        <v/>
      </c>
      <c r="DL3761">
        <f>IF(DB3761="","",IF(AND(COUNTIF($DA$2:$DA$47,DB3761)=0,COUNTIF($DB$2:DB3761,DB3761)=1),3760,""))</f>
        <v/>
      </c>
    </row>
    <row r="3762">
      <c r="DB3762">
        <f>IF('История отказов'!BA165="","",'История отказов'!BA165)</f>
        <v/>
      </c>
      <c r="DL3762">
        <f>IF(DB3762="","",IF(AND(COUNTIF($DA$2:$DA$47,DB3762)=0,COUNTIF($DB$2:DB3762,DB3762)=1),3761,""))</f>
        <v/>
      </c>
    </row>
    <row r="3763">
      <c r="DB3763">
        <f>IF('История отказов'!BA166="","",'История отказов'!BA166)</f>
        <v/>
      </c>
      <c r="DL3763">
        <f>IF(DB3763="","",IF(AND(COUNTIF($DA$2:$DA$47,DB3763)=0,COUNTIF($DB$2:DB3763,DB3763)=1),3762,""))</f>
        <v/>
      </c>
    </row>
    <row r="3764">
      <c r="DB3764">
        <f>IF('История отказов'!BA167="","",'История отказов'!BA167)</f>
        <v/>
      </c>
      <c r="DL3764">
        <f>IF(DB3764="","",IF(AND(COUNTIF($DA$2:$DA$47,DB3764)=0,COUNTIF($DB$2:DB3764,DB3764)=1),3763,""))</f>
        <v/>
      </c>
    </row>
    <row r="3765">
      <c r="DB3765">
        <f>IF('История отказов'!BA168="","",'История отказов'!BA168)</f>
        <v/>
      </c>
      <c r="DL3765">
        <f>IF(DB3765="","",IF(AND(COUNTIF($DA$2:$DA$47,DB3765)=0,COUNTIF($DB$2:DB3765,DB3765)=1),3764,""))</f>
        <v/>
      </c>
    </row>
    <row r="3766">
      <c r="DB3766">
        <f>IF('История отказов'!BA169="","",'История отказов'!BA169)</f>
        <v/>
      </c>
      <c r="DL3766">
        <f>IF(DB3766="","",IF(AND(COUNTIF($DA$2:$DA$47,DB3766)=0,COUNTIF($DB$2:DB3766,DB3766)=1),3765,""))</f>
        <v/>
      </c>
    </row>
    <row r="3767">
      <c r="DB3767">
        <f>IF('История отказов'!BA170="","",'История отказов'!BA170)</f>
        <v/>
      </c>
      <c r="DL3767">
        <f>IF(DB3767="","",IF(AND(COUNTIF($DA$2:$DA$47,DB3767)=0,COUNTIF($DB$2:DB3767,DB3767)=1),3766,""))</f>
        <v/>
      </c>
    </row>
    <row r="3768">
      <c r="DB3768">
        <f>IF('История отказов'!BA171="","",'История отказов'!BA171)</f>
        <v/>
      </c>
      <c r="DL3768">
        <f>IF(DB3768="","",IF(AND(COUNTIF($DA$2:$DA$47,DB3768)=0,COUNTIF($DB$2:DB3768,DB3768)=1),3767,""))</f>
        <v/>
      </c>
    </row>
    <row r="3769">
      <c r="DB3769">
        <f>IF('История отказов'!BA172="","",'История отказов'!BA172)</f>
        <v/>
      </c>
      <c r="DL3769">
        <f>IF(DB3769="","",IF(AND(COUNTIF($DA$2:$DA$47,DB3769)=0,COUNTIF($DB$2:DB3769,DB3769)=1),3768,""))</f>
        <v/>
      </c>
    </row>
    <row r="3770">
      <c r="DB3770">
        <f>IF('История отказов'!BA173="","",'История отказов'!BA173)</f>
        <v/>
      </c>
      <c r="DL3770">
        <f>IF(DB3770="","",IF(AND(COUNTIF($DA$2:$DA$47,DB3770)=0,COUNTIF($DB$2:DB3770,DB3770)=1),3769,""))</f>
        <v/>
      </c>
    </row>
    <row r="3771">
      <c r="DB3771">
        <f>IF('История отказов'!BA174="","",'История отказов'!BA174)</f>
        <v/>
      </c>
      <c r="DL3771">
        <f>IF(DB3771="","",IF(AND(COUNTIF($DA$2:$DA$47,DB3771)=0,COUNTIF($DB$2:DB3771,DB3771)=1),3770,""))</f>
        <v/>
      </c>
    </row>
    <row r="3772">
      <c r="DB3772">
        <f>IF('История отказов'!BA175="","",'История отказов'!BA175)</f>
        <v/>
      </c>
      <c r="DL3772">
        <f>IF(DB3772="","",IF(AND(COUNTIF($DA$2:$DA$47,DB3772)=0,COUNTIF($DB$2:DB3772,DB3772)=1),3771,""))</f>
        <v/>
      </c>
    </row>
    <row r="3773">
      <c r="DB3773">
        <f>IF('История отказов'!BA176="","",'История отказов'!BA176)</f>
        <v/>
      </c>
      <c r="DL3773">
        <f>IF(DB3773="","",IF(AND(COUNTIF($DA$2:$DA$47,DB3773)=0,COUNTIF($DB$2:DB3773,DB3773)=1),3772,""))</f>
        <v/>
      </c>
    </row>
    <row r="3774">
      <c r="DB3774">
        <f>IF('История отказов'!BA177="","",'История отказов'!BA177)</f>
        <v/>
      </c>
      <c r="DL3774">
        <f>IF(DB3774="","",IF(AND(COUNTIF($DA$2:$DA$47,DB3774)=0,COUNTIF($DB$2:DB3774,DB3774)=1),3773,""))</f>
        <v/>
      </c>
    </row>
    <row r="3775">
      <c r="DB3775">
        <f>IF('История отказов'!BA178="","",'История отказов'!BA178)</f>
        <v/>
      </c>
      <c r="DL3775">
        <f>IF(DB3775="","",IF(AND(COUNTIF($DA$2:$DA$47,DB3775)=0,COUNTIF($DB$2:DB3775,DB3775)=1),3774,""))</f>
        <v/>
      </c>
    </row>
    <row r="3776">
      <c r="DB3776">
        <f>IF('История отказов'!BA179="","",'История отказов'!BA179)</f>
        <v/>
      </c>
      <c r="DL3776">
        <f>IF(DB3776="","",IF(AND(COUNTIF($DA$2:$DA$47,DB3776)=0,COUNTIF($DB$2:DB3776,DB3776)=1),3775,""))</f>
        <v/>
      </c>
    </row>
    <row r="3777">
      <c r="DB3777">
        <f>IF('История отказов'!BA180="","",'История отказов'!BA180)</f>
        <v/>
      </c>
      <c r="DL3777">
        <f>IF(DB3777="","",IF(AND(COUNTIF($DA$2:$DA$47,DB3777)=0,COUNTIF($DB$2:DB3777,DB3777)=1),3776,""))</f>
        <v/>
      </c>
    </row>
    <row r="3778">
      <c r="DB3778">
        <f>IF('История отказов'!BA181="","",'История отказов'!BA181)</f>
        <v/>
      </c>
      <c r="DL3778">
        <f>IF(DB3778="","",IF(AND(COUNTIF($DA$2:$DA$47,DB3778)=0,COUNTIF($DB$2:DB3778,DB3778)=1),3777,""))</f>
        <v/>
      </c>
    </row>
    <row r="3779">
      <c r="DB3779">
        <f>IF('История отказов'!BA182="","",'История отказов'!BA182)</f>
        <v/>
      </c>
      <c r="DL3779">
        <f>IF(DB3779="","",IF(AND(COUNTIF($DA$2:$DA$47,DB3779)=0,COUNTIF($DB$2:DB3779,DB3779)=1),3778,""))</f>
        <v/>
      </c>
    </row>
    <row r="3780">
      <c r="DB3780">
        <f>IF('История отказов'!BA183="","",'История отказов'!BA183)</f>
        <v/>
      </c>
      <c r="DL3780">
        <f>IF(DB3780="","",IF(AND(COUNTIF($DA$2:$DA$47,DB3780)=0,COUNTIF($DB$2:DB3780,DB3780)=1),3779,""))</f>
        <v/>
      </c>
    </row>
    <row r="3781">
      <c r="DB3781">
        <f>IF('История отказов'!BA184="","",'История отказов'!BA184)</f>
        <v/>
      </c>
      <c r="DL3781">
        <f>IF(DB3781="","",IF(AND(COUNTIF($DA$2:$DA$47,DB3781)=0,COUNTIF($DB$2:DB3781,DB3781)=1),3780,""))</f>
        <v/>
      </c>
    </row>
    <row r="3782">
      <c r="DB3782">
        <f>IF('История отказов'!BA185="","",'История отказов'!BA185)</f>
        <v/>
      </c>
      <c r="DL3782">
        <f>IF(DB3782="","",IF(AND(COUNTIF($DA$2:$DA$47,DB3782)=0,COUNTIF($DB$2:DB3782,DB3782)=1),3781,""))</f>
        <v/>
      </c>
    </row>
    <row r="3783">
      <c r="DB3783">
        <f>IF('История отказов'!BA186="","",'История отказов'!BA186)</f>
        <v/>
      </c>
      <c r="DL3783">
        <f>IF(DB3783="","",IF(AND(COUNTIF($DA$2:$DA$47,DB3783)=0,COUNTIF($DB$2:DB3783,DB3783)=1),3782,""))</f>
        <v/>
      </c>
    </row>
    <row r="3784">
      <c r="DB3784">
        <f>IF('История отказов'!BA187="","",'История отказов'!BA187)</f>
        <v/>
      </c>
      <c r="DL3784">
        <f>IF(DB3784="","",IF(AND(COUNTIF($DA$2:$DA$47,DB3784)=0,COUNTIF($DB$2:DB3784,DB3784)=1),3783,""))</f>
        <v/>
      </c>
    </row>
    <row r="3785">
      <c r="DB3785">
        <f>IF('История отказов'!BA188="","",'История отказов'!BA188)</f>
        <v/>
      </c>
      <c r="DL3785">
        <f>IF(DB3785="","",IF(AND(COUNTIF($DA$2:$DA$47,DB3785)=0,COUNTIF($DB$2:DB3785,DB3785)=1),3784,""))</f>
        <v/>
      </c>
    </row>
    <row r="3786">
      <c r="DB3786">
        <f>IF('История отказов'!BA189="","",'История отказов'!BA189)</f>
        <v/>
      </c>
      <c r="DL3786">
        <f>IF(DB3786="","",IF(AND(COUNTIF($DA$2:$DA$47,DB3786)=0,COUNTIF($DB$2:DB3786,DB3786)=1),3785,""))</f>
        <v/>
      </c>
    </row>
    <row r="3787">
      <c r="DB3787">
        <f>IF('История отказов'!BA190="","",'История отказов'!BA190)</f>
        <v/>
      </c>
      <c r="DL3787">
        <f>IF(DB3787="","",IF(AND(COUNTIF($DA$2:$DA$47,DB3787)=0,COUNTIF($DB$2:DB3787,DB3787)=1),3786,""))</f>
        <v/>
      </c>
    </row>
    <row r="3788">
      <c r="DB3788">
        <f>IF('История отказов'!BA191="","",'История отказов'!BA191)</f>
        <v/>
      </c>
      <c r="DL3788">
        <f>IF(DB3788="","",IF(AND(COUNTIF($DA$2:$DA$47,DB3788)=0,COUNTIF($DB$2:DB3788,DB3788)=1),3787,""))</f>
        <v/>
      </c>
    </row>
    <row r="3789">
      <c r="DB3789">
        <f>IF('История отказов'!BA192="","",'История отказов'!BA192)</f>
        <v/>
      </c>
      <c r="DL3789">
        <f>IF(DB3789="","",IF(AND(COUNTIF($DA$2:$DA$47,DB3789)=0,COUNTIF($DB$2:DB3789,DB3789)=1),3788,""))</f>
        <v/>
      </c>
    </row>
    <row r="3790">
      <c r="DB3790">
        <f>IF('История отказов'!BA193="","",'История отказов'!BA193)</f>
        <v/>
      </c>
      <c r="DL3790">
        <f>IF(DB3790="","",IF(AND(COUNTIF($DA$2:$DA$47,DB3790)=0,COUNTIF($DB$2:DB3790,DB3790)=1),3789,""))</f>
        <v/>
      </c>
    </row>
    <row r="3791">
      <c r="DB3791">
        <f>IF('История отказов'!BA194="","",'История отказов'!BA194)</f>
        <v/>
      </c>
      <c r="DL3791">
        <f>IF(DB3791="","",IF(AND(COUNTIF($DA$2:$DA$47,DB3791)=0,COUNTIF($DB$2:DB3791,DB3791)=1),3790,""))</f>
        <v/>
      </c>
    </row>
    <row r="3792">
      <c r="DB3792">
        <f>IF('История отказов'!BA195="","",'История отказов'!BA195)</f>
        <v/>
      </c>
      <c r="DL3792">
        <f>IF(DB3792="","",IF(AND(COUNTIF($DA$2:$DA$47,DB3792)=0,COUNTIF($DB$2:DB3792,DB3792)=1),3791,""))</f>
        <v/>
      </c>
    </row>
    <row r="3793">
      <c r="DB3793">
        <f>IF('История отказов'!BA196="","",'История отказов'!BA196)</f>
        <v/>
      </c>
      <c r="DL3793">
        <f>IF(DB3793="","",IF(AND(COUNTIF($DA$2:$DA$47,DB3793)=0,COUNTIF($DB$2:DB3793,DB3793)=1),3792,""))</f>
        <v/>
      </c>
    </row>
    <row r="3794">
      <c r="DB3794">
        <f>IF('История отказов'!BA197="","",'История отказов'!BA197)</f>
        <v/>
      </c>
      <c r="DL3794">
        <f>IF(DB3794="","",IF(AND(COUNTIF($DA$2:$DA$47,DB3794)=0,COUNTIF($DB$2:DB3794,DB3794)=1),3793,""))</f>
        <v/>
      </c>
    </row>
    <row r="3795">
      <c r="DB3795">
        <f>IF('История отказов'!BA198="","",'История отказов'!BA198)</f>
        <v/>
      </c>
      <c r="DL3795">
        <f>IF(DB3795="","",IF(AND(COUNTIF($DA$2:$DA$47,DB3795)=0,COUNTIF($DB$2:DB3795,DB3795)=1),3794,""))</f>
        <v/>
      </c>
    </row>
    <row r="3796">
      <c r="DB3796">
        <f>IF('История отказов'!BA199="","",'История отказов'!BA199)</f>
        <v/>
      </c>
      <c r="DL3796">
        <f>IF(DB3796="","",IF(AND(COUNTIF($DA$2:$DA$47,DB3796)=0,COUNTIF($DB$2:DB3796,DB3796)=1),3795,""))</f>
        <v/>
      </c>
    </row>
    <row r="3797">
      <c r="DB3797">
        <f>IF('История отказов'!BA200="","",'История отказов'!BA200)</f>
        <v/>
      </c>
      <c r="DL3797">
        <f>IF(DB3797="","",IF(AND(COUNTIF($DA$2:$DA$47,DB3797)=0,COUNTIF($DB$2:DB3797,DB3797)=1),3796,""))</f>
        <v/>
      </c>
    </row>
    <row r="3798">
      <c r="DB3798">
        <f>IF('История отказов'!BA201="","",'История отказов'!BA201)</f>
        <v/>
      </c>
      <c r="DL3798">
        <f>IF(DB3798="","",IF(AND(COUNTIF($DA$2:$DA$47,DB3798)=0,COUNTIF($DB$2:DB3798,DB3798)=1),3797,""))</f>
        <v/>
      </c>
    </row>
    <row r="3799">
      <c r="DB3799">
        <f>IF('История отказов'!BA202="","",'История отказов'!BA202)</f>
        <v/>
      </c>
      <c r="DL3799">
        <f>IF(DB3799="","",IF(AND(COUNTIF($DA$2:$DA$47,DB3799)=0,COUNTIF($DB$2:DB3799,DB3799)=1),3798,""))</f>
        <v/>
      </c>
    </row>
    <row r="3800">
      <c r="DB3800">
        <f>IF('История отказов'!BA203="","",'История отказов'!BA203)</f>
        <v/>
      </c>
      <c r="DL3800">
        <f>IF(DB3800="","",IF(AND(COUNTIF($DA$2:$DA$47,DB3800)=0,COUNTIF($DB$2:DB3800,DB3800)=1),3799,""))</f>
        <v/>
      </c>
    </row>
    <row r="3801">
      <c r="DB3801">
        <f>IF('История отказов'!BA204="","",'История отказов'!BA204)</f>
        <v/>
      </c>
      <c r="DL3801">
        <f>IF(DB3801="","",IF(AND(COUNTIF($DA$2:$DA$47,DB3801)=0,COUNTIF($DB$2:DB3801,DB3801)=1),3800,""))</f>
        <v/>
      </c>
    </row>
    <row r="3802">
      <c r="DB3802">
        <f>IF('История отказов'!BA205="","",'История отказов'!BA205)</f>
        <v/>
      </c>
      <c r="DL3802">
        <f>IF(DB3802="","",IF(AND(COUNTIF($DA$2:$DA$47,DB3802)=0,COUNTIF($DB$2:DB3802,DB3802)=1),3801,""))</f>
        <v/>
      </c>
    </row>
    <row r="3803">
      <c r="DB3803">
        <f>IF('История отказов'!BA206="","",'История отказов'!BA206)</f>
        <v/>
      </c>
      <c r="DL3803">
        <f>IF(DB3803="","",IF(AND(COUNTIF($DA$2:$DA$47,DB3803)=0,COUNTIF($DB$2:DB3803,DB3803)=1),3802,""))</f>
        <v/>
      </c>
    </row>
    <row r="3804">
      <c r="DB3804">
        <f>IF('История отказов'!BA207="","",'История отказов'!BA207)</f>
        <v/>
      </c>
      <c r="DL3804">
        <f>IF(DB3804="","",IF(AND(COUNTIF($DA$2:$DA$47,DB3804)=0,COUNTIF($DB$2:DB3804,DB3804)=1),3803,""))</f>
        <v/>
      </c>
    </row>
    <row r="3805">
      <c r="DB3805">
        <f>IF('История отказов'!BA208="","",'История отказов'!BA208)</f>
        <v/>
      </c>
      <c r="DL3805">
        <f>IF(DB3805="","",IF(AND(COUNTIF($DA$2:$DA$47,DB3805)=0,COUNTIF($DB$2:DB3805,DB3805)=1),3804,""))</f>
        <v/>
      </c>
    </row>
    <row r="3806">
      <c r="DB3806">
        <f>IF('История отказов'!BA209="","",'История отказов'!BA209)</f>
        <v/>
      </c>
      <c r="DL3806">
        <f>IF(DB3806="","",IF(AND(COUNTIF($DA$2:$DA$47,DB3806)=0,COUNTIF($DB$2:DB3806,DB3806)=1),3805,""))</f>
        <v/>
      </c>
    </row>
    <row r="3807">
      <c r="DB3807">
        <f>IF('История отказов'!BA210="","",'История отказов'!BA210)</f>
        <v/>
      </c>
      <c r="DL3807">
        <f>IF(DB3807="","",IF(AND(COUNTIF($DA$2:$DA$47,DB3807)=0,COUNTIF($DB$2:DB3807,DB3807)=1),3806,""))</f>
        <v/>
      </c>
    </row>
    <row r="3808">
      <c r="DB3808">
        <f>IF('История отказов'!BA211="","",'История отказов'!BA211)</f>
        <v/>
      </c>
      <c r="DL3808">
        <f>IF(DB3808="","",IF(AND(COUNTIF($DA$2:$DA$47,DB3808)=0,COUNTIF($DB$2:DB3808,DB3808)=1),3807,""))</f>
        <v/>
      </c>
    </row>
    <row r="3809">
      <c r="DB3809">
        <f>IF('История отказов'!BA212="","",'История отказов'!BA212)</f>
        <v/>
      </c>
      <c r="DL3809">
        <f>IF(DB3809="","",IF(AND(COUNTIF($DA$2:$DA$47,DB3809)=0,COUNTIF($DB$2:DB3809,DB3809)=1),3808,""))</f>
        <v/>
      </c>
    </row>
    <row r="3810">
      <c r="DB3810">
        <f>IF('История отказов'!BA213="","",'История отказов'!BA213)</f>
        <v/>
      </c>
      <c r="DL3810">
        <f>IF(DB3810="","",IF(AND(COUNTIF($DA$2:$DA$47,DB3810)=0,COUNTIF($DB$2:DB3810,DB3810)=1),3809,""))</f>
        <v/>
      </c>
    </row>
    <row r="3811">
      <c r="DB3811">
        <f>IF('История отказов'!BA214="","",'История отказов'!BA214)</f>
        <v/>
      </c>
      <c r="DL3811">
        <f>IF(DB3811="","",IF(AND(COUNTIF($DA$2:$DA$47,DB3811)=0,COUNTIF($DB$2:DB3811,DB3811)=1),3810,""))</f>
        <v/>
      </c>
    </row>
    <row r="3812">
      <c r="DB3812">
        <f>IF('История отказов'!BA215="","",'История отказов'!BA215)</f>
        <v/>
      </c>
      <c r="DL3812">
        <f>IF(DB3812="","",IF(AND(COUNTIF($DA$2:$DA$47,DB3812)=0,COUNTIF($DB$2:DB3812,DB3812)=1),3811,""))</f>
        <v/>
      </c>
    </row>
    <row r="3813">
      <c r="DB3813">
        <f>IF('История отказов'!BA216="","",'История отказов'!BA216)</f>
        <v/>
      </c>
      <c r="DL3813">
        <f>IF(DB3813="","",IF(AND(COUNTIF($DA$2:$DA$47,DB3813)=0,COUNTIF($DB$2:DB3813,DB3813)=1),3812,""))</f>
        <v/>
      </c>
    </row>
    <row r="3814">
      <c r="DB3814">
        <f>IF('История отказов'!BA217="","",'История отказов'!BA217)</f>
        <v/>
      </c>
      <c r="DL3814">
        <f>IF(DB3814="","",IF(AND(COUNTIF($DA$2:$DA$47,DB3814)=0,COUNTIF($DB$2:DB3814,DB3814)=1),3813,""))</f>
        <v/>
      </c>
    </row>
    <row r="3815">
      <c r="DB3815">
        <f>IF('История отказов'!BA218="","",'История отказов'!BA218)</f>
        <v/>
      </c>
      <c r="DL3815">
        <f>IF(DB3815="","",IF(AND(COUNTIF($DA$2:$DA$47,DB3815)=0,COUNTIF($DB$2:DB3815,DB3815)=1),3814,""))</f>
        <v/>
      </c>
    </row>
    <row r="3816">
      <c r="DB3816">
        <f>IF('История отказов'!BA219="","",'История отказов'!BA219)</f>
        <v/>
      </c>
      <c r="DL3816">
        <f>IF(DB3816="","",IF(AND(COUNTIF($DA$2:$DA$47,DB3816)=0,COUNTIF($DB$2:DB3816,DB3816)=1),3815,""))</f>
        <v/>
      </c>
    </row>
    <row r="3817">
      <c r="DB3817">
        <f>IF('История отказов'!BA220="","",'История отказов'!BA220)</f>
        <v/>
      </c>
      <c r="DL3817">
        <f>IF(DB3817="","",IF(AND(COUNTIF($DA$2:$DA$47,DB3817)=0,COUNTIF($DB$2:DB3817,DB3817)=1),3816,""))</f>
        <v/>
      </c>
    </row>
    <row r="3818">
      <c r="DB3818">
        <f>IF('История отказов'!BA221="","",'История отказов'!BA221)</f>
        <v/>
      </c>
      <c r="DL3818">
        <f>IF(DB3818="","",IF(AND(COUNTIF($DA$2:$DA$47,DB3818)=0,COUNTIF($DB$2:DB3818,DB3818)=1),3817,""))</f>
        <v/>
      </c>
    </row>
    <row r="3819">
      <c r="DB3819">
        <f>IF('История отказов'!BA222="","",'История отказов'!BA222)</f>
        <v/>
      </c>
      <c r="DL3819">
        <f>IF(DB3819="","",IF(AND(COUNTIF($DA$2:$DA$47,DB3819)=0,COUNTIF($DB$2:DB3819,DB3819)=1),3818,""))</f>
        <v/>
      </c>
    </row>
    <row r="3820">
      <c r="DB3820">
        <f>IF('История отказов'!BA223="","",'История отказов'!BA223)</f>
        <v/>
      </c>
      <c r="DL3820">
        <f>IF(DB3820="","",IF(AND(COUNTIF($DA$2:$DA$47,DB3820)=0,COUNTIF($DB$2:DB3820,DB3820)=1),3819,""))</f>
        <v/>
      </c>
    </row>
    <row r="3821">
      <c r="DB3821">
        <f>IF('История отказов'!BA224="","",'История отказов'!BA224)</f>
        <v/>
      </c>
      <c r="DL3821">
        <f>IF(DB3821="","",IF(AND(COUNTIF($DA$2:$DA$47,DB3821)=0,COUNTIF($DB$2:DB3821,DB3821)=1),3820,""))</f>
        <v/>
      </c>
    </row>
    <row r="3822">
      <c r="DB3822">
        <f>IF('История отказов'!BA225="","",'История отказов'!BA225)</f>
        <v/>
      </c>
      <c r="DL3822">
        <f>IF(DB3822="","",IF(AND(COUNTIF($DA$2:$DA$47,DB3822)=0,COUNTIF($DB$2:DB3822,DB3822)=1),3821,""))</f>
        <v/>
      </c>
    </row>
    <row r="3823">
      <c r="DB3823">
        <f>IF('История отказов'!BA226="","",'История отказов'!BA226)</f>
        <v/>
      </c>
      <c r="DL3823">
        <f>IF(DB3823="","",IF(AND(COUNTIF($DA$2:$DA$47,DB3823)=0,COUNTIF($DB$2:DB3823,DB3823)=1),3822,""))</f>
        <v/>
      </c>
    </row>
    <row r="3824">
      <c r="DB3824">
        <f>IF('История отказов'!BA227="","",'История отказов'!BA227)</f>
        <v/>
      </c>
      <c r="DL3824">
        <f>IF(DB3824="","",IF(AND(COUNTIF($DA$2:$DA$47,DB3824)=0,COUNTIF($DB$2:DB3824,DB3824)=1),3823,""))</f>
        <v/>
      </c>
    </row>
    <row r="3825">
      <c r="DB3825">
        <f>IF('История отказов'!BA228="","",'История отказов'!BA228)</f>
        <v/>
      </c>
      <c r="DL3825">
        <f>IF(DB3825="","",IF(AND(COUNTIF($DA$2:$DA$47,DB3825)=0,COUNTIF($DB$2:DB3825,DB3825)=1),3824,""))</f>
        <v/>
      </c>
    </row>
    <row r="3826">
      <c r="DB3826">
        <f>IF('История отказов'!BA229="","",'История отказов'!BA229)</f>
        <v/>
      </c>
      <c r="DL3826">
        <f>IF(DB3826="","",IF(AND(COUNTIF($DA$2:$DA$47,DB3826)=0,COUNTIF($DB$2:DB3826,DB3826)=1),3825,""))</f>
        <v/>
      </c>
    </row>
    <row r="3827">
      <c r="DB3827">
        <f>IF('История отказов'!BA230="","",'История отказов'!BA230)</f>
        <v/>
      </c>
      <c r="DL3827">
        <f>IF(DB3827="","",IF(AND(COUNTIF($DA$2:$DA$47,DB3827)=0,COUNTIF($DB$2:DB3827,DB3827)=1),3826,""))</f>
        <v/>
      </c>
    </row>
    <row r="3828">
      <c r="DB3828">
        <f>IF('История отказов'!BA231="","",'История отказов'!BA231)</f>
        <v/>
      </c>
      <c r="DL3828">
        <f>IF(DB3828="","",IF(AND(COUNTIF($DA$2:$DA$47,DB3828)=0,COUNTIF($DB$2:DB3828,DB3828)=1),3827,""))</f>
        <v/>
      </c>
    </row>
    <row r="3829">
      <c r="DB3829">
        <f>IF('История отказов'!BA232="","",'История отказов'!BA232)</f>
        <v/>
      </c>
      <c r="DL3829">
        <f>IF(DB3829="","",IF(AND(COUNTIF($DA$2:$DA$47,DB3829)=0,COUNTIF($DB$2:DB3829,DB3829)=1),3828,""))</f>
        <v/>
      </c>
    </row>
    <row r="3830">
      <c r="DB3830">
        <f>IF('История отказов'!BA233="","",'История отказов'!BA233)</f>
        <v/>
      </c>
      <c r="DL3830">
        <f>IF(DB3830="","",IF(AND(COUNTIF($DA$2:$DA$47,DB3830)=0,COUNTIF($DB$2:DB3830,DB3830)=1),3829,""))</f>
        <v/>
      </c>
    </row>
    <row r="3831">
      <c r="DB3831">
        <f>IF('История отказов'!BA234="","",'История отказов'!BA234)</f>
        <v/>
      </c>
      <c r="DL3831">
        <f>IF(DB3831="","",IF(AND(COUNTIF($DA$2:$DA$47,DB3831)=0,COUNTIF($DB$2:DB3831,DB3831)=1),3830,""))</f>
        <v/>
      </c>
    </row>
    <row r="3832">
      <c r="DB3832">
        <f>IF('История отказов'!BA235="","",'История отказов'!BA235)</f>
        <v/>
      </c>
      <c r="DL3832">
        <f>IF(DB3832="","",IF(AND(COUNTIF($DA$2:$DA$47,DB3832)=0,COUNTIF($DB$2:DB3832,DB3832)=1),3831,""))</f>
        <v/>
      </c>
    </row>
    <row r="3833">
      <c r="DB3833">
        <f>IF('История отказов'!BA236="","",'История отказов'!BA236)</f>
        <v/>
      </c>
      <c r="DL3833">
        <f>IF(DB3833="","",IF(AND(COUNTIF($DA$2:$DA$47,DB3833)=0,COUNTIF($DB$2:DB3833,DB3833)=1),3832,""))</f>
        <v/>
      </c>
    </row>
    <row r="3834">
      <c r="DB3834">
        <f>IF('История отказов'!BA237="","",'История отказов'!BA237)</f>
        <v/>
      </c>
      <c r="DL3834">
        <f>IF(DB3834="","",IF(AND(COUNTIF($DA$2:$DA$47,DB3834)=0,COUNTIF($DB$2:DB3834,DB3834)=1),3833,""))</f>
        <v/>
      </c>
    </row>
    <row r="3835">
      <c r="DB3835">
        <f>IF('История отказов'!BA238="","",'История отказов'!BA238)</f>
        <v/>
      </c>
      <c r="DL3835">
        <f>IF(DB3835="","",IF(AND(COUNTIF($DA$2:$DA$47,DB3835)=0,COUNTIF($DB$2:DB3835,DB3835)=1),3834,""))</f>
        <v/>
      </c>
    </row>
    <row r="3836">
      <c r="DB3836">
        <f>IF('История отказов'!BA239="","",'История отказов'!BA239)</f>
        <v/>
      </c>
      <c r="DL3836">
        <f>IF(DB3836="","",IF(AND(COUNTIF($DA$2:$DA$47,DB3836)=0,COUNTIF($DB$2:DB3836,DB3836)=1),3835,""))</f>
        <v/>
      </c>
    </row>
    <row r="3837">
      <c r="DB3837">
        <f>IF('История отказов'!BA240="","",'История отказов'!BA240)</f>
        <v/>
      </c>
      <c r="DL3837">
        <f>IF(DB3837="","",IF(AND(COUNTIF($DA$2:$DA$47,DB3837)=0,COUNTIF($DB$2:DB3837,DB3837)=1),3836,""))</f>
        <v/>
      </c>
    </row>
    <row r="3838">
      <c r="DB3838">
        <f>IF('История отказов'!BA241="","",'История отказов'!BA241)</f>
        <v/>
      </c>
      <c r="DL3838">
        <f>IF(DB3838="","",IF(AND(COUNTIF($DA$2:$DA$47,DB3838)=0,COUNTIF($DB$2:DB3838,DB3838)=1),3837,""))</f>
        <v/>
      </c>
    </row>
    <row r="3839">
      <c r="DB3839">
        <f>IF('История отказов'!BA242="","",'История отказов'!BA242)</f>
        <v/>
      </c>
      <c r="DL3839">
        <f>IF(DB3839="","",IF(AND(COUNTIF($DA$2:$DA$47,DB3839)=0,COUNTIF($DB$2:DB3839,DB3839)=1),3838,""))</f>
        <v/>
      </c>
    </row>
    <row r="3840">
      <c r="DB3840">
        <f>IF('История отказов'!BA243="","",'История отказов'!BA243)</f>
        <v/>
      </c>
      <c r="DL3840">
        <f>IF(DB3840="","",IF(AND(COUNTIF($DA$2:$DA$47,DB3840)=0,COUNTIF($DB$2:DB3840,DB3840)=1),3839,""))</f>
        <v/>
      </c>
    </row>
    <row r="3841">
      <c r="DB3841">
        <f>IF('История отказов'!BA244="","",'История отказов'!BA244)</f>
        <v/>
      </c>
      <c r="DL3841">
        <f>IF(DB3841="","",IF(AND(COUNTIF($DA$2:$DA$47,DB3841)=0,COUNTIF($DB$2:DB3841,DB3841)=1),3840,""))</f>
        <v/>
      </c>
    </row>
    <row r="3842">
      <c r="DB3842">
        <f>IF('История отказов'!BA245="","",'История отказов'!BA245)</f>
        <v/>
      </c>
      <c r="DL3842">
        <f>IF(DB3842="","",IF(AND(COUNTIF($DA$2:$DA$47,DB3842)=0,COUNTIF($DB$2:DB3842,DB3842)=1),3841,""))</f>
        <v/>
      </c>
    </row>
    <row r="3843">
      <c r="DB3843">
        <f>IF('История отказов'!BA246="","",'История отказов'!BA246)</f>
        <v/>
      </c>
      <c r="DL3843">
        <f>IF(DB3843="","",IF(AND(COUNTIF($DA$2:$DA$47,DB3843)=0,COUNTIF($DB$2:DB3843,DB3843)=1),3842,""))</f>
        <v/>
      </c>
    </row>
    <row r="3844">
      <c r="DB3844">
        <f>IF('История отказов'!BA247="","",'История отказов'!BA247)</f>
        <v/>
      </c>
      <c r="DL3844">
        <f>IF(DB3844="","",IF(AND(COUNTIF($DA$2:$DA$47,DB3844)=0,COUNTIF($DB$2:DB3844,DB3844)=1),3843,""))</f>
        <v/>
      </c>
    </row>
    <row r="3845">
      <c r="DB3845">
        <f>IF('История отказов'!BA248="","",'История отказов'!BA248)</f>
        <v/>
      </c>
      <c r="DL3845">
        <f>IF(DB3845="","",IF(AND(COUNTIF($DA$2:$DA$47,DB3845)=0,COUNTIF($DB$2:DB3845,DB3845)=1),3844,""))</f>
        <v/>
      </c>
    </row>
    <row r="3846">
      <c r="DB3846">
        <f>IF('История отказов'!BA249="","",'История отказов'!BA249)</f>
        <v/>
      </c>
      <c r="DL3846">
        <f>IF(DB3846="","",IF(AND(COUNTIF($DA$2:$DA$47,DB3846)=0,COUNTIF($DB$2:DB3846,DB3846)=1),3845,""))</f>
        <v/>
      </c>
    </row>
    <row r="3847">
      <c r="DB3847">
        <f>IF('История отказов'!BA250="","",'История отказов'!BA250)</f>
        <v/>
      </c>
      <c r="DL3847">
        <f>IF(DB3847="","",IF(AND(COUNTIF($DA$2:$DA$47,DB3847)=0,COUNTIF($DB$2:DB3847,DB3847)=1),3846,""))</f>
        <v/>
      </c>
    </row>
    <row r="3848">
      <c r="DB3848">
        <f>IF('История отказов'!BA251="","",'История отказов'!BA251)</f>
        <v/>
      </c>
      <c r="DL3848">
        <f>IF(DB3848="","",IF(AND(COUNTIF($DA$2:$DA$47,DB3848)=0,COUNTIF($DB$2:DB3848,DB3848)=1),3847,""))</f>
        <v/>
      </c>
    </row>
    <row r="3849">
      <c r="DB3849">
        <f>IF('История отказов'!BA252="","",'История отказов'!BA252)</f>
        <v/>
      </c>
      <c r="DL3849">
        <f>IF(DB3849="","",IF(AND(COUNTIF($DA$2:$DA$47,DB3849)=0,COUNTIF($DB$2:DB3849,DB3849)=1),3848,""))</f>
        <v/>
      </c>
    </row>
    <row r="3850">
      <c r="DB3850">
        <f>IF('История отказов'!BA253="","",'История отказов'!BA253)</f>
        <v/>
      </c>
      <c r="DL3850">
        <f>IF(DB3850="","",IF(AND(COUNTIF($DA$2:$DA$47,DB3850)=0,COUNTIF($DB$2:DB3850,DB3850)=1),3849,""))</f>
        <v/>
      </c>
    </row>
    <row r="3851">
      <c r="DB3851">
        <f>IF('История отказов'!BA254="","",'История отказов'!BA254)</f>
        <v/>
      </c>
      <c r="DL3851">
        <f>IF(DB3851="","",IF(AND(COUNTIF($DA$2:$DA$47,DB3851)=0,COUNTIF($DB$2:DB3851,DB3851)=1),3850,""))</f>
        <v/>
      </c>
    </row>
    <row r="3852">
      <c r="DB3852">
        <f>IF('История отказов'!BA255="","",'История отказов'!BA255)</f>
        <v/>
      </c>
      <c r="DL3852">
        <f>IF(DB3852="","",IF(AND(COUNTIF($DA$2:$DA$47,DB3852)=0,COUNTIF($DB$2:DB3852,DB3852)=1),3851,""))</f>
        <v/>
      </c>
    </row>
    <row r="3853">
      <c r="DB3853">
        <f>IF('История отказов'!BA256="","",'История отказов'!BA256)</f>
        <v/>
      </c>
      <c r="DL3853">
        <f>IF(DB3853="","",IF(AND(COUNTIF($DA$2:$DA$47,DB3853)=0,COUNTIF($DB$2:DB3853,DB3853)=1),3852,""))</f>
        <v/>
      </c>
    </row>
    <row r="3854">
      <c r="DB3854">
        <f>IF('История отказов'!BA257="","",'История отказов'!BA257)</f>
        <v/>
      </c>
      <c r="DL3854">
        <f>IF(DB3854="","",IF(AND(COUNTIF($DA$2:$DA$47,DB3854)=0,COUNTIF($DB$2:DB3854,DB3854)=1),3853,""))</f>
        <v/>
      </c>
    </row>
    <row r="3855">
      <c r="DB3855">
        <f>IF('История отказов'!BA258="","",'История отказов'!BA258)</f>
        <v/>
      </c>
      <c r="DL3855">
        <f>IF(DB3855="","",IF(AND(COUNTIF($DA$2:$DA$47,DB3855)=0,COUNTIF($DB$2:DB3855,DB3855)=1),3854,""))</f>
        <v/>
      </c>
    </row>
    <row r="3856">
      <c r="DB3856">
        <f>IF('История отказов'!BA259="","",'История отказов'!BA259)</f>
        <v/>
      </c>
      <c r="DL3856">
        <f>IF(DB3856="","",IF(AND(COUNTIF($DA$2:$DA$47,DB3856)=0,COUNTIF($DB$2:DB3856,DB3856)=1),3855,""))</f>
        <v/>
      </c>
    </row>
    <row r="3857">
      <c r="DB3857">
        <f>IF('История отказов'!BA260="","",'История отказов'!BA260)</f>
        <v/>
      </c>
      <c r="DL3857">
        <f>IF(DB3857="","",IF(AND(COUNTIF($DA$2:$DA$47,DB3857)=0,COUNTIF($DB$2:DB3857,DB3857)=1),3856,""))</f>
        <v/>
      </c>
    </row>
    <row r="3858">
      <c r="DB3858">
        <f>IF('История отказов'!BA261="","",'История отказов'!BA261)</f>
        <v/>
      </c>
      <c r="DL3858">
        <f>IF(DB3858="","",IF(AND(COUNTIF($DA$2:$DA$47,DB3858)=0,COUNTIF($DB$2:DB3858,DB3858)=1),3857,""))</f>
        <v/>
      </c>
    </row>
    <row r="3859">
      <c r="DB3859">
        <f>IF('История отказов'!BA262="","",'История отказов'!BA262)</f>
        <v/>
      </c>
      <c r="DL3859">
        <f>IF(DB3859="","",IF(AND(COUNTIF($DA$2:$DA$47,DB3859)=0,COUNTIF($DB$2:DB3859,DB3859)=1),3858,""))</f>
        <v/>
      </c>
    </row>
    <row r="3860">
      <c r="DB3860">
        <f>IF('История отказов'!BA263="","",'История отказов'!BA263)</f>
        <v/>
      </c>
      <c r="DL3860">
        <f>IF(DB3860="","",IF(AND(COUNTIF($DA$2:$DA$47,DB3860)=0,COUNTIF($DB$2:DB3860,DB3860)=1),3859,""))</f>
        <v/>
      </c>
    </row>
    <row r="3861">
      <c r="DB3861">
        <f>IF('История отказов'!BA264="","",'История отказов'!BA264)</f>
        <v/>
      </c>
      <c r="DL3861">
        <f>IF(DB3861="","",IF(AND(COUNTIF($DA$2:$DA$47,DB3861)=0,COUNTIF($DB$2:DB3861,DB3861)=1),3860,""))</f>
        <v/>
      </c>
    </row>
    <row r="3862">
      <c r="DB3862">
        <f>IF('История отказов'!BA265="","",'История отказов'!BA265)</f>
        <v/>
      </c>
      <c r="DL3862">
        <f>IF(DB3862="","",IF(AND(COUNTIF($DA$2:$DA$47,DB3862)=0,COUNTIF($DB$2:DB3862,DB3862)=1),3861,""))</f>
        <v/>
      </c>
    </row>
    <row r="3863">
      <c r="DB3863">
        <f>IF('История отказов'!BA266="","",'История отказов'!BA266)</f>
        <v/>
      </c>
      <c r="DL3863">
        <f>IF(DB3863="","",IF(AND(COUNTIF($DA$2:$DA$47,DB3863)=0,COUNTIF($DB$2:DB3863,DB3863)=1),3862,""))</f>
        <v/>
      </c>
    </row>
    <row r="3864">
      <c r="DB3864">
        <f>IF('История отказов'!BA267="","",'История отказов'!BA267)</f>
        <v/>
      </c>
      <c r="DL3864">
        <f>IF(DB3864="","",IF(AND(COUNTIF($DA$2:$DA$47,DB3864)=0,COUNTIF($DB$2:DB3864,DB3864)=1),3863,""))</f>
        <v/>
      </c>
    </row>
    <row r="3865">
      <c r="DB3865">
        <f>IF('История отказов'!BA268="","",'История отказов'!BA268)</f>
        <v/>
      </c>
      <c r="DL3865">
        <f>IF(DB3865="","",IF(AND(COUNTIF($DA$2:$DA$47,DB3865)=0,COUNTIF($DB$2:DB3865,DB3865)=1),3864,""))</f>
        <v/>
      </c>
    </row>
    <row r="3866">
      <c r="DB3866">
        <f>IF('История отказов'!BA269="","",'История отказов'!BA269)</f>
        <v/>
      </c>
      <c r="DL3866">
        <f>IF(DB3866="","",IF(AND(COUNTIF($DA$2:$DA$47,DB3866)=0,COUNTIF($DB$2:DB3866,DB3866)=1),3865,""))</f>
        <v/>
      </c>
    </row>
    <row r="3867">
      <c r="DB3867">
        <f>IF('История отказов'!BA270="","",'История отказов'!BA270)</f>
        <v/>
      </c>
      <c r="DL3867">
        <f>IF(DB3867="","",IF(AND(COUNTIF($DA$2:$DA$47,DB3867)=0,COUNTIF($DB$2:DB3867,DB3867)=1),3866,""))</f>
        <v/>
      </c>
    </row>
    <row r="3868">
      <c r="DB3868">
        <f>IF('История отказов'!BA271="","",'История отказов'!BA271)</f>
        <v/>
      </c>
      <c r="DL3868">
        <f>IF(DB3868="","",IF(AND(COUNTIF($DA$2:$DA$47,DB3868)=0,COUNTIF($DB$2:DB3868,DB3868)=1),3867,""))</f>
        <v/>
      </c>
    </row>
    <row r="3869">
      <c r="DB3869">
        <f>IF('История отказов'!BA272="","",'История отказов'!BA272)</f>
        <v/>
      </c>
      <c r="DL3869">
        <f>IF(DB3869="","",IF(AND(COUNTIF($DA$2:$DA$47,DB3869)=0,COUNTIF($DB$2:DB3869,DB3869)=1),3868,""))</f>
        <v/>
      </c>
    </row>
    <row r="3870">
      <c r="DB3870">
        <f>IF('История отказов'!BA273="","",'История отказов'!BA273)</f>
        <v/>
      </c>
      <c r="DL3870">
        <f>IF(DB3870="","",IF(AND(COUNTIF($DA$2:$DA$47,DB3870)=0,COUNTIF($DB$2:DB3870,DB3870)=1),3869,""))</f>
        <v/>
      </c>
    </row>
    <row r="3871">
      <c r="DB3871">
        <f>IF('История отказов'!BA274="","",'История отказов'!BA274)</f>
        <v/>
      </c>
      <c r="DL3871">
        <f>IF(DB3871="","",IF(AND(COUNTIF($DA$2:$DA$47,DB3871)=0,COUNTIF($DB$2:DB3871,DB3871)=1),3870,""))</f>
        <v/>
      </c>
    </row>
    <row r="3872">
      <c r="DB3872">
        <f>IF('История отказов'!BA275="","",'История отказов'!BA275)</f>
        <v/>
      </c>
      <c r="DL3872">
        <f>IF(DB3872="","",IF(AND(COUNTIF($DA$2:$DA$47,DB3872)=0,COUNTIF($DB$2:DB3872,DB3872)=1),3871,""))</f>
        <v/>
      </c>
    </row>
    <row r="3873">
      <c r="DB3873">
        <f>IF('История отказов'!BA276="","",'История отказов'!BA276)</f>
        <v/>
      </c>
      <c r="DL3873">
        <f>IF(DB3873="","",IF(AND(COUNTIF($DA$2:$DA$47,DB3873)=0,COUNTIF($DB$2:DB3873,DB3873)=1),3872,""))</f>
        <v/>
      </c>
    </row>
    <row r="3874">
      <c r="DB3874">
        <f>IF('История отказов'!BA277="","",'История отказов'!BA277)</f>
        <v/>
      </c>
      <c r="DL3874">
        <f>IF(DB3874="","",IF(AND(COUNTIF($DA$2:$DA$47,DB3874)=0,COUNTIF($DB$2:DB3874,DB3874)=1),3873,""))</f>
        <v/>
      </c>
    </row>
    <row r="3875">
      <c r="DB3875">
        <f>IF('История отказов'!BA278="","",'История отказов'!BA278)</f>
        <v/>
      </c>
      <c r="DL3875">
        <f>IF(DB3875="","",IF(AND(COUNTIF($DA$2:$DA$47,DB3875)=0,COUNTIF($DB$2:DB3875,DB3875)=1),3874,""))</f>
        <v/>
      </c>
    </row>
    <row r="3876">
      <c r="DB3876">
        <f>IF('История отказов'!BA279="","",'История отказов'!BA279)</f>
        <v/>
      </c>
      <c r="DL3876">
        <f>IF(DB3876="","",IF(AND(COUNTIF($DA$2:$DA$47,DB3876)=0,COUNTIF($DB$2:DB3876,DB3876)=1),3875,""))</f>
        <v/>
      </c>
    </row>
    <row r="3877">
      <c r="DB3877">
        <f>IF('История отказов'!BA280="","",'История отказов'!BA280)</f>
        <v/>
      </c>
      <c r="DL3877">
        <f>IF(DB3877="","",IF(AND(COUNTIF($DA$2:$DA$47,DB3877)=0,COUNTIF($DB$2:DB3877,DB3877)=1),3876,""))</f>
        <v/>
      </c>
    </row>
    <row r="3878">
      <c r="DB3878">
        <f>IF('История отказов'!BA281="","",'История отказов'!BA281)</f>
        <v/>
      </c>
      <c r="DL3878">
        <f>IF(DB3878="","",IF(AND(COUNTIF($DA$2:$DA$47,DB3878)=0,COUNTIF($DB$2:DB3878,DB3878)=1),3877,""))</f>
        <v/>
      </c>
    </row>
    <row r="3879">
      <c r="DB3879">
        <f>IF('История отказов'!BA282="","",'История отказов'!BA282)</f>
        <v/>
      </c>
      <c r="DL3879">
        <f>IF(DB3879="","",IF(AND(COUNTIF($DA$2:$DA$47,DB3879)=0,COUNTIF($DB$2:DB3879,DB3879)=1),3878,""))</f>
        <v/>
      </c>
    </row>
    <row r="3880">
      <c r="DB3880">
        <f>IF('История отказов'!BA283="","",'История отказов'!BA283)</f>
        <v/>
      </c>
      <c r="DL3880">
        <f>IF(DB3880="","",IF(AND(COUNTIF($DA$2:$DA$47,DB3880)=0,COUNTIF($DB$2:DB3880,DB3880)=1),3879,""))</f>
        <v/>
      </c>
    </row>
    <row r="3881">
      <c r="DB3881">
        <f>IF('История отказов'!BA284="","",'История отказов'!BA284)</f>
        <v/>
      </c>
      <c r="DL3881">
        <f>IF(DB3881="","",IF(AND(COUNTIF($DA$2:$DA$47,DB3881)=0,COUNTIF($DB$2:DB3881,DB3881)=1),3880,""))</f>
        <v/>
      </c>
    </row>
    <row r="3882">
      <c r="DB3882">
        <f>IF('История отказов'!BA285="","",'История отказов'!BA285)</f>
        <v/>
      </c>
      <c r="DL3882">
        <f>IF(DB3882="","",IF(AND(COUNTIF($DA$2:$DA$47,DB3882)=0,COUNTIF($DB$2:DB3882,DB3882)=1),3881,""))</f>
        <v/>
      </c>
    </row>
    <row r="3883">
      <c r="DB3883">
        <f>IF('История отказов'!BA286="","",'История отказов'!BA286)</f>
        <v/>
      </c>
      <c r="DL3883">
        <f>IF(DB3883="","",IF(AND(COUNTIF($DA$2:$DA$47,DB3883)=0,COUNTIF($DB$2:DB3883,DB3883)=1),3882,""))</f>
        <v/>
      </c>
    </row>
    <row r="3884">
      <c r="DB3884">
        <f>IF('История отказов'!BA287="","",'История отказов'!BA287)</f>
        <v/>
      </c>
      <c r="DL3884">
        <f>IF(DB3884="","",IF(AND(COUNTIF($DA$2:$DA$47,DB3884)=0,COUNTIF($DB$2:DB3884,DB3884)=1),3883,""))</f>
        <v/>
      </c>
    </row>
    <row r="3885">
      <c r="DB3885">
        <f>IF('История отказов'!BA288="","",'История отказов'!BA288)</f>
        <v/>
      </c>
      <c r="DL3885">
        <f>IF(DB3885="","",IF(AND(COUNTIF($DA$2:$DA$47,DB3885)=0,COUNTIF($DB$2:DB3885,DB3885)=1),3884,""))</f>
        <v/>
      </c>
    </row>
    <row r="3886">
      <c r="DB3886">
        <f>IF('История отказов'!BA289="","",'История отказов'!BA289)</f>
        <v/>
      </c>
      <c r="DL3886">
        <f>IF(DB3886="","",IF(AND(COUNTIF($DA$2:$DA$47,DB3886)=0,COUNTIF($DB$2:DB3886,DB3886)=1),3885,""))</f>
        <v/>
      </c>
    </row>
    <row r="3887">
      <c r="DB3887">
        <f>IF('История отказов'!BA290="","",'История отказов'!BA290)</f>
        <v/>
      </c>
      <c r="DL3887">
        <f>IF(DB3887="","",IF(AND(COUNTIF($DA$2:$DA$47,DB3887)=0,COUNTIF($DB$2:DB3887,DB3887)=1),3886,""))</f>
        <v/>
      </c>
    </row>
    <row r="3888">
      <c r="DB3888">
        <f>IF('История отказов'!BA291="","",'История отказов'!BA291)</f>
        <v/>
      </c>
      <c r="DL3888">
        <f>IF(DB3888="","",IF(AND(COUNTIF($DA$2:$DA$47,DB3888)=0,COUNTIF($DB$2:DB3888,DB3888)=1),3887,""))</f>
        <v/>
      </c>
    </row>
    <row r="3889">
      <c r="DB3889">
        <f>IF('История отказов'!BA292="","",'История отказов'!BA292)</f>
        <v/>
      </c>
      <c r="DL3889">
        <f>IF(DB3889="","",IF(AND(COUNTIF($DA$2:$DA$47,DB3889)=0,COUNTIF($DB$2:DB3889,DB3889)=1),3888,""))</f>
        <v/>
      </c>
    </row>
    <row r="3890">
      <c r="DB3890">
        <f>IF('История отказов'!BA293="","",'История отказов'!BA293)</f>
        <v/>
      </c>
      <c r="DL3890">
        <f>IF(DB3890="","",IF(AND(COUNTIF($DA$2:$DA$47,DB3890)=0,COUNTIF($DB$2:DB3890,DB3890)=1),3889,""))</f>
        <v/>
      </c>
    </row>
    <row r="3891">
      <c r="DB3891">
        <f>IF('История отказов'!BA294="","",'История отказов'!BA294)</f>
        <v/>
      </c>
      <c r="DL3891">
        <f>IF(DB3891="","",IF(AND(COUNTIF($DA$2:$DA$47,DB3891)=0,COUNTIF($DB$2:DB3891,DB3891)=1),3890,""))</f>
        <v/>
      </c>
    </row>
    <row r="3892">
      <c r="DB3892">
        <f>IF('История отказов'!BA295="","",'История отказов'!BA295)</f>
        <v/>
      </c>
      <c r="DL3892">
        <f>IF(DB3892="","",IF(AND(COUNTIF($DA$2:$DA$47,DB3892)=0,COUNTIF($DB$2:DB3892,DB3892)=1),3891,""))</f>
        <v/>
      </c>
    </row>
    <row r="3893">
      <c r="DB3893">
        <f>IF('История отказов'!BA296="","",'История отказов'!BA296)</f>
        <v/>
      </c>
      <c r="DL3893">
        <f>IF(DB3893="","",IF(AND(COUNTIF($DA$2:$DA$47,DB3893)=0,COUNTIF($DB$2:DB3893,DB3893)=1),3892,""))</f>
        <v/>
      </c>
    </row>
    <row r="3894">
      <c r="DB3894">
        <f>IF('История отказов'!BA297="","",'История отказов'!BA297)</f>
        <v/>
      </c>
      <c r="DL3894">
        <f>IF(DB3894="","",IF(AND(COUNTIF($DA$2:$DA$47,DB3894)=0,COUNTIF($DB$2:DB3894,DB3894)=1),3893,""))</f>
        <v/>
      </c>
    </row>
    <row r="3895">
      <c r="DB3895">
        <f>IF('История отказов'!BA298="","",'История отказов'!BA298)</f>
        <v/>
      </c>
      <c r="DL3895">
        <f>IF(DB3895="","",IF(AND(COUNTIF($DA$2:$DA$47,DB3895)=0,COUNTIF($DB$2:DB3895,DB3895)=1),3894,""))</f>
        <v/>
      </c>
    </row>
    <row r="3896">
      <c r="DB3896">
        <f>IF('История отказов'!BA299="","",'История отказов'!BA299)</f>
        <v/>
      </c>
      <c r="DL3896">
        <f>IF(DB3896="","",IF(AND(COUNTIF($DA$2:$DA$47,DB3896)=0,COUNTIF($DB$2:DB3896,DB3896)=1),3895,""))</f>
        <v/>
      </c>
    </row>
    <row r="3897">
      <c r="DB3897">
        <f>IF('История отказов'!BA300="","",'История отказов'!BA300)</f>
        <v/>
      </c>
      <c r="DL3897">
        <f>IF(DB3897="","",IF(AND(COUNTIF($DA$2:$DA$47,DB3897)=0,COUNTIF($DB$2:DB3897,DB3897)=1),3896,""))</f>
        <v/>
      </c>
    </row>
    <row r="3898">
      <c r="DB3898">
        <f>IF('История отказов'!BA301="","",'История отказов'!BA301)</f>
        <v/>
      </c>
      <c r="DL3898">
        <f>IF(DB3898="","",IF(AND(COUNTIF($DA$2:$DA$47,DB3898)=0,COUNTIF($DB$2:DB3898,DB3898)=1),3897,""))</f>
        <v/>
      </c>
    </row>
    <row r="3899">
      <c r="DB3899">
        <f>IF('История отказов'!BA302="","",'История отказов'!BA302)</f>
        <v/>
      </c>
      <c r="DL3899">
        <f>IF(DB3899="","",IF(AND(COUNTIF($DA$2:$DA$47,DB3899)=0,COUNTIF($DB$2:DB3899,DB3899)=1),3898,""))</f>
        <v/>
      </c>
    </row>
    <row r="3900">
      <c r="DB3900">
        <f>IF('История отказов'!BA303="","",'История отказов'!BA303)</f>
        <v/>
      </c>
      <c r="DL3900">
        <f>IF(DB3900="","",IF(AND(COUNTIF($DA$2:$DA$47,DB3900)=0,COUNTIF($DB$2:DB3900,DB3900)=1),3899,""))</f>
        <v/>
      </c>
    </row>
    <row r="3901">
      <c r="DB3901">
        <f>IF('История отказов'!BA304="","",'История отказов'!BA304)</f>
        <v/>
      </c>
      <c r="DL3901">
        <f>IF(DB3901="","",IF(AND(COUNTIF($DA$2:$DA$47,DB3901)=0,COUNTIF($DB$2:DB3901,DB3901)=1),3900,""))</f>
        <v/>
      </c>
    </row>
    <row r="3902">
      <c r="DB3902">
        <f>IF('История отказов'!BA305="","",'История отказов'!BA305)</f>
        <v/>
      </c>
      <c r="DL3902">
        <f>IF(DB3902="","",IF(AND(COUNTIF($DA$2:$DA$47,DB3902)=0,COUNTIF($DB$2:DB3902,DB3902)=1),3901,""))</f>
        <v/>
      </c>
    </row>
    <row r="3903">
      <c r="DB3903">
        <f>IF('История отказов'!BA306="","",'История отказов'!BA306)</f>
        <v/>
      </c>
      <c r="DL3903">
        <f>IF(DB3903="","",IF(AND(COUNTIF($DA$2:$DA$47,DB3903)=0,COUNTIF($DB$2:DB3903,DB3903)=1),3902,""))</f>
        <v/>
      </c>
    </row>
    <row r="3904">
      <c r="DB3904">
        <f>IF('История отказов'!BA307="","",'История отказов'!BA307)</f>
        <v/>
      </c>
      <c r="DL3904">
        <f>IF(DB3904="","",IF(AND(COUNTIF($DA$2:$DA$47,DB3904)=0,COUNTIF($DB$2:DB3904,DB3904)=1),3903,""))</f>
        <v/>
      </c>
    </row>
    <row r="3905">
      <c r="DB3905">
        <f>IF('История отказов'!BA308="","",'История отказов'!BA308)</f>
        <v/>
      </c>
      <c r="DL3905">
        <f>IF(DB3905="","",IF(AND(COUNTIF($DA$2:$DA$47,DB3905)=0,COUNTIF($DB$2:DB3905,DB3905)=1),3904,""))</f>
        <v/>
      </c>
    </row>
    <row r="3906">
      <c r="DB3906">
        <f>IF('История отказов'!BA309="","",'История отказов'!BA309)</f>
        <v/>
      </c>
      <c r="DL3906">
        <f>IF(DB3906="","",IF(AND(COUNTIF($DA$2:$DA$47,DB3906)=0,COUNTIF($DB$2:DB3906,DB3906)=1),3905,""))</f>
        <v/>
      </c>
    </row>
    <row r="3907">
      <c r="DB3907">
        <f>IF('История отказов'!BA310="","",'История отказов'!BA310)</f>
        <v/>
      </c>
      <c r="DL3907">
        <f>IF(DB3907="","",IF(AND(COUNTIF($DA$2:$DA$47,DB3907)=0,COUNTIF($DB$2:DB3907,DB3907)=1),3906,""))</f>
        <v/>
      </c>
    </row>
    <row r="3908">
      <c r="DB3908">
        <f>IF('История отказов'!BA311="","",'История отказов'!BA311)</f>
        <v/>
      </c>
      <c r="DL3908">
        <f>IF(DB3908="","",IF(AND(COUNTIF($DA$2:$DA$47,DB3908)=0,COUNTIF($DB$2:DB3908,DB3908)=1),3907,""))</f>
        <v/>
      </c>
    </row>
    <row r="3909">
      <c r="DB3909">
        <f>IF('История отказов'!BA312="","",'История отказов'!BA312)</f>
        <v/>
      </c>
      <c r="DL3909">
        <f>IF(DB3909="","",IF(AND(COUNTIF($DA$2:$DA$47,DB3909)=0,COUNTIF($DB$2:DB3909,DB3909)=1),3908,""))</f>
        <v/>
      </c>
    </row>
    <row r="3910">
      <c r="DB3910">
        <f>IF('История отказов'!BA313="","",'История отказов'!BA313)</f>
        <v/>
      </c>
      <c r="DL3910">
        <f>IF(DB3910="","",IF(AND(COUNTIF($DA$2:$DA$47,DB3910)=0,COUNTIF($DB$2:DB3910,DB3910)=1),3909,""))</f>
        <v/>
      </c>
    </row>
    <row r="3911">
      <c r="DB3911">
        <f>IF('История отказов'!BA314="","",'История отказов'!BA314)</f>
        <v/>
      </c>
      <c r="DL3911">
        <f>IF(DB3911="","",IF(AND(COUNTIF($DA$2:$DA$47,DB3911)=0,COUNTIF($DB$2:DB3911,DB3911)=1),3910,""))</f>
        <v/>
      </c>
    </row>
    <row r="3912">
      <c r="DB3912">
        <f>IF('История отказов'!BA315="","",'История отказов'!BA315)</f>
        <v/>
      </c>
      <c r="DL3912">
        <f>IF(DB3912="","",IF(AND(COUNTIF($DA$2:$DA$47,DB3912)=0,COUNTIF($DB$2:DB3912,DB3912)=1),3911,""))</f>
        <v/>
      </c>
    </row>
    <row r="3913">
      <c r="DB3913">
        <f>IF('История отказов'!BA316="","",'История отказов'!BA316)</f>
        <v/>
      </c>
      <c r="DL3913">
        <f>IF(DB3913="","",IF(AND(COUNTIF($DA$2:$DA$47,DB3913)=0,COUNTIF($DB$2:DB3913,DB3913)=1),3912,""))</f>
        <v/>
      </c>
    </row>
    <row r="3914">
      <c r="DB3914">
        <f>IF('История отказов'!BA317="","",'История отказов'!BA317)</f>
        <v/>
      </c>
      <c r="DL3914">
        <f>IF(DB3914="","",IF(AND(COUNTIF($DA$2:$DA$47,DB3914)=0,COUNTIF($DB$2:DB3914,DB3914)=1),3913,""))</f>
        <v/>
      </c>
    </row>
    <row r="3915">
      <c r="DB3915">
        <f>IF('История отказов'!BA318="","",'История отказов'!BA318)</f>
        <v/>
      </c>
      <c r="DL3915">
        <f>IF(DB3915="","",IF(AND(COUNTIF($DA$2:$DA$47,DB3915)=0,COUNTIF($DB$2:DB3915,DB3915)=1),3914,""))</f>
        <v/>
      </c>
    </row>
    <row r="3916">
      <c r="DB3916">
        <f>IF('История отказов'!BA319="","",'История отказов'!BA319)</f>
        <v/>
      </c>
      <c r="DL3916">
        <f>IF(DB3916="","",IF(AND(COUNTIF($DA$2:$DA$47,DB3916)=0,COUNTIF($DB$2:DB3916,DB3916)=1),3915,""))</f>
        <v/>
      </c>
    </row>
    <row r="3917">
      <c r="DB3917">
        <f>IF('История отказов'!BA320="","",'История отказов'!BA320)</f>
        <v/>
      </c>
      <c r="DL3917">
        <f>IF(DB3917="","",IF(AND(COUNTIF($DA$2:$DA$47,DB3917)=0,COUNTIF($DB$2:DB3917,DB3917)=1),3916,""))</f>
        <v/>
      </c>
    </row>
    <row r="3918">
      <c r="DB3918">
        <f>IF('История отказов'!BA321="","",'История отказов'!BA321)</f>
        <v/>
      </c>
      <c r="DL3918">
        <f>IF(DB3918="","",IF(AND(COUNTIF($DA$2:$DA$47,DB3918)=0,COUNTIF($DB$2:DB3918,DB3918)=1),3917,""))</f>
        <v/>
      </c>
    </row>
    <row r="3919">
      <c r="DB3919">
        <f>IF('История отказов'!BA322="","",'История отказов'!BA322)</f>
        <v/>
      </c>
      <c r="DL3919">
        <f>IF(DB3919="","",IF(AND(COUNTIF($DA$2:$DA$47,DB3919)=0,COUNTIF($DB$2:DB3919,DB3919)=1),3918,""))</f>
        <v/>
      </c>
    </row>
    <row r="3920">
      <c r="DB3920">
        <f>IF('История отказов'!BA323="","",'История отказов'!BA323)</f>
        <v/>
      </c>
      <c r="DL3920">
        <f>IF(DB3920="","",IF(AND(COUNTIF($DA$2:$DA$47,DB3920)=0,COUNTIF($DB$2:DB3920,DB3920)=1),3919,""))</f>
        <v/>
      </c>
    </row>
    <row r="3921">
      <c r="DB3921">
        <f>IF('История отказов'!BA324="","",'История отказов'!BA324)</f>
        <v/>
      </c>
      <c r="DL3921">
        <f>IF(DB3921="","",IF(AND(COUNTIF($DA$2:$DA$47,DB3921)=0,COUNTIF($DB$2:DB3921,DB3921)=1),3920,""))</f>
        <v/>
      </c>
    </row>
    <row r="3922">
      <c r="DB3922">
        <f>IF('История отказов'!BA325="","",'История отказов'!BA325)</f>
        <v/>
      </c>
      <c r="DL3922">
        <f>IF(DB3922="","",IF(AND(COUNTIF($DA$2:$DA$47,DB3922)=0,COUNTIF($DB$2:DB3922,DB3922)=1),3921,""))</f>
        <v/>
      </c>
    </row>
    <row r="3923">
      <c r="DB3923">
        <f>IF('История отказов'!BA326="","",'История отказов'!BA326)</f>
        <v/>
      </c>
      <c r="DL3923">
        <f>IF(DB3923="","",IF(AND(COUNTIF($DA$2:$DA$47,DB3923)=0,COUNTIF($DB$2:DB3923,DB3923)=1),3922,""))</f>
        <v/>
      </c>
    </row>
    <row r="3924">
      <c r="DB3924">
        <f>IF('История отказов'!BA327="","",'История отказов'!BA327)</f>
        <v/>
      </c>
      <c r="DL3924">
        <f>IF(DB3924="","",IF(AND(COUNTIF($DA$2:$DA$47,DB3924)=0,COUNTIF($DB$2:DB3924,DB3924)=1),3923,""))</f>
        <v/>
      </c>
    </row>
    <row r="3925">
      <c r="DB3925">
        <f>IF('История отказов'!BA328="","",'История отказов'!BA328)</f>
        <v/>
      </c>
      <c r="DL3925">
        <f>IF(DB3925="","",IF(AND(COUNTIF($DA$2:$DA$47,DB3925)=0,COUNTIF($DB$2:DB3925,DB3925)=1),3924,""))</f>
        <v/>
      </c>
    </row>
    <row r="3926">
      <c r="DB3926">
        <f>IF('История отказов'!BA329="","",'История отказов'!BA329)</f>
        <v/>
      </c>
      <c r="DL3926">
        <f>IF(DB3926="","",IF(AND(COUNTIF($DA$2:$DA$47,DB3926)=0,COUNTIF($DB$2:DB3926,DB3926)=1),3925,""))</f>
        <v/>
      </c>
    </row>
    <row r="3927">
      <c r="DB3927">
        <f>IF('История отказов'!BA330="","",'История отказов'!BA330)</f>
        <v/>
      </c>
      <c r="DL3927">
        <f>IF(DB3927="","",IF(AND(COUNTIF($DA$2:$DA$47,DB3927)=0,COUNTIF($DB$2:DB3927,DB3927)=1),3926,""))</f>
        <v/>
      </c>
    </row>
    <row r="3928">
      <c r="DB3928">
        <f>IF('История отказов'!BA331="","",'История отказов'!BA331)</f>
        <v/>
      </c>
      <c r="DL3928">
        <f>IF(DB3928="","",IF(AND(COUNTIF($DA$2:$DA$47,DB3928)=0,COUNTIF($DB$2:DB3928,DB3928)=1),3927,""))</f>
        <v/>
      </c>
    </row>
    <row r="3929">
      <c r="DB3929">
        <f>IF('История отказов'!BA332="","",'История отказов'!BA332)</f>
        <v/>
      </c>
      <c r="DL3929">
        <f>IF(DB3929="","",IF(AND(COUNTIF($DA$2:$DA$47,DB3929)=0,COUNTIF($DB$2:DB3929,DB3929)=1),3928,""))</f>
        <v/>
      </c>
    </row>
    <row r="3930">
      <c r="DB3930">
        <f>IF('История отказов'!BA333="","",'История отказов'!BA333)</f>
        <v/>
      </c>
      <c r="DL3930">
        <f>IF(DB3930="","",IF(AND(COUNTIF($DA$2:$DA$47,DB3930)=0,COUNTIF($DB$2:DB3930,DB3930)=1),3929,""))</f>
        <v/>
      </c>
    </row>
    <row r="3931">
      <c r="DB3931">
        <f>IF('История отказов'!BA334="","",'История отказов'!BA334)</f>
        <v/>
      </c>
      <c r="DL3931">
        <f>IF(DB3931="","",IF(AND(COUNTIF($DA$2:$DA$47,DB3931)=0,COUNTIF($DB$2:DB3931,DB3931)=1),3930,""))</f>
        <v/>
      </c>
    </row>
    <row r="3932">
      <c r="DB3932">
        <f>IF('История отказов'!BA335="","",'История отказов'!BA335)</f>
        <v/>
      </c>
      <c r="DL3932">
        <f>IF(DB3932="","",IF(AND(COUNTIF($DA$2:$DA$47,DB3932)=0,COUNTIF($DB$2:DB3932,DB3932)=1),3931,""))</f>
        <v/>
      </c>
    </row>
    <row r="3933">
      <c r="DB3933">
        <f>IF('История отказов'!BA336="","",'История отказов'!BA336)</f>
        <v/>
      </c>
      <c r="DL3933">
        <f>IF(DB3933="","",IF(AND(COUNTIF($DA$2:$DA$47,DB3933)=0,COUNTIF($DB$2:DB3933,DB3933)=1),3932,""))</f>
        <v/>
      </c>
    </row>
    <row r="3934">
      <c r="DB3934">
        <f>IF('История отказов'!BA337="","",'История отказов'!BA337)</f>
        <v/>
      </c>
      <c r="DL3934">
        <f>IF(DB3934="","",IF(AND(COUNTIF($DA$2:$DA$47,DB3934)=0,COUNTIF($DB$2:DB3934,DB3934)=1),3933,""))</f>
        <v/>
      </c>
    </row>
    <row r="3935">
      <c r="DB3935">
        <f>IF('История отказов'!BA338="","",'История отказов'!BA338)</f>
        <v/>
      </c>
      <c r="DL3935">
        <f>IF(DB3935="","",IF(AND(COUNTIF($DA$2:$DA$47,DB3935)=0,COUNTIF($DB$2:DB3935,DB3935)=1),3934,""))</f>
        <v/>
      </c>
    </row>
    <row r="3936">
      <c r="DB3936">
        <f>IF('История отказов'!BA339="","",'История отказов'!BA339)</f>
        <v/>
      </c>
      <c r="DL3936">
        <f>IF(DB3936="","",IF(AND(COUNTIF($DA$2:$DA$47,DB3936)=0,COUNTIF($DB$2:DB3936,DB3936)=1),3935,""))</f>
        <v/>
      </c>
    </row>
    <row r="3937">
      <c r="DB3937">
        <f>IF('История отказов'!BA340="","",'История отказов'!BA340)</f>
        <v/>
      </c>
      <c r="DL3937">
        <f>IF(DB3937="","",IF(AND(COUNTIF($DA$2:$DA$47,DB3937)=0,COUNTIF($DB$2:DB3937,DB3937)=1),3936,""))</f>
        <v/>
      </c>
    </row>
    <row r="3938">
      <c r="DB3938">
        <f>IF('История отказов'!BA341="","",'История отказов'!BA341)</f>
        <v/>
      </c>
      <c r="DL3938">
        <f>IF(DB3938="","",IF(AND(COUNTIF($DA$2:$DA$47,DB3938)=0,COUNTIF($DB$2:DB3938,DB3938)=1),3937,""))</f>
        <v/>
      </c>
    </row>
    <row r="3939">
      <c r="DB3939">
        <f>IF('История отказов'!BA342="","",'История отказов'!BA342)</f>
        <v/>
      </c>
      <c r="DL3939">
        <f>IF(DB3939="","",IF(AND(COUNTIF($DA$2:$DA$47,DB3939)=0,COUNTIF($DB$2:DB3939,DB3939)=1),3938,""))</f>
        <v/>
      </c>
    </row>
    <row r="3940">
      <c r="DB3940">
        <f>IF('История отказов'!BA343="","",'История отказов'!BA343)</f>
        <v/>
      </c>
      <c r="DL3940">
        <f>IF(DB3940="","",IF(AND(COUNTIF($DA$2:$DA$47,DB3940)=0,COUNTIF($DB$2:DB3940,DB3940)=1),3939,""))</f>
        <v/>
      </c>
    </row>
    <row r="3941">
      <c r="DB3941">
        <f>IF('История отказов'!BA344="","",'История отказов'!BA344)</f>
        <v/>
      </c>
      <c r="DL3941">
        <f>IF(DB3941="","",IF(AND(COUNTIF($DA$2:$DA$47,DB3941)=0,COUNTIF($DB$2:DB3941,DB3941)=1),3940,""))</f>
        <v/>
      </c>
    </row>
    <row r="3942">
      <c r="DB3942">
        <f>IF('История отказов'!BA345="","",'История отказов'!BA345)</f>
        <v/>
      </c>
      <c r="DL3942">
        <f>IF(DB3942="","",IF(AND(COUNTIF($DA$2:$DA$47,DB3942)=0,COUNTIF($DB$2:DB3942,DB3942)=1),3941,""))</f>
        <v/>
      </c>
    </row>
    <row r="3943">
      <c r="DB3943">
        <f>IF('История отказов'!BA346="","",'История отказов'!BA346)</f>
        <v/>
      </c>
      <c r="DL3943">
        <f>IF(DB3943="","",IF(AND(COUNTIF($DA$2:$DA$47,DB3943)=0,COUNTIF($DB$2:DB3943,DB3943)=1),3942,""))</f>
        <v/>
      </c>
    </row>
    <row r="3944">
      <c r="DB3944">
        <f>IF('История отказов'!BA347="","",'История отказов'!BA347)</f>
        <v/>
      </c>
      <c r="DL3944">
        <f>IF(DB3944="","",IF(AND(COUNTIF($DA$2:$DA$47,DB3944)=0,COUNTIF($DB$2:DB3944,DB3944)=1),3943,""))</f>
        <v/>
      </c>
    </row>
    <row r="3945">
      <c r="DB3945">
        <f>IF('История отказов'!BA348="","",'История отказов'!BA348)</f>
        <v/>
      </c>
      <c r="DL3945">
        <f>IF(DB3945="","",IF(AND(COUNTIF($DA$2:$DA$47,DB3945)=0,COUNTIF($DB$2:DB3945,DB3945)=1),3944,""))</f>
        <v/>
      </c>
    </row>
    <row r="3946">
      <c r="DB3946">
        <f>IF('История отказов'!BA349="","",'История отказов'!BA349)</f>
        <v/>
      </c>
      <c r="DL3946">
        <f>IF(DB3946="","",IF(AND(COUNTIF($DA$2:$DA$47,DB3946)=0,COUNTIF($DB$2:DB3946,DB3946)=1),3945,""))</f>
        <v/>
      </c>
    </row>
    <row r="3947">
      <c r="DB3947">
        <f>IF('История отказов'!BA350="","",'История отказов'!BA350)</f>
        <v/>
      </c>
      <c r="DL3947">
        <f>IF(DB3947="","",IF(AND(COUNTIF($DA$2:$DA$47,DB3947)=0,COUNTIF($DB$2:DB3947,DB3947)=1),3946,""))</f>
        <v/>
      </c>
    </row>
    <row r="3948">
      <c r="DB3948">
        <f>IF('История отказов'!BA351="","",'История отказов'!BA351)</f>
        <v/>
      </c>
      <c r="DL3948">
        <f>IF(DB3948="","",IF(AND(COUNTIF($DA$2:$DA$47,DB3948)=0,COUNTIF($DB$2:DB3948,DB3948)=1),3947,""))</f>
        <v/>
      </c>
    </row>
    <row r="3949">
      <c r="DB3949">
        <f>IF('История отказов'!BA352="","",'История отказов'!BA352)</f>
        <v/>
      </c>
      <c r="DL3949">
        <f>IF(DB3949="","",IF(AND(COUNTIF($DA$2:$DA$47,DB3949)=0,COUNTIF($DB$2:DB3949,DB3949)=1),3948,""))</f>
        <v/>
      </c>
    </row>
    <row r="3950">
      <c r="DB3950">
        <f>IF('История отказов'!BA353="","",'История отказов'!BA353)</f>
        <v/>
      </c>
      <c r="DL3950">
        <f>IF(DB3950="","",IF(AND(COUNTIF($DA$2:$DA$47,DB3950)=0,COUNTIF($DB$2:DB3950,DB3950)=1),3949,""))</f>
        <v/>
      </c>
    </row>
    <row r="3951">
      <c r="DB3951">
        <f>IF('История отказов'!BA354="","",'История отказов'!BA354)</f>
        <v/>
      </c>
      <c r="DL3951">
        <f>IF(DB3951="","",IF(AND(COUNTIF($DA$2:$DA$47,DB3951)=0,COUNTIF($DB$2:DB3951,DB3951)=1),3950,""))</f>
        <v/>
      </c>
    </row>
    <row r="3952">
      <c r="DB3952">
        <f>IF('История отказов'!BA355="","",'История отказов'!BA355)</f>
        <v/>
      </c>
      <c r="DL3952">
        <f>IF(DB3952="","",IF(AND(COUNTIF($DA$2:$DA$47,DB3952)=0,COUNTIF($DB$2:DB3952,DB3952)=1),3951,""))</f>
        <v/>
      </c>
    </row>
    <row r="3953">
      <c r="DB3953">
        <f>IF('История отказов'!BA356="","",'История отказов'!BA356)</f>
        <v/>
      </c>
      <c r="DL3953">
        <f>IF(DB3953="","",IF(AND(COUNTIF($DA$2:$DA$47,DB3953)=0,COUNTIF($DB$2:DB3953,DB3953)=1),3952,""))</f>
        <v/>
      </c>
    </row>
    <row r="3954">
      <c r="DB3954">
        <f>IF('История отказов'!BA357="","",'История отказов'!BA357)</f>
        <v/>
      </c>
      <c r="DL3954">
        <f>IF(DB3954="","",IF(AND(COUNTIF($DA$2:$DA$47,DB3954)=0,COUNTIF($DB$2:DB3954,DB3954)=1),3953,""))</f>
        <v/>
      </c>
    </row>
    <row r="3955">
      <c r="DB3955">
        <f>IF('История отказов'!BA358="","",'История отказов'!BA358)</f>
        <v/>
      </c>
      <c r="DL3955">
        <f>IF(DB3955="","",IF(AND(COUNTIF($DA$2:$DA$47,DB3955)=0,COUNTIF($DB$2:DB3955,DB3955)=1),3954,""))</f>
        <v/>
      </c>
    </row>
    <row r="3956">
      <c r="DB3956">
        <f>IF('История отказов'!BA359="","",'История отказов'!BA359)</f>
        <v/>
      </c>
      <c r="DL3956">
        <f>IF(DB3956="","",IF(AND(COUNTIF($DA$2:$DA$47,DB3956)=0,COUNTIF($DB$2:DB3956,DB3956)=1),3955,""))</f>
        <v/>
      </c>
    </row>
    <row r="3957">
      <c r="DB3957">
        <f>IF('История отказов'!BA360="","",'История отказов'!BA360)</f>
        <v/>
      </c>
      <c r="DL3957">
        <f>IF(DB3957="","",IF(AND(COUNTIF($DA$2:$DA$47,DB3957)=0,COUNTIF($DB$2:DB3957,DB3957)=1),3956,""))</f>
        <v/>
      </c>
    </row>
    <row r="3958">
      <c r="DB3958">
        <f>IF('История отказов'!BA361="","",'История отказов'!BA361)</f>
        <v/>
      </c>
      <c r="DL3958">
        <f>IF(DB3958="","",IF(AND(COUNTIF($DA$2:$DA$47,DB3958)=0,COUNTIF($DB$2:DB3958,DB3958)=1),3957,""))</f>
        <v/>
      </c>
    </row>
    <row r="3959">
      <c r="DB3959">
        <f>IF('История отказов'!BA362="","",'История отказов'!BA362)</f>
        <v/>
      </c>
      <c r="DL3959">
        <f>IF(DB3959="","",IF(AND(COUNTIF($DA$2:$DA$47,DB3959)=0,COUNTIF($DB$2:DB3959,DB3959)=1),3958,""))</f>
        <v/>
      </c>
    </row>
    <row r="3960">
      <c r="DB3960">
        <f>IF('История отказов'!BA363="","",'История отказов'!BA363)</f>
        <v/>
      </c>
      <c r="DL3960">
        <f>IF(DB3960="","",IF(AND(COUNTIF($DA$2:$DA$47,DB3960)=0,COUNTIF($DB$2:DB3960,DB3960)=1),3959,""))</f>
        <v/>
      </c>
    </row>
    <row r="3961">
      <c r="DB3961">
        <f>IF('История отказов'!BA364="","",'История отказов'!BA364)</f>
        <v/>
      </c>
      <c r="DL3961">
        <f>IF(DB3961="","",IF(AND(COUNTIF($DA$2:$DA$47,DB3961)=0,COUNTIF($DB$2:DB3961,DB3961)=1),3960,""))</f>
        <v/>
      </c>
    </row>
    <row r="3962">
      <c r="DB3962">
        <f>IF('История отказов'!BA365="","",'История отказов'!BA365)</f>
        <v/>
      </c>
      <c r="DL3962">
        <f>IF(DB3962="","",IF(AND(COUNTIF($DA$2:$DA$47,DB3962)=0,COUNTIF($DB$2:DB3962,DB3962)=1),3961,""))</f>
        <v/>
      </c>
    </row>
    <row r="3963">
      <c r="DB3963">
        <f>IF('История отказов'!BA366="","",'История отказов'!BA366)</f>
        <v/>
      </c>
      <c r="DL3963">
        <f>IF(DB3963="","",IF(AND(COUNTIF($DA$2:$DA$47,DB3963)=0,COUNTIF($DB$2:DB3963,DB3963)=1),3962,""))</f>
        <v/>
      </c>
    </row>
    <row r="3964">
      <c r="DB3964">
        <f>IF('История отказов'!BA367="","",'История отказов'!BA367)</f>
        <v/>
      </c>
      <c r="DL3964">
        <f>IF(DB3964="","",IF(AND(COUNTIF($DA$2:$DA$47,DB3964)=0,COUNTIF($DB$2:DB3964,DB3964)=1),3963,""))</f>
        <v/>
      </c>
    </row>
    <row r="3965">
      <c r="DB3965">
        <f>IF('История отказов'!BA368="","",'История отказов'!BA368)</f>
        <v/>
      </c>
      <c r="DL3965">
        <f>IF(DB3965="","",IF(AND(COUNTIF($DA$2:$DA$47,DB3965)=0,COUNTIF($DB$2:DB3965,DB3965)=1),3964,""))</f>
        <v/>
      </c>
    </row>
    <row r="3966">
      <c r="DB3966">
        <f>IF('История отказов'!BA369="","",'История отказов'!BA369)</f>
        <v/>
      </c>
      <c r="DL3966">
        <f>IF(DB3966="","",IF(AND(COUNTIF($DA$2:$DA$47,DB3966)=0,COUNTIF($DB$2:DB3966,DB3966)=1),3965,""))</f>
        <v/>
      </c>
    </row>
    <row r="3967">
      <c r="DB3967">
        <f>IF('История отказов'!BA370="","",'История отказов'!BA370)</f>
        <v/>
      </c>
      <c r="DL3967">
        <f>IF(DB3967="","",IF(AND(COUNTIF($DA$2:$DA$47,DB3967)=0,COUNTIF($DB$2:DB3967,DB3967)=1),3966,""))</f>
        <v/>
      </c>
    </row>
    <row r="3968">
      <c r="DB3968">
        <f>IF('История отказов'!BA371="","",'История отказов'!BA371)</f>
        <v/>
      </c>
      <c r="DL3968">
        <f>IF(DB3968="","",IF(AND(COUNTIF($DA$2:$DA$47,DB3968)=0,COUNTIF($DB$2:DB3968,DB3968)=1),3967,""))</f>
        <v/>
      </c>
    </row>
    <row r="3969">
      <c r="DB3969">
        <f>IF('История отказов'!BA372="","",'История отказов'!BA372)</f>
        <v/>
      </c>
      <c r="DL3969">
        <f>IF(DB3969="","",IF(AND(COUNTIF($DA$2:$DA$47,DB3969)=0,COUNTIF($DB$2:DB3969,DB3969)=1),3968,""))</f>
        <v/>
      </c>
    </row>
    <row r="3970">
      <c r="DB3970">
        <f>IF('История отказов'!BA373="","",'История отказов'!BA373)</f>
        <v/>
      </c>
      <c r="DL3970">
        <f>IF(DB3970="","",IF(AND(COUNTIF($DA$2:$DA$47,DB3970)=0,COUNTIF($DB$2:DB3970,DB3970)=1),3969,""))</f>
        <v/>
      </c>
    </row>
    <row r="3971">
      <c r="DB3971">
        <f>IF('История отказов'!BA374="","",'История отказов'!BA374)</f>
        <v/>
      </c>
      <c r="DL3971">
        <f>IF(DB3971="","",IF(AND(COUNTIF($DA$2:$DA$47,DB3971)=0,COUNTIF($DB$2:DB3971,DB3971)=1),3970,""))</f>
        <v/>
      </c>
    </row>
    <row r="3972">
      <c r="DB3972">
        <f>IF('История отказов'!BA375="","",'История отказов'!BA375)</f>
        <v/>
      </c>
      <c r="DL3972">
        <f>IF(DB3972="","",IF(AND(COUNTIF($DA$2:$DA$47,DB3972)=0,COUNTIF($DB$2:DB3972,DB3972)=1),3971,""))</f>
        <v/>
      </c>
    </row>
    <row r="3973">
      <c r="DB3973">
        <f>IF('История отказов'!BA376="","",'История отказов'!BA376)</f>
        <v/>
      </c>
      <c r="DL3973">
        <f>IF(DB3973="","",IF(AND(COUNTIF($DA$2:$DA$47,DB3973)=0,COUNTIF($DB$2:DB3973,DB3973)=1),3972,""))</f>
        <v/>
      </c>
    </row>
    <row r="3974">
      <c r="DB3974">
        <f>IF('История отказов'!BA377="","",'История отказов'!BA377)</f>
        <v/>
      </c>
      <c r="DL3974">
        <f>IF(DB3974="","",IF(AND(COUNTIF($DA$2:$DA$47,DB3974)=0,COUNTIF($DB$2:DB3974,DB3974)=1),3973,""))</f>
        <v/>
      </c>
    </row>
    <row r="3975">
      <c r="DB3975">
        <f>IF('История отказов'!BA378="","",'История отказов'!BA378)</f>
        <v/>
      </c>
      <c r="DL3975">
        <f>IF(DB3975="","",IF(AND(COUNTIF($DA$2:$DA$47,DB3975)=0,COUNTIF($DB$2:DB3975,DB3975)=1),3974,""))</f>
        <v/>
      </c>
    </row>
    <row r="3976">
      <c r="DB3976">
        <f>IF('История отказов'!BA379="","",'История отказов'!BA379)</f>
        <v/>
      </c>
      <c r="DL3976">
        <f>IF(DB3976="","",IF(AND(COUNTIF($DA$2:$DA$47,DB3976)=0,COUNTIF($DB$2:DB3976,DB3976)=1),3975,""))</f>
        <v/>
      </c>
    </row>
    <row r="3977">
      <c r="DB3977">
        <f>IF('История отказов'!BA380="","",'История отказов'!BA380)</f>
        <v/>
      </c>
      <c r="DL3977">
        <f>IF(DB3977="","",IF(AND(COUNTIF($DA$2:$DA$47,DB3977)=0,COUNTIF($DB$2:DB3977,DB3977)=1),3976,""))</f>
        <v/>
      </c>
    </row>
    <row r="3978">
      <c r="DB3978">
        <f>IF('История отказов'!BA381="","",'История отказов'!BA381)</f>
        <v/>
      </c>
      <c r="DL3978">
        <f>IF(DB3978="","",IF(AND(COUNTIF($DA$2:$DA$47,DB3978)=0,COUNTIF($DB$2:DB3978,DB3978)=1),3977,""))</f>
        <v/>
      </c>
    </row>
    <row r="3979">
      <c r="DB3979">
        <f>IF('История отказов'!BA382="","",'История отказов'!BA382)</f>
        <v/>
      </c>
      <c r="DL3979">
        <f>IF(DB3979="","",IF(AND(COUNTIF($DA$2:$DA$47,DB3979)=0,COUNTIF($DB$2:DB3979,DB3979)=1),3978,""))</f>
        <v/>
      </c>
    </row>
    <row r="3980">
      <c r="DB3980">
        <f>IF('История отказов'!BA383="","",'История отказов'!BA383)</f>
        <v/>
      </c>
      <c r="DL3980">
        <f>IF(DB3980="","",IF(AND(COUNTIF($DA$2:$DA$47,DB3980)=0,COUNTIF($DB$2:DB3980,DB3980)=1),3979,""))</f>
        <v/>
      </c>
    </row>
    <row r="3981">
      <c r="DB3981">
        <f>IF('История отказов'!BA384="","",'История отказов'!BA384)</f>
        <v/>
      </c>
      <c r="DL3981">
        <f>IF(DB3981="","",IF(AND(COUNTIF($DA$2:$DA$47,DB3981)=0,COUNTIF($DB$2:DB3981,DB3981)=1),3980,""))</f>
        <v/>
      </c>
    </row>
    <row r="3982">
      <c r="DB3982">
        <f>IF('История отказов'!BA385="","",'История отказов'!BA385)</f>
        <v/>
      </c>
      <c r="DL3982">
        <f>IF(DB3982="","",IF(AND(COUNTIF($DA$2:$DA$47,DB3982)=0,COUNTIF($DB$2:DB3982,DB3982)=1),3981,""))</f>
        <v/>
      </c>
    </row>
    <row r="3983">
      <c r="DB3983">
        <f>IF('История отказов'!BA386="","",'История отказов'!BA386)</f>
        <v/>
      </c>
      <c r="DL3983">
        <f>IF(DB3983="","",IF(AND(COUNTIF($DA$2:$DA$47,DB3983)=0,COUNTIF($DB$2:DB3983,DB3983)=1),3982,""))</f>
        <v/>
      </c>
    </row>
    <row r="3984">
      <c r="DB3984">
        <f>IF('История отказов'!BA387="","",'История отказов'!BA387)</f>
        <v/>
      </c>
      <c r="DL3984">
        <f>IF(DB3984="","",IF(AND(COUNTIF($DA$2:$DA$47,DB3984)=0,COUNTIF($DB$2:DB3984,DB3984)=1),3983,""))</f>
        <v/>
      </c>
    </row>
    <row r="3985">
      <c r="DB3985">
        <f>IF('История отказов'!BA388="","",'История отказов'!BA388)</f>
        <v/>
      </c>
      <c r="DL3985">
        <f>IF(DB3985="","",IF(AND(COUNTIF($DA$2:$DA$47,DB3985)=0,COUNTIF($DB$2:DB3985,DB3985)=1),3984,""))</f>
        <v/>
      </c>
    </row>
    <row r="3986">
      <c r="DB3986">
        <f>IF('История отказов'!BA389="","",'История отказов'!BA389)</f>
        <v/>
      </c>
      <c r="DL3986">
        <f>IF(DB3986="","",IF(AND(COUNTIF($DA$2:$DA$47,DB3986)=0,COUNTIF($DB$2:DB3986,DB3986)=1),3985,""))</f>
        <v/>
      </c>
    </row>
    <row r="3987">
      <c r="DB3987">
        <f>IF('История отказов'!BA390="","",'История отказов'!BA390)</f>
        <v/>
      </c>
      <c r="DL3987">
        <f>IF(DB3987="","",IF(AND(COUNTIF($DA$2:$DA$47,DB3987)=0,COUNTIF($DB$2:DB3987,DB3987)=1),3986,""))</f>
        <v/>
      </c>
    </row>
    <row r="3988">
      <c r="DB3988">
        <f>IF('История отказов'!BA391="","",'История отказов'!BA391)</f>
        <v/>
      </c>
      <c r="DL3988">
        <f>IF(DB3988="","",IF(AND(COUNTIF($DA$2:$DA$47,DB3988)=0,COUNTIF($DB$2:DB3988,DB3988)=1),3987,""))</f>
        <v/>
      </c>
    </row>
    <row r="3989">
      <c r="DB3989">
        <f>IF('История отказов'!BA392="","",'История отказов'!BA392)</f>
        <v/>
      </c>
      <c r="DL3989">
        <f>IF(DB3989="","",IF(AND(COUNTIF($DA$2:$DA$47,DB3989)=0,COUNTIF($DB$2:DB3989,DB3989)=1),3988,""))</f>
        <v/>
      </c>
    </row>
    <row r="3990">
      <c r="DB3990">
        <f>IF('История отказов'!BA393="","",'История отказов'!BA393)</f>
        <v/>
      </c>
      <c r="DL3990">
        <f>IF(DB3990="","",IF(AND(COUNTIF($DA$2:$DA$47,DB3990)=0,COUNTIF($DB$2:DB3990,DB3990)=1),3989,""))</f>
        <v/>
      </c>
    </row>
    <row r="3991">
      <c r="DB3991">
        <f>IF('История отказов'!BA394="","",'История отказов'!BA394)</f>
        <v/>
      </c>
      <c r="DL3991">
        <f>IF(DB3991="","",IF(AND(COUNTIF($DA$2:$DA$47,DB3991)=0,COUNTIF($DB$2:DB3991,DB3991)=1),3990,""))</f>
        <v/>
      </c>
    </row>
    <row r="3992">
      <c r="DB3992">
        <f>IF('История отказов'!BA395="","",'История отказов'!BA395)</f>
        <v/>
      </c>
      <c r="DL3992">
        <f>IF(DB3992="","",IF(AND(COUNTIF($DA$2:$DA$47,DB3992)=0,COUNTIF($DB$2:DB3992,DB3992)=1),3991,""))</f>
        <v/>
      </c>
    </row>
    <row r="3993">
      <c r="DB3993">
        <f>IF('История отказов'!BA396="","",'История отказов'!BA396)</f>
        <v/>
      </c>
      <c r="DL3993">
        <f>IF(DB3993="","",IF(AND(COUNTIF($DA$2:$DA$47,DB3993)=0,COUNTIF($DB$2:DB3993,DB3993)=1),3992,""))</f>
        <v/>
      </c>
    </row>
    <row r="3994">
      <c r="DB3994">
        <f>IF('История отказов'!BA397="","",'История отказов'!BA397)</f>
        <v/>
      </c>
      <c r="DL3994">
        <f>IF(DB3994="","",IF(AND(COUNTIF($DA$2:$DA$47,DB3994)=0,COUNTIF($DB$2:DB3994,DB3994)=1),3993,""))</f>
        <v/>
      </c>
    </row>
    <row r="3995">
      <c r="DB3995">
        <f>IF('История отказов'!BA398="","",'История отказов'!BA398)</f>
        <v/>
      </c>
      <c r="DL3995">
        <f>IF(DB3995="","",IF(AND(COUNTIF($DA$2:$DA$47,DB3995)=0,COUNTIF($DB$2:DB3995,DB3995)=1),3994,""))</f>
        <v/>
      </c>
    </row>
    <row r="3996">
      <c r="DB3996">
        <f>IF('История отказов'!BA399="","",'История отказов'!BA399)</f>
        <v/>
      </c>
      <c r="DL3996">
        <f>IF(DB3996="","",IF(AND(COUNTIF($DA$2:$DA$47,DB3996)=0,COUNTIF($DB$2:DB3996,DB3996)=1),3995,""))</f>
        <v/>
      </c>
    </row>
    <row r="3997">
      <c r="DB3997">
        <f>IF('История отказов'!BA400="","",'История отказов'!BA400)</f>
        <v/>
      </c>
      <c r="DL3997">
        <f>IF(DB3997="","",IF(AND(COUNTIF($DA$2:$DA$47,DB3997)=0,COUNTIF($DB$2:DB3997,DB3997)=1),3996,""))</f>
        <v/>
      </c>
    </row>
    <row r="3998">
      <c r="DB3998">
        <f>IF('История отказов'!BA401="","",'История отказов'!BA401)</f>
        <v/>
      </c>
      <c r="DL3998">
        <f>IF(DB3998="","",IF(AND(COUNTIF($DA$2:$DA$47,DB3998)=0,COUNTIF($DB$2:DB3998,DB3998)=1),3997,""))</f>
        <v/>
      </c>
    </row>
    <row r="3999">
      <c r="DB3999">
        <f>IF('История отказов'!BA402="","",'История отказов'!BA402)</f>
        <v/>
      </c>
      <c r="DL3999">
        <f>IF(DB3999="","",IF(AND(COUNTIF($DA$2:$DA$47,DB3999)=0,COUNTIF($DB$2:DB3999,DB3999)=1),3998,""))</f>
        <v/>
      </c>
    </row>
    <row r="4000">
      <c r="DB4000">
        <f>IF('История отказов'!BA403="","",'История отказов'!BA403)</f>
        <v/>
      </c>
      <c r="DL4000">
        <f>IF(DB4000="","",IF(AND(COUNTIF($DA$2:$DA$47,DB4000)=0,COUNTIF($DB$2:DB4000,DB4000)=1),3999,""))</f>
        <v/>
      </c>
    </row>
    <row r="4001">
      <c r="DB4001">
        <f>IF('История отказов'!BA404="","",'История отказов'!BA404)</f>
        <v/>
      </c>
      <c r="DL4001">
        <f>IF(DB4001="","",IF(AND(COUNTIF($DA$2:$DA$47,DB4001)=0,COUNTIF($DB$2:DB4001,DB4001)=1),4000,""))</f>
        <v/>
      </c>
    </row>
    <row r="4002">
      <c r="DB4002">
        <f>IF('История отказов'!BA405="","",'История отказов'!BA405)</f>
        <v/>
      </c>
      <c r="DL4002">
        <f>IF(DB4002="","",IF(AND(COUNTIF($DA$2:$DA$47,DB4002)=0,COUNTIF($DB$2:DB4002,DB4002)=1),4001,""))</f>
        <v/>
      </c>
    </row>
    <row r="4003">
      <c r="DB4003">
        <f>IF('История отказов'!BA406="","",'История отказов'!BA406)</f>
        <v/>
      </c>
      <c r="DL4003">
        <f>IF(DB4003="","",IF(AND(COUNTIF($DA$2:$DA$47,DB4003)=0,COUNTIF($DB$2:DB4003,DB4003)=1),4002,""))</f>
        <v/>
      </c>
    </row>
    <row r="4004">
      <c r="DB4004">
        <f>IF('История отказов'!BA407="","",'История отказов'!BA407)</f>
        <v/>
      </c>
      <c r="DL4004">
        <f>IF(DB4004="","",IF(AND(COUNTIF($DA$2:$DA$47,DB4004)=0,COUNTIF($DB$2:DB4004,DB4004)=1),4003,""))</f>
        <v/>
      </c>
    </row>
    <row r="4005">
      <c r="DB4005">
        <f>IF('История отказов'!BA408="","",'История отказов'!BA408)</f>
        <v/>
      </c>
      <c r="DL4005">
        <f>IF(DB4005="","",IF(AND(COUNTIF($DA$2:$DA$47,DB4005)=0,COUNTIF($DB$2:DB4005,DB4005)=1),4004,""))</f>
        <v/>
      </c>
    </row>
    <row r="4006">
      <c r="DB4006">
        <f>IF('История отказов'!BA409="","",'История отказов'!BA409)</f>
        <v/>
      </c>
      <c r="DL4006">
        <f>IF(DB4006="","",IF(AND(COUNTIF($DA$2:$DA$47,DB4006)=0,COUNTIF($DB$2:DB4006,DB4006)=1),4005,""))</f>
        <v/>
      </c>
    </row>
    <row r="4007">
      <c r="DB4007">
        <f>IF('История отказов'!BA410="","",'История отказов'!BA410)</f>
        <v/>
      </c>
      <c r="DL4007">
        <f>IF(DB4007="","",IF(AND(COUNTIF($DA$2:$DA$47,DB4007)=0,COUNTIF($DB$2:DB4007,DB4007)=1),4006,""))</f>
        <v/>
      </c>
    </row>
    <row r="4008">
      <c r="DB4008">
        <f>IF('История отказов'!BA411="","",'История отказов'!BA411)</f>
        <v/>
      </c>
      <c r="DL4008">
        <f>IF(DB4008="","",IF(AND(COUNTIF($DA$2:$DA$47,DB4008)=0,COUNTIF($DB$2:DB4008,DB4008)=1),4007,""))</f>
        <v/>
      </c>
    </row>
    <row r="4009">
      <c r="DB4009">
        <f>IF('История отказов'!BA412="","",'История отказов'!BA412)</f>
        <v/>
      </c>
      <c r="DL4009">
        <f>IF(DB4009="","",IF(AND(COUNTIF($DA$2:$DA$47,DB4009)=0,COUNTIF($DB$2:DB4009,DB4009)=1),4008,""))</f>
        <v/>
      </c>
    </row>
    <row r="4010">
      <c r="DB4010">
        <f>IF('История отказов'!BA413="","",'История отказов'!BA413)</f>
        <v/>
      </c>
      <c r="DL4010">
        <f>IF(DB4010="","",IF(AND(COUNTIF($DA$2:$DA$47,DB4010)=0,COUNTIF($DB$2:DB4010,DB4010)=1),4009,""))</f>
        <v/>
      </c>
    </row>
    <row r="4011">
      <c r="DB4011">
        <f>IF('История отказов'!BA414="","",'История отказов'!BA414)</f>
        <v/>
      </c>
      <c r="DL4011">
        <f>IF(DB4011="","",IF(AND(COUNTIF($DA$2:$DA$47,DB4011)=0,COUNTIF($DB$2:DB4011,DB4011)=1),4010,""))</f>
        <v/>
      </c>
    </row>
    <row r="4012">
      <c r="DB4012">
        <f>IF('История отказов'!BA415="","",'История отказов'!BA415)</f>
        <v/>
      </c>
      <c r="DL4012">
        <f>IF(DB4012="","",IF(AND(COUNTIF($DA$2:$DA$47,DB4012)=0,COUNTIF($DB$2:DB4012,DB4012)=1),4011,""))</f>
        <v/>
      </c>
    </row>
    <row r="4013">
      <c r="DB4013">
        <f>IF('История отказов'!BA416="","",'История отказов'!BA416)</f>
        <v/>
      </c>
      <c r="DL4013">
        <f>IF(DB4013="","",IF(AND(COUNTIF($DA$2:$DA$47,DB4013)=0,COUNTIF($DB$2:DB4013,DB4013)=1),4012,""))</f>
        <v/>
      </c>
    </row>
    <row r="4014">
      <c r="DB4014">
        <f>IF('История отказов'!BA417="","",'История отказов'!BA417)</f>
        <v/>
      </c>
      <c r="DL4014">
        <f>IF(DB4014="","",IF(AND(COUNTIF($DA$2:$DA$47,DB4014)=0,COUNTIF($DB$2:DB4014,DB4014)=1),4013,""))</f>
        <v/>
      </c>
    </row>
    <row r="4015">
      <c r="DB4015">
        <f>IF('История отказов'!BA418="","",'История отказов'!BA418)</f>
        <v/>
      </c>
      <c r="DL4015">
        <f>IF(DB4015="","",IF(AND(COUNTIF($DA$2:$DA$47,DB4015)=0,COUNTIF($DB$2:DB4015,DB4015)=1),4014,""))</f>
        <v/>
      </c>
    </row>
    <row r="4016">
      <c r="DB4016">
        <f>IF('История отказов'!BA419="","",'История отказов'!BA419)</f>
        <v/>
      </c>
      <c r="DL4016">
        <f>IF(DB4016="","",IF(AND(COUNTIF($DA$2:$DA$47,DB4016)=0,COUNTIF($DB$2:DB4016,DB4016)=1),4015,""))</f>
        <v/>
      </c>
    </row>
    <row r="4017">
      <c r="DB4017">
        <f>IF('История отказов'!BA420="","",'История отказов'!BA420)</f>
        <v/>
      </c>
      <c r="DL4017">
        <f>IF(DB4017="","",IF(AND(COUNTIF($DA$2:$DA$47,DB4017)=0,COUNTIF($DB$2:DB4017,DB4017)=1),4016,""))</f>
        <v/>
      </c>
    </row>
    <row r="4018">
      <c r="DB4018">
        <f>IF('История отказов'!BA421="","",'История отказов'!BA421)</f>
        <v/>
      </c>
      <c r="DL4018">
        <f>IF(DB4018="","",IF(AND(COUNTIF($DA$2:$DA$47,DB4018)=0,COUNTIF($DB$2:DB4018,DB4018)=1),4017,""))</f>
        <v/>
      </c>
    </row>
    <row r="4019">
      <c r="DB4019">
        <f>IF('История отказов'!BA422="","",'История отказов'!BA422)</f>
        <v/>
      </c>
      <c r="DL4019">
        <f>IF(DB4019="","",IF(AND(COUNTIF($DA$2:$DA$47,DB4019)=0,COUNTIF($DB$2:DB4019,DB4019)=1),4018,""))</f>
        <v/>
      </c>
    </row>
    <row r="4020">
      <c r="DB4020">
        <f>IF('История отказов'!BA423="","",'История отказов'!BA423)</f>
        <v/>
      </c>
      <c r="DL4020">
        <f>IF(DB4020="","",IF(AND(COUNTIF($DA$2:$DA$47,DB4020)=0,COUNTIF($DB$2:DB4020,DB4020)=1),4019,""))</f>
        <v/>
      </c>
    </row>
    <row r="4021">
      <c r="DB4021">
        <f>IF('История отказов'!BA424="","",'История отказов'!BA424)</f>
        <v/>
      </c>
      <c r="DL4021">
        <f>IF(DB4021="","",IF(AND(COUNTIF($DA$2:$DA$47,DB4021)=0,COUNTIF($DB$2:DB4021,DB4021)=1),4020,""))</f>
        <v/>
      </c>
    </row>
    <row r="4022">
      <c r="DB4022">
        <f>IF('История отказов'!BA425="","",'История отказов'!BA425)</f>
        <v/>
      </c>
      <c r="DL4022">
        <f>IF(DB4022="","",IF(AND(COUNTIF($DA$2:$DA$47,DB4022)=0,COUNTIF($DB$2:DB4022,DB4022)=1),4021,""))</f>
        <v/>
      </c>
    </row>
    <row r="4023">
      <c r="DB4023">
        <f>IF('История отказов'!BA426="","",'История отказов'!BA426)</f>
        <v/>
      </c>
      <c r="DL4023">
        <f>IF(DB4023="","",IF(AND(COUNTIF($DA$2:$DA$47,DB4023)=0,COUNTIF($DB$2:DB4023,DB4023)=1),4022,""))</f>
        <v/>
      </c>
    </row>
    <row r="4024">
      <c r="DB4024">
        <f>IF('История отказов'!BA427="","",'История отказов'!BA427)</f>
        <v/>
      </c>
      <c r="DL4024">
        <f>IF(DB4024="","",IF(AND(COUNTIF($DA$2:$DA$47,DB4024)=0,COUNTIF($DB$2:DB4024,DB4024)=1),4023,""))</f>
        <v/>
      </c>
    </row>
    <row r="4025">
      <c r="DB4025">
        <f>IF('История отказов'!BA428="","",'История отказов'!BA428)</f>
        <v/>
      </c>
      <c r="DL4025">
        <f>IF(DB4025="","",IF(AND(COUNTIF($DA$2:$DA$47,DB4025)=0,COUNTIF($DB$2:DB4025,DB4025)=1),4024,""))</f>
        <v/>
      </c>
    </row>
    <row r="4026">
      <c r="DB4026">
        <f>IF('История отказов'!BA429="","",'История отказов'!BA429)</f>
        <v/>
      </c>
      <c r="DL4026">
        <f>IF(DB4026="","",IF(AND(COUNTIF($DA$2:$DA$47,DB4026)=0,COUNTIF($DB$2:DB4026,DB4026)=1),4025,""))</f>
        <v/>
      </c>
    </row>
    <row r="4027">
      <c r="DB4027">
        <f>IF('История отказов'!BA430="","",'История отказов'!BA430)</f>
        <v/>
      </c>
      <c r="DL4027">
        <f>IF(DB4027="","",IF(AND(COUNTIF($DA$2:$DA$47,DB4027)=0,COUNTIF($DB$2:DB4027,DB4027)=1),4026,""))</f>
        <v/>
      </c>
    </row>
    <row r="4028">
      <c r="DB4028">
        <f>IF('История отказов'!BA431="","",'История отказов'!BA431)</f>
        <v/>
      </c>
      <c r="DL4028">
        <f>IF(DB4028="","",IF(AND(COUNTIF($DA$2:$DA$47,DB4028)=0,COUNTIF($DB$2:DB4028,DB4028)=1),4027,""))</f>
        <v/>
      </c>
    </row>
    <row r="4029">
      <c r="DB4029">
        <f>IF('История отказов'!BA432="","",'История отказов'!BA432)</f>
        <v/>
      </c>
      <c r="DL4029">
        <f>IF(DB4029="","",IF(AND(COUNTIF($DA$2:$DA$47,DB4029)=0,COUNTIF($DB$2:DB4029,DB4029)=1),4028,""))</f>
        <v/>
      </c>
    </row>
    <row r="4030">
      <c r="DB4030">
        <f>IF('История отказов'!BA433="","",'История отказов'!BA433)</f>
        <v/>
      </c>
      <c r="DL4030">
        <f>IF(DB4030="","",IF(AND(COUNTIF($DA$2:$DA$47,DB4030)=0,COUNTIF($DB$2:DB4030,DB4030)=1),4029,""))</f>
        <v/>
      </c>
    </row>
    <row r="4031">
      <c r="DB4031">
        <f>IF('История отказов'!BA434="","",'История отказов'!BA434)</f>
        <v/>
      </c>
      <c r="DL4031">
        <f>IF(DB4031="","",IF(AND(COUNTIF($DA$2:$DA$47,DB4031)=0,COUNTIF($DB$2:DB4031,DB4031)=1),4030,""))</f>
        <v/>
      </c>
    </row>
    <row r="4032">
      <c r="DB4032">
        <f>IF('История отказов'!BA435="","",'История отказов'!BA435)</f>
        <v/>
      </c>
      <c r="DL4032">
        <f>IF(DB4032="","",IF(AND(COUNTIF($DA$2:$DA$47,DB4032)=0,COUNTIF($DB$2:DB4032,DB4032)=1),4031,""))</f>
        <v/>
      </c>
    </row>
    <row r="4033">
      <c r="DB4033">
        <f>IF('История отказов'!BA436="","",'История отказов'!BA436)</f>
        <v/>
      </c>
      <c r="DL4033">
        <f>IF(DB4033="","",IF(AND(COUNTIF($DA$2:$DA$47,DB4033)=0,COUNTIF($DB$2:DB4033,DB4033)=1),4032,""))</f>
        <v/>
      </c>
    </row>
    <row r="4034">
      <c r="DB4034">
        <f>IF('История отказов'!BA437="","",'История отказов'!BA437)</f>
        <v/>
      </c>
      <c r="DL4034">
        <f>IF(DB4034="","",IF(AND(COUNTIF($DA$2:$DA$47,DB4034)=0,COUNTIF($DB$2:DB4034,DB4034)=1),4033,""))</f>
        <v/>
      </c>
    </row>
    <row r="4035">
      <c r="DB4035">
        <f>IF('История отказов'!BA438="","",'История отказов'!BA438)</f>
        <v/>
      </c>
      <c r="DL4035">
        <f>IF(DB4035="","",IF(AND(COUNTIF($DA$2:$DA$47,DB4035)=0,COUNTIF($DB$2:DB4035,DB4035)=1),4034,""))</f>
        <v/>
      </c>
    </row>
    <row r="4036">
      <c r="DB4036">
        <f>IF('История отказов'!BA439="","",'История отказов'!BA439)</f>
        <v/>
      </c>
      <c r="DL4036">
        <f>IF(DB4036="","",IF(AND(COUNTIF($DA$2:$DA$47,DB4036)=0,COUNTIF($DB$2:DB4036,DB4036)=1),4035,""))</f>
        <v/>
      </c>
    </row>
    <row r="4037">
      <c r="DB4037">
        <f>IF('История отказов'!BA440="","",'История отказов'!BA440)</f>
        <v/>
      </c>
      <c r="DL4037">
        <f>IF(DB4037="","",IF(AND(COUNTIF($DA$2:$DA$47,DB4037)=0,COUNTIF($DB$2:DB4037,DB4037)=1),4036,""))</f>
        <v/>
      </c>
    </row>
    <row r="4038">
      <c r="DB4038">
        <f>IF('История отказов'!BA441="","",'История отказов'!BA441)</f>
        <v/>
      </c>
      <c r="DL4038">
        <f>IF(DB4038="","",IF(AND(COUNTIF($DA$2:$DA$47,DB4038)=0,COUNTIF($DB$2:DB4038,DB4038)=1),4037,""))</f>
        <v/>
      </c>
    </row>
    <row r="4039">
      <c r="DB4039">
        <f>IF('История отказов'!BA442="","",'История отказов'!BA442)</f>
        <v/>
      </c>
      <c r="DL4039">
        <f>IF(DB4039="","",IF(AND(COUNTIF($DA$2:$DA$47,DB4039)=0,COUNTIF($DB$2:DB4039,DB4039)=1),4038,""))</f>
        <v/>
      </c>
    </row>
    <row r="4040">
      <c r="DB4040">
        <f>IF('История отказов'!BA443="","",'История отказов'!BA443)</f>
        <v/>
      </c>
      <c r="DL4040">
        <f>IF(DB4040="","",IF(AND(COUNTIF($DA$2:$DA$47,DB4040)=0,COUNTIF($DB$2:DB4040,DB4040)=1),4039,""))</f>
        <v/>
      </c>
    </row>
    <row r="4041">
      <c r="DB4041">
        <f>IF('История отказов'!BA444="","",'История отказов'!BA444)</f>
        <v/>
      </c>
      <c r="DL4041">
        <f>IF(DB4041="","",IF(AND(COUNTIF($DA$2:$DA$47,DB4041)=0,COUNTIF($DB$2:DB4041,DB4041)=1),4040,""))</f>
        <v/>
      </c>
    </row>
    <row r="4042">
      <c r="DB4042">
        <f>IF('История отказов'!BA445="","",'История отказов'!BA445)</f>
        <v/>
      </c>
      <c r="DL4042">
        <f>IF(DB4042="","",IF(AND(COUNTIF($DA$2:$DA$47,DB4042)=0,COUNTIF($DB$2:DB4042,DB4042)=1),4041,""))</f>
        <v/>
      </c>
    </row>
    <row r="4043">
      <c r="DB4043">
        <f>IF('История отказов'!BA446="","",'История отказов'!BA446)</f>
        <v/>
      </c>
      <c r="DL4043">
        <f>IF(DB4043="","",IF(AND(COUNTIF($DA$2:$DA$47,DB4043)=0,COUNTIF($DB$2:DB4043,DB4043)=1),4042,""))</f>
        <v/>
      </c>
    </row>
    <row r="4044">
      <c r="DB4044">
        <f>IF('История отказов'!BA447="","",'История отказов'!BA447)</f>
        <v/>
      </c>
      <c r="DL4044">
        <f>IF(DB4044="","",IF(AND(COUNTIF($DA$2:$DA$47,DB4044)=0,COUNTIF($DB$2:DB4044,DB4044)=1),4043,""))</f>
        <v/>
      </c>
    </row>
    <row r="4045">
      <c r="DB4045">
        <f>IF('История отказов'!BA448="","",'История отказов'!BA448)</f>
        <v/>
      </c>
      <c r="DL4045">
        <f>IF(DB4045="","",IF(AND(COUNTIF($DA$2:$DA$47,DB4045)=0,COUNTIF($DB$2:DB4045,DB4045)=1),4044,""))</f>
        <v/>
      </c>
    </row>
    <row r="4046">
      <c r="DB4046">
        <f>IF('История отказов'!BA449="","",'История отказов'!BA449)</f>
        <v/>
      </c>
      <c r="DL4046">
        <f>IF(DB4046="","",IF(AND(COUNTIF($DA$2:$DA$47,DB4046)=0,COUNTIF($DB$2:DB4046,DB4046)=1),4045,""))</f>
        <v/>
      </c>
    </row>
    <row r="4047">
      <c r="DB4047">
        <f>IF('История отказов'!BA450="","",'История отказов'!BA450)</f>
        <v/>
      </c>
      <c r="DL4047">
        <f>IF(DB4047="","",IF(AND(COUNTIF($DA$2:$DA$47,DB4047)=0,COUNTIF($DB$2:DB4047,DB4047)=1),4046,""))</f>
        <v/>
      </c>
    </row>
    <row r="4048">
      <c r="DB4048">
        <f>IF('История отказов'!BA451="","",'История отказов'!BA451)</f>
        <v/>
      </c>
      <c r="DL4048">
        <f>IF(DB4048="","",IF(AND(COUNTIF($DA$2:$DA$47,DB4048)=0,COUNTIF($DB$2:DB4048,DB4048)=1),4047,""))</f>
        <v/>
      </c>
    </row>
    <row r="4049">
      <c r="DB4049">
        <f>IF('История отказов'!BA452="","",'История отказов'!BA452)</f>
        <v/>
      </c>
      <c r="DL4049">
        <f>IF(DB4049="","",IF(AND(COUNTIF($DA$2:$DA$47,DB4049)=0,COUNTIF($DB$2:DB4049,DB4049)=1),4048,""))</f>
        <v/>
      </c>
    </row>
    <row r="4050">
      <c r="DB4050">
        <f>IF('История отказов'!BA453="","",'История отказов'!BA453)</f>
        <v/>
      </c>
      <c r="DL4050">
        <f>IF(DB4050="","",IF(AND(COUNTIF($DA$2:$DA$47,DB4050)=0,COUNTIF($DB$2:DB4050,DB4050)=1),4049,""))</f>
        <v/>
      </c>
    </row>
    <row r="4051">
      <c r="DB4051">
        <f>IF('История отказов'!BA454="","",'История отказов'!BA454)</f>
        <v/>
      </c>
      <c r="DL4051">
        <f>IF(DB4051="","",IF(AND(COUNTIF($DA$2:$DA$47,DB4051)=0,COUNTIF($DB$2:DB4051,DB4051)=1),4050,""))</f>
        <v/>
      </c>
    </row>
    <row r="4052">
      <c r="DB4052">
        <f>IF('История отказов'!BA455="","",'История отказов'!BA455)</f>
        <v/>
      </c>
      <c r="DL4052">
        <f>IF(DB4052="","",IF(AND(COUNTIF($DA$2:$DA$47,DB4052)=0,COUNTIF($DB$2:DB4052,DB4052)=1),4051,""))</f>
        <v/>
      </c>
    </row>
    <row r="4053">
      <c r="DB4053">
        <f>IF('История отказов'!BA456="","",'История отказов'!BA456)</f>
        <v/>
      </c>
      <c r="DL4053">
        <f>IF(DB4053="","",IF(AND(COUNTIF($DA$2:$DA$47,DB4053)=0,COUNTIF($DB$2:DB4053,DB4053)=1),4052,""))</f>
        <v/>
      </c>
    </row>
    <row r="4054">
      <c r="DB4054">
        <f>IF('История отказов'!BA457="","",'История отказов'!BA457)</f>
        <v/>
      </c>
      <c r="DL4054">
        <f>IF(DB4054="","",IF(AND(COUNTIF($DA$2:$DA$47,DB4054)=0,COUNTIF($DB$2:DB4054,DB4054)=1),4053,""))</f>
        <v/>
      </c>
    </row>
    <row r="4055">
      <c r="DB4055">
        <f>IF('История отказов'!BA458="","",'История отказов'!BA458)</f>
        <v/>
      </c>
      <c r="DL4055">
        <f>IF(DB4055="","",IF(AND(COUNTIF($DA$2:$DA$47,DB4055)=0,COUNTIF($DB$2:DB4055,DB4055)=1),4054,""))</f>
        <v/>
      </c>
    </row>
    <row r="4056">
      <c r="DB4056">
        <f>IF('История отказов'!BA459="","",'История отказов'!BA459)</f>
        <v/>
      </c>
      <c r="DL4056">
        <f>IF(DB4056="","",IF(AND(COUNTIF($DA$2:$DA$47,DB4056)=0,COUNTIF($DB$2:DB4056,DB4056)=1),4055,""))</f>
        <v/>
      </c>
    </row>
    <row r="4057">
      <c r="DB4057">
        <f>IF('История отказов'!BA460="","",'История отказов'!BA460)</f>
        <v/>
      </c>
      <c r="DL4057">
        <f>IF(DB4057="","",IF(AND(COUNTIF($DA$2:$DA$47,DB4057)=0,COUNTIF($DB$2:DB4057,DB4057)=1),4056,""))</f>
        <v/>
      </c>
    </row>
    <row r="4058">
      <c r="DB4058">
        <f>IF('История отказов'!BA461="","",'История отказов'!BA461)</f>
        <v/>
      </c>
      <c r="DL4058">
        <f>IF(DB4058="","",IF(AND(COUNTIF($DA$2:$DA$47,DB4058)=0,COUNTIF($DB$2:DB4058,DB4058)=1),4057,""))</f>
        <v/>
      </c>
    </row>
    <row r="4059">
      <c r="DB4059">
        <f>IF('История отказов'!BA462="","",'История отказов'!BA462)</f>
        <v/>
      </c>
      <c r="DL4059">
        <f>IF(DB4059="","",IF(AND(COUNTIF($DA$2:$DA$47,DB4059)=0,COUNTIF($DB$2:DB4059,DB4059)=1),4058,""))</f>
        <v/>
      </c>
    </row>
    <row r="4060">
      <c r="DB4060">
        <f>IF('История отказов'!BA463="","",'История отказов'!BA463)</f>
        <v/>
      </c>
      <c r="DL4060">
        <f>IF(DB4060="","",IF(AND(COUNTIF($DA$2:$DA$47,DB4060)=0,COUNTIF($DB$2:DB4060,DB4060)=1),4059,""))</f>
        <v/>
      </c>
    </row>
    <row r="4061">
      <c r="DB4061">
        <f>IF('История отказов'!BA464="","",'История отказов'!BA464)</f>
        <v/>
      </c>
      <c r="DL4061">
        <f>IF(DB4061="","",IF(AND(COUNTIF($DA$2:$DA$47,DB4061)=0,COUNTIF($DB$2:DB4061,DB4061)=1),4060,""))</f>
        <v/>
      </c>
    </row>
    <row r="4062">
      <c r="DB4062">
        <f>IF('История отказов'!BA465="","",'История отказов'!BA465)</f>
        <v/>
      </c>
      <c r="DL4062">
        <f>IF(DB4062="","",IF(AND(COUNTIF($DA$2:$DA$47,DB4062)=0,COUNTIF($DB$2:DB4062,DB4062)=1),4061,""))</f>
        <v/>
      </c>
    </row>
    <row r="4063">
      <c r="DB4063">
        <f>IF('История отказов'!BA466="","",'История отказов'!BA466)</f>
        <v/>
      </c>
      <c r="DL4063">
        <f>IF(DB4063="","",IF(AND(COUNTIF($DA$2:$DA$47,DB4063)=0,COUNTIF($DB$2:DB4063,DB4063)=1),4062,""))</f>
        <v/>
      </c>
    </row>
    <row r="4064">
      <c r="DB4064">
        <f>IF('История отказов'!BA467="","",'История отказов'!BA467)</f>
        <v/>
      </c>
      <c r="DL4064">
        <f>IF(DB4064="","",IF(AND(COUNTIF($DA$2:$DA$47,DB4064)=0,COUNTIF($DB$2:DB4064,DB4064)=1),4063,""))</f>
        <v/>
      </c>
    </row>
    <row r="4065">
      <c r="DB4065">
        <f>IF('История отказов'!BA468="","",'История отказов'!BA468)</f>
        <v/>
      </c>
      <c r="DL4065">
        <f>IF(DB4065="","",IF(AND(COUNTIF($DA$2:$DA$47,DB4065)=0,COUNTIF($DB$2:DB4065,DB4065)=1),4064,""))</f>
        <v/>
      </c>
    </row>
    <row r="4066">
      <c r="DB4066">
        <f>IF('История отказов'!BA469="","",'История отказов'!BA469)</f>
        <v/>
      </c>
      <c r="DL4066">
        <f>IF(DB4066="","",IF(AND(COUNTIF($DA$2:$DA$47,DB4066)=0,COUNTIF($DB$2:DB4066,DB4066)=1),4065,""))</f>
        <v/>
      </c>
    </row>
    <row r="4067">
      <c r="DB4067">
        <f>IF('История отказов'!BA470="","",'История отказов'!BA470)</f>
        <v/>
      </c>
      <c r="DL4067">
        <f>IF(DB4067="","",IF(AND(COUNTIF($DA$2:$DA$47,DB4067)=0,COUNTIF($DB$2:DB4067,DB4067)=1),4066,""))</f>
        <v/>
      </c>
    </row>
    <row r="4068">
      <c r="DB4068">
        <f>IF('История отказов'!BA471="","",'История отказов'!BA471)</f>
        <v/>
      </c>
      <c r="DL4068">
        <f>IF(DB4068="","",IF(AND(COUNTIF($DA$2:$DA$47,DB4068)=0,COUNTIF($DB$2:DB4068,DB4068)=1),4067,""))</f>
        <v/>
      </c>
    </row>
    <row r="4069">
      <c r="DB4069">
        <f>IF('История отказов'!BA472="","",'История отказов'!BA472)</f>
        <v/>
      </c>
      <c r="DL4069">
        <f>IF(DB4069="","",IF(AND(COUNTIF($DA$2:$DA$47,DB4069)=0,COUNTIF($DB$2:DB4069,DB4069)=1),4068,""))</f>
        <v/>
      </c>
    </row>
    <row r="4070">
      <c r="DB4070">
        <f>IF('История отказов'!BA473="","",'История отказов'!BA473)</f>
        <v/>
      </c>
      <c r="DL4070">
        <f>IF(DB4070="","",IF(AND(COUNTIF($DA$2:$DA$47,DB4070)=0,COUNTIF($DB$2:DB4070,DB4070)=1),4069,""))</f>
        <v/>
      </c>
    </row>
    <row r="4071">
      <c r="DB4071">
        <f>IF('История отказов'!BA474="","",'История отказов'!BA474)</f>
        <v/>
      </c>
      <c r="DL4071">
        <f>IF(DB4071="","",IF(AND(COUNTIF($DA$2:$DA$47,DB4071)=0,COUNTIF($DB$2:DB4071,DB4071)=1),4070,""))</f>
        <v/>
      </c>
    </row>
    <row r="4072">
      <c r="DB4072">
        <f>IF('История отказов'!BA475="","",'История отказов'!BA475)</f>
        <v/>
      </c>
      <c r="DL4072">
        <f>IF(DB4072="","",IF(AND(COUNTIF($DA$2:$DA$47,DB4072)=0,COUNTIF($DB$2:DB4072,DB4072)=1),4071,""))</f>
        <v/>
      </c>
    </row>
    <row r="4073">
      <c r="DB4073">
        <f>IF('История отказов'!BA476="","",'История отказов'!BA476)</f>
        <v/>
      </c>
      <c r="DL4073">
        <f>IF(DB4073="","",IF(AND(COUNTIF($DA$2:$DA$47,DB4073)=0,COUNTIF($DB$2:DB4073,DB4073)=1),4072,""))</f>
        <v/>
      </c>
    </row>
    <row r="4074">
      <c r="DB4074">
        <f>IF('История отказов'!BA477="","",'История отказов'!BA477)</f>
        <v/>
      </c>
      <c r="DL4074">
        <f>IF(DB4074="","",IF(AND(COUNTIF($DA$2:$DA$47,DB4074)=0,COUNTIF($DB$2:DB4074,DB4074)=1),4073,""))</f>
        <v/>
      </c>
    </row>
    <row r="4075">
      <c r="DB4075">
        <f>IF('История отказов'!BA478="","",'История отказов'!BA478)</f>
        <v/>
      </c>
      <c r="DL4075">
        <f>IF(DB4075="","",IF(AND(COUNTIF($DA$2:$DA$47,DB4075)=0,COUNTIF($DB$2:DB4075,DB4075)=1),4074,""))</f>
        <v/>
      </c>
    </row>
    <row r="4076">
      <c r="DB4076">
        <f>IF('История отказов'!BA479="","",'История отказов'!BA479)</f>
        <v/>
      </c>
      <c r="DL4076">
        <f>IF(DB4076="","",IF(AND(COUNTIF($DA$2:$DA$47,DB4076)=0,COUNTIF($DB$2:DB4076,DB4076)=1),4075,""))</f>
        <v/>
      </c>
    </row>
    <row r="4077">
      <c r="DB4077">
        <f>IF('История отказов'!BA480="","",'История отказов'!BA480)</f>
        <v/>
      </c>
      <c r="DL4077">
        <f>IF(DB4077="","",IF(AND(COUNTIF($DA$2:$DA$47,DB4077)=0,COUNTIF($DB$2:DB4077,DB4077)=1),4076,""))</f>
        <v/>
      </c>
    </row>
    <row r="4078">
      <c r="DB4078">
        <f>IF('История отказов'!BA481="","",'История отказов'!BA481)</f>
        <v/>
      </c>
      <c r="DL4078">
        <f>IF(DB4078="","",IF(AND(COUNTIF($DA$2:$DA$47,DB4078)=0,COUNTIF($DB$2:DB4078,DB4078)=1),4077,""))</f>
        <v/>
      </c>
    </row>
    <row r="4079">
      <c r="DB4079">
        <f>IF('История отказов'!BA482="","",'История отказов'!BA482)</f>
        <v/>
      </c>
      <c r="DL4079">
        <f>IF(DB4079="","",IF(AND(COUNTIF($DA$2:$DA$47,DB4079)=0,COUNTIF($DB$2:DB4079,DB4079)=1),4078,""))</f>
        <v/>
      </c>
    </row>
    <row r="4080">
      <c r="DB4080">
        <f>IF('История отказов'!BA483="","",'История отказов'!BA483)</f>
        <v/>
      </c>
      <c r="DL4080">
        <f>IF(DB4080="","",IF(AND(COUNTIF($DA$2:$DA$47,DB4080)=0,COUNTIF($DB$2:DB4080,DB4080)=1),4079,""))</f>
        <v/>
      </c>
    </row>
    <row r="4081">
      <c r="DB4081">
        <f>IF('История отказов'!BA484="","",'История отказов'!BA484)</f>
        <v/>
      </c>
      <c r="DL4081">
        <f>IF(DB4081="","",IF(AND(COUNTIF($DA$2:$DA$47,DB4081)=0,COUNTIF($DB$2:DB4081,DB4081)=1),4080,""))</f>
        <v/>
      </c>
    </row>
    <row r="4082">
      <c r="DB4082">
        <f>IF('История отказов'!BA485="","",'История отказов'!BA485)</f>
        <v/>
      </c>
      <c r="DL4082">
        <f>IF(DB4082="","",IF(AND(COUNTIF($DA$2:$DA$47,DB4082)=0,COUNTIF($DB$2:DB4082,DB4082)=1),4081,""))</f>
        <v/>
      </c>
    </row>
    <row r="4083">
      <c r="DB4083">
        <f>IF('История отказов'!BA486="","",'История отказов'!BA486)</f>
        <v/>
      </c>
      <c r="DL4083">
        <f>IF(DB4083="","",IF(AND(COUNTIF($DA$2:$DA$47,DB4083)=0,COUNTIF($DB$2:DB4083,DB4083)=1),4082,""))</f>
        <v/>
      </c>
    </row>
    <row r="4084">
      <c r="DB4084">
        <f>IF('История отказов'!BA487="","",'История отказов'!BA487)</f>
        <v/>
      </c>
      <c r="DL4084">
        <f>IF(DB4084="","",IF(AND(COUNTIF($DA$2:$DA$47,DB4084)=0,COUNTIF($DB$2:DB4084,DB4084)=1),4083,""))</f>
        <v/>
      </c>
    </row>
    <row r="4085">
      <c r="DB4085">
        <f>IF('История отказов'!BA488="","",'История отказов'!BA488)</f>
        <v/>
      </c>
      <c r="DL4085">
        <f>IF(DB4085="","",IF(AND(COUNTIF($DA$2:$DA$47,DB4085)=0,COUNTIF($DB$2:DB4085,DB4085)=1),4084,""))</f>
        <v/>
      </c>
    </row>
    <row r="4086">
      <c r="DB4086">
        <f>IF('История отказов'!BA489="","",'История отказов'!BA489)</f>
        <v/>
      </c>
      <c r="DL4086">
        <f>IF(DB4086="","",IF(AND(COUNTIF($DA$2:$DA$47,DB4086)=0,COUNTIF($DB$2:DB4086,DB4086)=1),4085,""))</f>
        <v/>
      </c>
    </row>
    <row r="4087">
      <c r="DB4087">
        <f>IF('История отказов'!BA490="","",'История отказов'!BA490)</f>
        <v/>
      </c>
      <c r="DL4087">
        <f>IF(DB4087="","",IF(AND(COUNTIF($DA$2:$DA$47,DB4087)=0,COUNTIF($DB$2:DB4087,DB4087)=1),4086,""))</f>
        <v/>
      </c>
    </row>
    <row r="4088">
      <c r="DB4088">
        <f>IF('История отказов'!BA491="","",'История отказов'!BA491)</f>
        <v/>
      </c>
      <c r="DL4088">
        <f>IF(DB4088="","",IF(AND(COUNTIF($DA$2:$DA$47,DB4088)=0,COUNTIF($DB$2:DB4088,DB4088)=1),4087,""))</f>
        <v/>
      </c>
    </row>
    <row r="4089">
      <c r="DB4089">
        <f>IF('История отказов'!BA492="","",'История отказов'!BA492)</f>
        <v/>
      </c>
      <c r="DL4089">
        <f>IF(DB4089="","",IF(AND(COUNTIF($DA$2:$DA$47,DB4089)=0,COUNTIF($DB$2:DB4089,DB4089)=1),4088,""))</f>
        <v/>
      </c>
    </row>
    <row r="4090">
      <c r="DB4090">
        <f>IF('История отказов'!BA493="","",'История отказов'!BA493)</f>
        <v/>
      </c>
      <c r="DL4090">
        <f>IF(DB4090="","",IF(AND(COUNTIF($DA$2:$DA$47,DB4090)=0,COUNTIF($DB$2:DB4090,DB4090)=1),4089,""))</f>
        <v/>
      </c>
    </row>
    <row r="4091">
      <c r="DB4091">
        <f>IF('История отказов'!BA494="","",'История отказов'!BA494)</f>
        <v/>
      </c>
      <c r="DL4091">
        <f>IF(DB4091="","",IF(AND(COUNTIF($DA$2:$DA$47,DB4091)=0,COUNTIF($DB$2:DB4091,DB4091)=1),4090,""))</f>
        <v/>
      </c>
    </row>
    <row r="4092">
      <c r="DB4092">
        <f>IF('История отказов'!BA495="","",'История отказов'!BA495)</f>
        <v/>
      </c>
      <c r="DL4092">
        <f>IF(DB4092="","",IF(AND(COUNTIF($DA$2:$DA$47,DB4092)=0,COUNTIF($DB$2:DB4092,DB4092)=1),4091,""))</f>
        <v/>
      </c>
    </row>
    <row r="4093">
      <c r="DB4093">
        <f>IF('История отказов'!BA496="","",'История отказов'!BA496)</f>
        <v/>
      </c>
      <c r="DL4093">
        <f>IF(DB4093="","",IF(AND(COUNTIF($DA$2:$DA$47,DB4093)=0,COUNTIF($DB$2:DB4093,DB4093)=1),4092,""))</f>
        <v/>
      </c>
    </row>
    <row r="4094">
      <c r="DB4094">
        <f>IF('История отказов'!BA497="","",'История отказов'!BA497)</f>
        <v/>
      </c>
      <c r="DL4094">
        <f>IF(DB4094="","",IF(AND(COUNTIF($DA$2:$DA$47,DB4094)=0,COUNTIF($DB$2:DB4094,DB4094)=1),4093,""))</f>
        <v/>
      </c>
    </row>
    <row r="4095">
      <c r="DB4095">
        <f>IF('История отказов'!BA498="","",'История отказов'!BA498)</f>
        <v/>
      </c>
      <c r="DL4095">
        <f>IF(DB4095="","",IF(AND(COUNTIF($DA$2:$DA$47,DB4095)=0,COUNTIF($DB$2:DB4095,DB4095)=1),4094,""))</f>
        <v/>
      </c>
    </row>
    <row r="4096">
      <c r="DB4096">
        <f>IF('История отказов'!BA499="","",'История отказов'!BA499)</f>
        <v/>
      </c>
      <c r="DL4096">
        <f>IF(DB4096="","",IF(AND(COUNTIF($DA$2:$DA$47,DB4096)=0,COUNTIF($DB$2:DB4096,DB4096)=1),4095,""))</f>
        <v/>
      </c>
    </row>
    <row r="4097">
      <c r="DB4097">
        <f>IF('История отказов'!BA500="","",'История отказов'!BA500)</f>
        <v/>
      </c>
      <c r="DL4097">
        <f>IF(DB4097="","",IF(AND(COUNTIF($DA$2:$DA$47,DB4097)=0,COUNTIF($DB$2:DB4097,DB4097)=1),4096,""))</f>
        <v/>
      </c>
    </row>
    <row r="4098">
      <c r="DB4098">
        <f>IF('История отказов'!BA501="","",'История отказов'!BA501)</f>
        <v/>
      </c>
      <c r="DL4098">
        <f>IF(DB4098="","",IF(AND(COUNTIF($DA$2:$DA$47,DB4098)=0,COUNTIF($DB$2:DB4098,DB4098)=1),4097,""))</f>
        <v/>
      </c>
    </row>
    <row r="4099">
      <c r="DB4099">
        <f>IF('История отказов'!BA502="","",'История отказов'!BA502)</f>
        <v/>
      </c>
      <c r="DL4099">
        <f>IF(DB4099="","",IF(AND(COUNTIF($DA$2:$DA$47,DB4099)=0,COUNTIF($DB$2:DB4099,DB4099)=1),4098,""))</f>
        <v/>
      </c>
    </row>
    <row r="4100">
      <c r="DB4100">
        <f>IF('История отказов'!BA503="","",'История отказов'!BA503)</f>
        <v/>
      </c>
      <c r="DL4100">
        <f>IF(DB4100="","",IF(AND(COUNTIF($DA$2:$DA$47,DB4100)=0,COUNTIF($DB$2:DB4100,DB4100)=1),4099,""))</f>
        <v/>
      </c>
    </row>
    <row r="4101">
      <c r="DB4101">
        <f>IF('История отказов'!BA504="","",'История отказов'!BA504)</f>
        <v/>
      </c>
      <c r="DL4101">
        <f>IF(DB4101="","",IF(AND(COUNTIF($DA$2:$DA$47,DB4101)=0,COUNTIF($DB$2:DB4101,DB4101)=1),4100,""))</f>
        <v/>
      </c>
    </row>
    <row r="4102">
      <c r="DB4102">
        <f>IF('История отказов'!BA505="","",'История отказов'!BA505)</f>
        <v/>
      </c>
      <c r="DL4102">
        <f>IF(DB4102="","",IF(AND(COUNTIF($DA$2:$DA$47,DB4102)=0,COUNTIF($DB$2:DB4102,DB4102)=1),4101,""))</f>
        <v/>
      </c>
    </row>
    <row r="4103">
      <c r="DB4103">
        <f>IF('История отказов'!BA506="","",'История отказов'!BA506)</f>
        <v/>
      </c>
      <c r="DL4103">
        <f>IF(DB4103="","",IF(AND(COUNTIF($DA$2:$DA$47,DB4103)=0,COUNTIF($DB$2:DB4103,DB4103)=1),4102,""))</f>
        <v/>
      </c>
    </row>
    <row r="4104">
      <c r="DB4104">
        <f>IF('История отказов'!BA507="","",'История отказов'!BA507)</f>
        <v/>
      </c>
      <c r="DL4104">
        <f>IF(DB4104="","",IF(AND(COUNTIF($DA$2:$DA$47,DB4104)=0,COUNTIF($DB$2:DB4104,DB4104)=1),4103,""))</f>
        <v/>
      </c>
    </row>
    <row r="4105">
      <c r="DB4105">
        <f>IF('История отказов'!BA508="","",'История отказов'!BA508)</f>
        <v/>
      </c>
      <c r="DL4105">
        <f>IF(DB4105="","",IF(AND(COUNTIF($DA$2:$DA$47,DB4105)=0,COUNTIF($DB$2:DB4105,DB4105)=1),4104,""))</f>
        <v/>
      </c>
    </row>
    <row r="4106">
      <c r="DB4106">
        <f>IF('История отказов'!BA509="","",'История отказов'!BA509)</f>
        <v/>
      </c>
      <c r="DL4106">
        <f>IF(DB4106="","",IF(AND(COUNTIF($DA$2:$DA$47,DB4106)=0,COUNTIF($DB$2:DB4106,DB4106)=1),4105,""))</f>
        <v/>
      </c>
    </row>
    <row r="4107">
      <c r="DB4107">
        <f>IF('История отказов'!BA510="","",'История отказов'!BA510)</f>
        <v/>
      </c>
      <c r="DL4107">
        <f>IF(DB4107="","",IF(AND(COUNTIF($DA$2:$DA$47,DB4107)=0,COUNTIF($DB$2:DB4107,DB4107)=1),4106,""))</f>
        <v/>
      </c>
    </row>
    <row r="4108">
      <c r="DB4108">
        <f>IF('История отказов'!BA511="","",'История отказов'!BA511)</f>
        <v/>
      </c>
      <c r="DL4108">
        <f>IF(DB4108="","",IF(AND(COUNTIF($DA$2:$DA$47,DB4108)=0,COUNTIF($DB$2:DB4108,DB4108)=1),4107,""))</f>
        <v/>
      </c>
    </row>
    <row r="4109">
      <c r="DB4109">
        <f>IF('История отказов'!BA512="","",'История отказов'!BA512)</f>
        <v/>
      </c>
      <c r="DL4109">
        <f>IF(DB4109="","",IF(AND(COUNTIF($DA$2:$DA$47,DB4109)=0,COUNTIF($DB$2:DB4109,DB4109)=1),4108,""))</f>
        <v/>
      </c>
    </row>
    <row r="4110">
      <c r="DB4110">
        <f>IF('История отказов'!BA513="","",'История отказов'!BA513)</f>
        <v/>
      </c>
      <c r="DL4110">
        <f>IF(DB4110="","",IF(AND(COUNTIF($DA$2:$DA$47,DB4110)=0,COUNTIF($DB$2:DB4110,DB4110)=1),4109,""))</f>
        <v/>
      </c>
    </row>
    <row r="4111">
      <c r="DB4111">
        <f>IF('История отказов'!BA514="","",'История отказов'!BA514)</f>
        <v/>
      </c>
      <c r="DL4111">
        <f>IF(DB4111="","",IF(AND(COUNTIF($DA$2:$DA$47,DB4111)=0,COUNTIF($DB$2:DB4111,DB4111)=1),4110,""))</f>
        <v/>
      </c>
    </row>
    <row r="4112">
      <c r="DB4112">
        <f>IF('История отказов'!BA515="","",'История отказов'!BA515)</f>
        <v/>
      </c>
      <c r="DL4112">
        <f>IF(DB4112="","",IF(AND(COUNTIF($DA$2:$DA$47,DB4112)=0,COUNTIF($DB$2:DB4112,DB4112)=1),4111,""))</f>
        <v/>
      </c>
    </row>
    <row r="4113">
      <c r="DB4113">
        <f>IF('История отказов'!BA516="","",'История отказов'!BA516)</f>
        <v/>
      </c>
      <c r="DL4113">
        <f>IF(DB4113="","",IF(AND(COUNTIF($DA$2:$DA$47,DB4113)=0,COUNTIF($DB$2:DB4113,DB4113)=1),4112,""))</f>
        <v/>
      </c>
    </row>
    <row r="4114">
      <c r="DB4114">
        <f>IF('История отказов'!BA517="","",'История отказов'!BA517)</f>
        <v/>
      </c>
      <c r="DL4114">
        <f>IF(DB4114="","",IF(AND(COUNTIF($DA$2:$DA$47,DB4114)=0,COUNTIF($DB$2:DB4114,DB4114)=1),4113,""))</f>
        <v/>
      </c>
    </row>
    <row r="4115">
      <c r="DB4115">
        <f>IF('История отказов'!BA518="","",'История отказов'!BA518)</f>
        <v/>
      </c>
      <c r="DL4115">
        <f>IF(DB4115="","",IF(AND(COUNTIF($DA$2:$DA$47,DB4115)=0,COUNTIF($DB$2:DB4115,DB4115)=1),4114,""))</f>
        <v/>
      </c>
    </row>
    <row r="4116">
      <c r="DB4116">
        <f>IF('История отказов'!BA519="","",'История отказов'!BA519)</f>
        <v/>
      </c>
      <c r="DL4116">
        <f>IF(DB4116="","",IF(AND(COUNTIF($DA$2:$DA$47,DB4116)=0,COUNTIF($DB$2:DB4116,DB4116)=1),4115,""))</f>
        <v/>
      </c>
    </row>
    <row r="4117">
      <c r="DB4117">
        <f>IF('История отказов'!BA520="","",'История отказов'!BA520)</f>
        <v/>
      </c>
      <c r="DL4117">
        <f>IF(DB4117="","",IF(AND(COUNTIF($DA$2:$DA$47,DB4117)=0,COUNTIF($DB$2:DB4117,DB4117)=1),4116,""))</f>
        <v/>
      </c>
    </row>
    <row r="4118">
      <c r="DB4118">
        <f>IF('История отказов'!BA521="","",'История отказов'!BA521)</f>
        <v/>
      </c>
      <c r="DL4118">
        <f>IF(DB4118="","",IF(AND(COUNTIF($DA$2:$DA$47,DB4118)=0,COUNTIF($DB$2:DB4118,DB4118)=1),4117,""))</f>
        <v/>
      </c>
    </row>
    <row r="4119">
      <c r="DB4119">
        <f>IF('История отказов'!BA522="","",'История отказов'!BA522)</f>
        <v/>
      </c>
      <c r="DL4119">
        <f>IF(DB4119="","",IF(AND(COUNTIF($DA$2:$DA$47,DB4119)=0,COUNTIF($DB$2:DB4119,DB4119)=1),4118,""))</f>
        <v/>
      </c>
    </row>
    <row r="4120">
      <c r="DB4120">
        <f>IF('История отказов'!BA523="","",'История отказов'!BA523)</f>
        <v/>
      </c>
      <c r="DL4120">
        <f>IF(DB4120="","",IF(AND(COUNTIF($DA$2:$DA$47,DB4120)=0,COUNTIF($DB$2:DB4120,DB4120)=1),4119,""))</f>
        <v/>
      </c>
    </row>
    <row r="4121">
      <c r="DB4121">
        <f>IF('История отказов'!BA524="","",'История отказов'!BA524)</f>
        <v/>
      </c>
      <c r="DL4121">
        <f>IF(DB4121="","",IF(AND(COUNTIF($DA$2:$DA$47,DB4121)=0,COUNTIF($DB$2:DB4121,DB4121)=1),4120,""))</f>
        <v/>
      </c>
    </row>
    <row r="4122">
      <c r="DB4122">
        <f>IF('История отказов'!BA525="","",'История отказов'!BA525)</f>
        <v/>
      </c>
      <c r="DL4122">
        <f>IF(DB4122="","",IF(AND(COUNTIF($DA$2:$DA$47,DB4122)=0,COUNTIF($DB$2:DB4122,DB4122)=1),4121,""))</f>
        <v/>
      </c>
    </row>
    <row r="4123">
      <c r="DB4123">
        <f>IF('История отказов'!BA526="","",'История отказов'!BA526)</f>
        <v/>
      </c>
      <c r="DL4123">
        <f>IF(DB4123="","",IF(AND(COUNTIF($DA$2:$DA$47,DB4123)=0,COUNTIF($DB$2:DB4123,DB4123)=1),4122,""))</f>
        <v/>
      </c>
    </row>
    <row r="4124">
      <c r="DB4124">
        <f>IF('История отказов'!BA527="","",'История отказов'!BA527)</f>
        <v/>
      </c>
      <c r="DL4124">
        <f>IF(DB4124="","",IF(AND(COUNTIF($DA$2:$DA$47,DB4124)=0,COUNTIF($DB$2:DB4124,DB4124)=1),4123,""))</f>
        <v/>
      </c>
    </row>
    <row r="4125">
      <c r="DB4125">
        <f>IF('История отказов'!BA528="","",'История отказов'!BA528)</f>
        <v/>
      </c>
      <c r="DL4125">
        <f>IF(DB4125="","",IF(AND(COUNTIF($DA$2:$DA$47,DB4125)=0,COUNTIF($DB$2:DB4125,DB4125)=1),4124,""))</f>
        <v/>
      </c>
    </row>
    <row r="4126">
      <c r="DB4126">
        <f>IF('История отказов'!BA529="","",'История отказов'!BA529)</f>
        <v/>
      </c>
      <c r="DL4126">
        <f>IF(DB4126="","",IF(AND(COUNTIF($DA$2:$DA$47,DB4126)=0,COUNTIF($DB$2:DB4126,DB4126)=1),4125,""))</f>
        <v/>
      </c>
    </row>
    <row r="4127">
      <c r="DB4127">
        <f>IF('История отказов'!BA530="","",'История отказов'!BA530)</f>
        <v/>
      </c>
      <c r="DL4127">
        <f>IF(DB4127="","",IF(AND(COUNTIF($DA$2:$DA$47,DB4127)=0,COUNTIF($DB$2:DB4127,DB4127)=1),4126,""))</f>
        <v/>
      </c>
    </row>
    <row r="4128">
      <c r="DB4128">
        <f>IF('История отказов'!BA531="","",'История отказов'!BA531)</f>
        <v/>
      </c>
      <c r="DL4128">
        <f>IF(DB4128="","",IF(AND(COUNTIF($DA$2:$DA$47,DB4128)=0,COUNTIF($DB$2:DB4128,DB4128)=1),4127,""))</f>
        <v/>
      </c>
    </row>
    <row r="4129">
      <c r="DB4129">
        <f>IF('История отказов'!BA532="","",'История отказов'!BA532)</f>
        <v/>
      </c>
      <c r="DL4129">
        <f>IF(DB4129="","",IF(AND(COUNTIF($DA$2:$DA$47,DB4129)=0,COUNTIF($DB$2:DB4129,DB4129)=1),4128,""))</f>
        <v/>
      </c>
    </row>
    <row r="4130">
      <c r="DB4130">
        <f>IF('История отказов'!BA533="","",'История отказов'!BA533)</f>
        <v/>
      </c>
      <c r="DL4130">
        <f>IF(DB4130="","",IF(AND(COUNTIF($DA$2:$DA$47,DB4130)=0,COUNTIF($DB$2:DB4130,DB4130)=1),4129,""))</f>
        <v/>
      </c>
    </row>
    <row r="4131">
      <c r="DB4131">
        <f>IF('История отказов'!BA534="","",'История отказов'!BA534)</f>
        <v/>
      </c>
      <c r="DL4131">
        <f>IF(DB4131="","",IF(AND(COUNTIF($DA$2:$DA$47,DB4131)=0,COUNTIF($DB$2:DB4131,DB4131)=1),4130,""))</f>
        <v/>
      </c>
    </row>
    <row r="4132">
      <c r="DB4132">
        <f>IF('История отказов'!BA535="","",'История отказов'!BA535)</f>
        <v/>
      </c>
      <c r="DL4132">
        <f>IF(DB4132="","",IF(AND(COUNTIF($DA$2:$DA$47,DB4132)=0,COUNTIF($DB$2:DB4132,DB4132)=1),4131,""))</f>
        <v/>
      </c>
    </row>
    <row r="4133">
      <c r="DB4133">
        <f>IF('История отказов'!BA536="","",'История отказов'!BA536)</f>
        <v/>
      </c>
      <c r="DL4133">
        <f>IF(DB4133="","",IF(AND(COUNTIF($DA$2:$DA$47,DB4133)=0,COUNTIF($DB$2:DB4133,DB4133)=1),4132,""))</f>
        <v/>
      </c>
    </row>
    <row r="4134">
      <c r="DB4134">
        <f>IF('История отказов'!BA537="","",'История отказов'!BA537)</f>
        <v/>
      </c>
      <c r="DL4134">
        <f>IF(DB4134="","",IF(AND(COUNTIF($DA$2:$DA$47,DB4134)=0,COUNTIF($DB$2:DB4134,DB4134)=1),4133,""))</f>
        <v/>
      </c>
    </row>
    <row r="4135">
      <c r="DB4135">
        <f>IF('История отказов'!BA538="","",'История отказов'!BA538)</f>
        <v/>
      </c>
      <c r="DL4135">
        <f>IF(DB4135="","",IF(AND(COUNTIF($DA$2:$DA$47,DB4135)=0,COUNTIF($DB$2:DB4135,DB4135)=1),4134,""))</f>
        <v/>
      </c>
    </row>
    <row r="4136">
      <c r="DB4136">
        <f>IF('История отказов'!BA539="","",'История отказов'!BA539)</f>
        <v/>
      </c>
      <c r="DL4136">
        <f>IF(DB4136="","",IF(AND(COUNTIF($DA$2:$DA$47,DB4136)=0,COUNTIF($DB$2:DB4136,DB4136)=1),4135,""))</f>
        <v/>
      </c>
    </row>
    <row r="4137">
      <c r="DB4137">
        <f>IF('История отказов'!BA540="","",'История отказов'!BA540)</f>
        <v/>
      </c>
      <c r="DL4137">
        <f>IF(DB4137="","",IF(AND(COUNTIF($DA$2:$DA$47,DB4137)=0,COUNTIF($DB$2:DB4137,DB4137)=1),4136,""))</f>
        <v/>
      </c>
    </row>
    <row r="4138">
      <c r="DB4138">
        <f>IF('История отказов'!BA541="","",'История отказов'!BA541)</f>
        <v/>
      </c>
      <c r="DL4138">
        <f>IF(DB4138="","",IF(AND(COUNTIF($DA$2:$DA$47,DB4138)=0,COUNTIF($DB$2:DB4138,DB4138)=1),4137,""))</f>
        <v/>
      </c>
    </row>
    <row r="4139">
      <c r="DB4139">
        <f>IF('История отказов'!BA542="","",'История отказов'!BA542)</f>
        <v/>
      </c>
      <c r="DL4139">
        <f>IF(DB4139="","",IF(AND(COUNTIF($DA$2:$DA$47,DB4139)=0,COUNTIF($DB$2:DB4139,DB4139)=1),4138,""))</f>
        <v/>
      </c>
    </row>
    <row r="4140">
      <c r="DB4140">
        <f>IF('История отказов'!BA543="","",'История отказов'!BA543)</f>
        <v/>
      </c>
      <c r="DL4140">
        <f>IF(DB4140="","",IF(AND(COUNTIF($DA$2:$DA$47,DB4140)=0,COUNTIF($DB$2:DB4140,DB4140)=1),4139,""))</f>
        <v/>
      </c>
    </row>
    <row r="4141">
      <c r="DB4141">
        <f>IF('История отказов'!BA544="","",'История отказов'!BA544)</f>
        <v/>
      </c>
      <c r="DL4141">
        <f>IF(DB4141="","",IF(AND(COUNTIF($DA$2:$DA$47,DB4141)=0,COUNTIF($DB$2:DB4141,DB4141)=1),4140,""))</f>
        <v/>
      </c>
    </row>
    <row r="4142">
      <c r="DB4142">
        <f>IF('История отказов'!BA545="","",'История отказов'!BA545)</f>
        <v/>
      </c>
      <c r="DL4142">
        <f>IF(DB4142="","",IF(AND(COUNTIF($DA$2:$DA$47,DB4142)=0,COUNTIF($DB$2:DB4142,DB4142)=1),4141,""))</f>
        <v/>
      </c>
    </row>
    <row r="4143">
      <c r="DB4143">
        <f>IF('История отказов'!BA546="","",'История отказов'!BA546)</f>
        <v/>
      </c>
      <c r="DL4143">
        <f>IF(DB4143="","",IF(AND(COUNTIF($DA$2:$DA$47,DB4143)=0,COUNTIF($DB$2:DB4143,DB4143)=1),4142,""))</f>
        <v/>
      </c>
    </row>
    <row r="4144">
      <c r="DB4144">
        <f>IF('История отказов'!BA547="","",'История отказов'!BA547)</f>
        <v/>
      </c>
      <c r="DL4144">
        <f>IF(DB4144="","",IF(AND(COUNTIF($DA$2:$DA$47,DB4144)=0,COUNTIF($DB$2:DB4144,DB4144)=1),4143,""))</f>
        <v/>
      </c>
    </row>
    <row r="4145">
      <c r="DB4145">
        <f>IF('История отказов'!BA548="","",'История отказов'!BA548)</f>
        <v/>
      </c>
      <c r="DL4145">
        <f>IF(DB4145="","",IF(AND(COUNTIF($DA$2:$DA$47,DB4145)=0,COUNTIF($DB$2:DB4145,DB4145)=1),4144,""))</f>
        <v/>
      </c>
    </row>
    <row r="4146">
      <c r="DB4146">
        <f>IF('История отказов'!BA549="","",'История отказов'!BA549)</f>
        <v/>
      </c>
      <c r="DL4146">
        <f>IF(DB4146="","",IF(AND(COUNTIF($DA$2:$DA$47,DB4146)=0,COUNTIF($DB$2:DB4146,DB4146)=1),4145,""))</f>
        <v/>
      </c>
    </row>
    <row r="4147">
      <c r="DB4147">
        <f>IF('История отказов'!BA550="","",'История отказов'!BA550)</f>
        <v/>
      </c>
      <c r="DL4147">
        <f>IF(DB4147="","",IF(AND(COUNTIF($DA$2:$DA$47,DB4147)=0,COUNTIF($DB$2:DB4147,DB4147)=1),4146,""))</f>
        <v/>
      </c>
    </row>
    <row r="4148">
      <c r="DB4148">
        <f>IF('История отказов'!BA551="","",'История отказов'!BA551)</f>
        <v/>
      </c>
      <c r="DL4148">
        <f>IF(DB4148="","",IF(AND(COUNTIF($DA$2:$DA$47,DB4148)=0,COUNTIF($DB$2:DB4148,DB4148)=1),4147,""))</f>
        <v/>
      </c>
    </row>
    <row r="4149">
      <c r="DB4149">
        <f>IF('История отказов'!BA552="","",'История отказов'!BA552)</f>
        <v/>
      </c>
      <c r="DL4149">
        <f>IF(DB4149="","",IF(AND(COUNTIF($DA$2:$DA$47,DB4149)=0,COUNTIF($DB$2:DB4149,DB4149)=1),4148,""))</f>
        <v/>
      </c>
    </row>
    <row r="4150">
      <c r="DB4150">
        <f>IF('История отказов'!BA553="","",'История отказов'!BA553)</f>
        <v/>
      </c>
      <c r="DL4150">
        <f>IF(DB4150="","",IF(AND(COUNTIF($DA$2:$DA$47,DB4150)=0,COUNTIF($DB$2:DB4150,DB4150)=1),4149,""))</f>
        <v/>
      </c>
    </row>
    <row r="4151">
      <c r="DB4151">
        <f>IF('История отказов'!BA554="","",'История отказов'!BA554)</f>
        <v/>
      </c>
      <c r="DL4151">
        <f>IF(DB4151="","",IF(AND(COUNTIF($DA$2:$DA$47,DB4151)=0,COUNTIF($DB$2:DB4151,DB4151)=1),4150,""))</f>
        <v/>
      </c>
    </row>
    <row r="4152">
      <c r="DB4152">
        <f>IF('История отказов'!BA555="","",'История отказов'!BA555)</f>
        <v/>
      </c>
      <c r="DL4152">
        <f>IF(DB4152="","",IF(AND(COUNTIF($DA$2:$DA$47,DB4152)=0,COUNTIF($DB$2:DB4152,DB4152)=1),4151,""))</f>
        <v/>
      </c>
    </row>
    <row r="4153">
      <c r="DB4153">
        <f>IF('История отказов'!BA556="","",'История отказов'!BA556)</f>
        <v/>
      </c>
      <c r="DL4153">
        <f>IF(DB4153="","",IF(AND(COUNTIF($DA$2:$DA$47,DB4153)=0,COUNTIF($DB$2:DB4153,DB4153)=1),4152,""))</f>
        <v/>
      </c>
    </row>
    <row r="4154">
      <c r="DB4154">
        <f>IF('История отказов'!BA557="","",'История отказов'!BA557)</f>
        <v/>
      </c>
      <c r="DL4154">
        <f>IF(DB4154="","",IF(AND(COUNTIF($DA$2:$DA$47,DB4154)=0,COUNTIF($DB$2:DB4154,DB4154)=1),4153,""))</f>
        <v/>
      </c>
    </row>
    <row r="4155">
      <c r="DB4155">
        <f>IF('История отказов'!BA558="","",'История отказов'!BA558)</f>
        <v/>
      </c>
      <c r="DL4155">
        <f>IF(DB4155="","",IF(AND(COUNTIF($DA$2:$DA$47,DB4155)=0,COUNTIF($DB$2:DB4155,DB4155)=1),4154,""))</f>
        <v/>
      </c>
    </row>
    <row r="4156">
      <c r="DB4156">
        <f>IF('История отказов'!BA559="","",'История отказов'!BA559)</f>
        <v/>
      </c>
      <c r="DL4156">
        <f>IF(DB4156="","",IF(AND(COUNTIF($DA$2:$DA$47,DB4156)=0,COUNTIF($DB$2:DB4156,DB4156)=1),4155,""))</f>
        <v/>
      </c>
    </row>
    <row r="4157">
      <c r="DB4157">
        <f>IF('История отказов'!BA560="","",'История отказов'!BA560)</f>
        <v/>
      </c>
      <c r="DL4157">
        <f>IF(DB4157="","",IF(AND(COUNTIF($DA$2:$DA$47,DB4157)=0,COUNTIF($DB$2:DB4157,DB4157)=1),4156,""))</f>
        <v/>
      </c>
    </row>
    <row r="4158">
      <c r="DB4158">
        <f>IF('История отказов'!BA561="","",'История отказов'!BA561)</f>
        <v/>
      </c>
      <c r="DL4158">
        <f>IF(DB4158="","",IF(AND(COUNTIF($DA$2:$DA$47,DB4158)=0,COUNTIF($DB$2:DB4158,DB4158)=1),4157,""))</f>
        <v/>
      </c>
    </row>
    <row r="4159">
      <c r="DB4159">
        <f>IF('История отказов'!BA562="","",'История отказов'!BA562)</f>
        <v/>
      </c>
      <c r="DL4159">
        <f>IF(DB4159="","",IF(AND(COUNTIF($DA$2:$DA$47,DB4159)=0,COUNTIF($DB$2:DB4159,DB4159)=1),4158,""))</f>
        <v/>
      </c>
    </row>
    <row r="4160">
      <c r="DB4160">
        <f>IF('История отказов'!BA563="","",'История отказов'!BA563)</f>
        <v/>
      </c>
      <c r="DL4160">
        <f>IF(DB4160="","",IF(AND(COUNTIF($DA$2:$DA$47,DB4160)=0,COUNTIF($DB$2:DB4160,DB4160)=1),4159,""))</f>
        <v/>
      </c>
    </row>
    <row r="4161">
      <c r="DB4161">
        <f>IF('История отказов'!BA564="","",'История отказов'!BA564)</f>
        <v/>
      </c>
      <c r="DL4161">
        <f>IF(DB4161="","",IF(AND(COUNTIF($DA$2:$DA$47,DB4161)=0,COUNTIF($DB$2:DB4161,DB4161)=1),4160,""))</f>
        <v/>
      </c>
    </row>
    <row r="4162">
      <c r="DB4162">
        <f>IF('История отказов'!BA565="","",'История отказов'!BA565)</f>
        <v/>
      </c>
      <c r="DL4162">
        <f>IF(DB4162="","",IF(AND(COUNTIF($DA$2:$DA$47,DB4162)=0,COUNTIF($DB$2:DB4162,DB4162)=1),4161,""))</f>
        <v/>
      </c>
    </row>
    <row r="4163">
      <c r="DB4163">
        <f>IF('История отказов'!BA566="","",'История отказов'!BA566)</f>
        <v/>
      </c>
      <c r="DL4163">
        <f>IF(DB4163="","",IF(AND(COUNTIF($DA$2:$DA$47,DB4163)=0,COUNTIF($DB$2:DB4163,DB4163)=1),4162,""))</f>
        <v/>
      </c>
    </row>
    <row r="4164">
      <c r="DB4164">
        <f>IF('История отказов'!BA567="","",'История отказов'!BA567)</f>
        <v/>
      </c>
      <c r="DL4164">
        <f>IF(DB4164="","",IF(AND(COUNTIF($DA$2:$DA$47,DB4164)=0,COUNTIF($DB$2:DB4164,DB4164)=1),4163,""))</f>
        <v/>
      </c>
    </row>
    <row r="4165">
      <c r="DB4165">
        <f>IF('История отказов'!BA568="","",'История отказов'!BA568)</f>
        <v/>
      </c>
      <c r="DL4165">
        <f>IF(DB4165="","",IF(AND(COUNTIF($DA$2:$DA$47,DB4165)=0,COUNTIF($DB$2:DB4165,DB4165)=1),4164,""))</f>
        <v/>
      </c>
    </row>
    <row r="4166">
      <c r="DB4166">
        <f>IF('История отказов'!BA569="","",'История отказов'!BA569)</f>
        <v/>
      </c>
      <c r="DL4166">
        <f>IF(DB4166="","",IF(AND(COUNTIF($DA$2:$DA$47,DB4166)=0,COUNTIF($DB$2:DB4166,DB4166)=1),4165,""))</f>
        <v/>
      </c>
    </row>
    <row r="4167">
      <c r="DB4167">
        <f>IF('История отказов'!BA570="","",'История отказов'!BA570)</f>
        <v/>
      </c>
      <c r="DL4167">
        <f>IF(DB4167="","",IF(AND(COUNTIF($DA$2:$DA$47,DB4167)=0,COUNTIF($DB$2:DB4167,DB4167)=1),4166,""))</f>
        <v/>
      </c>
    </row>
    <row r="4168">
      <c r="DB4168">
        <f>IF('История отказов'!BA571="","",'История отказов'!BA571)</f>
        <v/>
      </c>
      <c r="DL4168">
        <f>IF(DB4168="","",IF(AND(COUNTIF($DA$2:$DA$47,DB4168)=0,COUNTIF($DB$2:DB4168,DB4168)=1),4167,""))</f>
        <v/>
      </c>
    </row>
    <row r="4169">
      <c r="DB4169">
        <f>IF('История отказов'!BA572="","",'История отказов'!BA572)</f>
        <v/>
      </c>
      <c r="DL4169">
        <f>IF(DB4169="","",IF(AND(COUNTIF($DA$2:$DA$47,DB4169)=0,COUNTIF($DB$2:DB4169,DB4169)=1),4168,""))</f>
        <v/>
      </c>
    </row>
    <row r="4170">
      <c r="DB4170">
        <f>IF('История отказов'!BA573="","",'История отказов'!BA573)</f>
        <v/>
      </c>
      <c r="DL4170">
        <f>IF(DB4170="","",IF(AND(COUNTIF($DA$2:$DA$47,DB4170)=0,COUNTIF($DB$2:DB4170,DB4170)=1),4169,""))</f>
        <v/>
      </c>
    </row>
    <row r="4171">
      <c r="DB4171">
        <f>IF('История отказов'!BA574="","",'История отказов'!BA574)</f>
        <v/>
      </c>
      <c r="DL4171">
        <f>IF(DB4171="","",IF(AND(COUNTIF($DA$2:$DA$47,DB4171)=0,COUNTIF($DB$2:DB4171,DB4171)=1),4170,""))</f>
        <v/>
      </c>
    </row>
    <row r="4172">
      <c r="DB4172">
        <f>IF('История отказов'!BA575="","",'История отказов'!BA575)</f>
        <v/>
      </c>
      <c r="DL4172">
        <f>IF(DB4172="","",IF(AND(COUNTIF($DA$2:$DA$47,DB4172)=0,COUNTIF($DB$2:DB4172,DB4172)=1),4171,""))</f>
        <v/>
      </c>
    </row>
    <row r="4173">
      <c r="DB4173">
        <f>IF('История отказов'!BA576="","",'История отказов'!BA576)</f>
        <v/>
      </c>
      <c r="DL4173">
        <f>IF(DB4173="","",IF(AND(COUNTIF($DA$2:$DA$47,DB4173)=0,COUNTIF($DB$2:DB4173,DB4173)=1),4172,""))</f>
        <v/>
      </c>
    </row>
    <row r="4174">
      <c r="DB4174">
        <f>IF('История отказов'!BA577="","",'История отказов'!BA577)</f>
        <v/>
      </c>
      <c r="DL4174">
        <f>IF(DB4174="","",IF(AND(COUNTIF($DA$2:$DA$47,DB4174)=0,COUNTIF($DB$2:DB4174,DB4174)=1),4173,""))</f>
        <v/>
      </c>
    </row>
    <row r="4175">
      <c r="DB4175">
        <f>IF('История отказов'!BA578="","",'История отказов'!BA578)</f>
        <v/>
      </c>
      <c r="DL4175">
        <f>IF(DB4175="","",IF(AND(COUNTIF($DA$2:$DA$47,DB4175)=0,COUNTIF($DB$2:DB4175,DB4175)=1),4174,""))</f>
        <v/>
      </c>
    </row>
    <row r="4176">
      <c r="DB4176">
        <f>IF('История отказов'!BA579="","",'История отказов'!BA579)</f>
        <v/>
      </c>
      <c r="DL4176">
        <f>IF(DB4176="","",IF(AND(COUNTIF($DA$2:$DA$47,DB4176)=0,COUNTIF($DB$2:DB4176,DB4176)=1),4175,""))</f>
        <v/>
      </c>
    </row>
    <row r="4177">
      <c r="DB4177">
        <f>IF('История отказов'!BA580="","",'История отказов'!BA580)</f>
        <v/>
      </c>
      <c r="DL4177">
        <f>IF(DB4177="","",IF(AND(COUNTIF($DA$2:$DA$47,DB4177)=0,COUNTIF($DB$2:DB4177,DB4177)=1),4176,""))</f>
        <v/>
      </c>
    </row>
    <row r="4178">
      <c r="DB4178">
        <f>IF('История отказов'!BA581="","",'История отказов'!BA581)</f>
        <v/>
      </c>
      <c r="DL4178">
        <f>IF(DB4178="","",IF(AND(COUNTIF($DA$2:$DA$47,DB4178)=0,COUNTIF($DB$2:DB4178,DB4178)=1),4177,""))</f>
        <v/>
      </c>
    </row>
    <row r="4179">
      <c r="DB4179">
        <f>IF('История отказов'!BA582="","",'История отказов'!BA582)</f>
        <v/>
      </c>
      <c r="DL4179">
        <f>IF(DB4179="","",IF(AND(COUNTIF($DA$2:$DA$47,DB4179)=0,COUNTIF($DB$2:DB4179,DB4179)=1),4178,""))</f>
        <v/>
      </c>
    </row>
    <row r="4180">
      <c r="DB4180">
        <f>IF('История отказов'!BA583="","",'История отказов'!BA583)</f>
        <v/>
      </c>
      <c r="DL4180">
        <f>IF(DB4180="","",IF(AND(COUNTIF($DA$2:$DA$47,DB4180)=0,COUNTIF($DB$2:DB4180,DB4180)=1),4179,""))</f>
        <v/>
      </c>
    </row>
    <row r="4181">
      <c r="DB4181">
        <f>IF('История отказов'!BA584="","",'История отказов'!BA584)</f>
        <v/>
      </c>
      <c r="DL4181">
        <f>IF(DB4181="","",IF(AND(COUNTIF($DA$2:$DA$47,DB4181)=0,COUNTIF($DB$2:DB4181,DB4181)=1),4180,""))</f>
        <v/>
      </c>
    </row>
    <row r="4182">
      <c r="DB4182">
        <f>IF('История отказов'!BA585="","",'История отказов'!BA585)</f>
        <v/>
      </c>
      <c r="DL4182">
        <f>IF(DB4182="","",IF(AND(COUNTIF($DA$2:$DA$47,DB4182)=0,COUNTIF($DB$2:DB4182,DB4182)=1),4181,""))</f>
        <v/>
      </c>
    </row>
    <row r="4183">
      <c r="DB4183">
        <f>IF('История отказов'!BA586="","",'История отказов'!BA586)</f>
        <v/>
      </c>
      <c r="DL4183">
        <f>IF(DB4183="","",IF(AND(COUNTIF($DA$2:$DA$47,DB4183)=0,COUNTIF($DB$2:DB4183,DB4183)=1),4182,""))</f>
        <v/>
      </c>
    </row>
    <row r="4184">
      <c r="DB4184">
        <f>IF('История отказов'!BA587="","",'История отказов'!BA587)</f>
        <v/>
      </c>
      <c r="DL4184">
        <f>IF(DB4184="","",IF(AND(COUNTIF($DA$2:$DA$47,DB4184)=0,COUNTIF($DB$2:DB4184,DB4184)=1),4183,""))</f>
        <v/>
      </c>
    </row>
    <row r="4185">
      <c r="DB4185">
        <f>IF('История отказов'!BA588="","",'История отказов'!BA588)</f>
        <v/>
      </c>
      <c r="DL4185">
        <f>IF(DB4185="","",IF(AND(COUNTIF($DA$2:$DA$47,DB4185)=0,COUNTIF($DB$2:DB4185,DB4185)=1),4184,""))</f>
        <v/>
      </c>
    </row>
    <row r="4186">
      <c r="DB4186">
        <f>IF('История отказов'!BA589="","",'История отказов'!BA589)</f>
        <v/>
      </c>
      <c r="DL4186">
        <f>IF(DB4186="","",IF(AND(COUNTIF($DA$2:$DA$47,DB4186)=0,COUNTIF($DB$2:DB4186,DB4186)=1),4185,""))</f>
        <v/>
      </c>
    </row>
    <row r="4187">
      <c r="DB4187">
        <f>IF('История отказов'!BA590="","",'История отказов'!BA590)</f>
        <v/>
      </c>
      <c r="DL4187">
        <f>IF(DB4187="","",IF(AND(COUNTIF($DA$2:$DA$47,DB4187)=0,COUNTIF($DB$2:DB4187,DB4187)=1),4186,""))</f>
        <v/>
      </c>
    </row>
    <row r="4188">
      <c r="DB4188">
        <f>IF('История отказов'!BA591="","",'История отказов'!BA591)</f>
        <v/>
      </c>
      <c r="DL4188">
        <f>IF(DB4188="","",IF(AND(COUNTIF($DA$2:$DA$47,DB4188)=0,COUNTIF($DB$2:DB4188,DB4188)=1),4187,""))</f>
        <v/>
      </c>
    </row>
    <row r="4189">
      <c r="DB4189">
        <f>IF('История отказов'!BA592="","",'История отказов'!BA592)</f>
        <v/>
      </c>
      <c r="DL4189">
        <f>IF(DB4189="","",IF(AND(COUNTIF($DA$2:$DA$47,DB4189)=0,COUNTIF($DB$2:DB4189,DB4189)=1),4188,""))</f>
        <v/>
      </c>
    </row>
    <row r="4190">
      <c r="DB4190">
        <f>IF('История отказов'!BA593="","",'История отказов'!BA593)</f>
        <v/>
      </c>
      <c r="DL4190">
        <f>IF(DB4190="","",IF(AND(COUNTIF($DA$2:$DA$47,DB4190)=0,COUNTIF($DB$2:DB4190,DB4190)=1),4189,""))</f>
        <v/>
      </c>
    </row>
    <row r="4191">
      <c r="DB4191">
        <f>IF('История отказов'!BA594="","",'История отказов'!BA594)</f>
        <v/>
      </c>
      <c r="DL4191">
        <f>IF(DB4191="","",IF(AND(COUNTIF($DA$2:$DA$47,DB4191)=0,COUNTIF($DB$2:DB4191,DB4191)=1),4190,""))</f>
        <v/>
      </c>
    </row>
    <row r="4192">
      <c r="DB4192">
        <f>IF('История отказов'!BA595="","",'История отказов'!BA595)</f>
        <v/>
      </c>
      <c r="DL4192">
        <f>IF(DB4192="","",IF(AND(COUNTIF($DA$2:$DA$47,DB4192)=0,COUNTIF($DB$2:DB4192,DB4192)=1),4191,""))</f>
        <v/>
      </c>
    </row>
    <row r="4193">
      <c r="DB4193">
        <f>IF('История отказов'!BA596="","",'История отказов'!BA596)</f>
        <v/>
      </c>
      <c r="DL4193">
        <f>IF(DB4193="","",IF(AND(COUNTIF($DA$2:$DA$47,DB4193)=0,COUNTIF($DB$2:DB4193,DB4193)=1),4192,""))</f>
        <v/>
      </c>
    </row>
    <row r="4194">
      <c r="DB4194">
        <f>IF('История отказов'!BA597="","",'История отказов'!BA597)</f>
        <v/>
      </c>
      <c r="DL4194">
        <f>IF(DB4194="","",IF(AND(COUNTIF($DA$2:$DA$47,DB4194)=0,COUNTIF($DB$2:DB4194,DB4194)=1),4193,""))</f>
        <v/>
      </c>
    </row>
    <row r="4195">
      <c r="DB4195">
        <f>IF('История отказов'!BA598="","",'История отказов'!BA598)</f>
        <v/>
      </c>
      <c r="DL4195">
        <f>IF(DB4195="","",IF(AND(COUNTIF($DA$2:$DA$47,DB4195)=0,COUNTIF($DB$2:DB4195,DB4195)=1),4194,""))</f>
        <v/>
      </c>
    </row>
    <row r="4196">
      <c r="DB4196">
        <f>IF('История отказов'!BA599="","",'История отказов'!BA599)</f>
        <v/>
      </c>
      <c r="DL4196">
        <f>IF(DB4196="","",IF(AND(COUNTIF($DA$2:$DA$47,DB4196)=0,COUNTIF($DB$2:DB4196,DB4196)=1),4195,""))</f>
        <v/>
      </c>
    </row>
    <row r="4197">
      <c r="DB4197">
        <f>IF('История отказов'!BA600="","",'История отказов'!BA600)</f>
        <v/>
      </c>
      <c r="DL4197">
        <f>IF(DB4197="","",IF(AND(COUNTIF($DA$2:$DA$47,DB4197)=0,COUNTIF($DB$2:DB4197,DB4197)=1),4196,""))</f>
        <v/>
      </c>
    </row>
    <row r="4198">
      <c r="DB4198">
        <f>IF('История отказов'!BA601="","",'История отказов'!BA601)</f>
        <v/>
      </c>
      <c r="DL4198">
        <f>IF(DB4198="","",IF(AND(COUNTIF($DA$2:$DA$47,DB4198)=0,COUNTIF($DB$2:DB4198,DB4198)=1),4197,""))</f>
        <v/>
      </c>
    </row>
    <row r="4199">
      <c r="DB4199">
        <f>IF('История отказов'!BA602="","",'История отказов'!BA602)</f>
        <v/>
      </c>
      <c r="DL4199">
        <f>IF(DB4199="","",IF(AND(COUNTIF($DA$2:$DA$47,DB4199)=0,COUNTIF($DB$2:DB4199,DB4199)=1),4198,""))</f>
        <v/>
      </c>
    </row>
    <row r="4200">
      <c r="DB4200">
        <f>IF('История отказов'!BA603="","",'История отказов'!BA603)</f>
        <v/>
      </c>
      <c r="DL4200">
        <f>IF(DB4200="","",IF(AND(COUNTIF($DA$2:$DA$47,DB4200)=0,COUNTIF($DB$2:DB4200,DB4200)=1),4199,""))</f>
        <v/>
      </c>
    </row>
    <row r="4201">
      <c r="DB4201">
        <f>IF('История отказов'!BA604="","",'История отказов'!BA604)</f>
        <v/>
      </c>
      <c r="DL4201">
        <f>IF(DB4201="","",IF(AND(COUNTIF($DA$2:$DA$47,DB4201)=0,COUNTIF($DB$2:DB4201,DB4201)=1),4200,""))</f>
        <v/>
      </c>
    </row>
    <row r="4202">
      <c r="DB4202">
        <f>IF('История отказов'!BA605="","",'История отказов'!BA605)</f>
        <v/>
      </c>
      <c r="DL4202">
        <f>IF(DB4202="","",IF(AND(COUNTIF($DA$2:$DA$47,DB4202)=0,COUNTIF($DB$2:DB4202,DB4202)=1),4201,""))</f>
        <v/>
      </c>
    </row>
    <row r="4203">
      <c r="DB4203">
        <f>IF('История отказов'!BA606="","",'История отказов'!BA606)</f>
        <v/>
      </c>
      <c r="DL4203">
        <f>IF(DB4203="","",IF(AND(COUNTIF($DA$2:$DA$47,DB4203)=0,COUNTIF($DB$2:DB4203,DB4203)=1),4202,""))</f>
        <v/>
      </c>
    </row>
    <row r="4204">
      <c r="DB4204">
        <f>IF('История отказов'!BA607="","",'История отказов'!BA607)</f>
        <v/>
      </c>
      <c r="DL4204">
        <f>IF(DB4204="","",IF(AND(COUNTIF($DA$2:$DA$47,DB4204)=0,COUNTIF($DB$2:DB4204,DB4204)=1),4203,""))</f>
        <v/>
      </c>
    </row>
    <row r="4205">
      <c r="DB4205">
        <f>IF('История отказов'!BA608="","",'История отказов'!BA608)</f>
        <v/>
      </c>
      <c r="DL4205">
        <f>IF(DB4205="","",IF(AND(COUNTIF($DA$2:$DA$47,DB4205)=0,COUNTIF($DB$2:DB4205,DB4205)=1),4204,""))</f>
        <v/>
      </c>
    </row>
    <row r="4206">
      <c r="DB4206">
        <f>IF('История отказов'!BA609="","",'История отказов'!BA609)</f>
        <v/>
      </c>
      <c r="DL4206">
        <f>IF(DB4206="","",IF(AND(COUNTIF($DA$2:$DA$47,DB4206)=0,COUNTIF($DB$2:DB4206,DB4206)=1),4205,""))</f>
        <v/>
      </c>
    </row>
    <row r="4207">
      <c r="DB4207">
        <f>IF('История отказов'!BA610="","",'История отказов'!BA610)</f>
        <v/>
      </c>
      <c r="DL4207">
        <f>IF(DB4207="","",IF(AND(COUNTIF($DA$2:$DA$47,DB4207)=0,COUNTIF($DB$2:DB4207,DB4207)=1),4206,""))</f>
        <v/>
      </c>
    </row>
    <row r="4208">
      <c r="DB4208">
        <f>IF('История отказов'!BA611="","",'История отказов'!BA611)</f>
        <v/>
      </c>
      <c r="DL4208">
        <f>IF(DB4208="","",IF(AND(COUNTIF($DA$2:$DA$47,DB4208)=0,COUNTIF($DB$2:DB4208,DB4208)=1),4207,""))</f>
        <v/>
      </c>
    </row>
    <row r="4209">
      <c r="DB4209">
        <f>IF('История отказов'!BA612="","",'История отказов'!BA612)</f>
        <v/>
      </c>
      <c r="DL4209">
        <f>IF(DB4209="","",IF(AND(COUNTIF($DA$2:$DA$47,DB4209)=0,COUNTIF($DB$2:DB4209,DB4209)=1),4208,""))</f>
        <v/>
      </c>
    </row>
    <row r="4210">
      <c r="DB4210">
        <f>IF('История отказов'!BA613="","",'История отказов'!BA613)</f>
        <v/>
      </c>
      <c r="DL4210">
        <f>IF(DB4210="","",IF(AND(COUNTIF($DA$2:$DA$47,DB4210)=0,COUNTIF($DB$2:DB4210,DB4210)=1),4209,""))</f>
        <v/>
      </c>
    </row>
    <row r="4211">
      <c r="DB4211">
        <f>IF('История отказов'!BA614="","",'История отказов'!BA614)</f>
        <v/>
      </c>
      <c r="DL4211">
        <f>IF(DB4211="","",IF(AND(COUNTIF($DA$2:$DA$47,DB4211)=0,COUNTIF($DB$2:DB4211,DB4211)=1),4210,""))</f>
        <v/>
      </c>
    </row>
    <row r="4212">
      <c r="DB4212">
        <f>IF('История отказов'!BA615="","",'История отказов'!BA615)</f>
        <v/>
      </c>
      <c r="DL4212">
        <f>IF(DB4212="","",IF(AND(COUNTIF($DA$2:$DA$47,DB4212)=0,COUNTIF($DB$2:DB4212,DB4212)=1),4211,""))</f>
        <v/>
      </c>
    </row>
    <row r="4213">
      <c r="DB4213">
        <f>IF('История отказов'!BA616="","",'История отказов'!BA616)</f>
        <v/>
      </c>
      <c r="DL4213">
        <f>IF(DB4213="","",IF(AND(COUNTIF($DA$2:$DA$47,DB4213)=0,COUNTIF($DB$2:DB4213,DB4213)=1),4212,""))</f>
        <v/>
      </c>
    </row>
    <row r="4214">
      <c r="DB4214">
        <f>IF('История отказов'!BA617="","",'История отказов'!BA617)</f>
        <v/>
      </c>
      <c r="DL4214">
        <f>IF(DB4214="","",IF(AND(COUNTIF($DA$2:$DA$47,DB4214)=0,COUNTIF($DB$2:DB4214,DB4214)=1),4213,""))</f>
        <v/>
      </c>
    </row>
    <row r="4215">
      <c r="DB4215">
        <f>IF('История отказов'!BA618="","",'История отказов'!BA618)</f>
        <v/>
      </c>
      <c r="DL4215">
        <f>IF(DB4215="","",IF(AND(COUNTIF($DA$2:$DA$47,DB4215)=0,COUNTIF($DB$2:DB4215,DB4215)=1),4214,""))</f>
        <v/>
      </c>
    </row>
    <row r="4216">
      <c r="DB4216">
        <f>IF('История отказов'!BA619="","",'История отказов'!BA619)</f>
        <v/>
      </c>
      <c r="DL4216">
        <f>IF(DB4216="","",IF(AND(COUNTIF($DA$2:$DA$47,DB4216)=0,COUNTIF($DB$2:DB4216,DB4216)=1),4215,""))</f>
        <v/>
      </c>
    </row>
    <row r="4217">
      <c r="DB4217">
        <f>IF('История отказов'!BA620="","",'История отказов'!BA620)</f>
        <v/>
      </c>
      <c r="DL4217">
        <f>IF(DB4217="","",IF(AND(COUNTIF($DA$2:$DA$47,DB4217)=0,COUNTIF($DB$2:DB4217,DB4217)=1),4216,""))</f>
        <v/>
      </c>
    </row>
    <row r="4218">
      <c r="DB4218">
        <f>IF('История отказов'!BA621="","",'История отказов'!BA621)</f>
        <v/>
      </c>
      <c r="DL4218">
        <f>IF(DB4218="","",IF(AND(COUNTIF($DA$2:$DA$47,DB4218)=0,COUNTIF($DB$2:DB4218,DB4218)=1),4217,""))</f>
        <v/>
      </c>
    </row>
    <row r="4219">
      <c r="DB4219">
        <f>IF('История отказов'!BA622="","",'История отказов'!BA622)</f>
        <v/>
      </c>
      <c r="DL4219">
        <f>IF(DB4219="","",IF(AND(COUNTIF($DA$2:$DA$47,DB4219)=0,COUNTIF($DB$2:DB4219,DB4219)=1),4218,""))</f>
        <v/>
      </c>
    </row>
    <row r="4220">
      <c r="DB4220">
        <f>IF('История отказов'!BA623="","",'История отказов'!BA623)</f>
        <v/>
      </c>
      <c r="DL4220">
        <f>IF(DB4220="","",IF(AND(COUNTIF($DA$2:$DA$47,DB4220)=0,COUNTIF($DB$2:DB4220,DB4220)=1),4219,""))</f>
        <v/>
      </c>
    </row>
    <row r="4221">
      <c r="DB4221">
        <f>IF('История отказов'!BA624="","",'История отказов'!BA624)</f>
        <v/>
      </c>
      <c r="DL4221">
        <f>IF(DB4221="","",IF(AND(COUNTIF($DA$2:$DA$47,DB4221)=0,COUNTIF($DB$2:DB4221,DB4221)=1),4220,""))</f>
        <v/>
      </c>
    </row>
    <row r="4222">
      <c r="DB4222">
        <f>IF('История отказов'!BA625="","",'История отказов'!BA625)</f>
        <v/>
      </c>
      <c r="DL4222">
        <f>IF(DB4222="","",IF(AND(COUNTIF($DA$2:$DA$47,DB4222)=0,COUNTIF($DB$2:DB4222,DB4222)=1),4221,""))</f>
        <v/>
      </c>
    </row>
    <row r="4223">
      <c r="DB4223">
        <f>IF('История отказов'!BA626="","",'История отказов'!BA626)</f>
        <v/>
      </c>
      <c r="DL4223">
        <f>IF(DB4223="","",IF(AND(COUNTIF($DA$2:$DA$47,DB4223)=0,COUNTIF($DB$2:DB4223,DB4223)=1),4222,""))</f>
        <v/>
      </c>
    </row>
    <row r="4224">
      <c r="DB4224">
        <f>IF('История отказов'!BA627="","",'История отказов'!BA627)</f>
        <v/>
      </c>
      <c r="DL4224">
        <f>IF(DB4224="","",IF(AND(COUNTIF($DA$2:$DA$47,DB4224)=0,COUNTIF($DB$2:DB4224,DB4224)=1),4223,""))</f>
        <v/>
      </c>
    </row>
    <row r="4225">
      <c r="DB4225">
        <f>IF('История отказов'!BA628="","",'История отказов'!BA628)</f>
        <v/>
      </c>
      <c r="DL4225">
        <f>IF(DB4225="","",IF(AND(COUNTIF($DA$2:$DA$47,DB4225)=0,COUNTIF($DB$2:DB4225,DB4225)=1),4224,""))</f>
        <v/>
      </c>
    </row>
    <row r="4226">
      <c r="DB4226">
        <f>IF('История отказов'!BA629="","",'История отказов'!BA629)</f>
        <v/>
      </c>
      <c r="DL4226">
        <f>IF(DB4226="","",IF(AND(COUNTIF($DA$2:$DA$47,DB4226)=0,COUNTIF($DB$2:DB4226,DB4226)=1),4225,""))</f>
        <v/>
      </c>
    </row>
    <row r="4227">
      <c r="DB4227">
        <f>IF('История отказов'!BA630="","",'История отказов'!BA630)</f>
        <v/>
      </c>
      <c r="DL4227">
        <f>IF(DB4227="","",IF(AND(COUNTIF($DA$2:$DA$47,DB4227)=0,COUNTIF($DB$2:DB4227,DB4227)=1),4226,""))</f>
        <v/>
      </c>
    </row>
    <row r="4228">
      <c r="DB4228">
        <f>IF('История отказов'!BA631="","",'История отказов'!BA631)</f>
        <v/>
      </c>
      <c r="DL4228">
        <f>IF(DB4228="","",IF(AND(COUNTIF($DA$2:$DA$47,DB4228)=0,COUNTIF($DB$2:DB4228,DB4228)=1),4227,""))</f>
        <v/>
      </c>
    </row>
    <row r="4229">
      <c r="DB4229">
        <f>IF('История отказов'!BA632="","",'История отказов'!BA632)</f>
        <v/>
      </c>
      <c r="DL4229">
        <f>IF(DB4229="","",IF(AND(COUNTIF($DA$2:$DA$47,DB4229)=0,COUNTIF($DB$2:DB4229,DB4229)=1),4228,""))</f>
        <v/>
      </c>
    </row>
    <row r="4230">
      <c r="DB4230">
        <f>IF('История отказов'!BA633="","",'История отказов'!BA633)</f>
        <v/>
      </c>
      <c r="DL4230">
        <f>IF(DB4230="","",IF(AND(COUNTIF($DA$2:$DA$47,DB4230)=0,COUNTIF($DB$2:DB4230,DB4230)=1),4229,""))</f>
        <v/>
      </c>
    </row>
    <row r="4231">
      <c r="DB4231">
        <f>IF('История отказов'!BA634="","",'История отказов'!BA634)</f>
        <v/>
      </c>
      <c r="DL4231">
        <f>IF(DB4231="","",IF(AND(COUNTIF($DA$2:$DA$47,DB4231)=0,COUNTIF($DB$2:DB4231,DB4231)=1),4230,""))</f>
        <v/>
      </c>
    </row>
    <row r="4232">
      <c r="DB4232">
        <f>IF('История отказов'!BA635="","",'История отказов'!BA635)</f>
        <v/>
      </c>
      <c r="DL4232">
        <f>IF(DB4232="","",IF(AND(COUNTIF($DA$2:$DA$47,DB4232)=0,COUNTIF($DB$2:DB4232,DB4232)=1),4231,""))</f>
        <v/>
      </c>
    </row>
    <row r="4233">
      <c r="DB4233">
        <f>IF('История отказов'!BA636="","",'История отказов'!BA636)</f>
        <v/>
      </c>
      <c r="DL4233">
        <f>IF(DB4233="","",IF(AND(COUNTIF($DA$2:$DA$47,DB4233)=0,COUNTIF($DB$2:DB4233,DB4233)=1),4232,""))</f>
        <v/>
      </c>
    </row>
    <row r="4234">
      <c r="DB4234">
        <f>IF('История отказов'!BA637="","",'История отказов'!BA637)</f>
        <v/>
      </c>
      <c r="DL4234">
        <f>IF(DB4234="","",IF(AND(COUNTIF($DA$2:$DA$47,DB4234)=0,COUNTIF($DB$2:DB4234,DB4234)=1),4233,""))</f>
        <v/>
      </c>
    </row>
    <row r="4235">
      <c r="DB4235">
        <f>IF('История отказов'!BA638="","",'История отказов'!BA638)</f>
        <v/>
      </c>
      <c r="DL4235">
        <f>IF(DB4235="","",IF(AND(COUNTIF($DA$2:$DA$47,DB4235)=0,COUNTIF($DB$2:DB4235,DB4235)=1),4234,""))</f>
        <v/>
      </c>
    </row>
    <row r="4236">
      <c r="DB4236">
        <f>IF('История отказов'!BA639="","",'История отказов'!BA639)</f>
        <v/>
      </c>
      <c r="DL4236">
        <f>IF(DB4236="","",IF(AND(COUNTIF($DA$2:$DA$47,DB4236)=0,COUNTIF($DB$2:DB4236,DB4236)=1),4235,""))</f>
        <v/>
      </c>
    </row>
    <row r="4237">
      <c r="DB4237">
        <f>IF('История отказов'!BA640="","",'История отказов'!BA640)</f>
        <v/>
      </c>
      <c r="DL4237">
        <f>IF(DB4237="","",IF(AND(COUNTIF($DA$2:$DA$47,DB4237)=0,COUNTIF($DB$2:DB4237,DB4237)=1),4236,""))</f>
        <v/>
      </c>
    </row>
    <row r="4238">
      <c r="DB4238">
        <f>IF('История отказов'!BA641="","",'История отказов'!BA641)</f>
        <v/>
      </c>
      <c r="DL4238">
        <f>IF(DB4238="","",IF(AND(COUNTIF($DA$2:$DA$47,DB4238)=0,COUNTIF($DB$2:DB4238,DB4238)=1),4237,""))</f>
        <v/>
      </c>
    </row>
    <row r="4239">
      <c r="DB4239">
        <f>IF('История отказов'!BA642="","",'История отказов'!BA642)</f>
        <v/>
      </c>
      <c r="DL4239">
        <f>IF(DB4239="","",IF(AND(COUNTIF($DA$2:$DA$47,DB4239)=0,COUNTIF($DB$2:DB4239,DB4239)=1),4238,""))</f>
        <v/>
      </c>
    </row>
    <row r="4240">
      <c r="DB4240">
        <f>IF('История отказов'!BA643="","",'История отказов'!BA643)</f>
        <v/>
      </c>
      <c r="DL4240">
        <f>IF(DB4240="","",IF(AND(COUNTIF($DA$2:$DA$47,DB4240)=0,COUNTIF($DB$2:DB4240,DB4240)=1),4239,""))</f>
        <v/>
      </c>
    </row>
    <row r="4241">
      <c r="DB4241">
        <f>IF('История отказов'!BA644="","",'История отказов'!BA644)</f>
        <v/>
      </c>
      <c r="DL4241">
        <f>IF(DB4241="","",IF(AND(COUNTIF($DA$2:$DA$47,DB4241)=0,COUNTIF($DB$2:DB4241,DB4241)=1),4240,""))</f>
        <v/>
      </c>
    </row>
    <row r="4242">
      <c r="DB4242">
        <f>IF('История отказов'!BA645="","",'История отказов'!BA645)</f>
        <v/>
      </c>
      <c r="DL4242">
        <f>IF(DB4242="","",IF(AND(COUNTIF($DA$2:$DA$47,DB4242)=0,COUNTIF($DB$2:DB4242,DB4242)=1),4241,""))</f>
        <v/>
      </c>
    </row>
    <row r="4243">
      <c r="DB4243">
        <f>IF('История отказов'!BA646="","",'История отказов'!BA646)</f>
        <v/>
      </c>
      <c r="DL4243">
        <f>IF(DB4243="","",IF(AND(COUNTIF($DA$2:$DA$47,DB4243)=0,COUNTIF($DB$2:DB4243,DB4243)=1),4242,""))</f>
        <v/>
      </c>
    </row>
    <row r="4244">
      <c r="DB4244">
        <f>IF('История отказов'!BA647="","",'История отказов'!BA647)</f>
        <v/>
      </c>
      <c r="DL4244">
        <f>IF(DB4244="","",IF(AND(COUNTIF($DA$2:$DA$47,DB4244)=0,COUNTIF($DB$2:DB4244,DB4244)=1),4243,""))</f>
        <v/>
      </c>
    </row>
    <row r="4245">
      <c r="DB4245">
        <f>IF('История отказов'!BA648="","",'История отказов'!BA648)</f>
        <v/>
      </c>
      <c r="DL4245">
        <f>IF(DB4245="","",IF(AND(COUNTIF($DA$2:$DA$47,DB4245)=0,COUNTIF($DB$2:DB4245,DB4245)=1),4244,""))</f>
        <v/>
      </c>
    </row>
    <row r="4246">
      <c r="DB4246">
        <f>IF('История отказов'!BA649="","",'История отказов'!BA649)</f>
        <v/>
      </c>
      <c r="DL4246">
        <f>IF(DB4246="","",IF(AND(COUNTIF($DA$2:$DA$47,DB4246)=0,COUNTIF($DB$2:DB4246,DB4246)=1),4245,""))</f>
        <v/>
      </c>
    </row>
    <row r="4247">
      <c r="DB4247">
        <f>IF('История отказов'!BA650="","",'История отказов'!BA650)</f>
        <v/>
      </c>
      <c r="DL4247">
        <f>IF(DB4247="","",IF(AND(COUNTIF($DA$2:$DA$47,DB4247)=0,COUNTIF($DB$2:DB4247,DB4247)=1),4246,""))</f>
        <v/>
      </c>
    </row>
    <row r="4248">
      <c r="DB4248">
        <f>IF('История отказов'!BA651="","",'История отказов'!BA651)</f>
        <v/>
      </c>
      <c r="DL4248">
        <f>IF(DB4248="","",IF(AND(COUNTIF($DA$2:$DA$47,DB4248)=0,COUNTIF($DB$2:DB4248,DB4248)=1),4247,""))</f>
        <v/>
      </c>
    </row>
    <row r="4249">
      <c r="DB4249">
        <f>IF('История отказов'!BA652="","",'История отказов'!BA652)</f>
        <v/>
      </c>
      <c r="DL4249">
        <f>IF(DB4249="","",IF(AND(COUNTIF($DA$2:$DA$47,DB4249)=0,COUNTIF($DB$2:DB4249,DB4249)=1),4248,""))</f>
        <v/>
      </c>
    </row>
    <row r="4250">
      <c r="DB4250">
        <f>IF('История отказов'!BA653="","",'История отказов'!BA653)</f>
        <v/>
      </c>
      <c r="DL4250">
        <f>IF(DB4250="","",IF(AND(COUNTIF($DA$2:$DA$47,DB4250)=0,COUNTIF($DB$2:DB4250,DB4250)=1),4249,""))</f>
        <v/>
      </c>
    </row>
    <row r="4251">
      <c r="DB4251">
        <f>IF('История отказов'!BA654="","",'История отказов'!BA654)</f>
        <v/>
      </c>
      <c r="DL4251">
        <f>IF(DB4251="","",IF(AND(COUNTIF($DA$2:$DA$47,DB4251)=0,COUNTIF($DB$2:DB4251,DB4251)=1),4250,""))</f>
        <v/>
      </c>
    </row>
    <row r="4252">
      <c r="DB4252">
        <f>IF('История отказов'!BA655="","",'История отказов'!BA655)</f>
        <v/>
      </c>
      <c r="DL4252">
        <f>IF(DB4252="","",IF(AND(COUNTIF($DA$2:$DA$47,DB4252)=0,COUNTIF($DB$2:DB4252,DB4252)=1),4251,""))</f>
        <v/>
      </c>
    </row>
    <row r="4253">
      <c r="DB4253">
        <f>IF('История отказов'!BA656="","",'История отказов'!BA656)</f>
        <v/>
      </c>
      <c r="DL4253">
        <f>IF(DB4253="","",IF(AND(COUNTIF($DA$2:$DA$47,DB4253)=0,COUNTIF($DB$2:DB4253,DB4253)=1),4252,""))</f>
        <v/>
      </c>
    </row>
    <row r="4254">
      <c r="DB4254">
        <f>IF('История отказов'!BA657="","",'История отказов'!BA657)</f>
        <v/>
      </c>
      <c r="DL4254">
        <f>IF(DB4254="","",IF(AND(COUNTIF($DA$2:$DA$47,DB4254)=0,COUNTIF($DB$2:DB4254,DB4254)=1),4253,""))</f>
        <v/>
      </c>
    </row>
    <row r="4255">
      <c r="DB4255">
        <f>IF('История отказов'!BA658="","",'История отказов'!BA658)</f>
        <v/>
      </c>
      <c r="DL4255">
        <f>IF(DB4255="","",IF(AND(COUNTIF($DA$2:$DA$47,DB4255)=0,COUNTIF($DB$2:DB4255,DB4255)=1),4254,""))</f>
        <v/>
      </c>
    </row>
    <row r="4256">
      <c r="DB4256">
        <f>IF('История отказов'!BA659="","",'История отказов'!BA659)</f>
        <v/>
      </c>
      <c r="DL4256">
        <f>IF(DB4256="","",IF(AND(COUNTIF($DA$2:$DA$47,DB4256)=0,COUNTIF($DB$2:DB4256,DB4256)=1),4255,""))</f>
        <v/>
      </c>
    </row>
    <row r="4257">
      <c r="DB4257">
        <f>IF('История отказов'!BA660="","",'История отказов'!BA660)</f>
        <v/>
      </c>
      <c r="DL4257">
        <f>IF(DB4257="","",IF(AND(COUNTIF($DA$2:$DA$47,DB4257)=0,COUNTIF($DB$2:DB4257,DB4257)=1),4256,""))</f>
        <v/>
      </c>
    </row>
    <row r="4258">
      <c r="DB4258">
        <f>IF('История отказов'!BA661="","",'История отказов'!BA661)</f>
        <v/>
      </c>
      <c r="DL4258">
        <f>IF(DB4258="","",IF(AND(COUNTIF($DA$2:$DA$47,DB4258)=0,COUNTIF($DB$2:DB4258,DB4258)=1),4257,""))</f>
        <v/>
      </c>
    </row>
    <row r="4259">
      <c r="DB4259">
        <f>IF('История отказов'!BA662="","",'История отказов'!BA662)</f>
        <v/>
      </c>
      <c r="DL4259">
        <f>IF(DB4259="","",IF(AND(COUNTIF($DA$2:$DA$47,DB4259)=0,COUNTIF($DB$2:DB4259,DB4259)=1),4258,""))</f>
        <v/>
      </c>
    </row>
    <row r="4260">
      <c r="DB4260">
        <f>IF('История отказов'!BA663="","",'История отказов'!BA663)</f>
        <v/>
      </c>
      <c r="DL4260">
        <f>IF(DB4260="","",IF(AND(COUNTIF($DA$2:$DA$47,DB4260)=0,COUNTIF($DB$2:DB4260,DB4260)=1),4259,""))</f>
        <v/>
      </c>
    </row>
    <row r="4261">
      <c r="DB4261">
        <f>IF('История отказов'!BA664="","",'История отказов'!BA664)</f>
        <v/>
      </c>
      <c r="DL4261">
        <f>IF(DB4261="","",IF(AND(COUNTIF($DA$2:$DA$47,DB4261)=0,COUNTIF($DB$2:DB4261,DB4261)=1),4260,""))</f>
        <v/>
      </c>
    </row>
    <row r="4262">
      <c r="DB4262">
        <f>IF('История отказов'!BA665="","",'История отказов'!BA665)</f>
        <v/>
      </c>
      <c r="DL4262">
        <f>IF(DB4262="","",IF(AND(COUNTIF($DA$2:$DA$47,DB4262)=0,COUNTIF($DB$2:DB4262,DB4262)=1),4261,""))</f>
        <v/>
      </c>
    </row>
    <row r="4263">
      <c r="DB4263">
        <f>IF('История отказов'!BA666="","",'История отказов'!BA666)</f>
        <v/>
      </c>
      <c r="DL4263">
        <f>IF(DB4263="","",IF(AND(COUNTIF($DA$2:$DA$47,DB4263)=0,COUNTIF($DB$2:DB4263,DB4263)=1),4262,""))</f>
        <v/>
      </c>
    </row>
    <row r="4264">
      <c r="DB4264">
        <f>IF('История отказов'!BA667="","",'История отказов'!BA667)</f>
        <v/>
      </c>
      <c r="DL4264">
        <f>IF(DB4264="","",IF(AND(COUNTIF($DA$2:$DA$47,DB4264)=0,COUNTIF($DB$2:DB4264,DB4264)=1),4263,""))</f>
        <v/>
      </c>
    </row>
    <row r="4265">
      <c r="DB4265">
        <f>IF('История отказов'!BA668="","",'История отказов'!BA668)</f>
        <v/>
      </c>
      <c r="DL4265">
        <f>IF(DB4265="","",IF(AND(COUNTIF($DA$2:$DA$47,DB4265)=0,COUNTIF($DB$2:DB4265,DB4265)=1),4264,""))</f>
        <v/>
      </c>
    </row>
    <row r="4266">
      <c r="DB4266">
        <f>IF('История отказов'!BA669="","",'История отказов'!BA669)</f>
        <v/>
      </c>
      <c r="DL4266">
        <f>IF(DB4266="","",IF(AND(COUNTIF($DA$2:$DA$47,DB4266)=0,COUNTIF($DB$2:DB4266,DB4266)=1),4265,""))</f>
        <v/>
      </c>
    </row>
    <row r="4267">
      <c r="DB4267">
        <f>IF('История отказов'!BA670="","",'История отказов'!BA670)</f>
        <v/>
      </c>
      <c r="DL4267">
        <f>IF(DB4267="","",IF(AND(COUNTIF($DA$2:$DA$47,DB4267)=0,COUNTIF($DB$2:DB4267,DB4267)=1),4266,""))</f>
        <v/>
      </c>
    </row>
    <row r="4268">
      <c r="DB4268">
        <f>IF('История отказов'!BA671="","",'История отказов'!BA671)</f>
        <v/>
      </c>
      <c r="DL4268">
        <f>IF(DB4268="","",IF(AND(COUNTIF($DA$2:$DA$47,DB4268)=0,COUNTIF($DB$2:DB4268,DB4268)=1),4267,""))</f>
        <v/>
      </c>
    </row>
    <row r="4269">
      <c r="DB4269">
        <f>IF('История отказов'!BA672="","",'История отказов'!BA672)</f>
        <v/>
      </c>
      <c r="DL4269">
        <f>IF(DB4269="","",IF(AND(COUNTIF($DA$2:$DA$47,DB4269)=0,COUNTIF($DB$2:DB4269,DB4269)=1),4268,""))</f>
        <v/>
      </c>
    </row>
    <row r="4270">
      <c r="DB4270">
        <f>IF('История отказов'!BA673="","",'История отказов'!BA673)</f>
        <v/>
      </c>
      <c r="DL4270">
        <f>IF(DB4270="","",IF(AND(COUNTIF($DA$2:$DA$47,DB4270)=0,COUNTIF($DB$2:DB4270,DB4270)=1),4269,""))</f>
        <v/>
      </c>
    </row>
    <row r="4271">
      <c r="DB4271">
        <f>IF('История отказов'!BA674="","",'История отказов'!BA674)</f>
        <v/>
      </c>
      <c r="DL4271">
        <f>IF(DB4271="","",IF(AND(COUNTIF($DA$2:$DA$47,DB4271)=0,COUNTIF($DB$2:DB4271,DB4271)=1),4270,""))</f>
        <v/>
      </c>
    </row>
    <row r="4272">
      <c r="DB4272">
        <f>IF('История отказов'!BA675="","",'История отказов'!BA675)</f>
        <v/>
      </c>
      <c r="DL4272">
        <f>IF(DB4272="","",IF(AND(COUNTIF($DA$2:$DA$47,DB4272)=0,COUNTIF($DB$2:DB4272,DB4272)=1),4271,""))</f>
        <v/>
      </c>
    </row>
    <row r="4273">
      <c r="DB4273">
        <f>IF('История отказов'!BA676="","",'История отказов'!BA676)</f>
        <v/>
      </c>
      <c r="DL4273">
        <f>IF(DB4273="","",IF(AND(COUNTIF($DA$2:$DA$47,DB4273)=0,COUNTIF($DB$2:DB4273,DB4273)=1),4272,""))</f>
        <v/>
      </c>
    </row>
    <row r="4274">
      <c r="DB4274">
        <f>IF('История отказов'!BA677="","",'История отказов'!BA677)</f>
        <v/>
      </c>
      <c r="DL4274">
        <f>IF(DB4274="","",IF(AND(COUNTIF($DA$2:$DA$47,DB4274)=0,COUNTIF($DB$2:DB4274,DB4274)=1),4273,""))</f>
        <v/>
      </c>
    </row>
    <row r="4275">
      <c r="DB4275">
        <f>IF('История отказов'!BA678="","",'История отказов'!BA678)</f>
        <v/>
      </c>
      <c r="DL4275">
        <f>IF(DB4275="","",IF(AND(COUNTIF($DA$2:$DA$47,DB4275)=0,COUNTIF($DB$2:DB4275,DB4275)=1),4274,""))</f>
        <v/>
      </c>
    </row>
    <row r="4276">
      <c r="DB4276">
        <f>IF('История отказов'!BA679="","",'История отказов'!BA679)</f>
        <v/>
      </c>
      <c r="DL4276">
        <f>IF(DB4276="","",IF(AND(COUNTIF($DA$2:$DA$47,DB4276)=0,COUNTIF($DB$2:DB4276,DB4276)=1),4275,""))</f>
        <v/>
      </c>
    </row>
    <row r="4277">
      <c r="DB4277">
        <f>IF('История отказов'!BA680="","",'История отказов'!BA680)</f>
        <v/>
      </c>
      <c r="DL4277">
        <f>IF(DB4277="","",IF(AND(COUNTIF($DA$2:$DA$47,DB4277)=0,COUNTIF($DB$2:DB4277,DB4277)=1),4276,""))</f>
        <v/>
      </c>
    </row>
    <row r="4278">
      <c r="DB4278">
        <f>IF('История отказов'!BA681="","",'История отказов'!BA681)</f>
        <v/>
      </c>
      <c r="DL4278">
        <f>IF(DB4278="","",IF(AND(COUNTIF($DA$2:$DA$47,DB4278)=0,COUNTIF($DB$2:DB4278,DB4278)=1),4277,""))</f>
        <v/>
      </c>
    </row>
    <row r="4279">
      <c r="DB4279">
        <f>IF('История отказов'!BA682="","",'История отказов'!BA682)</f>
        <v/>
      </c>
      <c r="DL4279">
        <f>IF(DB4279="","",IF(AND(COUNTIF($DA$2:$DA$47,DB4279)=0,COUNTIF($DB$2:DB4279,DB4279)=1),4278,""))</f>
        <v/>
      </c>
    </row>
    <row r="4280">
      <c r="DB4280">
        <f>IF('История отказов'!BA683="","",'История отказов'!BA683)</f>
        <v/>
      </c>
      <c r="DL4280">
        <f>IF(DB4280="","",IF(AND(COUNTIF($DA$2:$DA$47,DB4280)=0,COUNTIF($DB$2:DB4280,DB4280)=1),4279,""))</f>
        <v/>
      </c>
    </row>
    <row r="4281">
      <c r="DB4281">
        <f>IF('История отказов'!BA684="","",'История отказов'!BA684)</f>
        <v/>
      </c>
      <c r="DL4281">
        <f>IF(DB4281="","",IF(AND(COUNTIF($DA$2:$DA$47,DB4281)=0,COUNTIF($DB$2:DB4281,DB4281)=1),4280,""))</f>
        <v/>
      </c>
    </row>
    <row r="4282">
      <c r="DB4282">
        <f>IF('История отказов'!BA685="","",'История отказов'!BA685)</f>
        <v/>
      </c>
      <c r="DL4282">
        <f>IF(DB4282="","",IF(AND(COUNTIF($DA$2:$DA$47,DB4282)=0,COUNTIF($DB$2:DB4282,DB4282)=1),4281,""))</f>
        <v/>
      </c>
    </row>
    <row r="4283">
      <c r="DB4283">
        <f>IF('История отказов'!BA686="","",'История отказов'!BA686)</f>
        <v/>
      </c>
      <c r="DL4283">
        <f>IF(DB4283="","",IF(AND(COUNTIF($DA$2:$DA$47,DB4283)=0,COUNTIF($DB$2:DB4283,DB4283)=1),4282,""))</f>
        <v/>
      </c>
    </row>
    <row r="4284">
      <c r="DB4284">
        <f>IF('История отказов'!BA687="","",'История отказов'!BA687)</f>
        <v/>
      </c>
      <c r="DL4284">
        <f>IF(DB4284="","",IF(AND(COUNTIF($DA$2:$DA$47,DB4284)=0,COUNTIF($DB$2:DB4284,DB4284)=1),4283,""))</f>
        <v/>
      </c>
    </row>
    <row r="4285">
      <c r="DB4285">
        <f>IF('История отказов'!BA688="","",'История отказов'!BA688)</f>
        <v/>
      </c>
      <c r="DL4285">
        <f>IF(DB4285="","",IF(AND(COUNTIF($DA$2:$DA$47,DB4285)=0,COUNTIF($DB$2:DB4285,DB4285)=1),4284,""))</f>
        <v/>
      </c>
    </row>
    <row r="4286">
      <c r="DB4286">
        <f>IF('История отказов'!BA689="","",'История отказов'!BA689)</f>
        <v/>
      </c>
      <c r="DL4286">
        <f>IF(DB4286="","",IF(AND(COUNTIF($DA$2:$DA$47,DB4286)=0,COUNTIF($DB$2:DB4286,DB4286)=1),4285,""))</f>
        <v/>
      </c>
    </row>
    <row r="4287">
      <c r="DB4287">
        <f>IF('История отказов'!BA690="","",'История отказов'!BA690)</f>
        <v/>
      </c>
      <c r="DL4287">
        <f>IF(DB4287="","",IF(AND(COUNTIF($DA$2:$DA$47,DB4287)=0,COUNTIF($DB$2:DB4287,DB4287)=1),4286,""))</f>
        <v/>
      </c>
    </row>
    <row r="4288">
      <c r="DB4288">
        <f>IF('История отказов'!BA691="","",'История отказов'!BA691)</f>
        <v/>
      </c>
      <c r="DL4288">
        <f>IF(DB4288="","",IF(AND(COUNTIF($DA$2:$DA$47,DB4288)=0,COUNTIF($DB$2:DB4288,DB4288)=1),4287,""))</f>
        <v/>
      </c>
    </row>
    <row r="4289">
      <c r="DB4289">
        <f>IF('История отказов'!BA692="","",'История отказов'!BA692)</f>
        <v/>
      </c>
      <c r="DL4289">
        <f>IF(DB4289="","",IF(AND(COUNTIF($DA$2:$DA$47,DB4289)=0,COUNTIF($DB$2:DB4289,DB4289)=1),4288,""))</f>
        <v/>
      </c>
    </row>
    <row r="4290">
      <c r="DB4290">
        <f>IF('История отказов'!BA693="","",'История отказов'!BA693)</f>
        <v/>
      </c>
      <c r="DL4290">
        <f>IF(DB4290="","",IF(AND(COUNTIF($DA$2:$DA$47,DB4290)=0,COUNTIF($DB$2:DB4290,DB4290)=1),4289,""))</f>
        <v/>
      </c>
    </row>
    <row r="4291">
      <c r="DB4291">
        <f>IF('История отказов'!BA694="","",'История отказов'!BA694)</f>
        <v/>
      </c>
      <c r="DL4291">
        <f>IF(DB4291="","",IF(AND(COUNTIF($DA$2:$DA$47,DB4291)=0,COUNTIF($DB$2:DB4291,DB4291)=1),4290,""))</f>
        <v/>
      </c>
    </row>
    <row r="4292">
      <c r="DB4292">
        <f>IF('История отказов'!BA695="","",'История отказов'!BA695)</f>
        <v/>
      </c>
      <c r="DL4292">
        <f>IF(DB4292="","",IF(AND(COUNTIF($DA$2:$DA$47,DB4292)=0,COUNTIF($DB$2:DB4292,DB4292)=1),4291,""))</f>
        <v/>
      </c>
    </row>
    <row r="4293">
      <c r="DB4293">
        <f>IF('История отказов'!BA696="","",'История отказов'!BA696)</f>
        <v/>
      </c>
      <c r="DL4293">
        <f>IF(DB4293="","",IF(AND(COUNTIF($DA$2:$DA$47,DB4293)=0,COUNTIF($DB$2:DB4293,DB4293)=1),4292,""))</f>
        <v/>
      </c>
    </row>
    <row r="4294">
      <c r="DB4294">
        <f>IF('История отказов'!BA697="","",'История отказов'!BA697)</f>
        <v/>
      </c>
      <c r="DL4294">
        <f>IF(DB4294="","",IF(AND(COUNTIF($DA$2:$DA$47,DB4294)=0,COUNTIF($DB$2:DB4294,DB4294)=1),4293,""))</f>
        <v/>
      </c>
    </row>
    <row r="4295">
      <c r="DB4295">
        <f>IF('История отказов'!BA698="","",'История отказов'!BA698)</f>
        <v/>
      </c>
      <c r="DL4295">
        <f>IF(DB4295="","",IF(AND(COUNTIF($DA$2:$DA$47,DB4295)=0,COUNTIF($DB$2:DB4295,DB4295)=1),4294,""))</f>
        <v/>
      </c>
    </row>
    <row r="4296">
      <c r="DB4296">
        <f>IF('История отказов'!BA699="","",'История отказов'!BA699)</f>
        <v/>
      </c>
      <c r="DL4296">
        <f>IF(DB4296="","",IF(AND(COUNTIF($DA$2:$DA$47,DB4296)=0,COUNTIF($DB$2:DB4296,DB4296)=1),4295,""))</f>
        <v/>
      </c>
    </row>
    <row r="4297">
      <c r="DB4297">
        <f>IF('История отказов'!BA700="","",'История отказов'!BA700)</f>
        <v/>
      </c>
      <c r="DL4297">
        <f>IF(DB4297="","",IF(AND(COUNTIF($DA$2:$DA$47,DB4297)=0,COUNTIF($DB$2:DB4297,DB4297)=1),4296,""))</f>
        <v/>
      </c>
    </row>
    <row r="4298">
      <c r="DB4298">
        <f>IF('История отказов'!BA701="","",'История отказов'!BA701)</f>
        <v/>
      </c>
      <c r="DL4298">
        <f>IF(DB4298="","",IF(AND(COUNTIF($DA$2:$DA$47,DB4298)=0,COUNTIF($DB$2:DB4298,DB4298)=1),4297,""))</f>
        <v/>
      </c>
    </row>
    <row r="4299">
      <c r="DB4299">
        <f>IF('История отказов'!BA702="","",'История отказов'!BA702)</f>
        <v/>
      </c>
      <c r="DL4299">
        <f>IF(DB4299="","",IF(AND(COUNTIF($DA$2:$DA$47,DB4299)=0,COUNTIF($DB$2:DB4299,DB4299)=1),4298,""))</f>
        <v/>
      </c>
    </row>
    <row r="4300">
      <c r="DB4300">
        <f>IF('История отказов'!BA703="","",'История отказов'!BA703)</f>
        <v/>
      </c>
      <c r="DL4300">
        <f>IF(DB4300="","",IF(AND(COUNTIF($DA$2:$DA$47,DB4300)=0,COUNTIF($DB$2:DB4300,DB4300)=1),4299,""))</f>
        <v/>
      </c>
    </row>
    <row r="4301">
      <c r="DB4301">
        <f>IF('История отказов'!BA704="","",'История отказов'!BA704)</f>
        <v/>
      </c>
      <c r="DL4301">
        <f>IF(DB4301="","",IF(AND(COUNTIF($DA$2:$DA$47,DB4301)=0,COUNTIF($DB$2:DB4301,DB4301)=1),4300,""))</f>
        <v/>
      </c>
    </row>
    <row r="4302">
      <c r="DB4302">
        <f>IF('История отказов'!BA705="","",'История отказов'!BA705)</f>
        <v/>
      </c>
      <c r="DL4302">
        <f>IF(DB4302="","",IF(AND(COUNTIF($DA$2:$DA$47,DB4302)=0,COUNTIF($DB$2:DB4302,DB4302)=1),4301,""))</f>
        <v/>
      </c>
    </row>
    <row r="4303">
      <c r="DB4303">
        <f>IF('История отказов'!BA706="","",'История отказов'!BA706)</f>
        <v/>
      </c>
      <c r="DL4303">
        <f>IF(DB4303="","",IF(AND(COUNTIF($DA$2:$DA$47,DB4303)=0,COUNTIF($DB$2:DB4303,DB4303)=1),4302,""))</f>
        <v/>
      </c>
    </row>
    <row r="4304">
      <c r="DB4304">
        <f>IF('История отказов'!BA707="","",'История отказов'!BA707)</f>
        <v/>
      </c>
      <c r="DL4304">
        <f>IF(DB4304="","",IF(AND(COUNTIF($DA$2:$DA$47,DB4304)=0,COUNTIF($DB$2:DB4304,DB4304)=1),4303,""))</f>
        <v/>
      </c>
    </row>
    <row r="4305">
      <c r="DB4305">
        <f>IF('История отказов'!BA708="","",'История отказов'!BA708)</f>
        <v/>
      </c>
      <c r="DL4305">
        <f>IF(DB4305="","",IF(AND(COUNTIF($DA$2:$DA$47,DB4305)=0,COUNTIF($DB$2:DB4305,DB4305)=1),4304,""))</f>
        <v/>
      </c>
    </row>
    <row r="4306">
      <c r="DB4306">
        <f>IF('История отказов'!BA709="","",'История отказов'!BA709)</f>
        <v/>
      </c>
      <c r="DL4306">
        <f>IF(DB4306="","",IF(AND(COUNTIF($DA$2:$DA$47,DB4306)=0,COUNTIF($DB$2:DB4306,DB4306)=1),4305,""))</f>
        <v/>
      </c>
    </row>
    <row r="4307">
      <c r="DB4307">
        <f>IF('История отказов'!BA710="","",'История отказов'!BA710)</f>
        <v/>
      </c>
      <c r="DL4307">
        <f>IF(DB4307="","",IF(AND(COUNTIF($DA$2:$DA$47,DB4307)=0,COUNTIF($DB$2:DB4307,DB4307)=1),4306,""))</f>
        <v/>
      </c>
    </row>
    <row r="4308">
      <c r="DB4308">
        <f>IF('История отказов'!BA711="","",'История отказов'!BA711)</f>
        <v/>
      </c>
      <c r="DL4308">
        <f>IF(DB4308="","",IF(AND(COUNTIF($DA$2:$DA$47,DB4308)=0,COUNTIF($DB$2:DB4308,DB4308)=1),4307,""))</f>
        <v/>
      </c>
    </row>
    <row r="4309">
      <c r="DB4309">
        <f>IF('История отказов'!BA712="","",'История отказов'!BA712)</f>
        <v/>
      </c>
      <c r="DL4309">
        <f>IF(DB4309="","",IF(AND(COUNTIF($DA$2:$DA$47,DB4309)=0,COUNTIF($DB$2:DB4309,DB4309)=1),4308,""))</f>
        <v/>
      </c>
    </row>
    <row r="4310">
      <c r="DB4310">
        <f>IF('История отказов'!BA713="","",'История отказов'!BA713)</f>
        <v/>
      </c>
      <c r="DL4310">
        <f>IF(DB4310="","",IF(AND(COUNTIF($DA$2:$DA$47,DB4310)=0,COUNTIF($DB$2:DB4310,DB4310)=1),4309,""))</f>
        <v/>
      </c>
    </row>
    <row r="4311">
      <c r="DB4311">
        <f>IF('История отказов'!BA714="","",'История отказов'!BA714)</f>
        <v/>
      </c>
      <c r="DL4311">
        <f>IF(DB4311="","",IF(AND(COUNTIF($DA$2:$DA$47,DB4311)=0,COUNTIF($DB$2:DB4311,DB4311)=1),4310,""))</f>
        <v/>
      </c>
    </row>
    <row r="4312">
      <c r="DB4312">
        <f>IF('История отказов'!BA715="","",'История отказов'!BA715)</f>
        <v/>
      </c>
      <c r="DL4312">
        <f>IF(DB4312="","",IF(AND(COUNTIF($DA$2:$DA$47,DB4312)=0,COUNTIF($DB$2:DB4312,DB4312)=1),4311,""))</f>
        <v/>
      </c>
    </row>
    <row r="4313">
      <c r="DB4313">
        <f>IF('История отказов'!BA716="","",'История отказов'!BA716)</f>
        <v/>
      </c>
      <c r="DL4313">
        <f>IF(DB4313="","",IF(AND(COUNTIF($DA$2:$DA$47,DB4313)=0,COUNTIF($DB$2:DB4313,DB4313)=1),4312,""))</f>
        <v/>
      </c>
    </row>
    <row r="4314">
      <c r="DB4314">
        <f>IF('История отказов'!BA717="","",'История отказов'!BA717)</f>
        <v/>
      </c>
      <c r="DL4314">
        <f>IF(DB4314="","",IF(AND(COUNTIF($DA$2:$DA$47,DB4314)=0,COUNTIF($DB$2:DB4314,DB4314)=1),4313,""))</f>
        <v/>
      </c>
    </row>
    <row r="4315">
      <c r="DB4315">
        <f>IF('История отказов'!BA718="","",'История отказов'!BA718)</f>
        <v/>
      </c>
      <c r="DL4315">
        <f>IF(DB4315="","",IF(AND(COUNTIF($DA$2:$DA$47,DB4315)=0,COUNTIF($DB$2:DB4315,DB4315)=1),4314,""))</f>
        <v/>
      </c>
    </row>
    <row r="4316">
      <c r="DB4316">
        <f>IF('История отказов'!BA719="","",'История отказов'!BA719)</f>
        <v/>
      </c>
      <c r="DL4316">
        <f>IF(DB4316="","",IF(AND(COUNTIF($DA$2:$DA$47,DB4316)=0,COUNTIF($DB$2:DB4316,DB4316)=1),4315,""))</f>
        <v/>
      </c>
    </row>
    <row r="4317">
      <c r="DB4317">
        <f>IF('История отказов'!BA720="","",'История отказов'!BA720)</f>
        <v/>
      </c>
      <c r="DL4317">
        <f>IF(DB4317="","",IF(AND(COUNTIF($DA$2:$DA$47,DB4317)=0,COUNTIF($DB$2:DB4317,DB4317)=1),4316,""))</f>
        <v/>
      </c>
    </row>
    <row r="4318">
      <c r="DB4318">
        <f>IF('История отказов'!BA721="","",'История отказов'!BA721)</f>
        <v/>
      </c>
      <c r="DL4318">
        <f>IF(DB4318="","",IF(AND(COUNTIF($DA$2:$DA$47,DB4318)=0,COUNTIF($DB$2:DB4318,DB4318)=1),4317,""))</f>
        <v/>
      </c>
    </row>
    <row r="4319">
      <c r="DB4319">
        <f>IF('История отказов'!BA722="","",'История отказов'!BA722)</f>
        <v/>
      </c>
      <c r="DL4319">
        <f>IF(DB4319="","",IF(AND(COUNTIF($DA$2:$DA$47,DB4319)=0,COUNTIF($DB$2:DB4319,DB4319)=1),4318,""))</f>
        <v/>
      </c>
    </row>
    <row r="4320">
      <c r="DB4320">
        <f>IF('История отказов'!BA723="","",'История отказов'!BA723)</f>
        <v/>
      </c>
      <c r="DL4320">
        <f>IF(DB4320="","",IF(AND(COUNTIF($DA$2:$DA$47,DB4320)=0,COUNTIF($DB$2:DB4320,DB4320)=1),4319,""))</f>
        <v/>
      </c>
    </row>
    <row r="4321">
      <c r="DB4321">
        <f>IF('История отказов'!BA724="","",'История отказов'!BA724)</f>
        <v/>
      </c>
      <c r="DL4321">
        <f>IF(DB4321="","",IF(AND(COUNTIF($DA$2:$DA$47,DB4321)=0,COUNTIF($DB$2:DB4321,DB4321)=1),4320,""))</f>
        <v/>
      </c>
    </row>
    <row r="4322">
      <c r="DB4322">
        <f>IF('История отказов'!BA725="","",'История отказов'!BA725)</f>
        <v/>
      </c>
      <c r="DL4322">
        <f>IF(DB4322="","",IF(AND(COUNTIF($DA$2:$DA$47,DB4322)=0,COUNTIF($DB$2:DB4322,DB4322)=1),4321,""))</f>
        <v/>
      </c>
    </row>
    <row r="4323">
      <c r="DB4323">
        <f>IF('История отказов'!BA726="","",'История отказов'!BA726)</f>
        <v/>
      </c>
      <c r="DL4323">
        <f>IF(DB4323="","",IF(AND(COUNTIF($DA$2:$DA$47,DB4323)=0,COUNTIF($DB$2:DB4323,DB4323)=1),4322,""))</f>
        <v/>
      </c>
    </row>
    <row r="4324">
      <c r="DB4324">
        <f>IF('История отказов'!BA727="","",'История отказов'!BA727)</f>
        <v/>
      </c>
      <c r="DL4324">
        <f>IF(DB4324="","",IF(AND(COUNTIF($DA$2:$DA$47,DB4324)=0,COUNTIF($DB$2:DB4324,DB4324)=1),4323,""))</f>
        <v/>
      </c>
    </row>
    <row r="4325">
      <c r="DB4325">
        <f>IF('История отказов'!BA728="","",'История отказов'!BA728)</f>
        <v/>
      </c>
      <c r="DL4325">
        <f>IF(DB4325="","",IF(AND(COUNTIF($DA$2:$DA$47,DB4325)=0,COUNTIF($DB$2:DB4325,DB4325)=1),4324,""))</f>
        <v/>
      </c>
    </row>
    <row r="4326">
      <c r="DB4326">
        <f>IF('История отказов'!BA729="","",'История отказов'!BA729)</f>
        <v/>
      </c>
      <c r="DL4326">
        <f>IF(DB4326="","",IF(AND(COUNTIF($DA$2:$DA$47,DB4326)=0,COUNTIF($DB$2:DB4326,DB4326)=1),4325,""))</f>
        <v/>
      </c>
    </row>
    <row r="4327">
      <c r="DB4327">
        <f>IF('История отказов'!BA730="","",'История отказов'!BA730)</f>
        <v/>
      </c>
      <c r="DL4327">
        <f>IF(DB4327="","",IF(AND(COUNTIF($DA$2:$DA$47,DB4327)=0,COUNTIF($DB$2:DB4327,DB4327)=1),4326,""))</f>
        <v/>
      </c>
    </row>
    <row r="4328">
      <c r="DB4328">
        <f>IF('История отказов'!BA731="","",'История отказов'!BA731)</f>
        <v/>
      </c>
      <c r="DL4328">
        <f>IF(DB4328="","",IF(AND(COUNTIF($DA$2:$DA$47,DB4328)=0,COUNTIF($DB$2:DB4328,DB4328)=1),4327,""))</f>
        <v/>
      </c>
    </row>
    <row r="4329">
      <c r="DB4329">
        <f>IF('История отказов'!BA732="","",'История отказов'!BA732)</f>
        <v/>
      </c>
      <c r="DL4329">
        <f>IF(DB4329="","",IF(AND(COUNTIF($DA$2:$DA$47,DB4329)=0,COUNTIF($DB$2:DB4329,DB4329)=1),4328,""))</f>
        <v/>
      </c>
    </row>
    <row r="4330">
      <c r="DB4330">
        <f>IF('История отказов'!BA733="","",'История отказов'!BA733)</f>
        <v/>
      </c>
      <c r="DL4330">
        <f>IF(DB4330="","",IF(AND(COUNTIF($DA$2:$DA$47,DB4330)=0,COUNTIF($DB$2:DB4330,DB4330)=1),4329,""))</f>
        <v/>
      </c>
    </row>
    <row r="4331">
      <c r="DB4331">
        <f>IF('История отказов'!BA734="","",'История отказов'!BA734)</f>
        <v/>
      </c>
      <c r="DL4331">
        <f>IF(DB4331="","",IF(AND(COUNTIF($DA$2:$DA$47,DB4331)=0,COUNTIF($DB$2:DB4331,DB4331)=1),4330,""))</f>
        <v/>
      </c>
    </row>
    <row r="4332">
      <c r="DB4332">
        <f>IF('История отказов'!BA735="","",'История отказов'!BA735)</f>
        <v/>
      </c>
      <c r="DL4332">
        <f>IF(DB4332="","",IF(AND(COUNTIF($DA$2:$DA$47,DB4332)=0,COUNTIF($DB$2:DB4332,DB4332)=1),4331,""))</f>
        <v/>
      </c>
    </row>
    <row r="4333">
      <c r="DB4333">
        <f>IF('История отказов'!BA736="","",'История отказов'!BA736)</f>
        <v/>
      </c>
      <c r="DL4333">
        <f>IF(DB4333="","",IF(AND(COUNTIF($DA$2:$DA$47,DB4333)=0,COUNTIF($DB$2:DB4333,DB4333)=1),4332,""))</f>
        <v/>
      </c>
    </row>
    <row r="4334">
      <c r="DB4334">
        <f>IF('История отказов'!BA737="","",'История отказов'!BA737)</f>
        <v/>
      </c>
      <c r="DL4334">
        <f>IF(DB4334="","",IF(AND(COUNTIF($DA$2:$DA$47,DB4334)=0,COUNTIF($DB$2:DB4334,DB4334)=1),4333,""))</f>
        <v/>
      </c>
    </row>
    <row r="4335">
      <c r="DB4335">
        <f>IF('История отказов'!BA738="","",'История отказов'!BA738)</f>
        <v/>
      </c>
      <c r="DL4335">
        <f>IF(DB4335="","",IF(AND(COUNTIF($DA$2:$DA$47,DB4335)=0,COUNTIF($DB$2:DB4335,DB4335)=1),4334,""))</f>
        <v/>
      </c>
    </row>
    <row r="4336">
      <c r="DB4336">
        <f>IF('История отказов'!BA739="","",'История отказов'!BA739)</f>
        <v/>
      </c>
      <c r="DL4336">
        <f>IF(DB4336="","",IF(AND(COUNTIF($DA$2:$DA$47,DB4336)=0,COUNTIF($DB$2:DB4336,DB4336)=1),4335,""))</f>
        <v/>
      </c>
    </row>
    <row r="4337">
      <c r="DB4337">
        <f>IF('История отказов'!BA740="","",'История отказов'!BA740)</f>
        <v/>
      </c>
      <c r="DL4337">
        <f>IF(DB4337="","",IF(AND(COUNTIF($DA$2:$DA$47,DB4337)=0,COUNTIF($DB$2:DB4337,DB4337)=1),4336,""))</f>
        <v/>
      </c>
    </row>
    <row r="4338">
      <c r="DB4338">
        <f>IF('История отказов'!BA741="","",'История отказов'!BA741)</f>
        <v/>
      </c>
      <c r="DL4338">
        <f>IF(DB4338="","",IF(AND(COUNTIF($DA$2:$DA$47,DB4338)=0,COUNTIF($DB$2:DB4338,DB4338)=1),4337,""))</f>
        <v/>
      </c>
    </row>
    <row r="4339">
      <c r="DB4339">
        <f>IF('История отказов'!BA742="","",'История отказов'!BA742)</f>
        <v/>
      </c>
      <c r="DL4339">
        <f>IF(DB4339="","",IF(AND(COUNTIF($DA$2:$DA$47,DB4339)=0,COUNTIF($DB$2:DB4339,DB4339)=1),4338,""))</f>
        <v/>
      </c>
    </row>
    <row r="4340">
      <c r="DB4340">
        <f>IF('История отказов'!BA743="","",'История отказов'!BA743)</f>
        <v/>
      </c>
      <c r="DL4340">
        <f>IF(DB4340="","",IF(AND(COUNTIF($DA$2:$DA$47,DB4340)=0,COUNTIF($DB$2:DB4340,DB4340)=1),4339,""))</f>
        <v/>
      </c>
    </row>
    <row r="4341">
      <c r="DB4341">
        <f>IF('История отказов'!BA744="","",'История отказов'!BA744)</f>
        <v/>
      </c>
      <c r="DL4341">
        <f>IF(DB4341="","",IF(AND(COUNTIF($DA$2:$DA$47,DB4341)=0,COUNTIF($DB$2:DB4341,DB4341)=1),4340,""))</f>
        <v/>
      </c>
    </row>
    <row r="4342">
      <c r="DB4342">
        <f>IF('История отказов'!BA745="","",'История отказов'!BA745)</f>
        <v/>
      </c>
      <c r="DL4342">
        <f>IF(DB4342="","",IF(AND(COUNTIF($DA$2:$DA$47,DB4342)=0,COUNTIF($DB$2:DB4342,DB4342)=1),4341,""))</f>
        <v/>
      </c>
    </row>
    <row r="4343">
      <c r="DB4343">
        <f>IF('История отказов'!BA746="","",'История отказов'!BA746)</f>
        <v/>
      </c>
      <c r="DL4343">
        <f>IF(DB4343="","",IF(AND(COUNTIF($DA$2:$DA$47,DB4343)=0,COUNTIF($DB$2:DB4343,DB4343)=1),4342,""))</f>
        <v/>
      </c>
    </row>
    <row r="4344">
      <c r="DB4344">
        <f>IF('История отказов'!BA747="","",'История отказов'!BA747)</f>
        <v/>
      </c>
      <c r="DL4344">
        <f>IF(DB4344="","",IF(AND(COUNTIF($DA$2:$DA$47,DB4344)=0,COUNTIF($DB$2:DB4344,DB4344)=1),4343,""))</f>
        <v/>
      </c>
    </row>
    <row r="4345">
      <c r="DB4345">
        <f>IF('История отказов'!BA748="","",'История отказов'!BA748)</f>
        <v/>
      </c>
      <c r="DL4345">
        <f>IF(DB4345="","",IF(AND(COUNTIF($DA$2:$DA$47,DB4345)=0,COUNTIF($DB$2:DB4345,DB4345)=1),4344,""))</f>
        <v/>
      </c>
    </row>
    <row r="4346">
      <c r="DB4346">
        <f>IF('История отказов'!BA749="","",'История отказов'!BA749)</f>
        <v/>
      </c>
      <c r="DL4346">
        <f>IF(DB4346="","",IF(AND(COUNTIF($DA$2:$DA$47,DB4346)=0,COUNTIF($DB$2:DB4346,DB4346)=1),4345,""))</f>
        <v/>
      </c>
    </row>
    <row r="4347">
      <c r="DB4347">
        <f>IF('История отказов'!BA750="","",'История отказов'!BA750)</f>
        <v/>
      </c>
      <c r="DL4347">
        <f>IF(DB4347="","",IF(AND(COUNTIF($DA$2:$DA$47,DB4347)=0,COUNTIF($DB$2:DB4347,DB4347)=1),4346,""))</f>
        <v/>
      </c>
    </row>
    <row r="4348">
      <c r="DB4348">
        <f>IF('История отказов'!BA751="","",'История отказов'!BA751)</f>
        <v/>
      </c>
      <c r="DL4348">
        <f>IF(DB4348="","",IF(AND(COUNTIF($DA$2:$DA$47,DB4348)=0,COUNTIF($DB$2:DB4348,DB4348)=1),4347,""))</f>
        <v/>
      </c>
    </row>
    <row r="4349">
      <c r="DB4349">
        <f>IF('История отказов'!BA752="","",'История отказов'!BA752)</f>
        <v/>
      </c>
      <c r="DL4349">
        <f>IF(DB4349="","",IF(AND(COUNTIF($DA$2:$DA$47,DB4349)=0,COUNTIF($DB$2:DB4349,DB4349)=1),4348,""))</f>
        <v/>
      </c>
    </row>
    <row r="4350">
      <c r="DB4350">
        <f>IF('История отказов'!BA753="","",'История отказов'!BA753)</f>
        <v/>
      </c>
      <c r="DL4350">
        <f>IF(DB4350="","",IF(AND(COUNTIF($DA$2:$DA$47,DB4350)=0,COUNTIF($DB$2:DB4350,DB4350)=1),4349,""))</f>
        <v/>
      </c>
    </row>
    <row r="4351">
      <c r="DB4351">
        <f>IF('История отказов'!BA754="","",'История отказов'!BA754)</f>
        <v/>
      </c>
      <c r="DL4351">
        <f>IF(DB4351="","",IF(AND(COUNTIF($DA$2:$DA$47,DB4351)=0,COUNTIF($DB$2:DB4351,DB4351)=1),4350,""))</f>
        <v/>
      </c>
    </row>
    <row r="4352">
      <c r="DB4352">
        <f>IF('История отказов'!BA755="","",'История отказов'!BA755)</f>
        <v/>
      </c>
      <c r="DL4352">
        <f>IF(DB4352="","",IF(AND(COUNTIF($DA$2:$DA$47,DB4352)=0,COUNTIF($DB$2:DB4352,DB4352)=1),4351,""))</f>
        <v/>
      </c>
    </row>
    <row r="4353">
      <c r="DB4353">
        <f>IF('История отказов'!BA756="","",'История отказов'!BA756)</f>
        <v/>
      </c>
      <c r="DL4353">
        <f>IF(DB4353="","",IF(AND(COUNTIF($DA$2:$DA$47,DB4353)=0,COUNTIF($DB$2:DB4353,DB4353)=1),4352,""))</f>
        <v/>
      </c>
    </row>
    <row r="4354">
      <c r="DB4354">
        <f>IF('История отказов'!BA757="","",'История отказов'!BA757)</f>
        <v/>
      </c>
      <c r="DL4354">
        <f>IF(DB4354="","",IF(AND(COUNTIF($DA$2:$DA$47,DB4354)=0,COUNTIF($DB$2:DB4354,DB4354)=1),4353,""))</f>
        <v/>
      </c>
    </row>
    <row r="4355">
      <c r="DB4355">
        <f>IF('История отказов'!BA758="","",'История отказов'!BA758)</f>
        <v/>
      </c>
      <c r="DL4355">
        <f>IF(DB4355="","",IF(AND(COUNTIF($DA$2:$DA$47,DB4355)=0,COUNTIF($DB$2:DB4355,DB4355)=1),4354,""))</f>
        <v/>
      </c>
    </row>
    <row r="4356">
      <c r="DB4356">
        <f>IF('История отказов'!BA759="","",'История отказов'!BA759)</f>
        <v/>
      </c>
      <c r="DL4356">
        <f>IF(DB4356="","",IF(AND(COUNTIF($DA$2:$DA$47,DB4356)=0,COUNTIF($DB$2:DB4356,DB4356)=1),4355,""))</f>
        <v/>
      </c>
    </row>
    <row r="4357">
      <c r="DB4357">
        <f>IF('История отказов'!BA760="","",'История отказов'!BA760)</f>
        <v/>
      </c>
      <c r="DL4357">
        <f>IF(DB4357="","",IF(AND(COUNTIF($DA$2:$DA$47,DB4357)=0,COUNTIF($DB$2:DB4357,DB4357)=1),4356,""))</f>
        <v/>
      </c>
    </row>
    <row r="4358">
      <c r="DB4358">
        <f>IF('История отказов'!BA761="","",'История отказов'!BA761)</f>
        <v/>
      </c>
      <c r="DL4358">
        <f>IF(DB4358="","",IF(AND(COUNTIF($DA$2:$DA$47,DB4358)=0,COUNTIF($DB$2:DB4358,DB4358)=1),4357,""))</f>
        <v/>
      </c>
    </row>
    <row r="4359">
      <c r="DB4359">
        <f>IF('История отказов'!BA762="","",'История отказов'!BA762)</f>
        <v/>
      </c>
      <c r="DL4359">
        <f>IF(DB4359="","",IF(AND(COUNTIF($DA$2:$DA$47,DB4359)=0,COUNTIF($DB$2:DB4359,DB4359)=1),4358,""))</f>
        <v/>
      </c>
    </row>
    <row r="4360">
      <c r="DB4360">
        <f>IF('История отказов'!BA763="","",'История отказов'!BA763)</f>
        <v/>
      </c>
      <c r="DL4360">
        <f>IF(DB4360="","",IF(AND(COUNTIF($DA$2:$DA$47,DB4360)=0,COUNTIF($DB$2:DB4360,DB4360)=1),4359,""))</f>
        <v/>
      </c>
    </row>
    <row r="4361">
      <c r="DB4361">
        <f>IF('История отказов'!BA764="","",'История отказов'!BA764)</f>
        <v/>
      </c>
      <c r="DL4361">
        <f>IF(DB4361="","",IF(AND(COUNTIF($DA$2:$DA$47,DB4361)=0,COUNTIF($DB$2:DB4361,DB4361)=1),4360,""))</f>
        <v/>
      </c>
    </row>
    <row r="4362">
      <c r="DB4362">
        <f>IF('История отказов'!BA765="","",'История отказов'!BA765)</f>
        <v/>
      </c>
      <c r="DL4362">
        <f>IF(DB4362="","",IF(AND(COUNTIF($DA$2:$DA$47,DB4362)=0,COUNTIF($DB$2:DB4362,DB4362)=1),4361,""))</f>
        <v/>
      </c>
    </row>
    <row r="4363">
      <c r="DB4363">
        <f>IF('История отказов'!BA766="","",'История отказов'!BA766)</f>
        <v/>
      </c>
      <c r="DL4363">
        <f>IF(DB4363="","",IF(AND(COUNTIF($DA$2:$DA$47,DB4363)=0,COUNTIF($DB$2:DB4363,DB4363)=1),4362,""))</f>
        <v/>
      </c>
    </row>
    <row r="4364">
      <c r="DB4364">
        <f>IF('История отказов'!BA767="","",'История отказов'!BA767)</f>
        <v/>
      </c>
      <c r="DL4364">
        <f>IF(DB4364="","",IF(AND(COUNTIF($DA$2:$DA$47,DB4364)=0,COUNTIF($DB$2:DB4364,DB4364)=1),4363,""))</f>
        <v/>
      </c>
    </row>
    <row r="4365">
      <c r="DB4365">
        <f>IF('История отказов'!BA768="","",'История отказов'!BA768)</f>
        <v/>
      </c>
      <c r="DL4365">
        <f>IF(DB4365="","",IF(AND(COUNTIF($DA$2:$DA$47,DB4365)=0,COUNTIF($DB$2:DB4365,DB4365)=1),4364,""))</f>
        <v/>
      </c>
    </row>
    <row r="4366">
      <c r="DB4366">
        <f>IF('История отказов'!BA769="","",'История отказов'!BA769)</f>
        <v/>
      </c>
      <c r="DL4366">
        <f>IF(DB4366="","",IF(AND(COUNTIF($DA$2:$DA$47,DB4366)=0,COUNTIF($DB$2:DB4366,DB4366)=1),4365,""))</f>
        <v/>
      </c>
    </row>
    <row r="4367">
      <c r="DB4367">
        <f>IF('История отказов'!BA770="","",'История отказов'!BA770)</f>
        <v/>
      </c>
      <c r="DL4367">
        <f>IF(DB4367="","",IF(AND(COUNTIF($DA$2:$DA$47,DB4367)=0,COUNTIF($DB$2:DB4367,DB4367)=1),4366,""))</f>
        <v/>
      </c>
    </row>
    <row r="4368">
      <c r="DB4368">
        <f>IF('История отказов'!BA771="","",'История отказов'!BA771)</f>
        <v/>
      </c>
      <c r="DL4368">
        <f>IF(DB4368="","",IF(AND(COUNTIF($DA$2:$DA$47,DB4368)=0,COUNTIF($DB$2:DB4368,DB4368)=1),4367,""))</f>
        <v/>
      </c>
    </row>
    <row r="4369">
      <c r="DB4369">
        <f>IF('История отказов'!BA772="","",'История отказов'!BA772)</f>
        <v/>
      </c>
      <c r="DL4369">
        <f>IF(DB4369="","",IF(AND(COUNTIF($DA$2:$DA$47,DB4369)=0,COUNTIF($DB$2:DB4369,DB4369)=1),4368,""))</f>
        <v/>
      </c>
    </row>
    <row r="4370">
      <c r="DB4370">
        <f>IF('История отказов'!BA773="","",'История отказов'!BA773)</f>
        <v/>
      </c>
      <c r="DL4370">
        <f>IF(DB4370="","",IF(AND(COUNTIF($DA$2:$DA$47,DB4370)=0,COUNTIF($DB$2:DB4370,DB4370)=1),4369,""))</f>
        <v/>
      </c>
    </row>
    <row r="4371">
      <c r="DB4371">
        <f>IF('История отказов'!BA774="","",'История отказов'!BA774)</f>
        <v/>
      </c>
      <c r="DL4371">
        <f>IF(DB4371="","",IF(AND(COUNTIF($DA$2:$DA$47,DB4371)=0,COUNTIF($DB$2:DB4371,DB4371)=1),4370,""))</f>
        <v/>
      </c>
    </row>
    <row r="4372">
      <c r="DB4372">
        <f>IF('История отказов'!BA775="","",'История отказов'!BA775)</f>
        <v/>
      </c>
      <c r="DL4372">
        <f>IF(DB4372="","",IF(AND(COUNTIF($DA$2:$DA$47,DB4372)=0,COUNTIF($DB$2:DB4372,DB4372)=1),4371,""))</f>
        <v/>
      </c>
    </row>
    <row r="4373">
      <c r="DB4373">
        <f>IF('История отказов'!BA776="","",'История отказов'!BA776)</f>
        <v/>
      </c>
      <c r="DL4373">
        <f>IF(DB4373="","",IF(AND(COUNTIF($DA$2:$DA$47,DB4373)=0,COUNTIF($DB$2:DB4373,DB4373)=1),4372,""))</f>
        <v/>
      </c>
    </row>
    <row r="4374">
      <c r="DB4374">
        <f>IF('История отказов'!BA777="","",'История отказов'!BA777)</f>
        <v/>
      </c>
      <c r="DL4374">
        <f>IF(DB4374="","",IF(AND(COUNTIF($DA$2:$DA$47,DB4374)=0,COUNTIF($DB$2:DB4374,DB4374)=1),4373,""))</f>
        <v/>
      </c>
    </row>
    <row r="4375">
      <c r="DB4375">
        <f>IF('История отказов'!BA778="","",'История отказов'!BA778)</f>
        <v/>
      </c>
      <c r="DL4375">
        <f>IF(DB4375="","",IF(AND(COUNTIF($DA$2:$DA$47,DB4375)=0,COUNTIF($DB$2:DB4375,DB4375)=1),4374,""))</f>
        <v/>
      </c>
    </row>
    <row r="4376">
      <c r="DB4376">
        <f>IF('История отказов'!BA779="","",'История отказов'!BA779)</f>
        <v/>
      </c>
      <c r="DL4376">
        <f>IF(DB4376="","",IF(AND(COUNTIF($DA$2:$DA$47,DB4376)=0,COUNTIF($DB$2:DB4376,DB4376)=1),4375,""))</f>
        <v/>
      </c>
    </row>
    <row r="4377">
      <c r="DB4377">
        <f>IF('История отказов'!BA780="","",'История отказов'!BA780)</f>
        <v/>
      </c>
      <c r="DL4377">
        <f>IF(DB4377="","",IF(AND(COUNTIF($DA$2:$DA$47,DB4377)=0,COUNTIF($DB$2:DB4377,DB4377)=1),4376,""))</f>
        <v/>
      </c>
    </row>
    <row r="4378">
      <c r="DB4378">
        <f>IF('История отказов'!BA781="","",'История отказов'!BA781)</f>
        <v/>
      </c>
      <c r="DL4378">
        <f>IF(DB4378="","",IF(AND(COUNTIF($DA$2:$DA$47,DB4378)=0,COUNTIF($DB$2:DB4378,DB4378)=1),4377,""))</f>
        <v/>
      </c>
    </row>
    <row r="4379">
      <c r="DB4379">
        <f>IF('История отказов'!BA782="","",'История отказов'!BA782)</f>
        <v/>
      </c>
      <c r="DL4379">
        <f>IF(DB4379="","",IF(AND(COUNTIF($DA$2:$DA$47,DB4379)=0,COUNTIF($DB$2:DB4379,DB4379)=1),4378,""))</f>
        <v/>
      </c>
    </row>
    <row r="4380">
      <c r="DB4380">
        <f>IF('История отказов'!BA783="","",'История отказов'!BA783)</f>
        <v/>
      </c>
      <c r="DL4380">
        <f>IF(DB4380="","",IF(AND(COUNTIF($DA$2:$DA$47,DB4380)=0,COUNTIF($DB$2:DB4380,DB4380)=1),4379,""))</f>
        <v/>
      </c>
    </row>
    <row r="4381">
      <c r="DB4381">
        <f>IF('История отказов'!BA784="","",'История отказов'!BA784)</f>
        <v/>
      </c>
      <c r="DL4381">
        <f>IF(DB4381="","",IF(AND(COUNTIF($DA$2:$DA$47,DB4381)=0,COUNTIF($DB$2:DB4381,DB4381)=1),4380,""))</f>
        <v/>
      </c>
    </row>
    <row r="4382">
      <c r="DB4382">
        <f>IF('История отказов'!BA785="","",'История отказов'!BA785)</f>
        <v/>
      </c>
      <c r="DL4382">
        <f>IF(DB4382="","",IF(AND(COUNTIF($DA$2:$DA$47,DB4382)=0,COUNTIF($DB$2:DB4382,DB4382)=1),4381,""))</f>
        <v/>
      </c>
    </row>
    <row r="4383">
      <c r="DB4383">
        <f>IF('История отказов'!BA786="","",'История отказов'!BA786)</f>
        <v/>
      </c>
      <c r="DL4383">
        <f>IF(DB4383="","",IF(AND(COUNTIF($DA$2:$DA$47,DB4383)=0,COUNTIF($DB$2:DB4383,DB4383)=1),4382,""))</f>
        <v/>
      </c>
    </row>
    <row r="4384">
      <c r="DB4384">
        <f>IF('История отказов'!BA787="","",'История отказов'!BA787)</f>
        <v/>
      </c>
      <c r="DL4384">
        <f>IF(DB4384="","",IF(AND(COUNTIF($DA$2:$DA$47,DB4384)=0,COUNTIF($DB$2:DB4384,DB4384)=1),4383,""))</f>
        <v/>
      </c>
    </row>
    <row r="4385">
      <c r="DB4385">
        <f>IF('История отказов'!BA788="","",'История отказов'!BA788)</f>
        <v/>
      </c>
      <c r="DL4385">
        <f>IF(DB4385="","",IF(AND(COUNTIF($DA$2:$DA$47,DB4385)=0,COUNTIF($DB$2:DB4385,DB4385)=1),4384,""))</f>
        <v/>
      </c>
    </row>
    <row r="4386">
      <c r="DB4386">
        <f>IF('История отказов'!BA789="","",'История отказов'!BA789)</f>
        <v/>
      </c>
      <c r="DL4386">
        <f>IF(DB4386="","",IF(AND(COUNTIF($DA$2:$DA$47,DB4386)=0,COUNTIF($DB$2:DB4386,DB4386)=1),4385,""))</f>
        <v/>
      </c>
    </row>
    <row r="4387">
      <c r="DB4387">
        <f>IF('История отказов'!BA790="","",'История отказов'!BA790)</f>
        <v/>
      </c>
      <c r="DL4387">
        <f>IF(DB4387="","",IF(AND(COUNTIF($DA$2:$DA$47,DB4387)=0,COUNTIF($DB$2:DB4387,DB4387)=1),4386,""))</f>
        <v/>
      </c>
    </row>
    <row r="4388">
      <c r="DB4388">
        <f>IF('История отказов'!BA791="","",'История отказов'!BA791)</f>
        <v/>
      </c>
      <c r="DL4388">
        <f>IF(DB4388="","",IF(AND(COUNTIF($DA$2:$DA$47,DB4388)=0,COUNTIF($DB$2:DB4388,DB4388)=1),4387,""))</f>
        <v/>
      </c>
    </row>
    <row r="4389">
      <c r="DB4389">
        <f>IF('История отказов'!BA792="","",'История отказов'!BA792)</f>
        <v/>
      </c>
      <c r="DL4389">
        <f>IF(DB4389="","",IF(AND(COUNTIF($DA$2:$DA$47,DB4389)=0,COUNTIF($DB$2:DB4389,DB4389)=1),4388,""))</f>
        <v/>
      </c>
    </row>
    <row r="4390">
      <c r="DB4390">
        <f>IF('История отказов'!BA793="","",'История отказов'!BA793)</f>
        <v/>
      </c>
      <c r="DL4390">
        <f>IF(DB4390="","",IF(AND(COUNTIF($DA$2:$DA$47,DB4390)=0,COUNTIF($DB$2:DB4390,DB4390)=1),4389,""))</f>
        <v/>
      </c>
    </row>
    <row r="4391">
      <c r="DB4391">
        <f>IF('История отказов'!BA794="","",'История отказов'!BA794)</f>
        <v/>
      </c>
      <c r="DL4391">
        <f>IF(DB4391="","",IF(AND(COUNTIF($DA$2:$DA$47,DB4391)=0,COUNTIF($DB$2:DB4391,DB4391)=1),4390,""))</f>
        <v/>
      </c>
    </row>
    <row r="4392">
      <c r="DB4392">
        <f>IF('История отказов'!BA795="","",'История отказов'!BA795)</f>
        <v/>
      </c>
      <c r="DL4392">
        <f>IF(DB4392="","",IF(AND(COUNTIF($DA$2:$DA$47,DB4392)=0,COUNTIF($DB$2:DB4392,DB4392)=1),4391,""))</f>
        <v/>
      </c>
    </row>
    <row r="4393">
      <c r="DB4393">
        <f>IF('История отказов'!BA796="","",'История отказов'!BA796)</f>
        <v/>
      </c>
      <c r="DL4393">
        <f>IF(DB4393="","",IF(AND(COUNTIF($DA$2:$DA$47,DB4393)=0,COUNTIF($DB$2:DB4393,DB4393)=1),4392,""))</f>
        <v/>
      </c>
    </row>
    <row r="4394">
      <c r="DB4394">
        <f>IF('История отказов'!BA797="","",'История отказов'!BA797)</f>
        <v/>
      </c>
      <c r="DL4394">
        <f>IF(DB4394="","",IF(AND(COUNTIF($DA$2:$DA$47,DB4394)=0,COUNTIF($DB$2:DB4394,DB4394)=1),4393,""))</f>
        <v/>
      </c>
    </row>
    <row r="4395">
      <c r="DB4395">
        <f>IF('История отказов'!BA798="","",'История отказов'!BA798)</f>
        <v/>
      </c>
      <c r="DL4395">
        <f>IF(DB4395="","",IF(AND(COUNTIF($DA$2:$DA$47,DB4395)=0,COUNTIF($DB$2:DB4395,DB4395)=1),4394,""))</f>
        <v/>
      </c>
    </row>
    <row r="4396">
      <c r="DB4396">
        <f>IF('История отказов'!BA799="","",'История отказов'!BA799)</f>
        <v/>
      </c>
      <c r="DL4396">
        <f>IF(DB4396="","",IF(AND(COUNTIF($DA$2:$DA$47,DB4396)=0,COUNTIF($DB$2:DB4396,DB4396)=1),4395,""))</f>
        <v/>
      </c>
    </row>
    <row r="4397">
      <c r="DB4397">
        <f>IF('История отказов'!BA800="","",'История отказов'!BA800)</f>
        <v/>
      </c>
      <c r="DL4397">
        <f>IF(DB4397="","",IF(AND(COUNTIF($DA$2:$DA$47,DB4397)=0,COUNTIF($DB$2:DB4397,DB4397)=1),4396,""))</f>
        <v/>
      </c>
    </row>
    <row r="4398">
      <c r="DB4398">
        <f>IF('История отказов'!BA801="","",'История отказов'!BA801)</f>
        <v/>
      </c>
      <c r="DL4398">
        <f>IF(DB4398="","",IF(AND(COUNTIF($DA$2:$DA$47,DB4398)=0,COUNTIF($DB$2:DB4398,DB4398)=1),4397,""))</f>
        <v/>
      </c>
    </row>
    <row r="4399">
      <c r="DB4399">
        <f>IF('История отказов'!BA802="","",'История отказов'!BA802)</f>
        <v/>
      </c>
      <c r="DL4399">
        <f>IF(DB4399="","",IF(AND(COUNTIF($DA$2:$DA$47,DB4399)=0,COUNTIF($DB$2:DB4399,DB4399)=1),4398,""))</f>
        <v/>
      </c>
    </row>
    <row r="4400">
      <c r="DB4400">
        <f>IF('История отказов'!BA803="","",'История отказов'!BA803)</f>
        <v/>
      </c>
      <c r="DL4400">
        <f>IF(DB4400="","",IF(AND(COUNTIF($DA$2:$DA$47,DB4400)=0,COUNTIF($DB$2:DB4400,DB4400)=1),4399,""))</f>
        <v/>
      </c>
    </row>
    <row r="4401">
      <c r="DB4401">
        <f>IF('История отказов'!BA804="","",'История отказов'!BA804)</f>
        <v/>
      </c>
      <c r="DL4401">
        <f>IF(DB4401="","",IF(AND(COUNTIF($DA$2:$DA$47,DB4401)=0,COUNTIF($DB$2:DB4401,DB4401)=1),4400,""))</f>
        <v/>
      </c>
    </row>
    <row r="4402">
      <c r="DB4402">
        <f>IF('История отказов'!BA805="","",'История отказов'!BA805)</f>
        <v/>
      </c>
      <c r="DL4402">
        <f>IF(DB4402="","",IF(AND(COUNTIF($DA$2:$DA$47,DB4402)=0,COUNTIF($DB$2:DB4402,DB4402)=1),4401,""))</f>
        <v/>
      </c>
    </row>
    <row r="4403">
      <c r="DB4403">
        <f>IF('История отказов'!BA806="","",'История отказов'!BA806)</f>
        <v/>
      </c>
      <c r="DL4403">
        <f>IF(DB4403="","",IF(AND(COUNTIF($DA$2:$DA$47,DB4403)=0,COUNTIF($DB$2:DB4403,DB4403)=1),4402,""))</f>
        <v/>
      </c>
    </row>
    <row r="4404">
      <c r="DB4404">
        <f>IF('История отказов'!BA807="","",'История отказов'!BA807)</f>
        <v/>
      </c>
      <c r="DL4404">
        <f>IF(DB4404="","",IF(AND(COUNTIF($DA$2:$DA$47,DB4404)=0,COUNTIF($DB$2:DB4404,DB4404)=1),4403,""))</f>
        <v/>
      </c>
    </row>
    <row r="4405">
      <c r="DB4405">
        <f>IF('История отказов'!BA808="","",'История отказов'!BA808)</f>
        <v/>
      </c>
      <c r="DL4405">
        <f>IF(DB4405="","",IF(AND(COUNTIF($DA$2:$DA$47,DB4405)=0,COUNTIF($DB$2:DB4405,DB4405)=1),4404,""))</f>
        <v/>
      </c>
    </row>
    <row r="4406">
      <c r="DB4406">
        <f>IF('История отказов'!BA809="","",'История отказов'!BA809)</f>
        <v/>
      </c>
      <c r="DL4406">
        <f>IF(DB4406="","",IF(AND(COUNTIF($DA$2:$DA$47,DB4406)=0,COUNTIF($DB$2:DB4406,DB4406)=1),4405,""))</f>
        <v/>
      </c>
    </row>
    <row r="4407">
      <c r="DB4407">
        <f>IF('История отказов'!BA810="","",'История отказов'!BA810)</f>
        <v/>
      </c>
      <c r="DL4407">
        <f>IF(DB4407="","",IF(AND(COUNTIF($DA$2:$DA$47,DB4407)=0,COUNTIF($DB$2:DB4407,DB4407)=1),4406,""))</f>
        <v/>
      </c>
    </row>
    <row r="4408">
      <c r="DB4408">
        <f>IF('История отказов'!BA811="","",'История отказов'!BA811)</f>
        <v/>
      </c>
      <c r="DL4408">
        <f>IF(DB4408="","",IF(AND(COUNTIF($DA$2:$DA$47,DB4408)=0,COUNTIF($DB$2:DB4408,DB4408)=1),4407,""))</f>
        <v/>
      </c>
    </row>
    <row r="4409">
      <c r="DB4409">
        <f>IF('История отказов'!BA812="","",'История отказов'!BA812)</f>
        <v/>
      </c>
      <c r="DL4409">
        <f>IF(DB4409="","",IF(AND(COUNTIF($DA$2:$DA$47,DB4409)=0,COUNTIF($DB$2:DB4409,DB4409)=1),4408,""))</f>
        <v/>
      </c>
    </row>
    <row r="4410">
      <c r="DB4410">
        <f>IF('История отказов'!BA813="","",'История отказов'!BA813)</f>
        <v/>
      </c>
      <c r="DL4410">
        <f>IF(DB4410="","",IF(AND(COUNTIF($DA$2:$DA$47,DB4410)=0,COUNTIF($DB$2:DB4410,DB4410)=1),4409,""))</f>
        <v/>
      </c>
    </row>
    <row r="4411">
      <c r="DB4411">
        <f>IF('История отказов'!BA814="","",'История отказов'!BA814)</f>
        <v/>
      </c>
      <c r="DL4411">
        <f>IF(DB4411="","",IF(AND(COUNTIF($DA$2:$DA$47,DB4411)=0,COUNTIF($DB$2:DB4411,DB4411)=1),4410,""))</f>
        <v/>
      </c>
    </row>
    <row r="4412">
      <c r="DB4412">
        <f>IF('История отказов'!BA815="","",'История отказов'!BA815)</f>
        <v/>
      </c>
      <c r="DL4412">
        <f>IF(DB4412="","",IF(AND(COUNTIF($DA$2:$DA$47,DB4412)=0,COUNTIF($DB$2:DB4412,DB4412)=1),4411,""))</f>
        <v/>
      </c>
    </row>
    <row r="4413">
      <c r="DB4413">
        <f>IF('История отказов'!BA816="","",'История отказов'!BA816)</f>
        <v/>
      </c>
      <c r="DL4413">
        <f>IF(DB4413="","",IF(AND(COUNTIF($DA$2:$DA$47,DB4413)=0,COUNTIF($DB$2:DB4413,DB4413)=1),4412,""))</f>
        <v/>
      </c>
    </row>
    <row r="4414">
      <c r="DB4414">
        <f>IF('История отказов'!BA817="","",'История отказов'!BA817)</f>
        <v/>
      </c>
      <c r="DL4414">
        <f>IF(DB4414="","",IF(AND(COUNTIF($DA$2:$DA$47,DB4414)=0,COUNTIF($DB$2:DB4414,DB4414)=1),4413,""))</f>
        <v/>
      </c>
    </row>
    <row r="4415">
      <c r="DB4415">
        <f>IF('История отказов'!BA818="","",'История отказов'!BA818)</f>
        <v/>
      </c>
      <c r="DL4415">
        <f>IF(DB4415="","",IF(AND(COUNTIF($DA$2:$DA$47,DB4415)=0,COUNTIF($DB$2:DB4415,DB4415)=1),4414,""))</f>
        <v/>
      </c>
    </row>
    <row r="4416">
      <c r="DB4416">
        <f>IF('История отказов'!BA819="","",'История отказов'!BA819)</f>
        <v/>
      </c>
      <c r="DL4416">
        <f>IF(DB4416="","",IF(AND(COUNTIF($DA$2:$DA$47,DB4416)=0,COUNTIF($DB$2:DB4416,DB4416)=1),4415,""))</f>
        <v/>
      </c>
    </row>
    <row r="4417">
      <c r="DB4417">
        <f>IF('История отказов'!BA820="","",'История отказов'!BA820)</f>
        <v/>
      </c>
      <c r="DL4417">
        <f>IF(DB4417="","",IF(AND(COUNTIF($DA$2:$DA$47,DB4417)=0,COUNTIF($DB$2:DB4417,DB4417)=1),4416,""))</f>
        <v/>
      </c>
    </row>
    <row r="4418">
      <c r="DB4418">
        <f>IF('История отказов'!BA821="","",'История отказов'!BA821)</f>
        <v/>
      </c>
      <c r="DL4418">
        <f>IF(DB4418="","",IF(AND(COUNTIF($DA$2:$DA$47,DB4418)=0,COUNTIF($DB$2:DB4418,DB4418)=1),4417,""))</f>
        <v/>
      </c>
    </row>
    <row r="4419">
      <c r="DB4419">
        <f>IF('История отказов'!BA822="","",'История отказов'!BA822)</f>
        <v/>
      </c>
      <c r="DL4419">
        <f>IF(DB4419="","",IF(AND(COUNTIF($DA$2:$DA$47,DB4419)=0,COUNTIF($DB$2:DB4419,DB4419)=1),4418,""))</f>
        <v/>
      </c>
    </row>
    <row r="4420">
      <c r="DB4420">
        <f>IF('История отказов'!BA823="","",'История отказов'!BA823)</f>
        <v/>
      </c>
      <c r="DL4420">
        <f>IF(DB4420="","",IF(AND(COUNTIF($DA$2:$DA$47,DB4420)=0,COUNTIF($DB$2:DB4420,DB4420)=1),4419,""))</f>
        <v/>
      </c>
    </row>
    <row r="4421">
      <c r="DB4421">
        <f>IF('История отказов'!BA824="","",'История отказов'!BA824)</f>
        <v/>
      </c>
      <c r="DL4421">
        <f>IF(DB4421="","",IF(AND(COUNTIF($DA$2:$DA$47,DB4421)=0,COUNTIF($DB$2:DB4421,DB4421)=1),4420,""))</f>
        <v/>
      </c>
    </row>
    <row r="4422">
      <c r="DB4422">
        <f>IF('История отказов'!BA825="","",'История отказов'!BA825)</f>
        <v/>
      </c>
      <c r="DL4422">
        <f>IF(DB4422="","",IF(AND(COUNTIF($DA$2:$DA$47,DB4422)=0,COUNTIF($DB$2:DB4422,DB4422)=1),4421,""))</f>
        <v/>
      </c>
    </row>
    <row r="4423">
      <c r="DB4423">
        <f>IF('История отказов'!BA826="","",'История отказов'!BA826)</f>
        <v/>
      </c>
      <c r="DL4423">
        <f>IF(DB4423="","",IF(AND(COUNTIF($DA$2:$DA$47,DB4423)=0,COUNTIF($DB$2:DB4423,DB4423)=1),4422,""))</f>
        <v/>
      </c>
    </row>
    <row r="4424">
      <c r="DB4424">
        <f>IF('История отказов'!BA827="","",'История отказов'!BA827)</f>
        <v/>
      </c>
      <c r="DL4424">
        <f>IF(DB4424="","",IF(AND(COUNTIF($DA$2:$DA$47,DB4424)=0,COUNTIF($DB$2:DB4424,DB4424)=1),4423,""))</f>
        <v/>
      </c>
    </row>
    <row r="4425">
      <c r="DB4425">
        <f>IF('История отказов'!BA828="","",'История отказов'!BA828)</f>
        <v/>
      </c>
      <c r="DL4425">
        <f>IF(DB4425="","",IF(AND(COUNTIF($DA$2:$DA$47,DB4425)=0,COUNTIF($DB$2:DB4425,DB4425)=1),4424,""))</f>
        <v/>
      </c>
    </row>
    <row r="4426">
      <c r="DB4426">
        <f>IF('История отказов'!BA829="","",'История отказов'!BA829)</f>
        <v/>
      </c>
      <c r="DL4426">
        <f>IF(DB4426="","",IF(AND(COUNTIF($DA$2:$DA$47,DB4426)=0,COUNTIF($DB$2:DB4426,DB4426)=1),4425,""))</f>
        <v/>
      </c>
    </row>
    <row r="4427">
      <c r="DB4427">
        <f>IF('История отказов'!BA830="","",'История отказов'!BA830)</f>
        <v/>
      </c>
      <c r="DL4427">
        <f>IF(DB4427="","",IF(AND(COUNTIF($DA$2:$DA$47,DB4427)=0,COUNTIF($DB$2:DB4427,DB4427)=1),4426,""))</f>
        <v/>
      </c>
    </row>
    <row r="4428">
      <c r="DB4428">
        <f>IF('История отказов'!BA831="","",'История отказов'!BA831)</f>
        <v/>
      </c>
      <c r="DL4428">
        <f>IF(DB4428="","",IF(AND(COUNTIF($DA$2:$DA$47,DB4428)=0,COUNTIF($DB$2:DB4428,DB4428)=1),4427,""))</f>
        <v/>
      </c>
    </row>
    <row r="4429">
      <c r="DB4429">
        <f>IF('История отказов'!BA832="","",'История отказов'!BA832)</f>
        <v/>
      </c>
      <c r="DL4429">
        <f>IF(DB4429="","",IF(AND(COUNTIF($DA$2:$DA$47,DB4429)=0,COUNTIF($DB$2:DB4429,DB4429)=1),4428,""))</f>
        <v/>
      </c>
    </row>
    <row r="4430">
      <c r="DB4430">
        <f>IF('История отказов'!BA833="","",'История отказов'!BA833)</f>
        <v/>
      </c>
      <c r="DL4430">
        <f>IF(DB4430="","",IF(AND(COUNTIF($DA$2:$DA$47,DB4430)=0,COUNTIF($DB$2:DB4430,DB4430)=1),4429,""))</f>
        <v/>
      </c>
    </row>
    <row r="4431">
      <c r="DB4431">
        <f>IF('История отказов'!BA834="","",'История отказов'!BA834)</f>
        <v/>
      </c>
      <c r="DL4431">
        <f>IF(DB4431="","",IF(AND(COUNTIF($DA$2:$DA$47,DB4431)=0,COUNTIF($DB$2:DB4431,DB4431)=1),4430,""))</f>
        <v/>
      </c>
    </row>
    <row r="4432">
      <c r="DB4432">
        <f>IF('История отказов'!BA835="","",'История отказов'!BA835)</f>
        <v/>
      </c>
      <c r="DL4432">
        <f>IF(DB4432="","",IF(AND(COUNTIF($DA$2:$DA$47,DB4432)=0,COUNTIF($DB$2:DB4432,DB4432)=1),4431,""))</f>
        <v/>
      </c>
    </row>
    <row r="4433">
      <c r="DB4433">
        <f>IF('История отказов'!BA836="","",'История отказов'!BA836)</f>
        <v/>
      </c>
      <c r="DL4433">
        <f>IF(DB4433="","",IF(AND(COUNTIF($DA$2:$DA$47,DB4433)=0,COUNTIF($DB$2:DB4433,DB4433)=1),4432,""))</f>
        <v/>
      </c>
    </row>
    <row r="4434">
      <c r="DB4434">
        <f>IF('История отказов'!BA837="","",'История отказов'!BA837)</f>
        <v/>
      </c>
      <c r="DL4434">
        <f>IF(DB4434="","",IF(AND(COUNTIF($DA$2:$DA$47,DB4434)=0,COUNTIF($DB$2:DB4434,DB4434)=1),4433,""))</f>
        <v/>
      </c>
    </row>
    <row r="4435">
      <c r="DB4435">
        <f>IF('История отказов'!BA838="","",'История отказов'!BA838)</f>
        <v/>
      </c>
      <c r="DL4435">
        <f>IF(DB4435="","",IF(AND(COUNTIF($DA$2:$DA$47,DB4435)=0,COUNTIF($DB$2:DB4435,DB4435)=1),4434,""))</f>
        <v/>
      </c>
    </row>
    <row r="4436">
      <c r="DB4436">
        <f>IF('История отказов'!BA839="","",'История отказов'!BA839)</f>
        <v/>
      </c>
      <c r="DL4436">
        <f>IF(DB4436="","",IF(AND(COUNTIF($DA$2:$DA$47,DB4436)=0,COUNTIF($DB$2:DB4436,DB4436)=1),4435,""))</f>
        <v/>
      </c>
    </row>
    <row r="4437">
      <c r="DB4437">
        <f>IF('История отказов'!BA840="","",'История отказов'!BA840)</f>
        <v/>
      </c>
      <c r="DL4437">
        <f>IF(DB4437="","",IF(AND(COUNTIF($DA$2:$DA$47,DB4437)=0,COUNTIF($DB$2:DB4437,DB4437)=1),4436,""))</f>
        <v/>
      </c>
    </row>
    <row r="4438">
      <c r="DB4438">
        <f>IF('История отказов'!BA841="","",'История отказов'!BA841)</f>
        <v/>
      </c>
      <c r="DL4438">
        <f>IF(DB4438="","",IF(AND(COUNTIF($DA$2:$DA$47,DB4438)=0,COUNTIF($DB$2:DB4438,DB4438)=1),4437,""))</f>
        <v/>
      </c>
    </row>
    <row r="4439">
      <c r="DB4439">
        <f>IF('История отказов'!BA842="","",'История отказов'!BA842)</f>
        <v/>
      </c>
      <c r="DL4439">
        <f>IF(DB4439="","",IF(AND(COUNTIF($DA$2:$DA$47,DB4439)=0,COUNTIF($DB$2:DB4439,DB4439)=1),4438,""))</f>
        <v/>
      </c>
    </row>
    <row r="4440">
      <c r="DB4440">
        <f>IF('История отказов'!BA843="","",'История отказов'!BA843)</f>
        <v/>
      </c>
      <c r="DL4440">
        <f>IF(DB4440="","",IF(AND(COUNTIF($DA$2:$DA$47,DB4440)=0,COUNTIF($DB$2:DB4440,DB4440)=1),4439,""))</f>
        <v/>
      </c>
    </row>
    <row r="4441">
      <c r="DB4441">
        <f>IF('История отказов'!BA844="","",'История отказов'!BA844)</f>
        <v/>
      </c>
      <c r="DL4441">
        <f>IF(DB4441="","",IF(AND(COUNTIF($DA$2:$DA$47,DB4441)=0,COUNTIF($DB$2:DB4441,DB4441)=1),4440,""))</f>
        <v/>
      </c>
    </row>
    <row r="4442">
      <c r="DB4442">
        <f>IF('История отказов'!BA845="","",'История отказов'!BA845)</f>
        <v/>
      </c>
      <c r="DL4442">
        <f>IF(DB4442="","",IF(AND(COUNTIF($DA$2:$DA$47,DB4442)=0,COUNTIF($DB$2:DB4442,DB4442)=1),4441,""))</f>
        <v/>
      </c>
    </row>
    <row r="4443">
      <c r="DB4443">
        <f>IF('История отказов'!BA846="","",'История отказов'!BA846)</f>
        <v/>
      </c>
      <c r="DL4443">
        <f>IF(DB4443="","",IF(AND(COUNTIF($DA$2:$DA$47,DB4443)=0,COUNTIF($DB$2:DB4443,DB4443)=1),4442,""))</f>
        <v/>
      </c>
    </row>
    <row r="4444">
      <c r="DB4444">
        <f>IF('История отказов'!BA847="","",'История отказов'!BA847)</f>
        <v/>
      </c>
      <c r="DL4444">
        <f>IF(DB4444="","",IF(AND(COUNTIF($DA$2:$DA$47,DB4444)=0,COUNTIF($DB$2:DB4444,DB4444)=1),4443,""))</f>
        <v/>
      </c>
    </row>
    <row r="4445">
      <c r="DB4445">
        <f>IF('История отказов'!BA848="","",'История отказов'!BA848)</f>
        <v/>
      </c>
      <c r="DL4445">
        <f>IF(DB4445="","",IF(AND(COUNTIF($DA$2:$DA$47,DB4445)=0,COUNTIF($DB$2:DB4445,DB4445)=1),4444,""))</f>
        <v/>
      </c>
    </row>
    <row r="4446">
      <c r="DB4446">
        <f>IF('История отказов'!BA849="","",'История отказов'!BA849)</f>
        <v/>
      </c>
      <c r="DL4446">
        <f>IF(DB4446="","",IF(AND(COUNTIF($DA$2:$DA$47,DB4446)=0,COUNTIF($DB$2:DB4446,DB4446)=1),4445,""))</f>
        <v/>
      </c>
    </row>
    <row r="4447">
      <c r="DB4447">
        <f>IF('История отказов'!BA850="","",'История отказов'!BA850)</f>
        <v/>
      </c>
      <c r="DL4447">
        <f>IF(DB4447="","",IF(AND(COUNTIF($DA$2:$DA$47,DB4447)=0,COUNTIF($DB$2:DB4447,DB4447)=1),4446,""))</f>
        <v/>
      </c>
    </row>
    <row r="4448">
      <c r="DB4448">
        <f>IF('История отказов'!BA851="","",'История отказов'!BA851)</f>
        <v/>
      </c>
      <c r="DL4448">
        <f>IF(DB4448="","",IF(AND(COUNTIF($DA$2:$DA$47,DB4448)=0,COUNTIF($DB$2:DB4448,DB4448)=1),4447,""))</f>
        <v/>
      </c>
    </row>
    <row r="4449">
      <c r="DB4449">
        <f>IF('История отказов'!BA852="","",'История отказов'!BA852)</f>
        <v/>
      </c>
      <c r="DL4449">
        <f>IF(DB4449="","",IF(AND(COUNTIF($DA$2:$DA$47,DB4449)=0,COUNTIF($DB$2:DB4449,DB4449)=1),4448,""))</f>
        <v/>
      </c>
    </row>
    <row r="4450">
      <c r="DB4450">
        <f>IF('История отказов'!BA853="","",'История отказов'!BA853)</f>
        <v/>
      </c>
      <c r="DL4450">
        <f>IF(DB4450="","",IF(AND(COUNTIF($DA$2:$DA$47,DB4450)=0,COUNTIF($DB$2:DB4450,DB4450)=1),4449,""))</f>
        <v/>
      </c>
    </row>
    <row r="4451">
      <c r="DB4451">
        <f>IF('История отказов'!BA854="","",'История отказов'!BA854)</f>
        <v/>
      </c>
      <c r="DL4451">
        <f>IF(DB4451="","",IF(AND(COUNTIF($DA$2:$DA$47,DB4451)=0,COUNTIF($DB$2:DB4451,DB4451)=1),4450,""))</f>
        <v/>
      </c>
    </row>
    <row r="4452">
      <c r="DB4452">
        <f>IF('История отказов'!BA855="","",'История отказов'!BA855)</f>
        <v/>
      </c>
      <c r="DL4452">
        <f>IF(DB4452="","",IF(AND(COUNTIF($DA$2:$DA$47,DB4452)=0,COUNTIF($DB$2:DB4452,DB4452)=1),4451,""))</f>
        <v/>
      </c>
    </row>
    <row r="4453">
      <c r="DB4453">
        <f>IF('История отказов'!BA856="","",'История отказов'!BA856)</f>
        <v/>
      </c>
      <c r="DL4453">
        <f>IF(DB4453="","",IF(AND(COUNTIF($DA$2:$DA$47,DB4453)=0,COUNTIF($DB$2:DB4453,DB4453)=1),4452,""))</f>
        <v/>
      </c>
    </row>
    <row r="4454">
      <c r="DB4454">
        <f>IF('История отказов'!BA857="","",'История отказов'!BA857)</f>
        <v/>
      </c>
      <c r="DL4454">
        <f>IF(DB4454="","",IF(AND(COUNTIF($DA$2:$DA$47,DB4454)=0,COUNTIF($DB$2:DB4454,DB4454)=1),4453,""))</f>
        <v/>
      </c>
    </row>
    <row r="4455">
      <c r="DB4455">
        <f>IF('История отказов'!BA858="","",'История отказов'!BA858)</f>
        <v/>
      </c>
      <c r="DL4455">
        <f>IF(DB4455="","",IF(AND(COUNTIF($DA$2:$DA$47,DB4455)=0,COUNTIF($DB$2:DB4455,DB4455)=1),4454,""))</f>
        <v/>
      </c>
    </row>
    <row r="4456">
      <c r="DB4456">
        <f>IF('История отказов'!BA859="","",'История отказов'!BA859)</f>
        <v/>
      </c>
      <c r="DL4456">
        <f>IF(DB4456="","",IF(AND(COUNTIF($DA$2:$DA$47,DB4456)=0,COUNTIF($DB$2:DB4456,DB4456)=1),4455,""))</f>
        <v/>
      </c>
    </row>
    <row r="4457">
      <c r="DB4457">
        <f>IF('История отказов'!BA860="","",'История отказов'!BA860)</f>
        <v/>
      </c>
      <c r="DL4457">
        <f>IF(DB4457="","",IF(AND(COUNTIF($DA$2:$DA$47,DB4457)=0,COUNTIF($DB$2:DB4457,DB4457)=1),4456,""))</f>
        <v/>
      </c>
    </row>
    <row r="4458">
      <c r="DB4458">
        <f>IF('История отказов'!BA861="","",'История отказов'!BA861)</f>
        <v/>
      </c>
      <c r="DL4458">
        <f>IF(DB4458="","",IF(AND(COUNTIF($DA$2:$DA$47,DB4458)=0,COUNTIF($DB$2:DB4458,DB4458)=1),4457,""))</f>
        <v/>
      </c>
    </row>
    <row r="4459">
      <c r="DB4459">
        <f>IF('История отказов'!BA862="","",'История отказов'!BA862)</f>
        <v/>
      </c>
      <c r="DL4459">
        <f>IF(DB4459="","",IF(AND(COUNTIF($DA$2:$DA$47,DB4459)=0,COUNTIF($DB$2:DB4459,DB4459)=1),4458,""))</f>
        <v/>
      </c>
    </row>
    <row r="4460">
      <c r="DB4460">
        <f>IF('История отказов'!BA863="","",'История отказов'!BA863)</f>
        <v/>
      </c>
      <c r="DL4460">
        <f>IF(DB4460="","",IF(AND(COUNTIF($DA$2:$DA$47,DB4460)=0,COUNTIF($DB$2:DB4460,DB4460)=1),4459,""))</f>
        <v/>
      </c>
    </row>
    <row r="4461">
      <c r="DB4461">
        <f>IF('История отказов'!BA864="","",'История отказов'!BA864)</f>
        <v/>
      </c>
      <c r="DL4461">
        <f>IF(DB4461="","",IF(AND(COUNTIF($DA$2:$DA$47,DB4461)=0,COUNTIF($DB$2:DB4461,DB4461)=1),4460,""))</f>
        <v/>
      </c>
    </row>
    <row r="4462">
      <c r="DB4462">
        <f>IF('История отказов'!BA865="","",'История отказов'!BA865)</f>
        <v/>
      </c>
      <c r="DL4462">
        <f>IF(DB4462="","",IF(AND(COUNTIF($DA$2:$DA$47,DB4462)=0,COUNTIF($DB$2:DB4462,DB4462)=1),4461,""))</f>
        <v/>
      </c>
    </row>
    <row r="4463">
      <c r="DB4463">
        <f>IF('История отказов'!BA866="","",'История отказов'!BA866)</f>
        <v/>
      </c>
      <c r="DL4463">
        <f>IF(DB4463="","",IF(AND(COUNTIF($DA$2:$DA$47,DB4463)=0,COUNTIF($DB$2:DB4463,DB4463)=1),4462,""))</f>
        <v/>
      </c>
    </row>
    <row r="4464">
      <c r="DB4464">
        <f>IF('История отказов'!BA867="","",'История отказов'!BA867)</f>
        <v/>
      </c>
      <c r="DL4464">
        <f>IF(DB4464="","",IF(AND(COUNTIF($DA$2:$DA$47,DB4464)=0,COUNTIF($DB$2:DB4464,DB4464)=1),4463,""))</f>
        <v/>
      </c>
    </row>
    <row r="4465">
      <c r="DB4465">
        <f>IF('История отказов'!BA868="","",'История отказов'!BA868)</f>
        <v/>
      </c>
      <c r="DL4465">
        <f>IF(DB4465="","",IF(AND(COUNTIF($DA$2:$DA$47,DB4465)=0,COUNTIF($DB$2:DB4465,DB4465)=1),4464,""))</f>
        <v/>
      </c>
    </row>
    <row r="4466">
      <c r="DB4466">
        <f>IF('История отказов'!BA869="","",'История отказов'!BA869)</f>
        <v/>
      </c>
      <c r="DL4466">
        <f>IF(DB4466="","",IF(AND(COUNTIF($DA$2:$DA$47,DB4466)=0,COUNTIF($DB$2:DB4466,DB4466)=1),4465,""))</f>
        <v/>
      </c>
    </row>
    <row r="4467">
      <c r="DB4467">
        <f>IF('История отказов'!BA870="","",'История отказов'!BA870)</f>
        <v/>
      </c>
      <c r="DL4467">
        <f>IF(DB4467="","",IF(AND(COUNTIF($DA$2:$DA$47,DB4467)=0,COUNTIF($DB$2:DB4467,DB4467)=1),4466,""))</f>
        <v/>
      </c>
    </row>
    <row r="4468">
      <c r="DB4468">
        <f>IF('История отказов'!BA871="","",'История отказов'!BA871)</f>
        <v/>
      </c>
      <c r="DL4468">
        <f>IF(DB4468="","",IF(AND(COUNTIF($DA$2:$DA$47,DB4468)=0,COUNTIF($DB$2:DB4468,DB4468)=1),4467,""))</f>
        <v/>
      </c>
    </row>
    <row r="4469">
      <c r="DB4469">
        <f>IF('История отказов'!BA872="","",'История отказов'!BA872)</f>
        <v/>
      </c>
      <c r="DL4469">
        <f>IF(DB4469="","",IF(AND(COUNTIF($DA$2:$DA$47,DB4469)=0,COUNTIF($DB$2:DB4469,DB4469)=1),4468,""))</f>
        <v/>
      </c>
    </row>
    <row r="4470">
      <c r="DB4470">
        <f>IF('История отказов'!BA873="","",'История отказов'!BA873)</f>
        <v/>
      </c>
      <c r="DL4470">
        <f>IF(DB4470="","",IF(AND(COUNTIF($DA$2:$DA$47,DB4470)=0,COUNTIF($DB$2:DB4470,DB4470)=1),4469,""))</f>
        <v/>
      </c>
    </row>
    <row r="4471">
      <c r="DB4471">
        <f>IF('История отказов'!BA874="","",'История отказов'!BA874)</f>
        <v/>
      </c>
      <c r="DL4471">
        <f>IF(DB4471="","",IF(AND(COUNTIF($DA$2:$DA$47,DB4471)=0,COUNTIF($DB$2:DB4471,DB4471)=1),4470,""))</f>
        <v/>
      </c>
    </row>
    <row r="4472">
      <c r="DB4472">
        <f>IF('История отказов'!BA875="","",'История отказов'!BA875)</f>
        <v/>
      </c>
      <c r="DL4472">
        <f>IF(DB4472="","",IF(AND(COUNTIF($DA$2:$DA$47,DB4472)=0,COUNTIF($DB$2:DB4472,DB4472)=1),4471,""))</f>
        <v/>
      </c>
    </row>
    <row r="4473">
      <c r="DB4473">
        <f>IF('История отказов'!BA876="","",'История отказов'!BA876)</f>
        <v/>
      </c>
      <c r="DL4473">
        <f>IF(DB4473="","",IF(AND(COUNTIF($DA$2:$DA$47,DB4473)=0,COUNTIF($DB$2:DB4473,DB4473)=1),4472,""))</f>
        <v/>
      </c>
    </row>
    <row r="4474">
      <c r="DB4474">
        <f>IF('История отказов'!BA877="","",'История отказов'!BA877)</f>
        <v/>
      </c>
      <c r="DL4474">
        <f>IF(DB4474="","",IF(AND(COUNTIF($DA$2:$DA$47,DB4474)=0,COUNTIF($DB$2:DB4474,DB4474)=1),4473,""))</f>
        <v/>
      </c>
    </row>
    <row r="4475">
      <c r="DB4475">
        <f>IF('История отказов'!BA878="","",'История отказов'!BA878)</f>
        <v/>
      </c>
      <c r="DL4475">
        <f>IF(DB4475="","",IF(AND(COUNTIF($DA$2:$DA$47,DB4475)=0,COUNTIF($DB$2:DB4475,DB4475)=1),4474,""))</f>
        <v/>
      </c>
    </row>
    <row r="4476">
      <c r="DB4476">
        <f>IF('История отказов'!BA879="","",'История отказов'!BA879)</f>
        <v/>
      </c>
      <c r="DL4476">
        <f>IF(DB4476="","",IF(AND(COUNTIF($DA$2:$DA$47,DB4476)=0,COUNTIF($DB$2:DB4476,DB4476)=1),4475,""))</f>
        <v/>
      </c>
    </row>
    <row r="4477">
      <c r="DB4477">
        <f>IF('История отказов'!BA880="","",'История отказов'!BA880)</f>
        <v/>
      </c>
      <c r="DL4477">
        <f>IF(DB4477="","",IF(AND(COUNTIF($DA$2:$DA$47,DB4477)=0,COUNTIF($DB$2:DB4477,DB4477)=1),4476,""))</f>
        <v/>
      </c>
    </row>
    <row r="4478">
      <c r="DB4478">
        <f>IF('История отказов'!BA881="","",'История отказов'!BA881)</f>
        <v/>
      </c>
      <c r="DL4478">
        <f>IF(DB4478="","",IF(AND(COUNTIF($DA$2:$DA$47,DB4478)=0,COUNTIF($DB$2:DB4478,DB4478)=1),4477,""))</f>
        <v/>
      </c>
    </row>
    <row r="4479">
      <c r="DB4479">
        <f>IF('История отказов'!BA882="","",'История отказов'!BA882)</f>
        <v/>
      </c>
      <c r="DL4479">
        <f>IF(DB4479="","",IF(AND(COUNTIF($DA$2:$DA$47,DB4479)=0,COUNTIF($DB$2:DB4479,DB4479)=1),4478,""))</f>
        <v/>
      </c>
    </row>
    <row r="4480">
      <c r="DB4480">
        <f>IF('История отказов'!BA883="","",'История отказов'!BA883)</f>
        <v/>
      </c>
      <c r="DL4480">
        <f>IF(DB4480="","",IF(AND(COUNTIF($DA$2:$DA$47,DB4480)=0,COUNTIF($DB$2:DB4480,DB4480)=1),4479,""))</f>
        <v/>
      </c>
    </row>
    <row r="4481">
      <c r="DB4481">
        <f>IF('История отказов'!BA884="","",'История отказов'!BA884)</f>
        <v/>
      </c>
      <c r="DL4481">
        <f>IF(DB4481="","",IF(AND(COUNTIF($DA$2:$DA$47,DB4481)=0,COUNTIF($DB$2:DB4481,DB4481)=1),4480,""))</f>
        <v/>
      </c>
    </row>
    <row r="4482">
      <c r="DB4482">
        <f>IF('История отказов'!BA885="","",'История отказов'!BA885)</f>
        <v/>
      </c>
      <c r="DL4482">
        <f>IF(DB4482="","",IF(AND(COUNTIF($DA$2:$DA$47,DB4482)=0,COUNTIF($DB$2:DB4482,DB4482)=1),4481,""))</f>
        <v/>
      </c>
    </row>
    <row r="4483">
      <c r="DB4483">
        <f>IF('История отказов'!BA886="","",'История отказов'!BA886)</f>
        <v/>
      </c>
      <c r="DL4483">
        <f>IF(DB4483="","",IF(AND(COUNTIF($DA$2:$DA$47,DB4483)=0,COUNTIF($DB$2:DB4483,DB4483)=1),4482,""))</f>
        <v/>
      </c>
    </row>
    <row r="4484">
      <c r="DB4484">
        <f>IF('История отказов'!BA887="","",'История отказов'!BA887)</f>
        <v/>
      </c>
      <c r="DL4484">
        <f>IF(DB4484="","",IF(AND(COUNTIF($DA$2:$DA$47,DB4484)=0,COUNTIF($DB$2:DB4484,DB4484)=1),4483,""))</f>
        <v/>
      </c>
    </row>
    <row r="4485">
      <c r="DB4485">
        <f>IF('История отказов'!BA888="","",'История отказов'!BA888)</f>
        <v/>
      </c>
      <c r="DL4485">
        <f>IF(DB4485="","",IF(AND(COUNTIF($DA$2:$DA$47,DB4485)=0,COUNTIF($DB$2:DB4485,DB4485)=1),4484,""))</f>
        <v/>
      </c>
    </row>
    <row r="4486">
      <c r="DB4486">
        <f>IF('История отказов'!BA889="","",'История отказов'!BA889)</f>
        <v/>
      </c>
      <c r="DL4486">
        <f>IF(DB4486="","",IF(AND(COUNTIF($DA$2:$DA$47,DB4486)=0,COUNTIF($DB$2:DB4486,DB4486)=1),4485,""))</f>
        <v/>
      </c>
    </row>
    <row r="4487">
      <c r="DB4487">
        <f>IF('История отказов'!BA890="","",'История отказов'!BA890)</f>
        <v/>
      </c>
      <c r="DL4487">
        <f>IF(DB4487="","",IF(AND(COUNTIF($DA$2:$DA$47,DB4487)=0,COUNTIF($DB$2:DB4487,DB4487)=1),4486,""))</f>
        <v/>
      </c>
    </row>
    <row r="4488">
      <c r="DB4488">
        <f>IF('История отказов'!BA891="","",'История отказов'!BA891)</f>
        <v/>
      </c>
      <c r="DL4488">
        <f>IF(DB4488="","",IF(AND(COUNTIF($DA$2:$DA$47,DB4488)=0,COUNTIF($DB$2:DB4488,DB4488)=1),4487,""))</f>
        <v/>
      </c>
    </row>
    <row r="4489">
      <c r="DB4489">
        <f>IF('История отказов'!BA892="","",'История отказов'!BA892)</f>
        <v/>
      </c>
      <c r="DL4489">
        <f>IF(DB4489="","",IF(AND(COUNTIF($DA$2:$DA$47,DB4489)=0,COUNTIF($DB$2:DB4489,DB4489)=1),4488,""))</f>
        <v/>
      </c>
    </row>
    <row r="4490">
      <c r="DB4490">
        <f>IF('История отказов'!BA893="","",'История отказов'!BA893)</f>
        <v/>
      </c>
      <c r="DL4490">
        <f>IF(DB4490="","",IF(AND(COUNTIF($DA$2:$DA$47,DB4490)=0,COUNTIF($DB$2:DB4490,DB4490)=1),4489,""))</f>
        <v/>
      </c>
    </row>
    <row r="4491">
      <c r="DB4491">
        <f>IF('История отказов'!BA894="","",'История отказов'!BA894)</f>
        <v/>
      </c>
      <c r="DL4491">
        <f>IF(DB4491="","",IF(AND(COUNTIF($DA$2:$DA$47,DB4491)=0,COUNTIF($DB$2:DB4491,DB4491)=1),4490,""))</f>
        <v/>
      </c>
    </row>
    <row r="4492">
      <c r="DB4492">
        <f>IF('История отказов'!BA895="","",'История отказов'!BA895)</f>
        <v/>
      </c>
      <c r="DL4492">
        <f>IF(DB4492="","",IF(AND(COUNTIF($DA$2:$DA$47,DB4492)=0,COUNTIF($DB$2:DB4492,DB4492)=1),4491,""))</f>
        <v/>
      </c>
    </row>
    <row r="4493">
      <c r="DB4493">
        <f>IF('История отказов'!BA896="","",'История отказов'!BA896)</f>
        <v/>
      </c>
      <c r="DL4493">
        <f>IF(DB4493="","",IF(AND(COUNTIF($DA$2:$DA$47,DB4493)=0,COUNTIF($DB$2:DB4493,DB4493)=1),4492,""))</f>
        <v/>
      </c>
    </row>
    <row r="4494">
      <c r="DB4494">
        <f>IF('История отказов'!BA897="","",'История отказов'!BA897)</f>
        <v/>
      </c>
      <c r="DL4494">
        <f>IF(DB4494="","",IF(AND(COUNTIF($DA$2:$DA$47,DB4494)=0,COUNTIF($DB$2:DB4494,DB4494)=1),4493,""))</f>
        <v/>
      </c>
    </row>
    <row r="4495">
      <c r="DB4495">
        <f>IF('История отказов'!BA898="","",'История отказов'!BA898)</f>
        <v/>
      </c>
      <c r="DL4495">
        <f>IF(DB4495="","",IF(AND(COUNTIF($DA$2:$DA$47,DB4495)=0,COUNTIF($DB$2:DB4495,DB4495)=1),4494,""))</f>
        <v/>
      </c>
    </row>
    <row r="4496">
      <c r="DB4496">
        <f>IF('История отказов'!BA899="","",'История отказов'!BA899)</f>
        <v/>
      </c>
      <c r="DL4496">
        <f>IF(DB4496="","",IF(AND(COUNTIF($DA$2:$DA$47,DB4496)=0,COUNTIF($DB$2:DB4496,DB4496)=1),4495,""))</f>
        <v/>
      </c>
    </row>
    <row r="4497">
      <c r="DB4497">
        <f>IF('История отказов'!BA900="","",'История отказов'!BA900)</f>
        <v/>
      </c>
      <c r="DL4497">
        <f>IF(DB4497="","",IF(AND(COUNTIF($DA$2:$DA$47,DB4497)=0,COUNTIF($DB$2:DB4497,DB4497)=1),4496,""))</f>
        <v/>
      </c>
    </row>
    <row r="4498">
      <c r="DB4498">
        <f>IF('История отказов'!BA901="","",'История отказов'!BA901)</f>
        <v/>
      </c>
      <c r="DL4498">
        <f>IF(DB4498="","",IF(AND(COUNTIF($DA$2:$DA$47,DB4498)=0,COUNTIF($DB$2:DB4498,DB4498)=1),4497,""))</f>
        <v/>
      </c>
    </row>
    <row r="4499">
      <c r="DB4499">
        <f>IF('История отказов'!BA902="","",'История отказов'!BA902)</f>
        <v/>
      </c>
      <c r="DL4499">
        <f>IF(DB4499="","",IF(AND(COUNTIF($DA$2:$DA$47,DB4499)=0,COUNTIF($DB$2:DB4499,DB4499)=1),4498,""))</f>
        <v/>
      </c>
    </row>
    <row r="4500">
      <c r="DB4500">
        <f>IF('История отказов'!BA903="","",'История отказов'!BA903)</f>
        <v/>
      </c>
      <c r="DL4500">
        <f>IF(DB4500="","",IF(AND(COUNTIF($DA$2:$DA$47,DB4500)=0,COUNTIF($DB$2:DB4500,DB4500)=1),4499,""))</f>
        <v/>
      </c>
    </row>
    <row r="4501">
      <c r="DB4501">
        <f>IF('История отказов'!BA904="","",'История отказов'!BA904)</f>
        <v/>
      </c>
      <c r="DL4501">
        <f>IF(DB4501="","",IF(AND(COUNTIF($DA$2:$DA$47,DB4501)=0,COUNTIF($DB$2:DB4501,DB4501)=1),4500,""))</f>
        <v/>
      </c>
    </row>
    <row r="4502">
      <c r="DB4502">
        <f>IF('История отказов'!BA905="","",'История отказов'!BA905)</f>
        <v/>
      </c>
      <c r="DL4502">
        <f>IF(DB4502="","",IF(AND(COUNTIF($DA$2:$DA$47,DB4502)=0,COUNTIF($DB$2:DB4502,DB4502)=1),4501,""))</f>
        <v/>
      </c>
    </row>
    <row r="4503">
      <c r="DB4503">
        <f>IF('История отказов'!BA906="","",'История отказов'!BA906)</f>
        <v/>
      </c>
      <c r="DL4503">
        <f>IF(DB4503="","",IF(AND(COUNTIF($DA$2:$DA$47,DB4503)=0,COUNTIF($DB$2:DB4503,DB4503)=1),4502,""))</f>
        <v/>
      </c>
    </row>
    <row r="4504">
      <c r="DB4504">
        <f>IF('История отказов'!BA907="","",'История отказов'!BA907)</f>
        <v/>
      </c>
      <c r="DL4504">
        <f>IF(DB4504="","",IF(AND(COUNTIF($DA$2:$DA$47,DB4504)=0,COUNTIF($DB$2:DB4504,DB4504)=1),4503,""))</f>
        <v/>
      </c>
    </row>
    <row r="4505">
      <c r="DB4505">
        <f>IF('История отказов'!BA908="","",'История отказов'!BA908)</f>
        <v/>
      </c>
      <c r="DL4505">
        <f>IF(DB4505="","",IF(AND(COUNTIF($DA$2:$DA$47,DB4505)=0,COUNTIF($DB$2:DB4505,DB4505)=1),4504,""))</f>
        <v/>
      </c>
    </row>
    <row r="4506">
      <c r="DB4506">
        <f>IF('История отказов'!BA909="","",'История отказов'!BA909)</f>
        <v/>
      </c>
      <c r="DL4506">
        <f>IF(DB4506="","",IF(AND(COUNTIF($DA$2:$DA$47,DB4506)=0,COUNTIF($DB$2:DB4506,DB4506)=1),4505,""))</f>
        <v/>
      </c>
    </row>
    <row r="4507">
      <c r="DB4507">
        <f>IF('История отказов'!BA910="","",'История отказов'!BA910)</f>
        <v/>
      </c>
      <c r="DL4507">
        <f>IF(DB4507="","",IF(AND(COUNTIF($DA$2:$DA$47,DB4507)=0,COUNTIF($DB$2:DB4507,DB4507)=1),4506,""))</f>
        <v/>
      </c>
    </row>
    <row r="4508">
      <c r="DB4508">
        <f>IF('История отказов'!BA911="","",'История отказов'!BA911)</f>
        <v/>
      </c>
      <c r="DL4508">
        <f>IF(DB4508="","",IF(AND(COUNTIF($DA$2:$DA$47,DB4508)=0,COUNTIF($DB$2:DB4508,DB4508)=1),4507,""))</f>
        <v/>
      </c>
    </row>
    <row r="4509">
      <c r="DB4509">
        <f>IF('История отказов'!BA912="","",'История отказов'!BA912)</f>
        <v/>
      </c>
      <c r="DL4509">
        <f>IF(DB4509="","",IF(AND(COUNTIF($DA$2:$DA$47,DB4509)=0,COUNTIF($DB$2:DB4509,DB4509)=1),4508,""))</f>
        <v/>
      </c>
    </row>
    <row r="4510">
      <c r="DB4510">
        <f>IF('История отказов'!BA913="","",'История отказов'!BA913)</f>
        <v/>
      </c>
      <c r="DL4510">
        <f>IF(DB4510="","",IF(AND(COUNTIF($DA$2:$DA$47,DB4510)=0,COUNTIF($DB$2:DB4510,DB4510)=1),4509,""))</f>
        <v/>
      </c>
    </row>
    <row r="4511">
      <c r="DB4511">
        <f>IF('История отказов'!BA914="","",'История отказов'!BA914)</f>
        <v/>
      </c>
      <c r="DL4511">
        <f>IF(DB4511="","",IF(AND(COUNTIF($DA$2:$DA$47,DB4511)=0,COUNTIF($DB$2:DB4511,DB4511)=1),4510,""))</f>
        <v/>
      </c>
    </row>
    <row r="4512">
      <c r="DB4512">
        <f>IF('История отказов'!BA915="","",'История отказов'!BA915)</f>
        <v/>
      </c>
      <c r="DL4512">
        <f>IF(DB4512="","",IF(AND(COUNTIF($DA$2:$DA$47,DB4512)=0,COUNTIF($DB$2:DB4512,DB4512)=1),4511,""))</f>
        <v/>
      </c>
    </row>
    <row r="4513">
      <c r="DB4513">
        <f>IF('История отказов'!BA916="","",'История отказов'!BA916)</f>
        <v/>
      </c>
      <c r="DL4513">
        <f>IF(DB4513="","",IF(AND(COUNTIF($DA$2:$DA$47,DB4513)=0,COUNTIF($DB$2:DB4513,DB4513)=1),4512,""))</f>
        <v/>
      </c>
    </row>
    <row r="4514">
      <c r="DB4514">
        <f>IF('История отказов'!BA917="","",'История отказов'!BA917)</f>
        <v/>
      </c>
      <c r="DL4514">
        <f>IF(DB4514="","",IF(AND(COUNTIF($DA$2:$DA$47,DB4514)=0,COUNTIF($DB$2:DB4514,DB4514)=1),4513,""))</f>
        <v/>
      </c>
    </row>
    <row r="4515">
      <c r="DB4515">
        <f>IF('История отказов'!BA918="","",'История отказов'!BA918)</f>
        <v/>
      </c>
      <c r="DL4515">
        <f>IF(DB4515="","",IF(AND(COUNTIF($DA$2:$DA$47,DB4515)=0,COUNTIF($DB$2:DB4515,DB4515)=1),4514,""))</f>
        <v/>
      </c>
    </row>
    <row r="4516">
      <c r="DB4516">
        <f>IF('История отказов'!BA919="","",'История отказов'!BA919)</f>
        <v/>
      </c>
      <c r="DL4516">
        <f>IF(DB4516="","",IF(AND(COUNTIF($DA$2:$DA$47,DB4516)=0,COUNTIF($DB$2:DB4516,DB4516)=1),4515,""))</f>
        <v/>
      </c>
    </row>
    <row r="4517">
      <c r="DB4517">
        <f>IF('История отказов'!BA920="","",'История отказов'!BA920)</f>
        <v/>
      </c>
      <c r="DL4517">
        <f>IF(DB4517="","",IF(AND(COUNTIF($DA$2:$DA$47,DB4517)=0,COUNTIF($DB$2:DB4517,DB4517)=1),4516,""))</f>
        <v/>
      </c>
    </row>
    <row r="4518">
      <c r="DB4518">
        <f>IF('История отказов'!BA921="","",'История отказов'!BA921)</f>
        <v/>
      </c>
      <c r="DL4518">
        <f>IF(DB4518="","",IF(AND(COUNTIF($DA$2:$DA$47,DB4518)=0,COUNTIF($DB$2:DB4518,DB4518)=1),4517,""))</f>
        <v/>
      </c>
    </row>
    <row r="4519">
      <c r="DB4519">
        <f>IF('История отказов'!BA922="","",'История отказов'!BA922)</f>
        <v/>
      </c>
      <c r="DL4519">
        <f>IF(DB4519="","",IF(AND(COUNTIF($DA$2:$DA$47,DB4519)=0,COUNTIF($DB$2:DB4519,DB4519)=1),4518,""))</f>
        <v/>
      </c>
    </row>
    <row r="4520">
      <c r="DB4520">
        <f>IF('История отказов'!BA923="","",'История отказов'!BA923)</f>
        <v/>
      </c>
      <c r="DL4520">
        <f>IF(DB4520="","",IF(AND(COUNTIF($DA$2:$DA$47,DB4520)=0,COUNTIF($DB$2:DB4520,DB4520)=1),4519,""))</f>
        <v/>
      </c>
    </row>
    <row r="4521">
      <c r="DB4521">
        <f>IF('История отказов'!BA924="","",'История отказов'!BA924)</f>
        <v/>
      </c>
      <c r="DL4521">
        <f>IF(DB4521="","",IF(AND(COUNTIF($DA$2:$DA$47,DB4521)=0,COUNTIF($DB$2:DB4521,DB4521)=1),4520,""))</f>
        <v/>
      </c>
    </row>
    <row r="4522">
      <c r="DB4522">
        <f>IF('История отказов'!BA925="","",'История отказов'!BA925)</f>
        <v/>
      </c>
      <c r="DL4522">
        <f>IF(DB4522="","",IF(AND(COUNTIF($DA$2:$DA$47,DB4522)=0,COUNTIF($DB$2:DB4522,DB4522)=1),4521,""))</f>
        <v/>
      </c>
    </row>
    <row r="4523">
      <c r="DB4523">
        <f>IF('История отказов'!BA926="","",'История отказов'!BA926)</f>
        <v/>
      </c>
      <c r="DL4523">
        <f>IF(DB4523="","",IF(AND(COUNTIF($DA$2:$DA$47,DB4523)=0,COUNTIF($DB$2:DB4523,DB4523)=1),4522,""))</f>
        <v/>
      </c>
    </row>
    <row r="4524">
      <c r="DB4524">
        <f>IF('История отказов'!BA927="","",'История отказов'!BA927)</f>
        <v/>
      </c>
      <c r="DL4524">
        <f>IF(DB4524="","",IF(AND(COUNTIF($DA$2:$DA$47,DB4524)=0,COUNTIF($DB$2:DB4524,DB4524)=1),4523,""))</f>
        <v/>
      </c>
    </row>
    <row r="4525">
      <c r="DB4525">
        <f>IF('История отказов'!BA928="","",'История отказов'!BA928)</f>
        <v/>
      </c>
      <c r="DL4525">
        <f>IF(DB4525="","",IF(AND(COUNTIF($DA$2:$DA$47,DB4525)=0,COUNTIF($DB$2:DB4525,DB4525)=1),4524,""))</f>
        <v/>
      </c>
    </row>
    <row r="4526">
      <c r="DB4526">
        <f>IF('История отказов'!BA929="","",'История отказов'!BA929)</f>
        <v/>
      </c>
      <c r="DL4526">
        <f>IF(DB4526="","",IF(AND(COUNTIF($DA$2:$DA$47,DB4526)=0,COUNTIF($DB$2:DB4526,DB4526)=1),4525,""))</f>
        <v/>
      </c>
    </row>
    <row r="4527">
      <c r="DB4527">
        <f>IF('История отказов'!BA930="","",'История отказов'!BA930)</f>
        <v/>
      </c>
      <c r="DL4527">
        <f>IF(DB4527="","",IF(AND(COUNTIF($DA$2:$DA$47,DB4527)=0,COUNTIF($DB$2:DB4527,DB4527)=1),4526,""))</f>
        <v/>
      </c>
    </row>
    <row r="4528">
      <c r="DB4528">
        <f>IF('История отказов'!BA931="","",'История отказов'!BA931)</f>
        <v/>
      </c>
      <c r="DL4528">
        <f>IF(DB4528="","",IF(AND(COUNTIF($DA$2:$DA$47,DB4528)=0,COUNTIF($DB$2:DB4528,DB4528)=1),4527,""))</f>
        <v/>
      </c>
    </row>
    <row r="4529">
      <c r="DB4529">
        <f>IF('История отказов'!BA932="","",'История отказов'!BA932)</f>
        <v/>
      </c>
      <c r="DL4529">
        <f>IF(DB4529="","",IF(AND(COUNTIF($DA$2:$DA$47,DB4529)=0,COUNTIF($DB$2:DB4529,DB4529)=1),4528,""))</f>
        <v/>
      </c>
    </row>
    <row r="4530">
      <c r="DB4530">
        <f>IF('История отказов'!BA933="","",'История отказов'!BA933)</f>
        <v/>
      </c>
      <c r="DL4530">
        <f>IF(DB4530="","",IF(AND(COUNTIF($DA$2:$DA$47,DB4530)=0,COUNTIF($DB$2:DB4530,DB4530)=1),4529,""))</f>
        <v/>
      </c>
    </row>
    <row r="4531">
      <c r="DB4531">
        <f>IF('История отказов'!BA934="","",'История отказов'!BA934)</f>
        <v/>
      </c>
      <c r="DL4531">
        <f>IF(DB4531="","",IF(AND(COUNTIF($DA$2:$DA$47,DB4531)=0,COUNTIF($DB$2:DB4531,DB4531)=1),4530,""))</f>
        <v/>
      </c>
    </row>
    <row r="4532">
      <c r="DB4532">
        <f>IF('История отказов'!BA935="","",'История отказов'!BA935)</f>
        <v/>
      </c>
      <c r="DL4532">
        <f>IF(DB4532="","",IF(AND(COUNTIF($DA$2:$DA$47,DB4532)=0,COUNTIF($DB$2:DB4532,DB4532)=1),4531,""))</f>
        <v/>
      </c>
    </row>
    <row r="4533">
      <c r="DB4533">
        <f>IF('История отказов'!BA936="","",'История отказов'!BA936)</f>
        <v/>
      </c>
      <c r="DL4533">
        <f>IF(DB4533="","",IF(AND(COUNTIF($DA$2:$DA$47,DB4533)=0,COUNTIF($DB$2:DB4533,DB4533)=1),4532,""))</f>
        <v/>
      </c>
    </row>
    <row r="4534">
      <c r="DB4534">
        <f>IF('История отказов'!BA937="","",'История отказов'!BA937)</f>
        <v/>
      </c>
      <c r="DL4534">
        <f>IF(DB4534="","",IF(AND(COUNTIF($DA$2:$DA$47,DB4534)=0,COUNTIF($DB$2:DB4534,DB4534)=1),4533,""))</f>
        <v/>
      </c>
    </row>
    <row r="4535">
      <c r="DB4535">
        <f>IF('История отказов'!BA938="","",'История отказов'!BA938)</f>
        <v/>
      </c>
      <c r="DL4535">
        <f>IF(DB4535="","",IF(AND(COUNTIF($DA$2:$DA$47,DB4535)=0,COUNTIF($DB$2:DB4535,DB4535)=1),4534,""))</f>
        <v/>
      </c>
    </row>
    <row r="4536">
      <c r="DB4536">
        <f>IF('История отказов'!BA939="","",'История отказов'!BA939)</f>
        <v/>
      </c>
      <c r="DL4536">
        <f>IF(DB4536="","",IF(AND(COUNTIF($DA$2:$DA$47,DB4536)=0,COUNTIF($DB$2:DB4536,DB4536)=1),4535,""))</f>
        <v/>
      </c>
    </row>
    <row r="4537">
      <c r="DB4537">
        <f>IF('История отказов'!BA940="","",'История отказов'!BA940)</f>
        <v/>
      </c>
      <c r="DL4537">
        <f>IF(DB4537="","",IF(AND(COUNTIF($DA$2:$DA$47,DB4537)=0,COUNTIF($DB$2:DB4537,DB4537)=1),4536,""))</f>
        <v/>
      </c>
    </row>
    <row r="4538">
      <c r="DB4538">
        <f>IF('История отказов'!BA941="","",'История отказов'!BA941)</f>
        <v/>
      </c>
      <c r="DL4538">
        <f>IF(DB4538="","",IF(AND(COUNTIF($DA$2:$DA$47,DB4538)=0,COUNTIF($DB$2:DB4538,DB4538)=1),4537,""))</f>
        <v/>
      </c>
    </row>
    <row r="4539">
      <c r="DB4539">
        <f>IF('История отказов'!BA942="","",'История отказов'!BA942)</f>
        <v/>
      </c>
      <c r="DL4539">
        <f>IF(DB4539="","",IF(AND(COUNTIF($DA$2:$DA$47,DB4539)=0,COUNTIF($DB$2:DB4539,DB4539)=1),4538,""))</f>
        <v/>
      </c>
    </row>
    <row r="4540">
      <c r="DB4540">
        <f>IF('История отказов'!BA943="","",'История отказов'!BA943)</f>
        <v/>
      </c>
      <c r="DL4540">
        <f>IF(DB4540="","",IF(AND(COUNTIF($DA$2:$DA$47,DB4540)=0,COUNTIF($DB$2:DB4540,DB4540)=1),4539,""))</f>
        <v/>
      </c>
    </row>
    <row r="4541">
      <c r="DB4541">
        <f>IF('История отказов'!BA944="","",'История отказов'!BA944)</f>
        <v/>
      </c>
      <c r="DL4541">
        <f>IF(DB4541="","",IF(AND(COUNTIF($DA$2:$DA$47,DB4541)=0,COUNTIF($DB$2:DB4541,DB4541)=1),4540,""))</f>
        <v/>
      </c>
    </row>
    <row r="4542">
      <c r="DB4542">
        <f>IF('История отказов'!BA945="","",'История отказов'!BA945)</f>
        <v/>
      </c>
      <c r="DL4542">
        <f>IF(DB4542="","",IF(AND(COUNTIF($DA$2:$DA$47,DB4542)=0,COUNTIF($DB$2:DB4542,DB4542)=1),4541,""))</f>
        <v/>
      </c>
    </row>
    <row r="4543">
      <c r="DB4543">
        <f>IF('История отказов'!BA946="","",'История отказов'!BA946)</f>
        <v/>
      </c>
      <c r="DL4543">
        <f>IF(DB4543="","",IF(AND(COUNTIF($DA$2:$DA$47,DB4543)=0,COUNTIF($DB$2:DB4543,DB4543)=1),4542,""))</f>
        <v/>
      </c>
    </row>
    <row r="4544">
      <c r="DB4544">
        <f>IF('История отказов'!BA947="","",'История отказов'!BA947)</f>
        <v/>
      </c>
      <c r="DL4544">
        <f>IF(DB4544="","",IF(AND(COUNTIF($DA$2:$DA$47,DB4544)=0,COUNTIF($DB$2:DB4544,DB4544)=1),4543,""))</f>
        <v/>
      </c>
    </row>
    <row r="4545">
      <c r="DB4545">
        <f>IF('История отказов'!BA948="","",'История отказов'!BA948)</f>
        <v/>
      </c>
      <c r="DL4545">
        <f>IF(DB4545="","",IF(AND(COUNTIF($DA$2:$DA$47,DB4545)=0,COUNTIF($DB$2:DB4545,DB4545)=1),4544,""))</f>
        <v/>
      </c>
    </row>
    <row r="4546">
      <c r="DB4546">
        <f>IF('История отказов'!BA949="","",'История отказов'!BA949)</f>
        <v/>
      </c>
      <c r="DL4546">
        <f>IF(DB4546="","",IF(AND(COUNTIF($DA$2:$DA$47,DB4546)=0,COUNTIF($DB$2:DB4546,DB4546)=1),4545,""))</f>
        <v/>
      </c>
    </row>
    <row r="4547">
      <c r="DB4547">
        <f>IF('История отказов'!BA950="","",'История отказов'!BA950)</f>
        <v/>
      </c>
      <c r="DL4547">
        <f>IF(DB4547="","",IF(AND(COUNTIF($DA$2:$DA$47,DB4547)=0,COUNTIF($DB$2:DB4547,DB4547)=1),4546,""))</f>
        <v/>
      </c>
    </row>
    <row r="4548">
      <c r="DB4548">
        <f>IF('История отказов'!BA951="","",'История отказов'!BA951)</f>
        <v/>
      </c>
      <c r="DL4548">
        <f>IF(DB4548="","",IF(AND(COUNTIF($DA$2:$DA$47,DB4548)=0,COUNTIF($DB$2:DB4548,DB4548)=1),4547,""))</f>
        <v/>
      </c>
    </row>
    <row r="4549">
      <c r="DB4549">
        <f>IF('История отказов'!BA952="","",'История отказов'!BA952)</f>
        <v/>
      </c>
      <c r="DL4549">
        <f>IF(DB4549="","",IF(AND(COUNTIF($DA$2:$DA$47,DB4549)=0,COUNTIF($DB$2:DB4549,DB4549)=1),4548,""))</f>
        <v/>
      </c>
    </row>
    <row r="4550">
      <c r="DB4550">
        <f>IF('История отказов'!BA953="","",'История отказов'!BA953)</f>
        <v/>
      </c>
      <c r="DL4550">
        <f>IF(DB4550="","",IF(AND(COUNTIF($DA$2:$DA$47,DB4550)=0,COUNTIF($DB$2:DB4550,DB4550)=1),4549,""))</f>
        <v/>
      </c>
    </row>
    <row r="4551">
      <c r="DB4551">
        <f>IF('История отказов'!BA954="","",'История отказов'!BA954)</f>
        <v/>
      </c>
      <c r="DL4551">
        <f>IF(DB4551="","",IF(AND(COUNTIF($DA$2:$DA$47,DB4551)=0,COUNTIF($DB$2:DB4551,DB4551)=1),4550,""))</f>
        <v/>
      </c>
    </row>
    <row r="4552">
      <c r="DB4552">
        <f>IF('История отказов'!BA955="","",'История отказов'!BA955)</f>
        <v/>
      </c>
      <c r="DL4552">
        <f>IF(DB4552="","",IF(AND(COUNTIF($DA$2:$DA$47,DB4552)=0,COUNTIF($DB$2:DB4552,DB4552)=1),4551,""))</f>
        <v/>
      </c>
    </row>
    <row r="4553">
      <c r="DB4553">
        <f>IF('История отказов'!BA956="","",'История отказов'!BA956)</f>
        <v/>
      </c>
      <c r="DL4553">
        <f>IF(DB4553="","",IF(AND(COUNTIF($DA$2:$DA$47,DB4553)=0,COUNTIF($DB$2:DB4553,DB4553)=1),4552,""))</f>
        <v/>
      </c>
    </row>
    <row r="4554">
      <c r="DB4554">
        <f>IF('История отказов'!BA957="","",'История отказов'!BA957)</f>
        <v/>
      </c>
      <c r="DL4554">
        <f>IF(DB4554="","",IF(AND(COUNTIF($DA$2:$DA$47,DB4554)=0,COUNTIF($DB$2:DB4554,DB4554)=1),4553,""))</f>
        <v/>
      </c>
    </row>
    <row r="4555">
      <c r="DB4555">
        <f>IF('История отказов'!BA958="","",'История отказов'!BA958)</f>
        <v/>
      </c>
      <c r="DL4555">
        <f>IF(DB4555="","",IF(AND(COUNTIF($DA$2:$DA$47,DB4555)=0,COUNTIF($DB$2:DB4555,DB4555)=1),4554,""))</f>
        <v/>
      </c>
    </row>
    <row r="4556">
      <c r="DB4556">
        <f>IF('История отказов'!BA959="","",'История отказов'!BA959)</f>
        <v/>
      </c>
      <c r="DL4556">
        <f>IF(DB4556="","",IF(AND(COUNTIF($DA$2:$DA$47,DB4556)=0,COUNTIF($DB$2:DB4556,DB4556)=1),4555,""))</f>
        <v/>
      </c>
    </row>
    <row r="4557">
      <c r="DB4557">
        <f>IF('История отказов'!BA960="","",'История отказов'!BA960)</f>
        <v/>
      </c>
      <c r="DL4557">
        <f>IF(DB4557="","",IF(AND(COUNTIF($DA$2:$DA$47,DB4557)=0,COUNTIF($DB$2:DB4557,DB4557)=1),4556,""))</f>
        <v/>
      </c>
    </row>
    <row r="4558">
      <c r="DB4558">
        <f>IF('История отказов'!BA961="","",'История отказов'!BA961)</f>
        <v/>
      </c>
      <c r="DL4558">
        <f>IF(DB4558="","",IF(AND(COUNTIF($DA$2:$DA$47,DB4558)=0,COUNTIF($DB$2:DB4558,DB4558)=1),4557,""))</f>
        <v/>
      </c>
    </row>
    <row r="4559">
      <c r="DB4559">
        <f>IF('История отказов'!BA962="","",'История отказов'!BA962)</f>
        <v/>
      </c>
      <c r="DL4559">
        <f>IF(DB4559="","",IF(AND(COUNTIF($DA$2:$DA$47,DB4559)=0,COUNTIF($DB$2:DB4559,DB4559)=1),4558,""))</f>
        <v/>
      </c>
    </row>
    <row r="4560">
      <c r="DB4560">
        <f>IF('История отказов'!BA963="","",'История отказов'!BA963)</f>
        <v/>
      </c>
      <c r="DL4560">
        <f>IF(DB4560="","",IF(AND(COUNTIF($DA$2:$DA$47,DB4560)=0,COUNTIF($DB$2:DB4560,DB4560)=1),4559,""))</f>
        <v/>
      </c>
    </row>
    <row r="4561">
      <c r="DB4561">
        <f>IF('История отказов'!BA964="","",'История отказов'!BA964)</f>
        <v/>
      </c>
      <c r="DL4561">
        <f>IF(DB4561="","",IF(AND(COUNTIF($DA$2:$DA$47,DB4561)=0,COUNTIF($DB$2:DB4561,DB4561)=1),4560,""))</f>
        <v/>
      </c>
    </row>
    <row r="4562">
      <c r="DB4562">
        <f>IF('История отказов'!BA965="","",'История отказов'!BA965)</f>
        <v/>
      </c>
      <c r="DL4562">
        <f>IF(DB4562="","",IF(AND(COUNTIF($DA$2:$DA$47,DB4562)=0,COUNTIF($DB$2:DB4562,DB4562)=1),4561,""))</f>
        <v/>
      </c>
    </row>
    <row r="4563">
      <c r="DB4563">
        <f>IF('История отказов'!BA966="","",'История отказов'!BA966)</f>
        <v/>
      </c>
      <c r="DL4563">
        <f>IF(DB4563="","",IF(AND(COUNTIF($DA$2:$DA$47,DB4563)=0,COUNTIF($DB$2:DB4563,DB4563)=1),4562,""))</f>
        <v/>
      </c>
    </row>
    <row r="4564">
      <c r="DB4564">
        <f>IF('История отказов'!BA967="","",'История отказов'!BA967)</f>
        <v/>
      </c>
      <c r="DL4564">
        <f>IF(DB4564="","",IF(AND(COUNTIF($DA$2:$DA$47,DB4564)=0,COUNTIF($DB$2:DB4564,DB4564)=1),4563,""))</f>
        <v/>
      </c>
    </row>
    <row r="4565">
      <c r="DB4565">
        <f>IF('История отказов'!BA968="","",'История отказов'!BA968)</f>
        <v/>
      </c>
      <c r="DL4565">
        <f>IF(DB4565="","",IF(AND(COUNTIF($DA$2:$DA$47,DB4565)=0,COUNTIF($DB$2:DB4565,DB4565)=1),4564,""))</f>
        <v/>
      </c>
    </row>
    <row r="4566">
      <c r="DB4566">
        <f>IF('История отказов'!BA969="","",'История отказов'!BA969)</f>
        <v/>
      </c>
      <c r="DL4566">
        <f>IF(DB4566="","",IF(AND(COUNTIF($DA$2:$DA$47,DB4566)=0,COUNTIF($DB$2:DB4566,DB4566)=1),4565,""))</f>
        <v/>
      </c>
    </row>
    <row r="4567">
      <c r="DB4567">
        <f>IF('История отказов'!BA970="","",'История отказов'!BA970)</f>
        <v/>
      </c>
      <c r="DL4567">
        <f>IF(DB4567="","",IF(AND(COUNTIF($DA$2:$DA$47,DB4567)=0,COUNTIF($DB$2:DB4567,DB4567)=1),4566,""))</f>
        <v/>
      </c>
    </row>
    <row r="4568">
      <c r="DB4568">
        <f>IF('История отказов'!BA971="","",'История отказов'!BA971)</f>
        <v/>
      </c>
      <c r="DL4568">
        <f>IF(DB4568="","",IF(AND(COUNTIF($DA$2:$DA$47,DB4568)=0,COUNTIF($DB$2:DB4568,DB4568)=1),4567,""))</f>
        <v/>
      </c>
    </row>
    <row r="4569">
      <c r="DB4569">
        <f>IF('История отказов'!BA972="","",'История отказов'!BA972)</f>
        <v/>
      </c>
      <c r="DL4569">
        <f>IF(DB4569="","",IF(AND(COUNTIF($DA$2:$DA$47,DB4569)=0,COUNTIF($DB$2:DB4569,DB4569)=1),4568,""))</f>
        <v/>
      </c>
    </row>
    <row r="4570">
      <c r="DB4570">
        <f>IF('История отказов'!BA973="","",'История отказов'!BA973)</f>
        <v/>
      </c>
      <c r="DL4570">
        <f>IF(DB4570="","",IF(AND(COUNTIF($DA$2:$DA$47,DB4570)=0,COUNTIF($DB$2:DB4570,DB4570)=1),4569,""))</f>
        <v/>
      </c>
    </row>
    <row r="4571">
      <c r="DB4571">
        <f>IF('История отказов'!BA974="","",'История отказов'!BA974)</f>
        <v/>
      </c>
      <c r="DL4571">
        <f>IF(DB4571="","",IF(AND(COUNTIF($DA$2:$DA$47,DB4571)=0,COUNTIF($DB$2:DB4571,DB4571)=1),4570,""))</f>
        <v/>
      </c>
    </row>
    <row r="4572">
      <c r="DB4572">
        <f>IF('История отказов'!BA975="","",'История отказов'!BA975)</f>
        <v/>
      </c>
      <c r="DL4572">
        <f>IF(DB4572="","",IF(AND(COUNTIF($DA$2:$DA$47,DB4572)=0,COUNTIF($DB$2:DB4572,DB4572)=1),4571,""))</f>
        <v/>
      </c>
    </row>
    <row r="4573">
      <c r="DB4573">
        <f>IF('История отказов'!BA976="","",'История отказов'!BA976)</f>
        <v/>
      </c>
      <c r="DL4573">
        <f>IF(DB4573="","",IF(AND(COUNTIF($DA$2:$DA$47,DB4573)=0,COUNTIF($DB$2:DB4573,DB4573)=1),4572,""))</f>
        <v/>
      </c>
    </row>
    <row r="4574">
      <c r="DB4574">
        <f>IF('История отказов'!BA977="","",'История отказов'!BA977)</f>
        <v/>
      </c>
      <c r="DL4574">
        <f>IF(DB4574="","",IF(AND(COUNTIF($DA$2:$DA$47,DB4574)=0,COUNTIF($DB$2:DB4574,DB4574)=1),4573,""))</f>
        <v/>
      </c>
    </row>
    <row r="4575">
      <c r="DB4575">
        <f>IF('История отказов'!BA978="","",'История отказов'!BA978)</f>
        <v/>
      </c>
      <c r="DL4575">
        <f>IF(DB4575="","",IF(AND(COUNTIF($DA$2:$DA$47,DB4575)=0,COUNTIF($DB$2:DB4575,DB4575)=1),4574,""))</f>
        <v/>
      </c>
    </row>
    <row r="4576">
      <c r="DB4576">
        <f>IF('История отказов'!BA979="","",'История отказов'!BA979)</f>
        <v/>
      </c>
      <c r="DL4576">
        <f>IF(DB4576="","",IF(AND(COUNTIF($DA$2:$DA$47,DB4576)=0,COUNTIF($DB$2:DB4576,DB4576)=1),4575,""))</f>
        <v/>
      </c>
    </row>
    <row r="4577">
      <c r="DB4577">
        <f>IF('История отказов'!BA980="","",'История отказов'!BA980)</f>
        <v/>
      </c>
      <c r="DL4577">
        <f>IF(DB4577="","",IF(AND(COUNTIF($DA$2:$DA$47,DB4577)=0,COUNTIF($DB$2:DB4577,DB4577)=1),4576,""))</f>
        <v/>
      </c>
    </row>
    <row r="4578">
      <c r="DB4578">
        <f>IF('История отказов'!BA981="","",'История отказов'!BA981)</f>
        <v/>
      </c>
      <c r="DL4578">
        <f>IF(DB4578="","",IF(AND(COUNTIF($DA$2:$DA$47,DB4578)=0,COUNTIF($DB$2:DB4578,DB4578)=1),4577,""))</f>
        <v/>
      </c>
    </row>
    <row r="4579">
      <c r="DB4579">
        <f>IF('История отказов'!BA982="","",'История отказов'!BA982)</f>
        <v/>
      </c>
      <c r="DL4579">
        <f>IF(DB4579="","",IF(AND(COUNTIF($DA$2:$DA$47,DB4579)=0,COUNTIF($DB$2:DB4579,DB4579)=1),4578,""))</f>
        <v/>
      </c>
    </row>
    <row r="4580">
      <c r="DB4580">
        <f>IF('История отказов'!BA983="","",'История отказов'!BA983)</f>
        <v/>
      </c>
      <c r="DL4580">
        <f>IF(DB4580="","",IF(AND(COUNTIF($DA$2:$DA$47,DB4580)=0,COUNTIF($DB$2:DB4580,DB4580)=1),4579,""))</f>
        <v/>
      </c>
    </row>
    <row r="4581">
      <c r="DB4581">
        <f>IF('История отказов'!BA984="","",'История отказов'!BA984)</f>
        <v/>
      </c>
      <c r="DL4581">
        <f>IF(DB4581="","",IF(AND(COUNTIF($DA$2:$DA$47,DB4581)=0,COUNTIF($DB$2:DB4581,DB4581)=1),4580,""))</f>
        <v/>
      </c>
    </row>
    <row r="4582">
      <c r="DB4582">
        <f>IF('История отказов'!BA985="","",'История отказов'!BA985)</f>
        <v/>
      </c>
      <c r="DL4582">
        <f>IF(DB4582="","",IF(AND(COUNTIF($DA$2:$DA$47,DB4582)=0,COUNTIF($DB$2:DB4582,DB4582)=1),4581,""))</f>
        <v/>
      </c>
    </row>
    <row r="4583">
      <c r="DB4583">
        <f>IF('История отказов'!BA986="","",'История отказов'!BA986)</f>
        <v/>
      </c>
      <c r="DL4583">
        <f>IF(DB4583="","",IF(AND(COUNTIF($DA$2:$DA$47,DB4583)=0,COUNTIF($DB$2:DB4583,DB4583)=1),4582,""))</f>
        <v/>
      </c>
    </row>
    <row r="4584">
      <c r="DB4584">
        <f>IF('История отказов'!BA987="","",'История отказов'!BA987)</f>
        <v/>
      </c>
      <c r="DL4584">
        <f>IF(DB4584="","",IF(AND(COUNTIF($DA$2:$DA$47,DB4584)=0,COUNTIF($DB$2:DB4584,DB4584)=1),4583,""))</f>
        <v/>
      </c>
    </row>
    <row r="4585">
      <c r="DB4585">
        <f>IF('История отказов'!BA988="","",'История отказов'!BA988)</f>
        <v/>
      </c>
      <c r="DL4585">
        <f>IF(DB4585="","",IF(AND(COUNTIF($DA$2:$DA$47,DB4585)=0,COUNTIF($DB$2:DB4585,DB4585)=1),4584,""))</f>
        <v/>
      </c>
    </row>
    <row r="4586">
      <c r="DB4586">
        <f>IF('История отказов'!BA989="","",'История отказов'!BA989)</f>
        <v/>
      </c>
      <c r="DL4586">
        <f>IF(DB4586="","",IF(AND(COUNTIF($DA$2:$DA$47,DB4586)=0,COUNTIF($DB$2:DB4586,DB4586)=1),4585,""))</f>
        <v/>
      </c>
    </row>
    <row r="4587">
      <c r="DB4587">
        <f>IF('История отказов'!BA990="","",'История отказов'!BA990)</f>
        <v/>
      </c>
      <c r="DL4587">
        <f>IF(DB4587="","",IF(AND(COUNTIF($DA$2:$DA$47,DB4587)=0,COUNTIF($DB$2:DB4587,DB4587)=1),4586,""))</f>
        <v/>
      </c>
    </row>
    <row r="4588">
      <c r="DB4588">
        <f>IF('История отказов'!BA991="","",'История отказов'!BA991)</f>
        <v/>
      </c>
      <c r="DL4588">
        <f>IF(DB4588="","",IF(AND(COUNTIF($DA$2:$DA$47,DB4588)=0,COUNTIF($DB$2:DB4588,DB4588)=1),4587,""))</f>
        <v/>
      </c>
    </row>
    <row r="4589">
      <c r="DB4589">
        <f>IF('История отказов'!BA992="","",'История отказов'!BA992)</f>
        <v/>
      </c>
      <c r="DL4589">
        <f>IF(DB4589="","",IF(AND(COUNTIF($DA$2:$DA$47,DB4589)=0,COUNTIF($DB$2:DB4589,DB4589)=1),4588,""))</f>
        <v/>
      </c>
    </row>
    <row r="4590">
      <c r="DB4590">
        <f>IF('История отказов'!BA993="","",'История отказов'!BA993)</f>
        <v/>
      </c>
      <c r="DL4590">
        <f>IF(DB4590="","",IF(AND(COUNTIF($DA$2:$DA$47,DB4590)=0,COUNTIF($DB$2:DB4590,DB4590)=1),4589,""))</f>
        <v/>
      </c>
    </row>
    <row r="4591">
      <c r="DB4591">
        <f>IF('История отказов'!BA994="","",'История отказов'!BA994)</f>
        <v/>
      </c>
      <c r="DL4591">
        <f>IF(DB4591="","",IF(AND(COUNTIF($DA$2:$DA$47,DB4591)=0,COUNTIF($DB$2:DB4591,DB4591)=1),4590,""))</f>
        <v/>
      </c>
    </row>
    <row r="4592">
      <c r="DB4592">
        <f>IF('История отказов'!BA995="","",'История отказов'!BA995)</f>
        <v/>
      </c>
      <c r="DL4592">
        <f>IF(DB4592="","",IF(AND(COUNTIF($DA$2:$DA$47,DB4592)=0,COUNTIF($DB$2:DB4592,DB4592)=1),4591,""))</f>
        <v/>
      </c>
    </row>
    <row r="4593">
      <c r="DB4593">
        <f>IF('История отказов'!BA996="","",'История отказов'!BA996)</f>
        <v/>
      </c>
      <c r="DL4593">
        <f>IF(DB4593="","",IF(AND(COUNTIF($DA$2:$DA$47,DB4593)=0,COUNTIF($DB$2:DB4593,DB4593)=1),4592,""))</f>
        <v/>
      </c>
    </row>
    <row r="4594">
      <c r="DB4594">
        <f>IF('История отказов'!BA997="","",'История отказов'!BA997)</f>
        <v/>
      </c>
      <c r="DL4594">
        <f>IF(DB4594="","",IF(AND(COUNTIF($DA$2:$DA$47,DB4594)=0,COUNTIF($DB$2:DB4594,DB4594)=1),4593,""))</f>
        <v/>
      </c>
    </row>
    <row r="4595">
      <c r="DB4595">
        <f>IF('История отказов'!BA998="","",'История отказов'!BA998)</f>
        <v/>
      </c>
      <c r="DL4595">
        <f>IF(DB4595="","",IF(AND(COUNTIF($DA$2:$DA$47,DB4595)=0,COUNTIF($DB$2:DB4595,DB4595)=1),4594,""))</f>
        <v/>
      </c>
    </row>
    <row r="4596">
      <c r="DB4596">
        <f>IF('История отказов'!BA999="","",'История отказов'!BA999)</f>
        <v/>
      </c>
      <c r="DL4596">
        <f>IF(DB4596="","",IF(AND(COUNTIF($DA$2:$DA$47,DB4596)=0,COUNTIF($DB$2:DB4596,DB4596)=1),4595,""))</f>
        <v/>
      </c>
    </row>
    <row r="4597">
      <c r="DB4597">
        <f>IF('История отказов'!BA1000="","",'История отказов'!BA1000)</f>
        <v/>
      </c>
      <c r="DL4597">
        <f>IF(DB4597="","",IF(AND(COUNTIF($DA$2:$DA$47,DB4597)=0,COUNTIF($DB$2:DB4597,DB4597)=1),4596,""))</f>
        <v/>
      </c>
    </row>
    <row r="4598">
      <c r="DB4598">
        <f>IF('История отказов'!BA1001="","",'История отказов'!BA1001)</f>
        <v/>
      </c>
      <c r="DL4598">
        <f>IF(DB4598="","",IF(AND(COUNTIF($DA$2:$DA$47,DB4598)=0,COUNTIF($DB$2:DB4598,DB4598)=1),4597,""))</f>
        <v/>
      </c>
    </row>
    <row r="4599">
      <c r="DB4599">
        <f>IF('История отказов'!BA1002="","",'История отказов'!BA1002)</f>
        <v/>
      </c>
      <c r="DL4599">
        <f>IF(DB4599="","",IF(AND(COUNTIF($DA$2:$DA$47,DB4599)=0,COUNTIF($DB$2:DB4599,DB4599)=1),4598,""))</f>
        <v/>
      </c>
    </row>
    <row r="4600">
      <c r="DB4600">
        <f>IF('История отказов'!BA1003="","",'История отказов'!BA1003)</f>
        <v/>
      </c>
      <c r="DL4600">
        <f>IF(DB4600="","",IF(AND(COUNTIF($DA$2:$DA$47,DB4600)=0,COUNTIF($DB$2:DB4600,DB4600)=1),4599,""))</f>
        <v/>
      </c>
    </row>
    <row r="4601">
      <c r="DB4601">
        <f>IF('История отказов'!BA1004="","",'История отказов'!BA1004)</f>
        <v/>
      </c>
      <c r="DL4601">
        <f>IF(DB4601="","",IF(AND(COUNTIF($DA$2:$DA$47,DB4601)=0,COUNTIF($DB$2:DB4601,DB4601)=1),4600,""))</f>
        <v/>
      </c>
    </row>
    <row r="4602">
      <c r="DB4602">
        <f>IF('История отказов'!BA1005="","",'История отказов'!BA1005)</f>
        <v/>
      </c>
      <c r="DL4602">
        <f>IF(DB4602="","",IF(AND(COUNTIF($DA$2:$DA$47,DB4602)=0,COUNTIF($DB$2:DB4602,DB4602)=1),4601,""))</f>
        <v/>
      </c>
    </row>
    <row r="4603">
      <c r="DB4603">
        <f>IF('История отказов'!BA1006="","",'История отказов'!BA1006)</f>
        <v/>
      </c>
      <c r="DL4603">
        <f>IF(DB4603="","",IF(AND(COUNTIF($DA$2:$DA$47,DB4603)=0,COUNTIF($DB$2:DB4603,DB4603)=1),4602,""))</f>
        <v/>
      </c>
    </row>
    <row r="4604">
      <c r="DB4604">
        <f>IF('История отказов'!BA1007="","",'История отказов'!BA1007)</f>
        <v/>
      </c>
      <c r="DL4604">
        <f>IF(DB4604="","",IF(AND(COUNTIF($DA$2:$DA$47,DB4604)=0,COUNTIF($DB$2:DB4604,DB4604)=1),4603,""))</f>
        <v/>
      </c>
    </row>
    <row r="4605">
      <c r="DB4605">
        <f>IF('История отказов'!BA1008="","",'История отказов'!BA1008)</f>
        <v/>
      </c>
      <c r="DL4605">
        <f>IF(DB4605="","",IF(AND(COUNTIF($DA$2:$DA$47,DB4605)=0,COUNTIF($DB$2:DB4605,DB4605)=1),4604,""))</f>
        <v/>
      </c>
    </row>
    <row r="4606">
      <c r="DB4606">
        <f>IF('История отказов'!BA1009="","",'История отказов'!BA1009)</f>
        <v/>
      </c>
      <c r="DL4606">
        <f>IF(DB4606="","",IF(AND(COUNTIF($DA$2:$DA$47,DB4606)=0,COUNTIF($DB$2:DB4606,DB4606)=1),4605,""))</f>
        <v/>
      </c>
    </row>
    <row r="4607">
      <c r="DB4607">
        <f>IF('История отказов'!BA1010="","",'История отказов'!BA1010)</f>
        <v/>
      </c>
      <c r="DL4607">
        <f>IF(DB4607="","",IF(AND(COUNTIF($DA$2:$DA$47,DB4607)=0,COUNTIF($DB$2:DB4607,DB4607)=1),4606,""))</f>
        <v/>
      </c>
    </row>
    <row r="4608">
      <c r="DB4608">
        <f>IF('История отказов'!BA1011="","",'История отказов'!BA1011)</f>
        <v/>
      </c>
      <c r="DL4608">
        <f>IF(DB4608="","",IF(AND(COUNTIF($DA$2:$DA$47,DB4608)=0,COUNTIF($DB$2:DB4608,DB4608)=1),4607,""))</f>
        <v/>
      </c>
    </row>
    <row r="4609">
      <c r="DB4609">
        <f>IF('История отказов'!BA1012="","",'История отказов'!BA1012)</f>
        <v/>
      </c>
      <c r="DL4609">
        <f>IF(DB4609="","",IF(AND(COUNTIF($DA$2:$DA$47,DB4609)=0,COUNTIF($DB$2:DB4609,DB4609)=1),4608,""))</f>
        <v/>
      </c>
    </row>
    <row r="4610">
      <c r="DB4610">
        <f>IF('История отказов'!BA1013="","",'История отказов'!BA1013)</f>
        <v/>
      </c>
      <c r="DL4610">
        <f>IF(DB4610="","",IF(AND(COUNTIF($DA$2:$DA$47,DB4610)=0,COUNTIF($DB$2:DB4610,DB4610)=1),4609,""))</f>
        <v/>
      </c>
    </row>
    <row r="4611">
      <c r="DB4611">
        <f>IF('История отказов'!BA1014="","",'История отказов'!BA1014)</f>
        <v/>
      </c>
      <c r="DL4611">
        <f>IF(DB4611="","",IF(AND(COUNTIF($DA$2:$DA$47,DB4611)=0,COUNTIF($DB$2:DB4611,DB4611)=1),4610,""))</f>
        <v/>
      </c>
    </row>
    <row r="4612">
      <c r="DB4612">
        <f>IF('История отказов'!BA1015="","",'История отказов'!BA1015)</f>
        <v/>
      </c>
      <c r="DL4612">
        <f>IF(DB4612="","",IF(AND(COUNTIF($DA$2:$DA$47,DB4612)=0,COUNTIF($DB$2:DB4612,DB4612)=1),4611,""))</f>
        <v/>
      </c>
    </row>
    <row r="4613">
      <c r="DB4613">
        <f>IF('История отказов'!BA1016="","",'История отказов'!BA1016)</f>
        <v/>
      </c>
      <c r="DL4613">
        <f>IF(DB4613="","",IF(AND(COUNTIF($DA$2:$DA$47,DB4613)=0,COUNTIF($DB$2:DB4613,DB4613)=1),4612,""))</f>
        <v/>
      </c>
    </row>
    <row r="4614">
      <c r="DB4614">
        <f>IF('История отказов'!BA1017="","",'История отказов'!BA1017)</f>
        <v/>
      </c>
      <c r="DL4614">
        <f>IF(DB4614="","",IF(AND(COUNTIF($DA$2:$DA$47,DB4614)=0,COUNTIF($DB$2:DB4614,DB4614)=1),4613,""))</f>
        <v/>
      </c>
    </row>
    <row r="4615">
      <c r="DB4615">
        <f>IF('История отказов'!BA1018="","",'История отказов'!BA1018)</f>
        <v/>
      </c>
      <c r="DL4615">
        <f>IF(DB4615="","",IF(AND(COUNTIF($DA$2:$DA$47,DB4615)=0,COUNTIF($DB$2:DB4615,DB4615)=1),4614,""))</f>
        <v/>
      </c>
    </row>
    <row r="4616">
      <c r="DB4616">
        <f>IF('История отказов'!BA1019="","",'История отказов'!BA1019)</f>
        <v/>
      </c>
      <c r="DL4616">
        <f>IF(DB4616="","",IF(AND(COUNTIF($DA$2:$DA$47,DB4616)=0,COUNTIF($DB$2:DB4616,DB4616)=1),4615,""))</f>
        <v/>
      </c>
    </row>
    <row r="4617">
      <c r="DB4617">
        <f>IF('История отказов'!BA1020="","",'История отказов'!BA1020)</f>
        <v/>
      </c>
      <c r="DL4617">
        <f>IF(DB4617="","",IF(AND(COUNTIF($DA$2:$DA$47,DB4617)=0,COUNTIF($DB$2:DB4617,DB4617)=1),4616,""))</f>
        <v/>
      </c>
    </row>
    <row r="4618">
      <c r="DB4618">
        <f>IF('История отказов'!BA1021="","",'История отказов'!BA1021)</f>
        <v/>
      </c>
      <c r="DL4618">
        <f>IF(DB4618="","",IF(AND(COUNTIF($DA$2:$DA$47,DB4618)=0,COUNTIF($DB$2:DB4618,DB4618)=1),4617,""))</f>
        <v/>
      </c>
    </row>
    <row r="4619">
      <c r="DB4619">
        <f>IF('История отказов'!BA1022="","",'История отказов'!BA1022)</f>
        <v/>
      </c>
      <c r="DL4619">
        <f>IF(DB4619="","",IF(AND(COUNTIF($DA$2:$DA$47,DB4619)=0,COUNTIF($DB$2:DB4619,DB4619)=1),4618,""))</f>
        <v/>
      </c>
    </row>
    <row r="4620">
      <c r="DB4620">
        <f>IF('История отказов'!BA1023="","",'История отказов'!BA1023)</f>
        <v/>
      </c>
      <c r="DL4620">
        <f>IF(DB4620="","",IF(AND(COUNTIF($DA$2:$DA$47,DB4620)=0,COUNTIF($DB$2:DB4620,DB4620)=1),4619,""))</f>
        <v/>
      </c>
    </row>
    <row r="4621">
      <c r="DB4621">
        <f>IF('История отказов'!BA1024="","",'История отказов'!BA1024)</f>
        <v/>
      </c>
      <c r="DL4621">
        <f>IF(DB4621="","",IF(AND(COUNTIF($DA$2:$DA$47,DB4621)=0,COUNTIF($DB$2:DB4621,DB4621)=1),4620,""))</f>
        <v/>
      </c>
    </row>
    <row r="4622">
      <c r="DB4622">
        <f>IF('История отказов'!BA1025="","",'История отказов'!BA1025)</f>
        <v/>
      </c>
      <c r="DL4622">
        <f>IF(DB4622="","",IF(AND(COUNTIF($DA$2:$DA$47,DB4622)=0,COUNTIF($DB$2:DB4622,DB4622)=1),4621,""))</f>
        <v/>
      </c>
    </row>
    <row r="4623">
      <c r="DB4623">
        <f>IF('История отказов'!BA1026="","",'История отказов'!BA1026)</f>
        <v/>
      </c>
      <c r="DL4623">
        <f>IF(DB4623="","",IF(AND(COUNTIF($DA$2:$DA$47,DB4623)=0,COUNTIF($DB$2:DB4623,DB4623)=1),4622,""))</f>
        <v/>
      </c>
    </row>
    <row r="4624">
      <c r="DB4624">
        <f>IF('История отказов'!BA1027="","",'История отказов'!BA1027)</f>
        <v/>
      </c>
      <c r="DL4624">
        <f>IF(DB4624="","",IF(AND(COUNTIF($DA$2:$DA$47,DB4624)=0,COUNTIF($DB$2:DB4624,DB4624)=1),4623,""))</f>
        <v/>
      </c>
    </row>
    <row r="4625">
      <c r="DB4625">
        <f>IF('История отказов'!BA1028="","",'История отказов'!BA1028)</f>
        <v/>
      </c>
      <c r="DL4625">
        <f>IF(DB4625="","",IF(AND(COUNTIF($DA$2:$DA$47,DB4625)=0,COUNTIF($DB$2:DB4625,DB4625)=1),4624,""))</f>
        <v/>
      </c>
    </row>
    <row r="4626">
      <c r="DB4626">
        <f>IF('История отказов'!BA1029="","",'История отказов'!BA1029)</f>
        <v/>
      </c>
      <c r="DL4626">
        <f>IF(DB4626="","",IF(AND(COUNTIF($DA$2:$DA$47,DB4626)=0,COUNTIF($DB$2:DB4626,DB4626)=1),4625,""))</f>
        <v/>
      </c>
    </row>
    <row r="4627">
      <c r="DB4627">
        <f>IF('История отказов'!BA1030="","",'История отказов'!BA1030)</f>
        <v/>
      </c>
      <c r="DL4627">
        <f>IF(DB4627="","",IF(AND(COUNTIF($DA$2:$DA$47,DB4627)=0,COUNTIF($DB$2:DB4627,DB4627)=1),4626,""))</f>
        <v/>
      </c>
    </row>
    <row r="4628">
      <c r="DB4628">
        <f>IF('История отказов'!BA1031="","",'История отказов'!BA1031)</f>
        <v/>
      </c>
      <c r="DL4628">
        <f>IF(DB4628="","",IF(AND(COUNTIF($DA$2:$DA$47,DB4628)=0,COUNTIF($DB$2:DB4628,DB4628)=1),4627,""))</f>
        <v/>
      </c>
    </row>
    <row r="4629">
      <c r="DB4629">
        <f>IF('История отказов'!BA1032="","",'История отказов'!BA1032)</f>
        <v/>
      </c>
      <c r="DL4629">
        <f>IF(DB4629="","",IF(AND(COUNTIF($DA$2:$DA$47,DB4629)=0,COUNTIF($DB$2:DB4629,DB4629)=1),4628,""))</f>
        <v/>
      </c>
    </row>
    <row r="4630">
      <c r="DB4630">
        <f>IF('История отказов'!BA1033="","",'История отказов'!BA1033)</f>
        <v/>
      </c>
      <c r="DL4630">
        <f>IF(DB4630="","",IF(AND(COUNTIF($DA$2:$DA$47,DB4630)=0,COUNTIF($DB$2:DB4630,DB4630)=1),4629,""))</f>
        <v/>
      </c>
    </row>
    <row r="4631">
      <c r="DB4631">
        <f>IF('История отказов'!BA1034="","",'История отказов'!BA1034)</f>
        <v/>
      </c>
      <c r="DL4631">
        <f>IF(DB4631="","",IF(AND(COUNTIF($DA$2:$DA$47,DB4631)=0,COUNTIF($DB$2:DB4631,DB4631)=1),4630,""))</f>
        <v/>
      </c>
    </row>
    <row r="4632">
      <c r="DB4632">
        <f>IF('История отказов'!BA1035="","",'История отказов'!BA1035)</f>
        <v/>
      </c>
      <c r="DL4632">
        <f>IF(DB4632="","",IF(AND(COUNTIF($DA$2:$DA$47,DB4632)=0,COUNTIF($DB$2:DB4632,DB4632)=1),4631,""))</f>
        <v/>
      </c>
    </row>
    <row r="4633">
      <c r="DB4633">
        <f>IF('История отказов'!BA1036="","",'История отказов'!BA1036)</f>
        <v/>
      </c>
      <c r="DL4633">
        <f>IF(DB4633="","",IF(AND(COUNTIF($DA$2:$DA$47,DB4633)=0,COUNTIF($DB$2:DB4633,DB4633)=1),4632,""))</f>
        <v/>
      </c>
    </row>
    <row r="4634">
      <c r="DB4634">
        <f>IF('История отказов'!BA1037="","",'История отказов'!BA1037)</f>
        <v/>
      </c>
      <c r="DL4634">
        <f>IF(DB4634="","",IF(AND(COUNTIF($DA$2:$DA$47,DB4634)=0,COUNTIF($DB$2:DB4634,DB4634)=1),4633,""))</f>
        <v/>
      </c>
    </row>
    <row r="4635">
      <c r="DB4635">
        <f>IF('История отказов'!BA1038="","",'История отказов'!BA1038)</f>
        <v/>
      </c>
      <c r="DL4635">
        <f>IF(DB4635="","",IF(AND(COUNTIF($DA$2:$DA$47,DB4635)=0,COUNTIF($DB$2:DB4635,DB4635)=1),4634,""))</f>
        <v/>
      </c>
    </row>
    <row r="4636">
      <c r="DB4636">
        <f>IF('История отказов'!BA1039="","",'История отказов'!BA1039)</f>
        <v/>
      </c>
      <c r="DL4636">
        <f>IF(DB4636="","",IF(AND(COUNTIF($DA$2:$DA$47,DB4636)=0,COUNTIF($DB$2:DB4636,DB4636)=1),4635,""))</f>
        <v/>
      </c>
    </row>
    <row r="4637">
      <c r="DB4637">
        <f>IF('История отказов'!BA1040="","",'История отказов'!BA1040)</f>
        <v/>
      </c>
      <c r="DL4637">
        <f>IF(DB4637="","",IF(AND(COUNTIF($DA$2:$DA$47,DB4637)=0,COUNTIF($DB$2:DB4637,DB4637)=1),4636,""))</f>
        <v/>
      </c>
    </row>
    <row r="4638">
      <c r="DB4638">
        <f>IF('История отказов'!BA1041="","",'История отказов'!BA1041)</f>
        <v/>
      </c>
      <c r="DL4638">
        <f>IF(DB4638="","",IF(AND(COUNTIF($DA$2:$DA$47,DB4638)=0,COUNTIF($DB$2:DB4638,DB4638)=1),4637,""))</f>
        <v/>
      </c>
    </row>
    <row r="4639">
      <c r="DB4639">
        <f>IF('История отказов'!BA1042="","",'История отказов'!BA1042)</f>
        <v/>
      </c>
      <c r="DL4639">
        <f>IF(DB4639="","",IF(AND(COUNTIF($DA$2:$DA$47,DB4639)=0,COUNTIF($DB$2:DB4639,DB4639)=1),4638,""))</f>
        <v/>
      </c>
    </row>
    <row r="4640">
      <c r="DB4640">
        <f>IF('История отказов'!BA1043="","",'История отказов'!BA1043)</f>
        <v/>
      </c>
      <c r="DL4640">
        <f>IF(DB4640="","",IF(AND(COUNTIF($DA$2:$DA$47,DB4640)=0,COUNTIF($DB$2:DB4640,DB4640)=1),4639,""))</f>
        <v/>
      </c>
    </row>
    <row r="4641">
      <c r="DB4641">
        <f>IF('История отказов'!BA1044="","",'История отказов'!BA1044)</f>
        <v/>
      </c>
      <c r="DL4641">
        <f>IF(DB4641="","",IF(AND(COUNTIF($DA$2:$DA$47,DB4641)=0,COUNTIF($DB$2:DB4641,DB4641)=1),4640,""))</f>
        <v/>
      </c>
    </row>
    <row r="4642">
      <c r="DB4642">
        <f>IF('История отказов'!BA1045="","",'История отказов'!BA1045)</f>
        <v/>
      </c>
      <c r="DL4642">
        <f>IF(DB4642="","",IF(AND(COUNTIF($DA$2:$DA$47,DB4642)=0,COUNTIF($DB$2:DB4642,DB4642)=1),4641,""))</f>
        <v/>
      </c>
    </row>
    <row r="4643">
      <c r="DB4643">
        <f>IF('История отказов'!BA1046="","",'История отказов'!BA1046)</f>
        <v/>
      </c>
      <c r="DL4643">
        <f>IF(DB4643="","",IF(AND(COUNTIF($DA$2:$DA$47,DB4643)=0,COUNTIF($DB$2:DB4643,DB4643)=1),4642,""))</f>
        <v/>
      </c>
    </row>
    <row r="4644">
      <c r="DB4644">
        <f>IF('История отказов'!BA1047="","",'История отказов'!BA1047)</f>
        <v/>
      </c>
      <c r="DL4644">
        <f>IF(DB4644="","",IF(AND(COUNTIF($DA$2:$DA$47,DB4644)=0,COUNTIF($DB$2:DB4644,DB4644)=1),4643,""))</f>
        <v/>
      </c>
    </row>
    <row r="4645">
      <c r="DB4645">
        <f>IF('История отказов'!BA1048="","",'История отказов'!BA1048)</f>
        <v/>
      </c>
      <c r="DL4645">
        <f>IF(DB4645="","",IF(AND(COUNTIF($DA$2:$DA$47,DB4645)=0,COUNTIF($DB$2:DB4645,DB4645)=1),4644,""))</f>
        <v/>
      </c>
    </row>
    <row r="4646">
      <c r="DB4646">
        <f>IF('История отказов'!BA1049="","",'История отказов'!BA1049)</f>
        <v/>
      </c>
      <c r="DL4646">
        <f>IF(DB4646="","",IF(AND(COUNTIF($DA$2:$DA$47,DB4646)=0,COUNTIF($DB$2:DB4646,DB4646)=1),4645,""))</f>
        <v/>
      </c>
    </row>
    <row r="4647">
      <c r="DB4647">
        <f>IF('История отказов'!BA1050="","",'История отказов'!BA1050)</f>
        <v/>
      </c>
      <c r="DL4647">
        <f>IF(DB4647="","",IF(AND(COUNTIF($DA$2:$DA$47,DB4647)=0,COUNTIF($DB$2:DB4647,DB4647)=1),4646,""))</f>
        <v/>
      </c>
    </row>
    <row r="4648">
      <c r="DB4648">
        <f>IF('История отказов'!BA1051="","",'История отказов'!BA1051)</f>
        <v/>
      </c>
      <c r="DL4648">
        <f>IF(DB4648="","",IF(AND(COUNTIF($DA$2:$DA$47,DB4648)=0,COUNTIF($DB$2:DB4648,DB4648)=1),4647,""))</f>
        <v/>
      </c>
    </row>
    <row r="4649">
      <c r="DB4649">
        <f>IF('История отказов'!BA1052="","",'История отказов'!BA1052)</f>
        <v/>
      </c>
      <c r="DL4649">
        <f>IF(DB4649="","",IF(AND(COUNTIF($DA$2:$DA$47,DB4649)=0,COUNTIF($DB$2:DB4649,DB4649)=1),4648,""))</f>
        <v/>
      </c>
    </row>
    <row r="4650">
      <c r="DB4650">
        <f>IF('История отказов'!BA1053="","",'История отказов'!BA1053)</f>
        <v/>
      </c>
      <c r="DL4650">
        <f>IF(DB4650="","",IF(AND(COUNTIF($DA$2:$DA$47,DB4650)=0,COUNTIF($DB$2:DB4650,DB4650)=1),4649,""))</f>
        <v/>
      </c>
    </row>
    <row r="4651">
      <c r="DB4651">
        <f>IF('История отказов'!BA1054="","",'История отказов'!BA1054)</f>
        <v/>
      </c>
      <c r="DL4651">
        <f>IF(DB4651="","",IF(AND(COUNTIF($DA$2:$DA$47,DB4651)=0,COUNTIF($DB$2:DB4651,DB4651)=1),4650,""))</f>
        <v/>
      </c>
    </row>
    <row r="4652">
      <c r="DB4652">
        <f>IF('История отказов'!BA1055="","",'История отказов'!BA1055)</f>
        <v/>
      </c>
      <c r="DL4652">
        <f>IF(DB4652="","",IF(AND(COUNTIF($DA$2:$DA$47,DB4652)=0,COUNTIF($DB$2:DB4652,DB4652)=1),4651,""))</f>
        <v/>
      </c>
    </row>
    <row r="4653">
      <c r="DB4653">
        <f>IF('История отказов'!BA1056="","",'История отказов'!BA1056)</f>
        <v/>
      </c>
      <c r="DL4653">
        <f>IF(DB4653="","",IF(AND(COUNTIF($DA$2:$DA$47,DB4653)=0,COUNTIF($DB$2:DB4653,DB4653)=1),4652,""))</f>
        <v/>
      </c>
    </row>
    <row r="4654">
      <c r="DB4654">
        <f>IF('История отказов'!BA1057="","",'История отказов'!BA1057)</f>
        <v/>
      </c>
      <c r="DL4654">
        <f>IF(DB4654="","",IF(AND(COUNTIF($DA$2:$DA$47,DB4654)=0,COUNTIF($DB$2:DB4654,DB4654)=1),4653,""))</f>
        <v/>
      </c>
    </row>
    <row r="4655">
      <c r="DB4655">
        <f>IF('История отказов'!BA1058="","",'История отказов'!BA1058)</f>
        <v/>
      </c>
      <c r="DL4655">
        <f>IF(DB4655="","",IF(AND(COUNTIF($DA$2:$DA$47,DB4655)=0,COUNTIF($DB$2:DB4655,DB4655)=1),4654,""))</f>
        <v/>
      </c>
    </row>
    <row r="4656">
      <c r="DB4656">
        <f>IF('История отказов'!BA1059="","",'История отказов'!BA1059)</f>
        <v/>
      </c>
      <c r="DL4656">
        <f>IF(DB4656="","",IF(AND(COUNTIF($DA$2:$DA$47,DB4656)=0,COUNTIF($DB$2:DB4656,DB4656)=1),4655,""))</f>
        <v/>
      </c>
    </row>
    <row r="4657">
      <c r="DB4657">
        <f>IF('История отказов'!BA1060="","",'История отказов'!BA1060)</f>
        <v/>
      </c>
      <c r="DL4657">
        <f>IF(DB4657="","",IF(AND(COUNTIF($DA$2:$DA$47,DB4657)=0,COUNTIF($DB$2:DB4657,DB4657)=1),4656,""))</f>
        <v/>
      </c>
    </row>
    <row r="4658">
      <c r="DB4658">
        <f>IF('История отказов'!BA1061="","",'История отказов'!BA1061)</f>
        <v/>
      </c>
      <c r="DL4658">
        <f>IF(DB4658="","",IF(AND(COUNTIF($DA$2:$DA$47,DB4658)=0,COUNTIF($DB$2:DB4658,DB4658)=1),4657,""))</f>
        <v/>
      </c>
    </row>
    <row r="4659">
      <c r="DB4659">
        <f>IF('История отказов'!BA1062="","",'История отказов'!BA1062)</f>
        <v/>
      </c>
      <c r="DL4659">
        <f>IF(DB4659="","",IF(AND(COUNTIF($DA$2:$DA$47,DB4659)=0,COUNTIF($DB$2:DB4659,DB4659)=1),4658,""))</f>
        <v/>
      </c>
    </row>
    <row r="4660">
      <c r="DB4660">
        <f>IF('История отказов'!BA1063="","",'История отказов'!BA1063)</f>
        <v/>
      </c>
      <c r="DL4660">
        <f>IF(DB4660="","",IF(AND(COUNTIF($DA$2:$DA$47,DB4660)=0,COUNTIF($DB$2:DB4660,DB4660)=1),4659,""))</f>
        <v/>
      </c>
    </row>
    <row r="4661">
      <c r="DB4661">
        <f>IF('История отказов'!BA1064="","",'История отказов'!BA1064)</f>
        <v/>
      </c>
      <c r="DL4661">
        <f>IF(DB4661="","",IF(AND(COUNTIF($DA$2:$DA$47,DB4661)=0,COUNTIF($DB$2:DB4661,DB4661)=1),4660,""))</f>
        <v/>
      </c>
    </row>
    <row r="4662">
      <c r="DB4662">
        <f>IF('История отказов'!BA1065="","",'История отказов'!BA1065)</f>
        <v/>
      </c>
      <c r="DL4662">
        <f>IF(DB4662="","",IF(AND(COUNTIF($DA$2:$DA$47,DB4662)=0,COUNTIF($DB$2:DB4662,DB4662)=1),4661,""))</f>
        <v/>
      </c>
    </row>
    <row r="4663">
      <c r="DB4663">
        <f>IF('История отказов'!BA1066="","",'История отказов'!BA1066)</f>
        <v/>
      </c>
      <c r="DL4663">
        <f>IF(DB4663="","",IF(AND(COUNTIF($DA$2:$DA$47,DB4663)=0,COUNTIF($DB$2:DB4663,DB4663)=1),4662,""))</f>
        <v/>
      </c>
    </row>
    <row r="4664">
      <c r="DB4664">
        <f>IF('История отказов'!BA1067="","",'История отказов'!BA1067)</f>
        <v/>
      </c>
      <c r="DL4664">
        <f>IF(DB4664="","",IF(AND(COUNTIF($DA$2:$DA$47,DB4664)=0,COUNTIF($DB$2:DB4664,DB4664)=1),4663,""))</f>
        <v/>
      </c>
    </row>
    <row r="4665">
      <c r="DB4665">
        <f>IF('История отказов'!BA1068="","",'История отказов'!BA1068)</f>
        <v/>
      </c>
      <c r="DL4665">
        <f>IF(DB4665="","",IF(AND(COUNTIF($DA$2:$DA$47,DB4665)=0,COUNTIF($DB$2:DB4665,DB4665)=1),4664,""))</f>
        <v/>
      </c>
    </row>
    <row r="4666">
      <c r="DB4666">
        <f>IF('История отказов'!BA1069="","",'История отказов'!BA1069)</f>
        <v/>
      </c>
      <c r="DL4666">
        <f>IF(DB4666="","",IF(AND(COUNTIF($DA$2:$DA$47,DB4666)=0,COUNTIF($DB$2:DB4666,DB4666)=1),4665,""))</f>
        <v/>
      </c>
    </row>
    <row r="4667">
      <c r="DB4667">
        <f>IF('История отказов'!BA1070="","",'История отказов'!BA1070)</f>
        <v/>
      </c>
      <c r="DL4667">
        <f>IF(DB4667="","",IF(AND(COUNTIF($DA$2:$DA$47,DB4667)=0,COUNTIF($DB$2:DB4667,DB4667)=1),4666,""))</f>
        <v/>
      </c>
    </row>
    <row r="4668">
      <c r="DB4668">
        <f>IF('История отказов'!BA1071="","",'История отказов'!BA1071)</f>
        <v/>
      </c>
      <c r="DL4668">
        <f>IF(DB4668="","",IF(AND(COUNTIF($DA$2:$DA$47,DB4668)=0,COUNTIF($DB$2:DB4668,DB4668)=1),4667,""))</f>
        <v/>
      </c>
    </row>
    <row r="4669">
      <c r="DB4669">
        <f>IF('История отказов'!BA1072="","",'История отказов'!BA1072)</f>
        <v/>
      </c>
      <c r="DL4669">
        <f>IF(DB4669="","",IF(AND(COUNTIF($DA$2:$DA$47,DB4669)=0,COUNTIF($DB$2:DB4669,DB4669)=1),4668,""))</f>
        <v/>
      </c>
    </row>
    <row r="4670">
      <c r="DB4670">
        <f>IF('История отказов'!BA1073="","",'История отказов'!BA1073)</f>
        <v/>
      </c>
      <c r="DL4670">
        <f>IF(DB4670="","",IF(AND(COUNTIF($DA$2:$DA$47,DB4670)=0,COUNTIF($DB$2:DB4670,DB4670)=1),4669,""))</f>
        <v/>
      </c>
    </row>
    <row r="4671">
      <c r="DB4671">
        <f>IF('История отказов'!BA1074="","",'История отказов'!BA1074)</f>
        <v/>
      </c>
      <c r="DL4671">
        <f>IF(DB4671="","",IF(AND(COUNTIF($DA$2:$DA$47,DB4671)=0,COUNTIF($DB$2:DB4671,DB4671)=1),4670,""))</f>
        <v/>
      </c>
    </row>
    <row r="4672">
      <c r="DB4672">
        <f>IF('История отказов'!BA1075="","",'История отказов'!BA1075)</f>
        <v/>
      </c>
      <c r="DL4672">
        <f>IF(DB4672="","",IF(AND(COUNTIF($DA$2:$DA$47,DB4672)=0,COUNTIF($DB$2:DB4672,DB4672)=1),4671,""))</f>
        <v/>
      </c>
    </row>
    <row r="4673">
      <c r="DB4673">
        <f>IF('История отказов'!BA1076="","",'История отказов'!BA1076)</f>
        <v/>
      </c>
      <c r="DL4673">
        <f>IF(DB4673="","",IF(AND(COUNTIF($DA$2:$DA$47,DB4673)=0,COUNTIF($DB$2:DB4673,DB4673)=1),4672,""))</f>
        <v/>
      </c>
    </row>
    <row r="4674">
      <c r="DB4674">
        <f>IF('История отказов'!BA1077="","",'История отказов'!BA1077)</f>
        <v/>
      </c>
      <c r="DL4674">
        <f>IF(DB4674="","",IF(AND(COUNTIF($DA$2:$DA$47,DB4674)=0,COUNTIF($DB$2:DB4674,DB4674)=1),4673,""))</f>
        <v/>
      </c>
    </row>
    <row r="4675">
      <c r="DB4675">
        <f>IF('История отказов'!BA1078="","",'История отказов'!BA1078)</f>
        <v/>
      </c>
      <c r="DL4675">
        <f>IF(DB4675="","",IF(AND(COUNTIF($DA$2:$DA$47,DB4675)=0,COUNTIF($DB$2:DB4675,DB4675)=1),4674,""))</f>
        <v/>
      </c>
    </row>
    <row r="4676">
      <c r="DB4676">
        <f>IF('История отказов'!BA1079="","",'История отказов'!BA1079)</f>
        <v/>
      </c>
      <c r="DL4676">
        <f>IF(DB4676="","",IF(AND(COUNTIF($DA$2:$DA$47,DB4676)=0,COUNTIF($DB$2:DB4676,DB4676)=1),4675,""))</f>
        <v/>
      </c>
    </row>
    <row r="4677">
      <c r="DB4677">
        <f>IF('История отказов'!BA1080="","",'История отказов'!BA1080)</f>
        <v/>
      </c>
      <c r="DL4677">
        <f>IF(DB4677="","",IF(AND(COUNTIF($DA$2:$DA$47,DB4677)=0,COUNTIF($DB$2:DB4677,DB4677)=1),4676,""))</f>
        <v/>
      </c>
    </row>
    <row r="4678">
      <c r="DB4678">
        <f>IF('История отказов'!BA1081="","",'История отказов'!BA1081)</f>
        <v/>
      </c>
      <c r="DL4678">
        <f>IF(DB4678="","",IF(AND(COUNTIF($DA$2:$DA$47,DB4678)=0,COUNTIF($DB$2:DB4678,DB4678)=1),4677,""))</f>
        <v/>
      </c>
    </row>
    <row r="4679">
      <c r="DB4679">
        <f>IF('История отказов'!BA1082="","",'История отказов'!BA1082)</f>
        <v/>
      </c>
      <c r="DL4679">
        <f>IF(DB4679="","",IF(AND(COUNTIF($DA$2:$DA$47,DB4679)=0,COUNTIF($DB$2:DB4679,DB4679)=1),4678,""))</f>
        <v/>
      </c>
    </row>
    <row r="4680">
      <c r="DB4680">
        <f>IF('История отказов'!BA1083="","",'История отказов'!BA1083)</f>
        <v/>
      </c>
      <c r="DL4680">
        <f>IF(DB4680="","",IF(AND(COUNTIF($DA$2:$DA$47,DB4680)=0,COUNTIF($DB$2:DB4680,DB4680)=1),4679,""))</f>
        <v/>
      </c>
    </row>
    <row r="4681">
      <c r="DB4681">
        <f>IF('История отказов'!BA1084="","",'История отказов'!BA1084)</f>
        <v/>
      </c>
      <c r="DL4681">
        <f>IF(DB4681="","",IF(AND(COUNTIF($DA$2:$DA$47,DB4681)=0,COUNTIF($DB$2:DB4681,DB4681)=1),4680,""))</f>
        <v/>
      </c>
    </row>
    <row r="4682">
      <c r="DB4682">
        <f>IF('История отказов'!BA1085="","",'История отказов'!BA1085)</f>
        <v/>
      </c>
      <c r="DL4682">
        <f>IF(DB4682="","",IF(AND(COUNTIF($DA$2:$DA$47,DB4682)=0,COUNTIF($DB$2:DB4682,DB4682)=1),4681,""))</f>
        <v/>
      </c>
    </row>
    <row r="4683">
      <c r="DB4683">
        <f>IF('История отказов'!BA1086="","",'История отказов'!BA1086)</f>
        <v/>
      </c>
      <c r="DL4683">
        <f>IF(DB4683="","",IF(AND(COUNTIF($DA$2:$DA$47,DB4683)=0,COUNTIF($DB$2:DB4683,DB4683)=1),4682,""))</f>
        <v/>
      </c>
    </row>
    <row r="4684">
      <c r="DB4684">
        <f>IF('История отказов'!BA1087="","",'История отказов'!BA1087)</f>
        <v/>
      </c>
      <c r="DL4684">
        <f>IF(DB4684="","",IF(AND(COUNTIF($DA$2:$DA$47,DB4684)=0,COUNTIF($DB$2:DB4684,DB4684)=1),4683,""))</f>
        <v/>
      </c>
    </row>
    <row r="4685">
      <c r="DB4685">
        <f>IF('История отказов'!BA1088="","",'История отказов'!BA1088)</f>
        <v/>
      </c>
      <c r="DL4685">
        <f>IF(DB4685="","",IF(AND(COUNTIF($DA$2:$DA$47,DB4685)=0,COUNTIF($DB$2:DB4685,DB4685)=1),4684,""))</f>
        <v/>
      </c>
    </row>
    <row r="4686">
      <c r="DB4686">
        <f>IF('История отказов'!BA1089="","",'История отказов'!BA1089)</f>
        <v/>
      </c>
      <c r="DL4686">
        <f>IF(DB4686="","",IF(AND(COUNTIF($DA$2:$DA$47,DB4686)=0,COUNTIF($DB$2:DB4686,DB4686)=1),4685,""))</f>
        <v/>
      </c>
    </row>
    <row r="4687">
      <c r="DB4687">
        <f>IF('История отказов'!BA1090="","",'История отказов'!BA1090)</f>
        <v/>
      </c>
      <c r="DL4687">
        <f>IF(DB4687="","",IF(AND(COUNTIF($DA$2:$DA$47,DB4687)=0,COUNTIF($DB$2:DB4687,DB4687)=1),4686,""))</f>
        <v/>
      </c>
    </row>
    <row r="4688">
      <c r="DB4688">
        <f>IF('История отказов'!BA1091="","",'История отказов'!BA1091)</f>
        <v/>
      </c>
      <c r="DL4688">
        <f>IF(DB4688="","",IF(AND(COUNTIF($DA$2:$DA$47,DB4688)=0,COUNTIF($DB$2:DB4688,DB4688)=1),4687,""))</f>
        <v/>
      </c>
    </row>
    <row r="4689">
      <c r="DB4689">
        <f>IF('История отказов'!BA1092="","",'История отказов'!BA1092)</f>
        <v/>
      </c>
      <c r="DL4689">
        <f>IF(DB4689="","",IF(AND(COUNTIF($DA$2:$DA$47,DB4689)=0,COUNTIF($DB$2:DB4689,DB4689)=1),4688,""))</f>
        <v/>
      </c>
    </row>
    <row r="4690">
      <c r="DB4690">
        <f>IF('История отказов'!BA1093="","",'История отказов'!BA1093)</f>
        <v/>
      </c>
      <c r="DL4690">
        <f>IF(DB4690="","",IF(AND(COUNTIF($DA$2:$DA$47,DB4690)=0,COUNTIF($DB$2:DB4690,DB4690)=1),4689,""))</f>
        <v/>
      </c>
    </row>
    <row r="4691">
      <c r="DB4691">
        <f>IF('История отказов'!BA1094="","",'История отказов'!BA1094)</f>
        <v/>
      </c>
      <c r="DL4691">
        <f>IF(DB4691="","",IF(AND(COUNTIF($DA$2:$DA$47,DB4691)=0,COUNTIF($DB$2:DB4691,DB4691)=1),4690,""))</f>
        <v/>
      </c>
    </row>
    <row r="4692">
      <c r="DB4692">
        <f>IF('История отказов'!BA1095="","",'История отказов'!BA1095)</f>
        <v/>
      </c>
      <c r="DL4692">
        <f>IF(DB4692="","",IF(AND(COUNTIF($DA$2:$DA$47,DB4692)=0,COUNTIF($DB$2:DB4692,DB4692)=1),4691,""))</f>
        <v/>
      </c>
    </row>
    <row r="4693">
      <c r="DB4693">
        <f>IF('История отказов'!BA1096="","",'История отказов'!BA1096)</f>
        <v/>
      </c>
      <c r="DL4693">
        <f>IF(DB4693="","",IF(AND(COUNTIF($DA$2:$DA$47,DB4693)=0,COUNTIF($DB$2:DB4693,DB4693)=1),4692,""))</f>
        <v/>
      </c>
    </row>
    <row r="4694">
      <c r="DB4694">
        <f>IF('История отказов'!BA1097="","",'История отказов'!BA1097)</f>
        <v/>
      </c>
      <c r="DL4694">
        <f>IF(DB4694="","",IF(AND(COUNTIF($DA$2:$DA$47,DB4694)=0,COUNTIF($DB$2:DB4694,DB4694)=1),4693,""))</f>
        <v/>
      </c>
    </row>
    <row r="4695">
      <c r="DB4695">
        <f>IF('История отказов'!BA1098="","",'История отказов'!BA1098)</f>
        <v/>
      </c>
      <c r="DL4695">
        <f>IF(DB4695="","",IF(AND(COUNTIF($DA$2:$DA$47,DB4695)=0,COUNTIF($DB$2:DB4695,DB4695)=1),4694,""))</f>
        <v/>
      </c>
    </row>
    <row r="4696">
      <c r="DB4696">
        <f>IF('История отказов'!BA1099="","",'История отказов'!BA1099)</f>
        <v/>
      </c>
      <c r="DL4696">
        <f>IF(DB4696="","",IF(AND(COUNTIF($DA$2:$DA$47,DB4696)=0,COUNTIF($DB$2:DB4696,DB4696)=1),4695,""))</f>
        <v/>
      </c>
    </row>
    <row r="4697">
      <c r="DB4697">
        <f>IF('История отказов'!BA1100="","",'История отказов'!BA1100)</f>
        <v/>
      </c>
      <c r="DL4697">
        <f>IF(DB4697="","",IF(AND(COUNTIF($DA$2:$DA$47,DB4697)=0,COUNTIF($DB$2:DB4697,DB4697)=1),4696,""))</f>
        <v/>
      </c>
    </row>
    <row r="4698">
      <c r="DB4698">
        <f>IF('История отказов'!BA1101="","",'История отказов'!BA1101)</f>
        <v/>
      </c>
      <c r="DL4698">
        <f>IF(DB4698="","",IF(AND(COUNTIF($DA$2:$DA$47,DB4698)=0,COUNTIF($DB$2:DB4698,DB4698)=1),4697,""))</f>
        <v/>
      </c>
    </row>
    <row r="4699">
      <c r="DB4699">
        <f>IF('История отказов'!BA1102="","",'История отказов'!BA1102)</f>
        <v/>
      </c>
      <c r="DL4699">
        <f>IF(DB4699="","",IF(AND(COUNTIF($DA$2:$DA$47,DB4699)=0,COUNTIF($DB$2:DB4699,DB4699)=1),4698,""))</f>
        <v/>
      </c>
    </row>
    <row r="4700">
      <c r="DB4700">
        <f>IF('История отказов'!BA1103="","",'История отказов'!BA1103)</f>
        <v/>
      </c>
      <c r="DL4700">
        <f>IF(DB4700="","",IF(AND(COUNTIF($DA$2:$DA$47,DB4700)=0,COUNTIF($DB$2:DB4700,DB4700)=1),4699,""))</f>
        <v/>
      </c>
    </row>
    <row r="4701">
      <c r="DB4701">
        <f>IF('История отказов'!BA1104="","",'История отказов'!BA1104)</f>
        <v/>
      </c>
      <c r="DL4701">
        <f>IF(DB4701="","",IF(AND(COUNTIF($DA$2:$DA$47,DB4701)=0,COUNTIF($DB$2:DB4701,DB4701)=1),4700,""))</f>
        <v/>
      </c>
    </row>
    <row r="4702">
      <c r="DB4702">
        <f>IF('История отказов'!BA1105="","",'История отказов'!BA1105)</f>
        <v/>
      </c>
      <c r="DL4702">
        <f>IF(DB4702="","",IF(AND(COUNTIF($DA$2:$DA$47,DB4702)=0,COUNTIF($DB$2:DB4702,DB4702)=1),4701,""))</f>
        <v/>
      </c>
    </row>
    <row r="4703">
      <c r="DB4703">
        <f>IF('История отказов'!BA1106="","",'История отказов'!BA1106)</f>
        <v/>
      </c>
      <c r="DL4703">
        <f>IF(DB4703="","",IF(AND(COUNTIF($DA$2:$DA$47,DB4703)=0,COUNTIF($DB$2:DB4703,DB4703)=1),4702,""))</f>
        <v/>
      </c>
    </row>
    <row r="4704">
      <c r="DB4704">
        <f>IF('История отказов'!BA1107="","",'История отказов'!BA1107)</f>
        <v/>
      </c>
      <c r="DL4704">
        <f>IF(DB4704="","",IF(AND(COUNTIF($DA$2:$DA$47,DB4704)=0,COUNTIF($DB$2:DB4704,DB4704)=1),4703,""))</f>
        <v/>
      </c>
    </row>
    <row r="4705">
      <c r="DB4705">
        <f>IF('История отказов'!BA1108="","",'История отказов'!BA1108)</f>
        <v/>
      </c>
      <c r="DL4705">
        <f>IF(DB4705="","",IF(AND(COUNTIF($DA$2:$DA$47,DB4705)=0,COUNTIF($DB$2:DB4705,DB4705)=1),4704,""))</f>
        <v/>
      </c>
    </row>
    <row r="4706">
      <c r="DB4706">
        <f>IF('История отказов'!BA1109="","",'История отказов'!BA1109)</f>
        <v/>
      </c>
      <c r="DL4706">
        <f>IF(DB4706="","",IF(AND(COUNTIF($DA$2:$DA$47,DB4706)=0,COUNTIF($DB$2:DB4706,DB4706)=1),4705,""))</f>
        <v/>
      </c>
    </row>
    <row r="4707">
      <c r="DB4707">
        <f>IF('История отказов'!BA1110="","",'История отказов'!BA1110)</f>
        <v/>
      </c>
      <c r="DL4707">
        <f>IF(DB4707="","",IF(AND(COUNTIF($DA$2:$DA$47,DB4707)=0,COUNTIF($DB$2:DB4707,DB4707)=1),4706,""))</f>
        <v/>
      </c>
    </row>
    <row r="4708">
      <c r="DB4708">
        <f>IF('История отказов'!BA1111="","",'История отказов'!BA1111)</f>
        <v/>
      </c>
      <c r="DL4708">
        <f>IF(DB4708="","",IF(AND(COUNTIF($DA$2:$DA$47,DB4708)=0,COUNTIF($DB$2:DB4708,DB4708)=1),4707,""))</f>
        <v/>
      </c>
    </row>
    <row r="4709">
      <c r="DB4709">
        <f>IF('История отказов'!BA1112="","",'История отказов'!BA1112)</f>
        <v/>
      </c>
      <c r="DL4709">
        <f>IF(DB4709="","",IF(AND(COUNTIF($DA$2:$DA$47,DB4709)=0,COUNTIF($DB$2:DB4709,DB4709)=1),4708,""))</f>
        <v/>
      </c>
    </row>
    <row r="4710">
      <c r="DB4710">
        <f>IF('История отказов'!BA1113="","",'История отказов'!BA1113)</f>
        <v/>
      </c>
      <c r="DL4710">
        <f>IF(DB4710="","",IF(AND(COUNTIF($DA$2:$DA$47,DB4710)=0,COUNTIF($DB$2:DB4710,DB4710)=1),4709,""))</f>
        <v/>
      </c>
    </row>
    <row r="4711">
      <c r="DB4711">
        <f>IF('История отказов'!BA1114="","",'История отказов'!BA1114)</f>
        <v/>
      </c>
      <c r="DL4711">
        <f>IF(DB4711="","",IF(AND(COUNTIF($DA$2:$DA$47,DB4711)=0,COUNTIF($DB$2:DB4711,DB4711)=1),4710,""))</f>
        <v/>
      </c>
    </row>
    <row r="4712">
      <c r="DB4712">
        <f>IF('История отказов'!BA1115="","",'История отказов'!BA1115)</f>
        <v/>
      </c>
      <c r="DL4712">
        <f>IF(DB4712="","",IF(AND(COUNTIF($DA$2:$DA$47,DB4712)=0,COUNTIF($DB$2:DB4712,DB4712)=1),4711,""))</f>
        <v/>
      </c>
    </row>
    <row r="4713">
      <c r="DB4713">
        <f>IF('История отказов'!BA1116="","",'История отказов'!BA1116)</f>
        <v/>
      </c>
      <c r="DL4713">
        <f>IF(DB4713="","",IF(AND(COUNTIF($DA$2:$DA$47,DB4713)=0,COUNTIF($DB$2:DB4713,DB4713)=1),4712,""))</f>
        <v/>
      </c>
    </row>
    <row r="4714">
      <c r="DB4714">
        <f>IF('История отказов'!BA1117="","",'История отказов'!BA1117)</f>
        <v/>
      </c>
      <c r="DL4714">
        <f>IF(DB4714="","",IF(AND(COUNTIF($DA$2:$DA$47,DB4714)=0,COUNTIF($DB$2:DB4714,DB4714)=1),4713,""))</f>
        <v/>
      </c>
    </row>
    <row r="4715">
      <c r="DB4715">
        <f>IF('История отказов'!BA1118="","",'История отказов'!BA1118)</f>
        <v/>
      </c>
      <c r="DL4715">
        <f>IF(DB4715="","",IF(AND(COUNTIF($DA$2:$DA$47,DB4715)=0,COUNTIF($DB$2:DB4715,DB4715)=1),4714,""))</f>
        <v/>
      </c>
    </row>
    <row r="4716">
      <c r="DB4716">
        <f>IF('История отказов'!BA1119="","",'История отказов'!BA1119)</f>
        <v/>
      </c>
      <c r="DL4716">
        <f>IF(DB4716="","",IF(AND(COUNTIF($DA$2:$DA$47,DB4716)=0,COUNTIF($DB$2:DB4716,DB4716)=1),4715,""))</f>
        <v/>
      </c>
    </row>
    <row r="4717">
      <c r="DB4717">
        <f>IF('История отказов'!BA1120="","",'История отказов'!BA1120)</f>
        <v/>
      </c>
      <c r="DL4717">
        <f>IF(DB4717="","",IF(AND(COUNTIF($DA$2:$DA$47,DB4717)=0,COUNTIF($DB$2:DB4717,DB4717)=1),4716,""))</f>
        <v/>
      </c>
    </row>
    <row r="4718">
      <c r="DB4718">
        <f>IF('История отказов'!BA1121="","",'История отказов'!BA1121)</f>
        <v/>
      </c>
      <c r="DL4718">
        <f>IF(DB4718="","",IF(AND(COUNTIF($DA$2:$DA$47,DB4718)=0,COUNTIF($DB$2:DB4718,DB4718)=1),4717,""))</f>
        <v/>
      </c>
    </row>
    <row r="4719">
      <c r="DB4719">
        <f>IF('История отказов'!BA1122="","",'История отказов'!BA1122)</f>
        <v/>
      </c>
      <c r="DL4719">
        <f>IF(DB4719="","",IF(AND(COUNTIF($DA$2:$DA$47,DB4719)=0,COUNTIF($DB$2:DB4719,DB4719)=1),4718,""))</f>
        <v/>
      </c>
    </row>
    <row r="4720">
      <c r="DB4720">
        <f>IF('История отказов'!BA1123="","",'История отказов'!BA1123)</f>
        <v/>
      </c>
      <c r="DL4720">
        <f>IF(DB4720="","",IF(AND(COUNTIF($DA$2:$DA$47,DB4720)=0,COUNTIF($DB$2:DB4720,DB4720)=1),4719,""))</f>
        <v/>
      </c>
    </row>
    <row r="4721">
      <c r="DB4721">
        <f>IF('История отказов'!BA1124="","",'История отказов'!BA1124)</f>
        <v/>
      </c>
      <c r="DL4721">
        <f>IF(DB4721="","",IF(AND(COUNTIF($DA$2:$DA$47,DB4721)=0,COUNTIF($DB$2:DB4721,DB4721)=1),4720,""))</f>
        <v/>
      </c>
    </row>
    <row r="4722">
      <c r="DB4722">
        <f>IF('История отказов'!BA1125="","",'История отказов'!BA1125)</f>
        <v/>
      </c>
      <c r="DL4722">
        <f>IF(DB4722="","",IF(AND(COUNTIF($DA$2:$DA$47,DB4722)=0,COUNTIF($DB$2:DB4722,DB4722)=1),4721,""))</f>
        <v/>
      </c>
    </row>
    <row r="4723">
      <c r="DB4723">
        <f>IF('История отказов'!BA1126="","",'История отказов'!BA1126)</f>
        <v/>
      </c>
      <c r="DL4723">
        <f>IF(DB4723="","",IF(AND(COUNTIF($DA$2:$DA$47,DB4723)=0,COUNTIF($DB$2:DB4723,DB4723)=1),4722,""))</f>
        <v/>
      </c>
    </row>
    <row r="4724">
      <c r="DB4724">
        <f>IF('История отказов'!BA1127="","",'История отказов'!BA1127)</f>
        <v/>
      </c>
      <c r="DL4724">
        <f>IF(DB4724="","",IF(AND(COUNTIF($DA$2:$DA$47,DB4724)=0,COUNTIF($DB$2:DB4724,DB4724)=1),4723,""))</f>
        <v/>
      </c>
    </row>
    <row r="4725">
      <c r="DB4725">
        <f>IF('История отказов'!BA1128="","",'История отказов'!BA1128)</f>
        <v/>
      </c>
      <c r="DL4725">
        <f>IF(DB4725="","",IF(AND(COUNTIF($DA$2:$DA$47,DB4725)=0,COUNTIF($DB$2:DB4725,DB4725)=1),4724,""))</f>
        <v/>
      </c>
    </row>
    <row r="4726">
      <c r="DB4726">
        <f>IF('История отказов'!BA1129="","",'История отказов'!BA1129)</f>
        <v/>
      </c>
      <c r="DL4726">
        <f>IF(DB4726="","",IF(AND(COUNTIF($DA$2:$DA$47,DB4726)=0,COUNTIF($DB$2:DB4726,DB4726)=1),4725,""))</f>
        <v/>
      </c>
    </row>
    <row r="4727">
      <c r="DB4727">
        <f>IF('История отказов'!BA1130="","",'История отказов'!BA1130)</f>
        <v/>
      </c>
      <c r="DL4727">
        <f>IF(DB4727="","",IF(AND(COUNTIF($DA$2:$DA$47,DB4727)=0,COUNTIF($DB$2:DB4727,DB4727)=1),4726,""))</f>
        <v/>
      </c>
    </row>
    <row r="4728">
      <c r="DB4728">
        <f>IF('История отказов'!BA1131="","",'История отказов'!BA1131)</f>
        <v/>
      </c>
      <c r="DL4728">
        <f>IF(DB4728="","",IF(AND(COUNTIF($DA$2:$DA$47,DB4728)=0,COUNTIF($DB$2:DB4728,DB4728)=1),4727,""))</f>
        <v/>
      </c>
    </row>
    <row r="4729">
      <c r="DB4729">
        <f>IF('История отказов'!BA1132="","",'История отказов'!BA1132)</f>
        <v/>
      </c>
      <c r="DL4729">
        <f>IF(DB4729="","",IF(AND(COUNTIF($DA$2:$DA$47,DB4729)=0,COUNTIF($DB$2:DB4729,DB4729)=1),4728,""))</f>
        <v/>
      </c>
    </row>
    <row r="4730">
      <c r="DB4730">
        <f>IF('История отказов'!BA1133="","",'История отказов'!BA1133)</f>
        <v/>
      </c>
      <c r="DL4730">
        <f>IF(DB4730="","",IF(AND(COUNTIF($DA$2:$DA$47,DB4730)=0,COUNTIF($DB$2:DB4730,DB4730)=1),4729,""))</f>
        <v/>
      </c>
    </row>
    <row r="4731">
      <c r="DB4731">
        <f>IF('История отказов'!BA1134="","",'История отказов'!BA1134)</f>
        <v/>
      </c>
      <c r="DL4731">
        <f>IF(DB4731="","",IF(AND(COUNTIF($DA$2:$DA$47,DB4731)=0,COUNTIF($DB$2:DB4731,DB4731)=1),4730,""))</f>
        <v/>
      </c>
    </row>
    <row r="4732">
      <c r="DB4732">
        <f>IF('История отказов'!BA1135="","",'История отказов'!BA1135)</f>
        <v/>
      </c>
      <c r="DL4732">
        <f>IF(DB4732="","",IF(AND(COUNTIF($DA$2:$DA$47,DB4732)=0,COUNTIF($DB$2:DB4732,DB4732)=1),4731,""))</f>
        <v/>
      </c>
    </row>
    <row r="4733">
      <c r="DB4733">
        <f>IF('История отказов'!BA1136="","",'История отказов'!BA1136)</f>
        <v/>
      </c>
      <c r="DL4733">
        <f>IF(DB4733="","",IF(AND(COUNTIF($DA$2:$DA$47,DB4733)=0,COUNTIF($DB$2:DB4733,DB4733)=1),4732,""))</f>
        <v/>
      </c>
    </row>
    <row r="4734">
      <c r="DB4734">
        <f>IF('История отказов'!BA1137="","",'История отказов'!BA1137)</f>
        <v/>
      </c>
      <c r="DL4734">
        <f>IF(DB4734="","",IF(AND(COUNTIF($DA$2:$DA$47,DB4734)=0,COUNTIF($DB$2:DB4734,DB4734)=1),4733,""))</f>
        <v/>
      </c>
    </row>
    <row r="4735">
      <c r="DB4735">
        <f>IF('История отказов'!BA1138="","",'История отказов'!BA1138)</f>
        <v/>
      </c>
      <c r="DL4735">
        <f>IF(DB4735="","",IF(AND(COUNTIF($DA$2:$DA$47,DB4735)=0,COUNTIF($DB$2:DB4735,DB4735)=1),4734,""))</f>
        <v/>
      </c>
    </row>
    <row r="4736">
      <c r="DB4736">
        <f>IF('История отказов'!BA1139="","",'История отказов'!BA1139)</f>
        <v/>
      </c>
      <c r="DL4736">
        <f>IF(DB4736="","",IF(AND(COUNTIF($DA$2:$DA$47,DB4736)=0,COUNTIF($DB$2:DB4736,DB4736)=1),4735,""))</f>
        <v/>
      </c>
    </row>
    <row r="4737">
      <c r="DB4737">
        <f>IF('История отказов'!BA1140="","",'История отказов'!BA1140)</f>
        <v/>
      </c>
      <c r="DL4737">
        <f>IF(DB4737="","",IF(AND(COUNTIF($DA$2:$DA$47,DB4737)=0,COUNTIF($DB$2:DB4737,DB4737)=1),4736,""))</f>
        <v/>
      </c>
    </row>
    <row r="4738">
      <c r="DB4738">
        <f>IF('История отказов'!BA1141="","",'История отказов'!BA1141)</f>
        <v/>
      </c>
      <c r="DL4738">
        <f>IF(DB4738="","",IF(AND(COUNTIF($DA$2:$DA$47,DB4738)=0,COUNTIF($DB$2:DB4738,DB4738)=1),4737,""))</f>
        <v/>
      </c>
    </row>
    <row r="4739">
      <c r="DB4739">
        <f>IF('История отказов'!BA1142="","",'История отказов'!BA1142)</f>
        <v/>
      </c>
      <c r="DL4739">
        <f>IF(DB4739="","",IF(AND(COUNTIF($DA$2:$DA$47,DB4739)=0,COUNTIF($DB$2:DB4739,DB4739)=1),4738,""))</f>
        <v/>
      </c>
    </row>
    <row r="4740">
      <c r="DB4740">
        <f>IF('История отказов'!BA1143="","",'История отказов'!BA1143)</f>
        <v/>
      </c>
      <c r="DL4740">
        <f>IF(DB4740="","",IF(AND(COUNTIF($DA$2:$DA$47,DB4740)=0,COUNTIF($DB$2:DB4740,DB4740)=1),4739,""))</f>
        <v/>
      </c>
    </row>
    <row r="4741">
      <c r="DB4741">
        <f>IF('История отказов'!BA1144="","",'История отказов'!BA1144)</f>
        <v/>
      </c>
      <c r="DL4741">
        <f>IF(DB4741="","",IF(AND(COUNTIF($DA$2:$DA$47,DB4741)=0,COUNTIF($DB$2:DB4741,DB4741)=1),4740,""))</f>
        <v/>
      </c>
    </row>
    <row r="4742">
      <c r="DB4742">
        <f>IF('История отказов'!BA1145="","",'История отказов'!BA1145)</f>
        <v/>
      </c>
      <c r="DL4742">
        <f>IF(DB4742="","",IF(AND(COUNTIF($DA$2:$DA$47,DB4742)=0,COUNTIF($DB$2:DB4742,DB4742)=1),4741,""))</f>
        <v/>
      </c>
    </row>
    <row r="4743">
      <c r="DB4743">
        <f>IF('История отказов'!BA1146="","",'История отказов'!BA1146)</f>
        <v/>
      </c>
      <c r="DL4743">
        <f>IF(DB4743="","",IF(AND(COUNTIF($DA$2:$DA$47,DB4743)=0,COUNTIF($DB$2:DB4743,DB4743)=1),4742,""))</f>
        <v/>
      </c>
    </row>
    <row r="4744">
      <c r="DB4744">
        <f>IF('История отказов'!BA1147="","",'История отказов'!BA1147)</f>
        <v/>
      </c>
      <c r="DL4744">
        <f>IF(DB4744="","",IF(AND(COUNTIF($DA$2:$DA$47,DB4744)=0,COUNTIF($DB$2:DB4744,DB4744)=1),4743,""))</f>
        <v/>
      </c>
    </row>
    <row r="4745">
      <c r="DB4745">
        <f>IF('История отказов'!BA1148="","",'История отказов'!BA1148)</f>
        <v/>
      </c>
      <c r="DL4745">
        <f>IF(DB4745="","",IF(AND(COUNTIF($DA$2:$DA$47,DB4745)=0,COUNTIF($DB$2:DB4745,DB4745)=1),4744,""))</f>
        <v/>
      </c>
    </row>
    <row r="4746">
      <c r="DB4746">
        <f>IF('История отказов'!BA1149="","",'История отказов'!BA1149)</f>
        <v/>
      </c>
      <c r="DL4746">
        <f>IF(DB4746="","",IF(AND(COUNTIF($DA$2:$DA$47,DB4746)=0,COUNTIF($DB$2:DB4746,DB4746)=1),4745,""))</f>
        <v/>
      </c>
    </row>
    <row r="4747">
      <c r="DB4747">
        <f>IF('История отказов'!BA1150="","",'История отказов'!BA1150)</f>
        <v/>
      </c>
      <c r="DL4747">
        <f>IF(DB4747="","",IF(AND(COUNTIF($DA$2:$DA$47,DB4747)=0,COUNTIF($DB$2:DB4747,DB4747)=1),4746,""))</f>
        <v/>
      </c>
    </row>
    <row r="4748">
      <c r="DB4748">
        <f>IF('История отказов'!BA1151="","",'История отказов'!BA1151)</f>
        <v/>
      </c>
      <c r="DL4748">
        <f>IF(DB4748="","",IF(AND(COUNTIF($DA$2:$DA$47,DB4748)=0,COUNTIF($DB$2:DB4748,DB4748)=1),4747,""))</f>
        <v/>
      </c>
    </row>
    <row r="4749">
      <c r="DB4749">
        <f>IF('История отказов'!BA1152="","",'История отказов'!BA1152)</f>
        <v/>
      </c>
      <c r="DL4749">
        <f>IF(DB4749="","",IF(AND(COUNTIF($DA$2:$DA$47,DB4749)=0,COUNTIF($DB$2:DB4749,DB4749)=1),4748,""))</f>
        <v/>
      </c>
    </row>
    <row r="4750">
      <c r="DB4750">
        <f>IF('История отказов'!BA1153="","",'История отказов'!BA1153)</f>
        <v/>
      </c>
      <c r="DL4750">
        <f>IF(DB4750="","",IF(AND(COUNTIF($DA$2:$DA$47,DB4750)=0,COUNTIF($DB$2:DB4750,DB4750)=1),4749,""))</f>
        <v/>
      </c>
    </row>
    <row r="4751">
      <c r="DB4751">
        <f>IF('История отказов'!BA1154="","",'История отказов'!BA1154)</f>
        <v/>
      </c>
      <c r="DL4751">
        <f>IF(DB4751="","",IF(AND(COUNTIF($DA$2:$DA$47,DB4751)=0,COUNTIF($DB$2:DB4751,DB4751)=1),4750,""))</f>
        <v/>
      </c>
    </row>
    <row r="4752">
      <c r="DB4752">
        <f>IF('История отказов'!BA1155="","",'История отказов'!BA1155)</f>
        <v/>
      </c>
      <c r="DL4752">
        <f>IF(DB4752="","",IF(AND(COUNTIF($DA$2:$DA$47,DB4752)=0,COUNTIF($DB$2:DB4752,DB4752)=1),4751,""))</f>
        <v/>
      </c>
    </row>
    <row r="4753">
      <c r="DB4753">
        <f>IF('История отказов'!BA1156="","",'История отказов'!BA1156)</f>
        <v/>
      </c>
      <c r="DL4753">
        <f>IF(DB4753="","",IF(AND(COUNTIF($DA$2:$DA$47,DB4753)=0,COUNTIF($DB$2:DB4753,DB4753)=1),4752,""))</f>
        <v/>
      </c>
    </row>
    <row r="4754">
      <c r="DB4754">
        <f>IF('История отказов'!BA1157="","",'История отказов'!BA1157)</f>
        <v/>
      </c>
      <c r="DL4754">
        <f>IF(DB4754="","",IF(AND(COUNTIF($DA$2:$DA$47,DB4754)=0,COUNTIF($DB$2:DB4754,DB4754)=1),4753,""))</f>
        <v/>
      </c>
    </row>
    <row r="4755">
      <c r="DB4755">
        <f>IF('История отказов'!BA1158="","",'История отказов'!BA1158)</f>
        <v/>
      </c>
      <c r="DL4755">
        <f>IF(DB4755="","",IF(AND(COUNTIF($DA$2:$DA$47,DB4755)=0,COUNTIF($DB$2:DB4755,DB4755)=1),4754,""))</f>
        <v/>
      </c>
    </row>
    <row r="4756">
      <c r="DB4756">
        <f>IF('История отказов'!BA1159="","",'История отказов'!BA1159)</f>
        <v/>
      </c>
      <c r="DL4756">
        <f>IF(DB4756="","",IF(AND(COUNTIF($DA$2:$DA$47,DB4756)=0,COUNTIF($DB$2:DB4756,DB4756)=1),4755,""))</f>
        <v/>
      </c>
    </row>
    <row r="4757">
      <c r="DB4757">
        <f>IF('История отказов'!BA1160="","",'История отказов'!BA1160)</f>
        <v/>
      </c>
      <c r="DL4757">
        <f>IF(DB4757="","",IF(AND(COUNTIF($DA$2:$DA$47,DB4757)=0,COUNTIF($DB$2:DB4757,DB4757)=1),4756,""))</f>
        <v/>
      </c>
    </row>
    <row r="4758">
      <c r="DB4758">
        <f>IF('История отказов'!BA1161="","",'История отказов'!BA1161)</f>
        <v/>
      </c>
      <c r="DL4758">
        <f>IF(DB4758="","",IF(AND(COUNTIF($DA$2:$DA$47,DB4758)=0,COUNTIF($DB$2:DB4758,DB4758)=1),4757,""))</f>
        <v/>
      </c>
    </row>
    <row r="4759">
      <c r="DB4759">
        <f>IF('История отказов'!BA1162="","",'История отказов'!BA1162)</f>
        <v/>
      </c>
      <c r="DL4759">
        <f>IF(DB4759="","",IF(AND(COUNTIF($DA$2:$DA$47,DB4759)=0,COUNTIF($DB$2:DB4759,DB4759)=1),4758,""))</f>
        <v/>
      </c>
    </row>
    <row r="4760">
      <c r="DB4760">
        <f>IF('История отказов'!BA1163="","",'История отказов'!BA1163)</f>
        <v/>
      </c>
      <c r="DL4760">
        <f>IF(DB4760="","",IF(AND(COUNTIF($DA$2:$DA$47,DB4760)=0,COUNTIF($DB$2:DB4760,DB4760)=1),4759,""))</f>
        <v/>
      </c>
    </row>
    <row r="4761">
      <c r="DB4761">
        <f>IF('История отказов'!BA1164="","",'История отказов'!BA1164)</f>
        <v/>
      </c>
      <c r="DL4761">
        <f>IF(DB4761="","",IF(AND(COUNTIF($DA$2:$DA$47,DB4761)=0,COUNTIF($DB$2:DB4761,DB4761)=1),4760,""))</f>
        <v/>
      </c>
    </row>
    <row r="4762">
      <c r="DB4762">
        <f>IF('История отказов'!BA1165="","",'История отказов'!BA1165)</f>
        <v/>
      </c>
      <c r="DL4762">
        <f>IF(DB4762="","",IF(AND(COUNTIF($DA$2:$DA$47,DB4762)=0,COUNTIF($DB$2:DB4762,DB4762)=1),4761,""))</f>
        <v/>
      </c>
    </row>
    <row r="4763">
      <c r="DB4763">
        <f>IF('История отказов'!BA1166="","",'История отказов'!BA1166)</f>
        <v/>
      </c>
      <c r="DL4763">
        <f>IF(DB4763="","",IF(AND(COUNTIF($DA$2:$DA$47,DB4763)=0,COUNTIF($DB$2:DB4763,DB4763)=1),4762,""))</f>
        <v/>
      </c>
    </row>
    <row r="4764">
      <c r="DB4764">
        <f>IF('История отказов'!BA1167="","",'История отказов'!BA1167)</f>
        <v/>
      </c>
      <c r="DL4764">
        <f>IF(DB4764="","",IF(AND(COUNTIF($DA$2:$DA$47,DB4764)=0,COUNTIF($DB$2:DB4764,DB4764)=1),4763,""))</f>
        <v/>
      </c>
    </row>
    <row r="4765">
      <c r="DB4765">
        <f>IF('История отказов'!BA1168="","",'История отказов'!BA1168)</f>
        <v/>
      </c>
      <c r="DL4765">
        <f>IF(DB4765="","",IF(AND(COUNTIF($DA$2:$DA$47,DB4765)=0,COUNTIF($DB$2:DB4765,DB4765)=1),4764,""))</f>
        <v/>
      </c>
    </row>
    <row r="4766">
      <c r="DB4766">
        <f>IF('История отказов'!BA1169="","",'История отказов'!BA1169)</f>
        <v/>
      </c>
      <c r="DL4766">
        <f>IF(DB4766="","",IF(AND(COUNTIF($DA$2:$DA$47,DB4766)=0,COUNTIF($DB$2:DB4766,DB4766)=1),4765,""))</f>
        <v/>
      </c>
    </row>
    <row r="4767">
      <c r="DB4767">
        <f>IF('История отказов'!BA1170="","",'История отказов'!BA1170)</f>
        <v/>
      </c>
      <c r="DL4767">
        <f>IF(DB4767="","",IF(AND(COUNTIF($DA$2:$DA$47,DB4767)=0,COUNTIF($DB$2:DB4767,DB4767)=1),4766,""))</f>
        <v/>
      </c>
    </row>
    <row r="4768">
      <c r="DB4768">
        <f>IF('История отказов'!BA1171="","",'История отказов'!BA1171)</f>
        <v/>
      </c>
      <c r="DL4768">
        <f>IF(DB4768="","",IF(AND(COUNTIF($DA$2:$DA$47,DB4768)=0,COUNTIF($DB$2:DB4768,DB4768)=1),4767,""))</f>
        <v/>
      </c>
    </row>
    <row r="4769">
      <c r="DB4769">
        <f>IF('История отказов'!BA1172="","",'История отказов'!BA1172)</f>
        <v/>
      </c>
      <c r="DL4769">
        <f>IF(DB4769="","",IF(AND(COUNTIF($DA$2:$DA$47,DB4769)=0,COUNTIF($DB$2:DB4769,DB4769)=1),4768,""))</f>
        <v/>
      </c>
    </row>
    <row r="4770">
      <c r="DB4770">
        <f>IF('История отказов'!BA1173="","",'История отказов'!BA1173)</f>
        <v/>
      </c>
      <c r="DL4770">
        <f>IF(DB4770="","",IF(AND(COUNTIF($DA$2:$DA$47,DB4770)=0,COUNTIF($DB$2:DB4770,DB4770)=1),4769,""))</f>
        <v/>
      </c>
    </row>
    <row r="4771">
      <c r="DB4771">
        <f>IF('История отказов'!BA1174="","",'История отказов'!BA1174)</f>
        <v/>
      </c>
      <c r="DL4771">
        <f>IF(DB4771="","",IF(AND(COUNTIF($DA$2:$DA$47,DB4771)=0,COUNTIF($DB$2:DB4771,DB4771)=1),4770,""))</f>
        <v/>
      </c>
    </row>
    <row r="4772">
      <c r="DB4772">
        <f>IF('История отказов'!BA1175="","",'История отказов'!BA1175)</f>
        <v/>
      </c>
      <c r="DL4772">
        <f>IF(DB4772="","",IF(AND(COUNTIF($DA$2:$DA$47,DB4772)=0,COUNTIF($DB$2:DB4772,DB4772)=1),4771,""))</f>
        <v/>
      </c>
    </row>
    <row r="4773">
      <c r="DB4773">
        <f>IF('История отказов'!BA1176="","",'История отказов'!BA1176)</f>
        <v/>
      </c>
      <c r="DL4773">
        <f>IF(DB4773="","",IF(AND(COUNTIF($DA$2:$DA$47,DB4773)=0,COUNTIF($DB$2:DB4773,DB4773)=1),4772,""))</f>
        <v/>
      </c>
    </row>
    <row r="4774">
      <c r="DB4774">
        <f>IF('История отказов'!BA1177="","",'История отказов'!BA1177)</f>
        <v/>
      </c>
      <c r="DL4774">
        <f>IF(DB4774="","",IF(AND(COUNTIF($DA$2:$DA$47,DB4774)=0,COUNTIF($DB$2:DB4774,DB4774)=1),4773,""))</f>
        <v/>
      </c>
    </row>
    <row r="4775">
      <c r="DB4775">
        <f>IF('История отказов'!BA1178="","",'История отказов'!BA1178)</f>
        <v/>
      </c>
      <c r="DL4775">
        <f>IF(DB4775="","",IF(AND(COUNTIF($DA$2:$DA$47,DB4775)=0,COUNTIF($DB$2:DB4775,DB4775)=1),4774,""))</f>
        <v/>
      </c>
    </row>
    <row r="4776">
      <c r="DB4776">
        <f>IF('История отказов'!BA1179="","",'История отказов'!BA1179)</f>
        <v/>
      </c>
      <c r="DL4776">
        <f>IF(DB4776="","",IF(AND(COUNTIF($DA$2:$DA$47,DB4776)=0,COUNTIF($DB$2:DB4776,DB4776)=1),4775,""))</f>
        <v/>
      </c>
    </row>
    <row r="4777">
      <c r="DB4777">
        <f>IF('История отказов'!BA1180="","",'История отказов'!BA1180)</f>
        <v/>
      </c>
      <c r="DL4777">
        <f>IF(DB4777="","",IF(AND(COUNTIF($DA$2:$DA$47,DB4777)=0,COUNTIF($DB$2:DB4777,DB4777)=1),4776,""))</f>
        <v/>
      </c>
    </row>
    <row r="4778">
      <c r="DB4778">
        <f>IF('История отказов'!BA1181="","",'История отказов'!BA1181)</f>
        <v/>
      </c>
      <c r="DL4778">
        <f>IF(DB4778="","",IF(AND(COUNTIF($DA$2:$DA$47,DB4778)=0,COUNTIF($DB$2:DB4778,DB4778)=1),4777,""))</f>
        <v/>
      </c>
    </row>
    <row r="4779">
      <c r="DB4779">
        <f>IF('История отказов'!BA1182="","",'История отказов'!BA1182)</f>
        <v/>
      </c>
      <c r="DL4779">
        <f>IF(DB4779="","",IF(AND(COUNTIF($DA$2:$DA$47,DB4779)=0,COUNTIF($DB$2:DB4779,DB4779)=1),4778,""))</f>
        <v/>
      </c>
    </row>
    <row r="4780">
      <c r="DB4780">
        <f>IF('История отказов'!BA1183="","",'История отказов'!BA1183)</f>
        <v/>
      </c>
      <c r="DL4780">
        <f>IF(DB4780="","",IF(AND(COUNTIF($DA$2:$DA$47,DB4780)=0,COUNTIF($DB$2:DB4780,DB4780)=1),4779,""))</f>
        <v/>
      </c>
    </row>
    <row r="4781">
      <c r="DB4781">
        <f>IF('История отказов'!BA1184="","",'История отказов'!BA1184)</f>
        <v/>
      </c>
      <c r="DL4781">
        <f>IF(DB4781="","",IF(AND(COUNTIF($DA$2:$DA$47,DB4781)=0,COUNTIF($DB$2:DB4781,DB4781)=1),4780,""))</f>
        <v/>
      </c>
    </row>
    <row r="4782">
      <c r="DB4782">
        <f>IF('История отказов'!BA1185="","",'История отказов'!BA1185)</f>
        <v/>
      </c>
      <c r="DL4782">
        <f>IF(DB4782="","",IF(AND(COUNTIF($DA$2:$DA$47,DB4782)=0,COUNTIF($DB$2:DB4782,DB4782)=1),4781,""))</f>
        <v/>
      </c>
    </row>
    <row r="4783">
      <c r="DB4783">
        <f>IF('История отказов'!BA1186="","",'История отказов'!BA1186)</f>
        <v/>
      </c>
      <c r="DL4783">
        <f>IF(DB4783="","",IF(AND(COUNTIF($DA$2:$DA$47,DB4783)=0,COUNTIF($DB$2:DB4783,DB4783)=1),4782,""))</f>
        <v/>
      </c>
    </row>
    <row r="4784">
      <c r="DB4784">
        <f>IF('История отказов'!BA1187="","",'История отказов'!BA1187)</f>
        <v/>
      </c>
      <c r="DL4784">
        <f>IF(DB4784="","",IF(AND(COUNTIF($DA$2:$DA$47,DB4784)=0,COUNTIF($DB$2:DB4784,DB4784)=1),4783,""))</f>
        <v/>
      </c>
    </row>
    <row r="4785">
      <c r="DB4785">
        <f>IF('История отказов'!BA1188="","",'История отказов'!BA1188)</f>
        <v/>
      </c>
      <c r="DL4785">
        <f>IF(DB4785="","",IF(AND(COUNTIF($DA$2:$DA$47,DB4785)=0,COUNTIF($DB$2:DB4785,DB4785)=1),4784,""))</f>
        <v/>
      </c>
    </row>
    <row r="4786">
      <c r="DB4786">
        <f>IF('История отказов'!BA1189="","",'История отказов'!BA1189)</f>
        <v/>
      </c>
      <c r="DL4786">
        <f>IF(DB4786="","",IF(AND(COUNTIF($DA$2:$DA$47,DB4786)=0,COUNTIF($DB$2:DB4786,DB4786)=1),4785,""))</f>
        <v/>
      </c>
    </row>
    <row r="4787">
      <c r="DB4787">
        <f>IF('История отказов'!BA1190="","",'История отказов'!BA1190)</f>
        <v/>
      </c>
      <c r="DL4787">
        <f>IF(DB4787="","",IF(AND(COUNTIF($DA$2:$DA$47,DB4787)=0,COUNTIF($DB$2:DB4787,DB4787)=1),4786,""))</f>
        <v/>
      </c>
    </row>
    <row r="4788">
      <c r="DB4788">
        <f>IF('История отказов'!BA1191="","",'История отказов'!BA1191)</f>
        <v/>
      </c>
      <c r="DL4788">
        <f>IF(DB4788="","",IF(AND(COUNTIF($DA$2:$DA$47,DB4788)=0,COUNTIF($DB$2:DB4788,DB4788)=1),4787,""))</f>
        <v/>
      </c>
    </row>
    <row r="4789">
      <c r="DB4789">
        <f>IF('История отказов'!BA1192="","",'История отказов'!BA1192)</f>
        <v/>
      </c>
      <c r="DL4789">
        <f>IF(DB4789="","",IF(AND(COUNTIF($DA$2:$DA$47,DB4789)=0,COUNTIF($DB$2:DB4789,DB4789)=1),4788,""))</f>
        <v/>
      </c>
    </row>
    <row r="4790">
      <c r="DB4790">
        <f>IF('История отказов'!BA1193="","",'История отказов'!BA1193)</f>
        <v/>
      </c>
      <c r="DL4790">
        <f>IF(DB4790="","",IF(AND(COUNTIF($DA$2:$DA$47,DB4790)=0,COUNTIF($DB$2:DB4790,DB4790)=1),4789,""))</f>
        <v/>
      </c>
    </row>
    <row r="4791">
      <c r="DB4791">
        <f>IF('История отказов'!BA1194="","",'История отказов'!BA1194)</f>
        <v/>
      </c>
      <c r="DL4791">
        <f>IF(DB4791="","",IF(AND(COUNTIF($DA$2:$DA$47,DB4791)=0,COUNTIF($DB$2:DB4791,DB4791)=1),4790,""))</f>
        <v/>
      </c>
    </row>
    <row r="4792">
      <c r="DB4792">
        <f>IF('История отказов'!BA1195="","",'История отказов'!BA1195)</f>
        <v/>
      </c>
      <c r="DL4792">
        <f>IF(DB4792="","",IF(AND(COUNTIF($DA$2:$DA$47,DB4792)=0,COUNTIF($DB$2:DB4792,DB4792)=1),4791,""))</f>
        <v/>
      </c>
    </row>
    <row r="4793">
      <c r="DB4793">
        <f>IF('История отказов'!BA1196="","",'История отказов'!BA1196)</f>
        <v/>
      </c>
      <c r="DL4793">
        <f>IF(DB4793="","",IF(AND(COUNTIF($DA$2:$DA$47,DB4793)=0,COUNTIF($DB$2:DB4793,DB4793)=1),4792,""))</f>
        <v/>
      </c>
    </row>
    <row r="4794">
      <c r="DB4794">
        <f>IF('История отказов'!BA1197="","",'История отказов'!BA1197)</f>
        <v/>
      </c>
      <c r="DL4794">
        <f>IF(DB4794="","",IF(AND(COUNTIF($DA$2:$DA$47,DB4794)=0,COUNTIF($DB$2:DB4794,DB4794)=1),4793,""))</f>
        <v/>
      </c>
    </row>
    <row r="4795">
      <c r="DB4795">
        <f>IF('История отказов'!BA1198="","",'История отказов'!BA1198)</f>
        <v/>
      </c>
      <c r="DL4795">
        <f>IF(DB4795="","",IF(AND(COUNTIF($DA$2:$DA$47,DB4795)=0,COUNTIF($DB$2:DB4795,DB4795)=1),4794,""))</f>
        <v/>
      </c>
    </row>
    <row r="4796">
      <c r="DB4796">
        <f>IF('История отказов'!BA1199="","",'История отказов'!BA1199)</f>
        <v/>
      </c>
      <c r="DL4796">
        <f>IF(DB4796="","",IF(AND(COUNTIF($DA$2:$DA$47,DB4796)=0,COUNTIF($DB$2:DB4796,DB4796)=1),4795,""))</f>
        <v/>
      </c>
    </row>
    <row r="4797">
      <c r="DB4797">
        <f>IF('История отказов'!BA1200="","",'История отказов'!BA1200)</f>
        <v/>
      </c>
      <c r="DL4797">
        <f>IF(DB4797="","",IF(AND(COUNTIF($DA$2:$DA$47,DB4797)=0,COUNTIF($DB$2:DB4797,DB4797)=1),4796,""))</f>
        <v/>
      </c>
    </row>
    <row r="4798">
      <c r="DB4798">
        <f>IF('История отказов'!BA1201="","",'История отказов'!BA1201)</f>
        <v/>
      </c>
      <c r="DL4798">
        <f>IF(DB4798="","",IF(AND(COUNTIF($DA$2:$DA$47,DB4798)=0,COUNTIF($DB$2:DB4798,DB4798)=1),4797,""))</f>
        <v/>
      </c>
    </row>
    <row r="4799">
      <c r="DB4799">
        <f>IF('История отказов'!BA1202="","",'История отказов'!BA1202)</f>
        <v/>
      </c>
      <c r="DL4799">
        <f>IF(DB4799="","",IF(AND(COUNTIF($DA$2:$DA$47,DB4799)=0,COUNTIF($DB$2:DB4799,DB4799)=1),4798,""))</f>
        <v/>
      </c>
    </row>
    <row r="4800">
      <c r="DB4800">
        <f>IF('История отказов'!BA1203="","",'История отказов'!BA1203)</f>
        <v/>
      </c>
      <c r="DL4800">
        <f>IF(DB4800="","",IF(AND(COUNTIF($DA$2:$DA$47,DB4800)=0,COUNTIF($DB$2:DB4800,DB4800)=1),4799,""))</f>
        <v/>
      </c>
    </row>
    <row r="4801">
      <c r="DB4801">
        <f>IF('История отказов'!BA1204="","",'История отказов'!BA1204)</f>
        <v/>
      </c>
      <c r="DL4801">
        <f>IF(DB4801="","",IF(AND(COUNTIF($DA$2:$DA$47,DB4801)=0,COUNTIF($DB$2:DB4801,DB4801)=1),4800,""))</f>
        <v/>
      </c>
    </row>
  </sheetData>
  <mergeCells count="1">
    <mergeCell ref="A1232:O12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style="210" min="1" max="1"/>
    <col width="52" customWidth="1" style="210" min="2" max="2"/>
    <col width="30" customWidth="1" style="210" min="3" max="3"/>
    <col width="22" customWidth="1" style="210" min="4" max="4"/>
    <col width="45" customWidth="1" style="210" min="5" max="5"/>
    <col width="60" customWidth="1" style="210" min="6" max="6"/>
  </cols>
  <sheetData>
    <row r="1">
      <c r="A1" s="272" t="inlineStr">
        <is>
          <t>ПОКАЗАТЕЛИ ДЛЯ ПРЕДВАРИТЕЛЬНОГО И ПОЛНОГО ЗАКЛЮЧЕНИЯ</t>
        </is>
      </c>
      <c r="B1" s="255" t="n"/>
      <c r="C1" s="255" t="n"/>
      <c r="D1" s="255" t="n"/>
      <c r="E1" s="255" t="n"/>
      <c r="F1" s="256" t="n"/>
    </row>
    <row r="2">
      <c r="A2" s="273" t="inlineStr">
        <is>
          <t>* — базовые обязательные; [ДОП] — дополнительные для полного заключения.</t>
        </is>
      </c>
      <c r="B2" s="258" t="n"/>
      <c r="C2" s="258" t="n"/>
      <c r="D2" s="258" t="n"/>
      <c r="E2" s="258" t="n"/>
      <c r="F2" s="259" t="n"/>
    </row>
    <row r="4">
      <c r="A4" s="48" t="inlineStr">
        <is>
          <t>Осложнение</t>
        </is>
      </c>
      <c r="B4" s="49" t="inlineStr">
        <is>
          <t>Показатель / факт</t>
        </is>
      </c>
      <c r="C4" s="49" t="inlineStr">
        <is>
          <t>Статус</t>
        </is>
      </c>
      <c r="D4" s="49" t="inlineStr">
        <is>
          <t>Уровень заключения</t>
        </is>
      </c>
      <c r="E4" s="49" t="inlineStr">
        <is>
          <t>Назначение</t>
        </is>
      </c>
      <c r="F4" s="50" t="inlineStr">
        <is>
          <t>Основание в присланных материалах</t>
        </is>
      </c>
    </row>
    <row r="5">
      <c r="A5" s="71" t="inlineStr">
        <is>
          <t>АСПО</t>
        </is>
      </c>
      <c r="B5" s="72" t="inlineStr">
        <is>
          <t>Признаки АСПО по эксплуатации/подъёму ГНО</t>
        </is>
      </c>
      <c r="C5" s="72" t="inlineStr">
        <is>
          <t>* Базовый обязательный</t>
        </is>
      </c>
      <c r="D5" s="72" t="inlineStr">
        <is>
          <t>Предварительное</t>
        </is>
      </c>
      <c r="E5" s="72" t="inlineStr">
        <is>
          <t>Определить наличие/влияние осложнения</t>
        </is>
      </c>
      <c r="F5" s="73" t="inlineStr">
        <is>
          <t>МУ: критерии А1–А3</t>
        </is>
      </c>
    </row>
    <row r="6">
      <c r="A6" s="74" t="inlineStr">
        <is>
          <t>АСПО</t>
        </is>
      </c>
      <c r="B6" s="75" t="inlineStr">
        <is>
          <t>Факт преждевременного отказа по АСПО и выполнение мероприятий</t>
        </is>
      </c>
      <c r="C6" s="75" t="inlineStr">
        <is>
          <t>* Базовый обязательный</t>
        </is>
      </c>
      <c r="D6" s="75" t="inlineStr">
        <is>
          <t>Предварительное</t>
        </is>
      </c>
      <c r="E6" s="75" t="inlineStr">
        <is>
          <t>Определить категорию А2/А3</t>
        </is>
      </c>
      <c r="F6" s="76" t="inlineStr">
        <is>
          <t>МУ: таблица 1</t>
        </is>
      </c>
    </row>
    <row r="7">
      <c r="A7" s="74" t="inlineStr">
        <is>
          <t>АСПО</t>
        </is>
      </c>
      <c r="B7" s="75" t="inlineStr">
        <is>
          <t>Содержание парафинов, смол и асфальтенов / тип нефти</t>
        </is>
      </c>
      <c r="C7" s="75" t="inlineStr">
        <is>
          <t>[ДОП] Дополнительный</t>
        </is>
      </c>
      <c r="D7" s="75" t="inlineStr">
        <is>
          <t>Полное</t>
        </is>
      </c>
      <c r="E7" s="75" t="inlineStr">
        <is>
          <t>Уточнить склонность и категорию</t>
        </is>
      </c>
      <c r="F7" s="76" t="inlineStr">
        <is>
          <t>МУ: раздел 5.1</t>
        </is>
      </c>
    </row>
    <row r="8">
      <c r="A8" s="74" t="inlineStr">
        <is>
          <t>АСПО</t>
        </is>
      </c>
      <c r="B8" s="75" t="inlineStr">
        <is>
          <t>Анализ состава отложений / фото / дефектовка</t>
        </is>
      </c>
      <c r="C8" s="75" t="inlineStr">
        <is>
          <t>[ДОП] Дополнительный</t>
        </is>
      </c>
      <c r="D8" s="75" t="inlineStr">
        <is>
          <t>Полное</t>
        </is>
      </c>
      <c r="E8" s="75" t="inlineStr">
        <is>
          <t>Подтвердить механизм</t>
        </is>
      </c>
      <c r="F8" s="76" t="inlineStr">
        <is>
          <t>МУ: признаки отложений на ГНО</t>
        </is>
      </c>
    </row>
    <row r="9">
      <c r="A9" s="74" t="inlineStr">
        <is>
          <t>Коррозия</t>
        </is>
      </c>
      <c r="B9" s="75" t="inlineStr">
        <is>
          <t>Количество отказов по коррозии за гарантийный срок</t>
        </is>
      </c>
      <c r="C9" s="75" t="inlineStr">
        <is>
          <t>* Базовый обязательный</t>
        </is>
      </c>
      <c r="D9" s="75" t="inlineStr">
        <is>
          <t>Предварительное</t>
        </is>
      </c>
      <c r="E9" s="75" t="inlineStr">
        <is>
          <t>Различить К1/К2</t>
        </is>
      </c>
      <c r="F9" s="76" t="inlineStr">
        <is>
          <t>МУ: таблица 3</t>
        </is>
      </c>
    </row>
    <row r="10">
      <c r="A10" s="74" t="inlineStr">
        <is>
          <t>Коррозия</t>
        </is>
      </c>
      <c r="B10" s="75" t="inlineStr">
        <is>
          <t>Состояние корродировавшего ГНО: новое/ремонтное</t>
        </is>
      </c>
      <c r="C10" s="75" t="inlineStr">
        <is>
          <t>* Базовый обязательный</t>
        </is>
      </c>
      <c r="D10" s="75" t="inlineStr">
        <is>
          <t>Предварительное</t>
        </is>
      </c>
      <c r="E10" s="75" t="inlineStr">
        <is>
          <t>Различить К1/К2</t>
        </is>
      </c>
      <c r="F10" s="76" t="inlineStr">
        <is>
          <t>МУ: таблица 3</t>
        </is>
      </c>
    </row>
    <row r="11">
      <c r="A11" s="74" t="inlineStr">
        <is>
          <t>Коррозия</t>
        </is>
      </c>
      <c r="B11" s="75" t="inlineStr">
        <is>
          <t>Скорость коррозии, мм/год</t>
        </is>
      </c>
      <c r="C11" s="75" t="inlineStr">
        <is>
          <t>[ДОП] Дополнительный</t>
        </is>
      </c>
      <c r="D11" s="75" t="inlineStr">
        <is>
          <t>Полное</t>
        </is>
      </c>
      <c r="E11" s="75" t="inlineStr">
        <is>
          <t>Подтвердить тяжесть коррозионной среды</t>
        </is>
      </c>
      <c r="F11" s="76" t="inlineStr">
        <is>
          <t>МУ: раздел 6.1</t>
        </is>
      </c>
    </row>
    <row r="12">
      <c r="A12" s="74" t="inlineStr">
        <is>
          <t>Коррозия</t>
        </is>
      </c>
      <c r="B12" s="75" t="inlineStr">
        <is>
          <t>H₂S/CO₂ и расчёт парциальных давлений / состав среды</t>
        </is>
      </c>
      <c r="C12" s="75" t="inlineStr">
        <is>
          <t>[ДОП] Дополнительный</t>
        </is>
      </c>
      <c r="D12" s="75" t="inlineStr">
        <is>
          <t>Полное</t>
        </is>
      </c>
      <c r="E12" s="75" t="inlineStr">
        <is>
          <t>Подтвердить агрессивность среды</t>
        </is>
      </c>
      <c r="F12" s="76" t="inlineStr">
        <is>
          <t>МУ: раздел 6.1</t>
        </is>
      </c>
    </row>
    <row r="13">
      <c r="A13" s="74" t="inlineStr">
        <is>
          <t>Коррозия</t>
        </is>
      </c>
      <c r="B13" s="75" t="inlineStr">
        <is>
          <t>Металлографическая экспертиза при СКРН/ВИР</t>
        </is>
      </c>
      <c r="C13" s="75" t="inlineStr">
        <is>
          <t>[ДОП] Дополнительный</t>
        </is>
      </c>
      <c r="D13" s="75" t="inlineStr">
        <is>
          <t>Полное</t>
        </is>
      </c>
      <c r="E13" s="75" t="inlineStr">
        <is>
          <t>Обязательное подтверждение категории К3 при соответствующем механизме</t>
        </is>
      </c>
      <c r="F13" s="76" t="inlineStr">
        <is>
          <t>МУ: таблица 3</t>
        </is>
      </c>
    </row>
    <row r="14">
      <c r="A14" s="74" t="inlineStr">
        <is>
          <t>Высокая вязкость</t>
        </is>
      </c>
      <c r="B14" s="75" t="inlineStr">
        <is>
          <t>Вязкость эксплуатационной среды, мПа·с</t>
        </is>
      </c>
      <c r="C14" s="75" t="inlineStr">
        <is>
          <t>* Базовый обязательный</t>
        </is>
      </c>
      <c r="D14" s="75" t="inlineStr">
        <is>
          <t>Предварительное</t>
        </is>
      </c>
      <c r="E14" s="75" t="inlineStr">
        <is>
          <t>Различить В1/В2/В3</t>
        </is>
      </c>
      <c r="F14" s="76" t="inlineStr">
        <is>
          <t>МУ: таблица 5</t>
        </is>
      </c>
    </row>
    <row r="15">
      <c r="A15" s="74" t="inlineStr">
        <is>
          <t>Высокая вязкость</t>
        </is>
      </c>
      <c r="B15" s="75" t="inlineStr">
        <is>
          <t>Факт преждевременного отказа и повторность после мероприятий</t>
        </is>
      </c>
      <c r="C15" s="75" t="inlineStr">
        <is>
          <t>* Базовый обязательный</t>
        </is>
      </c>
      <c r="D15" s="75" t="inlineStr">
        <is>
          <t>Предварительное</t>
        </is>
      </c>
      <c r="E15" s="75" t="inlineStr">
        <is>
          <t>Уточнить категорию</t>
        </is>
      </c>
      <c r="F15" s="76" t="inlineStr">
        <is>
          <t>МУ: таблица 5</t>
        </is>
      </c>
    </row>
    <row r="16">
      <c r="A16" s="74" t="inlineStr">
        <is>
          <t>Высокая вязкость</t>
        </is>
      </c>
      <c r="B16" s="75" t="inlineStr">
        <is>
          <t>Характеристика нефти как смолистой/высокосмолистой</t>
        </is>
      </c>
      <c r="C16" s="75" t="inlineStr">
        <is>
          <t>[ДОП] Дополнительный</t>
        </is>
      </c>
      <c r="D16" s="75" t="inlineStr">
        <is>
          <t>Полное</t>
        </is>
      </c>
      <c r="E16" s="75" t="inlineStr">
        <is>
          <t>Подтвердить В2/В3</t>
        </is>
      </c>
      <c r="F16" s="76" t="inlineStr">
        <is>
          <t>МУ: таблица 5</t>
        </is>
      </c>
    </row>
    <row r="17">
      <c r="A17" s="74" t="inlineStr">
        <is>
          <t>Высокая вязкость</t>
        </is>
      </c>
      <c r="B17" s="75" t="inlineStr">
        <is>
          <t>Параметры высоковязкой эмульсии / лабораторные испытания деэмульгатора</t>
        </is>
      </c>
      <c r="C17" s="75" t="inlineStr">
        <is>
          <t>[ДОП] Дополнительный</t>
        </is>
      </c>
      <c r="D17" s="75" t="inlineStr">
        <is>
          <t>Полное</t>
        </is>
      </c>
      <c r="E17" s="75" t="inlineStr">
        <is>
          <t>Обосновать метод борьбы</t>
        </is>
      </c>
      <c r="F17" s="76" t="inlineStr">
        <is>
          <t>МУ: раздел 7</t>
        </is>
      </c>
    </row>
    <row r="18">
      <c r="A18" s="74" t="inlineStr">
        <is>
          <t>Солеотложения</t>
        </is>
      </c>
      <c r="B18" s="75" t="inlineStr">
        <is>
          <t>Факт солеотложений/отказа и наработка до ремонта</t>
        </is>
      </c>
      <c r="C18" s="75" t="inlineStr">
        <is>
          <t>* Базовый обязательный</t>
        </is>
      </c>
      <c r="D18" s="75" t="inlineStr">
        <is>
          <t>Предварительное</t>
        </is>
      </c>
      <c r="E18" s="75" t="inlineStr">
        <is>
          <t>Различить С1–С3</t>
        </is>
      </c>
      <c r="F18" s="76" t="inlineStr">
        <is>
          <t>МУ: таблица 7</t>
        </is>
      </c>
    </row>
    <row r="19">
      <c r="A19" s="74" t="inlineStr">
        <is>
          <t>Солеотложения</t>
        </is>
      </c>
      <c r="B19" s="75" t="inlineStr">
        <is>
          <t>Период между ремонтами по причине солей</t>
        </is>
      </c>
      <c r="C19" s="75" t="inlineStr">
        <is>
          <t>* Базовый обязательный</t>
        </is>
      </c>
      <c r="D19" s="75" t="inlineStr">
        <is>
          <t>Предварительное</t>
        </is>
      </c>
      <c r="E19" s="75" t="inlineStr">
        <is>
          <t>Выявить С3 (≤100 суток)</t>
        </is>
      </c>
      <c r="F19" s="76" t="inlineStr">
        <is>
          <t>МУ: таблица 7</t>
        </is>
      </c>
    </row>
    <row r="20">
      <c r="A20" s="74" t="inlineStr">
        <is>
          <t>Солеотложения</t>
        </is>
      </c>
      <c r="B20" s="75" t="inlineStr">
        <is>
          <t>Содержание кальцита/барита/гипса в отложениях</t>
        </is>
      </c>
      <c r="C20" s="75" t="inlineStr">
        <is>
          <t>[ДОП] Дополнительный</t>
        </is>
      </c>
      <c r="D20" s="75" t="inlineStr">
        <is>
          <t>Полное</t>
        </is>
      </c>
      <c r="E20" s="75" t="inlineStr">
        <is>
          <t>Подтвердить критерий состава отложений</t>
        </is>
      </c>
      <c r="F20" s="76" t="inlineStr">
        <is>
          <t>МУ: таблица 7</t>
        </is>
      </c>
    </row>
    <row r="21">
      <c r="A21" s="74" t="inlineStr">
        <is>
          <t>Солеотложения</t>
        </is>
      </c>
      <c r="B21" s="75" t="inlineStr">
        <is>
          <t>Коэффициенты насыщения воды солями</t>
        </is>
      </c>
      <c r="C21" s="75" t="inlineStr">
        <is>
          <t>[ДОП] Дополнительный</t>
        </is>
      </c>
      <c r="D21" s="75" t="inlineStr">
        <is>
          <t>Полное</t>
        </is>
      </c>
      <c r="E21" s="75" t="inlineStr">
        <is>
          <t>Подтвердить нестабильность/склонность к осадкообразованию</t>
        </is>
      </c>
      <c r="F21" s="76" t="inlineStr">
        <is>
          <t>МУ: таблица 7</t>
        </is>
      </c>
    </row>
    <row r="22">
      <c r="A22" s="74" t="inlineStr">
        <is>
          <t>Солеотложения</t>
        </is>
      </c>
      <c r="B22" s="75" t="inlineStr">
        <is>
          <t>Ионный состав воды и анализ отложений</t>
        </is>
      </c>
      <c r="C22" s="75" t="inlineStr">
        <is>
          <t>[ДОП] Дополнительный</t>
        </is>
      </c>
      <c r="D22" s="75" t="inlineStr">
        <is>
          <t>Полное</t>
        </is>
      </c>
      <c r="E22" s="75" t="inlineStr">
        <is>
          <t>Уточнить тип солей и метод борьбы</t>
        </is>
      </c>
      <c r="F22" s="76" t="inlineStr">
        <is>
          <t>МУ: раздел 8</t>
        </is>
      </c>
    </row>
    <row r="23">
      <c r="A23" s="74" t="inlineStr">
        <is>
          <t>Свободный газ</t>
        </is>
      </c>
      <c r="B23" s="75" t="inlineStr">
        <is>
          <t>Расчётное объёмное содержание свободного газа на приёме НУ, %</t>
        </is>
      </c>
      <c r="C23" s="75" t="inlineStr">
        <is>
          <t>* Базовый обязательный</t>
        </is>
      </c>
      <c r="D23" s="75" t="inlineStr">
        <is>
          <t>Предварительное</t>
        </is>
      </c>
      <c r="E23" s="75" t="inlineStr">
        <is>
          <t>Различить Г1/Г2/Г3</t>
        </is>
      </c>
      <c r="F23" s="76" t="inlineStr">
        <is>
          <t>МУ: таблица 9</t>
        </is>
      </c>
    </row>
    <row r="24">
      <c r="A24" s="74" t="inlineStr">
        <is>
          <t>Свободный газ</t>
        </is>
      </c>
      <c r="B24" s="75" t="inlineStr">
        <is>
          <t>Факт срыва подачи из-за газа</t>
        </is>
      </c>
      <c r="C24" s="75" t="inlineStr">
        <is>
          <t>* Базовый обязательный</t>
        </is>
      </c>
      <c r="D24" s="75" t="inlineStr">
        <is>
          <t>Предварительное</t>
        </is>
      </c>
      <c r="E24" s="75" t="inlineStr">
        <is>
          <t>Подтвердить Г1 и влияние газа</t>
        </is>
      </c>
      <c r="F24" s="76" t="inlineStr">
        <is>
          <t>МУ: таблица 9</t>
        </is>
      </c>
    </row>
    <row r="25">
      <c r="A25" s="74" t="inlineStr">
        <is>
          <t>Свободный газ</t>
        </is>
      </c>
      <c r="B25" s="75" t="inlineStr">
        <is>
          <t>Динамограмма для УШГН / диагностические данные</t>
        </is>
      </c>
      <c r="C25" s="75" t="inlineStr">
        <is>
          <t>[ДОП] Дополнительный</t>
        </is>
      </c>
      <c r="D25" s="75" t="inlineStr">
        <is>
          <t>Полное</t>
        </is>
      </c>
      <c r="E25" s="75" t="inlineStr">
        <is>
          <t>Подтвердить влияние газа</t>
        </is>
      </c>
      <c r="F25" s="76" t="inlineStr">
        <is>
          <t>МУ: раздел 9</t>
        </is>
      </c>
    </row>
    <row r="26">
      <c r="A26" s="74" t="inlineStr">
        <is>
          <t>Свободный газ</t>
        </is>
      </c>
      <c r="B26" s="75" t="inlineStr">
        <is>
          <t>Исходные PVT/давления для расчёта газосодержания</t>
        </is>
      </c>
      <c r="C26" s="75" t="inlineStr">
        <is>
          <t>[ДОП] Дополнительный</t>
        </is>
      </c>
      <c r="D26" s="75" t="inlineStr">
        <is>
          <t>Полное</t>
        </is>
      </c>
      <c r="E26" s="75" t="inlineStr">
        <is>
          <t>Проверить расчётную оценку</t>
        </is>
      </c>
      <c r="F26" s="76" t="inlineStr">
        <is>
          <t>МУ: раздел 9.1</t>
        </is>
      </c>
    </row>
    <row r="27">
      <c r="A27" s="74" t="inlineStr">
        <is>
          <t>Механические примеси</t>
        </is>
      </c>
      <c r="B27" s="75" t="inlineStr">
        <is>
          <t>Концентрация механических примесей, мг/л</t>
        </is>
      </c>
      <c r="C27" s="75" t="inlineStr">
        <is>
          <t>* Базовый обязательный</t>
        </is>
      </c>
      <c r="D27" s="75" t="inlineStr">
        <is>
          <t>Предварительное</t>
        </is>
      </c>
      <c r="E27" s="75" t="inlineStr">
        <is>
          <t>Различить М1–М3</t>
        </is>
      </c>
      <c r="F27" s="76" t="inlineStr">
        <is>
          <t>МУ: таблица 11</t>
        </is>
      </c>
    </row>
    <row r="28">
      <c r="A28" s="74" t="inlineStr">
        <is>
          <t>Механические примеси</t>
        </is>
      </c>
      <c r="B28" s="75" t="inlineStr">
        <is>
          <t>Твёрдость абразивных частиц по Моосу</t>
        </is>
      </c>
      <c r="C28" s="75" t="inlineStr">
        <is>
          <t>* Базовый обязательный</t>
        </is>
      </c>
      <c r="D28" s="75" t="inlineStr">
        <is>
          <t>Предварительное</t>
        </is>
      </c>
      <c r="E28" s="75" t="inlineStr">
        <is>
          <t>Различить М1–М3</t>
        </is>
      </c>
      <c r="F28" s="76" t="inlineStr">
        <is>
          <t>МУ: таблица 11</t>
        </is>
      </c>
    </row>
    <row r="29">
      <c r="A29" s="74" t="inlineStr">
        <is>
          <t>Механические примеси</t>
        </is>
      </c>
      <c r="B29" s="75" t="inlineStr">
        <is>
          <t>Количество ТРС из-за засорения/износа мехпримесями</t>
        </is>
      </c>
      <c r="C29" s="75" t="inlineStr">
        <is>
          <t>[ДОП] Дополнительный</t>
        </is>
      </c>
      <c r="D29" s="75" t="inlineStr">
        <is>
          <t>Полное</t>
        </is>
      </c>
      <c r="E29" s="75" t="inlineStr">
        <is>
          <t>Подтвердить М2/М3</t>
        </is>
      </c>
      <c r="F29" s="76" t="inlineStr">
        <is>
          <t>МУ: таблица 11</t>
        </is>
      </c>
    </row>
    <row r="30">
      <c r="A30" s="74" t="inlineStr">
        <is>
          <t>Механические примеси</t>
        </is>
      </c>
      <c r="B30" s="75" t="inlineStr">
        <is>
          <t>Гранулометрия и состав частиц</t>
        </is>
      </c>
      <c r="C30" s="75" t="inlineStr">
        <is>
          <t>[ДОП] Дополнительный</t>
        </is>
      </c>
      <c r="D30" s="75" t="inlineStr">
        <is>
          <t>Полное</t>
        </is>
      </c>
      <c r="E30" s="75" t="inlineStr">
        <is>
          <t>Уточнить абразивность и механизм</t>
        </is>
      </c>
      <c r="F30" s="76" t="inlineStr">
        <is>
          <t>МУ: раздел 10</t>
        </is>
      </c>
    </row>
    <row r="31">
      <c r="A31" s="74" t="inlineStr">
        <is>
          <t>Механические примеси</t>
        </is>
      </c>
      <c r="B31" s="75" t="inlineStr">
        <is>
          <t>Недавние работы: бурение, перфорация, ГРП, СКО, РИР, восстановление забоя</t>
        </is>
      </c>
      <c r="C31" s="75" t="inlineStr">
        <is>
          <t>[ДОП] Дополнительный</t>
        </is>
      </c>
      <c r="D31" s="75" t="inlineStr">
        <is>
          <t>Полное</t>
        </is>
      </c>
      <c r="E31" s="75" t="inlineStr">
        <is>
          <t>Выявить фактор роста выноса мехпримесей</t>
        </is>
      </c>
      <c r="F31" s="76" t="inlineStr">
        <is>
          <t>МУ: таблица 11</t>
        </is>
      </c>
    </row>
    <row r="32">
      <c r="A32" s="74" t="inlineStr">
        <is>
          <t>Гидраты</t>
        </is>
      </c>
      <c r="B32" s="75" t="inlineStr">
        <is>
          <t>Температура и давление эксплуатационной среды</t>
        </is>
      </c>
      <c r="C32" s="75" t="inlineStr">
        <is>
          <t>* Базовый обязательный</t>
        </is>
      </c>
      <c r="D32" s="75" t="inlineStr">
        <is>
          <t>Предварительное</t>
        </is>
      </c>
      <c r="E32" s="75" t="inlineStr">
        <is>
          <t>Проверить попадание в гидратоопасную область</t>
        </is>
      </c>
      <c r="F32" s="76" t="inlineStr">
        <is>
          <t>МУ: раздел 11.1</t>
        </is>
      </c>
    </row>
    <row r="33">
      <c r="A33" s="74" t="inlineStr">
        <is>
          <t>Гидраты</t>
        </is>
      </c>
      <c r="B33" s="75" t="inlineStr">
        <is>
          <t>Выявление гидратных отложений на ГНО/устье</t>
        </is>
      </c>
      <c r="C33" s="75" t="inlineStr">
        <is>
          <t>[ДОП] Дополнительный</t>
        </is>
      </c>
      <c r="D33" s="75" t="inlineStr">
        <is>
          <t>Полное</t>
        </is>
      </c>
      <c r="E33" s="75" t="inlineStr">
        <is>
          <t>Прямое подтверждение осложнения</t>
        </is>
      </c>
      <c r="F33" s="76" t="inlineStr">
        <is>
          <t>МУ: таблица 13</t>
        </is>
      </c>
    </row>
    <row r="34">
      <c r="A34" s="74" t="inlineStr">
        <is>
          <t>Гидраты</t>
        </is>
      </c>
      <c r="B34" s="75" t="inlineStr">
        <is>
          <t>Результат регламентных противогидратных работ</t>
        </is>
      </c>
      <c r="C34" s="75" t="inlineStr">
        <is>
          <t>[ДОП] Дополнительный</t>
        </is>
      </c>
      <c r="D34" s="75" t="inlineStr">
        <is>
          <t>Полное</t>
        </is>
      </c>
      <c r="E34" s="75" t="inlineStr">
        <is>
          <t>Косвенно подтвердить механизм</t>
        </is>
      </c>
      <c r="F34" s="76" t="inlineStr">
        <is>
          <t>МУ: таблица 13</t>
        </is>
      </c>
    </row>
    <row r="35">
      <c r="A35" s="74" t="inlineStr">
        <is>
          <t>Высокая температура</t>
        </is>
      </c>
      <c r="B35" s="75" t="inlineStr">
        <is>
          <t>Температура эксплуатационной среды ГНО, °C</t>
        </is>
      </c>
      <c r="C35" s="75" t="inlineStr">
        <is>
          <t>* Базовый обязательный</t>
        </is>
      </c>
      <c r="D35" s="75" t="inlineStr">
        <is>
          <t>Предварительное</t>
        </is>
      </c>
      <c r="E35" s="75" t="inlineStr">
        <is>
          <t>Различить Т1/Т2/Т3</t>
        </is>
      </c>
      <c r="F35" s="76" t="inlineStr">
        <is>
          <t>МУ: таблица 15</t>
        </is>
      </c>
    </row>
    <row r="36">
      <c r="A36" s="74" t="inlineStr">
        <is>
          <t>Высокая температура</t>
        </is>
      </c>
      <c r="B36" s="75" t="inlineStr">
        <is>
          <t>Предупреждение расчётного ПО о недостаточном охлаждении</t>
        </is>
      </c>
      <c r="C36" s="75" t="inlineStr">
        <is>
          <t>[ДОП] Дополнительный</t>
        </is>
      </c>
      <c r="D36" s="75" t="inlineStr">
        <is>
          <t>Полное</t>
        </is>
      </c>
      <c r="E36" s="75" t="inlineStr">
        <is>
          <t>Уточнить риск для НУ</t>
        </is>
      </c>
      <c r="F36" s="76" t="inlineStr">
        <is>
          <t>МУ: таблица 15</t>
        </is>
      </c>
    </row>
    <row r="37">
      <c r="A37" s="77" t="inlineStr">
        <is>
          <t>Высокая температура</t>
        </is>
      </c>
      <c r="B37" s="78" t="inlineStr">
        <is>
          <t>Признаки термического воздействия при эксплуатации/демонтаже/разборе</t>
        </is>
      </c>
      <c r="C37" s="78" t="inlineStr">
        <is>
          <t>[ДОП] Дополнительный</t>
        </is>
      </c>
      <c r="D37" s="78" t="inlineStr">
        <is>
          <t>Полное</t>
        </is>
      </c>
      <c r="E37" s="78" t="inlineStr">
        <is>
          <t>Подтвердить фактическое влияние температуры</t>
        </is>
      </c>
      <c r="F37" s="79" t="inlineStr">
        <is>
          <t>МУ: таблица 15</t>
        </is>
      </c>
    </row>
  </sheetData>
  <mergeCells count="2">
    <mergeCell ref="A2:F2"/>
    <mergeCell ref="A1:F1"/>
  </mergeCells>
  <conditionalFormatting sqref="C5:C37">
    <cfRule type="expression" priority="1" dxfId="0">
      <formula>LEFT(C5,1)="*"</formula>
    </cfRule>
    <cfRule type="expression" priority="2" dxfId="1">
      <formula>ISNUMBER(SEARCH("[ДОП]",C5))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2026-09-24T10:15:20Z</dcterms:created>
  <dcterms:modified xmlns:dcterms="http://purl.org/dc/terms/" xmlns:xsi="http://www.w3.org/2001/XMLSchema-instance" xsi:type="dcterms:W3CDTF">2026-09-24T10:42:24Z</dcterms:modified>
</cp:coreProperties>
</file>